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styles.xml" ContentType="application/vnd.openxmlformats-officedocument.spreadsheetml.styles+xml"/>
  <Override PartName="/xl/comments8.xml" ContentType="application/vnd.openxmlformats-officedocument.spreadsheetml.comments+xml"/>
  <Override PartName="/xl/worksheets/sheet139.xml" ContentType="application/vnd.openxmlformats-officedocument.spreadsheetml.worksheet+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Default Extension="xml" ContentType="application/xml"/>
  <Override PartName="/xl/worksheets/sheet128.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comments18.xml" ContentType="application/vnd.openxmlformats-officedocument.spreadsheetml.comments+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worksheets/sheet87.xml" ContentType="application/vnd.openxmlformats-officedocument.spreadsheetml.worksheet+xml"/>
  <Override PartName="/xl/worksheets/sheet106.xml" ContentType="application/vnd.openxmlformats-officedocument.spreadsheetml.worksheet+xml"/>
  <Override PartName="/xl/externalLinks/externalLink30.xml" ContentType="application/vnd.openxmlformats-officedocument.spreadsheetml.externalLink+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comments21.xml" ContentType="application/vnd.openxmlformats-officedocument.spreadsheetml.comments+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comments10.xml" ContentType="application/vnd.openxmlformats-officedocument.spreadsheetml.comments+xml"/>
  <Override PartName="/xl/worksheets/sheet43.xml" ContentType="application/vnd.openxmlformats-officedocument.spreadsheetml.worksheet+xml"/>
  <Override PartName="/xl/worksheets/sheet90.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worksheets/sheet32.xml" ContentType="application/vnd.openxmlformats-officedocument.spreadsheetml.worksheet+xml"/>
  <Override PartName="/xl/externalLinks/externalLink57.xml" ContentType="application/vnd.openxmlformats-officedocument.spreadsheetml.externalLink+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46.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worksheets/sheet10.xml" ContentType="application/vnd.openxmlformats-officedocument.spreadsheetml.worksheet+xml"/>
  <Override PartName="/xl/worksheets/sheet147.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comments5.xml" ContentType="application/vnd.openxmlformats-officedocument.spreadsheetml.comments+xml"/>
  <Override PartName="/docProps/app.xml" ContentType="application/vnd.openxmlformats-officedocument.extended-properties+xml"/>
  <Override PartName="/xl/worksheets/sheet136.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60.xml" ContentType="application/vnd.openxmlformats-officedocument.spreadsheetml.externalLink+xml"/>
  <Override PartName="/xl/comments26.xml" ContentType="application/vnd.openxmlformats-officedocument.spreadsheetml.comments+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comments15.xml" ContentType="application/vnd.openxmlformats-officedocument.spreadsheetml.comments+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worksheets/sheet51.xml" ContentType="application/vnd.openxmlformats-officedocument.spreadsheetml.worksheet+xml"/>
  <Override PartName="/xl/externalLinks/externalLink29.xml" ContentType="application/vnd.openxmlformats-officedocument.spreadsheetml.externalLink+xml"/>
  <Override PartName="/xl/externalLinks/externalLink76.xml" ContentType="application/vnd.openxmlformats-officedocument.spreadsheetml.externalLink+xml"/>
  <Override PartName="/xl/externalLinks/externalLink107.xml" ContentType="application/vnd.openxmlformats-officedocument.spreadsheetml.externalLink+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65.xml" ContentType="application/vnd.openxmlformats-officedocument.spreadsheetml.externalLink+xml"/>
  <Override PartName="/xl/worksheets/sheet5.xml" ContentType="application/vnd.openxmlformats-officedocument.spreadsheetml.worksheet+xml"/>
  <Override PartName="/xl/worksheets/sheet119.xml" ContentType="application/vnd.openxmlformats-officedocument.spreadsheetml.worksheet+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90.xml" ContentType="application/vnd.openxmlformats-officedocument.spreadsheetml.externalLink+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comments23.xml" ContentType="application/vnd.openxmlformats-officedocument.spreadsheetml.comments+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externalLinks/externalLink10.xml" ContentType="application/vnd.openxmlformats-officedocument.spreadsheetml.externalLink+xml"/>
  <Override PartName="/xl/comments12.xml" ContentType="application/vnd.openxmlformats-officedocument.spreadsheetml.comments+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comments7.xml" ContentType="application/vnd.openxmlformats-officedocument.spreadsheetml.comments+xml"/>
  <Override PartName="/xl/worksheets/sheet109.xml" ContentType="application/vnd.openxmlformats-officedocument.spreadsheetml.worksheet+xml"/>
  <Override PartName="/xl/worksheets/sheet138.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comments24.xml" ContentType="application/vnd.openxmlformats-officedocument.spreadsheetml.comments+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comments13.xml" ContentType="application/vnd.openxmlformats-officedocument.spreadsheetml.comments+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externalLinks/externalLink89.xml" ContentType="application/vnd.openxmlformats-officedocument.spreadsheetml.externalLink+xml"/>
  <Override PartName="/xl/comments20.xml" ContentType="application/vnd.openxmlformats-officedocument.spreadsheetml.comments+xml"/>
  <Override PartName="/xl/worksheets/sheet53.xml" ContentType="application/vnd.openxmlformats-officedocument.spreadsheetml.worksheet+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worksheets/sheet42.xml" ContentType="application/vnd.openxmlformats-officedocument.spreadsheetml.worksheet+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comments4.xml" ContentType="application/vnd.openxmlformats-officedocument.spreadsheetml.comments+xml"/>
  <Override PartName="/xl/worksheets/sheet135.xml" ContentType="application/vnd.openxmlformats-officedocument.spreadsheetml.worksheet+xml"/>
  <Override PartName="/xl/worksheets/sheet146.xml" ContentType="application/vnd.openxmlformats-officedocument.spreadsheetml.worksheet+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comments25.xml" ContentType="application/vnd.openxmlformats-officedocument.spreadsheetml.comments+xml"/>
  <Override PartName="/xl/worksheets/sheet69.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omments14.xml" ContentType="application/vnd.openxmlformats-officedocument.spreadsheetml.comments+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externalLinks/externalLink97.xml" ContentType="application/vnd.openxmlformats-officedocument.spreadsheetml.externalLink+xml"/>
  <Override PartName="/xl/externalLinks/externalLink117.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externalLinks/externalLink39.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comments9.xml" ContentType="application/vnd.openxmlformats-officedocument.spreadsheetml.comments+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externalLinks/externalLink53.xml" ContentType="application/vnd.openxmlformats-officedocument.spreadsheetml.externalLink+xml"/>
  <Override PartName="/xl/comments19.xml" ContentType="application/vnd.openxmlformats-officedocument.spreadsheetml.comment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externalLinks/externalLink42.xml" ContentType="application/vnd.openxmlformats-officedocument.spreadsheetml.externalLink+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comments22.xml" ContentType="application/vnd.openxmlformats-officedocument.spreadsheetml.comments+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comments11.xml" ContentType="application/vnd.openxmlformats-officedocument.spreadsheetml.comments+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externalLinks/externalLink69.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36.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Override PartName="/xl/worksheets/sheet137.xml" ContentType="application/vnd.openxmlformats-officedocument.spreadsheetml.worksheet+xml"/>
  <Override PartName="/xl/worksheets/sheet148.xml" ContentType="application/vnd.openxmlformats-officedocument.spreadsheetml.worksheet+xml"/>
  <Override PartName="/xl/externalLinks/externalLink25.xml" ContentType="application/vnd.openxmlformats-officedocument.spreadsheetml.externalLink+xml"/>
  <Override PartName="/xl/externalLinks/externalLink72.xml" ContentType="application/vnd.openxmlformats-officedocument.spreadsheetml.externalLink+xml"/>
  <Override PartName="/xl/comments2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filterPrivacy="1" showInkAnnotation="0" codeName="ThisWorkbook" defaultThemeVersion="124226"/>
  <bookViews>
    <workbookView xWindow="240" yWindow="285" windowWidth="12165" windowHeight="6705" tabRatio="932" firstSheet="18" activeTab="63"/>
  </bookViews>
  <sheets>
    <sheet name="Assumptions" sheetId="134" state="hidden" r:id="rId1"/>
    <sheet name="Index " sheetId="39" r:id="rId2"/>
    <sheet name="ARR Summary" sheetId="40" r:id="rId3"/>
    <sheet name="May12" sheetId="12" state="hidden" r:id="rId4"/>
    <sheet name="June12" sheetId="13" state="hidden" r:id="rId5"/>
    <sheet name="July12" sheetId="14" state="hidden" r:id="rId6"/>
    <sheet name="Aug12" sheetId="15" state="hidden" r:id="rId7"/>
    <sheet name="Sep12" sheetId="16" state="hidden" r:id="rId8"/>
    <sheet name="Oct12" sheetId="17" state="hidden" r:id="rId9"/>
    <sheet name="Nov12" sheetId="18" state="hidden" r:id="rId10"/>
    <sheet name="Dec12" sheetId="19" state="hidden" r:id="rId11"/>
    <sheet name="Jan13" sheetId="20" state="hidden" r:id="rId12"/>
    <sheet name="Feb13" sheetId="21" state="hidden" r:id="rId13"/>
    <sheet name="Mar13" sheetId="22" state="hidden" r:id="rId14"/>
    <sheet name="F1" sheetId="178" r:id="rId15"/>
    <sheet name="F1.1" sheetId="197" r:id="rId16"/>
    <sheet name="SalesProjection Workings" sheetId="179" state="hidden" r:id="rId17"/>
    <sheet name="Monthwise sales" sheetId="183" state="hidden" r:id="rId18"/>
    <sheet name="F1.2" sheetId="29" r:id="rId19"/>
    <sheet name="F1.3" sheetId="145" r:id="rId20"/>
    <sheet name="F 1(a)" sheetId="195" r:id="rId21"/>
    <sheet name="Sales and ABR" sheetId="188" state="hidden" r:id="rId22"/>
    <sheet name="Tariff as per MYT Order" sheetId="177" state="hidden" r:id="rId23"/>
    <sheet name="F2" sheetId="25" r:id="rId24"/>
    <sheet name="PP FY 2012-13" sheetId="77" state="hidden" r:id="rId25"/>
    <sheet name="PP FY 2013-14 " sheetId="136" state="hidden" r:id="rId26"/>
    <sheet name="PP FY 2014-15" sheetId="209" state="hidden" r:id="rId27"/>
    <sheet name="Power Purchase Projections" sheetId="182" state="hidden" r:id="rId28"/>
    <sheet name="TPC G" sheetId="193" state="hidden" r:id="rId29"/>
    <sheet name="TPC G MTR Petition" sheetId="203" state="hidden" r:id="rId30"/>
    <sheet name="F2.1" sheetId="202" r:id="rId31"/>
    <sheet name="F2.2" sheetId="213" r:id="rId32"/>
    <sheet name="F2.3" sheetId="214" r:id="rId33"/>
    <sheet name="F2.4" sheetId="71" r:id="rId34"/>
    <sheet name="F3" sheetId="47" r:id="rId35"/>
    <sheet name="F3.1" sheetId="112" r:id="rId36"/>
    <sheet name="F3.2" sheetId="199" r:id="rId37"/>
    <sheet name="F3.3" sheetId="32" r:id="rId38"/>
    <sheet name="F3.4" sheetId="33" r:id="rId39"/>
    <sheet name="F3.5" sheetId="34" r:id="rId40"/>
    <sheet name="F4" sheetId="67" r:id="rId41"/>
    <sheet name="F5" sheetId="169" r:id="rId42"/>
    <sheet name="F5.1" sheetId="36" r:id="rId43"/>
    <sheet name="F6" sheetId="60" r:id="rId44"/>
    <sheet name="F5.2" sheetId="189" state="hidden" r:id="rId45"/>
    <sheet name="F6 .1" sheetId="198" r:id="rId46"/>
    <sheet name="F7 " sheetId="72" r:id="rId47"/>
    <sheet name="F8" sheetId="70" r:id="rId48"/>
    <sheet name="F9" sheetId="44" r:id="rId49"/>
    <sheet name="F10 " sheetId="73" r:id="rId50"/>
    <sheet name="F10.1_sale of scrap" sheetId="191" state="hidden" r:id="rId51"/>
    <sheet name="F 11" sheetId="200" r:id="rId52"/>
    <sheet name="F12" sheetId="174" r:id="rId53"/>
    <sheet name="F13" sheetId="116" r:id="rId54"/>
    <sheet name="F14" sheetId="1" r:id="rId55"/>
    <sheet name="Revenue FY 2014-15" sheetId="207" state="hidden" r:id="rId56"/>
    <sheet name="F14.1.1" sheetId="180" state="hidden" r:id="rId57"/>
    <sheet name="F14.1.2" sheetId="205" state="hidden" r:id="rId58"/>
    <sheet name="F14.1" sheetId="181" state="hidden" r:id="rId59"/>
    <sheet name="F15" sheetId="119" r:id="rId60"/>
    <sheet name="F16.1" sheetId="165" state="hidden" r:id="rId61"/>
    <sheet name="Reconcilation 2012-13" sheetId="79" state="hidden" r:id="rId62"/>
    <sheet name="Reconcilation _2013-14" sheetId="158" state="hidden" r:id="rId63"/>
    <sheet name="F16" sheetId="138" r:id="rId64"/>
    <sheet name="F18" sheetId="184" state="hidden" r:id="rId65"/>
    <sheet name="F19.1" sheetId="187" state="hidden" r:id="rId66"/>
    <sheet name="Transport deficit" sheetId="192" state="hidden" r:id="rId67"/>
    <sheet name="F19" sheetId="194" state="hidden" r:id="rId68"/>
    <sheet name="F20" sheetId="212" state="hidden" r:id="rId69"/>
    <sheet name="Tariff Structure" sheetId="186" state="hidden" r:id="rId70"/>
    <sheet name="ARR_Supply and Trans" sheetId="201" state="hidden" r:id="rId71"/>
    <sheet name="F22" sheetId="185" state="hidden" r:id="rId72"/>
    <sheet name="SBI PLR" sheetId="176" state="hidden" r:id="rId73"/>
    <sheet name="IDC13-14" sheetId="132" state="hidden" r:id="rId74"/>
    <sheet name="E2 2012-13" sheetId="80" state="hidden" r:id="rId75"/>
    <sheet name="E2_2013-14" sheetId="152" state="hidden" r:id="rId76"/>
    <sheet name="LDetail 2012-13" sheetId="170" state="hidden" r:id="rId77"/>
    <sheet name="LDetails 2013-14" sheetId="171" state="hidden" r:id="rId78"/>
    <sheet name="LoanDetails 2012-13" sheetId="59" state="hidden" r:id="rId79"/>
    <sheet name="LoanDetails2013-14" sheetId="127" state="hidden" r:id="rId80"/>
    <sheet name="Interest Charges_2012-13" sheetId="55" state="hidden" r:id="rId81"/>
    <sheet name="CurrentLiabilities 2012-13" sheetId="143" state="hidden" r:id="rId82"/>
    <sheet name="Working Capital 2013-14" sheetId="139" state="hidden" r:id="rId83"/>
    <sheet name="WC12-13" sheetId="140" state="hidden" r:id="rId84"/>
    <sheet name="WC FY 2013-14" sheetId="110" state="hidden" r:id="rId85"/>
    <sheet name="E5-2011 (2)" sheetId="115" state="hidden" r:id="rId86"/>
    <sheet name="CD FY 2013-14" sheetId="111" state="hidden" r:id="rId87"/>
    <sheet name="LD" sheetId="142" state="hidden" r:id="rId88"/>
    <sheet name="BadDebt13-14" sheetId="133" state="hidden" r:id="rId89"/>
    <sheet name="ARR" sheetId="75" state="hidden" r:id="rId90"/>
    <sheet name="ROE13-14" sheetId="128" state="hidden" r:id="rId91"/>
    <sheet name="ROE" sheetId="57" state="hidden" r:id="rId92"/>
    <sheet name="Other Expenses13-14" sheetId="129" state="hidden" r:id="rId93"/>
    <sheet name="Non Tariff Income_12-13" sheetId="97" state="hidden" r:id="rId94"/>
    <sheet name="NTI13-14" sheetId="130" state="hidden" r:id="rId95"/>
    <sheet name="ROIF13-14" sheetId="131" state="hidden" r:id="rId96"/>
    <sheet name="Revenue ApprovedActual" sheetId="146" state="hidden" r:id="rId97"/>
    <sheet name="MonthWise Unit Sold" sheetId="11" state="hidden" r:id="rId98"/>
    <sheet name="Revenue 2013-14" sheetId="137" state="hidden" r:id="rId99"/>
    <sheet name="Revenue 2012-13" sheetId="102" state="hidden" r:id="rId100"/>
    <sheet name="E13_2013-14" sheetId="167" state="hidden" r:id="rId101"/>
    <sheet name="E3" sheetId="157" state="hidden" r:id="rId102"/>
    <sheet name="E13_H1-2012-13" sheetId="163" state="hidden" r:id="rId103"/>
    <sheet name="E13_H2-2012-13" sheetId="164" state="hidden" r:id="rId104"/>
    <sheet name="E13_H1F-2013-14" sheetId="161" state="hidden" r:id="rId105"/>
    <sheet name="E13_H2F-2013-14" sheetId="162" state="hidden" r:id="rId106"/>
    <sheet name="Reconciliation " sheetId="154" state="hidden" r:id="rId107"/>
    <sheet name="E6 Summury_2013-14" sheetId="156" state="hidden" r:id="rId108"/>
    <sheet name="E-6 SUPPLYWISE GRUP" sheetId="123" state="hidden" r:id="rId109"/>
    <sheet name="P&amp;L" sheetId="95" state="hidden" r:id="rId110"/>
    <sheet name="GFA1" sheetId="94" state="hidden" r:id="rId111"/>
    <sheet name="CapExCapi2013-14" sheetId="126" state="hidden" r:id="rId112"/>
    <sheet name="E5-2011" sheetId="106" state="hidden" r:id="rId113"/>
    <sheet name="DPR" sheetId="76" state="hidden" r:id="rId114"/>
    <sheet name="Interest on working capital" sheetId="56" state="hidden" r:id="rId115"/>
    <sheet name="E9-2001" sheetId="120" state="hidden" r:id="rId116"/>
    <sheet name="P&amp;L Reconciliation" sheetId="99" state="hidden" r:id="rId117"/>
    <sheet name="ApprovedTariff" sheetId="117" state="hidden" r:id="rId118"/>
    <sheet name="ARR2013-14" sheetId="135" state="hidden" r:id="rId119"/>
    <sheet name="E1" sheetId="81" state="hidden" r:id="rId120"/>
    <sheet name="idc" sheetId="83" state="hidden" r:id="rId121"/>
    <sheet name="E13_Q1-2012-13" sheetId="85" state="hidden" r:id="rId122"/>
    <sheet name="E13_Q2-2012-13" sheetId="86" state="hidden" r:id="rId123"/>
    <sheet name="E13_Q3-2012-13" sheetId="87" state="hidden" r:id="rId124"/>
    <sheet name="E13_Q4-2012-13" sheetId="89" state="hidden" r:id="rId125"/>
    <sheet name="E13_F.Y.2012-13" sheetId="90" state="hidden" r:id="rId126"/>
    <sheet name="BEST final" sheetId="98" state="hidden" r:id="rId127"/>
    <sheet name="schedule 3" sheetId="100" state="hidden" r:id="rId128"/>
    <sheet name="Schedule 1" sheetId="101" state="hidden" r:id="rId129"/>
    <sheet name="Annexture B" sheetId="103" state="hidden" r:id="rId130"/>
    <sheet name="WC_2012-13" sheetId="144" state="hidden" r:id="rId131"/>
    <sheet name="AnnexureB_2013-14" sheetId="153" state="hidden" r:id="rId132"/>
    <sheet name="SBI PLR Details" sheetId="166" state="hidden" r:id="rId133"/>
    <sheet name="URIM P&amp;L 12-13" sheetId="175" state="hidden" r:id="rId134"/>
    <sheet name="Net Capitalisation" sheetId="168" state="hidden" r:id="rId135"/>
    <sheet name="PowerPurchaseComparison" sheetId="118" state="hidden" r:id="rId136"/>
    <sheet name="CostOfPowerPurchase" sheetId="50" state="hidden" r:id="rId137"/>
    <sheet name="O&amp;M Expenses 2012-13" sheetId="49" state="hidden" r:id="rId138"/>
    <sheet name="O&amp;M Expenses 2013-14" sheetId="109" state="hidden" r:id="rId139"/>
    <sheet name="AD_Compiled" sheetId="172" state="hidden" r:id="rId140"/>
    <sheet name="E6-2011-12" sheetId="160" state="hidden" r:id="rId141"/>
    <sheet name="E6 -2012-13" sheetId="96" state="hidden" r:id="rId142"/>
    <sheet name="E6-2013-14" sheetId="159" state="hidden" r:id="rId143"/>
    <sheet name="Depreciation 2012-13" sheetId="114" state="hidden" r:id="rId144"/>
    <sheet name="Depreciation 2013-14" sheetId="125" state="hidden" r:id="rId145"/>
    <sheet name="GFA2" sheetId="51" state="hidden" r:id="rId146"/>
    <sheet name="Accumulated Depreciation " sheetId="52" state="hidden" r:id="rId147"/>
    <sheet name="Capitalisation 2013-14" sheetId="107" state="hidden" r:id="rId148"/>
    <sheet name="GFA Reconciliation" sheetId="150" state="hidden" r:id="rId149"/>
    <sheet name="Sheet1" sheetId="215" state="hidden" r:id="rId150"/>
  </sheets>
  <externalReferences>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s>
  <definedNames>
    <definedName name="\0">#N/A</definedName>
    <definedName name="\a">#N/A</definedName>
    <definedName name="\b">#N/A</definedName>
    <definedName name="\c">#N/A</definedName>
    <definedName name="\D" localSheetId="14">#REF!</definedName>
    <definedName name="\d">#N/A</definedName>
    <definedName name="\e">#N/A</definedName>
    <definedName name="\f" localSheetId="70">#REF!</definedName>
    <definedName name="\f" localSheetId="52">#REF!</definedName>
    <definedName name="\f" localSheetId="58">#REF!</definedName>
    <definedName name="\f" localSheetId="56">#REF!</definedName>
    <definedName name="\f" localSheetId="57">#REF!</definedName>
    <definedName name="\f" localSheetId="64">#REF!</definedName>
    <definedName name="\f" localSheetId="67">#REF!</definedName>
    <definedName name="\f" localSheetId="65">#REF!</definedName>
    <definedName name="\f" localSheetId="68">#REF!</definedName>
    <definedName name="\f" localSheetId="71">#REF!</definedName>
    <definedName name="\f" localSheetId="44">#REF!</definedName>
    <definedName name="\f" localSheetId="45">#REF!</definedName>
    <definedName name="\f" localSheetId="17">#REF!</definedName>
    <definedName name="\f" localSheetId="27">#REF!</definedName>
    <definedName name="\f" localSheetId="72">#REF!</definedName>
    <definedName name="\f" localSheetId="28">#REF!</definedName>
    <definedName name="\f" localSheetId="29">#REF!</definedName>
    <definedName name="\f" localSheetId="66">#REF!</definedName>
    <definedName name="\f">#REF!</definedName>
    <definedName name="\FF" localSheetId="70">'[1]97 사업추정(WEKI)'!#REF!</definedName>
    <definedName name="\FF" localSheetId="52">'[1]97 사업추정(WEKI)'!#REF!</definedName>
    <definedName name="\FF" localSheetId="58">'[1]97 사업추정(WEKI)'!#REF!</definedName>
    <definedName name="\FF" localSheetId="56">'[1]97 사업추정(WEKI)'!#REF!</definedName>
    <definedName name="\FF" localSheetId="57">'[1]97 사업추정(WEKI)'!#REF!</definedName>
    <definedName name="\FF" localSheetId="64">'[1]97 사업추정(WEKI)'!#REF!</definedName>
    <definedName name="\FF" localSheetId="67">'[1]97 사업추정(WEKI)'!#REF!</definedName>
    <definedName name="\FF" localSheetId="65">'[1]97 사업추정(WEKI)'!#REF!</definedName>
    <definedName name="\FF" localSheetId="68">'[1]97 사업추정(WEKI)'!#REF!</definedName>
    <definedName name="\FF" localSheetId="71">'[1]97 사업추정(WEKI)'!#REF!</definedName>
    <definedName name="\FF" localSheetId="44">'[1]97 사업추정(WEKI)'!#REF!</definedName>
    <definedName name="\FF" localSheetId="45">'[1]97 사업추정(WEKI)'!#REF!</definedName>
    <definedName name="\FF" localSheetId="17">'[1]97 사업추정(WEKI)'!#REF!</definedName>
    <definedName name="\FF" localSheetId="27">'[1]97 사업추정(WEKI)'!#REF!</definedName>
    <definedName name="\FF" localSheetId="72">'[1]97 사업추정(WEKI)'!#REF!</definedName>
    <definedName name="\FF" localSheetId="28">'[1]97 사업추정(WEKI)'!#REF!</definedName>
    <definedName name="\FF" localSheetId="29">'[1]97 사업추정(WEKI)'!#REF!</definedName>
    <definedName name="\FF" localSheetId="66">'[1]97 사업추정(WEKI)'!#REF!</definedName>
    <definedName name="\FF">'[1]97 사업추정(WEKI)'!#REF!</definedName>
    <definedName name="\FG" localSheetId="70">[2]상반기손익차2총괄!#REF!</definedName>
    <definedName name="\FG" localSheetId="52">[2]상반기손익차2총괄!#REF!</definedName>
    <definedName name="\FG" localSheetId="58">[2]상반기손익차2총괄!#REF!</definedName>
    <definedName name="\FG" localSheetId="57">[2]상반기손익차2총괄!#REF!</definedName>
    <definedName name="\FG" localSheetId="64">[2]상반기손익차2총괄!#REF!</definedName>
    <definedName name="\FG" localSheetId="67">[2]상반기손익차2총괄!#REF!</definedName>
    <definedName name="\FG" localSheetId="65">[2]상반기손익차2총괄!#REF!</definedName>
    <definedName name="\FG" localSheetId="68">[2]상반기손익차2총괄!#REF!</definedName>
    <definedName name="\FG" localSheetId="71">[2]상반기손익차2총괄!#REF!</definedName>
    <definedName name="\FG" localSheetId="44">[2]상반기손익차2총괄!#REF!</definedName>
    <definedName name="\FG" localSheetId="45">[2]상반기손익차2총괄!#REF!</definedName>
    <definedName name="\FG" localSheetId="27">[2]상반기손익차2총괄!#REF!</definedName>
    <definedName name="\FG" localSheetId="28">[2]상반기손익차2총괄!#REF!</definedName>
    <definedName name="\FG" localSheetId="29">[2]상반기손익차2총괄!#REF!</definedName>
    <definedName name="\FG" localSheetId="66">[2]상반기손익차2총괄!#REF!</definedName>
    <definedName name="\FG">[2]상반기손익차2총괄!#REF!</definedName>
    <definedName name="\g" localSheetId="70">#REF!</definedName>
    <definedName name="\g" localSheetId="52">#REF!</definedName>
    <definedName name="\g" localSheetId="58">#REF!</definedName>
    <definedName name="\g" localSheetId="56">#REF!</definedName>
    <definedName name="\g" localSheetId="57">#REF!</definedName>
    <definedName name="\g" localSheetId="64">#REF!</definedName>
    <definedName name="\g" localSheetId="67">#REF!</definedName>
    <definedName name="\g" localSheetId="65">#REF!</definedName>
    <definedName name="\g" localSheetId="68">#REF!</definedName>
    <definedName name="\g" localSheetId="71">#REF!</definedName>
    <definedName name="\g" localSheetId="44">#REF!</definedName>
    <definedName name="\g" localSheetId="45">#REF!</definedName>
    <definedName name="\g" localSheetId="17">#REF!</definedName>
    <definedName name="\g" localSheetId="27">#REF!</definedName>
    <definedName name="\g" localSheetId="72">#REF!</definedName>
    <definedName name="\g" localSheetId="28">#REF!</definedName>
    <definedName name="\g" localSheetId="29">#REF!</definedName>
    <definedName name="\g" localSheetId="66">#REF!</definedName>
    <definedName name="\g">#REF!</definedName>
    <definedName name="\h" localSheetId="70">#REF!</definedName>
    <definedName name="\h" localSheetId="52">#REF!</definedName>
    <definedName name="\h" localSheetId="58">#REF!</definedName>
    <definedName name="\h" localSheetId="57">#REF!</definedName>
    <definedName name="\h" localSheetId="64">#REF!</definedName>
    <definedName name="\h" localSheetId="67">#REF!</definedName>
    <definedName name="\h" localSheetId="65">#REF!</definedName>
    <definedName name="\h" localSheetId="68">#REF!</definedName>
    <definedName name="\h" localSheetId="71">#REF!</definedName>
    <definedName name="\h" localSheetId="44">#REF!</definedName>
    <definedName name="\h" localSheetId="45">#REF!</definedName>
    <definedName name="\h" localSheetId="17">#REF!</definedName>
    <definedName name="\h" localSheetId="27">#REF!</definedName>
    <definedName name="\h" localSheetId="72">#REF!</definedName>
    <definedName name="\h" localSheetId="28">#REF!</definedName>
    <definedName name="\h" localSheetId="29">#REF!</definedName>
    <definedName name="\h" localSheetId="66">#REF!</definedName>
    <definedName name="\h">#REF!</definedName>
    <definedName name="\i" localSheetId="70">#REF!</definedName>
    <definedName name="\i" localSheetId="52">#REF!</definedName>
    <definedName name="\i" localSheetId="58">#REF!</definedName>
    <definedName name="\i" localSheetId="57">#REF!</definedName>
    <definedName name="\i" localSheetId="64">#REF!</definedName>
    <definedName name="\i" localSheetId="67">#REF!</definedName>
    <definedName name="\i" localSheetId="65">#REF!</definedName>
    <definedName name="\i" localSheetId="68">#REF!</definedName>
    <definedName name="\i" localSheetId="71">#REF!</definedName>
    <definedName name="\i" localSheetId="44">#REF!</definedName>
    <definedName name="\i" localSheetId="45">#REF!</definedName>
    <definedName name="\i" localSheetId="17">#REF!</definedName>
    <definedName name="\i" localSheetId="27">#REF!</definedName>
    <definedName name="\i" localSheetId="72">#REF!</definedName>
    <definedName name="\i" localSheetId="28">#REF!</definedName>
    <definedName name="\i" localSheetId="29">#REF!</definedName>
    <definedName name="\i" localSheetId="66">#REF!</definedName>
    <definedName name="\i">#REF!</definedName>
    <definedName name="\j">#N/A</definedName>
    <definedName name="\k">#N/A</definedName>
    <definedName name="\m">#N/A</definedName>
    <definedName name="\n">#N/A</definedName>
    <definedName name="\p" localSheetId="70">#REF!</definedName>
    <definedName name="\p" localSheetId="52">#REF!</definedName>
    <definedName name="\p" localSheetId="58">#REF!</definedName>
    <definedName name="\p" localSheetId="56">#REF!</definedName>
    <definedName name="\p" localSheetId="57">#REF!</definedName>
    <definedName name="\p" localSheetId="64">#REF!</definedName>
    <definedName name="\p" localSheetId="67">#REF!</definedName>
    <definedName name="\p" localSheetId="65">#REF!</definedName>
    <definedName name="\p" localSheetId="68">#REF!</definedName>
    <definedName name="\p" localSheetId="71">#REF!</definedName>
    <definedName name="\p" localSheetId="44">#REF!</definedName>
    <definedName name="\p" localSheetId="45">#REF!</definedName>
    <definedName name="\p" localSheetId="17">#REF!</definedName>
    <definedName name="\p" localSheetId="27">#REF!</definedName>
    <definedName name="\p" localSheetId="72">#REF!</definedName>
    <definedName name="\p" localSheetId="28">#REF!</definedName>
    <definedName name="\p" localSheetId="29">#REF!</definedName>
    <definedName name="\p" localSheetId="66">#REF!</definedName>
    <definedName name="\p">#REF!</definedName>
    <definedName name="\PP" localSheetId="70">[3]소화실적!#REF!</definedName>
    <definedName name="\PP" localSheetId="52">[3]소화실적!#REF!</definedName>
    <definedName name="\PP" localSheetId="58">[3]소화실적!#REF!</definedName>
    <definedName name="\PP" localSheetId="56">[3]소화실적!#REF!</definedName>
    <definedName name="\PP" localSheetId="57">[3]소화실적!#REF!</definedName>
    <definedName name="\PP" localSheetId="64">[3]소화실적!#REF!</definedName>
    <definedName name="\PP" localSheetId="67">[3]소화실적!#REF!</definedName>
    <definedName name="\PP" localSheetId="65">[3]소화실적!#REF!</definedName>
    <definedName name="\PP" localSheetId="68">[3]소화실적!#REF!</definedName>
    <definedName name="\PP" localSheetId="71">[3]소화실적!#REF!</definedName>
    <definedName name="\PP" localSheetId="44">[3]소화실적!#REF!</definedName>
    <definedName name="\PP" localSheetId="45">[3]소화실적!#REF!</definedName>
    <definedName name="\PP" localSheetId="17">[3]소화실적!#REF!</definedName>
    <definedName name="\PP" localSheetId="27">[3]소화실적!#REF!</definedName>
    <definedName name="\PP" localSheetId="72">[3]소화실적!#REF!</definedName>
    <definedName name="\PP" localSheetId="28">[3]소화실적!#REF!</definedName>
    <definedName name="\PP" localSheetId="29">[3]소화실적!#REF!</definedName>
    <definedName name="\PP" localSheetId="66">[3]소화실적!#REF!</definedName>
    <definedName name="\PP">[3]소화실적!#REF!</definedName>
    <definedName name="\q">#N/A</definedName>
    <definedName name="\r">#N/A</definedName>
    <definedName name="\s">#N/A</definedName>
    <definedName name="\t">#N/A</definedName>
    <definedName name="\u">#N/A</definedName>
    <definedName name="\v">#N/A</definedName>
    <definedName name="\w">#N/A</definedName>
    <definedName name="\x">#N/A</definedName>
    <definedName name="\y">#N/A</definedName>
    <definedName name="\z">#N/A</definedName>
    <definedName name="___________________________________________PG2" localSheetId="70">#REF!</definedName>
    <definedName name="___________________________________________PG2" localSheetId="52">#REF!</definedName>
    <definedName name="___________________________________________PG2" localSheetId="58">#REF!</definedName>
    <definedName name="___________________________________________PG2" localSheetId="56">#REF!</definedName>
    <definedName name="___________________________________________PG2" localSheetId="57">#REF!</definedName>
    <definedName name="___________________________________________PG2" localSheetId="64">#REF!</definedName>
    <definedName name="___________________________________________PG2" localSheetId="67">#REF!</definedName>
    <definedName name="___________________________________________PG2" localSheetId="65">#REF!</definedName>
    <definedName name="___________________________________________PG2" localSheetId="68">#REF!</definedName>
    <definedName name="___________________________________________PG2" localSheetId="71">#REF!</definedName>
    <definedName name="___________________________________________PG2" localSheetId="44">#REF!</definedName>
    <definedName name="___________________________________________PG2" localSheetId="45">#REF!</definedName>
    <definedName name="___________________________________________PG2" localSheetId="17">#REF!</definedName>
    <definedName name="___________________________________________PG2" localSheetId="27">#REF!</definedName>
    <definedName name="___________________________________________PG2" localSheetId="72">#REF!</definedName>
    <definedName name="___________________________________________PG2" localSheetId="28">#REF!</definedName>
    <definedName name="___________________________________________PG2" localSheetId="29">#REF!</definedName>
    <definedName name="___________________________________________PG2" localSheetId="66">#REF!</definedName>
    <definedName name="___________________________________________PG2">#REF!</definedName>
    <definedName name="___________________________________________PG3" localSheetId="70">#REF!</definedName>
    <definedName name="___________________________________________PG3" localSheetId="52">#REF!</definedName>
    <definedName name="___________________________________________PG3" localSheetId="58">#REF!</definedName>
    <definedName name="___________________________________________PG3" localSheetId="57">#REF!</definedName>
    <definedName name="___________________________________________PG3" localSheetId="64">#REF!</definedName>
    <definedName name="___________________________________________PG3" localSheetId="67">#REF!</definedName>
    <definedName name="___________________________________________PG3" localSheetId="65">#REF!</definedName>
    <definedName name="___________________________________________PG3" localSheetId="68">#REF!</definedName>
    <definedName name="___________________________________________PG3" localSheetId="71">#REF!</definedName>
    <definedName name="___________________________________________PG3" localSheetId="44">#REF!</definedName>
    <definedName name="___________________________________________PG3" localSheetId="45">#REF!</definedName>
    <definedName name="___________________________________________PG3" localSheetId="17">#REF!</definedName>
    <definedName name="___________________________________________PG3" localSheetId="27">#REF!</definedName>
    <definedName name="___________________________________________PG3" localSheetId="72">#REF!</definedName>
    <definedName name="___________________________________________PG3" localSheetId="28">#REF!</definedName>
    <definedName name="___________________________________________PG3" localSheetId="29">#REF!</definedName>
    <definedName name="___________________________________________PG3" localSheetId="66">#REF!</definedName>
    <definedName name="___________________________________________PG3">#REF!</definedName>
    <definedName name="__________________________________________PG2" localSheetId="70">#REF!</definedName>
    <definedName name="__________________________________________PG2" localSheetId="52">#REF!</definedName>
    <definedName name="__________________________________________PG2" localSheetId="58">#REF!</definedName>
    <definedName name="__________________________________________PG2" localSheetId="57">#REF!</definedName>
    <definedName name="__________________________________________PG2" localSheetId="64">#REF!</definedName>
    <definedName name="__________________________________________PG2" localSheetId="67">#REF!</definedName>
    <definedName name="__________________________________________PG2" localSheetId="65">#REF!</definedName>
    <definedName name="__________________________________________PG2" localSheetId="68">#REF!</definedName>
    <definedName name="__________________________________________PG2" localSheetId="71">#REF!</definedName>
    <definedName name="__________________________________________PG2" localSheetId="44">#REF!</definedName>
    <definedName name="__________________________________________PG2" localSheetId="45">#REF!</definedName>
    <definedName name="__________________________________________PG2" localSheetId="17">#REF!</definedName>
    <definedName name="__________________________________________PG2" localSheetId="27">#REF!</definedName>
    <definedName name="__________________________________________PG2" localSheetId="72">#REF!</definedName>
    <definedName name="__________________________________________PG2" localSheetId="28">#REF!</definedName>
    <definedName name="__________________________________________PG2" localSheetId="29">#REF!</definedName>
    <definedName name="__________________________________________PG2" localSheetId="66">#REF!</definedName>
    <definedName name="__________________________________________PG2">#REF!</definedName>
    <definedName name="__________________________________________PG3" localSheetId="70">#REF!</definedName>
    <definedName name="__________________________________________PG3" localSheetId="52">#REF!</definedName>
    <definedName name="__________________________________________PG3" localSheetId="58">#REF!</definedName>
    <definedName name="__________________________________________PG3" localSheetId="57">#REF!</definedName>
    <definedName name="__________________________________________PG3" localSheetId="64">#REF!</definedName>
    <definedName name="__________________________________________PG3" localSheetId="67">#REF!</definedName>
    <definedName name="__________________________________________PG3" localSheetId="65">#REF!</definedName>
    <definedName name="__________________________________________PG3" localSheetId="68">#REF!</definedName>
    <definedName name="__________________________________________PG3" localSheetId="71">#REF!</definedName>
    <definedName name="__________________________________________PG3" localSheetId="44">#REF!</definedName>
    <definedName name="__________________________________________PG3" localSheetId="45">#REF!</definedName>
    <definedName name="__________________________________________PG3" localSheetId="27">#REF!</definedName>
    <definedName name="__________________________________________PG3" localSheetId="28">#REF!</definedName>
    <definedName name="__________________________________________PG3" localSheetId="29">#REF!</definedName>
    <definedName name="__________________________________________PG3" localSheetId="66">#REF!</definedName>
    <definedName name="__________________________________________PG3">#REF!</definedName>
    <definedName name="_________________________________________PG2" localSheetId="70">#REF!</definedName>
    <definedName name="_________________________________________PG2" localSheetId="52">#REF!</definedName>
    <definedName name="_________________________________________PG2" localSheetId="58">#REF!</definedName>
    <definedName name="_________________________________________PG2" localSheetId="57">#REF!</definedName>
    <definedName name="_________________________________________PG2" localSheetId="64">#REF!</definedName>
    <definedName name="_________________________________________PG2" localSheetId="67">#REF!</definedName>
    <definedName name="_________________________________________PG2" localSheetId="65">#REF!</definedName>
    <definedName name="_________________________________________PG2" localSheetId="68">#REF!</definedName>
    <definedName name="_________________________________________PG2" localSheetId="71">#REF!</definedName>
    <definedName name="_________________________________________PG2" localSheetId="44">#REF!</definedName>
    <definedName name="_________________________________________PG2" localSheetId="45">#REF!</definedName>
    <definedName name="_________________________________________PG2" localSheetId="27">#REF!</definedName>
    <definedName name="_________________________________________PG2" localSheetId="28">#REF!</definedName>
    <definedName name="_________________________________________PG2" localSheetId="29">#REF!</definedName>
    <definedName name="_________________________________________PG2" localSheetId="66">#REF!</definedName>
    <definedName name="_________________________________________PG2">#REF!</definedName>
    <definedName name="_________________________________________PG3" localSheetId="70">#REF!</definedName>
    <definedName name="_________________________________________PG3" localSheetId="52">#REF!</definedName>
    <definedName name="_________________________________________PG3" localSheetId="58">#REF!</definedName>
    <definedName name="_________________________________________PG3" localSheetId="57">#REF!</definedName>
    <definedName name="_________________________________________PG3" localSheetId="64">#REF!</definedName>
    <definedName name="_________________________________________PG3" localSheetId="67">#REF!</definedName>
    <definedName name="_________________________________________PG3" localSheetId="65">#REF!</definedName>
    <definedName name="_________________________________________PG3" localSheetId="68">#REF!</definedName>
    <definedName name="_________________________________________PG3" localSheetId="71">#REF!</definedName>
    <definedName name="_________________________________________PG3" localSheetId="44">#REF!</definedName>
    <definedName name="_________________________________________PG3" localSheetId="45">#REF!</definedName>
    <definedName name="_________________________________________PG3" localSheetId="27">#REF!</definedName>
    <definedName name="_________________________________________PG3" localSheetId="28">#REF!</definedName>
    <definedName name="_________________________________________PG3" localSheetId="29">#REF!</definedName>
    <definedName name="_________________________________________PG3" localSheetId="66">#REF!</definedName>
    <definedName name="_________________________________________PG3">#REF!</definedName>
    <definedName name="________________________________________PG2" localSheetId="70">#REF!</definedName>
    <definedName name="________________________________________PG2" localSheetId="52">#REF!</definedName>
    <definedName name="________________________________________PG2" localSheetId="58">#REF!</definedName>
    <definedName name="________________________________________PG2" localSheetId="57">#REF!</definedName>
    <definedName name="________________________________________PG2" localSheetId="64">#REF!</definedName>
    <definedName name="________________________________________PG2" localSheetId="67">#REF!</definedName>
    <definedName name="________________________________________PG2" localSheetId="65">#REF!</definedName>
    <definedName name="________________________________________PG2" localSheetId="68">#REF!</definedName>
    <definedName name="________________________________________PG2" localSheetId="71">#REF!</definedName>
    <definedName name="________________________________________PG2" localSheetId="44">#REF!</definedName>
    <definedName name="________________________________________PG2" localSheetId="45">#REF!</definedName>
    <definedName name="________________________________________PG2" localSheetId="27">#REF!</definedName>
    <definedName name="________________________________________PG2" localSheetId="28">#REF!</definedName>
    <definedName name="________________________________________PG2" localSheetId="29">#REF!</definedName>
    <definedName name="________________________________________PG2" localSheetId="66">#REF!</definedName>
    <definedName name="________________________________________PG2">#REF!</definedName>
    <definedName name="________________________________________PG3" localSheetId="70">#REF!</definedName>
    <definedName name="________________________________________PG3" localSheetId="52">#REF!</definedName>
    <definedName name="________________________________________PG3" localSheetId="58">#REF!</definedName>
    <definedName name="________________________________________PG3" localSheetId="57">#REF!</definedName>
    <definedName name="________________________________________PG3" localSheetId="64">#REF!</definedName>
    <definedName name="________________________________________PG3" localSheetId="67">#REF!</definedName>
    <definedName name="________________________________________PG3" localSheetId="65">#REF!</definedName>
    <definedName name="________________________________________PG3" localSheetId="68">#REF!</definedName>
    <definedName name="________________________________________PG3" localSheetId="71">#REF!</definedName>
    <definedName name="________________________________________PG3" localSheetId="44">#REF!</definedName>
    <definedName name="________________________________________PG3" localSheetId="45">#REF!</definedName>
    <definedName name="________________________________________PG3" localSheetId="27">#REF!</definedName>
    <definedName name="________________________________________PG3" localSheetId="28">#REF!</definedName>
    <definedName name="________________________________________PG3" localSheetId="29">#REF!</definedName>
    <definedName name="________________________________________PG3" localSheetId="66">#REF!</definedName>
    <definedName name="________________________________________PG3">#REF!</definedName>
    <definedName name="_______________________________________PG1">'[4]Financial Estimates'!$A$7:$B$108</definedName>
    <definedName name="_______________________________________PG2" localSheetId="70">#REF!</definedName>
    <definedName name="_______________________________________PG2" localSheetId="52">#REF!</definedName>
    <definedName name="_______________________________________PG2" localSheetId="58">#REF!</definedName>
    <definedName name="_______________________________________PG2" localSheetId="56">#REF!</definedName>
    <definedName name="_______________________________________PG2" localSheetId="57">#REF!</definedName>
    <definedName name="_______________________________________PG2" localSheetId="64">#REF!</definedName>
    <definedName name="_______________________________________PG2" localSheetId="67">#REF!</definedName>
    <definedName name="_______________________________________PG2" localSheetId="65">#REF!</definedName>
    <definedName name="_______________________________________PG2" localSheetId="68">#REF!</definedName>
    <definedName name="_______________________________________PG2" localSheetId="71">#REF!</definedName>
    <definedName name="_______________________________________PG2" localSheetId="44">#REF!</definedName>
    <definedName name="_______________________________________PG2" localSheetId="45">#REF!</definedName>
    <definedName name="_______________________________________PG2" localSheetId="17">#REF!</definedName>
    <definedName name="_______________________________________PG2" localSheetId="27">#REF!</definedName>
    <definedName name="_______________________________________PG2" localSheetId="72">#REF!</definedName>
    <definedName name="_______________________________________PG2" localSheetId="28">#REF!</definedName>
    <definedName name="_______________________________________PG2" localSheetId="29">#REF!</definedName>
    <definedName name="_______________________________________PG2" localSheetId="66">#REF!</definedName>
    <definedName name="_______________________________________PG2">#REF!</definedName>
    <definedName name="_______________________________________PG3" localSheetId="70">#REF!</definedName>
    <definedName name="_______________________________________PG3" localSheetId="52">#REF!</definedName>
    <definedName name="_______________________________________PG3" localSheetId="58">#REF!</definedName>
    <definedName name="_______________________________________PG3" localSheetId="57">#REF!</definedName>
    <definedName name="_______________________________________PG3" localSheetId="64">#REF!</definedName>
    <definedName name="_______________________________________PG3" localSheetId="67">#REF!</definedName>
    <definedName name="_______________________________________PG3" localSheetId="65">#REF!</definedName>
    <definedName name="_______________________________________PG3" localSheetId="68">#REF!</definedName>
    <definedName name="_______________________________________PG3" localSheetId="71">#REF!</definedName>
    <definedName name="_______________________________________PG3" localSheetId="44">#REF!</definedName>
    <definedName name="_______________________________________PG3" localSheetId="45">#REF!</definedName>
    <definedName name="_______________________________________PG3" localSheetId="17">#REF!</definedName>
    <definedName name="_______________________________________PG3" localSheetId="27">#REF!</definedName>
    <definedName name="_______________________________________PG3" localSheetId="72">#REF!</definedName>
    <definedName name="_______________________________________PG3" localSheetId="28">#REF!</definedName>
    <definedName name="_______________________________________PG3" localSheetId="29">#REF!</definedName>
    <definedName name="_______________________________________PG3" localSheetId="66">#REF!</definedName>
    <definedName name="_______________________________________PG3">#REF!</definedName>
    <definedName name="_______________________________________PG5">'[4]Financial Estimates'!$A$271:$D$342</definedName>
    <definedName name="______________________________________PG1">'[5]Financial Estimates'!$A$7:$B$108</definedName>
    <definedName name="______________________________________PG2" localSheetId="70">#REF!</definedName>
    <definedName name="______________________________________PG2" localSheetId="52">#REF!</definedName>
    <definedName name="______________________________________PG2" localSheetId="58">#REF!</definedName>
    <definedName name="______________________________________PG2" localSheetId="56">#REF!</definedName>
    <definedName name="______________________________________PG2" localSheetId="57">#REF!</definedName>
    <definedName name="______________________________________PG2" localSheetId="64">#REF!</definedName>
    <definedName name="______________________________________PG2" localSheetId="67">#REF!</definedName>
    <definedName name="______________________________________PG2" localSheetId="65">#REF!</definedName>
    <definedName name="______________________________________PG2" localSheetId="68">#REF!</definedName>
    <definedName name="______________________________________PG2" localSheetId="71">#REF!</definedName>
    <definedName name="______________________________________PG2" localSheetId="44">#REF!</definedName>
    <definedName name="______________________________________PG2" localSheetId="45">#REF!</definedName>
    <definedName name="______________________________________PG2" localSheetId="17">#REF!</definedName>
    <definedName name="______________________________________PG2" localSheetId="27">#REF!</definedName>
    <definedName name="______________________________________PG2" localSheetId="72">#REF!</definedName>
    <definedName name="______________________________________PG2" localSheetId="28">#REF!</definedName>
    <definedName name="______________________________________PG2" localSheetId="29">#REF!</definedName>
    <definedName name="______________________________________PG2" localSheetId="66">#REF!</definedName>
    <definedName name="______________________________________PG2">#REF!</definedName>
    <definedName name="______________________________________PG3" localSheetId="70">#REF!</definedName>
    <definedName name="______________________________________PG3" localSheetId="52">#REF!</definedName>
    <definedName name="______________________________________PG3" localSheetId="58">#REF!</definedName>
    <definedName name="______________________________________PG3" localSheetId="57">#REF!</definedName>
    <definedName name="______________________________________PG3" localSheetId="64">#REF!</definedName>
    <definedName name="______________________________________PG3" localSheetId="67">#REF!</definedName>
    <definedName name="______________________________________PG3" localSheetId="65">#REF!</definedName>
    <definedName name="______________________________________PG3" localSheetId="68">#REF!</definedName>
    <definedName name="______________________________________PG3" localSheetId="71">#REF!</definedName>
    <definedName name="______________________________________PG3" localSheetId="44">#REF!</definedName>
    <definedName name="______________________________________PG3" localSheetId="45">#REF!</definedName>
    <definedName name="______________________________________PG3" localSheetId="17">#REF!</definedName>
    <definedName name="______________________________________PG3" localSheetId="27">#REF!</definedName>
    <definedName name="______________________________________PG3" localSheetId="72">#REF!</definedName>
    <definedName name="______________________________________PG3" localSheetId="28">#REF!</definedName>
    <definedName name="______________________________________PG3" localSheetId="29">#REF!</definedName>
    <definedName name="______________________________________PG3" localSheetId="66">#REF!</definedName>
    <definedName name="______________________________________PG3">#REF!</definedName>
    <definedName name="______________________________________PG5">'[5]Financial Estimates'!$A$271:$D$342</definedName>
    <definedName name="______________________________________zz1" localSheetId="70">#REF!</definedName>
    <definedName name="______________________________________zz1" localSheetId="52">#REF!</definedName>
    <definedName name="______________________________________zz1" localSheetId="58">#REF!</definedName>
    <definedName name="______________________________________zz1" localSheetId="56">#REF!</definedName>
    <definedName name="______________________________________zz1" localSheetId="57">#REF!</definedName>
    <definedName name="______________________________________zz1" localSheetId="64">#REF!</definedName>
    <definedName name="______________________________________zz1" localSheetId="67">#REF!</definedName>
    <definedName name="______________________________________zz1" localSheetId="65">#REF!</definedName>
    <definedName name="______________________________________zz1" localSheetId="68">#REF!</definedName>
    <definedName name="______________________________________zz1" localSheetId="71">#REF!</definedName>
    <definedName name="______________________________________zz1" localSheetId="44">#REF!</definedName>
    <definedName name="______________________________________zz1" localSheetId="45">#REF!</definedName>
    <definedName name="______________________________________zz1" localSheetId="17">#REF!</definedName>
    <definedName name="______________________________________zz1" localSheetId="27">#REF!</definedName>
    <definedName name="______________________________________zz1" localSheetId="72">#REF!</definedName>
    <definedName name="______________________________________zz1" localSheetId="28">#REF!</definedName>
    <definedName name="______________________________________zz1" localSheetId="29">#REF!</definedName>
    <definedName name="______________________________________zz1" localSheetId="66">#REF!</definedName>
    <definedName name="______________________________________zz1">#REF!</definedName>
    <definedName name="_____________________________________PG1">'[5]Financial Estimates'!$A$7:$B$108</definedName>
    <definedName name="_____________________________________PG2" localSheetId="70">#REF!</definedName>
    <definedName name="_____________________________________PG2" localSheetId="52">#REF!</definedName>
    <definedName name="_____________________________________PG2" localSheetId="58">#REF!</definedName>
    <definedName name="_____________________________________PG2" localSheetId="56">#REF!</definedName>
    <definedName name="_____________________________________PG2" localSheetId="57">#REF!</definedName>
    <definedName name="_____________________________________PG2" localSheetId="64">#REF!</definedName>
    <definedName name="_____________________________________PG2" localSheetId="67">#REF!</definedName>
    <definedName name="_____________________________________PG2" localSheetId="65">#REF!</definedName>
    <definedName name="_____________________________________PG2" localSheetId="68">#REF!</definedName>
    <definedName name="_____________________________________PG2" localSheetId="71">#REF!</definedName>
    <definedName name="_____________________________________PG2" localSheetId="44">#REF!</definedName>
    <definedName name="_____________________________________PG2" localSheetId="45">#REF!</definedName>
    <definedName name="_____________________________________PG2" localSheetId="17">#REF!</definedName>
    <definedName name="_____________________________________PG2" localSheetId="27">#REF!</definedName>
    <definedName name="_____________________________________PG2" localSheetId="72">#REF!</definedName>
    <definedName name="_____________________________________PG2" localSheetId="28">#REF!</definedName>
    <definedName name="_____________________________________PG2" localSheetId="29">#REF!</definedName>
    <definedName name="_____________________________________PG2" localSheetId="66">#REF!</definedName>
    <definedName name="_____________________________________PG2">#REF!</definedName>
    <definedName name="_____________________________________PG3" localSheetId="70">#REF!</definedName>
    <definedName name="_____________________________________PG3" localSheetId="52">#REF!</definedName>
    <definedName name="_____________________________________PG3" localSheetId="58">#REF!</definedName>
    <definedName name="_____________________________________PG3" localSheetId="57">#REF!</definedName>
    <definedName name="_____________________________________PG3" localSheetId="64">#REF!</definedName>
    <definedName name="_____________________________________PG3" localSheetId="67">#REF!</definedName>
    <definedName name="_____________________________________PG3" localSheetId="65">#REF!</definedName>
    <definedName name="_____________________________________PG3" localSheetId="68">#REF!</definedName>
    <definedName name="_____________________________________PG3" localSheetId="71">#REF!</definedName>
    <definedName name="_____________________________________PG3" localSheetId="44">#REF!</definedName>
    <definedName name="_____________________________________PG3" localSheetId="45">#REF!</definedName>
    <definedName name="_____________________________________PG3" localSheetId="17">#REF!</definedName>
    <definedName name="_____________________________________PG3" localSheetId="27">#REF!</definedName>
    <definedName name="_____________________________________PG3" localSheetId="72">#REF!</definedName>
    <definedName name="_____________________________________PG3" localSheetId="28">#REF!</definedName>
    <definedName name="_____________________________________PG3" localSheetId="29">#REF!</definedName>
    <definedName name="_____________________________________PG3" localSheetId="66">#REF!</definedName>
    <definedName name="_____________________________________PG3">#REF!</definedName>
    <definedName name="_____________________________________PG5">'[5]Financial Estimates'!$A$271:$D$342</definedName>
    <definedName name="_____________________________________zz1" localSheetId="70">#REF!</definedName>
    <definedName name="_____________________________________zz1" localSheetId="52">#REF!</definedName>
    <definedName name="_____________________________________zz1" localSheetId="58">#REF!</definedName>
    <definedName name="_____________________________________zz1" localSheetId="56">#REF!</definedName>
    <definedName name="_____________________________________zz1" localSheetId="57">#REF!</definedName>
    <definedName name="_____________________________________zz1" localSheetId="64">#REF!</definedName>
    <definedName name="_____________________________________zz1" localSheetId="67">#REF!</definedName>
    <definedName name="_____________________________________zz1" localSheetId="65">#REF!</definedName>
    <definedName name="_____________________________________zz1" localSheetId="68">#REF!</definedName>
    <definedName name="_____________________________________zz1" localSheetId="71">#REF!</definedName>
    <definedName name="_____________________________________zz1" localSheetId="44">#REF!</definedName>
    <definedName name="_____________________________________zz1" localSheetId="45">#REF!</definedName>
    <definedName name="_____________________________________zz1" localSheetId="17">#REF!</definedName>
    <definedName name="_____________________________________zz1" localSheetId="27">#REF!</definedName>
    <definedName name="_____________________________________zz1" localSheetId="72">#REF!</definedName>
    <definedName name="_____________________________________zz1" localSheetId="28">#REF!</definedName>
    <definedName name="_____________________________________zz1" localSheetId="29">#REF!</definedName>
    <definedName name="_____________________________________zz1" localSheetId="66">#REF!</definedName>
    <definedName name="_____________________________________zz1">#REF!</definedName>
    <definedName name="____________________________________PG1">'[5]Financial Estimates'!$A$7:$B$108</definedName>
    <definedName name="____________________________________PG2" localSheetId="70">#REF!</definedName>
    <definedName name="____________________________________PG2" localSheetId="52">#REF!</definedName>
    <definedName name="____________________________________PG2" localSheetId="58">#REF!</definedName>
    <definedName name="____________________________________PG2" localSheetId="56">#REF!</definedName>
    <definedName name="____________________________________PG2" localSheetId="57">#REF!</definedName>
    <definedName name="____________________________________PG2" localSheetId="64">#REF!</definedName>
    <definedName name="____________________________________PG2" localSheetId="67">#REF!</definedName>
    <definedName name="____________________________________PG2" localSheetId="65">#REF!</definedName>
    <definedName name="____________________________________PG2" localSheetId="68">#REF!</definedName>
    <definedName name="____________________________________PG2" localSheetId="71">#REF!</definedName>
    <definedName name="____________________________________PG2" localSheetId="44">#REF!</definedName>
    <definedName name="____________________________________PG2" localSheetId="45">#REF!</definedName>
    <definedName name="____________________________________PG2" localSheetId="17">#REF!</definedName>
    <definedName name="____________________________________PG2" localSheetId="27">#REF!</definedName>
    <definedName name="____________________________________PG2" localSheetId="72">#REF!</definedName>
    <definedName name="____________________________________PG2" localSheetId="28">#REF!</definedName>
    <definedName name="____________________________________PG2" localSheetId="29">#REF!</definedName>
    <definedName name="____________________________________PG2" localSheetId="66">#REF!</definedName>
    <definedName name="____________________________________PG2">#REF!</definedName>
    <definedName name="____________________________________PG3" localSheetId="70">#REF!</definedName>
    <definedName name="____________________________________PG3" localSheetId="52">#REF!</definedName>
    <definedName name="____________________________________PG3" localSheetId="58">#REF!</definedName>
    <definedName name="____________________________________PG3" localSheetId="57">#REF!</definedName>
    <definedName name="____________________________________PG3" localSheetId="64">#REF!</definedName>
    <definedName name="____________________________________PG3" localSheetId="67">#REF!</definedName>
    <definedName name="____________________________________PG3" localSheetId="65">#REF!</definedName>
    <definedName name="____________________________________PG3" localSheetId="68">#REF!</definedName>
    <definedName name="____________________________________PG3" localSheetId="71">#REF!</definedName>
    <definedName name="____________________________________PG3" localSheetId="44">#REF!</definedName>
    <definedName name="____________________________________PG3" localSheetId="45">#REF!</definedName>
    <definedName name="____________________________________PG3" localSheetId="17">#REF!</definedName>
    <definedName name="____________________________________PG3" localSheetId="27">#REF!</definedName>
    <definedName name="____________________________________PG3" localSheetId="72">#REF!</definedName>
    <definedName name="____________________________________PG3" localSheetId="28">#REF!</definedName>
    <definedName name="____________________________________PG3" localSheetId="29">#REF!</definedName>
    <definedName name="____________________________________PG3" localSheetId="66">#REF!</definedName>
    <definedName name="____________________________________PG3">#REF!</definedName>
    <definedName name="____________________________________PG5">'[5]Financial Estimates'!$A$271:$D$342</definedName>
    <definedName name="____________________________________za1" localSheetId="70">#REF!</definedName>
    <definedName name="____________________________________za1" localSheetId="52">#REF!</definedName>
    <definedName name="____________________________________za1" localSheetId="58">#REF!</definedName>
    <definedName name="____________________________________za1" localSheetId="56">#REF!</definedName>
    <definedName name="____________________________________za1" localSheetId="57">#REF!</definedName>
    <definedName name="____________________________________za1" localSheetId="64">#REF!</definedName>
    <definedName name="____________________________________za1" localSheetId="67">#REF!</definedName>
    <definedName name="____________________________________za1" localSheetId="65">#REF!</definedName>
    <definedName name="____________________________________za1" localSheetId="68">#REF!</definedName>
    <definedName name="____________________________________za1" localSheetId="71">#REF!</definedName>
    <definedName name="____________________________________za1" localSheetId="44">#REF!</definedName>
    <definedName name="____________________________________za1" localSheetId="45">#REF!</definedName>
    <definedName name="____________________________________za1" localSheetId="17">#REF!</definedName>
    <definedName name="____________________________________za1" localSheetId="27">#REF!</definedName>
    <definedName name="____________________________________za1" localSheetId="72">#REF!</definedName>
    <definedName name="____________________________________za1" localSheetId="28">#REF!</definedName>
    <definedName name="____________________________________za1" localSheetId="29">#REF!</definedName>
    <definedName name="____________________________________za1" localSheetId="66">#REF!</definedName>
    <definedName name="____________________________________za1">#REF!</definedName>
    <definedName name="____________________________________zz1" localSheetId="70">#REF!</definedName>
    <definedName name="____________________________________zz1" localSheetId="52">#REF!</definedName>
    <definedName name="____________________________________zz1" localSheetId="58">#REF!</definedName>
    <definedName name="____________________________________zz1" localSheetId="57">#REF!</definedName>
    <definedName name="____________________________________zz1" localSheetId="64">#REF!</definedName>
    <definedName name="____________________________________zz1" localSheetId="67">#REF!</definedName>
    <definedName name="____________________________________zz1" localSheetId="65">#REF!</definedName>
    <definedName name="____________________________________zz1" localSheetId="68">#REF!</definedName>
    <definedName name="____________________________________zz1" localSheetId="71">#REF!</definedName>
    <definedName name="____________________________________zz1" localSheetId="44">#REF!</definedName>
    <definedName name="____________________________________zz1" localSheetId="45">#REF!</definedName>
    <definedName name="____________________________________zz1" localSheetId="17">#REF!</definedName>
    <definedName name="____________________________________zz1" localSheetId="27">#REF!</definedName>
    <definedName name="____________________________________zz1" localSheetId="72">#REF!</definedName>
    <definedName name="____________________________________zz1" localSheetId="28">#REF!</definedName>
    <definedName name="____________________________________zz1" localSheetId="29">#REF!</definedName>
    <definedName name="____________________________________zz1" localSheetId="66">#REF!</definedName>
    <definedName name="____________________________________zz1">#REF!</definedName>
    <definedName name="___________________________________PG1">'[4]Financial Estimates'!$A$7:$B$108</definedName>
    <definedName name="___________________________________PG2" localSheetId="70">#REF!</definedName>
    <definedName name="___________________________________PG2" localSheetId="52">#REF!</definedName>
    <definedName name="___________________________________PG2" localSheetId="58">#REF!</definedName>
    <definedName name="___________________________________PG2" localSheetId="56">#REF!</definedName>
    <definedName name="___________________________________PG2" localSheetId="57">#REF!</definedName>
    <definedName name="___________________________________PG2" localSheetId="64">#REF!</definedName>
    <definedName name="___________________________________PG2" localSheetId="67">#REF!</definedName>
    <definedName name="___________________________________PG2" localSheetId="65">#REF!</definedName>
    <definedName name="___________________________________PG2" localSheetId="68">#REF!</definedName>
    <definedName name="___________________________________PG2" localSheetId="71">#REF!</definedName>
    <definedName name="___________________________________PG2" localSheetId="44">#REF!</definedName>
    <definedName name="___________________________________PG2" localSheetId="45">#REF!</definedName>
    <definedName name="___________________________________PG2" localSheetId="17">#REF!</definedName>
    <definedName name="___________________________________PG2" localSheetId="27">#REF!</definedName>
    <definedName name="___________________________________PG2" localSheetId="72">#REF!</definedName>
    <definedName name="___________________________________PG2" localSheetId="28">#REF!</definedName>
    <definedName name="___________________________________PG2" localSheetId="29">#REF!</definedName>
    <definedName name="___________________________________PG2" localSheetId="66">#REF!</definedName>
    <definedName name="___________________________________PG2">#REF!</definedName>
    <definedName name="___________________________________PG3" localSheetId="70">#REF!</definedName>
    <definedName name="___________________________________PG3" localSheetId="52">#REF!</definedName>
    <definedName name="___________________________________PG3" localSheetId="58">#REF!</definedName>
    <definedName name="___________________________________PG3" localSheetId="57">#REF!</definedName>
    <definedName name="___________________________________PG3" localSheetId="64">#REF!</definedName>
    <definedName name="___________________________________PG3" localSheetId="67">#REF!</definedName>
    <definedName name="___________________________________PG3" localSheetId="65">#REF!</definedName>
    <definedName name="___________________________________PG3" localSheetId="68">#REF!</definedName>
    <definedName name="___________________________________PG3" localSheetId="71">#REF!</definedName>
    <definedName name="___________________________________PG3" localSheetId="44">#REF!</definedName>
    <definedName name="___________________________________PG3" localSheetId="45">#REF!</definedName>
    <definedName name="___________________________________PG3" localSheetId="17">#REF!</definedName>
    <definedName name="___________________________________PG3" localSheetId="27">#REF!</definedName>
    <definedName name="___________________________________PG3" localSheetId="72">#REF!</definedName>
    <definedName name="___________________________________PG3" localSheetId="28">#REF!</definedName>
    <definedName name="___________________________________PG3" localSheetId="29">#REF!</definedName>
    <definedName name="___________________________________PG3" localSheetId="66">#REF!</definedName>
    <definedName name="___________________________________PG3">#REF!</definedName>
    <definedName name="___________________________________PG5">'[4]Financial Estimates'!$A$271:$D$342</definedName>
    <definedName name="___________________________________pg6">'[6]Financial Estimates'!$A$271:$D$342</definedName>
    <definedName name="___________________________________pg7" localSheetId="70">'[6]Financial Estimates'!#REF!</definedName>
    <definedName name="___________________________________pg7" localSheetId="52">'[6]Financial Estimates'!#REF!</definedName>
    <definedName name="___________________________________pg7" localSheetId="58">'[6]Financial Estimates'!#REF!</definedName>
    <definedName name="___________________________________pg7" localSheetId="56">'[6]Financial Estimates'!#REF!</definedName>
    <definedName name="___________________________________pg7" localSheetId="57">'[6]Financial Estimates'!#REF!</definedName>
    <definedName name="___________________________________pg7" localSheetId="64">'[6]Financial Estimates'!#REF!</definedName>
    <definedName name="___________________________________pg7" localSheetId="67">'[6]Financial Estimates'!#REF!</definedName>
    <definedName name="___________________________________pg7" localSheetId="65">'[6]Financial Estimates'!#REF!</definedName>
    <definedName name="___________________________________pg7" localSheetId="68">'[6]Financial Estimates'!#REF!</definedName>
    <definedName name="___________________________________pg7" localSheetId="71">'[6]Financial Estimates'!#REF!</definedName>
    <definedName name="___________________________________pg7" localSheetId="44">'[6]Financial Estimates'!#REF!</definedName>
    <definedName name="___________________________________pg7" localSheetId="45">'[6]Financial Estimates'!#REF!</definedName>
    <definedName name="___________________________________pg7" localSheetId="17">'[6]Financial Estimates'!#REF!</definedName>
    <definedName name="___________________________________pg7" localSheetId="27">'[6]Financial Estimates'!#REF!</definedName>
    <definedName name="___________________________________pg7" localSheetId="72">'[6]Financial Estimates'!#REF!</definedName>
    <definedName name="___________________________________pg7" localSheetId="28">'[6]Financial Estimates'!#REF!</definedName>
    <definedName name="___________________________________pg7" localSheetId="29">'[6]Financial Estimates'!#REF!</definedName>
    <definedName name="___________________________________pg7" localSheetId="66">'[6]Financial Estimates'!#REF!</definedName>
    <definedName name="___________________________________pg7">'[6]Financial Estimates'!#REF!</definedName>
    <definedName name="___________________________________za1" localSheetId="70">#REF!</definedName>
    <definedName name="___________________________________za1" localSheetId="52">#REF!</definedName>
    <definedName name="___________________________________za1" localSheetId="58">#REF!</definedName>
    <definedName name="___________________________________za1" localSheetId="56">#REF!</definedName>
    <definedName name="___________________________________za1" localSheetId="57">#REF!</definedName>
    <definedName name="___________________________________za1" localSheetId="64">#REF!</definedName>
    <definedName name="___________________________________za1" localSheetId="67">#REF!</definedName>
    <definedName name="___________________________________za1" localSheetId="65">#REF!</definedName>
    <definedName name="___________________________________za1" localSheetId="68">#REF!</definedName>
    <definedName name="___________________________________za1" localSheetId="71">#REF!</definedName>
    <definedName name="___________________________________za1" localSheetId="44">#REF!</definedName>
    <definedName name="___________________________________za1" localSheetId="45">#REF!</definedName>
    <definedName name="___________________________________za1" localSheetId="17">#REF!</definedName>
    <definedName name="___________________________________za1" localSheetId="27">#REF!</definedName>
    <definedName name="___________________________________za1" localSheetId="72">#REF!</definedName>
    <definedName name="___________________________________za1" localSheetId="28">#REF!</definedName>
    <definedName name="___________________________________za1" localSheetId="29">#REF!</definedName>
    <definedName name="___________________________________za1" localSheetId="66">#REF!</definedName>
    <definedName name="___________________________________za1">#REF!</definedName>
    <definedName name="___________________________________zz1" localSheetId="70">#REF!</definedName>
    <definedName name="___________________________________zz1" localSheetId="52">#REF!</definedName>
    <definedName name="___________________________________zz1" localSheetId="58">#REF!</definedName>
    <definedName name="___________________________________zz1" localSheetId="57">#REF!</definedName>
    <definedName name="___________________________________zz1" localSheetId="64">#REF!</definedName>
    <definedName name="___________________________________zz1" localSheetId="67">#REF!</definedName>
    <definedName name="___________________________________zz1" localSheetId="65">#REF!</definedName>
    <definedName name="___________________________________zz1" localSheetId="68">#REF!</definedName>
    <definedName name="___________________________________zz1" localSheetId="71">#REF!</definedName>
    <definedName name="___________________________________zz1" localSheetId="44">#REF!</definedName>
    <definedName name="___________________________________zz1" localSheetId="45">#REF!</definedName>
    <definedName name="___________________________________zz1" localSheetId="17">#REF!</definedName>
    <definedName name="___________________________________zz1" localSheetId="27">#REF!</definedName>
    <definedName name="___________________________________zz1" localSheetId="72">#REF!</definedName>
    <definedName name="___________________________________zz1" localSheetId="28">#REF!</definedName>
    <definedName name="___________________________________zz1" localSheetId="29">#REF!</definedName>
    <definedName name="___________________________________zz1" localSheetId="66">#REF!</definedName>
    <definedName name="___________________________________zz1">#REF!</definedName>
    <definedName name="__________________________________PG1">'[4]Financial Estimates'!$A$7:$B$108</definedName>
    <definedName name="__________________________________PG2" localSheetId="70">#REF!</definedName>
    <definedName name="__________________________________PG2" localSheetId="52">#REF!</definedName>
    <definedName name="__________________________________PG2" localSheetId="58">#REF!</definedName>
    <definedName name="__________________________________PG2" localSheetId="56">#REF!</definedName>
    <definedName name="__________________________________PG2" localSheetId="57">#REF!</definedName>
    <definedName name="__________________________________PG2" localSheetId="64">#REF!</definedName>
    <definedName name="__________________________________PG2" localSheetId="67">#REF!</definedName>
    <definedName name="__________________________________PG2" localSheetId="65">#REF!</definedName>
    <definedName name="__________________________________PG2" localSheetId="68">#REF!</definedName>
    <definedName name="__________________________________PG2" localSheetId="71">#REF!</definedName>
    <definedName name="__________________________________PG2" localSheetId="44">#REF!</definedName>
    <definedName name="__________________________________PG2" localSheetId="45">#REF!</definedName>
    <definedName name="__________________________________PG2" localSheetId="17">#REF!</definedName>
    <definedName name="__________________________________PG2" localSheetId="27">#REF!</definedName>
    <definedName name="__________________________________PG2" localSheetId="72">#REF!</definedName>
    <definedName name="__________________________________PG2" localSheetId="28">#REF!</definedName>
    <definedName name="__________________________________PG2" localSheetId="29">#REF!</definedName>
    <definedName name="__________________________________PG2" localSheetId="66">#REF!</definedName>
    <definedName name="__________________________________PG2">#REF!</definedName>
    <definedName name="__________________________________PG3" localSheetId="70">#REF!</definedName>
    <definedName name="__________________________________PG3" localSheetId="52">#REF!</definedName>
    <definedName name="__________________________________PG3" localSheetId="58">#REF!</definedName>
    <definedName name="__________________________________PG3" localSheetId="57">#REF!</definedName>
    <definedName name="__________________________________PG3" localSheetId="64">#REF!</definedName>
    <definedName name="__________________________________PG3" localSheetId="67">#REF!</definedName>
    <definedName name="__________________________________PG3" localSheetId="65">#REF!</definedName>
    <definedName name="__________________________________PG3" localSheetId="68">#REF!</definedName>
    <definedName name="__________________________________PG3" localSheetId="71">#REF!</definedName>
    <definedName name="__________________________________PG3" localSheetId="44">#REF!</definedName>
    <definedName name="__________________________________PG3" localSheetId="45">#REF!</definedName>
    <definedName name="__________________________________PG3" localSheetId="17">#REF!</definedName>
    <definedName name="__________________________________PG3" localSheetId="27">#REF!</definedName>
    <definedName name="__________________________________PG3" localSheetId="72">#REF!</definedName>
    <definedName name="__________________________________PG3" localSheetId="28">#REF!</definedName>
    <definedName name="__________________________________PG3" localSheetId="29">#REF!</definedName>
    <definedName name="__________________________________PG3" localSheetId="66">#REF!</definedName>
    <definedName name="__________________________________PG3">#REF!</definedName>
    <definedName name="__________________________________PG5">'[4]Financial Estimates'!$A$271:$D$342</definedName>
    <definedName name="__________________________________pg6">'[7]Financial Estimates'!$A$271:$D$342</definedName>
    <definedName name="__________________________________pg7" localSheetId="70">'[7]Financial Estimates'!#REF!</definedName>
    <definedName name="__________________________________pg7" localSheetId="52">'[7]Financial Estimates'!#REF!</definedName>
    <definedName name="__________________________________pg7" localSheetId="58">'[7]Financial Estimates'!#REF!</definedName>
    <definedName name="__________________________________pg7" localSheetId="56">'[7]Financial Estimates'!#REF!</definedName>
    <definedName name="__________________________________pg7" localSheetId="57">'[7]Financial Estimates'!#REF!</definedName>
    <definedName name="__________________________________pg7" localSheetId="64">'[7]Financial Estimates'!#REF!</definedName>
    <definedName name="__________________________________pg7" localSheetId="67">'[7]Financial Estimates'!#REF!</definedName>
    <definedName name="__________________________________pg7" localSheetId="65">'[7]Financial Estimates'!#REF!</definedName>
    <definedName name="__________________________________pg7" localSheetId="68">'[7]Financial Estimates'!#REF!</definedName>
    <definedName name="__________________________________pg7" localSheetId="71">'[7]Financial Estimates'!#REF!</definedName>
    <definedName name="__________________________________pg7" localSheetId="44">'[7]Financial Estimates'!#REF!</definedName>
    <definedName name="__________________________________pg7" localSheetId="45">'[7]Financial Estimates'!#REF!</definedName>
    <definedName name="__________________________________pg7" localSheetId="17">'[7]Financial Estimates'!#REF!</definedName>
    <definedName name="__________________________________pg7" localSheetId="27">'[7]Financial Estimates'!#REF!</definedName>
    <definedName name="__________________________________pg7" localSheetId="72">'[7]Financial Estimates'!#REF!</definedName>
    <definedName name="__________________________________pg7" localSheetId="28">'[7]Financial Estimates'!#REF!</definedName>
    <definedName name="__________________________________pg7" localSheetId="29">'[7]Financial Estimates'!#REF!</definedName>
    <definedName name="__________________________________pg7" localSheetId="66">'[7]Financial Estimates'!#REF!</definedName>
    <definedName name="__________________________________pg7">'[7]Financial Estimates'!#REF!</definedName>
    <definedName name="__________________________________za1" localSheetId="70">#REF!</definedName>
    <definedName name="__________________________________za1" localSheetId="52">#REF!</definedName>
    <definedName name="__________________________________za1" localSheetId="58">#REF!</definedName>
    <definedName name="__________________________________za1" localSheetId="56">#REF!</definedName>
    <definedName name="__________________________________za1" localSheetId="57">#REF!</definedName>
    <definedName name="__________________________________za1" localSheetId="64">#REF!</definedName>
    <definedName name="__________________________________za1" localSheetId="67">#REF!</definedName>
    <definedName name="__________________________________za1" localSheetId="65">#REF!</definedName>
    <definedName name="__________________________________za1" localSheetId="68">#REF!</definedName>
    <definedName name="__________________________________za1" localSheetId="71">#REF!</definedName>
    <definedName name="__________________________________za1" localSheetId="44">#REF!</definedName>
    <definedName name="__________________________________za1" localSheetId="45">#REF!</definedName>
    <definedName name="__________________________________za1" localSheetId="17">#REF!</definedName>
    <definedName name="__________________________________za1" localSheetId="27">#REF!</definedName>
    <definedName name="__________________________________za1" localSheetId="72">#REF!</definedName>
    <definedName name="__________________________________za1" localSheetId="28">#REF!</definedName>
    <definedName name="__________________________________za1" localSheetId="29">#REF!</definedName>
    <definedName name="__________________________________za1" localSheetId="66">#REF!</definedName>
    <definedName name="__________________________________za1">#REF!</definedName>
    <definedName name="__________________________________zz1" localSheetId="70">#REF!</definedName>
    <definedName name="__________________________________zz1" localSheetId="52">#REF!</definedName>
    <definedName name="__________________________________zz1" localSheetId="58">#REF!</definedName>
    <definedName name="__________________________________zz1" localSheetId="57">#REF!</definedName>
    <definedName name="__________________________________zz1" localSheetId="64">#REF!</definedName>
    <definedName name="__________________________________zz1" localSheetId="67">#REF!</definedName>
    <definedName name="__________________________________zz1" localSheetId="65">#REF!</definedName>
    <definedName name="__________________________________zz1" localSheetId="68">#REF!</definedName>
    <definedName name="__________________________________zz1" localSheetId="71">#REF!</definedName>
    <definedName name="__________________________________zz1" localSheetId="44">#REF!</definedName>
    <definedName name="__________________________________zz1" localSheetId="45">#REF!</definedName>
    <definedName name="__________________________________zz1" localSheetId="17">#REF!</definedName>
    <definedName name="__________________________________zz1" localSheetId="27">#REF!</definedName>
    <definedName name="__________________________________zz1" localSheetId="72">#REF!</definedName>
    <definedName name="__________________________________zz1" localSheetId="28">#REF!</definedName>
    <definedName name="__________________________________zz1" localSheetId="29">#REF!</definedName>
    <definedName name="__________________________________zz1" localSheetId="66">#REF!</definedName>
    <definedName name="__________________________________zz1">#REF!</definedName>
    <definedName name="_________________________________PG1">'[5]Financial Estimates'!$A$7:$B$108</definedName>
    <definedName name="_________________________________PG2" localSheetId="70">#REF!</definedName>
    <definedName name="_________________________________PG2" localSheetId="52">#REF!</definedName>
    <definedName name="_________________________________PG2" localSheetId="58">#REF!</definedName>
    <definedName name="_________________________________PG2" localSheetId="56">#REF!</definedName>
    <definedName name="_________________________________PG2" localSheetId="57">#REF!</definedName>
    <definedName name="_________________________________PG2" localSheetId="64">#REF!</definedName>
    <definedName name="_________________________________PG2" localSheetId="67">#REF!</definedName>
    <definedName name="_________________________________PG2" localSheetId="65">#REF!</definedName>
    <definedName name="_________________________________PG2" localSheetId="68">#REF!</definedName>
    <definedName name="_________________________________PG2" localSheetId="71">#REF!</definedName>
    <definedName name="_________________________________PG2" localSheetId="44">#REF!</definedName>
    <definedName name="_________________________________PG2" localSheetId="45">#REF!</definedName>
    <definedName name="_________________________________PG2" localSheetId="17">#REF!</definedName>
    <definedName name="_________________________________PG2" localSheetId="27">#REF!</definedName>
    <definedName name="_________________________________PG2" localSheetId="72">#REF!</definedName>
    <definedName name="_________________________________PG2" localSheetId="28">#REF!</definedName>
    <definedName name="_________________________________PG2" localSheetId="29">#REF!</definedName>
    <definedName name="_________________________________PG2" localSheetId="66">#REF!</definedName>
    <definedName name="_________________________________PG2">#REF!</definedName>
    <definedName name="_________________________________PG3" localSheetId="70">#REF!</definedName>
    <definedName name="_________________________________PG3" localSheetId="52">#REF!</definedName>
    <definedName name="_________________________________PG3" localSheetId="58">#REF!</definedName>
    <definedName name="_________________________________PG3" localSheetId="57">#REF!</definedName>
    <definedName name="_________________________________PG3" localSheetId="64">#REF!</definedName>
    <definedName name="_________________________________PG3" localSheetId="67">#REF!</definedName>
    <definedName name="_________________________________PG3" localSheetId="65">#REF!</definedName>
    <definedName name="_________________________________PG3" localSheetId="68">#REF!</definedName>
    <definedName name="_________________________________PG3" localSheetId="71">#REF!</definedName>
    <definedName name="_________________________________PG3" localSheetId="44">#REF!</definedName>
    <definedName name="_________________________________PG3" localSheetId="45">#REF!</definedName>
    <definedName name="_________________________________PG3" localSheetId="17">#REF!</definedName>
    <definedName name="_________________________________PG3" localSheetId="27">#REF!</definedName>
    <definedName name="_________________________________PG3" localSheetId="72">#REF!</definedName>
    <definedName name="_________________________________PG3" localSheetId="28">#REF!</definedName>
    <definedName name="_________________________________PG3" localSheetId="29">#REF!</definedName>
    <definedName name="_________________________________PG3" localSheetId="66">#REF!</definedName>
    <definedName name="_________________________________PG3">#REF!</definedName>
    <definedName name="_________________________________PG5">'[5]Financial Estimates'!$A$271:$D$342</definedName>
    <definedName name="_________________________________pg6">'[7]Financial Estimates'!$A$271:$D$342</definedName>
    <definedName name="_________________________________pg7" localSheetId="70">'[7]Financial Estimates'!#REF!</definedName>
    <definedName name="_________________________________pg7" localSheetId="52">'[7]Financial Estimates'!#REF!</definedName>
    <definedName name="_________________________________pg7" localSheetId="58">'[7]Financial Estimates'!#REF!</definedName>
    <definedName name="_________________________________pg7" localSheetId="56">'[7]Financial Estimates'!#REF!</definedName>
    <definedName name="_________________________________pg7" localSheetId="57">'[7]Financial Estimates'!#REF!</definedName>
    <definedName name="_________________________________pg7" localSheetId="64">'[7]Financial Estimates'!#REF!</definedName>
    <definedName name="_________________________________pg7" localSheetId="67">'[7]Financial Estimates'!#REF!</definedName>
    <definedName name="_________________________________pg7" localSheetId="65">'[7]Financial Estimates'!#REF!</definedName>
    <definedName name="_________________________________pg7" localSheetId="68">'[7]Financial Estimates'!#REF!</definedName>
    <definedName name="_________________________________pg7" localSheetId="71">'[7]Financial Estimates'!#REF!</definedName>
    <definedName name="_________________________________pg7" localSheetId="44">'[7]Financial Estimates'!#REF!</definedName>
    <definedName name="_________________________________pg7" localSheetId="45">'[7]Financial Estimates'!#REF!</definedName>
    <definedName name="_________________________________pg7" localSheetId="17">'[7]Financial Estimates'!#REF!</definedName>
    <definedName name="_________________________________pg7" localSheetId="27">'[7]Financial Estimates'!#REF!</definedName>
    <definedName name="_________________________________pg7" localSheetId="72">'[7]Financial Estimates'!#REF!</definedName>
    <definedName name="_________________________________pg7" localSheetId="28">'[7]Financial Estimates'!#REF!</definedName>
    <definedName name="_________________________________pg7" localSheetId="29">'[7]Financial Estimates'!#REF!</definedName>
    <definedName name="_________________________________pg7" localSheetId="66">'[7]Financial Estimates'!#REF!</definedName>
    <definedName name="_________________________________pg7">'[7]Financial Estimates'!#REF!</definedName>
    <definedName name="_________________________________za1" localSheetId="70">#REF!</definedName>
    <definedName name="_________________________________za1" localSheetId="52">#REF!</definedName>
    <definedName name="_________________________________za1" localSheetId="58">#REF!</definedName>
    <definedName name="_________________________________za1" localSheetId="56">#REF!</definedName>
    <definedName name="_________________________________za1" localSheetId="57">#REF!</definedName>
    <definedName name="_________________________________za1" localSheetId="64">#REF!</definedName>
    <definedName name="_________________________________za1" localSheetId="67">#REF!</definedName>
    <definedName name="_________________________________za1" localSheetId="65">#REF!</definedName>
    <definedName name="_________________________________za1" localSheetId="68">#REF!</definedName>
    <definedName name="_________________________________za1" localSheetId="71">#REF!</definedName>
    <definedName name="_________________________________za1" localSheetId="44">#REF!</definedName>
    <definedName name="_________________________________za1" localSheetId="45">#REF!</definedName>
    <definedName name="_________________________________za1" localSheetId="17">#REF!</definedName>
    <definedName name="_________________________________za1" localSheetId="27">#REF!</definedName>
    <definedName name="_________________________________za1" localSheetId="72">#REF!</definedName>
    <definedName name="_________________________________za1" localSheetId="28">#REF!</definedName>
    <definedName name="_________________________________za1" localSheetId="29">#REF!</definedName>
    <definedName name="_________________________________za1" localSheetId="66">#REF!</definedName>
    <definedName name="_________________________________za1">#REF!</definedName>
    <definedName name="_________________________________zz1" localSheetId="70">#REF!</definedName>
    <definedName name="_________________________________zz1" localSheetId="52">#REF!</definedName>
    <definedName name="_________________________________zz1" localSheetId="58">#REF!</definedName>
    <definedName name="_________________________________zz1" localSheetId="57">#REF!</definedName>
    <definedName name="_________________________________zz1" localSheetId="64">#REF!</definedName>
    <definedName name="_________________________________zz1" localSheetId="67">#REF!</definedName>
    <definedName name="_________________________________zz1" localSheetId="65">#REF!</definedName>
    <definedName name="_________________________________zz1" localSheetId="68">#REF!</definedName>
    <definedName name="_________________________________zz1" localSheetId="71">#REF!</definedName>
    <definedName name="_________________________________zz1" localSheetId="44">#REF!</definedName>
    <definedName name="_________________________________zz1" localSheetId="45">#REF!</definedName>
    <definedName name="_________________________________zz1" localSheetId="17">#REF!</definedName>
    <definedName name="_________________________________zz1" localSheetId="27">#REF!</definedName>
    <definedName name="_________________________________zz1" localSheetId="72">#REF!</definedName>
    <definedName name="_________________________________zz1" localSheetId="28">#REF!</definedName>
    <definedName name="_________________________________zz1" localSheetId="29">#REF!</definedName>
    <definedName name="_________________________________zz1" localSheetId="66">#REF!</definedName>
    <definedName name="_________________________________zz1">#REF!</definedName>
    <definedName name="________________________________pg7" localSheetId="70">'[7]Financial Estimates'!#REF!</definedName>
    <definedName name="________________________________pg7" localSheetId="52">'[7]Financial Estimates'!#REF!</definedName>
    <definedName name="________________________________pg7" localSheetId="58">'[7]Financial Estimates'!#REF!</definedName>
    <definedName name="________________________________pg7" localSheetId="57">'[7]Financial Estimates'!#REF!</definedName>
    <definedName name="________________________________pg7" localSheetId="64">'[7]Financial Estimates'!#REF!</definedName>
    <definedName name="________________________________pg7" localSheetId="67">'[7]Financial Estimates'!#REF!</definedName>
    <definedName name="________________________________pg7" localSheetId="65">'[7]Financial Estimates'!#REF!</definedName>
    <definedName name="________________________________pg7" localSheetId="68">'[7]Financial Estimates'!#REF!</definedName>
    <definedName name="________________________________pg7" localSheetId="71">'[7]Financial Estimates'!#REF!</definedName>
    <definedName name="________________________________pg7" localSheetId="44">'[7]Financial Estimates'!#REF!</definedName>
    <definedName name="________________________________pg7" localSheetId="45">'[7]Financial Estimates'!#REF!</definedName>
    <definedName name="________________________________pg7" localSheetId="17">'[7]Financial Estimates'!#REF!</definedName>
    <definedName name="________________________________pg7" localSheetId="27">'[7]Financial Estimates'!#REF!</definedName>
    <definedName name="________________________________pg7" localSheetId="72">'[7]Financial Estimates'!#REF!</definedName>
    <definedName name="________________________________pg7" localSheetId="28">'[7]Financial Estimates'!#REF!</definedName>
    <definedName name="________________________________pg7" localSheetId="29">'[7]Financial Estimates'!#REF!</definedName>
    <definedName name="________________________________pg7" localSheetId="66">'[7]Financial Estimates'!#REF!</definedName>
    <definedName name="________________________________pg7">'[7]Financial Estimates'!#REF!</definedName>
    <definedName name="________________________________za1" localSheetId="70">'[8]MIS - License Area'!#REF!</definedName>
    <definedName name="________________________________za1" localSheetId="52">'[8]MIS - License Area'!#REF!</definedName>
    <definedName name="________________________________za1" localSheetId="58">'[8]MIS - License Area'!#REF!</definedName>
    <definedName name="________________________________za1" localSheetId="57">'[8]MIS - License Area'!#REF!</definedName>
    <definedName name="________________________________za1" localSheetId="64">'[8]MIS - License Area'!#REF!</definedName>
    <definedName name="________________________________za1" localSheetId="67">'[8]MIS - License Area'!#REF!</definedName>
    <definedName name="________________________________za1" localSheetId="65">'[8]MIS - License Area'!#REF!</definedName>
    <definedName name="________________________________za1" localSheetId="68">'[8]MIS - License Area'!#REF!</definedName>
    <definedName name="________________________________za1" localSheetId="71">'[8]MIS - License Area'!#REF!</definedName>
    <definedName name="________________________________za1" localSheetId="44">'[8]MIS - License Area'!#REF!</definedName>
    <definedName name="________________________________za1" localSheetId="45">'[8]MIS - License Area'!#REF!</definedName>
    <definedName name="________________________________za1" localSheetId="17">'[8]MIS - License Area'!#REF!</definedName>
    <definedName name="________________________________za1" localSheetId="27">'[8]MIS - License Area'!#REF!</definedName>
    <definedName name="________________________________za1" localSheetId="72">'[8]MIS - License Area'!#REF!</definedName>
    <definedName name="________________________________za1" localSheetId="28">'[8]MIS - License Area'!#REF!</definedName>
    <definedName name="________________________________za1" localSheetId="29">'[8]MIS - License Area'!#REF!</definedName>
    <definedName name="________________________________za1" localSheetId="66">'[8]MIS - License Area'!#REF!</definedName>
    <definedName name="________________________________za1">'[8]MIS - License Area'!#REF!</definedName>
    <definedName name="________________________________zz1" localSheetId="70">'[8]MIS - License Area'!#REF!</definedName>
    <definedName name="________________________________zz1" localSheetId="52">'[8]MIS - License Area'!#REF!</definedName>
    <definedName name="________________________________zz1" localSheetId="58">'[8]MIS - License Area'!#REF!</definedName>
    <definedName name="________________________________zz1" localSheetId="57">'[8]MIS - License Area'!#REF!</definedName>
    <definedName name="________________________________zz1" localSheetId="64">'[8]MIS - License Area'!#REF!</definedName>
    <definedName name="________________________________zz1" localSheetId="67">'[8]MIS - License Area'!#REF!</definedName>
    <definedName name="________________________________zz1" localSheetId="65">'[8]MIS - License Area'!#REF!</definedName>
    <definedName name="________________________________zz1" localSheetId="68">'[8]MIS - License Area'!#REF!</definedName>
    <definedName name="________________________________zz1" localSheetId="71">'[8]MIS - License Area'!#REF!</definedName>
    <definedName name="________________________________zz1" localSheetId="44">'[8]MIS - License Area'!#REF!</definedName>
    <definedName name="________________________________zz1" localSheetId="45">'[8]MIS - License Area'!#REF!</definedName>
    <definedName name="________________________________zz1" localSheetId="17">'[8]MIS - License Area'!#REF!</definedName>
    <definedName name="________________________________zz1" localSheetId="27">'[8]MIS - License Area'!#REF!</definedName>
    <definedName name="________________________________zz1" localSheetId="72">'[8]MIS - License Area'!#REF!</definedName>
    <definedName name="________________________________zz1" localSheetId="28">'[8]MIS - License Area'!#REF!</definedName>
    <definedName name="________________________________zz1" localSheetId="29">'[8]MIS - License Area'!#REF!</definedName>
    <definedName name="________________________________zz1" localSheetId="66">'[8]MIS - License Area'!#REF!</definedName>
    <definedName name="________________________________zz1">'[8]MIS - License Area'!#REF!</definedName>
    <definedName name="_______________________________pg7" localSheetId="70">'[7]Financial Estimates'!#REF!</definedName>
    <definedName name="_______________________________pg7" localSheetId="52">'[7]Financial Estimates'!#REF!</definedName>
    <definedName name="_______________________________pg7" localSheetId="58">'[7]Financial Estimates'!#REF!</definedName>
    <definedName name="_______________________________pg7" localSheetId="57">'[7]Financial Estimates'!#REF!</definedName>
    <definedName name="_______________________________pg7" localSheetId="64">'[7]Financial Estimates'!#REF!</definedName>
    <definedName name="_______________________________pg7" localSheetId="67">'[7]Financial Estimates'!#REF!</definedName>
    <definedName name="_______________________________pg7" localSheetId="65">'[7]Financial Estimates'!#REF!</definedName>
    <definedName name="_______________________________pg7" localSheetId="68">'[7]Financial Estimates'!#REF!</definedName>
    <definedName name="_______________________________pg7" localSheetId="71">'[7]Financial Estimates'!#REF!</definedName>
    <definedName name="_______________________________pg7" localSheetId="44">'[7]Financial Estimates'!#REF!</definedName>
    <definedName name="_______________________________pg7" localSheetId="45">'[7]Financial Estimates'!#REF!</definedName>
    <definedName name="_______________________________pg7" localSheetId="17">'[7]Financial Estimates'!#REF!</definedName>
    <definedName name="_______________________________pg7" localSheetId="27">'[7]Financial Estimates'!#REF!</definedName>
    <definedName name="_______________________________pg7" localSheetId="72">'[7]Financial Estimates'!#REF!</definedName>
    <definedName name="_______________________________pg7" localSheetId="28">'[7]Financial Estimates'!#REF!</definedName>
    <definedName name="_______________________________pg7" localSheetId="29">'[7]Financial Estimates'!#REF!</definedName>
    <definedName name="_______________________________pg7" localSheetId="66">'[7]Financial Estimates'!#REF!</definedName>
    <definedName name="_______________________________pg7">'[7]Financial Estimates'!#REF!</definedName>
    <definedName name="_______________________________za1" localSheetId="70">#REF!</definedName>
    <definedName name="_______________________________za1" localSheetId="52">#REF!</definedName>
    <definedName name="_______________________________za1" localSheetId="58">#REF!</definedName>
    <definedName name="_______________________________za1" localSheetId="56">#REF!</definedName>
    <definedName name="_______________________________za1" localSheetId="57">#REF!</definedName>
    <definedName name="_______________________________za1" localSheetId="64">#REF!</definedName>
    <definedName name="_______________________________za1" localSheetId="67">#REF!</definedName>
    <definedName name="_______________________________za1" localSheetId="65">#REF!</definedName>
    <definedName name="_______________________________za1" localSheetId="68">#REF!</definedName>
    <definedName name="_______________________________za1" localSheetId="71">#REF!</definedName>
    <definedName name="_______________________________za1" localSheetId="44">#REF!</definedName>
    <definedName name="_______________________________za1" localSheetId="45">#REF!</definedName>
    <definedName name="_______________________________za1" localSheetId="17">#REF!</definedName>
    <definedName name="_______________________________za1" localSheetId="27">#REF!</definedName>
    <definedName name="_______________________________za1" localSheetId="72">#REF!</definedName>
    <definedName name="_______________________________za1" localSheetId="28">#REF!</definedName>
    <definedName name="_______________________________za1" localSheetId="29">#REF!</definedName>
    <definedName name="_______________________________za1" localSheetId="66">#REF!</definedName>
    <definedName name="_______________________________za1">#REF!</definedName>
    <definedName name="_______________________________zz1" localSheetId="70">#REF!</definedName>
    <definedName name="_______________________________zz1" localSheetId="52">#REF!</definedName>
    <definedName name="_______________________________zz1" localSheetId="58">#REF!</definedName>
    <definedName name="_______________________________zz1" localSheetId="57">#REF!</definedName>
    <definedName name="_______________________________zz1" localSheetId="64">#REF!</definedName>
    <definedName name="_______________________________zz1" localSheetId="67">#REF!</definedName>
    <definedName name="_______________________________zz1" localSheetId="65">#REF!</definedName>
    <definedName name="_______________________________zz1" localSheetId="68">#REF!</definedName>
    <definedName name="_______________________________zz1" localSheetId="71">#REF!</definedName>
    <definedName name="_______________________________zz1" localSheetId="44">#REF!</definedName>
    <definedName name="_______________________________zz1" localSheetId="45">#REF!</definedName>
    <definedName name="_______________________________zz1" localSheetId="17">#REF!</definedName>
    <definedName name="_______________________________zz1" localSheetId="27">#REF!</definedName>
    <definedName name="_______________________________zz1" localSheetId="72">#REF!</definedName>
    <definedName name="_______________________________zz1" localSheetId="28">#REF!</definedName>
    <definedName name="_______________________________zz1" localSheetId="29">#REF!</definedName>
    <definedName name="_______________________________zz1" localSheetId="66">#REF!</definedName>
    <definedName name="_______________________________zz1">#REF!</definedName>
    <definedName name="______________________________PG1">'[5]Financial Estimates'!$A$7:$B$108</definedName>
    <definedName name="______________________________pg7" localSheetId="70">'[6]Financial Estimates'!#REF!</definedName>
    <definedName name="______________________________pg7" localSheetId="52">'[6]Financial Estimates'!#REF!</definedName>
    <definedName name="______________________________pg7" localSheetId="58">'[6]Financial Estimates'!#REF!</definedName>
    <definedName name="______________________________pg7" localSheetId="56">'[6]Financial Estimates'!#REF!</definedName>
    <definedName name="______________________________pg7" localSheetId="57">'[6]Financial Estimates'!#REF!</definedName>
    <definedName name="______________________________pg7" localSheetId="64">'[6]Financial Estimates'!#REF!</definedName>
    <definedName name="______________________________pg7" localSheetId="67">'[6]Financial Estimates'!#REF!</definedName>
    <definedName name="______________________________pg7" localSheetId="65">'[6]Financial Estimates'!#REF!</definedName>
    <definedName name="______________________________pg7" localSheetId="68">'[6]Financial Estimates'!#REF!</definedName>
    <definedName name="______________________________pg7" localSheetId="71">'[6]Financial Estimates'!#REF!</definedName>
    <definedName name="______________________________pg7" localSheetId="44">'[6]Financial Estimates'!#REF!</definedName>
    <definedName name="______________________________pg7" localSheetId="45">'[6]Financial Estimates'!#REF!</definedName>
    <definedName name="______________________________pg7" localSheetId="17">'[6]Financial Estimates'!#REF!</definedName>
    <definedName name="______________________________pg7" localSheetId="27">'[6]Financial Estimates'!#REF!</definedName>
    <definedName name="______________________________pg7" localSheetId="72">'[6]Financial Estimates'!#REF!</definedName>
    <definedName name="______________________________pg7" localSheetId="28">'[6]Financial Estimates'!#REF!</definedName>
    <definedName name="______________________________pg7" localSheetId="29">'[6]Financial Estimates'!#REF!</definedName>
    <definedName name="______________________________pg7" localSheetId="66">'[6]Financial Estimates'!#REF!</definedName>
    <definedName name="______________________________pg7">'[6]Financial Estimates'!#REF!</definedName>
    <definedName name="______________________________za1" localSheetId="70">#REF!</definedName>
    <definedName name="______________________________za1" localSheetId="52">#REF!</definedName>
    <definedName name="______________________________za1" localSheetId="58">#REF!</definedName>
    <definedName name="______________________________za1" localSheetId="56">#REF!</definedName>
    <definedName name="______________________________za1" localSheetId="57">#REF!</definedName>
    <definedName name="______________________________za1" localSheetId="64">#REF!</definedName>
    <definedName name="______________________________za1" localSheetId="67">#REF!</definedName>
    <definedName name="______________________________za1" localSheetId="65">#REF!</definedName>
    <definedName name="______________________________za1" localSheetId="68">#REF!</definedName>
    <definedName name="______________________________za1" localSheetId="71">#REF!</definedName>
    <definedName name="______________________________za1" localSheetId="44">#REF!</definedName>
    <definedName name="______________________________za1" localSheetId="45">#REF!</definedName>
    <definedName name="______________________________za1" localSheetId="17">#REF!</definedName>
    <definedName name="______________________________za1" localSheetId="27">#REF!</definedName>
    <definedName name="______________________________za1" localSheetId="72">#REF!</definedName>
    <definedName name="______________________________za1" localSheetId="28">#REF!</definedName>
    <definedName name="______________________________za1" localSheetId="29">#REF!</definedName>
    <definedName name="______________________________za1" localSheetId="66">#REF!</definedName>
    <definedName name="______________________________za1">#REF!</definedName>
    <definedName name="______________________________zz1" localSheetId="70">#REF!</definedName>
    <definedName name="______________________________zz1" localSheetId="52">#REF!</definedName>
    <definedName name="______________________________zz1" localSheetId="58">#REF!</definedName>
    <definedName name="______________________________zz1" localSheetId="57">#REF!</definedName>
    <definedName name="______________________________zz1" localSheetId="64">#REF!</definedName>
    <definedName name="______________________________zz1" localSheetId="67">#REF!</definedName>
    <definedName name="______________________________zz1" localSheetId="65">#REF!</definedName>
    <definedName name="______________________________zz1" localSheetId="68">#REF!</definedName>
    <definedName name="______________________________zz1" localSheetId="71">#REF!</definedName>
    <definedName name="______________________________zz1" localSheetId="44">#REF!</definedName>
    <definedName name="______________________________zz1" localSheetId="45">#REF!</definedName>
    <definedName name="______________________________zz1" localSheetId="17">#REF!</definedName>
    <definedName name="______________________________zz1" localSheetId="27">#REF!</definedName>
    <definedName name="______________________________zz1" localSheetId="72">#REF!</definedName>
    <definedName name="______________________________zz1" localSheetId="28">#REF!</definedName>
    <definedName name="______________________________zz1" localSheetId="29">#REF!</definedName>
    <definedName name="______________________________zz1" localSheetId="66">#REF!</definedName>
    <definedName name="______________________________zz1">#REF!</definedName>
    <definedName name="_____________________________PG1">'[5]Financial Estimates'!$A$7:$B$108</definedName>
    <definedName name="______________________DAT2" localSheetId="70">#REF!</definedName>
    <definedName name="______________________DAT2" localSheetId="52">#REF!</definedName>
    <definedName name="______________________DAT2" localSheetId="58">#REF!</definedName>
    <definedName name="______________________DAT2" localSheetId="56">#REF!</definedName>
    <definedName name="______________________DAT2" localSheetId="57">#REF!</definedName>
    <definedName name="______________________DAT2" localSheetId="64">#REF!</definedName>
    <definedName name="______________________DAT2" localSheetId="67">#REF!</definedName>
    <definedName name="______________________DAT2" localSheetId="65">#REF!</definedName>
    <definedName name="______________________DAT2" localSheetId="68">#REF!</definedName>
    <definedName name="______________________DAT2" localSheetId="71">#REF!</definedName>
    <definedName name="______________________DAT2" localSheetId="44">#REF!</definedName>
    <definedName name="______________________DAT2" localSheetId="45">#REF!</definedName>
    <definedName name="______________________DAT2" localSheetId="17">#REF!</definedName>
    <definedName name="______________________DAT2" localSheetId="27">#REF!</definedName>
    <definedName name="______________________DAT2" localSheetId="72">#REF!</definedName>
    <definedName name="______________________DAT2" localSheetId="28">#REF!</definedName>
    <definedName name="______________________DAT2" localSheetId="29">#REF!</definedName>
    <definedName name="______________________DAT2" localSheetId="66">#REF!</definedName>
    <definedName name="______________________DAT2">#REF!</definedName>
    <definedName name="______________________DAT3" localSheetId="70">#REF!</definedName>
    <definedName name="______________________DAT3" localSheetId="52">#REF!</definedName>
    <definedName name="______________________DAT3" localSheetId="58">#REF!</definedName>
    <definedName name="______________________DAT3" localSheetId="57">#REF!</definedName>
    <definedName name="______________________DAT3" localSheetId="64">#REF!</definedName>
    <definedName name="______________________DAT3" localSheetId="67">#REF!</definedName>
    <definedName name="______________________DAT3" localSheetId="65">#REF!</definedName>
    <definedName name="______________________DAT3" localSheetId="68">#REF!</definedName>
    <definedName name="______________________DAT3" localSheetId="71">#REF!</definedName>
    <definedName name="______________________DAT3" localSheetId="44">#REF!</definedName>
    <definedName name="______________________DAT3" localSheetId="45">#REF!</definedName>
    <definedName name="______________________DAT3" localSheetId="17">#REF!</definedName>
    <definedName name="______________________DAT3" localSheetId="27">#REF!</definedName>
    <definedName name="______________________DAT3" localSheetId="72">#REF!</definedName>
    <definedName name="______________________DAT3" localSheetId="28">#REF!</definedName>
    <definedName name="______________________DAT3" localSheetId="29">#REF!</definedName>
    <definedName name="______________________DAT3" localSheetId="66">#REF!</definedName>
    <definedName name="______________________DAT3">#REF!</definedName>
    <definedName name="______________________DAT4" localSheetId="70">#REF!</definedName>
    <definedName name="______________________DAT4" localSheetId="52">#REF!</definedName>
    <definedName name="______________________DAT4" localSheetId="58">#REF!</definedName>
    <definedName name="______________________DAT4" localSheetId="57">#REF!</definedName>
    <definedName name="______________________DAT4" localSheetId="64">#REF!</definedName>
    <definedName name="______________________DAT4" localSheetId="67">#REF!</definedName>
    <definedName name="______________________DAT4" localSheetId="65">#REF!</definedName>
    <definedName name="______________________DAT4" localSheetId="68">#REF!</definedName>
    <definedName name="______________________DAT4" localSheetId="71">#REF!</definedName>
    <definedName name="______________________DAT4" localSheetId="44">#REF!</definedName>
    <definedName name="______________________DAT4" localSheetId="45">#REF!</definedName>
    <definedName name="______________________DAT4" localSheetId="17">#REF!</definedName>
    <definedName name="______________________DAT4" localSheetId="27">#REF!</definedName>
    <definedName name="______________________DAT4" localSheetId="72">#REF!</definedName>
    <definedName name="______________________DAT4" localSheetId="28">#REF!</definedName>
    <definedName name="______________________DAT4" localSheetId="29">#REF!</definedName>
    <definedName name="______________________DAT4" localSheetId="66">#REF!</definedName>
    <definedName name="______________________DAT4">#REF!</definedName>
    <definedName name="_____________________DAT15" localSheetId="70">'[9]ins spares'!#REF!</definedName>
    <definedName name="_____________________DAT15" localSheetId="52">'[9]ins spares'!#REF!</definedName>
    <definedName name="_____________________DAT15" localSheetId="58">'[9]ins spares'!#REF!</definedName>
    <definedName name="_____________________DAT15" localSheetId="57">'[9]ins spares'!#REF!</definedName>
    <definedName name="_____________________DAT15" localSheetId="64">'[9]ins spares'!#REF!</definedName>
    <definedName name="_____________________DAT15" localSheetId="67">'[9]ins spares'!#REF!</definedName>
    <definedName name="_____________________DAT15" localSheetId="65">'[9]ins spares'!#REF!</definedName>
    <definedName name="_____________________DAT15" localSheetId="68">'[9]ins spares'!#REF!</definedName>
    <definedName name="_____________________DAT15" localSheetId="71">'[9]ins spares'!#REF!</definedName>
    <definedName name="_____________________DAT15" localSheetId="44">'[9]ins spares'!#REF!</definedName>
    <definedName name="_____________________DAT15" localSheetId="45">'[9]ins spares'!#REF!</definedName>
    <definedName name="_____________________DAT15" localSheetId="17">'[9]ins spares'!#REF!</definedName>
    <definedName name="_____________________DAT15" localSheetId="27">'[9]ins spares'!#REF!</definedName>
    <definedName name="_____________________DAT15" localSheetId="72">'[9]ins spares'!#REF!</definedName>
    <definedName name="_____________________DAT15" localSheetId="28">'[9]ins spares'!#REF!</definedName>
    <definedName name="_____________________DAT15" localSheetId="29">'[9]ins spares'!#REF!</definedName>
    <definedName name="_____________________DAT15" localSheetId="66">'[9]ins spares'!#REF!</definedName>
    <definedName name="_____________________DAT15">'[9]ins spares'!#REF!</definedName>
    <definedName name="_____________________DAT2" localSheetId="70">#REF!</definedName>
    <definedName name="_____________________DAT2" localSheetId="52">#REF!</definedName>
    <definedName name="_____________________DAT2" localSheetId="58">#REF!</definedName>
    <definedName name="_____________________DAT2" localSheetId="56">#REF!</definedName>
    <definedName name="_____________________DAT2" localSheetId="57">#REF!</definedName>
    <definedName name="_____________________DAT2" localSheetId="64">#REF!</definedName>
    <definedName name="_____________________DAT2" localSheetId="67">#REF!</definedName>
    <definedName name="_____________________DAT2" localSheetId="65">#REF!</definedName>
    <definedName name="_____________________DAT2" localSheetId="68">#REF!</definedName>
    <definedName name="_____________________DAT2" localSheetId="71">#REF!</definedName>
    <definedName name="_____________________DAT2" localSheetId="44">#REF!</definedName>
    <definedName name="_____________________DAT2" localSheetId="45">#REF!</definedName>
    <definedName name="_____________________DAT2" localSheetId="17">#REF!</definedName>
    <definedName name="_____________________DAT2" localSheetId="27">#REF!</definedName>
    <definedName name="_____________________DAT2" localSheetId="72">#REF!</definedName>
    <definedName name="_____________________DAT2" localSheetId="28">#REF!</definedName>
    <definedName name="_____________________DAT2" localSheetId="29">#REF!</definedName>
    <definedName name="_____________________DAT2" localSheetId="66">#REF!</definedName>
    <definedName name="_____________________DAT2">#REF!</definedName>
    <definedName name="_____________________DAT3" localSheetId="70">#REF!</definedName>
    <definedName name="_____________________DAT3" localSheetId="52">#REF!</definedName>
    <definedName name="_____________________DAT3" localSheetId="58">#REF!</definedName>
    <definedName name="_____________________DAT3" localSheetId="57">#REF!</definedName>
    <definedName name="_____________________DAT3" localSheetId="64">#REF!</definedName>
    <definedName name="_____________________DAT3" localSheetId="67">#REF!</definedName>
    <definedName name="_____________________DAT3" localSheetId="65">#REF!</definedName>
    <definedName name="_____________________DAT3" localSheetId="68">#REF!</definedName>
    <definedName name="_____________________DAT3" localSheetId="71">#REF!</definedName>
    <definedName name="_____________________DAT3" localSheetId="44">#REF!</definedName>
    <definedName name="_____________________DAT3" localSheetId="45">#REF!</definedName>
    <definedName name="_____________________DAT3" localSheetId="17">#REF!</definedName>
    <definedName name="_____________________DAT3" localSheetId="27">#REF!</definedName>
    <definedName name="_____________________DAT3" localSheetId="72">#REF!</definedName>
    <definedName name="_____________________DAT3" localSheetId="28">#REF!</definedName>
    <definedName name="_____________________DAT3" localSheetId="29">#REF!</definedName>
    <definedName name="_____________________DAT3" localSheetId="66">#REF!</definedName>
    <definedName name="_____________________DAT3">#REF!</definedName>
    <definedName name="_____________________DAT4" localSheetId="70">#REF!</definedName>
    <definedName name="_____________________DAT4" localSheetId="52">#REF!</definedName>
    <definedName name="_____________________DAT4" localSheetId="58">#REF!</definedName>
    <definedName name="_____________________DAT4" localSheetId="57">#REF!</definedName>
    <definedName name="_____________________DAT4" localSheetId="64">#REF!</definedName>
    <definedName name="_____________________DAT4" localSheetId="67">#REF!</definedName>
    <definedName name="_____________________DAT4" localSheetId="65">#REF!</definedName>
    <definedName name="_____________________DAT4" localSheetId="68">#REF!</definedName>
    <definedName name="_____________________DAT4" localSheetId="71">#REF!</definedName>
    <definedName name="_____________________DAT4" localSheetId="44">#REF!</definedName>
    <definedName name="_____________________DAT4" localSheetId="45">#REF!</definedName>
    <definedName name="_____________________DAT4" localSheetId="17">#REF!</definedName>
    <definedName name="_____________________DAT4" localSheetId="27">#REF!</definedName>
    <definedName name="_____________________DAT4" localSheetId="72">#REF!</definedName>
    <definedName name="_____________________DAT4" localSheetId="28">#REF!</definedName>
    <definedName name="_____________________DAT4" localSheetId="29">#REF!</definedName>
    <definedName name="_____________________DAT4" localSheetId="66">#REF!</definedName>
    <definedName name="_____________________DAT4">#REF!</definedName>
    <definedName name="_____________________DAT5" localSheetId="70">#REF!</definedName>
    <definedName name="_____________________DAT5" localSheetId="52">#REF!</definedName>
    <definedName name="_____________________DAT5" localSheetId="58">#REF!</definedName>
    <definedName name="_____________________DAT5" localSheetId="57">#REF!</definedName>
    <definedName name="_____________________DAT5" localSheetId="64">#REF!</definedName>
    <definedName name="_____________________DAT5" localSheetId="67">#REF!</definedName>
    <definedName name="_____________________DAT5" localSheetId="65">#REF!</definedName>
    <definedName name="_____________________DAT5" localSheetId="68">#REF!</definedName>
    <definedName name="_____________________DAT5" localSheetId="71">#REF!</definedName>
    <definedName name="_____________________DAT5" localSheetId="44">#REF!</definedName>
    <definedName name="_____________________DAT5" localSheetId="45">#REF!</definedName>
    <definedName name="_____________________DAT5" localSheetId="27">#REF!</definedName>
    <definedName name="_____________________DAT5" localSheetId="28">#REF!</definedName>
    <definedName name="_____________________DAT5" localSheetId="29">#REF!</definedName>
    <definedName name="_____________________DAT5" localSheetId="66">#REF!</definedName>
    <definedName name="_____________________DAT5">#REF!</definedName>
    <definedName name="_____________________DAT6" localSheetId="70">#REF!</definedName>
    <definedName name="_____________________DAT6" localSheetId="52">#REF!</definedName>
    <definedName name="_____________________DAT6" localSheetId="58">#REF!</definedName>
    <definedName name="_____________________DAT6" localSheetId="57">#REF!</definedName>
    <definedName name="_____________________DAT6" localSheetId="64">#REF!</definedName>
    <definedName name="_____________________DAT6" localSheetId="67">#REF!</definedName>
    <definedName name="_____________________DAT6" localSheetId="65">#REF!</definedName>
    <definedName name="_____________________DAT6" localSheetId="68">#REF!</definedName>
    <definedName name="_____________________DAT6" localSheetId="71">#REF!</definedName>
    <definedName name="_____________________DAT6" localSheetId="44">#REF!</definedName>
    <definedName name="_____________________DAT6" localSheetId="45">#REF!</definedName>
    <definedName name="_____________________DAT6" localSheetId="27">#REF!</definedName>
    <definedName name="_____________________DAT6" localSheetId="28">#REF!</definedName>
    <definedName name="_____________________DAT6" localSheetId="29">#REF!</definedName>
    <definedName name="_____________________DAT6" localSheetId="66">#REF!</definedName>
    <definedName name="_____________________DAT6">#REF!</definedName>
    <definedName name="_____________________DAT7" localSheetId="70">#REF!</definedName>
    <definedName name="_____________________DAT7" localSheetId="52">#REF!</definedName>
    <definedName name="_____________________DAT7" localSheetId="58">#REF!</definedName>
    <definedName name="_____________________DAT7" localSheetId="57">#REF!</definedName>
    <definedName name="_____________________DAT7" localSheetId="64">#REF!</definedName>
    <definedName name="_____________________DAT7" localSheetId="67">#REF!</definedName>
    <definedName name="_____________________DAT7" localSheetId="65">#REF!</definedName>
    <definedName name="_____________________DAT7" localSheetId="68">#REF!</definedName>
    <definedName name="_____________________DAT7" localSheetId="71">#REF!</definedName>
    <definedName name="_____________________DAT7" localSheetId="44">#REF!</definedName>
    <definedName name="_____________________DAT7" localSheetId="45">#REF!</definedName>
    <definedName name="_____________________DAT7" localSheetId="27">#REF!</definedName>
    <definedName name="_____________________DAT7" localSheetId="28">#REF!</definedName>
    <definedName name="_____________________DAT7" localSheetId="29">#REF!</definedName>
    <definedName name="_____________________DAT7" localSheetId="66">#REF!</definedName>
    <definedName name="_____________________DAT7">#REF!</definedName>
    <definedName name="_____________________DAT8" localSheetId="70">#REF!</definedName>
    <definedName name="_____________________DAT8" localSheetId="52">#REF!</definedName>
    <definedName name="_____________________DAT8" localSheetId="58">#REF!</definedName>
    <definedName name="_____________________DAT8" localSheetId="57">#REF!</definedName>
    <definedName name="_____________________DAT8" localSheetId="64">#REF!</definedName>
    <definedName name="_____________________DAT8" localSheetId="67">#REF!</definedName>
    <definedName name="_____________________DAT8" localSheetId="65">#REF!</definedName>
    <definedName name="_____________________DAT8" localSheetId="68">#REF!</definedName>
    <definedName name="_____________________DAT8" localSheetId="71">#REF!</definedName>
    <definedName name="_____________________DAT8" localSheetId="44">#REF!</definedName>
    <definedName name="_____________________DAT8" localSheetId="45">#REF!</definedName>
    <definedName name="_____________________DAT8" localSheetId="27">#REF!</definedName>
    <definedName name="_____________________DAT8" localSheetId="28">#REF!</definedName>
    <definedName name="_____________________DAT8" localSheetId="29">#REF!</definedName>
    <definedName name="_____________________DAT8" localSheetId="66">#REF!</definedName>
    <definedName name="_____________________DAT8">#REF!</definedName>
    <definedName name="_____________________DAT9" localSheetId="70">#REF!</definedName>
    <definedName name="_____________________DAT9" localSheetId="52">#REF!</definedName>
    <definedName name="_____________________DAT9" localSheetId="58">#REF!</definedName>
    <definedName name="_____________________DAT9" localSheetId="57">#REF!</definedName>
    <definedName name="_____________________DAT9" localSheetId="64">#REF!</definedName>
    <definedName name="_____________________DAT9" localSheetId="67">#REF!</definedName>
    <definedName name="_____________________DAT9" localSheetId="65">#REF!</definedName>
    <definedName name="_____________________DAT9" localSheetId="68">#REF!</definedName>
    <definedName name="_____________________DAT9" localSheetId="71">#REF!</definedName>
    <definedName name="_____________________DAT9" localSheetId="44">#REF!</definedName>
    <definedName name="_____________________DAT9" localSheetId="45">#REF!</definedName>
    <definedName name="_____________________DAT9" localSheetId="27">#REF!</definedName>
    <definedName name="_____________________DAT9" localSheetId="28">#REF!</definedName>
    <definedName name="_____________________DAT9" localSheetId="29">#REF!</definedName>
    <definedName name="_____________________DAT9" localSheetId="66">#REF!</definedName>
    <definedName name="_____________________DAT9">#REF!</definedName>
    <definedName name="____________________DAT15" localSheetId="70">'[10]ins spares'!#REF!</definedName>
    <definedName name="____________________DAT15" localSheetId="52">'[10]ins spares'!#REF!</definedName>
    <definedName name="____________________DAT15" localSheetId="58">'[10]ins spares'!#REF!</definedName>
    <definedName name="____________________DAT15" localSheetId="57">'[10]ins spares'!#REF!</definedName>
    <definedName name="____________________DAT15" localSheetId="64">'[10]ins spares'!#REF!</definedName>
    <definedName name="____________________DAT15" localSheetId="67">'[10]ins spares'!#REF!</definedName>
    <definedName name="____________________DAT15" localSheetId="65">'[10]ins spares'!#REF!</definedName>
    <definedName name="____________________DAT15" localSheetId="68">'[10]ins spares'!#REF!</definedName>
    <definedName name="____________________DAT15" localSheetId="71">'[10]ins spares'!#REF!</definedName>
    <definedName name="____________________DAT15" localSheetId="44">'[10]ins spares'!#REF!</definedName>
    <definedName name="____________________DAT15" localSheetId="45">'[10]ins spares'!#REF!</definedName>
    <definedName name="____________________DAT15" localSheetId="27">'[10]ins spares'!#REF!</definedName>
    <definedName name="____________________DAT15" localSheetId="28">'[10]ins spares'!#REF!</definedName>
    <definedName name="____________________DAT15" localSheetId="29">'[10]ins spares'!#REF!</definedName>
    <definedName name="____________________DAT15" localSheetId="66">'[10]ins spares'!#REF!</definedName>
    <definedName name="____________________DAT15">'[10]ins spares'!#REF!</definedName>
    <definedName name="____________________DAT2" localSheetId="70">#REF!</definedName>
    <definedName name="____________________DAT2" localSheetId="52">#REF!</definedName>
    <definedName name="____________________DAT2" localSheetId="58">#REF!</definedName>
    <definedName name="____________________DAT2" localSheetId="56">#REF!</definedName>
    <definedName name="____________________DAT2" localSheetId="57">#REF!</definedName>
    <definedName name="____________________DAT2" localSheetId="64">#REF!</definedName>
    <definedName name="____________________DAT2" localSheetId="67">#REF!</definedName>
    <definedName name="____________________DAT2" localSheetId="65">#REF!</definedName>
    <definedName name="____________________DAT2" localSheetId="68">#REF!</definedName>
    <definedName name="____________________DAT2" localSheetId="71">#REF!</definedName>
    <definedName name="____________________DAT2" localSheetId="44">#REF!</definedName>
    <definedName name="____________________DAT2" localSheetId="45">#REF!</definedName>
    <definedName name="____________________DAT2" localSheetId="17">#REF!</definedName>
    <definedName name="____________________DAT2" localSheetId="27">#REF!</definedName>
    <definedName name="____________________DAT2" localSheetId="72">#REF!</definedName>
    <definedName name="____________________DAT2" localSheetId="28">#REF!</definedName>
    <definedName name="____________________DAT2" localSheetId="29">#REF!</definedName>
    <definedName name="____________________DAT2" localSheetId="66">#REF!</definedName>
    <definedName name="____________________DAT2">#REF!</definedName>
    <definedName name="____________________DAT3" localSheetId="70">#REF!</definedName>
    <definedName name="____________________DAT3" localSheetId="52">#REF!</definedName>
    <definedName name="____________________DAT3" localSheetId="58">#REF!</definedName>
    <definedName name="____________________DAT3" localSheetId="57">#REF!</definedName>
    <definedName name="____________________DAT3" localSheetId="64">#REF!</definedName>
    <definedName name="____________________DAT3" localSheetId="67">#REF!</definedName>
    <definedName name="____________________DAT3" localSheetId="65">#REF!</definedName>
    <definedName name="____________________DAT3" localSheetId="68">#REF!</definedName>
    <definedName name="____________________DAT3" localSheetId="71">#REF!</definedName>
    <definedName name="____________________DAT3" localSheetId="44">#REF!</definedName>
    <definedName name="____________________DAT3" localSheetId="45">#REF!</definedName>
    <definedName name="____________________DAT3" localSheetId="17">#REF!</definedName>
    <definedName name="____________________DAT3" localSheetId="27">#REF!</definedName>
    <definedName name="____________________DAT3" localSheetId="72">#REF!</definedName>
    <definedName name="____________________DAT3" localSheetId="28">#REF!</definedName>
    <definedName name="____________________DAT3" localSheetId="29">#REF!</definedName>
    <definedName name="____________________DAT3" localSheetId="66">#REF!</definedName>
    <definedName name="____________________DAT3">#REF!</definedName>
    <definedName name="____________________DAT4" localSheetId="70">#REF!</definedName>
    <definedName name="____________________DAT4" localSheetId="52">#REF!</definedName>
    <definedName name="____________________DAT4" localSheetId="58">#REF!</definedName>
    <definedName name="____________________DAT4" localSheetId="57">#REF!</definedName>
    <definedName name="____________________DAT4" localSheetId="64">#REF!</definedName>
    <definedName name="____________________DAT4" localSheetId="67">#REF!</definedName>
    <definedName name="____________________DAT4" localSheetId="65">#REF!</definedName>
    <definedName name="____________________DAT4" localSheetId="68">#REF!</definedName>
    <definedName name="____________________DAT4" localSheetId="71">#REF!</definedName>
    <definedName name="____________________DAT4" localSheetId="44">#REF!</definedName>
    <definedName name="____________________DAT4" localSheetId="45">#REF!</definedName>
    <definedName name="____________________DAT4" localSheetId="17">#REF!</definedName>
    <definedName name="____________________DAT4" localSheetId="27">#REF!</definedName>
    <definedName name="____________________DAT4" localSheetId="72">#REF!</definedName>
    <definedName name="____________________DAT4" localSheetId="28">#REF!</definedName>
    <definedName name="____________________DAT4" localSheetId="29">#REF!</definedName>
    <definedName name="____________________DAT4" localSheetId="66">#REF!</definedName>
    <definedName name="____________________DAT4">#REF!</definedName>
    <definedName name="____________________DAT5" localSheetId="70">#REF!</definedName>
    <definedName name="____________________DAT5" localSheetId="52">#REF!</definedName>
    <definedName name="____________________DAT5" localSheetId="58">#REF!</definedName>
    <definedName name="____________________DAT5" localSheetId="57">#REF!</definedName>
    <definedName name="____________________DAT5" localSheetId="64">#REF!</definedName>
    <definedName name="____________________DAT5" localSheetId="67">#REF!</definedName>
    <definedName name="____________________DAT5" localSheetId="65">#REF!</definedName>
    <definedName name="____________________DAT5" localSheetId="68">#REF!</definedName>
    <definedName name="____________________DAT5" localSheetId="71">#REF!</definedName>
    <definedName name="____________________DAT5" localSheetId="44">#REF!</definedName>
    <definedName name="____________________DAT5" localSheetId="45">#REF!</definedName>
    <definedName name="____________________DAT5" localSheetId="27">#REF!</definedName>
    <definedName name="____________________DAT5" localSheetId="28">#REF!</definedName>
    <definedName name="____________________DAT5" localSheetId="29">#REF!</definedName>
    <definedName name="____________________DAT5" localSheetId="66">#REF!</definedName>
    <definedName name="____________________DAT5">#REF!</definedName>
    <definedName name="____________________DAT6" localSheetId="70">#REF!</definedName>
    <definedName name="____________________DAT6" localSheetId="52">#REF!</definedName>
    <definedName name="____________________DAT6" localSheetId="58">#REF!</definedName>
    <definedName name="____________________DAT6" localSheetId="57">#REF!</definedName>
    <definedName name="____________________DAT6" localSheetId="64">#REF!</definedName>
    <definedName name="____________________DAT6" localSheetId="67">#REF!</definedName>
    <definedName name="____________________DAT6" localSheetId="65">#REF!</definedName>
    <definedName name="____________________DAT6" localSheetId="68">#REF!</definedName>
    <definedName name="____________________DAT6" localSheetId="71">#REF!</definedName>
    <definedName name="____________________DAT6" localSheetId="44">#REF!</definedName>
    <definedName name="____________________DAT6" localSheetId="45">#REF!</definedName>
    <definedName name="____________________DAT6" localSheetId="27">#REF!</definedName>
    <definedName name="____________________DAT6" localSheetId="28">#REF!</definedName>
    <definedName name="____________________DAT6" localSheetId="29">#REF!</definedName>
    <definedName name="____________________DAT6" localSheetId="66">#REF!</definedName>
    <definedName name="____________________DAT6">#REF!</definedName>
    <definedName name="____________________DAT7" localSheetId="70">#REF!</definedName>
    <definedName name="____________________DAT7" localSheetId="52">#REF!</definedName>
    <definedName name="____________________DAT7" localSheetId="58">#REF!</definedName>
    <definedName name="____________________DAT7" localSheetId="57">#REF!</definedName>
    <definedName name="____________________DAT7" localSheetId="64">#REF!</definedName>
    <definedName name="____________________DAT7" localSheetId="67">#REF!</definedName>
    <definedName name="____________________DAT7" localSheetId="65">#REF!</definedName>
    <definedName name="____________________DAT7" localSheetId="68">#REF!</definedName>
    <definedName name="____________________DAT7" localSheetId="71">#REF!</definedName>
    <definedName name="____________________DAT7" localSheetId="44">#REF!</definedName>
    <definedName name="____________________DAT7" localSheetId="45">#REF!</definedName>
    <definedName name="____________________DAT7" localSheetId="27">#REF!</definedName>
    <definedName name="____________________DAT7" localSheetId="28">#REF!</definedName>
    <definedName name="____________________DAT7" localSheetId="29">#REF!</definedName>
    <definedName name="____________________DAT7" localSheetId="66">#REF!</definedName>
    <definedName name="____________________DAT7">#REF!</definedName>
    <definedName name="____________________DAT8" localSheetId="70">#REF!</definedName>
    <definedName name="____________________DAT8" localSheetId="52">#REF!</definedName>
    <definedName name="____________________DAT8" localSheetId="58">#REF!</definedName>
    <definedName name="____________________DAT8" localSheetId="57">#REF!</definedName>
    <definedName name="____________________DAT8" localSheetId="64">#REF!</definedName>
    <definedName name="____________________DAT8" localSheetId="67">#REF!</definedName>
    <definedName name="____________________DAT8" localSheetId="65">#REF!</definedName>
    <definedName name="____________________DAT8" localSheetId="68">#REF!</definedName>
    <definedName name="____________________DAT8" localSheetId="71">#REF!</definedName>
    <definedName name="____________________DAT8" localSheetId="44">#REF!</definedName>
    <definedName name="____________________DAT8" localSheetId="45">#REF!</definedName>
    <definedName name="____________________DAT8" localSheetId="27">#REF!</definedName>
    <definedName name="____________________DAT8" localSheetId="28">#REF!</definedName>
    <definedName name="____________________DAT8" localSheetId="29">#REF!</definedName>
    <definedName name="____________________DAT8" localSheetId="66">#REF!</definedName>
    <definedName name="____________________DAT8">#REF!</definedName>
    <definedName name="____________________DAT9" localSheetId="70">#REF!</definedName>
    <definedName name="____________________DAT9" localSheetId="52">#REF!</definedName>
    <definedName name="____________________DAT9" localSheetId="58">#REF!</definedName>
    <definedName name="____________________DAT9" localSheetId="57">#REF!</definedName>
    <definedName name="____________________DAT9" localSheetId="64">#REF!</definedName>
    <definedName name="____________________DAT9" localSheetId="67">#REF!</definedName>
    <definedName name="____________________DAT9" localSheetId="65">#REF!</definedName>
    <definedName name="____________________DAT9" localSheetId="68">#REF!</definedName>
    <definedName name="____________________DAT9" localSheetId="71">#REF!</definedName>
    <definedName name="____________________DAT9" localSheetId="44">#REF!</definedName>
    <definedName name="____________________DAT9" localSheetId="45">#REF!</definedName>
    <definedName name="____________________DAT9" localSheetId="27">#REF!</definedName>
    <definedName name="____________________DAT9" localSheetId="28">#REF!</definedName>
    <definedName name="____________________DAT9" localSheetId="29">#REF!</definedName>
    <definedName name="____________________DAT9" localSheetId="66">#REF!</definedName>
    <definedName name="____________________DAT9">#REF!</definedName>
    <definedName name="____________________PG1">'[11]Financial Estimates'!$A$7:$B$108</definedName>
    <definedName name="___________________DAT15" localSheetId="70">'[10]ins spares'!#REF!</definedName>
    <definedName name="___________________DAT15" localSheetId="52">'[10]ins spares'!#REF!</definedName>
    <definedName name="___________________DAT15" localSheetId="58">'[10]ins spares'!#REF!</definedName>
    <definedName name="___________________DAT15" localSheetId="56">'[10]ins spares'!#REF!</definedName>
    <definedName name="___________________DAT15" localSheetId="57">'[10]ins spares'!#REF!</definedName>
    <definedName name="___________________DAT15" localSheetId="64">'[10]ins spares'!#REF!</definedName>
    <definedName name="___________________DAT15" localSheetId="67">'[10]ins spares'!#REF!</definedName>
    <definedName name="___________________DAT15" localSheetId="65">'[10]ins spares'!#REF!</definedName>
    <definedName name="___________________DAT15" localSheetId="68">'[10]ins spares'!#REF!</definedName>
    <definedName name="___________________DAT15" localSheetId="71">'[10]ins spares'!#REF!</definedName>
    <definedName name="___________________DAT15" localSheetId="44">'[10]ins spares'!#REF!</definedName>
    <definedName name="___________________DAT15" localSheetId="45">'[10]ins spares'!#REF!</definedName>
    <definedName name="___________________DAT15" localSheetId="17">'[10]ins spares'!#REF!</definedName>
    <definedName name="___________________DAT15" localSheetId="27">'[10]ins spares'!#REF!</definedName>
    <definedName name="___________________DAT15" localSheetId="72">'[10]ins spares'!#REF!</definedName>
    <definedName name="___________________DAT15" localSheetId="28">'[10]ins spares'!#REF!</definedName>
    <definedName name="___________________DAT15" localSheetId="29">'[10]ins spares'!#REF!</definedName>
    <definedName name="___________________DAT15" localSheetId="66">'[10]ins spares'!#REF!</definedName>
    <definedName name="___________________DAT15">'[10]ins spares'!#REF!</definedName>
    <definedName name="___________________DAT2" localSheetId="70">#REF!</definedName>
    <definedName name="___________________DAT2" localSheetId="52">#REF!</definedName>
    <definedName name="___________________DAT2" localSheetId="58">#REF!</definedName>
    <definedName name="___________________DAT2" localSheetId="56">#REF!</definedName>
    <definedName name="___________________DAT2" localSheetId="57">#REF!</definedName>
    <definedName name="___________________DAT2" localSheetId="64">#REF!</definedName>
    <definedName name="___________________DAT2" localSheetId="67">#REF!</definedName>
    <definedName name="___________________DAT2" localSheetId="65">#REF!</definedName>
    <definedName name="___________________DAT2" localSheetId="68">#REF!</definedName>
    <definedName name="___________________DAT2" localSheetId="71">#REF!</definedName>
    <definedName name="___________________DAT2" localSheetId="44">#REF!</definedName>
    <definedName name="___________________DAT2" localSheetId="45">#REF!</definedName>
    <definedName name="___________________DAT2" localSheetId="17">#REF!</definedName>
    <definedName name="___________________DAT2" localSheetId="27">#REF!</definedName>
    <definedName name="___________________DAT2" localSheetId="72">#REF!</definedName>
    <definedName name="___________________DAT2" localSheetId="28">#REF!</definedName>
    <definedName name="___________________DAT2" localSheetId="29">#REF!</definedName>
    <definedName name="___________________DAT2" localSheetId="66">#REF!</definedName>
    <definedName name="___________________DAT2">#REF!</definedName>
    <definedName name="___________________DAT3" localSheetId="70">#REF!</definedName>
    <definedName name="___________________DAT3" localSheetId="52">#REF!</definedName>
    <definedName name="___________________DAT3" localSheetId="58">#REF!</definedName>
    <definedName name="___________________DAT3" localSheetId="57">#REF!</definedName>
    <definedName name="___________________DAT3" localSheetId="64">#REF!</definedName>
    <definedName name="___________________DAT3" localSheetId="67">#REF!</definedName>
    <definedName name="___________________DAT3" localSheetId="65">#REF!</definedName>
    <definedName name="___________________DAT3" localSheetId="68">#REF!</definedName>
    <definedName name="___________________DAT3" localSheetId="71">#REF!</definedName>
    <definedName name="___________________DAT3" localSheetId="44">#REF!</definedName>
    <definedName name="___________________DAT3" localSheetId="45">#REF!</definedName>
    <definedName name="___________________DAT3" localSheetId="17">#REF!</definedName>
    <definedName name="___________________DAT3" localSheetId="27">#REF!</definedName>
    <definedName name="___________________DAT3" localSheetId="72">#REF!</definedName>
    <definedName name="___________________DAT3" localSheetId="28">#REF!</definedName>
    <definedName name="___________________DAT3" localSheetId="29">#REF!</definedName>
    <definedName name="___________________DAT3" localSheetId="66">#REF!</definedName>
    <definedName name="___________________DAT3">#REF!</definedName>
    <definedName name="___________________DAT4" localSheetId="70">#REF!</definedName>
    <definedName name="___________________DAT4" localSheetId="52">#REF!</definedName>
    <definedName name="___________________DAT4" localSheetId="58">#REF!</definedName>
    <definedName name="___________________DAT4" localSheetId="57">#REF!</definedName>
    <definedName name="___________________DAT4" localSheetId="64">#REF!</definedName>
    <definedName name="___________________DAT4" localSheetId="67">#REF!</definedName>
    <definedName name="___________________DAT4" localSheetId="65">#REF!</definedName>
    <definedName name="___________________DAT4" localSheetId="68">#REF!</definedName>
    <definedName name="___________________DAT4" localSheetId="71">#REF!</definedName>
    <definedName name="___________________DAT4" localSheetId="44">#REF!</definedName>
    <definedName name="___________________DAT4" localSheetId="45">#REF!</definedName>
    <definedName name="___________________DAT4" localSheetId="17">#REF!</definedName>
    <definedName name="___________________DAT4" localSheetId="27">#REF!</definedName>
    <definedName name="___________________DAT4" localSheetId="72">#REF!</definedName>
    <definedName name="___________________DAT4" localSheetId="28">#REF!</definedName>
    <definedName name="___________________DAT4" localSheetId="29">#REF!</definedName>
    <definedName name="___________________DAT4" localSheetId="66">#REF!</definedName>
    <definedName name="___________________DAT4">#REF!</definedName>
    <definedName name="___________________DAT5" localSheetId="70">#REF!</definedName>
    <definedName name="___________________DAT5" localSheetId="52">#REF!</definedName>
    <definedName name="___________________DAT5" localSheetId="58">#REF!</definedName>
    <definedName name="___________________DAT5" localSheetId="57">#REF!</definedName>
    <definedName name="___________________DAT5" localSheetId="64">#REF!</definedName>
    <definedName name="___________________DAT5" localSheetId="67">#REF!</definedName>
    <definedName name="___________________DAT5" localSheetId="65">#REF!</definedName>
    <definedName name="___________________DAT5" localSheetId="68">#REF!</definedName>
    <definedName name="___________________DAT5" localSheetId="71">#REF!</definedName>
    <definedName name="___________________DAT5" localSheetId="44">#REF!</definedName>
    <definedName name="___________________DAT5" localSheetId="45">#REF!</definedName>
    <definedName name="___________________DAT5" localSheetId="27">#REF!</definedName>
    <definedName name="___________________DAT5" localSheetId="28">#REF!</definedName>
    <definedName name="___________________DAT5" localSheetId="29">#REF!</definedName>
    <definedName name="___________________DAT5" localSheetId="66">#REF!</definedName>
    <definedName name="___________________DAT5">#REF!</definedName>
    <definedName name="___________________DAT6" localSheetId="70">#REF!</definedName>
    <definedName name="___________________DAT6" localSheetId="52">#REF!</definedName>
    <definedName name="___________________DAT6" localSheetId="58">#REF!</definedName>
    <definedName name="___________________DAT6" localSheetId="57">#REF!</definedName>
    <definedName name="___________________DAT6" localSheetId="64">#REF!</definedName>
    <definedName name="___________________DAT6" localSheetId="67">#REF!</definedName>
    <definedName name="___________________DAT6" localSheetId="65">#REF!</definedName>
    <definedName name="___________________DAT6" localSheetId="68">#REF!</definedName>
    <definedName name="___________________DAT6" localSheetId="71">#REF!</definedName>
    <definedName name="___________________DAT6" localSheetId="44">#REF!</definedName>
    <definedName name="___________________DAT6" localSheetId="45">#REF!</definedName>
    <definedName name="___________________DAT6" localSheetId="27">#REF!</definedName>
    <definedName name="___________________DAT6" localSheetId="28">#REF!</definedName>
    <definedName name="___________________DAT6" localSheetId="29">#REF!</definedName>
    <definedName name="___________________DAT6" localSheetId="66">#REF!</definedName>
    <definedName name="___________________DAT6">#REF!</definedName>
    <definedName name="___________________DAT7" localSheetId="70">#REF!</definedName>
    <definedName name="___________________DAT7" localSheetId="52">#REF!</definedName>
    <definedName name="___________________DAT7" localSheetId="58">#REF!</definedName>
    <definedName name="___________________DAT7" localSheetId="57">#REF!</definedName>
    <definedName name="___________________DAT7" localSheetId="64">#REF!</definedName>
    <definedName name="___________________DAT7" localSheetId="67">#REF!</definedName>
    <definedName name="___________________DAT7" localSheetId="65">#REF!</definedName>
    <definedName name="___________________DAT7" localSheetId="68">#REF!</definedName>
    <definedName name="___________________DAT7" localSheetId="71">#REF!</definedName>
    <definedName name="___________________DAT7" localSheetId="44">#REF!</definedName>
    <definedName name="___________________DAT7" localSheetId="45">#REF!</definedName>
    <definedName name="___________________DAT7" localSheetId="27">#REF!</definedName>
    <definedName name="___________________DAT7" localSheetId="28">#REF!</definedName>
    <definedName name="___________________DAT7" localSheetId="29">#REF!</definedName>
    <definedName name="___________________DAT7" localSheetId="66">#REF!</definedName>
    <definedName name="___________________DAT7">#REF!</definedName>
    <definedName name="___________________DAT8" localSheetId="70">#REF!</definedName>
    <definedName name="___________________DAT8" localSheetId="52">#REF!</definedName>
    <definedName name="___________________DAT8" localSheetId="58">#REF!</definedName>
    <definedName name="___________________DAT8" localSheetId="57">#REF!</definedName>
    <definedName name="___________________DAT8" localSheetId="64">#REF!</definedName>
    <definedName name="___________________DAT8" localSheetId="67">#REF!</definedName>
    <definedName name="___________________DAT8" localSheetId="65">#REF!</definedName>
    <definedName name="___________________DAT8" localSheetId="68">#REF!</definedName>
    <definedName name="___________________DAT8" localSheetId="71">#REF!</definedName>
    <definedName name="___________________DAT8" localSheetId="44">#REF!</definedName>
    <definedName name="___________________DAT8" localSheetId="45">#REF!</definedName>
    <definedName name="___________________DAT8" localSheetId="27">#REF!</definedName>
    <definedName name="___________________DAT8" localSheetId="28">#REF!</definedName>
    <definedName name="___________________DAT8" localSheetId="29">#REF!</definedName>
    <definedName name="___________________DAT8" localSheetId="66">#REF!</definedName>
    <definedName name="___________________DAT8">#REF!</definedName>
    <definedName name="___________________DAT9" localSheetId="70">#REF!</definedName>
    <definedName name="___________________DAT9" localSheetId="52">#REF!</definedName>
    <definedName name="___________________DAT9" localSheetId="58">#REF!</definedName>
    <definedName name="___________________DAT9" localSheetId="57">#REF!</definedName>
    <definedName name="___________________DAT9" localSheetId="64">#REF!</definedName>
    <definedName name="___________________DAT9" localSheetId="67">#REF!</definedName>
    <definedName name="___________________DAT9" localSheetId="65">#REF!</definedName>
    <definedName name="___________________DAT9" localSheetId="68">#REF!</definedName>
    <definedName name="___________________DAT9" localSheetId="71">#REF!</definedName>
    <definedName name="___________________DAT9" localSheetId="44">#REF!</definedName>
    <definedName name="___________________DAT9" localSheetId="45">#REF!</definedName>
    <definedName name="___________________DAT9" localSheetId="27">#REF!</definedName>
    <definedName name="___________________DAT9" localSheetId="28">#REF!</definedName>
    <definedName name="___________________DAT9" localSheetId="29">#REF!</definedName>
    <definedName name="___________________DAT9" localSheetId="66">#REF!</definedName>
    <definedName name="___________________DAT9">#REF!</definedName>
    <definedName name="__________________DAT15" localSheetId="70">'[10]ins spares'!#REF!</definedName>
    <definedName name="__________________DAT15" localSheetId="52">'[10]ins spares'!#REF!</definedName>
    <definedName name="__________________DAT15" localSheetId="58">'[10]ins spares'!#REF!</definedName>
    <definedName name="__________________DAT15" localSheetId="57">'[10]ins spares'!#REF!</definedName>
    <definedName name="__________________DAT15" localSheetId="64">'[10]ins spares'!#REF!</definedName>
    <definedName name="__________________DAT15" localSheetId="67">'[10]ins spares'!#REF!</definedName>
    <definedName name="__________________DAT15" localSheetId="65">'[10]ins spares'!#REF!</definedName>
    <definedName name="__________________DAT15" localSheetId="68">'[10]ins spares'!#REF!</definedName>
    <definedName name="__________________DAT15" localSheetId="71">'[10]ins spares'!#REF!</definedName>
    <definedName name="__________________DAT15" localSheetId="44">'[10]ins spares'!#REF!</definedName>
    <definedName name="__________________DAT15" localSheetId="45">'[10]ins spares'!#REF!</definedName>
    <definedName name="__________________DAT15" localSheetId="27">'[10]ins spares'!#REF!</definedName>
    <definedName name="__________________DAT15" localSheetId="28">'[10]ins spares'!#REF!</definedName>
    <definedName name="__________________DAT15" localSheetId="29">'[10]ins spares'!#REF!</definedName>
    <definedName name="__________________DAT15" localSheetId="66">'[10]ins spares'!#REF!</definedName>
    <definedName name="__________________DAT15">'[10]ins spares'!#REF!</definedName>
    <definedName name="__________________DAT2" localSheetId="70">#REF!</definedName>
    <definedName name="__________________DAT2" localSheetId="52">#REF!</definedName>
    <definedName name="__________________DAT2" localSheetId="58">#REF!</definedName>
    <definedName name="__________________DAT2" localSheetId="56">#REF!</definedName>
    <definedName name="__________________DAT2" localSheetId="57">#REF!</definedName>
    <definedName name="__________________DAT2" localSheetId="64">#REF!</definedName>
    <definedName name="__________________DAT2" localSheetId="67">#REF!</definedName>
    <definedName name="__________________DAT2" localSheetId="65">#REF!</definedName>
    <definedName name="__________________DAT2" localSheetId="68">#REF!</definedName>
    <definedName name="__________________DAT2" localSheetId="71">#REF!</definedName>
    <definedName name="__________________DAT2" localSheetId="44">#REF!</definedName>
    <definedName name="__________________DAT2" localSheetId="45">#REF!</definedName>
    <definedName name="__________________DAT2" localSheetId="17">#REF!</definedName>
    <definedName name="__________________DAT2" localSheetId="27">#REF!</definedName>
    <definedName name="__________________DAT2" localSheetId="72">#REF!</definedName>
    <definedName name="__________________DAT2" localSheetId="28">#REF!</definedName>
    <definedName name="__________________DAT2" localSheetId="29">#REF!</definedName>
    <definedName name="__________________DAT2" localSheetId="66">#REF!</definedName>
    <definedName name="__________________DAT2">#REF!</definedName>
    <definedName name="__________________DAT3" localSheetId="70">#REF!</definedName>
    <definedName name="__________________DAT3" localSheetId="52">#REF!</definedName>
    <definedName name="__________________DAT3" localSheetId="58">#REF!</definedName>
    <definedName name="__________________DAT3" localSheetId="57">#REF!</definedName>
    <definedName name="__________________DAT3" localSheetId="64">#REF!</definedName>
    <definedName name="__________________DAT3" localSheetId="67">#REF!</definedName>
    <definedName name="__________________DAT3" localSheetId="65">#REF!</definedName>
    <definedName name="__________________DAT3" localSheetId="68">#REF!</definedName>
    <definedName name="__________________DAT3" localSheetId="71">#REF!</definedName>
    <definedName name="__________________DAT3" localSheetId="44">#REF!</definedName>
    <definedName name="__________________DAT3" localSheetId="45">#REF!</definedName>
    <definedName name="__________________DAT3" localSheetId="17">#REF!</definedName>
    <definedName name="__________________DAT3" localSheetId="27">#REF!</definedName>
    <definedName name="__________________DAT3" localSheetId="72">#REF!</definedName>
    <definedName name="__________________DAT3" localSheetId="28">#REF!</definedName>
    <definedName name="__________________DAT3" localSheetId="29">#REF!</definedName>
    <definedName name="__________________DAT3" localSheetId="66">#REF!</definedName>
    <definedName name="__________________DAT3">#REF!</definedName>
    <definedName name="__________________DAT4" localSheetId="70">#REF!</definedName>
    <definedName name="__________________DAT4" localSheetId="52">#REF!</definedName>
    <definedName name="__________________DAT4" localSheetId="58">#REF!</definedName>
    <definedName name="__________________DAT4" localSheetId="57">#REF!</definedName>
    <definedName name="__________________DAT4" localSheetId="64">#REF!</definedName>
    <definedName name="__________________DAT4" localSheetId="67">#REF!</definedName>
    <definedName name="__________________DAT4" localSheetId="65">#REF!</definedName>
    <definedName name="__________________DAT4" localSheetId="68">#REF!</definedName>
    <definedName name="__________________DAT4" localSheetId="71">#REF!</definedName>
    <definedName name="__________________DAT4" localSheetId="44">#REF!</definedName>
    <definedName name="__________________DAT4" localSheetId="45">#REF!</definedName>
    <definedName name="__________________DAT4" localSheetId="17">#REF!</definedName>
    <definedName name="__________________DAT4" localSheetId="27">#REF!</definedName>
    <definedName name="__________________DAT4" localSheetId="72">#REF!</definedName>
    <definedName name="__________________DAT4" localSheetId="28">#REF!</definedName>
    <definedName name="__________________DAT4" localSheetId="29">#REF!</definedName>
    <definedName name="__________________DAT4" localSheetId="66">#REF!</definedName>
    <definedName name="__________________DAT4">#REF!</definedName>
    <definedName name="__________________DAT5" localSheetId="70">#REF!</definedName>
    <definedName name="__________________DAT5" localSheetId="52">#REF!</definedName>
    <definedName name="__________________DAT5" localSheetId="58">#REF!</definedName>
    <definedName name="__________________DAT5" localSheetId="57">#REF!</definedName>
    <definedName name="__________________DAT5" localSheetId="64">#REF!</definedName>
    <definedName name="__________________DAT5" localSheetId="67">#REF!</definedName>
    <definedName name="__________________DAT5" localSheetId="65">#REF!</definedName>
    <definedName name="__________________DAT5" localSheetId="68">#REF!</definedName>
    <definedName name="__________________DAT5" localSheetId="71">#REF!</definedName>
    <definedName name="__________________DAT5" localSheetId="44">#REF!</definedName>
    <definedName name="__________________DAT5" localSheetId="45">#REF!</definedName>
    <definedName name="__________________DAT5" localSheetId="27">#REF!</definedName>
    <definedName name="__________________DAT5" localSheetId="28">#REF!</definedName>
    <definedName name="__________________DAT5" localSheetId="29">#REF!</definedName>
    <definedName name="__________________DAT5" localSheetId="66">#REF!</definedName>
    <definedName name="__________________DAT5">#REF!</definedName>
    <definedName name="__________________DAT6" localSheetId="70">#REF!</definedName>
    <definedName name="__________________DAT6" localSheetId="52">#REF!</definedName>
    <definedName name="__________________DAT6" localSheetId="58">#REF!</definedName>
    <definedName name="__________________DAT6" localSheetId="57">#REF!</definedName>
    <definedName name="__________________DAT6" localSheetId="64">#REF!</definedName>
    <definedName name="__________________DAT6" localSheetId="67">#REF!</definedName>
    <definedName name="__________________DAT6" localSheetId="65">#REF!</definedName>
    <definedName name="__________________DAT6" localSheetId="68">#REF!</definedName>
    <definedName name="__________________DAT6" localSheetId="71">#REF!</definedName>
    <definedName name="__________________DAT6" localSheetId="44">#REF!</definedName>
    <definedName name="__________________DAT6" localSheetId="45">#REF!</definedName>
    <definedName name="__________________DAT6" localSheetId="27">#REF!</definedName>
    <definedName name="__________________DAT6" localSheetId="28">#REF!</definedName>
    <definedName name="__________________DAT6" localSheetId="29">#REF!</definedName>
    <definedName name="__________________DAT6" localSheetId="66">#REF!</definedName>
    <definedName name="__________________DAT6">#REF!</definedName>
    <definedName name="__________________DAT7" localSheetId="70">#REF!</definedName>
    <definedName name="__________________DAT7" localSheetId="52">#REF!</definedName>
    <definedName name="__________________DAT7" localSheetId="58">#REF!</definedName>
    <definedName name="__________________DAT7" localSheetId="57">#REF!</definedName>
    <definedName name="__________________DAT7" localSheetId="64">#REF!</definedName>
    <definedName name="__________________DAT7" localSheetId="67">#REF!</definedName>
    <definedName name="__________________DAT7" localSheetId="65">#REF!</definedName>
    <definedName name="__________________DAT7" localSheetId="68">#REF!</definedName>
    <definedName name="__________________DAT7" localSheetId="71">#REF!</definedName>
    <definedName name="__________________DAT7" localSheetId="44">#REF!</definedName>
    <definedName name="__________________DAT7" localSheetId="45">#REF!</definedName>
    <definedName name="__________________DAT7" localSheetId="27">#REF!</definedName>
    <definedName name="__________________DAT7" localSheetId="28">#REF!</definedName>
    <definedName name="__________________DAT7" localSheetId="29">#REF!</definedName>
    <definedName name="__________________DAT7" localSheetId="66">#REF!</definedName>
    <definedName name="__________________DAT7">#REF!</definedName>
    <definedName name="__________________DAT8" localSheetId="70">#REF!</definedName>
    <definedName name="__________________DAT8" localSheetId="52">#REF!</definedName>
    <definedName name="__________________DAT8" localSheetId="58">#REF!</definedName>
    <definedName name="__________________DAT8" localSheetId="57">#REF!</definedName>
    <definedName name="__________________DAT8" localSheetId="64">#REF!</definedName>
    <definedName name="__________________DAT8" localSheetId="67">#REF!</definedName>
    <definedName name="__________________DAT8" localSheetId="65">#REF!</definedName>
    <definedName name="__________________DAT8" localSheetId="68">#REF!</definedName>
    <definedName name="__________________DAT8" localSheetId="71">#REF!</definedName>
    <definedName name="__________________DAT8" localSheetId="44">#REF!</definedName>
    <definedName name="__________________DAT8" localSheetId="45">#REF!</definedName>
    <definedName name="__________________DAT8" localSheetId="27">#REF!</definedName>
    <definedName name="__________________DAT8" localSheetId="28">#REF!</definedName>
    <definedName name="__________________DAT8" localSheetId="29">#REF!</definedName>
    <definedName name="__________________DAT8" localSheetId="66">#REF!</definedName>
    <definedName name="__________________DAT8">#REF!</definedName>
    <definedName name="__________________DAT9" localSheetId="70">#REF!</definedName>
    <definedName name="__________________DAT9" localSheetId="52">#REF!</definedName>
    <definedName name="__________________DAT9" localSheetId="58">#REF!</definedName>
    <definedName name="__________________DAT9" localSheetId="57">#REF!</definedName>
    <definedName name="__________________DAT9" localSheetId="64">#REF!</definedName>
    <definedName name="__________________DAT9" localSheetId="67">#REF!</definedName>
    <definedName name="__________________DAT9" localSheetId="65">#REF!</definedName>
    <definedName name="__________________DAT9" localSheetId="68">#REF!</definedName>
    <definedName name="__________________DAT9" localSheetId="71">#REF!</definedName>
    <definedName name="__________________DAT9" localSheetId="44">#REF!</definedName>
    <definedName name="__________________DAT9" localSheetId="45">#REF!</definedName>
    <definedName name="__________________DAT9" localSheetId="27">#REF!</definedName>
    <definedName name="__________________DAT9" localSheetId="28">#REF!</definedName>
    <definedName name="__________________DAT9" localSheetId="29">#REF!</definedName>
    <definedName name="__________________DAT9" localSheetId="66">#REF!</definedName>
    <definedName name="__________________DAT9">#REF!</definedName>
    <definedName name="__________________PG1">'[5]Financial Estimates'!$A$7:$B$108</definedName>
    <definedName name="_________________DAT1" localSheetId="70">#REF!</definedName>
    <definedName name="_________________DAT1" localSheetId="52">#REF!</definedName>
    <definedName name="_________________DAT1" localSheetId="58">#REF!</definedName>
    <definedName name="_________________DAT1" localSheetId="56">#REF!</definedName>
    <definedName name="_________________DAT1" localSheetId="57">#REF!</definedName>
    <definedName name="_________________DAT1" localSheetId="64">#REF!</definedName>
    <definedName name="_________________DAT1" localSheetId="67">#REF!</definedName>
    <definedName name="_________________DAT1" localSheetId="65">#REF!</definedName>
    <definedName name="_________________DAT1" localSheetId="68">#REF!</definedName>
    <definedName name="_________________DAT1" localSheetId="71">#REF!</definedName>
    <definedName name="_________________DAT1" localSheetId="44">#REF!</definedName>
    <definedName name="_________________DAT1" localSheetId="45">#REF!</definedName>
    <definedName name="_________________DAT1" localSheetId="17">#REF!</definedName>
    <definedName name="_________________DAT1" localSheetId="27">#REF!</definedName>
    <definedName name="_________________DAT1" localSheetId="72">#REF!</definedName>
    <definedName name="_________________DAT1" localSheetId="28">#REF!</definedName>
    <definedName name="_________________DAT1" localSheetId="29">#REF!</definedName>
    <definedName name="_________________DAT1" localSheetId="66">#REF!</definedName>
    <definedName name="_________________DAT1">#REF!</definedName>
    <definedName name="_________________DAT13" localSheetId="70">'[9]ins spares'!#REF!</definedName>
    <definedName name="_________________DAT13" localSheetId="52">'[9]ins spares'!#REF!</definedName>
    <definedName name="_________________DAT13" localSheetId="58">'[9]ins spares'!#REF!</definedName>
    <definedName name="_________________DAT13" localSheetId="56">'[9]ins spares'!#REF!</definedName>
    <definedName name="_________________DAT13" localSheetId="57">'[9]ins spares'!#REF!</definedName>
    <definedName name="_________________DAT13" localSheetId="64">'[9]ins spares'!#REF!</definedName>
    <definedName name="_________________DAT13" localSheetId="67">'[9]ins spares'!#REF!</definedName>
    <definedName name="_________________DAT13" localSheetId="65">'[9]ins spares'!#REF!</definedName>
    <definedName name="_________________DAT13" localSheetId="68">'[9]ins spares'!#REF!</definedName>
    <definedName name="_________________DAT13" localSheetId="71">'[9]ins spares'!#REF!</definedName>
    <definedName name="_________________DAT13" localSheetId="44">'[9]ins spares'!#REF!</definedName>
    <definedName name="_________________DAT13" localSheetId="45">'[9]ins spares'!#REF!</definedName>
    <definedName name="_________________DAT13" localSheetId="17">'[9]ins spares'!#REF!</definedName>
    <definedName name="_________________DAT13" localSheetId="27">'[9]ins spares'!#REF!</definedName>
    <definedName name="_________________DAT13" localSheetId="72">'[9]ins spares'!#REF!</definedName>
    <definedName name="_________________DAT13" localSheetId="28">'[9]ins spares'!#REF!</definedName>
    <definedName name="_________________DAT13" localSheetId="29">'[9]ins spares'!#REF!</definedName>
    <definedName name="_________________DAT13" localSheetId="66">'[9]ins spares'!#REF!</definedName>
    <definedName name="_________________DAT13">'[9]ins spares'!#REF!</definedName>
    <definedName name="_________________DAT15" localSheetId="70">'[9]ins spares'!#REF!</definedName>
    <definedName name="_________________DAT15" localSheetId="52">'[9]ins spares'!#REF!</definedName>
    <definedName name="_________________DAT15" localSheetId="58">'[9]ins spares'!#REF!</definedName>
    <definedName name="_________________DAT15" localSheetId="57">'[9]ins spares'!#REF!</definedName>
    <definedName name="_________________DAT15" localSheetId="64">'[9]ins spares'!#REF!</definedName>
    <definedName name="_________________DAT15" localSheetId="67">'[9]ins spares'!#REF!</definedName>
    <definedName name="_________________DAT15" localSheetId="65">'[9]ins spares'!#REF!</definedName>
    <definedName name="_________________DAT15" localSheetId="68">'[9]ins spares'!#REF!</definedName>
    <definedName name="_________________DAT15" localSheetId="71">'[9]ins spares'!#REF!</definedName>
    <definedName name="_________________DAT15" localSheetId="44">'[9]ins spares'!#REF!</definedName>
    <definedName name="_________________DAT15" localSheetId="45">'[9]ins spares'!#REF!</definedName>
    <definedName name="_________________DAT15" localSheetId="17">'[9]ins spares'!#REF!</definedName>
    <definedName name="_________________DAT15" localSheetId="27">'[9]ins spares'!#REF!</definedName>
    <definedName name="_________________DAT15" localSheetId="28">'[9]ins spares'!#REF!</definedName>
    <definedName name="_________________DAT15" localSheetId="29">'[9]ins spares'!#REF!</definedName>
    <definedName name="_________________DAT15" localSheetId="66">'[9]ins spares'!#REF!</definedName>
    <definedName name="_________________DAT15">'[9]ins spares'!#REF!</definedName>
    <definedName name="_________________DAT16" localSheetId="70">'[9]ins spares'!#REF!</definedName>
    <definedName name="_________________DAT16" localSheetId="52">'[9]ins spares'!#REF!</definedName>
    <definedName name="_________________DAT16" localSheetId="58">'[9]ins spares'!#REF!</definedName>
    <definedName name="_________________DAT16" localSheetId="57">'[9]ins spares'!#REF!</definedName>
    <definedName name="_________________DAT16" localSheetId="64">'[9]ins spares'!#REF!</definedName>
    <definedName name="_________________DAT16" localSheetId="67">'[9]ins spares'!#REF!</definedName>
    <definedName name="_________________DAT16" localSheetId="65">'[9]ins spares'!#REF!</definedName>
    <definedName name="_________________DAT16" localSheetId="68">'[9]ins spares'!#REF!</definedName>
    <definedName name="_________________DAT16" localSheetId="71">'[9]ins spares'!#REF!</definedName>
    <definedName name="_________________DAT16" localSheetId="44">'[9]ins spares'!#REF!</definedName>
    <definedName name="_________________DAT16" localSheetId="45">'[9]ins spares'!#REF!</definedName>
    <definedName name="_________________DAT16" localSheetId="27">'[9]ins spares'!#REF!</definedName>
    <definedName name="_________________DAT16" localSheetId="28">'[9]ins spares'!#REF!</definedName>
    <definedName name="_________________DAT16" localSheetId="29">'[9]ins spares'!#REF!</definedName>
    <definedName name="_________________DAT16" localSheetId="66">'[9]ins spares'!#REF!</definedName>
    <definedName name="_________________DAT16">'[9]ins spares'!#REF!</definedName>
    <definedName name="_________________DAT18" localSheetId="70">'[9]ins spares'!#REF!</definedName>
    <definedName name="_________________DAT18" localSheetId="52">'[9]ins spares'!#REF!</definedName>
    <definedName name="_________________DAT18" localSheetId="58">'[9]ins spares'!#REF!</definedName>
    <definedName name="_________________DAT18" localSheetId="57">'[9]ins spares'!#REF!</definedName>
    <definedName name="_________________DAT18" localSheetId="64">'[9]ins spares'!#REF!</definedName>
    <definedName name="_________________DAT18" localSheetId="67">'[9]ins spares'!#REF!</definedName>
    <definedName name="_________________DAT18" localSheetId="65">'[9]ins spares'!#REF!</definedName>
    <definedName name="_________________DAT18" localSheetId="68">'[9]ins spares'!#REF!</definedName>
    <definedName name="_________________DAT18" localSheetId="71">'[9]ins spares'!#REF!</definedName>
    <definedName name="_________________DAT18" localSheetId="44">'[9]ins spares'!#REF!</definedName>
    <definedName name="_________________DAT18" localSheetId="45">'[9]ins spares'!#REF!</definedName>
    <definedName name="_________________DAT18" localSheetId="27">'[9]ins spares'!#REF!</definedName>
    <definedName name="_________________DAT18" localSheetId="28">'[9]ins spares'!#REF!</definedName>
    <definedName name="_________________DAT18" localSheetId="29">'[9]ins spares'!#REF!</definedName>
    <definedName name="_________________DAT18" localSheetId="66">'[9]ins spares'!#REF!</definedName>
    <definedName name="_________________DAT18">'[9]ins spares'!#REF!</definedName>
    <definedName name="_________________DAT19" localSheetId="70">'[9]ins spares'!#REF!</definedName>
    <definedName name="_________________DAT19" localSheetId="52">'[9]ins spares'!#REF!</definedName>
    <definedName name="_________________DAT19" localSheetId="58">'[9]ins spares'!#REF!</definedName>
    <definedName name="_________________DAT19" localSheetId="57">'[9]ins spares'!#REF!</definedName>
    <definedName name="_________________DAT19" localSheetId="64">'[9]ins spares'!#REF!</definedName>
    <definedName name="_________________DAT19" localSheetId="67">'[9]ins spares'!#REF!</definedName>
    <definedName name="_________________DAT19" localSheetId="65">'[9]ins spares'!#REF!</definedName>
    <definedName name="_________________DAT19" localSheetId="68">'[9]ins spares'!#REF!</definedName>
    <definedName name="_________________DAT19" localSheetId="71">'[9]ins spares'!#REF!</definedName>
    <definedName name="_________________DAT19" localSheetId="44">'[9]ins spares'!#REF!</definedName>
    <definedName name="_________________DAT19" localSheetId="45">'[9]ins spares'!#REF!</definedName>
    <definedName name="_________________DAT19" localSheetId="27">'[9]ins spares'!#REF!</definedName>
    <definedName name="_________________DAT19" localSheetId="28">'[9]ins spares'!#REF!</definedName>
    <definedName name="_________________DAT19" localSheetId="29">'[9]ins spares'!#REF!</definedName>
    <definedName name="_________________DAT19" localSheetId="66">'[9]ins spares'!#REF!</definedName>
    <definedName name="_________________DAT19">'[9]ins spares'!#REF!</definedName>
    <definedName name="_________________DAT2" localSheetId="70">#REF!</definedName>
    <definedName name="_________________DAT2" localSheetId="52">#REF!</definedName>
    <definedName name="_________________DAT2" localSheetId="58">#REF!</definedName>
    <definedName name="_________________DAT2" localSheetId="56">#REF!</definedName>
    <definedName name="_________________DAT2" localSheetId="57">#REF!</definedName>
    <definedName name="_________________DAT2" localSheetId="64">#REF!</definedName>
    <definedName name="_________________DAT2" localSheetId="67">#REF!</definedName>
    <definedName name="_________________DAT2" localSheetId="65">#REF!</definedName>
    <definedName name="_________________DAT2" localSheetId="68">#REF!</definedName>
    <definedName name="_________________DAT2" localSheetId="71">#REF!</definedName>
    <definedName name="_________________DAT2" localSheetId="44">#REF!</definedName>
    <definedName name="_________________DAT2" localSheetId="45">#REF!</definedName>
    <definedName name="_________________DAT2" localSheetId="17">#REF!</definedName>
    <definedName name="_________________DAT2" localSheetId="27">#REF!</definedName>
    <definedName name="_________________DAT2" localSheetId="72">#REF!</definedName>
    <definedName name="_________________DAT2" localSheetId="28">#REF!</definedName>
    <definedName name="_________________DAT2" localSheetId="29">#REF!</definedName>
    <definedName name="_________________DAT2" localSheetId="66">#REF!</definedName>
    <definedName name="_________________DAT2">#REF!</definedName>
    <definedName name="_________________DAT20" localSheetId="70">'[9]ins spares'!#REF!</definedName>
    <definedName name="_________________DAT20" localSheetId="52">'[9]ins spares'!#REF!</definedName>
    <definedName name="_________________DAT20" localSheetId="58">'[9]ins spares'!#REF!</definedName>
    <definedName name="_________________DAT20" localSheetId="56">'[9]ins spares'!#REF!</definedName>
    <definedName name="_________________DAT20" localSheetId="57">'[9]ins spares'!#REF!</definedName>
    <definedName name="_________________DAT20" localSheetId="64">'[9]ins spares'!#REF!</definedName>
    <definedName name="_________________DAT20" localSheetId="67">'[9]ins spares'!#REF!</definedName>
    <definedName name="_________________DAT20" localSheetId="65">'[9]ins spares'!#REF!</definedName>
    <definedName name="_________________DAT20" localSheetId="68">'[9]ins spares'!#REF!</definedName>
    <definedName name="_________________DAT20" localSheetId="71">'[9]ins spares'!#REF!</definedName>
    <definedName name="_________________DAT20" localSheetId="44">'[9]ins spares'!#REF!</definedName>
    <definedName name="_________________DAT20" localSheetId="45">'[9]ins spares'!#REF!</definedName>
    <definedName name="_________________DAT20" localSheetId="17">'[9]ins spares'!#REF!</definedName>
    <definedName name="_________________DAT20" localSheetId="27">'[9]ins spares'!#REF!</definedName>
    <definedName name="_________________DAT20" localSheetId="72">'[9]ins spares'!#REF!</definedName>
    <definedName name="_________________DAT20" localSheetId="28">'[9]ins spares'!#REF!</definedName>
    <definedName name="_________________DAT20" localSheetId="29">'[9]ins spares'!#REF!</definedName>
    <definedName name="_________________DAT20" localSheetId="66">'[9]ins spares'!#REF!</definedName>
    <definedName name="_________________DAT20">'[9]ins spares'!#REF!</definedName>
    <definedName name="_________________DAT21" localSheetId="70">'[9]ins spares'!#REF!</definedName>
    <definedName name="_________________DAT21" localSheetId="52">'[9]ins spares'!#REF!</definedName>
    <definedName name="_________________DAT21" localSheetId="58">'[9]ins spares'!#REF!</definedName>
    <definedName name="_________________DAT21" localSheetId="57">'[9]ins spares'!#REF!</definedName>
    <definedName name="_________________DAT21" localSheetId="64">'[9]ins spares'!#REF!</definedName>
    <definedName name="_________________DAT21" localSheetId="67">'[9]ins spares'!#REF!</definedName>
    <definedName name="_________________DAT21" localSheetId="65">'[9]ins spares'!#REF!</definedName>
    <definedName name="_________________DAT21" localSheetId="68">'[9]ins spares'!#REF!</definedName>
    <definedName name="_________________DAT21" localSheetId="71">'[9]ins spares'!#REF!</definedName>
    <definedName name="_________________DAT21" localSheetId="44">'[9]ins spares'!#REF!</definedName>
    <definedName name="_________________DAT21" localSheetId="45">'[9]ins spares'!#REF!</definedName>
    <definedName name="_________________DAT21" localSheetId="27">'[9]ins spares'!#REF!</definedName>
    <definedName name="_________________DAT21" localSheetId="28">'[9]ins spares'!#REF!</definedName>
    <definedName name="_________________DAT21" localSheetId="29">'[9]ins spares'!#REF!</definedName>
    <definedName name="_________________DAT21" localSheetId="66">'[9]ins spares'!#REF!</definedName>
    <definedName name="_________________DAT21">'[9]ins spares'!#REF!</definedName>
    <definedName name="_________________DAT22" localSheetId="70">'[9]ins spares'!#REF!</definedName>
    <definedName name="_________________DAT22" localSheetId="52">'[9]ins spares'!#REF!</definedName>
    <definedName name="_________________DAT22" localSheetId="58">'[9]ins spares'!#REF!</definedName>
    <definedName name="_________________DAT22" localSheetId="57">'[9]ins spares'!#REF!</definedName>
    <definedName name="_________________DAT22" localSheetId="64">'[9]ins spares'!#REF!</definedName>
    <definedName name="_________________DAT22" localSheetId="67">'[9]ins spares'!#REF!</definedName>
    <definedName name="_________________DAT22" localSheetId="65">'[9]ins spares'!#REF!</definedName>
    <definedName name="_________________DAT22" localSheetId="68">'[9]ins spares'!#REF!</definedName>
    <definedName name="_________________DAT22" localSheetId="71">'[9]ins spares'!#REF!</definedName>
    <definedName name="_________________DAT22" localSheetId="44">'[9]ins spares'!#REF!</definedName>
    <definedName name="_________________DAT22" localSheetId="45">'[9]ins spares'!#REF!</definedName>
    <definedName name="_________________DAT22" localSheetId="27">'[9]ins spares'!#REF!</definedName>
    <definedName name="_________________DAT22" localSheetId="28">'[9]ins spares'!#REF!</definedName>
    <definedName name="_________________DAT22" localSheetId="29">'[9]ins spares'!#REF!</definedName>
    <definedName name="_________________DAT22" localSheetId="66">'[9]ins spares'!#REF!</definedName>
    <definedName name="_________________DAT22">'[9]ins spares'!#REF!</definedName>
    <definedName name="_________________DAT23" localSheetId="70">'[9]ins spares'!#REF!</definedName>
    <definedName name="_________________DAT23" localSheetId="52">'[9]ins spares'!#REF!</definedName>
    <definedName name="_________________DAT23" localSheetId="58">'[9]ins spares'!#REF!</definedName>
    <definedName name="_________________DAT23" localSheetId="57">'[9]ins spares'!#REF!</definedName>
    <definedName name="_________________DAT23" localSheetId="64">'[9]ins spares'!#REF!</definedName>
    <definedName name="_________________DAT23" localSheetId="67">'[9]ins spares'!#REF!</definedName>
    <definedName name="_________________DAT23" localSheetId="65">'[9]ins spares'!#REF!</definedName>
    <definedName name="_________________DAT23" localSheetId="68">'[9]ins spares'!#REF!</definedName>
    <definedName name="_________________DAT23" localSheetId="71">'[9]ins spares'!#REF!</definedName>
    <definedName name="_________________DAT23" localSheetId="44">'[9]ins spares'!#REF!</definedName>
    <definedName name="_________________DAT23" localSheetId="45">'[9]ins spares'!#REF!</definedName>
    <definedName name="_________________DAT23" localSheetId="27">'[9]ins spares'!#REF!</definedName>
    <definedName name="_________________DAT23" localSheetId="28">'[9]ins spares'!#REF!</definedName>
    <definedName name="_________________DAT23" localSheetId="29">'[9]ins spares'!#REF!</definedName>
    <definedName name="_________________DAT23" localSheetId="66">'[9]ins spares'!#REF!</definedName>
    <definedName name="_________________DAT23">'[9]ins spares'!#REF!</definedName>
    <definedName name="_________________DAT24" localSheetId="70">'[9]ins spares'!#REF!</definedName>
    <definedName name="_________________DAT24" localSheetId="52">'[9]ins spares'!#REF!</definedName>
    <definedName name="_________________DAT24" localSheetId="58">'[9]ins spares'!#REF!</definedName>
    <definedName name="_________________DAT24" localSheetId="57">'[9]ins spares'!#REF!</definedName>
    <definedName name="_________________DAT24" localSheetId="64">'[9]ins spares'!#REF!</definedName>
    <definedName name="_________________DAT24" localSheetId="67">'[9]ins spares'!#REF!</definedName>
    <definedName name="_________________DAT24" localSheetId="65">'[9]ins spares'!#REF!</definedName>
    <definedName name="_________________DAT24" localSheetId="68">'[9]ins spares'!#REF!</definedName>
    <definedName name="_________________DAT24" localSheetId="71">'[9]ins spares'!#REF!</definedName>
    <definedName name="_________________DAT24" localSheetId="44">'[9]ins spares'!#REF!</definedName>
    <definedName name="_________________DAT24" localSheetId="45">'[9]ins spares'!#REF!</definedName>
    <definedName name="_________________DAT24" localSheetId="27">'[9]ins spares'!#REF!</definedName>
    <definedName name="_________________DAT24" localSheetId="28">'[9]ins spares'!#REF!</definedName>
    <definedName name="_________________DAT24" localSheetId="29">'[9]ins spares'!#REF!</definedName>
    <definedName name="_________________DAT24" localSheetId="66">'[9]ins spares'!#REF!</definedName>
    <definedName name="_________________DAT24">'[9]ins spares'!#REF!</definedName>
    <definedName name="_________________DAT3" localSheetId="70">#REF!</definedName>
    <definedName name="_________________DAT3" localSheetId="52">#REF!</definedName>
    <definedName name="_________________DAT3" localSheetId="58">#REF!</definedName>
    <definedName name="_________________DAT3" localSheetId="56">#REF!</definedName>
    <definedName name="_________________DAT3" localSheetId="57">#REF!</definedName>
    <definedName name="_________________DAT3" localSheetId="64">#REF!</definedName>
    <definedName name="_________________DAT3" localSheetId="67">#REF!</definedName>
    <definedName name="_________________DAT3" localSheetId="65">#REF!</definedName>
    <definedName name="_________________DAT3" localSheetId="68">#REF!</definedName>
    <definedName name="_________________DAT3" localSheetId="71">#REF!</definedName>
    <definedName name="_________________DAT3" localSheetId="44">#REF!</definedName>
    <definedName name="_________________DAT3" localSheetId="45">#REF!</definedName>
    <definedName name="_________________DAT3" localSheetId="17">#REF!</definedName>
    <definedName name="_________________DAT3" localSheetId="27">#REF!</definedName>
    <definedName name="_________________DAT3" localSheetId="72">#REF!</definedName>
    <definedName name="_________________DAT3" localSheetId="28">#REF!</definedName>
    <definedName name="_________________DAT3" localSheetId="29">#REF!</definedName>
    <definedName name="_________________DAT3" localSheetId="66">#REF!</definedName>
    <definedName name="_________________DAT3">#REF!</definedName>
    <definedName name="_________________DAT4" localSheetId="70">#REF!</definedName>
    <definedName name="_________________DAT4" localSheetId="52">#REF!</definedName>
    <definedName name="_________________DAT4" localSheetId="58">#REF!</definedName>
    <definedName name="_________________DAT4" localSheetId="57">#REF!</definedName>
    <definedName name="_________________DAT4" localSheetId="64">#REF!</definedName>
    <definedName name="_________________DAT4" localSheetId="67">#REF!</definedName>
    <definedName name="_________________DAT4" localSheetId="65">#REF!</definedName>
    <definedName name="_________________DAT4" localSheetId="68">#REF!</definedName>
    <definedName name="_________________DAT4" localSheetId="71">#REF!</definedName>
    <definedName name="_________________DAT4" localSheetId="44">#REF!</definedName>
    <definedName name="_________________DAT4" localSheetId="45">#REF!</definedName>
    <definedName name="_________________DAT4" localSheetId="17">#REF!</definedName>
    <definedName name="_________________DAT4" localSheetId="27">#REF!</definedName>
    <definedName name="_________________DAT4" localSheetId="72">#REF!</definedName>
    <definedName name="_________________DAT4" localSheetId="28">#REF!</definedName>
    <definedName name="_________________DAT4" localSheetId="29">#REF!</definedName>
    <definedName name="_________________DAT4" localSheetId="66">#REF!</definedName>
    <definedName name="_________________DAT4">#REF!</definedName>
    <definedName name="_________________DAT5" localSheetId="70">#REF!</definedName>
    <definedName name="_________________DAT5" localSheetId="52">#REF!</definedName>
    <definedName name="_________________DAT5" localSheetId="58">#REF!</definedName>
    <definedName name="_________________DAT5" localSheetId="57">#REF!</definedName>
    <definedName name="_________________DAT5" localSheetId="64">#REF!</definedName>
    <definedName name="_________________DAT5" localSheetId="67">#REF!</definedName>
    <definedName name="_________________DAT5" localSheetId="65">#REF!</definedName>
    <definedName name="_________________DAT5" localSheetId="68">#REF!</definedName>
    <definedName name="_________________DAT5" localSheetId="71">#REF!</definedName>
    <definedName name="_________________DAT5" localSheetId="44">#REF!</definedName>
    <definedName name="_________________DAT5" localSheetId="45">#REF!</definedName>
    <definedName name="_________________DAT5" localSheetId="17">#REF!</definedName>
    <definedName name="_________________DAT5" localSheetId="27">#REF!</definedName>
    <definedName name="_________________DAT5" localSheetId="72">#REF!</definedName>
    <definedName name="_________________DAT5" localSheetId="28">#REF!</definedName>
    <definedName name="_________________DAT5" localSheetId="29">#REF!</definedName>
    <definedName name="_________________DAT5" localSheetId="66">#REF!</definedName>
    <definedName name="_________________DAT5">#REF!</definedName>
    <definedName name="_________________DAT6" localSheetId="70">#REF!</definedName>
    <definedName name="_________________DAT6" localSheetId="52">#REF!</definedName>
    <definedName name="_________________DAT6" localSheetId="58">#REF!</definedName>
    <definedName name="_________________DAT6" localSheetId="57">#REF!</definedName>
    <definedName name="_________________DAT6" localSheetId="64">#REF!</definedName>
    <definedName name="_________________DAT6" localSheetId="67">#REF!</definedName>
    <definedName name="_________________DAT6" localSheetId="65">#REF!</definedName>
    <definedName name="_________________DAT6" localSheetId="68">#REF!</definedName>
    <definedName name="_________________DAT6" localSheetId="71">#REF!</definedName>
    <definedName name="_________________DAT6" localSheetId="44">#REF!</definedName>
    <definedName name="_________________DAT6" localSheetId="45">#REF!</definedName>
    <definedName name="_________________DAT6" localSheetId="27">#REF!</definedName>
    <definedName name="_________________DAT6" localSheetId="28">#REF!</definedName>
    <definedName name="_________________DAT6" localSheetId="29">#REF!</definedName>
    <definedName name="_________________DAT6" localSheetId="66">#REF!</definedName>
    <definedName name="_________________DAT6">#REF!</definedName>
    <definedName name="_________________DAT7" localSheetId="70">#REF!</definedName>
    <definedName name="_________________DAT7" localSheetId="52">#REF!</definedName>
    <definedName name="_________________DAT7" localSheetId="58">#REF!</definedName>
    <definedName name="_________________DAT7" localSheetId="57">#REF!</definedName>
    <definedName name="_________________DAT7" localSheetId="64">#REF!</definedName>
    <definedName name="_________________DAT7" localSheetId="67">#REF!</definedName>
    <definedName name="_________________DAT7" localSheetId="65">#REF!</definedName>
    <definedName name="_________________DAT7" localSheetId="68">#REF!</definedName>
    <definedName name="_________________DAT7" localSheetId="71">#REF!</definedName>
    <definedName name="_________________DAT7" localSheetId="44">#REF!</definedName>
    <definedName name="_________________DAT7" localSheetId="45">#REF!</definedName>
    <definedName name="_________________DAT7" localSheetId="27">#REF!</definedName>
    <definedName name="_________________DAT7" localSheetId="28">#REF!</definedName>
    <definedName name="_________________DAT7" localSheetId="29">#REF!</definedName>
    <definedName name="_________________DAT7" localSheetId="66">#REF!</definedName>
    <definedName name="_________________DAT7">#REF!</definedName>
    <definedName name="_________________DAT8" localSheetId="70">#REF!</definedName>
    <definedName name="_________________DAT8" localSheetId="52">#REF!</definedName>
    <definedName name="_________________DAT8" localSheetId="58">#REF!</definedName>
    <definedName name="_________________DAT8" localSheetId="57">#REF!</definedName>
    <definedName name="_________________DAT8" localSheetId="64">#REF!</definedName>
    <definedName name="_________________DAT8" localSheetId="67">#REF!</definedName>
    <definedName name="_________________DAT8" localSheetId="65">#REF!</definedName>
    <definedName name="_________________DAT8" localSheetId="68">#REF!</definedName>
    <definedName name="_________________DAT8" localSheetId="71">#REF!</definedName>
    <definedName name="_________________DAT8" localSheetId="44">#REF!</definedName>
    <definedName name="_________________DAT8" localSheetId="45">#REF!</definedName>
    <definedName name="_________________DAT8" localSheetId="27">#REF!</definedName>
    <definedName name="_________________DAT8" localSheetId="28">#REF!</definedName>
    <definedName name="_________________DAT8" localSheetId="29">#REF!</definedName>
    <definedName name="_________________DAT8" localSheetId="66">#REF!</definedName>
    <definedName name="_________________DAT8">#REF!</definedName>
    <definedName name="_________________DAT9" localSheetId="70">#REF!</definedName>
    <definedName name="_________________DAT9" localSheetId="52">#REF!</definedName>
    <definedName name="_________________DAT9" localSheetId="58">#REF!</definedName>
    <definedName name="_________________DAT9" localSheetId="57">#REF!</definedName>
    <definedName name="_________________DAT9" localSheetId="64">#REF!</definedName>
    <definedName name="_________________DAT9" localSheetId="67">#REF!</definedName>
    <definedName name="_________________DAT9" localSheetId="65">#REF!</definedName>
    <definedName name="_________________DAT9" localSheetId="68">#REF!</definedName>
    <definedName name="_________________DAT9" localSheetId="71">#REF!</definedName>
    <definedName name="_________________DAT9" localSheetId="44">#REF!</definedName>
    <definedName name="_________________DAT9" localSheetId="45">#REF!</definedName>
    <definedName name="_________________DAT9" localSheetId="27">#REF!</definedName>
    <definedName name="_________________DAT9" localSheetId="28">#REF!</definedName>
    <definedName name="_________________DAT9" localSheetId="29">#REF!</definedName>
    <definedName name="_________________DAT9" localSheetId="66">#REF!</definedName>
    <definedName name="_________________DAT9">#REF!</definedName>
    <definedName name="_________________G87634" localSheetId="70">#REF!</definedName>
    <definedName name="_________________G87634" localSheetId="52">#REF!</definedName>
    <definedName name="_________________G87634" localSheetId="58">#REF!</definedName>
    <definedName name="_________________G87634" localSheetId="57">#REF!</definedName>
    <definedName name="_________________G87634" localSheetId="64">#REF!</definedName>
    <definedName name="_________________G87634" localSheetId="67">#REF!</definedName>
    <definedName name="_________________G87634" localSheetId="65">#REF!</definedName>
    <definedName name="_________________G87634" localSheetId="68">#REF!</definedName>
    <definedName name="_________________G87634" localSheetId="71">#REF!</definedName>
    <definedName name="_________________G87634" localSheetId="44">#REF!</definedName>
    <definedName name="_________________G87634" localSheetId="45">#REF!</definedName>
    <definedName name="_________________G87634" localSheetId="27">#REF!</definedName>
    <definedName name="_________________G87634" localSheetId="28">#REF!</definedName>
    <definedName name="_________________G87634" localSheetId="29">#REF!</definedName>
    <definedName name="_________________G87634" localSheetId="66">#REF!</definedName>
    <definedName name="_________________G87634">#REF!</definedName>
    <definedName name="________________DAT12" localSheetId="70">'[9]ins spares'!#REF!</definedName>
    <definedName name="________________DAT12" localSheetId="52">'[9]ins spares'!#REF!</definedName>
    <definedName name="________________DAT12" localSheetId="58">'[9]ins spares'!#REF!</definedName>
    <definedName name="________________DAT12" localSheetId="57">'[9]ins spares'!#REF!</definedName>
    <definedName name="________________DAT12" localSheetId="64">'[9]ins spares'!#REF!</definedName>
    <definedName name="________________DAT12" localSheetId="67">'[9]ins spares'!#REF!</definedName>
    <definedName name="________________DAT12" localSheetId="65">'[9]ins spares'!#REF!</definedName>
    <definedName name="________________DAT12" localSheetId="68">'[9]ins spares'!#REF!</definedName>
    <definedName name="________________DAT12" localSheetId="71">'[9]ins spares'!#REF!</definedName>
    <definedName name="________________DAT12" localSheetId="44">'[9]ins spares'!#REF!</definedName>
    <definedName name="________________DAT12" localSheetId="45">'[9]ins spares'!#REF!</definedName>
    <definedName name="________________DAT12" localSheetId="27">'[9]ins spares'!#REF!</definedName>
    <definedName name="________________DAT12" localSheetId="28">'[9]ins spares'!#REF!</definedName>
    <definedName name="________________DAT12" localSheetId="29">'[9]ins spares'!#REF!</definedName>
    <definedName name="________________DAT12" localSheetId="66">'[9]ins spares'!#REF!</definedName>
    <definedName name="________________DAT12">'[9]ins spares'!#REF!</definedName>
    <definedName name="________________DAT13" localSheetId="70">'[9]ins spares'!#REF!</definedName>
    <definedName name="________________DAT13" localSheetId="52">'[9]ins spares'!#REF!</definedName>
    <definedName name="________________DAT13" localSheetId="58">'[9]ins spares'!#REF!</definedName>
    <definedName name="________________DAT13" localSheetId="57">'[9]ins spares'!#REF!</definedName>
    <definedName name="________________DAT13" localSheetId="64">'[9]ins spares'!#REF!</definedName>
    <definedName name="________________DAT13" localSheetId="67">'[9]ins spares'!#REF!</definedName>
    <definedName name="________________DAT13" localSheetId="65">'[9]ins spares'!#REF!</definedName>
    <definedName name="________________DAT13" localSheetId="68">'[9]ins spares'!#REF!</definedName>
    <definedName name="________________DAT13" localSheetId="71">'[9]ins spares'!#REF!</definedName>
    <definedName name="________________DAT13" localSheetId="44">'[9]ins spares'!#REF!</definedName>
    <definedName name="________________DAT13" localSheetId="45">'[9]ins spares'!#REF!</definedName>
    <definedName name="________________DAT13" localSheetId="27">'[9]ins spares'!#REF!</definedName>
    <definedName name="________________DAT13" localSheetId="28">'[9]ins spares'!#REF!</definedName>
    <definedName name="________________DAT13" localSheetId="29">'[9]ins spares'!#REF!</definedName>
    <definedName name="________________DAT13" localSheetId="66">'[9]ins spares'!#REF!</definedName>
    <definedName name="________________DAT13">'[9]ins spares'!#REF!</definedName>
    <definedName name="________________DAT15" localSheetId="70">'[9]ins spares'!#REF!</definedName>
    <definedName name="________________DAT15" localSheetId="52">'[9]ins spares'!#REF!</definedName>
    <definedName name="________________DAT15" localSheetId="58">'[9]ins spares'!#REF!</definedName>
    <definedName name="________________DAT15" localSheetId="57">'[9]ins spares'!#REF!</definedName>
    <definedName name="________________DAT15" localSheetId="64">'[9]ins spares'!#REF!</definedName>
    <definedName name="________________DAT15" localSheetId="67">'[9]ins spares'!#REF!</definedName>
    <definedName name="________________DAT15" localSheetId="65">'[9]ins spares'!#REF!</definedName>
    <definedName name="________________DAT15" localSheetId="68">'[9]ins spares'!#REF!</definedName>
    <definedName name="________________DAT15" localSheetId="71">'[9]ins spares'!#REF!</definedName>
    <definedName name="________________DAT15" localSheetId="44">'[9]ins spares'!#REF!</definedName>
    <definedName name="________________DAT15" localSheetId="45">'[9]ins spares'!#REF!</definedName>
    <definedName name="________________DAT15" localSheetId="27">'[9]ins spares'!#REF!</definedName>
    <definedName name="________________DAT15" localSheetId="28">'[9]ins spares'!#REF!</definedName>
    <definedName name="________________DAT15" localSheetId="29">'[9]ins spares'!#REF!</definedName>
    <definedName name="________________DAT15" localSheetId="66">'[9]ins spares'!#REF!</definedName>
    <definedName name="________________DAT15">'[9]ins spares'!#REF!</definedName>
    <definedName name="________________DAT16" localSheetId="70">'[10]ins spares'!#REF!</definedName>
    <definedName name="________________DAT16" localSheetId="52">'[10]ins spares'!#REF!</definedName>
    <definedName name="________________DAT16" localSheetId="58">'[10]ins spares'!#REF!</definedName>
    <definedName name="________________DAT16" localSheetId="57">'[10]ins spares'!#REF!</definedName>
    <definedName name="________________DAT16" localSheetId="64">'[10]ins spares'!#REF!</definedName>
    <definedName name="________________DAT16" localSheetId="67">'[10]ins spares'!#REF!</definedName>
    <definedName name="________________DAT16" localSheetId="65">'[10]ins spares'!#REF!</definedName>
    <definedName name="________________DAT16" localSheetId="68">'[10]ins spares'!#REF!</definedName>
    <definedName name="________________DAT16" localSheetId="71">'[10]ins spares'!#REF!</definedName>
    <definedName name="________________DAT16" localSheetId="44">'[10]ins spares'!#REF!</definedName>
    <definedName name="________________DAT16" localSheetId="45">'[10]ins spares'!#REF!</definedName>
    <definedName name="________________DAT16" localSheetId="27">'[10]ins spares'!#REF!</definedName>
    <definedName name="________________DAT16" localSheetId="28">'[10]ins spares'!#REF!</definedName>
    <definedName name="________________DAT16" localSheetId="29">'[10]ins spares'!#REF!</definedName>
    <definedName name="________________DAT16" localSheetId="66">'[10]ins spares'!#REF!</definedName>
    <definedName name="________________DAT16">'[10]ins spares'!#REF!</definedName>
    <definedName name="________________DAT18" localSheetId="70">'[10]ins spares'!#REF!</definedName>
    <definedName name="________________DAT18" localSheetId="52">'[10]ins spares'!#REF!</definedName>
    <definedName name="________________DAT18" localSheetId="58">'[10]ins spares'!#REF!</definedName>
    <definedName name="________________DAT18" localSheetId="57">'[10]ins spares'!#REF!</definedName>
    <definedName name="________________DAT18" localSheetId="64">'[10]ins spares'!#REF!</definedName>
    <definedName name="________________DAT18" localSheetId="67">'[10]ins spares'!#REF!</definedName>
    <definedName name="________________DAT18" localSheetId="65">'[10]ins spares'!#REF!</definedName>
    <definedName name="________________DAT18" localSheetId="68">'[10]ins spares'!#REF!</definedName>
    <definedName name="________________DAT18" localSheetId="71">'[10]ins spares'!#REF!</definedName>
    <definedName name="________________DAT18" localSheetId="44">'[10]ins spares'!#REF!</definedName>
    <definedName name="________________DAT18" localSheetId="45">'[10]ins spares'!#REF!</definedName>
    <definedName name="________________DAT18" localSheetId="27">'[10]ins spares'!#REF!</definedName>
    <definedName name="________________DAT18" localSheetId="28">'[10]ins spares'!#REF!</definedName>
    <definedName name="________________DAT18" localSheetId="29">'[10]ins spares'!#REF!</definedName>
    <definedName name="________________DAT18" localSheetId="66">'[10]ins spares'!#REF!</definedName>
    <definedName name="________________DAT18">'[10]ins spares'!#REF!</definedName>
    <definedName name="________________DAT19" localSheetId="70">'[10]ins spares'!#REF!</definedName>
    <definedName name="________________DAT19" localSheetId="52">'[10]ins spares'!#REF!</definedName>
    <definedName name="________________DAT19" localSheetId="58">'[10]ins spares'!#REF!</definedName>
    <definedName name="________________DAT19" localSheetId="57">'[10]ins spares'!#REF!</definedName>
    <definedName name="________________DAT19" localSheetId="64">'[10]ins spares'!#REF!</definedName>
    <definedName name="________________DAT19" localSheetId="67">'[10]ins spares'!#REF!</definedName>
    <definedName name="________________DAT19" localSheetId="65">'[10]ins spares'!#REF!</definedName>
    <definedName name="________________DAT19" localSheetId="68">'[10]ins spares'!#REF!</definedName>
    <definedName name="________________DAT19" localSheetId="71">'[10]ins spares'!#REF!</definedName>
    <definedName name="________________DAT19" localSheetId="44">'[10]ins spares'!#REF!</definedName>
    <definedName name="________________DAT19" localSheetId="45">'[10]ins spares'!#REF!</definedName>
    <definedName name="________________DAT19" localSheetId="27">'[10]ins spares'!#REF!</definedName>
    <definedName name="________________DAT19" localSheetId="28">'[10]ins spares'!#REF!</definedName>
    <definedName name="________________DAT19" localSheetId="29">'[10]ins spares'!#REF!</definedName>
    <definedName name="________________DAT19" localSheetId="66">'[10]ins spares'!#REF!</definedName>
    <definedName name="________________DAT19">'[10]ins spares'!#REF!</definedName>
    <definedName name="________________DAT7" localSheetId="70">#REF!</definedName>
    <definedName name="________________DAT7" localSheetId="52">#REF!</definedName>
    <definedName name="________________DAT7" localSheetId="58">#REF!</definedName>
    <definedName name="________________DAT7" localSheetId="56">#REF!</definedName>
    <definedName name="________________DAT7" localSheetId="57">#REF!</definedName>
    <definedName name="________________DAT7" localSheetId="64">#REF!</definedName>
    <definedName name="________________DAT7" localSheetId="67">#REF!</definedName>
    <definedName name="________________DAT7" localSheetId="65">#REF!</definedName>
    <definedName name="________________DAT7" localSheetId="68">#REF!</definedName>
    <definedName name="________________DAT7" localSheetId="71">#REF!</definedName>
    <definedName name="________________DAT7" localSheetId="44">#REF!</definedName>
    <definedName name="________________DAT7" localSheetId="45">#REF!</definedName>
    <definedName name="________________DAT7" localSheetId="17">#REF!</definedName>
    <definedName name="________________DAT7" localSheetId="27">#REF!</definedName>
    <definedName name="________________DAT7" localSheetId="72">#REF!</definedName>
    <definedName name="________________DAT7" localSheetId="28">#REF!</definedName>
    <definedName name="________________DAT7" localSheetId="29">#REF!</definedName>
    <definedName name="________________DAT7" localSheetId="66">#REF!</definedName>
    <definedName name="________________DAT7">#REF!</definedName>
    <definedName name="________________G87634" localSheetId="70">#REF!</definedName>
    <definedName name="________________G87634" localSheetId="52">#REF!</definedName>
    <definedName name="________________G87634" localSheetId="58">#REF!</definedName>
    <definedName name="________________G87634" localSheetId="57">#REF!</definedName>
    <definedName name="________________G87634" localSheetId="64">#REF!</definedName>
    <definedName name="________________G87634" localSheetId="67">#REF!</definedName>
    <definedName name="________________G87634" localSheetId="65">#REF!</definedName>
    <definedName name="________________G87634" localSheetId="68">#REF!</definedName>
    <definedName name="________________G87634" localSheetId="71">#REF!</definedName>
    <definedName name="________________G87634" localSheetId="44">#REF!</definedName>
    <definedName name="________________G87634" localSheetId="45">#REF!</definedName>
    <definedName name="________________G87634" localSheetId="17">#REF!</definedName>
    <definedName name="________________G87634" localSheetId="27">#REF!</definedName>
    <definedName name="________________G87634" localSheetId="72">#REF!</definedName>
    <definedName name="________________G87634" localSheetId="28">#REF!</definedName>
    <definedName name="________________G87634" localSheetId="29">#REF!</definedName>
    <definedName name="________________G87634" localSheetId="66">#REF!</definedName>
    <definedName name="________________G87634">#REF!</definedName>
    <definedName name="________________PG1">'[5]Financial Estimates'!$A$7:$B$108</definedName>
    <definedName name="_______________DAT10" localSheetId="70">#REF!</definedName>
    <definedName name="_______________DAT10" localSheetId="52">#REF!</definedName>
    <definedName name="_______________DAT10" localSheetId="58">#REF!</definedName>
    <definedName name="_______________DAT10" localSheetId="56">#REF!</definedName>
    <definedName name="_______________DAT10" localSheetId="57">#REF!</definedName>
    <definedName name="_______________DAT10" localSheetId="64">#REF!</definedName>
    <definedName name="_______________DAT10" localSheetId="67">#REF!</definedName>
    <definedName name="_______________DAT10" localSheetId="65">#REF!</definedName>
    <definedName name="_______________DAT10" localSheetId="68">#REF!</definedName>
    <definedName name="_______________DAT10" localSheetId="71">#REF!</definedName>
    <definedName name="_______________DAT10" localSheetId="44">#REF!</definedName>
    <definedName name="_______________DAT10" localSheetId="45">#REF!</definedName>
    <definedName name="_______________DAT10" localSheetId="17">#REF!</definedName>
    <definedName name="_______________DAT10" localSheetId="27">#REF!</definedName>
    <definedName name="_______________DAT10" localSheetId="72">#REF!</definedName>
    <definedName name="_______________DAT10" localSheetId="28">#REF!</definedName>
    <definedName name="_______________DAT10" localSheetId="29">#REF!</definedName>
    <definedName name="_______________DAT10" localSheetId="66">#REF!</definedName>
    <definedName name="_______________DAT10">#REF!</definedName>
    <definedName name="_______________DAT11" localSheetId="70">#REF!</definedName>
    <definedName name="_______________DAT11" localSheetId="52">#REF!</definedName>
    <definedName name="_______________DAT11" localSheetId="58">#REF!</definedName>
    <definedName name="_______________DAT11" localSheetId="57">#REF!</definedName>
    <definedName name="_______________DAT11" localSheetId="64">#REF!</definedName>
    <definedName name="_______________DAT11" localSheetId="67">#REF!</definedName>
    <definedName name="_______________DAT11" localSheetId="65">#REF!</definedName>
    <definedName name="_______________DAT11" localSheetId="68">#REF!</definedName>
    <definedName name="_______________DAT11" localSheetId="71">#REF!</definedName>
    <definedName name="_______________DAT11" localSheetId="44">#REF!</definedName>
    <definedName name="_______________DAT11" localSheetId="45">#REF!</definedName>
    <definedName name="_______________DAT11" localSheetId="17">#REF!</definedName>
    <definedName name="_______________DAT11" localSheetId="27">#REF!</definedName>
    <definedName name="_______________DAT11" localSheetId="72">#REF!</definedName>
    <definedName name="_______________DAT11" localSheetId="28">#REF!</definedName>
    <definedName name="_______________DAT11" localSheetId="29">#REF!</definedName>
    <definedName name="_______________DAT11" localSheetId="66">#REF!</definedName>
    <definedName name="_______________DAT11">#REF!</definedName>
    <definedName name="_______________DAT5" localSheetId="70">#REF!</definedName>
    <definedName name="_______________DAT5" localSheetId="52">#REF!</definedName>
    <definedName name="_______________DAT5" localSheetId="58">#REF!</definedName>
    <definedName name="_______________DAT5" localSheetId="57">#REF!</definedName>
    <definedName name="_______________DAT5" localSheetId="64">#REF!</definedName>
    <definedName name="_______________DAT5" localSheetId="67">#REF!</definedName>
    <definedName name="_______________DAT5" localSheetId="65">#REF!</definedName>
    <definedName name="_______________DAT5" localSheetId="68">#REF!</definedName>
    <definedName name="_______________DAT5" localSheetId="71">#REF!</definedName>
    <definedName name="_______________DAT5" localSheetId="44">#REF!</definedName>
    <definedName name="_______________DAT5" localSheetId="45">#REF!</definedName>
    <definedName name="_______________DAT5" localSheetId="17">#REF!</definedName>
    <definedName name="_______________DAT5" localSheetId="27">#REF!</definedName>
    <definedName name="_______________DAT5" localSheetId="72">#REF!</definedName>
    <definedName name="_______________DAT5" localSheetId="28">#REF!</definedName>
    <definedName name="_______________DAT5" localSheetId="29">#REF!</definedName>
    <definedName name="_______________DAT5" localSheetId="66">#REF!</definedName>
    <definedName name="_______________DAT5">#REF!</definedName>
    <definedName name="_______________DAT6" localSheetId="70">#REF!</definedName>
    <definedName name="_______________DAT6" localSheetId="52">#REF!</definedName>
    <definedName name="_______________DAT6" localSheetId="58">#REF!</definedName>
    <definedName name="_______________DAT6" localSheetId="57">#REF!</definedName>
    <definedName name="_______________DAT6" localSheetId="64">#REF!</definedName>
    <definedName name="_______________DAT6" localSheetId="67">#REF!</definedName>
    <definedName name="_______________DAT6" localSheetId="65">#REF!</definedName>
    <definedName name="_______________DAT6" localSheetId="68">#REF!</definedName>
    <definedName name="_______________DAT6" localSheetId="71">#REF!</definedName>
    <definedName name="_______________DAT6" localSheetId="44">#REF!</definedName>
    <definedName name="_______________DAT6" localSheetId="45">#REF!</definedName>
    <definedName name="_______________DAT6" localSheetId="27">#REF!</definedName>
    <definedName name="_______________DAT6" localSheetId="28">#REF!</definedName>
    <definedName name="_______________DAT6" localSheetId="29">#REF!</definedName>
    <definedName name="_______________DAT6" localSheetId="66">#REF!</definedName>
    <definedName name="_______________DAT6">#REF!</definedName>
    <definedName name="_______________DAT8" localSheetId="70">#REF!</definedName>
    <definedName name="_______________DAT8" localSheetId="52">#REF!</definedName>
    <definedName name="_______________DAT8" localSheetId="58">#REF!</definedName>
    <definedName name="_______________DAT8" localSheetId="57">#REF!</definedName>
    <definedName name="_______________DAT8" localSheetId="64">#REF!</definedName>
    <definedName name="_______________DAT8" localSheetId="67">#REF!</definedName>
    <definedName name="_______________DAT8" localSheetId="65">#REF!</definedName>
    <definedName name="_______________DAT8" localSheetId="68">#REF!</definedName>
    <definedName name="_______________DAT8" localSheetId="71">#REF!</definedName>
    <definedName name="_______________DAT8" localSheetId="44">#REF!</definedName>
    <definedName name="_______________DAT8" localSheetId="45">#REF!</definedName>
    <definedName name="_______________DAT8" localSheetId="27">#REF!</definedName>
    <definedName name="_______________DAT8" localSheetId="28">#REF!</definedName>
    <definedName name="_______________DAT8" localSheetId="29">#REF!</definedName>
    <definedName name="_______________DAT8" localSheetId="66">#REF!</definedName>
    <definedName name="_______________DAT8">#REF!</definedName>
    <definedName name="_______________DAT9" localSheetId="70">#REF!</definedName>
    <definedName name="_______________DAT9" localSheetId="52">#REF!</definedName>
    <definedName name="_______________DAT9" localSheetId="58">#REF!</definedName>
    <definedName name="_______________DAT9" localSheetId="57">#REF!</definedName>
    <definedName name="_______________DAT9" localSheetId="64">#REF!</definedName>
    <definedName name="_______________DAT9" localSheetId="67">#REF!</definedName>
    <definedName name="_______________DAT9" localSheetId="65">#REF!</definedName>
    <definedName name="_______________DAT9" localSheetId="68">#REF!</definedName>
    <definedName name="_______________DAT9" localSheetId="71">#REF!</definedName>
    <definedName name="_______________DAT9" localSheetId="44">#REF!</definedName>
    <definedName name="_______________DAT9" localSheetId="45">#REF!</definedName>
    <definedName name="_______________DAT9" localSheetId="27">#REF!</definedName>
    <definedName name="_______________DAT9" localSheetId="28">#REF!</definedName>
    <definedName name="_______________DAT9" localSheetId="29">#REF!</definedName>
    <definedName name="_______________DAT9" localSheetId="66">#REF!</definedName>
    <definedName name="_______________DAT9">#REF!</definedName>
    <definedName name="____________DAT16" localSheetId="70">'[9]ins spares'!#REF!</definedName>
    <definedName name="____________DAT16" localSheetId="52">'[9]ins spares'!#REF!</definedName>
    <definedName name="____________DAT16" localSheetId="58">'[9]ins spares'!#REF!</definedName>
    <definedName name="____________DAT16" localSheetId="57">'[9]ins spares'!#REF!</definedName>
    <definedName name="____________DAT16" localSheetId="64">'[9]ins spares'!#REF!</definedName>
    <definedName name="____________DAT16" localSheetId="67">'[9]ins spares'!#REF!</definedName>
    <definedName name="____________DAT16" localSheetId="65">'[9]ins spares'!#REF!</definedName>
    <definedName name="____________DAT16" localSheetId="68">'[9]ins spares'!#REF!</definedName>
    <definedName name="____________DAT16" localSheetId="71">'[9]ins spares'!#REF!</definedName>
    <definedName name="____________DAT16" localSheetId="44">'[9]ins spares'!#REF!</definedName>
    <definedName name="____________DAT16" localSheetId="45">'[9]ins spares'!#REF!</definedName>
    <definedName name="____________DAT16" localSheetId="27">'[9]ins spares'!#REF!</definedName>
    <definedName name="____________DAT16" localSheetId="28">'[9]ins spares'!#REF!</definedName>
    <definedName name="____________DAT16" localSheetId="29">'[9]ins spares'!#REF!</definedName>
    <definedName name="____________DAT16" localSheetId="66">'[9]ins spares'!#REF!</definedName>
    <definedName name="____________DAT16">'[9]ins spares'!#REF!</definedName>
    <definedName name="____________DAT18" localSheetId="70">'[9]ins spares'!#REF!</definedName>
    <definedName name="____________DAT18" localSheetId="52">'[9]ins spares'!#REF!</definedName>
    <definedName name="____________DAT18" localSheetId="58">'[9]ins spares'!#REF!</definedName>
    <definedName name="____________DAT18" localSheetId="57">'[9]ins spares'!#REF!</definedName>
    <definedName name="____________DAT18" localSheetId="64">'[9]ins spares'!#REF!</definedName>
    <definedName name="____________DAT18" localSheetId="67">'[9]ins spares'!#REF!</definedName>
    <definedName name="____________DAT18" localSheetId="65">'[9]ins spares'!#REF!</definedName>
    <definedName name="____________DAT18" localSheetId="68">'[9]ins spares'!#REF!</definedName>
    <definedName name="____________DAT18" localSheetId="71">'[9]ins spares'!#REF!</definedName>
    <definedName name="____________DAT18" localSheetId="44">'[9]ins spares'!#REF!</definedName>
    <definedName name="____________DAT18" localSheetId="45">'[9]ins spares'!#REF!</definedName>
    <definedName name="____________DAT18" localSheetId="27">'[9]ins spares'!#REF!</definedName>
    <definedName name="____________DAT18" localSheetId="28">'[9]ins spares'!#REF!</definedName>
    <definedName name="____________DAT18" localSheetId="29">'[9]ins spares'!#REF!</definedName>
    <definedName name="____________DAT18" localSheetId="66">'[9]ins spares'!#REF!</definedName>
    <definedName name="____________DAT18">'[9]ins spares'!#REF!</definedName>
    <definedName name="____________DAT19" localSheetId="70">'[9]ins spares'!#REF!</definedName>
    <definedName name="____________DAT19" localSheetId="52">'[9]ins spares'!#REF!</definedName>
    <definedName name="____________DAT19" localSheetId="58">'[9]ins spares'!#REF!</definedName>
    <definedName name="____________DAT19" localSheetId="57">'[9]ins spares'!#REF!</definedName>
    <definedName name="____________DAT19" localSheetId="64">'[9]ins spares'!#REF!</definedName>
    <definedName name="____________DAT19" localSheetId="67">'[9]ins spares'!#REF!</definedName>
    <definedName name="____________DAT19" localSheetId="65">'[9]ins spares'!#REF!</definedName>
    <definedName name="____________DAT19" localSheetId="68">'[9]ins spares'!#REF!</definedName>
    <definedName name="____________DAT19" localSheetId="71">'[9]ins spares'!#REF!</definedName>
    <definedName name="____________DAT19" localSheetId="44">'[9]ins spares'!#REF!</definedName>
    <definedName name="____________DAT19" localSheetId="45">'[9]ins spares'!#REF!</definedName>
    <definedName name="____________DAT19" localSheetId="27">'[9]ins spares'!#REF!</definedName>
    <definedName name="____________DAT19" localSheetId="28">'[9]ins spares'!#REF!</definedName>
    <definedName name="____________DAT19" localSheetId="29">'[9]ins spares'!#REF!</definedName>
    <definedName name="____________DAT19" localSheetId="66">'[9]ins spares'!#REF!</definedName>
    <definedName name="____________DAT19">'[9]ins spares'!#REF!</definedName>
    <definedName name="____________DAT20" localSheetId="70">'[9]ins spares'!#REF!</definedName>
    <definedName name="____________DAT20" localSheetId="52">'[9]ins spares'!#REF!</definedName>
    <definedName name="____________DAT20" localSheetId="58">'[9]ins spares'!#REF!</definedName>
    <definedName name="____________DAT20" localSheetId="57">'[9]ins spares'!#REF!</definedName>
    <definedName name="____________DAT20" localSheetId="64">'[9]ins spares'!#REF!</definedName>
    <definedName name="____________DAT20" localSheetId="67">'[9]ins spares'!#REF!</definedName>
    <definedName name="____________DAT20" localSheetId="65">'[9]ins spares'!#REF!</definedName>
    <definedName name="____________DAT20" localSheetId="68">'[9]ins spares'!#REF!</definedName>
    <definedName name="____________DAT20" localSheetId="71">'[9]ins spares'!#REF!</definedName>
    <definedName name="____________DAT20" localSheetId="44">'[9]ins spares'!#REF!</definedName>
    <definedName name="____________DAT20" localSheetId="45">'[9]ins spares'!#REF!</definedName>
    <definedName name="____________DAT20" localSheetId="27">'[9]ins spares'!#REF!</definedName>
    <definedName name="____________DAT20" localSheetId="28">'[9]ins spares'!#REF!</definedName>
    <definedName name="____________DAT20" localSheetId="29">'[9]ins spares'!#REF!</definedName>
    <definedName name="____________DAT20" localSheetId="66">'[9]ins spares'!#REF!</definedName>
    <definedName name="____________DAT20">'[9]ins spares'!#REF!</definedName>
    <definedName name="____________DAT21" localSheetId="70">'[9]ins spares'!#REF!</definedName>
    <definedName name="____________DAT21" localSheetId="52">'[9]ins spares'!#REF!</definedName>
    <definedName name="____________DAT21" localSheetId="58">'[9]ins spares'!#REF!</definedName>
    <definedName name="____________DAT21" localSheetId="57">'[9]ins spares'!#REF!</definedName>
    <definedName name="____________DAT21" localSheetId="64">'[9]ins spares'!#REF!</definedName>
    <definedName name="____________DAT21" localSheetId="67">'[9]ins spares'!#REF!</definedName>
    <definedName name="____________DAT21" localSheetId="65">'[9]ins spares'!#REF!</definedName>
    <definedName name="____________DAT21" localSheetId="68">'[9]ins spares'!#REF!</definedName>
    <definedName name="____________DAT21" localSheetId="71">'[9]ins spares'!#REF!</definedName>
    <definedName name="____________DAT21" localSheetId="44">'[9]ins spares'!#REF!</definedName>
    <definedName name="____________DAT21" localSheetId="45">'[9]ins spares'!#REF!</definedName>
    <definedName name="____________DAT21" localSheetId="27">'[9]ins spares'!#REF!</definedName>
    <definedName name="____________DAT21" localSheetId="28">'[9]ins spares'!#REF!</definedName>
    <definedName name="____________DAT21" localSheetId="29">'[9]ins spares'!#REF!</definedName>
    <definedName name="____________DAT21" localSheetId="66">'[9]ins spares'!#REF!</definedName>
    <definedName name="____________DAT21">'[9]ins spares'!#REF!</definedName>
    <definedName name="____________DAT22" localSheetId="70">'[9]ins spares'!#REF!</definedName>
    <definedName name="____________DAT22" localSheetId="52">'[9]ins spares'!#REF!</definedName>
    <definedName name="____________DAT22" localSheetId="58">'[9]ins spares'!#REF!</definedName>
    <definedName name="____________DAT22" localSheetId="57">'[9]ins spares'!#REF!</definedName>
    <definedName name="____________DAT22" localSheetId="64">'[9]ins spares'!#REF!</definedName>
    <definedName name="____________DAT22" localSheetId="67">'[9]ins spares'!#REF!</definedName>
    <definedName name="____________DAT22" localSheetId="65">'[9]ins spares'!#REF!</definedName>
    <definedName name="____________DAT22" localSheetId="68">'[9]ins spares'!#REF!</definedName>
    <definedName name="____________DAT22" localSheetId="71">'[9]ins spares'!#REF!</definedName>
    <definedName name="____________DAT22" localSheetId="44">'[9]ins spares'!#REF!</definedName>
    <definedName name="____________DAT22" localSheetId="45">'[9]ins spares'!#REF!</definedName>
    <definedName name="____________DAT22" localSheetId="27">'[9]ins spares'!#REF!</definedName>
    <definedName name="____________DAT22" localSheetId="28">'[9]ins spares'!#REF!</definedName>
    <definedName name="____________DAT22" localSheetId="29">'[9]ins spares'!#REF!</definedName>
    <definedName name="____________DAT22" localSheetId="66">'[9]ins spares'!#REF!</definedName>
    <definedName name="____________DAT22">'[9]ins spares'!#REF!</definedName>
    <definedName name="____________DAT23" localSheetId="70">'[9]ins spares'!#REF!</definedName>
    <definedName name="____________DAT23" localSheetId="52">'[9]ins spares'!#REF!</definedName>
    <definedName name="____________DAT23" localSheetId="58">'[9]ins spares'!#REF!</definedName>
    <definedName name="____________DAT23" localSheetId="57">'[9]ins spares'!#REF!</definedName>
    <definedName name="____________DAT23" localSheetId="64">'[9]ins spares'!#REF!</definedName>
    <definedName name="____________DAT23" localSheetId="67">'[9]ins spares'!#REF!</definedName>
    <definedName name="____________DAT23" localSheetId="65">'[9]ins spares'!#REF!</definedName>
    <definedName name="____________DAT23" localSheetId="68">'[9]ins spares'!#REF!</definedName>
    <definedName name="____________DAT23" localSheetId="71">'[9]ins spares'!#REF!</definedName>
    <definedName name="____________DAT23" localSheetId="44">'[9]ins spares'!#REF!</definedName>
    <definedName name="____________DAT23" localSheetId="45">'[9]ins spares'!#REF!</definedName>
    <definedName name="____________DAT23" localSheetId="27">'[9]ins spares'!#REF!</definedName>
    <definedName name="____________DAT23" localSheetId="28">'[9]ins spares'!#REF!</definedName>
    <definedName name="____________DAT23" localSheetId="29">'[9]ins spares'!#REF!</definedName>
    <definedName name="____________DAT23" localSheetId="66">'[9]ins spares'!#REF!</definedName>
    <definedName name="____________DAT23">'[9]ins spares'!#REF!</definedName>
    <definedName name="____________DAT24" localSheetId="70">'[9]ins spares'!#REF!</definedName>
    <definedName name="____________DAT24" localSheetId="52">'[9]ins spares'!#REF!</definedName>
    <definedName name="____________DAT24" localSheetId="58">'[9]ins spares'!#REF!</definedName>
    <definedName name="____________DAT24" localSheetId="57">'[9]ins spares'!#REF!</definedName>
    <definedName name="____________DAT24" localSheetId="64">'[9]ins spares'!#REF!</definedName>
    <definedName name="____________DAT24" localSheetId="67">'[9]ins spares'!#REF!</definedName>
    <definedName name="____________DAT24" localSheetId="65">'[9]ins spares'!#REF!</definedName>
    <definedName name="____________DAT24" localSheetId="68">'[9]ins spares'!#REF!</definedName>
    <definedName name="____________DAT24" localSheetId="71">'[9]ins spares'!#REF!</definedName>
    <definedName name="____________DAT24" localSheetId="44">'[9]ins spares'!#REF!</definedName>
    <definedName name="____________DAT24" localSheetId="45">'[9]ins spares'!#REF!</definedName>
    <definedName name="____________DAT24" localSheetId="27">'[9]ins spares'!#REF!</definedName>
    <definedName name="____________DAT24" localSheetId="28">'[9]ins spares'!#REF!</definedName>
    <definedName name="____________DAT24" localSheetId="29">'[9]ins spares'!#REF!</definedName>
    <definedName name="____________DAT24" localSheetId="66">'[9]ins spares'!#REF!</definedName>
    <definedName name="____________DAT24">'[9]ins spares'!#REF!</definedName>
    <definedName name="____________pg6">'[6]Financial Estimates'!$A$271:$D$342</definedName>
    <definedName name="___________D87840" localSheetId="70">#REF!</definedName>
    <definedName name="___________D87840" localSheetId="52">#REF!</definedName>
    <definedName name="___________D87840" localSheetId="58">#REF!</definedName>
    <definedName name="___________D87840" localSheetId="56">#REF!</definedName>
    <definedName name="___________D87840" localSheetId="57">#REF!</definedName>
    <definedName name="___________D87840" localSheetId="64">#REF!</definedName>
    <definedName name="___________D87840" localSheetId="67">#REF!</definedName>
    <definedName name="___________D87840" localSheetId="65">#REF!</definedName>
    <definedName name="___________D87840" localSheetId="68">#REF!</definedName>
    <definedName name="___________D87840" localSheetId="71">#REF!</definedName>
    <definedName name="___________D87840" localSheetId="44">#REF!</definedName>
    <definedName name="___________D87840" localSheetId="45">#REF!</definedName>
    <definedName name="___________D87840" localSheetId="17">#REF!</definedName>
    <definedName name="___________D87840" localSheetId="27">#REF!</definedName>
    <definedName name="___________D87840" localSheetId="72">#REF!</definedName>
    <definedName name="___________D87840" localSheetId="28">#REF!</definedName>
    <definedName name="___________D87840" localSheetId="29">#REF!</definedName>
    <definedName name="___________D87840" localSheetId="66">#REF!</definedName>
    <definedName name="___________D87840">#REF!</definedName>
    <definedName name="___________G87634" localSheetId="70">#REF!</definedName>
    <definedName name="___________G87634" localSheetId="52">#REF!</definedName>
    <definedName name="___________G87634" localSheetId="58">#REF!</definedName>
    <definedName name="___________G87634" localSheetId="57">#REF!</definedName>
    <definedName name="___________G87634" localSheetId="64">#REF!</definedName>
    <definedName name="___________G87634" localSheetId="67">#REF!</definedName>
    <definedName name="___________G87634" localSheetId="65">#REF!</definedName>
    <definedName name="___________G87634" localSheetId="68">#REF!</definedName>
    <definedName name="___________G87634" localSheetId="71">#REF!</definedName>
    <definedName name="___________G87634" localSheetId="44">#REF!</definedName>
    <definedName name="___________G87634" localSheetId="45">#REF!</definedName>
    <definedName name="___________G87634" localSheetId="17">#REF!</definedName>
    <definedName name="___________G87634" localSheetId="27">#REF!</definedName>
    <definedName name="___________G87634" localSheetId="72">#REF!</definedName>
    <definedName name="___________G87634" localSheetId="28">#REF!</definedName>
    <definedName name="___________G87634" localSheetId="29">#REF!</definedName>
    <definedName name="___________G87634" localSheetId="66">#REF!</definedName>
    <definedName name="___________G87634">#REF!</definedName>
    <definedName name="___________PG5">'[5]Financial Estimates'!$A$271:$D$342</definedName>
    <definedName name="___________pg6">'[6]Financial Estimates'!$A$271:$D$342</definedName>
    <definedName name="__________PG1">'[5]Financial Estimates'!$A$7:$B$108</definedName>
    <definedName name="__________PG5">'[5]Financial Estimates'!$A$271:$D$342</definedName>
    <definedName name="__________pg6">'[7]Financial Estimates'!$A$271:$D$342</definedName>
    <definedName name="_________PG1">'[5]Financial Estimates'!$A$7:$B$108</definedName>
    <definedName name="_________PG2" localSheetId="70">#REF!</definedName>
    <definedName name="_________PG2" localSheetId="52">#REF!</definedName>
    <definedName name="_________PG2" localSheetId="58">#REF!</definedName>
    <definedName name="_________PG2" localSheetId="56">#REF!</definedName>
    <definedName name="_________PG2" localSheetId="57">#REF!</definedName>
    <definedName name="_________PG2" localSheetId="64">#REF!</definedName>
    <definedName name="_________PG2" localSheetId="67">#REF!</definedName>
    <definedName name="_________PG2" localSheetId="65">#REF!</definedName>
    <definedName name="_________PG2" localSheetId="68">#REF!</definedName>
    <definedName name="_________PG2" localSheetId="71">#REF!</definedName>
    <definedName name="_________PG2" localSheetId="44">#REF!</definedName>
    <definedName name="_________PG2" localSheetId="45">#REF!</definedName>
    <definedName name="_________PG2" localSheetId="17">#REF!</definedName>
    <definedName name="_________PG2" localSheetId="27">#REF!</definedName>
    <definedName name="_________PG2" localSheetId="72">#REF!</definedName>
    <definedName name="_________PG2" localSheetId="28">#REF!</definedName>
    <definedName name="_________PG2" localSheetId="29">#REF!</definedName>
    <definedName name="_________PG2" localSheetId="66">#REF!</definedName>
    <definedName name="_________PG2">#REF!</definedName>
    <definedName name="_________PG3" localSheetId="70">#REF!</definedName>
    <definedName name="_________PG3" localSheetId="52">#REF!</definedName>
    <definedName name="_________PG3" localSheetId="58">#REF!</definedName>
    <definedName name="_________PG3" localSheetId="57">#REF!</definedName>
    <definedName name="_________PG3" localSheetId="64">#REF!</definedName>
    <definedName name="_________PG3" localSheetId="67">#REF!</definedName>
    <definedName name="_________PG3" localSheetId="65">#REF!</definedName>
    <definedName name="_________PG3" localSheetId="68">#REF!</definedName>
    <definedName name="_________PG3" localSheetId="71">#REF!</definedName>
    <definedName name="_________PG3" localSheetId="44">#REF!</definedName>
    <definedName name="_________PG3" localSheetId="45">#REF!</definedName>
    <definedName name="_________PG3" localSheetId="17">#REF!</definedName>
    <definedName name="_________PG3" localSheetId="27">#REF!</definedName>
    <definedName name="_________PG3" localSheetId="72">#REF!</definedName>
    <definedName name="_________PG3" localSheetId="28">#REF!</definedName>
    <definedName name="_________PG3" localSheetId="29">#REF!</definedName>
    <definedName name="_________PG3" localSheetId="66">#REF!</definedName>
    <definedName name="_________PG3">#REF!</definedName>
    <definedName name="_________PG5">'[5]Financial Estimates'!$A$271:$D$342</definedName>
    <definedName name="_________pg6">'[7]Financial Estimates'!$A$271:$D$342</definedName>
    <definedName name="________DAT1" localSheetId="70">#REF!</definedName>
    <definedName name="________DAT1" localSheetId="52">#REF!</definedName>
    <definedName name="________DAT1" localSheetId="58">#REF!</definedName>
    <definedName name="________DAT1" localSheetId="56">#REF!</definedName>
    <definedName name="________DAT1" localSheetId="57">#REF!</definedName>
    <definedName name="________DAT1" localSheetId="64">#REF!</definedName>
    <definedName name="________DAT1" localSheetId="67">#REF!</definedName>
    <definedName name="________DAT1" localSheetId="65">#REF!</definedName>
    <definedName name="________DAT1" localSheetId="68">#REF!</definedName>
    <definedName name="________DAT1" localSheetId="71">#REF!</definedName>
    <definedName name="________DAT1" localSheetId="44">#REF!</definedName>
    <definedName name="________DAT1" localSheetId="45">#REF!</definedName>
    <definedName name="________DAT1" localSheetId="17">#REF!</definedName>
    <definedName name="________DAT1" localSheetId="27">#REF!</definedName>
    <definedName name="________DAT1" localSheetId="72">#REF!</definedName>
    <definedName name="________DAT1" localSheetId="28">#REF!</definedName>
    <definedName name="________DAT1" localSheetId="29">#REF!</definedName>
    <definedName name="________DAT1" localSheetId="66">#REF!</definedName>
    <definedName name="________DAT1">#REF!</definedName>
    <definedName name="________DAT10" localSheetId="70">#REF!</definedName>
    <definedName name="________DAT10" localSheetId="52">#REF!</definedName>
    <definedName name="________DAT10" localSheetId="58">#REF!</definedName>
    <definedName name="________DAT10" localSheetId="57">#REF!</definedName>
    <definedName name="________DAT10" localSheetId="64">#REF!</definedName>
    <definedName name="________DAT10" localSheetId="67">#REF!</definedName>
    <definedName name="________DAT10" localSheetId="65">#REF!</definedName>
    <definedName name="________DAT10" localSheetId="68">#REF!</definedName>
    <definedName name="________DAT10" localSheetId="71">#REF!</definedName>
    <definedName name="________DAT10" localSheetId="44">#REF!</definedName>
    <definedName name="________DAT10" localSheetId="45">#REF!</definedName>
    <definedName name="________DAT10" localSheetId="17">#REF!</definedName>
    <definedName name="________DAT10" localSheetId="27">#REF!</definedName>
    <definedName name="________DAT10" localSheetId="72">#REF!</definedName>
    <definedName name="________DAT10" localSheetId="28">#REF!</definedName>
    <definedName name="________DAT10" localSheetId="29">#REF!</definedName>
    <definedName name="________DAT10" localSheetId="66">#REF!</definedName>
    <definedName name="________DAT10">#REF!</definedName>
    <definedName name="________DAT11" localSheetId="70">#REF!</definedName>
    <definedName name="________DAT11" localSheetId="52">#REF!</definedName>
    <definedName name="________DAT11" localSheetId="58">#REF!</definedName>
    <definedName name="________DAT11" localSheetId="57">#REF!</definedName>
    <definedName name="________DAT11" localSheetId="64">#REF!</definedName>
    <definedName name="________DAT11" localSheetId="67">#REF!</definedName>
    <definedName name="________DAT11" localSheetId="65">#REF!</definedName>
    <definedName name="________DAT11" localSheetId="68">#REF!</definedName>
    <definedName name="________DAT11" localSheetId="71">#REF!</definedName>
    <definedName name="________DAT11" localSheetId="44">#REF!</definedName>
    <definedName name="________DAT11" localSheetId="45">#REF!</definedName>
    <definedName name="________DAT11" localSheetId="17">#REF!</definedName>
    <definedName name="________DAT11" localSheetId="27">#REF!</definedName>
    <definedName name="________DAT11" localSheetId="72">#REF!</definedName>
    <definedName name="________DAT11" localSheetId="28">#REF!</definedName>
    <definedName name="________DAT11" localSheetId="29">#REF!</definedName>
    <definedName name="________DAT11" localSheetId="66">#REF!</definedName>
    <definedName name="________DAT11">#REF!</definedName>
    <definedName name="________DAT12" localSheetId="70">'[10]ins spares'!#REF!</definedName>
    <definedName name="________DAT12" localSheetId="52">'[10]ins spares'!#REF!</definedName>
    <definedName name="________DAT12" localSheetId="58">'[10]ins spares'!#REF!</definedName>
    <definedName name="________DAT12" localSheetId="57">'[10]ins spares'!#REF!</definedName>
    <definedName name="________DAT12" localSheetId="64">'[10]ins spares'!#REF!</definedName>
    <definedName name="________DAT12" localSheetId="67">'[10]ins spares'!#REF!</definedName>
    <definedName name="________DAT12" localSheetId="65">'[10]ins spares'!#REF!</definedName>
    <definedName name="________DAT12" localSheetId="68">'[10]ins spares'!#REF!</definedName>
    <definedName name="________DAT12" localSheetId="71">'[10]ins spares'!#REF!</definedName>
    <definedName name="________DAT12" localSheetId="44">'[10]ins spares'!#REF!</definedName>
    <definedName name="________DAT12" localSheetId="45">'[10]ins spares'!#REF!</definedName>
    <definedName name="________DAT12" localSheetId="17">'[10]ins spares'!#REF!</definedName>
    <definedName name="________DAT12" localSheetId="27">'[10]ins spares'!#REF!</definedName>
    <definedName name="________DAT12" localSheetId="72">'[10]ins spares'!#REF!</definedName>
    <definedName name="________DAT12" localSheetId="28">'[10]ins spares'!#REF!</definedName>
    <definedName name="________DAT12" localSheetId="29">'[10]ins spares'!#REF!</definedName>
    <definedName name="________DAT12" localSheetId="66">'[10]ins spares'!#REF!</definedName>
    <definedName name="________DAT12">'[10]ins spares'!#REF!</definedName>
    <definedName name="________DAT13" localSheetId="70">'[10]ins spares'!#REF!</definedName>
    <definedName name="________DAT13" localSheetId="52">'[10]ins spares'!#REF!</definedName>
    <definedName name="________DAT13" localSheetId="58">'[10]ins spares'!#REF!</definedName>
    <definedName name="________DAT13" localSheetId="57">'[10]ins spares'!#REF!</definedName>
    <definedName name="________DAT13" localSheetId="64">'[10]ins spares'!#REF!</definedName>
    <definedName name="________DAT13" localSheetId="67">'[10]ins spares'!#REF!</definedName>
    <definedName name="________DAT13" localSheetId="65">'[10]ins spares'!#REF!</definedName>
    <definedName name="________DAT13" localSheetId="68">'[10]ins spares'!#REF!</definedName>
    <definedName name="________DAT13" localSheetId="71">'[10]ins spares'!#REF!</definedName>
    <definedName name="________DAT13" localSheetId="44">'[10]ins spares'!#REF!</definedName>
    <definedName name="________DAT13" localSheetId="45">'[10]ins spares'!#REF!</definedName>
    <definedName name="________DAT13" localSheetId="17">'[10]ins spares'!#REF!</definedName>
    <definedName name="________DAT13" localSheetId="27">'[10]ins spares'!#REF!</definedName>
    <definedName name="________DAT13" localSheetId="72">'[10]ins spares'!#REF!</definedName>
    <definedName name="________DAT13" localSheetId="28">'[10]ins spares'!#REF!</definedName>
    <definedName name="________DAT13" localSheetId="29">'[10]ins spares'!#REF!</definedName>
    <definedName name="________DAT13" localSheetId="66">'[10]ins spares'!#REF!</definedName>
    <definedName name="________DAT13">'[10]ins spares'!#REF!</definedName>
    <definedName name="________DAT15" localSheetId="70">'[10]ins spares'!#REF!</definedName>
    <definedName name="________DAT15" localSheetId="52">'[10]ins spares'!#REF!</definedName>
    <definedName name="________DAT15" localSheetId="58">'[10]ins spares'!#REF!</definedName>
    <definedName name="________DAT15" localSheetId="57">'[10]ins spares'!#REF!</definedName>
    <definedName name="________DAT15" localSheetId="64">'[10]ins spares'!#REF!</definedName>
    <definedName name="________DAT15" localSheetId="67">'[10]ins spares'!#REF!</definedName>
    <definedName name="________DAT15" localSheetId="65">'[10]ins spares'!#REF!</definedName>
    <definedName name="________DAT15" localSheetId="68">'[10]ins spares'!#REF!</definedName>
    <definedName name="________DAT15" localSheetId="71">'[10]ins spares'!#REF!</definedName>
    <definedName name="________DAT15" localSheetId="44">'[10]ins spares'!#REF!</definedName>
    <definedName name="________DAT15" localSheetId="45">'[10]ins spares'!#REF!</definedName>
    <definedName name="________DAT15" localSheetId="17">'[10]ins spares'!#REF!</definedName>
    <definedName name="________DAT15" localSheetId="27">'[10]ins spares'!#REF!</definedName>
    <definedName name="________DAT15" localSheetId="72">'[10]ins spares'!#REF!</definedName>
    <definedName name="________DAT15" localSheetId="28">'[10]ins spares'!#REF!</definedName>
    <definedName name="________DAT15" localSheetId="29">'[10]ins spares'!#REF!</definedName>
    <definedName name="________DAT15" localSheetId="66">'[10]ins spares'!#REF!</definedName>
    <definedName name="________DAT15">'[10]ins spares'!#REF!</definedName>
    <definedName name="________DAT16" localSheetId="70">'[10]ins spares'!#REF!</definedName>
    <definedName name="________DAT16" localSheetId="52">'[10]ins spares'!#REF!</definedName>
    <definedName name="________DAT16" localSheetId="58">'[10]ins spares'!#REF!</definedName>
    <definedName name="________DAT16" localSheetId="57">'[10]ins spares'!#REF!</definedName>
    <definedName name="________DAT16" localSheetId="64">'[10]ins spares'!#REF!</definedName>
    <definedName name="________DAT16" localSheetId="67">'[10]ins spares'!#REF!</definedName>
    <definedName name="________DAT16" localSheetId="65">'[10]ins spares'!#REF!</definedName>
    <definedName name="________DAT16" localSheetId="68">'[10]ins spares'!#REF!</definedName>
    <definedName name="________DAT16" localSheetId="71">'[10]ins spares'!#REF!</definedName>
    <definedName name="________DAT16" localSheetId="44">'[10]ins spares'!#REF!</definedName>
    <definedName name="________DAT16" localSheetId="45">'[10]ins spares'!#REF!</definedName>
    <definedName name="________DAT16" localSheetId="17">'[10]ins spares'!#REF!</definedName>
    <definedName name="________DAT16" localSheetId="27">'[10]ins spares'!#REF!</definedName>
    <definedName name="________DAT16" localSheetId="72">'[10]ins spares'!#REF!</definedName>
    <definedName name="________DAT16" localSheetId="28">'[10]ins spares'!#REF!</definedName>
    <definedName name="________DAT16" localSheetId="29">'[10]ins spares'!#REF!</definedName>
    <definedName name="________DAT16" localSheetId="66">'[10]ins spares'!#REF!</definedName>
    <definedName name="________DAT16">'[10]ins spares'!#REF!</definedName>
    <definedName name="________DAT18" localSheetId="70">'[10]ins spares'!#REF!</definedName>
    <definedName name="________DAT18" localSheetId="52">'[10]ins spares'!#REF!</definedName>
    <definedName name="________DAT18" localSheetId="58">'[10]ins spares'!#REF!</definedName>
    <definedName name="________DAT18" localSheetId="57">'[10]ins spares'!#REF!</definedName>
    <definedName name="________DAT18" localSheetId="64">'[10]ins spares'!#REF!</definedName>
    <definedName name="________DAT18" localSheetId="67">'[10]ins spares'!#REF!</definedName>
    <definedName name="________DAT18" localSheetId="65">'[10]ins spares'!#REF!</definedName>
    <definedName name="________DAT18" localSheetId="68">'[10]ins spares'!#REF!</definedName>
    <definedName name="________DAT18" localSheetId="71">'[10]ins spares'!#REF!</definedName>
    <definedName name="________DAT18" localSheetId="44">'[10]ins spares'!#REF!</definedName>
    <definedName name="________DAT18" localSheetId="45">'[10]ins spares'!#REF!</definedName>
    <definedName name="________DAT18" localSheetId="27">'[10]ins spares'!#REF!</definedName>
    <definedName name="________DAT18" localSheetId="28">'[10]ins spares'!#REF!</definedName>
    <definedName name="________DAT18" localSheetId="29">'[10]ins spares'!#REF!</definedName>
    <definedName name="________DAT18" localSheetId="66">'[10]ins spares'!#REF!</definedName>
    <definedName name="________DAT18">'[10]ins spares'!#REF!</definedName>
    <definedName name="________DAT19" localSheetId="70">'[10]ins spares'!#REF!</definedName>
    <definedName name="________DAT19" localSheetId="52">'[10]ins spares'!#REF!</definedName>
    <definedName name="________DAT19" localSheetId="58">'[10]ins spares'!#REF!</definedName>
    <definedName name="________DAT19" localSheetId="57">'[10]ins spares'!#REF!</definedName>
    <definedName name="________DAT19" localSheetId="64">'[10]ins spares'!#REF!</definedName>
    <definedName name="________DAT19" localSheetId="67">'[10]ins spares'!#REF!</definedName>
    <definedName name="________DAT19" localSheetId="65">'[10]ins spares'!#REF!</definedName>
    <definedName name="________DAT19" localSheetId="68">'[10]ins spares'!#REF!</definedName>
    <definedName name="________DAT19" localSheetId="71">'[10]ins spares'!#REF!</definedName>
    <definedName name="________DAT19" localSheetId="44">'[10]ins spares'!#REF!</definedName>
    <definedName name="________DAT19" localSheetId="45">'[10]ins spares'!#REF!</definedName>
    <definedName name="________DAT19" localSheetId="27">'[10]ins spares'!#REF!</definedName>
    <definedName name="________DAT19" localSheetId="28">'[10]ins spares'!#REF!</definedName>
    <definedName name="________DAT19" localSheetId="29">'[10]ins spares'!#REF!</definedName>
    <definedName name="________DAT19" localSheetId="66">'[10]ins spares'!#REF!</definedName>
    <definedName name="________DAT19">'[10]ins spares'!#REF!</definedName>
    <definedName name="________DAT2" localSheetId="70">#REF!</definedName>
    <definedName name="________DAT2" localSheetId="52">#REF!</definedName>
    <definedName name="________DAT2" localSheetId="58">#REF!</definedName>
    <definedName name="________DAT2" localSheetId="56">#REF!</definedName>
    <definedName name="________DAT2" localSheetId="57">#REF!</definedName>
    <definedName name="________DAT2" localSheetId="64">#REF!</definedName>
    <definedName name="________DAT2" localSheetId="67">#REF!</definedName>
    <definedName name="________DAT2" localSheetId="65">#REF!</definedName>
    <definedName name="________DAT2" localSheetId="68">#REF!</definedName>
    <definedName name="________DAT2" localSheetId="71">#REF!</definedName>
    <definedName name="________DAT2" localSheetId="44">#REF!</definedName>
    <definedName name="________DAT2" localSheetId="45">#REF!</definedName>
    <definedName name="________DAT2" localSheetId="17">#REF!</definedName>
    <definedName name="________DAT2" localSheetId="27">#REF!</definedName>
    <definedName name="________DAT2" localSheetId="72">#REF!</definedName>
    <definedName name="________DAT2" localSheetId="28">#REF!</definedName>
    <definedName name="________DAT2" localSheetId="29">#REF!</definedName>
    <definedName name="________DAT2" localSheetId="66">#REF!</definedName>
    <definedName name="________DAT2">#REF!</definedName>
    <definedName name="________DAT20" localSheetId="70">'[10]ins spares'!#REF!</definedName>
    <definedName name="________DAT20" localSheetId="52">'[10]ins spares'!#REF!</definedName>
    <definedName name="________DAT20" localSheetId="58">'[10]ins spares'!#REF!</definedName>
    <definedName name="________DAT20" localSheetId="56">'[10]ins spares'!#REF!</definedName>
    <definedName name="________DAT20" localSheetId="57">'[10]ins spares'!#REF!</definedName>
    <definedName name="________DAT20" localSheetId="64">'[10]ins spares'!#REF!</definedName>
    <definedName name="________DAT20" localSheetId="67">'[10]ins spares'!#REF!</definedName>
    <definedName name="________DAT20" localSheetId="65">'[10]ins spares'!#REF!</definedName>
    <definedName name="________DAT20" localSheetId="68">'[10]ins spares'!#REF!</definedName>
    <definedName name="________DAT20" localSheetId="71">'[10]ins spares'!#REF!</definedName>
    <definedName name="________DAT20" localSheetId="44">'[10]ins spares'!#REF!</definedName>
    <definedName name="________DAT20" localSheetId="45">'[10]ins spares'!#REF!</definedName>
    <definedName name="________DAT20" localSheetId="17">'[10]ins spares'!#REF!</definedName>
    <definedName name="________DAT20" localSheetId="27">'[10]ins spares'!#REF!</definedName>
    <definedName name="________DAT20" localSheetId="72">'[10]ins spares'!#REF!</definedName>
    <definedName name="________DAT20" localSheetId="28">'[10]ins spares'!#REF!</definedName>
    <definedName name="________DAT20" localSheetId="29">'[10]ins spares'!#REF!</definedName>
    <definedName name="________DAT20" localSheetId="66">'[10]ins spares'!#REF!</definedName>
    <definedName name="________DAT20">'[10]ins spares'!#REF!</definedName>
    <definedName name="________DAT21" localSheetId="70">'[10]ins spares'!#REF!</definedName>
    <definedName name="________DAT21" localSheetId="52">'[10]ins spares'!#REF!</definedName>
    <definedName name="________DAT21" localSheetId="58">'[10]ins spares'!#REF!</definedName>
    <definedName name="________DAT21" localSheetId="57">'[10]ins spares'!#REF!</definedName>
    <definedName name="________DAT21" localSheetId="64">'[10]ins spares'!#REF!</definedName>
    <definedName name="________DAT21" localSheetId="67">'[10]ins spares'!#REF!</definedName>
    <definedName name="________DAT21" localSheetId="65">'[10]ins spares'!#REF!</definedName>
    <definedName name="________DAT21" localSheetId="68">'[10]ins spares'!#REF!</definedName>
    <definedName name="________DAT21" localSheetId="71">'[10]ins spares'!#REF!</definedName>
    <definedName name="________DAT21" localSheetId="44">'[10]ins spares'!#REF!</definedName>
    <definedName name="________DAT21" localSheetId="45">'[10]ins spares'!#REF!</definedName>
    <definedName name="________DAT21" localSheetId="27">'[10]ins spares'!#REF!</definedName>
    <definedName name="________DAT21" localSheetId="28">'[10]ins spares'!#REF!</definedName>
    <definedName name="________DAT21" localSheetId="29">'[10]ins spares'!#REF!</definedName>
    <definedName name="________DAT21" localSheetId="66">'[10]ins spares'!#REF!</definedName>
    <definedName name="________DAT21">'[10]ins spares'!#REF!</definedName>
    <definedName name="________DAT22" localSheetId="70">'[10]ins spares'!#REF!</definedName>
    <definedName name="________DAT22" localSheetId="52">'[10]ins spares'!#REF!</definedName>
    <definedName name="________DAT22" localSheetId="58">'[10]ins spares'!#REF!</definedName>
    <definedName name="________DAT22" localSheetId="57">'[10]ins spares'!#REF!</definedName>
    <definedName name="________DAT22" localSheetId="64">'[10]ins spares'!#REF!</definedName>
    <definedName name="________DAT22" localSheetId="67">'[10]ins spares'!#REF!</definedName>
    <definedName name="________DAT22" localSheetId="65">'[10]ins spares'!#REF!</definedName>
    <definedName name="________DAT22" localSheetId="68">'[10]ins spares'!#REF!</definedName>
    <definedName name="________DAT22" localSheetId="71">'[10]ins spares'!#REF!</definedName>
    <definedName name="________DAT22" localSheetId="44">'[10]ins spares'!#REF!</definedName>
    <definedName name="________DAT22" localSheetId="45">'[10]ins spares'!#REF!</definedName>
    <definedName name="________DAT22" localSheetId="27">'[10]ins spares'!#REF!</definedName>
    <definedName name="________DAT22" localSheetId="28">'[10]ins spares'!#REF!</definedName>
    <definedName name="________DAT22" localSheetId="29">'[10]ins spares'!#REF!</definedName>
    <definedName name="________DAT22" localSheetId="66">'[10]ins spares'!#REF!</definedName>
    <definedName name="________DAT22">'[10]ins spares'!#REF!</definedName>
    <definedName name="________DAT23" localSheetId="70">'[10]ins spares'!#REF!</definedName>
    <definedName name="________DAT23" localSheetId="52">'[10]ins spares'!#REF!</definedName>
    <definedName name="________DAT23" localSheetId="58">'[10]ins spares'!#REF!</definedName>
    <definedName name="________DAT23" localSheetId="57">'[10]ins spares'!#REF!</definedName>
    <definedName name="________DAT23" localSheetId="64">'[10]ins spares'!#REF!</definedName>
    <definedName name="________DAT23" localSheetId="67">'[10]ins spares'!#REF!</definedName>
    <definedName name="________DAT23" localSheetId="65">'[10]ins spares'!#REF!</definedName>
    <definedName name="________DAT23" localSheetId="68">'[10]ins spares'!#REF!</definedName>
    <definedName name="________DAT23" localSheetId="71">'[10]ins spares'!#REF!</definedName>
    <definedName name="________DAT23" localSheetId="44">'[10]ins spares'!#REF!</definedName>
    <definedName name="________DAT23" localSheetId="45">'[10]ins spares'!#REF!</definedName>
    <definedName name="________DAT23" localSheetId="27">'[10]ins spares'!#REF!</definedName>
    <definedName name="________DAT23" localSheetId="28">'[10]ins spares'!#REF!</definedName>
    <definedName name="________DAT23" localSheetId="29">'[10]ins spares'!#REF!</definedName>
    <definedName name="________DAT23" localSheetId="66">'[10]ins spares'!#REF!</definedName>
    <definedName name="________DAT23">'[10]ins spares'!#REF!</definedName>
    <definedName name="________DAT24" localSheetId="70">'[10]ins spares'!#REF!</definedName>
    <definedName name="________DAT24" localSheetId="52">'[10]ins spares'!#REF!</definedName>
    <definedName name="________DAT24" localSheetId="58">'[10]ins spares'!#REF!</definedName>
    <definedName name="________DAT24" localSheetId="57">'[10]ins spares'!#REF!</definedName>
    <definedName name="________DAT24" localSheetId="64">'[10]ins spares'!#REF!</definedName>
    <definedName name="________DAT24" localSheetId="67">'[10]ins spares'!#REF!</definedName>
    <definedName name="________DAT24" localSheetId="65">'[10]ins spares'!#REF!</definedName>
    <definedName name="________DAT24" localSheetId="68">'[10]ins spares'!#REF!</definedName>
    <definedName name="________DAT24" localSheetId="71">'[10]ins spares'!#REF!</definedName>
    <definedName name="________DAT24" localSheetId="44">'[10]ins spares'!#REF!</definedName>
    <definedName name="________DAT24" localSheetId="45">'[10]ins spares'!#REF!</definedName>
    <definedName name="________DAT24" localSheetId="27">'[10]ins spares'!#REF!</definedName>
    <definedName name="________DAT24" localSheetId="28">'[10]ins spares'!#REF!</definedName>
    <definedName name="________DAT24" localSheetId="29">'[10]ins spares'!#REF!</definedName>
    <definedName name="________DAT24" localSheetId="66">'[10]ins spares'!#REF!</definedName>
    <definedName name="________DAT24">'[10]ins spares'!#REF!</definedName>
    <definedName name="________DAT3" localSheetId="70">#REF!</definedName>
    <definedName name="________DAT3" localSheetId="52">#REF!</definedName>
    <definedName name="________DAT3" localSheetId="58">#REF!</definedName>
    <definedName name="________DAT3" localSheetId="56">#REF!</definedName>
    <definedName name="________DAT3" localSheetId="57">#REF!</definedName>
    <definedName name="________DAT3" localSheetId="64">#REF!</definedName>
    <definedName name="________DAT3" localSheetId="67">#REF!</definedName>
    <definedName name="________DAT3" localSheetId="65">#REF!</definedName>
    <definedName name="________DAT3" localSheetId="68">#REF!</definedName>
    <definedName name="________DAT3" localSheetId="71">#REF!</definedName>
    <definedName name="________DAT3" localSheetId="44">#REF!</definedName>
    <definedName name="________DAT3" localSheetId="45">#REF!</definedName>
    <definedName name="________DAT3" localSheetId="17">#REF!</definedName>
    <definedName name="________DAT3" localSheetId="27">#REF!</definedName>
    <definedName name="________DAT3" localSheetId="72">#REF!</definedName>
    <definedName name="________DAT3" localSheetId="28">#REF!</definedName>
    <definedName name="________DAT3" localSheetId="29">#REF!</definedName>
    <definedName name="________DAT3" localSheetId="66">#REF!</definedName>
    <definedName name="________DAT3">#REF!</definedName>
    <definedName name="________DAT4" localSheetId="70">#REF!</definedName>
    <definedName name="________DAT4" localSheetId="52">#REF!</definedName>
    <definedName name="________DAT4" localSheetId="58">#REF!</definedName>
    <definedName name="________DAT4" localSheetId="57">#REF!</definedName>
    <definedName name="________DAT4" localSheetId="64">#REF!</definedName>
    <definedName name="________DAT4" localSheetId="67">#REF!</definedName>
    <definedName name="________DAT4" localSheetId="65">#REF!</definedName>
    <definedName name="________DAT4" localSheetId="68">#REF!</definedName>
    <definedName name="________DAT4" localSheetId="71">#REF!</definedName>
    <definedName name="________DAT4" localSheetId="44">#REF!</definedName>
    <definedName name="________DAT4" localSheetId="45">#REF!</definedName>
    <definedName name="________DAT4" localSheetId="17">#REF!</definedName>
    <definedName name="________DAT4" localSheetId="27">#REF!</definedName>
    <definedName name="________DAT4" localSheetId="72">#REF!</definedName>
    <definedName name="________DAT4" localSheetId="28">#REF!</definedName>
    <definedName name="________DAT4" localSheetId="29">#REF!</definedName>
    <definedName name="________DAT4" localSheetId="66">#REF!</definedName>
    <definedName name="________DAT4">#REF!</definedName>
    <definedName name="________DAT5" localSheetId="70">#REF!</definedName>
    <definedName name="________DAT5" localSheetId="52">#REF!</definedName>
    <definedName name="________DAT5" localSheetId="58">#REF!</definedName>
    <definedName name="________DAT5" localSheetId="57">#REF!</definedName>
    <definedName name="________DAT5" localSheetId="64">#REF!</definedName>
    <definedName name="________DAT5" localSheetId="67">#REF!</definedName>
    <definedName name="________DAT5" localSheetId="65">#REF!</definedName>
    <definedName name="________DAT5" localSheetId="68">#REF!</definedName>
    <definedName name="________DAT5" localSheetId="71">#REF!</definedName>
    <definedName name="________DAT5" localSheetId="44">#REF!</definedName>
    <definedName name="________DAT5" localSheetId="45">#REF!</definedName>
    <definedName name="________DAT5" localSheetId="17">#REF!</definedName>
    <definedName name="________DAT5" localSheetId="27">#REF!</definedName>
    <definedName name="________DAT5" localSheetId="72">#REF!</definedName>
    <definedName name="________DAT5" localSheetId="28">#REF!</definedName>
    <definedName name="________DAT5" localSheetId="29">#REF!</definedName>
    <definedName name="________DAT5" localSheetId="66">#REF!</definedName>
    <definedName name="________DAT5">#REF!</definedName>
    <definedName name="________DAT6" localSheetId="70">#REF!</definedName>
    <definedName name="________DAT6" localSheetId="52">#REF!</definedName>
    <definedName name="________DAT6" localSheetId="58">#REF!</definedName>
    <definedName name="________DAT6" localSheetId="57">#REF!</definedName>
    <definedName name="________DAT6" localSheetId="64">#REF!</definedName>
    <definedName name="________DAT6" localSheetId="67">#REF!</definedName>
    <definedName name="________DAT6" localSheetId="65">#REF!</definedName>
    <definedName name="________DAT6" localSheetId="68">#REF!</definedName>
    <definedName name="________DAT6" localSheetId="71">#REF!</definedName>
    <definedName name="________DAT6" localSheetId="44">#REF!</definedName>
    <definedName name="________DAT6" localSheetId="45">#REF!</definedName>
    <definedName name="________DAT6" localSheetId="27">#REF!</definedName>
    <definedName name="________DAT6" localSheetId="28">#REF!</definedName>
    <definedName name="________DAT6" localSheetId="29">#REF!</definedName>
    <definedName name="________DAT6" localSheetId="66">#REF!</definedName>
    <definedName name="________DAT6">#REF!</definedName>
    <definedName name="________DAT7" localSheetId="70">#REF!</definedName>
    <definedName name="________DAT7" localSheetId="52">#REF!</definedName>
    <definedName name="________DAT7" localSheetId="58">#REF!</definedName>
    <definedName name="________DAT7" localSheetId="57">#REF!</definedName>
    <definedName name="________DAT7" localSheetId="64">#REF!</definedName>
    <definedName name="________DAT7" localSheetId="67">#REF!</definedName>
    <definedName name="________DAT7" localSheetId="65">#REF!</definedName>
    <definedName name="________DAT7" localSheetId="68">#REF!</definedName>
    <definedName name="________DAT7" localSheetId="71">#REF!</definedName>
    <definedName name="________DAT7" localSheetId="44">#REF!</definedName>
    <definedName name="________DAT7" localSheetId="45">#REF!</definedName>
    <definedName name="________DAT7" localSheetId="27">#REF!</definedName>
    <definedName name="________DAT7" localSheetId="28">#REF!</definedName>
    <definedName name="________DAT7" localSheetId="29">#REF!</definedName>
    <definedName name="________DAT7" localSheetId="66">#REF!</definedName>
    <definedName name="________DAT7">#REF!</definedName>
    <definedName name="________DAT8" localSheetId="70">#REF!</definedName>
    <definedName name="________DAT8" localSheetId="52">#REF!</definedName>
    <definedName name="________DAT8" localSheetId="58">#REF!</definedName>
    <definedName name="________DAT8" localSheetId="57">#REF!</definedName>
    <definedName name="________DAT8" localSheetId="64">#REF!</definedName>
    <definedName name="________DAT8" localSheetId="67">#REF!</definedName>
    <definedName name="________DAT8" localSheetId="65">#REF!</definedName>
    <definedName name="________DAT8" localSheetId="68">#REF!</definedName>
    <definedName name="________DAT8" localSheetId="71">#REF!</definedName>
    <definedName name="________DAT8" localSheetId="44">#REF!</definedName>
    <definedName name="________DAT8" localSheetId="45">#REF!</definedName>
    <definedName name="________DAT8" localSheetId="27">#REF!</definedName>
    <definedName name="________DAT8" localSheetId="28">#REF!</definedName>
    <definedName name="________DAT8" localSheetId="29">#REF!</definedName>
    <definedName name="________DAT8" localSheetId="66">#REF!</definedName>
    <definedName name="________DAT8">#REF!</definedName>
    <definedName name="________DAT9" localSheetId="70">#REF!</definedName>
    <definedName name="________DAT9" localSheetId="52">#REF!</definedName>
    <definedName name="________DAT9" localSheetId="58">#REF!</definedName>
    <definedName name="________DAT9" localSheetId="57">#REF!</definedName>
    <definedName name="________DAT9" localSheetId="64">#REF!</definedName>
    <definedName name="________DAT9" localSheetId="67">#REF!</definedName>
    <definedName name="________DAT9" localSheetId="65">#REF!</definedName>
    <definedName name="________DAT9" localSheetId="68">#REF!</definedName>
    <definedName name="________DAT9" localSheetId="71">#REF!</definedName>
    <definedName name="________DAT9" localSheetId="44">#REF!</definedName>
    <definedName name="________DAT9" localSheetId="45">#REF!</definedName>
    <definedName name="________DAT9" localSheetId="27">#REF!</definedName>
    <definedName name="________DAT9" localSheetId="28">#REF!</definedName>
    <definedName name="________DAT9" localSheetId="29">#REF!</definedName>
    <definedName name="________DAT9" localSheetId="66">#REF!</definedName>
    <definedName name="________DAT9">#REF!</definedName>
    <definedName name="________PG1">'[5]Financial Estimates'!$A$7:$B$108</definedName>
    <definedName name="________PG2" localSheetId="70">#REF!</definedName>
    <definedName name="________PG2" localSheetId="52">#REF!</definedName>
    <definedName name="________PG2" localSheetId="58">#REF!</definedName>
    <definedName name="________PG2" localSheetId="56">#REF!</definedName>
    <definedName name="________PG2" localSheetId="57">#REF!</definedName>
    <definedName name="________PG2" localSheetId="64">#REF!</definedName>
    <definedName name="________PG2" localSheetId="67">#REF!</definedName>
    <definedName name="________PG2" localSheetId="65">#REF!</definedName>
    <definedName name="________PG2" localSheetId="68">#REF!</definedName>
    <definedName name="________PG2" localSheetId="71">#REF!</definedName>
    <definedName name="________PG2" localSheetId="44">#REF!</definedName>
    <definedName name="________PG2" localSheetId="45">#REF!</definedName>
    <definedName name="________PG2" localSheetId="17">#REF!</definedName>
    <definedName name="________PG2" localSheetId="27">#REF!</definedName>
    <definedName name="________PG2" localSheetId="72">#REF!</definedName>
    <definedName name="________PG2" localSheetId="28">#REF!</definedName>
    <definedName name="________PG2" localSheetId="29">#REF!</definedName>
    <definedName name="________PG2" localSheetId="66">#REF!</definedName>
    <definedName name="________PG2">#REF!</definedName>
    <definedName name="________PG3" localSheetId="70">#REF!</definedName>
    <definedName name="________PG3" localSheetId="52">#REF!</definedName>
    <definedName name="________PG3" localSheetId="58">#REF!</definedName>
    <definedName name="________PG3" localSheetId="57">#REF!</definedName>
    <definedName name="________PG3" localSheetId="64">#REF!</definedName>
    <definedName name="________PG3" localSheetId="67">#REF!</definedName>
    <definedName name="________PG3" localSheetId="65">#REF!</definedName>
    <definedName name="________PG3" localSheetId="68">#REF!</definedName>
    <definedName name="________PG3" localSheetId="71">#REF!</definedName>
    <definedName name="________PG3" localSheetId="44">#REF!</definedName>
    <definedName name="________PG3" localSheetId="45">#REF!</definedName>
    <definedName name="________PG3" localSheetId="17">#REF!</definedName>
    <definedName name="________PG3" localSheetId="27">#REF!</definedName>
    <definedName name="________PG3" localSheetId="72">#REF!</definedName>
    <definedName name="________PG3" localSheetId="28">#REF!</definedName>
    <definedName name="________PG3" localSheetId="29">#REF!</definedName>
    <definedName name="________PG3" localSheetId="66">#REF!</definedName>
    <definedName name="________PG3">#REF!</definedName>
    <definedName name="________PG5">'[5]Financial Estimates'!$A$271:$D$342</definedName>
    <definedName name="________pg6">'[7]Financial Estimates'!$A$271:$D$342</definedName>
    <definedName name="________pg7" localSheetId="70">'[6]Financial Estimates'!#REF!</definedName>
    <definedName name="________pg7" localSheetId="52">'[6]Financial Estimates'!#REF!</definedName>
    <definedName name="________pg7" localSheetId="58">'[6]Financial Estimates'!#REF!</definedName>
    <definedName name="________pg7" localSheetId="56">'[6]Financial Estimates'!#REF!</definedName>
    <definedName name="________pg7" localSheetId="57">'[6]Financial Estimates'!#REF!</definedName>
    <definedName name="________pg7" localSheetId="64">'[6]Financial Estimates'!#REF!</definedName>
    <definedName name="________pg7" localSheetId="67">'[6]Financial Estimates'!#REF!</definedName>
    <definedName name="________pg7" localSheetId="65">'[6]Financial Estimates'!#REF!</definedName>
    <definedName name="________pg7" localSheetId="68">'[6]Financial Estimates'!#REF!</definedName>
    <definedName name="________pg7" localSheetId="71">'[6]Financial Estimates'!#REF!</definedName>
    <definedName name="________pg7" localSheetId="44">'[6]Financial Estimates'!#REF!</definedName>
    <definedName name="________pg7" localSheetId="45">'[6]Financial Estimates'!#REF!</definedName>
    <definedName name="________pg7" localSheetId="17">'[6]Financial Estimates'!#REF!</definedName>
    <definedName name="________pg7" localSheetId="27">'[6]Financial Estimates'!#REF!</definedName>
    <definedName name="________pg7" localSheetId="72">'[6]Financial Estimates'!#REF!</definedName>
    <definedName name="________pg7" localSheetId="28">'[6]Financial Estimates'!#REF!</definedName>
    <definedName name="________pg7" localSheetId="29">'[6]Financial Estimates'!#REF!</definedName>
    <definedName name="________pg7" localSheetId="66">'[6]Financial Estimates'!#REF!</definedName>
    <definedName name="________pg7">'[6]Financial Estimates'!#REF!</definedName>
    <definedName name="________za1" localSheetId="70">#REF!</definedName>
    <definedName name="________za1" localSheetId="52">#REF!</definedName>
    <definedName name="________za1" localSheetId="58">#REF!</definedName>
    <definedName name="________za1" localSheetId="56">#REF!</definedName>
    <definedName name="________za1" localSheetId="57">#REF!</definedName>
    <definedName name="________za1" localSheetId="64">#REF!</definedName>
    <definedName name="________za1" localSheetId="67">#REF!</definedName>
    <definedName name="________za1" localSheetId="65">#REF!</definedName>
    <definedName name="________za1" localSheetId="68">#REF!</definedName>
    <definedName name="________za1" localSheetId="71">#REF!</definedName>
    <definedName name="________za1" localSheetId="44">#REF!</definedName>
    <definedName name="________za1" localSheetId="45">#REF!</definedName>
    <definedName name="________za1" localSheetId="17">#REF!</definedName>
    <definedName name="________za1" localSheetId="27">#REF!</definedName>
    <definedName name="________za1" localSheetId="72">#REF!</definedName>
    <definedName name="________za1" localSheetId="28">#REF!</definedName>
    <definedName name="________za1" localSheetId="29">#REF!</definedName>
    <definedName name="________za1" localSheetId="66">#REF!</definedName>
    <definedName name="________za1">#REF!</definedName>
    <definedName name="________zz1" localSheetId="70">#REF!</definedName>
    <definedName name="________zz1" localSheetId="52">#REF!</definedName>
    <definedName name="________zz1" localSheetId="58">#REF!</definedName>
    <definedName name="________zz1" localSheetId="57">#REF!</definedName>
    <definedName name="________zz1" localSheetId="64">#REF!</definedName>
    <definedName name="________zz1" localSheetId="67">#REF!</definedName>
    <definedName name="________zz1" localSheetId="65">#REF!</definedName>
    <definedName name="________zz1" localSheetId="68">#REF!</definedName>
    <definedName name="________zz1" localSheetId="71">#REF!</definedName>
    <definedName name="________zz1" localSheetId="44">#REF!</definedName>
    <definedName name="________zz1" localSheetId="45">#REF!</definedName>
    <definedName name="________zz1" localSheetId="17">#REF!</definedName>
    <definedName name="________zz1" localSheetId="27">#REF!</definedName>
    <definedName name="________zz1" localSheetId="72">#REF!</definedName>
    <definedName name="________zz1" localSheetId="28">#REF!</definedName>
    <definedName name="________zz1" localSheetId="29">#REF!</definedName>
    <definedName name="________zz1" localSheetId="66">#REF!</definedName>
    <definedName name="________zz1">#REF!</definedName>
    <definedName name="_______D87840" localSheetId="70">#REF!</definedName>
    <definedName name="_______D87840" localSheetId="52">#REF!</definedName>
    <definedName name="_______D87840" localSheetId="58">#REF!</definedName>
    <definedName name="_______D87840" localSheetId="57">#REF!</definedName>
    <definedName name="_______D87840" localSheetId="64">#REF!</definedName>
    <definedName name="_______D87840" localSheetId="67">#REF!</definedName>
    <definedName name="_______D87840" localSheetId="65">#REF!</definedName>
    <definedName name="_______D87840" localSheetId="68">#REF!</definedName>
    <definedName name="_______D87840" localSheetId="71">#REF!</definedName>
    <definedName name="_______D87840" localSheetId="44">#REF!</definedName>
    <definedName name="_______D87840" localSheetId="45">#REF!</definedName>
    <definedName name="_______D87840" localSheetId="17">#REF!</definedName>
    <definedName name="_______D87840" localSheetId="27">#REF!</definedName>
    <definedName name="_______D87840" localSheetId="72">#REF!</definedName>
    <definedName name="_______D87840" localSheetId="28">#REF!</definedName>
    <definedName name="_______D87840" localSheetId="29">#REF!</definedName>
    <definedName name="_______D87840" localSheetId="66">#REF!</definedName>
    <definedName name="_______D87840">#REF!</definedName>
    <definedName name="_______DAT1" localSheetId="70">#REF!</definedName>
    <definedName name="_______DAT1" localSheetId="52">#REF!</definedName>
    <definedName name="_______DAT1" localSheetId="58">#REF!</definedName>
    <definedName name="_______DAT1" localSheetId="57">#REF!</definedName>
    <definedName name="_______DAT1" localSheetId="64">#REF!</definedName>
    <definedName name="_______DAT1" localSheetId="67">#REF!</definedName>
    <definedName name="_______DAT1" localSheetId="65">#REF!</definedName>
    <definedName name="_______DAT1" localSheetId="68">#REF!</definedName>
    <definedName name="_______DAT1" localSheetId="71">#REF!</definedName>
    <definedName name="_______DAT1" localSheetId="44">#REF!</definedName>
    <definedName name="_______DAT1" localSheetId="45">#REF!</definedName>
    <definedName name="_______DAT1" localSheetId="27">#REF!</definedName>
    <definedName name="_______DAT1" localSheetId="28">#REF!</definedName>
    <definedName name="_______DAT1" localSheetId="29">#REF!</definedName>
    <definedName name="_______DAT1" localSheetId="66">#REF!</definedName>
    <definedName name="_______DAT1">#REF!</definedName>
    <definedName name="_______DAT10" localSheetId="70">#REF!</definedName>
    <definedName name="_______DAT10" localSheetId="52">#REF!</definedName>
    <definedName name="_______DAT10" localSheetId="58">#REF!</definedName>
    <definedName name="_______DAT10" localSheetId="57">#REF!</definedName>
    <definedName name="_______DAT10" localSheetId="64">#REF!</definedName>
    <definedName name="_______DAT10" localSheetId="67">#REF!</definedName>
    <definedName name="_______DAT10" localSheetId="65">#REF!</definedName>
    <definedName name="_______DAT10" localSheetId="68">#REF!</definedName>
    <definedName name="_______DAT10" localSheetId="71">#REF!</definedName>
    <definedName name="_______DAT10" localSheetId="44">#REF!</definedName>
    <definedName name="_______DAT10" localSheetId="45">#REF!</definedName>
    <definedName name="_______DAT10" localSheetId="27">#REF!</definedName>
    <definedName name="_______DAT10" localSheetId="28">#REF!</definedName>
    <definedName name="_______DAT10" localSheetId="29">#REF!</definedName>
    <definedName name="_______DAT10" localSheetId="66">#REF!</definedName>
    <definedName name="_______DAT10">#REF!</definedName>
    <definedName name="_______DAT11" localSheetId="70">#REF!</definedName>
    <definedName name="_______DAT11" localSheetId="52">#REF!</definedName>
    <definedName name="_______DAT11" localSheetId="58">#REF!</definedName>
    <definedName name="_______DAT11" localSheetId="57">#REF!</definedName>
    <definedName name="_______DAT11" localSheetId="64">#REF!</definedName>
    <definedName name="_______DAT11" localSheetId="67">#REF!</definedName>
    <definedName name="_______DAT11" localSheetId="65">#REF!</definedName>
    <definedName name="_______DAT11" localSheetId="68">#REF!</definedName>
    <definedName name="_______DAT11" localSheetId="71">#REF!</definedName>
    <definedName name="_______DAT11" localSheetId="44">#REF!</definedName>
    <definedName name="_______DAT11" localSheetId="45">#REF!</definedName>
    <definedName name="_______DAT11" localSheetId="27">#REF!</definedName>
    <definedName name="_______DAT11" localSheetId="28">#REF!</definedName>
    <definedName name="_______DAT11" localSheetId="29">#REF!</definedName>
    <definedName name="_______DAT11" localSheetId="66">#REF!</definedName>
    <definedName name="_______DAT11">#REF!</definedName>
    <definedName name="_______DAT12" localSheetId="70">'[10]ins spares'!#REF!</definedName>
    <definedName name="_______DAT12" localSheetId="52">'[10]ins spares'!#REF!</definedName>
    <definedName name="_______DAT12" localSheetId="58">'[10]ins spares'!#REF!</definedName>
    <definedName name="_______DAT12" localSheetId="57">'[10]ins spares'!#REF!</definedName>
    <definedName name="_______DAT12" localSheetId="64">'[10]ins spares'!#REF!</definedName>
    <definedName name="_______DAT12" localSheetId="67">'[10]ins spares'!#REF!</definedName>
    <definedName name="_______DAT12" localSheetId="65">'[10]ins spares'!#REF!</definedName>
    <definedName name="_______DAT12" localSheetId="68">'[10]ins spares'!#REF!</definedName>
    <definedName name="_______DAT12" localSheetId="71">'[10]ins spares'!#REF!</definedName>
    <definedName name="_______DAT12" localSheetId="44">'[10]ins spares'!#REF!</definedName>
    <definedName name="_______DAT12" localSheetId="45">'[10]ins spares'!#REF!</definedName>
    <definedName name="_______DAT12" localSheetId="27">'[10]ins spares'!#REF!</definedName>
    <definedName name="_______DAT12" localSheetId="28">'[10]ins spares'!#REF!</definedName>
    <definedName name="_______DAT12" localSheetId="29">'[10]ins spares'!#REF!</definedName>
    <definedName name="_______DAT12" localSheetId="66">'[10]ins spares'!#REF!</definedName>
    <definedName name="_______DAT12">'[10]ins spares'!#REF!</definedName>
    <definedName name="_______DAT13" localSheetId="70">'[10]ins spares'!#REF!</definedName>
    <definedName name="_______DAT13" localSheetId="52">'[10]ins spares'!#REF!</definedName>
    <definedName name="_______DAT13" localSheetId="58">'[10]ins spares'!#REF!</definedName>
    <definedName name="_______DAT13" localSheetId="57">'[10]ins spares'!#REF!</definedName>
    <definedName name="_______DAT13" localSheetId="64">'[10]ins spares'!#REF!</definedName>
    <definedName name="_______DAT13" localSheetId="67">'[10]ins spares'!#REF!</definedName>
    <definedName name="_______DAT13" localSheetId="65">'[10]ins spares'!#REF!</definedName>
    <definedName name="_______DAT13" localSheetId="68">'[10]ins spares'!#REF!</definedName>
    <definedName name="_______DAT13" localSheetId="71">'[10]ins spares'!#REF!</definedName>
    <definedName name="_______DAT13" localSheetId="44">'[10]ins spares'!#REF!</definedName>
    <definedName name="_______DAT13" localSheetId="45">'[10]ins spares'!#REF!</definedName>
    <definedName name="_______DAT13" localSheetId="27">'[10]ins spares'!#REF!</definedName>
    <definedName name="_______DAT13" localSheetId="28">'[10]ins spares'!#REF!</definedName>
    <definedName name="_______DAT13" localSheetId="29">'[10]ins spares'!#REF!</definedName>
    <definedName name="_______DAT13" localSheetId="66">'[10]ins spares'!#REF!</definedName>
    <definedName name="_______DAT13">'[10]ins spares'!#REF!</definedName>
    <definedName name="_______DAT15" localSheetId="70">'[10]ins spares'!#REF!</definedName>
    <definedName name="_______DAT15" localSheetId="52">'[10]ins spares'!#REF!</definedName>
    <definedName name="_______DAT15" localSheetId="58">'[10]ins spares'!#REF!</definedName>
    <definedName name="_______DAT15" localSheetId="57">'[10]ins spares'!#REF!</definedName>
    <definedName name="_______DAT15" localSheetId="64">'[10]ins spares'!#REF!</definedName>
    <definedName name="_______DAT15" localSheetId="67">'[10]ins spares'!#REF!</definedName>
    <definedName name="_______DAT15" localSheetId="65">'[10]ins spares'!#REF!</definedName>
    <definedName name="_______DAT15" localSheetId="68">'[10]ins spares'!#REF!</definedName>
    <definedName name="_______DAT15" localSheetId="71">'[10]ins spares'!#REF!</definedName>
    <definedName name="_______DAT15" localSheetId="44">'[10]ins spares'!#REF!</definedName>
    <definedName name="_______DAT15" localSheetId="45">'[10]ins spares'!#REF!</definedName>
    <definedName name="_______DAT15" localSheetId="27">'[10]ins spares'!#REF!</definedName>
    <definedName name="_______DAT15" localSheetId="28">'[10]ins spares'!#REF!</definedName>
    <definedName name="_______DAT15" localSheetId="29">'[10]ins spares'!#REF!</definedName>
    <definedName name="_______DAT15" localSheetId="66">'[10]ins spares'!#REF!</definedName>
    <definedName name="_______DAT15">'[10]ins spares'!#REF!</definedName>
    <definedName name="_______DAT16" localSheetId="70">'[10]ins spares'!#REF!</definedName>
    <definedName name="_______DAT16" localSheetId="52">'[10]ins spares'!#REF!</definedName>
    <definedName name="_______DAT16" localSheetId="58">'[10]ins spares'!#REF!</definedName>
    <definedName name="_______DAT16" localSheetId="57">'[10]ins spares'!#REF!</definedName>
    <definedName name="_______DAT16" localSheetId="64">'[10]ins spares'!#REF!</definedName>
    <definedName name="_______DAT16" localSheetId="67">'[10]ins spares'!#REF!</definedName>
    <definedName name="_______DAT16" localSheetId="65">'[10]ins spares'!#REF!</definedName>
    <definedName name="_______DAT16" localSheetId="68">'[10]ins spares'!#REF!</definedName>
    <definedName name="_______DAT16" localSheetId="71">'[10]ins spares'!#REF!</definedName>
    <definedName name="_______DAT16" localSheetId="44">'[10]ins spares'!#REF!</definedName>
    <definedName name="_______DAT16" localSheetId="45">'[10]ins spares'!#REF!</definedName>
    <definedName name="_______DAT16" localSheetId="27">'[10]ins spares'!#REF!</definedName>
    <definedName name="_______DAT16" localSheetId="28">'[10]ins spares'!#REF!</definedName>
    <definedName name="_______DAT16" localSheetId="29">'[10]ins spares'!#REF!</definedName>
    <definedName name="_______DAT16" localSheetId="66">'[10]ins spares'!#REF!</definedName>
    <definedName name="_______DAT16">'[10]ins spares'!#REF!</definedName>
    <definedName name="_______DAT18" localSheetId="70">'[10]ins spares'!#REF!</definedName>
    <definedName name="_______DAT18" localSheetId="52">'[10]ins spares'!#REF!</definedName>
    <definedName name="_______DAT18" localSheetId="58">'[10]ins spares'!#REF!</definedName>
    <definedName name="_______DAT18" localSheetId="57">'[10]ins spares'!#REF!</definedName>
    <definedName name="_______DAT18" localSheetId="64">'[10]ins spares'!#REF!</definedName>
    <definedName name="_______DAT18" localSheetId="67">'[10]ins spares'!#REF!</definedName>
    <definedName name="_______DAT18" localSheetId="65">'[10]ins spares'!#REF!</definedName>
    <definedName name="_______DAT18" localSheetId="68">'[10]ins spares'!#REF!</definedName>
    <definedName name="_______DAT18" localSheetId="71">'[10]ins spares'!#REF!</definedName>
    <definedName name="_______DAT18" localSheetId="44">'[10]ins spares'!#REF!</definedName>
    <definedName name="_______DAT18" localSheetId="45">'[10]ins spares'!#REF!</definedName>
    <definedName name="_______DAT18" localSheetId="27">'[10]ins spares'!#REF!</definedName>
    <definedName name="_______DAT18" localSheetId="28">'[10]ins spares'!#REF!</definedName>
    <definedName name="_______DAT18" localSheetId="29">'[10]ins spares'!#REF!</definedName>
    <definedName name="_______DAT18" localSheetId="66">'[10]ins spares'!#REF!</definedName>
    <definedName name="_______DAT18">'[10]ins spares'!#REF!</definedName>
    <definedName name="_______DAT19" localSheetId="70">'[10]ins spares'!#REF!</definedName>
    <definedName name="_______DAT19" localSheetId="52">'[10]ins spares'!#REF!</definedName>
    <definedName name="_______DAT19" localSheetId="58">'[10]ins spares'!#REF!</definedName>
    <definedName name="_______DAT19" localSheetId="57">'[10]ins spares'!#REF!</definedName>
    <definedName name="_______DAT19" localSheetId="64">'[10]ins spares'!#REF!</definedName>
    <definedName name="_______DAT19" localSheetId="67">'[10]ins spares'!#REF!</definedName>
    <definedName name="_______DAT19" localSheetId="65">'[10]ins spares'!#REF!</definedName>
    <definedName name="_______DAT19" localSheetId="68">'[10]ins spares'!#REF!</definedName>
    <definedName name="_______DAT19" localSheetId="71">'[10]ins spares'!#REF!</definedName>
    <definedName name="_______DAT19" localSheetId="44">'[10]ins spares'!#REF!</definedName>
    <definedName name="_______DAT19" localSheetId="45">'[10]ins spares'!#REF!</definedName>
    <definedName name="_______DAT19" localSheetId="27">'[10]ins spares'!#REF!</definedName>
    <definedName name="_______DAT19" localSheetId="28">'[10]ins spares'!#REF!</definedName>
    <definedName name="_______DAT19" localSheetId="29">'[10]ins spares'!#REF!</definedName>
    <definedName name="_______DAT19" localSheetId="66">'[10]ins spares'!#REF!</definedName>
    <definedName name="_______DAT19">'[10]ins spares'!#REF!</definedName>
    <definedName name="_______DAT2" localSheetId="70">#REF!</definedName>
    <definedName name="_______DAT2" localSheetId="52">#REF!</definedName>
    <definedName name="_______DAT2" localSheetId="58">#REF!</definedName>
    <definedName name="_______DAT2" localSheetId="56">#REF!</definedName>
    <definedName name="_______DAT2" localSheetId="57">#REF!</definedName>
    <definedName name="_______DAT2" localSheetId="64">#REF!</definedName>
    <definedName name="_______DAT2" localSheetId="67">#REF!</definedName>
    <definedName name="_______DAT2" localSheetId="65">#REF!</definedName>
    <definedName name="_______DAT2" localSheetId="68">#REF!</definedName>
    <definedName name="_______DAT2" localSheetId="71">#REF!</definedName>
    <definedName name="_______DAT2" localSheetId="44">#REF!</definedName>
    <definedName name="_______DAT2" localSheetId="45">#REF!</definedName>
    <definedName name="_______DAT2" localSheetId="17">#REF!</definedName>
    <definedName name="_______DAT2" localSheetId="27">#REF!</definedName>
    <definedName name="_______DAT2" localSheetId="72">#REF!</definedName>
    <definedName name="_______DAT2" localSheetId="28">#REF!</definedName>
    <definedName name="_______DAT2" localSheetId="29">#REF!</definedName>
    <definedName name="_______DAT2" localSheetId="66">#REF!</definedName>
    <definedName name="_______DAT2">#REF!</definedName>
    <definedName name="_______DAT20" localSheetId="70">'[10]ins spares'!#REF!</definedName>
    <definedName name="_______DAT20" localSheetId="52">'[10]ins spares'!#REF!</definedName>
    <definedName name="_______DAT20" localSheetId="58">'[10]ins spares'!#REF!</definedName>
    <definedName name="_______DAT20" localSheetId="56">'[10]ins spares'!#REF!</definedName>
    <definedName name="_______DAT20" localSheetId="57">'[10]ins spares'!#REF!</definedName>
    <definedName name="_______DAT20" localSheetId="64">'[10]ins spares'!#REF!</definedName>
    <definedName name="_______DAT20" localSheetId="67">'[10]ins spares'!#REF!</definedName>
    <definedName name="_______DAT20" localSheetId="65">'[10]ins spares'!#REF!</definedName>
    <definedName name="_______DAT20" localSheetId="68">'[10]ins spares'!#REF!</definedName>
    <definedName name="_______DAT20" localSheetId="71">'[10]ins spares'!#REF!</definedName>
    <definedName name="_______DAT20" localSheetId="44">'[10]ins spares'!#REF!</definedName>
    <definedName name="_______DAT20" localSheetId="45">'[10]ins spares'!#REF!</definedName>
    <definedName name="_______DAT20" localSheetId="17">'[10]ins spares'!#REF!</definedName>
    <definedName name="_______DAT20" localSheetId="27">'[10]ins spares'!#REF!</definedName>
    <definedName name="_______DAT20" localSheetId="72">'[10]ins spares'!#REF!</definedName>
    <definedName name="_______DAT20" localSheetId="28">'[10]ins spares'!#REF!</definedName>
    <definedName name="_______DAT20" localSheetId="29">'[10]ins spares'!#REF!</definedName>
    <definedName name="_______DAT20" localSheetId="66">'[10]ins spares'!#REF!</definedName>
    <definedName name="_______DAT20">'[10]ins spares'!#REF!</definedName>
    <definedName name="_______DAT21" localSheetId="70">'[10]ins spares'!#REF!</definedName>
    <definedName name="_______DAT21" localSheetId="52">'[10]ins spares'!#REF!</definedName>
    <definedName name="_______DAT21" localSheetId="58">'[10]ins spares'!#REF!</definedName>
    <definedName name="_______DAT21" localSheetId="57">'[10]ins spares'!#REF!</definedName>
    <definedName name="_______DAT21" localSheetId="64">'[10]ins spares'!#REF!</definedName>
    <definedName name="_______DAT21" localSheetId="67">'[10]ins spares'!#REF!</definedName>
    <definedName name="_______DAT21" localSheetId="65">'[10]ins spares'!#REF!</definedName>
    <definedName name="_______DAT21" localSheetId="68">'[10]ins spares'!#REF!</definedName>
    <definedName name="_______DAT21" localSheetId="71">'[10]ins spares'!#REF!</definedName>
    <definedName name="_______DAT21" localSheetId="44">'[10]ins spares'!#REF!</definedName>
    <definedName name="_______DAT21" localSheetId="45">'[10]ins spares'!#REF!</definedName>
    <definedName name="_______DAT21" localSheetId="27">'[10]ins spares'!#REF!</definedName>
    <definedName name="_______DAT21" localSheetId="28">'[10]ins spares'!#REF!</definedName>
    <definedName name="_______DAT21" localSheetId="29">'[10]ins spares'!#REF!</definedName>
    <definedName name="_______DAT21" localSheetId="66">'[10]ins spares'!#REF!</definedName>
    <definedName name="_______DAT21">'[10]ins spares'!#REF!</definedName>
    <definedName name="_______DAT22" localSheetId="70">'[10]ins spares'!#REF!</definedName>
    <definedName name="_______DAT22" localSheetId="52">'[10]ins spares'!#REF!</definedName>
    <definedName name="_______DAT22" localSheetId="58">'[10]ins spares'!#REF!</definedName>
    <definedName name="_______DAT22" localSheetId="57">'[10]ins spares'!#REF!</definedName>
    <definedName name="_______DAT22" localSheetId="64">'[10]ins spares'!#REF!</definedName>
    <definedName name="_______DAT22" localSheetId="67">'[10]ins spares'!#REF!</definedName>
    <definedName name="_______DAT22" localSheetId="65">'[10]ins spares'!#REF!</definedName>
    <definedName name="_______DAT22" localSheetId="68">'[10]ins spares'!#REF!</definedName>
    <definedName name="_______DAT22" localSheetId="71">'[10]ins spares'!#REF!</definedName>
    <definedName name="_______DAT22" localSheetId="44">'[10]ins spares'!#REF!</definedName>
    <definedName name="_______DAT22" localSheetId="45">'[10]ins spares'!#REF!</definedName>
    <definedName name="_______DAT22" localSheetId="27">'[10]ins spares'!#REF!</definedName>
    <definedName name="_______DAT22" localSheetId="28">'[10]ins spares'!#REF!</definedName>
    <definedName name="_______DAT22" localSheetId="29">'[10]ins spares'!#REF!</definedName>
    <definedName name="_______DAT22" localSheetId="66">'[10]ins spares'!#REF!</definedName>
    <definedName name="_______DAT22">'[10]ins spares'!#REF!</definedName>
    <definedName name="_______DAT23" localSheetId="70">'[10]ins spares'!#REF!</definedName>
    <definedName name="_______DAT23" localSheetId="52">'[10]ins spares'!#REF!</definedName>
    <definedName name="_______DAT23" localSheetId="58">'[10]ins spares'!#REF!</definedName>
    <definedName name="_______DAT23" localSheetId="57">'[10]ins spares'!#REF!</definedName>
    <definedName name="_______DAT23" localSheetId="64">'[10]ins spares'!#REF!</definedName>
    <definedName name="_______DAT23" localSheetId="67">'[10]ins spares'!#REF!</definedName>
    <definedName name="_______DAT23" localSheetId="65">'[10]ins spares'!#REF!</definedName>
    <definedName name="_______DAT23" localSheetId="68">'[10]ins spares'!#REF!</definedName>
    <definedName name="_______DAT23" localSheetId="71">'[10]ins spares'!#REF!</definedName>
    <definedName name="_______DAT23" localSheetId="44">'[10]ins spares'!#REF!</definedName>
    <definedName name="_______DAT23" localSheetId="45">'[10]ins spares'!#REF!</definedName>
    <definedName name="_______DAT23" localSheetId="27">'[10]ins spares'!#REF!</definedName>
    <definedName name="_______DAT23" localSheetId="28">'[10]ins spares'!#REF!</definedName>
    <definedName name="_______DAT23" localSheetId="29">'[10]ins spares'!#REF!</definedName>
    <definedName name="_______DAT23" localSheetId="66">'[10]ins spares'!#REF!</definedName>
    <definedName name="_______DAT23">'[10]ins spares'!#REF!</definedName>
    <definedName name="_______DAT24" localSheetId="70">'[10]ins spares'!#REF!</definedName>
    <definedName name="_______DAT24" localSheetId="52">'[10]ins spares'!#REF!</definedName>
    <definedName name="_______DAT24" localSheetId="58">'[10]ins spares'!#REF!</definedName>
    <definedName name="_______DAT24" localSheetId="57">'[10]ins spares'!#REF!</definedName>
    <definedName name="_______DAT24" localSheetId="64">'[10]ins spares'!#REF!</definedName>
    <definedName name="_______DAT24" localSheetId="67">'[10]ins spares'!#REF!</definedName>
    <definedName name="_______DAT24" localSheetId="65">'[10]ins spares'!#REF!</definedName>
    <definedName name="_______DAT24" localSheetId="68">'[10]ins spares'!#REF!</definedName>
    <definedName name="_______DAT24" localSheetId="71">'[10]ins spares'!#REF!</definedName>
    <definedName name="_______DAT24" localSheetId="44">'[10]ins spares'!#REF!</definedName>
    <definedName name="_______DAT24" localSheetId="45">'[10]ins spares'!#REF!</definedName>
    <definedName name="_______DAT24" localSheetId="27">'[10]ins spares'!#REF!</definedName>
    <definedName name="_______DAT24" localSheetId="28">'[10]ins spares'!#REF!</definedName>
    <definedName name="_______DAT24" localSheetId="29">'[10]ins spares'!#REF!</definedName>
    <definedName name="_______DAT24" localSheetId="66">'[10]ins spares'!#REF!</definedName>
    <definedName name="_______DAT24">'[10]ins spares'!#REF!</definedName>
    <definedName name="_______DAT3" localSheetId="70">#REF!</definedName>
    <definedName name="_______DAT3" localSheetId="52">#REF!</definedName>
    <definedName name="_______DAT3" localSheetId="58">#REF!</definedName>
    <definedName name="_______DAT3" localSheetId="56">#REF!</definedName>
    <definedName name="_______DAT3" localSheetId="57">#REF!</definedName>
    <definedName name="_______DAT3" localSheetId="64">#REF!</definedName>
    <definedName name="_______DAT3" localSheetId="67">#REF!</definedName>
    <definedName name="_______DAT3" localSheetId="65">#REF!</definedName>
    <definedName name="_______DAT3" localSheetId="68">#REF!</definedName>
    <definedName name="_______DAT3" localSheetId="71">#REF!</definedName>
    <definedName name="_______DAT3" localSheetId="44">#REF!</definedName>
    <definedName name="_______DAT3" localSheetId="45">#REF!</definedName>
    <definedName name="_______DAT3" localSheetId="17">#REF!</definedName>
    <definedName name="_______DAT3" localSheetId="27">#REF!</definedName>
    <definedName name="_______DAT3" localSheetId="72">#REF!</definedName>
    <definedName name="_______DAT3" localSheetId="28">#REF!</definedName>
    <definedName name="_______DAT3" localSheetId="29">#REF!</definedName>
    <definedName name="_______DAT3" localSheetId="66">#REF!</definedName>
    <definedName name="_______DAT3">#REF!</definedName>
    <definedName name="_______DAT4" localSheetId="70">#REF!</definedName>
    <definedName name="_______DAT4" localSheetId="52">#REF!</definedName>
    <definedName name="_______DAT4" localSheetId="58">#REF!</definedName>
    <definedName name="_______DAT4" localSheetId="57">#REF!</definedName>
    <definedName name="_______DAT4" localSheetId="64">#REF!</definedName>
    <definedName name="_______DAT4" localSheetId="67">#REF!</definedName>
    <definedName name="_______DAT4" localSheetId="65">#REF!</definedName>
    <definedName name="_______DAT4" localSheetId="68">#REF!</definedName>
    <definedName name="_______DAT4" localSheetId="71">#REF!</definedName>
    <definedName name="_______DAT4" localSheetId="44">#REF!</definedName>
    <definedName name="_______DAT4" localSheetId="45">#REF!</definedName>
    <definedName name="_______DAT4" localSheetId="17">#REF!</definedName>
    <definedName name="_______DAT4" localSheetId="27">#REF!</definedName>
    <definedName name="_______DAT4" localSheetId="72">#REF!</definedName>
    <definedName name="_______DAT4" localSheetId="28">#REF!</definedName>
    <definedName name="_______DAT4" localSheetId="29">#REF!</definedName>
    <definedName name="_______DAT4" localSheetId="66">#REF!</definedName>
    <definedName name="_______DAT4">#REF!</definedName>
    <definedName name="_______DAT5" localSheetId="70">#REF!</definedName>
    <definedName name="_______DAT5" localSheetId="52">#REF!</definedName>
    <definedName name="_______DAT5" localSheetId="58">#REF!</definedName>
    <definedName name="_______DAT5" localSheetId="57">#REF!</definedName>
    <definedName name="_______DAT5" localSheetId="64">#REF!</definedName>
    <definedName name="_______DAT5" localSheetId="67">#REF!</definedName>
    <definedName name="_______DAT5" localSheetId="65">#REF!</definedName>
    <definedName name="_______DAT5" localSheetId="68">#REF!</definedName>
    <definedName name="_______DAT5" localSheetId="71">#REF!</definedName>
    <definedName name="_______DAT5" localSheetId="44">#REF!</definedName>
    <definedName name="_______DAT5" localSheetId="45">#REF!</definedName>
    <definedName name="_______DAT5" localSheetId="17">#REF!</definedName>
    <definedName name="_______DAT5" localSheetId="27">#REF!</definedName>
    <definedName name="_______DAT5" localSheetId="72">#REF!</definedName>
    <definedName name="_______DAT5" localSheetId="28">#REF!</definedName>
    <definedName name="_______DAT5" localSheetId="29">#REF!</definedName>
    <definedName name="_______DAT5" localSheetId="66">#REF!</definedName>
    <definedName name="_______DAT5">#REF!</definedName>
    <definedName name="_______DAT6" localSheetId="70">#REF!</definedName>
    <definedName name="_______DAT6" localSheetId="52">#REF!</definedName>
    <definedName name="_______DAT6" localSheetId="58">#REF!</definedName>
    <definedName name="_______DAT6" localSheetId="57">#REF!</definedName>
    <definedName name="_______DAT6" localSheetId="64">#REF!</definedName>
    <definedName name="_______DAT6" localSheetId="67">#REF!</definedName>
    <definedName name="_______DAT6" localSheetId="65">#REF!</definedName>
    <definedName name="_______DAT6" localSheetId="68">#REF!</definedName>
    <definedName name="_______DAT6" localSheetId="71">#REF!</definedName>
    <definedName name="_______DAT6" localSheetId="44">#REF!</definedName>
    <definedName name="_______DAT6" localSheetId="45">#REF!</definedName>
    <definedName name="_______DAT6" localSheetId="27">#REF!</definedName>
    <definedName name="_______DAT6" localSheetId="28">#REF!</definedName>
    <definedName name="_______DAT6" localSheetId="29">#REF!</definedName>
    <definedName name="_______DAT6" localSheetId="66">#REF!</definedName>
    <definedName name="_______DAT6">#REF!</definedName>
    <definedName name="_______DAT7" localSheetId="70">#REF!</definedName>
    <definedName name="_______DAT7" localSheetId="52">#REF!</definedName>
    <definedName name="_______DAT7" localSheetId="58">#REF!</definedName>
    <definedName name="_______DAT7" localSheetId="57">#REF!</definedName>
    <definedName name="_______DAT7" localSheetId="64">#REF!</definedName>
    <definedName name="_______DAT7" localSheetId="67">#REF!</definedName>
    <definedName name="_______DAT7" localSheetId="65">#REF!</definedName>
    <definedName name="_______DAT7" localSheetId="68">#REF!</definedName>
    <definedName name="_______DAT7" localSheetId="71">#REF!</definedName>
    <definedName name="_______DAT7" localSheetId="44">#REF!</definedName>
    <definedName name="_______DAT7" localSheetId="45">#REF!</definedName>
    <definedName name="_______DAT7" localSheetId="27">#REF!</definedName>
    <definedName name="_______DAT7" localSheetId="28">#REF!</definedName>
    <definedName name="_______DAT7" localSheetId="29">#REF!</definedName>
    <definedName name="_______DAT7" localSheetId="66">#REF!</definedName>
    <definedName name="_______DAT7">#REF!</definedName>
    <definedName name="_______DAT8" localSheetId="70">#REF!</definedName>
    <definedName name="_______DAT8" localSheetId="52">#REF!</definedName>
    <definedName name="_______DAT8" localSheetId="58">#REF!</definedName>
    <definedName name="_______DAT8" localSheetId="57">#REF!</definedName>
    <definedName name="_______DAT8" localSheetId="64">#REF!</definedName>
    <definedName name="_______DAT8" localSheetId="67">#REF!</definedName>
    <definedName name="_______DAT8" localSheetId="65">#REF!</definedName>
    <definedName name="_______DAT8" localSheetId="68">#REF!</definedName>
    <definedName name="_______DAT8" localSheetId="71">#REF!</definedName>
    <definedName name="_______DAT8" localSheetId="44">#REF!</definedName>
    <definedName name="_______DAT8" localSheetId="45">#REF!</definedName>
    <definedName name="_______DAT8" localSheetId="27">#REF!</definedName>
    <definedName name="_______DAT8" localSheetId="28">#REF!</definedName>
    <definedName name="_______DAT8" localSheetId="29">#REF!</definedName>
    <definedName name="_______DAT8" localSheetId="66">#REF!</definedName>
    <definedName name="_______DAT8">#REF!</definedName>
    <definedName name="_______DAT9" localSheetId="70">#REF!</definedName>
    <definedName name="_______DAT9" localSheetId="52">#REF!</definedName>
    <definedName name="_______DAT9" localSheetId="58">#REF!</definedName>
    <definedName name="_______DAT9" localSheetId="57">#REF!</definedName>
    <definedName name="_______DAT9" localSheetId="64">#REF!</definedName>
    <definedName name="_______DAT9" localSheetId="67">#REF!</definedName>
    <definedName name="_______DAT9" localSheetId="65">#REF!</definedName>
    <definedName name="_______DAT9" localSheetId="68">#REF!</definedName>
    <definedName name="_______DAT9" localSheetId="71">#REF!</definedName>
    <definedName name="_______DAT9" localSheetId="44">#REF!</definedName>
    <definedName name="_______DAT9" localSheetId="45">#REF!</definedName>
    <definedName name="_______DAT9" localSheetId="27">#REF!</definedName>
    <definedName name="_______DAT9" localSheetId="28">#REF!</definedName>
    <definedName name="_______DAT9" localSheetId="29">#REF!</definedName>
    <definedName name="_______DAT9" localSheetId="66">#REF!</definedName>
    <definedName name="_______DAT9">#REF!</definedName>
    <definedName name="_______G87634" localSheetId="70">#REF!</definedName>
    <definedName name="_______G87634" localSheetId="52">#REF!</definedName>
    <definedName name="_______G87634" localSheetId="58">#REF!</definedName>
    <definedName name="_______G87634" localSheetId="57">#REF!</definedName>
    <definedName name="_______G87634" localSheetId="64">#REF!</definedName>
    <definedName name="_______G87634" localSheetId="67">#REF!</definedName>
    <definedName name="_______G87634" localSheetId="65">#REF!</definedName>
    <definedName name="_______G87634" localSheetId="68">#REF!</definedName>
    <definedName name="_______G87634" localSheetId="71">#REF!</definedName>
    <definedName name="_______G87634" localSheetId="44">#REF!</definedName>
    <definedName name="_______G87634" localSheetId="45">#REF!</definedName>
    <definedName name="_______G87634" localSheetId="27">#REF!</definedName>
    <definedName name="_______G87634" localSheetId="28">#REF!</definedName>
    <definedName name="_______G87634" localSheetId="29">#REF!</definedName>
    <definedName name="_______G87634" localSheetId="66">#REF!</definedName>
    <definedName name="_______G87634">#REF!</definedName>
    <definedName name="_______PG1">'[5]Financial Estimates'!$A$7:$B$108</definedName>
    <definedName name="_______PG2" localSheetId="70">#REF!</definedName>
    <definedName name="_______PG2" localSheetId="52">#REF!</definedName>
    <definedName name="_______PG2" localSheetId="58">#REF!</definedName>
    <definedName name="_______PG2" localSheetId="56">#REF!</definedName>
    <definedName name="_______PG2" localSheetId="57">#REF!</definedName>
    <definedName name="_______PG2" localSheetId="64">#REF!</definedName>
    <definedName name="_______PG2" localSheetId="67">#REF!</definedName>
    <definedName name="_______PG2" localSheetId="65">#REF!</definedName>
    <definedName name="_______PG2" localSheetId="68">#REF!</definedName>
    <definedName name="_______PG2" localSheetId="71">#REF!</definedName>
    <definedName name="_______PG2" localSheetId="44">#REF!</definedName>
    <definedName name="_______PG2" localSheetId="45">#REF!</definedName>
    <definedName name="_______PG2" localSheetId="17">#REF!</definedName>
    <definedName name="_______PG2" localSheetId="27">#REF!</definedName>
    <definedName name="_______PG2" localSheetId="72">#REF!</definedName>
    <definedName name="_______PG2" localSheetId="28">#REF!</definedName>
    <definedName name="_______PG2" localSheetId="29">#REF!</definedName>
    <definedName name="_______PG2" localSheetId="66">#REF!</definedName>
    <definedName name="_______PG2">#REF!</definedName>
    <definedName name="_______PG3" localSheetId="70">#REF!</definedName>
    <definedName name="_______PG3" localSheetId="52">#REF!</definedName>
    <definedName name="_______PG3" localSheetId="58">#REF!</definedName>
    <definedName name="_______PG3" localSheetId="57">#REF!</definedName>
    <definedName name="_______PG3" localSheetId="64">#REF!</definedName>
    <definedName name="_______PG3" localSheetId="67">#REF!</definedName>
    <definedName name="_______PG3" localSheetId="65">#REF!</definedName>
    <definedName name="_______PG3" localSheetId="68">#REF!</definedName>
    <definedName name="_______PG3" localSheetId="71">#REF!</definedName>
    <definedName name="_______PG3" localSheetId="44">#REF!</definedName>
    <definedName name="_______PG3" localSheetId="45">#REF!</definedName>
    <definedName name="_______PG3" localSheetId="17">#REF!</definedName>
    <definedName name="_______PG3" localSheetId="27">#REF!</definedName>
    <definedName name="_______PG3" localSheetId="72">#REF!</definedName>
    <definedName name="_______PG3" localSheetId="28">#REF!</definedName>
    <definedName name="_______PG3" localSheetId="29">#REF!</definedName>
    <definedName name="_______PG3" localSheetId="66">#REF!</definedName>
    <definedName name="_______PG3">#REF!</definedName>
    <definedName name="_______PG5">'[5]Financial Estimates'!$A$271:$D$342</definedName>
    <definedName name="_______pg6">'[6]Financial Estimates'!$A$271:$D$342</definedName>
    <definedName name="_______pg7" localSheetId="70">'[6]Financial Estimates'!#REF!</definedName>
    <definedName name="_______pg7" localSheetId="52">'[6]Financial Estimates'!#REF!</definedName>
    <definedName name="_______pg7" localSheetId="58">'[6]Financial Estimates'!#REF!</definedName>
    <definedName name="_______pg7" localSheetId="56">'[6]Financial Estimates'!#REF!</definedName>
    <definedName name="_______pg7" localSheetId="57">'[6]Financial Estimates'!#REF!</definedName>
    <definedName name="_______pg7" localSheetId="64">'[6]Financial Estimates'!#REF!</definedName>
    <definedName name="_______pg7" localSheetId="67">'[6]Financial Estimates'!#REF!</definedName>
    <definedName name="_______pg7" localSheetId="65">'[6]Financial Estimates'!#REF!</definedName>
    <definedName name="_______pg7" localSheetId="68">'[6]Financial Estimates'!#REF!</definedName>
    <definedName name="_______pg7" localSheetId="71">'[6]Financial Estimates'!#REF!</definedName>
    <definedName name="_______pg7" localSheetId="44">'[6]Financial Estimates'!#REF!</definedName>
    <definedName name="_______pg7" localSheetId="45">'[6]Financial Estimates'!#REF!</definedName>
    <definedName name="_______pg7" localSheetId="17">'[6]Financial Estimates'!#REF!</definedName>
    <definedName name="_______pg7" localSheetId="27">'[6]Financial Estimates'!#REF!</definedName>
    <definedName name="_______pg7" localSheetId="72">'[6]Financial Estimates'!#REF!</definedName>
    <definedName name="_______pg7" localSheetId="28">'[6]Financial Estimates'!#REF!</definedName>
    <definedName name="_______pg7" localSheetId="29">'[6]Financial Estimates'!#REF!</definedName>
    <definedName name="_______pg7" localSheetId="66">'[6]Financial Estimates'!#REF!</definedName>
    <definedName name="_______pg7">'[6]Financial Estimates'!#REF!</definedName>
    <definedName name="_______za1" localSheetId="70">#REF!</definedName>
    <definedName name="_______za1" localSheetId="52">#REF!</definedName>
    <definedName name="_______za1" localSheetId="58">#REF!</definedName>
    <definedName name="_______za1" localSheetId="56">#REF!</definedName>
    <definedName name="_______za1" localSheetId="57">#REF!</definedName>
    <definedName name="_______za1" localSheetId="64">#REF!</definedName>
    <definedName name="_______za1" localSheetId="67">#REF!</definedName>
    <definedName name="_______za1" localSheetId="65">#REF!</definedName>
    <definedName name="_______za1" localSheetId="68">#REF!</definedName>
    <definedName name="_______za1" localSheetId="71">#REF!</definedName>
    <definedName name="_______za1" localSheetId="44">#REF!</definedName>
    <definedName name="_______za1" localSheetId="45">#REF!</definedName>
    <definedName name="_______za1" localSheetId="17">#REF!</definedName>
    <definedName name="_______za1" localSheetId="27">#REF!</definedName>
    <definedName name="_______za1" localSheetId="72">#REF!</definedName>
    <definedName name="_______za1" localSheetId="28">#REF!</definedName>
    <definedName name="_______za1" localSheetId="29">#REF!</definedName>
    <definedName name="_______za1" localSheetId="66">#REF!</definedName>
    <definedName name="_______za1">#REF!</definedName>
    <definedName name="_______zz1" localSheetId="70">#REF!</definedName>
    <definedName name="_______zz1" localSheetId="52">#REF!</definedName>
    <definedName name="_______zz1" localSheetId="58">#REF!</definedName>
    <definedName name="_______zz1" localSheetId="57">#REF!</definedName>
    <definedName name="_______zz1" localSheetId="64">#REF!</definedName>
    <definedName name="_______zz1" localSheetId="67">#REF!</definedName>
    <definedName name="_______zz1" localSheetId="65">#REF!</definedName>
    <definedName name="_______zz1" localSheetId="68">#REF!</definedName>
    <definedName name="_______zz1" localSheetId="71">#REF!</definedName>
    <definedName name="_______zz1" localSheetId="44">#REF!</definedName>
    <definedName name="_______zz1" localSheetId="45">#REF!</definedName>
    <definedName name="_______zz1" localSheetId="17">#REF!</definedName>
    <definedName name="_______zz1" localSheetId="27">#REF!</definedName>
    <definedName name="_______zz1" localSheetId="72">#REF!</definedName>
    <definedName name="_______zz1" localSheetId="28">#REF!</definedName>
    <definedName name="_______zz1" localSheetId="29">#REF!</definedName>
    <definedName name="_______zz1" localSheetId="66">#REF!</definedName>
    <definedName name="_______zz1">#REF!</definedName>
    <definedName name="______as3">[12]BEST_17112006!$C$20</definedName>
    <definedName name="______D87840" localSheetId="70">#REF!</definedName>
    <definedName name="______D87840" localSheetId="52">#REF!</definedName>
    <definedName name="______D87840" localSheetId="58">#REF!</definedName>
    <definedName name="______D87840" localSheetId="56">#REF!</definedName>
    <definedName name="______D87840" localSheetId="57">#REF!</definedName>
    <definedName name="______D87840" localSheetId="64">#REF!</definedName>
    <definedName name="______D87840" localSheetId="67">#REF!</definedName>
    <definedName name="______D87840" localSheetId="65">#REF!</definedName>
    <definedName name="______D87840" localSheetId="68">#REF!</definedName>
    <definedName name="______D87840" localSheetId="71">#REF!</definedName>
    <definedName name="______D87840" localSheetId="44">#REF!</definedName>
    <definedName name="______D87840" localSheetId="45">#REF!</definedName>
    <definedName name="______D87840" localSheetId="17">#REF!</definedName>
    <definedName name="______D87840" localSheetId="27">#REF!</definedName>
    <definedName name="______D87840" localSheetId="72">#REF!</definedName>
    <definedName name="______D87840" localSheetId="28">#REF!</definedName>
    <definedName name="______D87840" localSheetId="29">#REF!</definedName>
    <definedName name="______D87840" localSheetId="66">#REF!</definedName>
    <definedName name="______D87840">#REF!</definedName>
    <definedName name="______DAT1" localSheetId="70">#REF!</definedName>
    <definedName name="______DAT1" localSheetId="52">#REF!</definedName>
    <definedName name="______DAT1" localSheetId="58">#REF!</definedName>
    <definedName name="______DAT1" localSheetId="57">#REF!</definedName>
    <definedName name="______DAT1" localSheetId="64">#REF!</definedName>
    <definedName name="______DAT1" localSheetId="67">#REF!</definedName>
    <definedName name="______DAT1" localSheetId="65">#REF!</definedName>
    <definedName name="______DAT1" localSheetId="68">#REF!</definedName>
    <definedName name="______DAT1" localSheetId="71">#REF!</definedName>
    <definedName name="______DAT1" localSheetId="44">#REF!</definedName>
    <definedName name="______DAT1" localSheetId="45">#REF!</definedName>
    <definedName name="______DAT1" localSheetId="17">#REF!</definedName>
    <definedName name="______DAT1" localSheetId="27">#REF!</definedName>
    <definedName name="______DAT1" localSheetId="72">#REF!</definedName>
    <definedName name="______DAT1" localSheetId="28">#REF!</definedName>
    <definedName name="______DAT1" localSheetId="29">#REF!</definedName>
    <definedName name="______DAT1" localSheetId="66">#REF!</definedName>
    <definedName name="______DAT1">#REF!</definedName>
    <definedName name="______DAT10" localSheetId="70">#REF!</definedName>
    <definedName name="______DAT10" localSheetId="52">#REF!</definedName>
    <definedName name="______DAT10" localSheetId="58">#REF!</definedName>
    <definedName name="______DAT10" localSheetId="57">#REF!</definedName>
    <definedName name="______DAT10" localSheetId="64">#REF!</definedName>
    <definedName name="______DAT10" localSheetId="67">#REF!</definedName>
    <definedName name="______DAT10" localSheetId="65">#REF!</definedName>
    <definedName name="______DAT10" localSheetId="68">#REF!</definedName>
    <definedName name="______DAT10" localSheetId="71">#REF!</definedName>
    <definedName name="______DAT10" localSheetId="44">#REF!</definedName>
    <definedName name="______DAT10" localSheetId="45">#REF!</definedName>
    <definedName name="______DAT10" localSheetId="17">#REF!</definedName>
    <definedName name="______DAT10" localSheetId="27">#REF!</definedName>
    <definedName name="______DAT10" localSheetId="72">#REF!</definedName>
    <definedName name="______DAT10" localSheetId="28">#REF!</definedName>
    <definedName name="______DAT10" localSheetId="29">#REF!</definedName>
    <definedName name="______DAT10" localSheetId="66">#REF!</definedName>
    <definedName name="______DAT10">#REF!</definedName>
    <definedName name="______DAT11" localSheetId="70">#REF!</definedName>
    <definedName name="______DAT11" localSheetId="52">#REF!</definedName>
    <definedName name="______DAT11" localSheetId="58">#REF!</definedName>
    <definedName name="______DAT11" localSheetId="57">#REF!</definedName>
    <definedName name="______DAT11" localSheetId="64">#REF!</definedName>
    <definedName name="______DAT11" localSheetId="67">#REF!</definedName>
    <definedName name="______DAT11" localSheetId="65">#REF!</definedName>
    <definedName name="______DAT11" localSheetId="68">#REF!</definedName>
    <definedName name="______DAT11" localSheetId="71">#REF!</definedName>
    <definedName name="______DAT11" localSheetId="44">#REF!</definedName>
    <definedName name="______DAT11" localSheetId="45">#REF!</definedName>
    <definedName name="______DAT11" localSheetId="27">#REF!</definedName>
    <definedName name="______DAT11" localSheetId="28">#REF!</definedName>
    <definedName name="______DAT11" localSheetId="29">#REF!</definedName>
    <definedName name="______DAT11" localSheetId="66">#REF!</definedName>
    <definedName name="______DAT11">#REF!</definedName>
    <definedName name="______DAT12" localSheetId="70">'[10]ins spares'!#REF!</definedName>
    <definedName name="______DAT12" localSheetId="52">'[10]ins spares'!#REF!</definedName>
    <definedName name="______DAT12" localSheetId="58">'[10]ins spares'!#REF!</definedName>
    <definedName name="______DAT12" localSheetId="57">'[10]ins spares'!#REF!</definedName>
    <definedName name="______DAT12" localSheetId="64">'[10]ins spares'!#REF!</definedName>
    <definedName name="______DAT12" localSheetId="67">'[10]ins spares'!#REF!</definedName>
    <definedName name="______DAT12" localSheetId="65">'[10]ins spares'!#REF!</definedName>
    <definedName name="______DAT12" localSheetId="68">'[10]ins spares'!#REF!</definedName>
    <definedName name="______DAT12" localSheetId="71">'[10]ins spares'!#REF!</definedName>
    <definedName name="______DAT12" localSheetId="44">'[10]ins spares'!#REF!</definedName>
    <definedName name="______DAT12" localSheetId="45">'[10]ins spares'!#REF!</definedName>
    <definedName name="______DAT12" localSheetId="27">'[10]ins spares'!#REF!</definedName>
    <definedName name="______DAT12" localSheetId="28">'[10]ins spares'!#REF!</definedName>
    <definedName name="______DAT12" localSheetId="29">'[10]ins spares'!#REF!</definedName>
    <definedName name="______DAT12" localSheetId="66">'[10]ins spares'!#REF!</definedName>
    <definedName name="______DAT12">'[10]ins spares'!#REF!</definedName>
    <definedName name="______DAT13" localSheetId="70">'[10]ins spares'!#REF!</definedName>
    <definedName name="______DAT13" localSheetId="52">'[10]ins spares'!#REF!</definedName>
    <definedName name="______DAT13" localSheetId="58">'[10]ins spares'!#REF!</definedName>
    <definedName name="______DAT13" localSheetId="57">'[10]ins spares'!#REF!</definedName>
    <definedName name="______DAT13" localSheetId="64">'[10]ins spares'!#REF!</definedName>
    <definedName name="______DAT13" localSheetId="67">'[10]ins spares'!#REF!</definedName>
    <definedName name="______DAT13" localSheetId="65">'[10]ins spares'!#REF!</definedName>
    <definedName name="______DAT13" localSheetId="68">'[10]ins spares'!#REF!</definedName>
    <definedName name="______DAT13" localSheetId="71">'[10]ins spares'!#REF!</definedName>
    <definedName name="______DAT13" localSheetId="44">'[10]ins spares'!#REF!</definedName>
    <definedName name="______DAT13" localSheetId="45">'[10]ins spares'!#REF!</definedName>
    <definedName name="______DAT13" localSheetId="27">'[10]ins spares'!#REF!</definedName>
    <definedName name="______DAT13" localSheetId="28">'[10]ins spares'!#REF!</definedName>
    <definedName name="______DAT13" localSheetId="29">'[10]ins spares'!#REF!</definedName>
    <definedName name="______DAT13" localSheetId="66">'[10]ins spares'!#REF!</definedName>
    <definedName name="______DAT13">'[10]ins spares'!#REF!</definedName>
    <definedName name="______DAT15" localSheetId="70">'[10]ins spares'!#REF!</definedName>
    <definedName name="______DAT15" localSheetId="52">'[10]ins spares'!#REF!</definedName>
    <definedName name="______DAT15" localSheetId="58">'[10]ins spares'!#REF!</definedName>
    <definedName name="______DAT15" localSheetId="57">'[10]ins spares'!#REF!</definedName>
    <definedName name="______DAT15" localSheetId="64">'[10]ins spares'!#REF!</definedName>
    <definedName name="______DAT15" localSheetId="67">'[10]ins spares'!#REF!</definedName>
    <definedName name="______DAT15" localSheetId="65">'[10]ins spares'!#REF!</definedName>
    <definedName name="______DAT15" localSheetId="68">'[10]ins spares'!#REF!</definedName>
    <definedName name="______DAT15" localSheetId="71">'[10]ins spares'!#REF!</definedName>
    <definedName name="______DAT15" localSheetId="44">'[10]ins spares'!#REF!</definedName>
    <definedName name="______DAT15" localSheetId="45">'[10]ins spares'!#REF!</definedName>
    <definedName name="______DAT15" localSheetId="27">'[10]ins spares'!#REF!</definedName>
    <definedName name="______DAT15" localSheetId="28">'[10]ins spares'!#REF!</definedName>
    <definedName name="______DAT15" localSheetId="29">'[10]ins spares'!#REF!</definedName>
    <definedName name="______DAT15" localSheetId="66">'[10]ins spares'!#REF!</definedName>
    <definedName name="______DAT15">'[10]ins spares'!#REF!</definedName>
    <definedName name="______DAT16" localSheetId="70">'[10]ins spares'!#REF!</definedName>
    <definedName name="______DAT16" localSheetId="52">'[10]ins spares'!#REF!</definedName>
    <definedName name="______DAT16" localSheetId="58">'[10]ins spares'!#REF!</definedName>
    <definedName name="______DAT16" localSheetId="57">'[10]ins spares'!#REF!</definedName>
    <definedName name="______DAT16" localSheetId="64">'[10]ins spares'!#REF!</definedName>
    <definedName name="______DAT16" localSheetId="67">'[10]ins spares'!#REF!</definedName>
    <definedName name="______DAT16" localSheetId="65">'[10]ins spares'!#REF!</definedName>
    <definedName name="______DAT16" localSheetId="68">'[10]ins spares'!#REF!</definedName>
    <definedName name="______DAT16" localSheetId="71">'[10]ins spares'!#REF!</definedName>
    <definedName name="______DAT16" localSheetId="44">'[10]ins spares'!#REF!</definedName>
    <definedName name="______DAT16" localSheetId="45">'[10]ins spares'!#REF!</definedName>
    <definedName name="______DAT16" localSheetId="27">'[10]ins spares'!#REF!</definedName>
    <definedName name="______DAT16" localSheetId="28">'[10]ins spares'!#REF!</definedName>
    <definedName name="______DAT16" localSheetId="29">'[10]ins spares'!#REF!</definedName>
    <definedName name="______DAT16" localSheetId="66">'[10]ins spares'!#REF!</definedName>
    <definedName name="______DAT16">'[10]ins spares'!#REF!</definedName>
    <definedName name="______DAT18" localSheetId="70">'[10]ins spares'!#REF!</definedName>
    <definedName name="______DAT18" localSheetId="52">'[10]ins spares'!#REF!</definedName>
    <definedName name="______DAT18" localSheetId="58">'[10]ins spares'!#REF!</definedName>
    <definedName name="______DAT18" localSheetId="57">'[10]ins spares'!#REF!</definedName>
    <definedName name="______DAT18" localSheetId="64">'[10]ins spares'!#REF!</definedName>
    <definedName name="______DAT18" localSheetId="67">'[10]ins spares'!#REF!</definedName>
    <definedName name="______DAT18" localSheetId="65">'[10]ins spares'!#REF!</definedName>
    <definedName name="______DAT18" localSheetId="68">'[10]ins spares'!#REF!</definedName>
    <definedName name="______DAT18" localSheetId="71">'[10]ins spares'!#REF!</definedName>
    <definedName name="______DAT18" localSheetId="44">'[10]ins spares'!#REF!</definedName>
    <definedName name="______DAT18" localSheetId="45">'[10]ins spares'!#REF!</definedName>
    <definedName name="______DAT18" localSheetId="27">'[10]ins spares'!#REF!</definedName>
    <definedName name="______DAT18" localSheetId="28">'[10]ins spares'!#REF!</definedName>
    <definedName name="______DAT18" localSheetId="29">'[10]ins spares'!#REF!</definedName>
    <definedName name="______DAT18" localSheetId="66">'[10]ins spares'!#REF!</definedName>
    <definedName name="______DAT18">'[10]ins spares'!#REF!</definedName>
    <definedName name="______DAT19" localSheetId="70">'[10]ins spares'!#REF!</definedName>
    <definedName name="______DAT19" localSheetId="52">'[10]ins spares'!#REF!</definedName>
    <definedName name="______DAT19" localSheetId="58">'[10]ins spares'!#REF!</definedName>
    <definedName name="______DAT19" localSheetId="57">'[10]ins spares'!#REF!</definedName>
    <definedName name="______DAT19" localSheetId="64">'[10]ins spares'!#REF!</definedName>
    <definedName name="______DAT19" localSheetId="67">'[10]ins spares'!#REF!</definedName>
    <definedName name="______DAT19" localSheetId="65">'[10]ins spares'!#REF!</definedName>
    <definedName name="______DAT19" localSheetId="68">'[10]ins spares'!#REF!</definedName>
    <definedName name="______DAT19" localSheetId="71">'[10]ins spares'!#REF!</definedName>
    <definedName name="______DAT19" localSheetId="44">'[10]ins spares'!#REF!</definedName>
    <definedName name="______DAT19" localSheetId="45">'[10]ins spares'!#REF!</definedName>
    <definedName name="______DAT19" localSheetId="27">'[10]ins spares'!#REF!</definedName>
    <definedName name="______DAT19" localSheetId="28">'[10]ins spares'!#REF!</definedName>
    <definedName name="______DAT19" localSheetId="29">'[10]ins spares'!#REF!</definedName>
    <definedName name="______DAT19" localSheetId="66">'[10]ins spares'!#REF!</definedName>
    <definedName name="______DAT19">'[10]ins spares'!#REF!</definedName>
    <definedName name="______DAT2" localSheetId="70">#REF!</definedName>
    <definedName name="______DAT2" localSheetId="52">#REF!</definedName>
    <definedName name="______DAT2" localSheetId="58">#REF!</definedName>
    <definedName name="______DAT2" localSheetId="56">#REF!</definedName>
    <definedName name="______DAT2" localSheetId="57">#REF!</definedName>
    <definedName name="______DAT2" localSheetId="64">#REF!</definedName>
    <definedName name="______DAT2" localSheetId="67">#REF!</definedName>
    <definedName name="______DAT2" localSheetId="65">#REF!</definedName>
    <definedName name="______DAT2" localSheetId="68">#REF!</definedName>
    <definedName name="______DAT2" localSheetId="71">#REF!</definedName>
    <definedName name="______DAT2" localSheetId="44">#REF!</definedName>
    <definedName name="______DAT2" localSheetId="45">#REF!</definedName>
    <definedName name="______DAT2" localSheetId="17">#REF!</definedName>
    <definedName name="______DAT2" localSheetId="27">#REF!</definedName>
    <definedName name="______DAT2" localSheetId="72">#REF!</definedName>
    <definedName name="______DAT2" localSheetId="28">#REF!</definedName>
    <definedName name="______DAT2" localSheetId="29">#REF!</definedName>
    <definedName name="______DAT2" localSheetId="66">#REF!</definedName>
    <definedName name="______DAT2">#REF!</definedName>
    <definedName name="______DAT20" localSheetId="70">'[10]ins spares'!#REF!</definedName>
    <definedName name="______DAT20" localSheetId="52">'[10]ins spares'!#REF!</definedName>
    <definedName name="______DAT20" localSheetId="58">'[10]ins spares'!#REF!</definedName>
    <definedName name="______DAT20" localSheetId="56">'[10]ins spares'!#REF!</definedName>
    <definedName name="______DAT20" localSheetId="57">'[10]ins spares'!#REF!</definedName>
    <definedName name="______DAT20" localSheetId="64">'[10]ins spares'!#REF!</definedName>
    <definedName name="______DAT20" localSheetId="67">'[10]ins spares'!#REF!</definedName>
    <definedName name="______DAT20" localSheetId="65">'[10]ins spares'!#REF!</definedName>
    <definedName name="______DAT20" localSheetId="68">'[10]ins spares'!#REF!</definedName>
    <definedName name="______DAT20" localSheetId="71">'[10]ins spares'!#REF!</definedName>
    <definedName name="______DAT20" localSheetId="44">'[10]ins spares'!#REF!</definedName>
    <definedName name="______DAT20" localSheetId="45">'[10]ins spares'!#REF!</definedName>
    <definedName name="______DAT20" localSheetId="17">'[10]ins spares'!#REF!</definedName>
    <definedName name="______DAT20" localSheetId="27">'[10]ins spares'!#REF!</definedName>
    <definedName name="______DAT20" localSheetId="72">'[10]ins spares'!#REF!</definedName>
    <definedName name="______DAT20" localSheetId="28">'[10]ins spares'!#REF!</definedName>
    <definedName name="______DAT20" localSheetId="29">'[10]ins spares'!#REF!</definedName>
    <definedName name="______DAT20" localSheetId="66">'[10]ins spares'!#REF!</definedName>
    <definedName name="______DAT20">'[10]ins spares'!#REF!</definedName>
    <definedName name="______DAT21" localSheetId="70">'[10]ins spares'!#REF!</definedName>
    <definedName name="______DAT21" localSheetId="52">'[10]ins spares'!#REF!</definedName>
    <definedName name="______DAT21" localSheetId="58">'[10]ins spares'!#REF!</definedName>
    <definedName name="______DAT21" localSheetId="57">'[10]ins spares'!#REF!</definedName>
    <definedName name="______DAT21" localSheetId="64">'[10]ins spares'!#REF!</definedName>
    <definedName name="______DAT21" localSheetId="67">'[10]ins spares'!#REF!</definedName>
    <definedName name="______DAT21" localSheetId="65">'[10]ins spares'!#REF!</definedName>
    <definedName name="______DAT21" localSheetId="68">'[10]ins spares'!#REF!</definedName>
    <definedName name="______DAT21" localSheetId="71">'[10]ins spares'!#REF!</definedName>
    <definedName name="______DAT21" localSheetId="44">'[10]ins spares'!#REF!</definedName>
    <definedName name="______DAT21" localSheetId="45">'[10]ins spares'!#REF!</definedName>
    <definedName name="______DAT21" localSheetId="27">'[10]ins spares'!#REF!</definedName>
    <definedName name="______DAT21" localSheetId="28">'[10]ins spares'!#REF!</definedName>
    <definedName name="______DAT21" localSheetId="29">'[10]ins spares'!#REF!</definedName>
    <definedName name="______DAT21" localSheetId="66">'[10]ins spares'!#REF!</definedName>
    <definedName name="______DAT21">'[10]ins spares'!#REF!</definedName>
    <definedName name="______DAT22" localSheetId="70">'[10]ins spares'!#REF!</definedName>
    <definedName name="______DAT22" localSheetId="52">'[10]ins spares'!#REF!</definedName>
    <definedName name="______DAT22" localSheetId="58">'[10]ins spares'!#REF!</definedName>
    <definedName name="______DAT22" localSheetId="57">'[10]ins spares'!#REF!</definedName>
    <definedName name="______DAT22" localSheetId="64">'[10]ins spares'!#REF!</definedName>
    <definedName name="______DAT22" localSheetId="67">'[10]ins spares'!#REF!</definedName>
    <definedName name="______DAT22" localSheetId="65">'[10]ins spares'!#REF!</definedName>
    <definedName name="______DAT22" localSheetId="68">'[10]ins spares'!#REF!</definedName>
    <definedName name="______DAT22" localSheetId="71">'[10]ins spares'!#REF!</definedName>
    <definedName name="______DAT22" localSheetId="44">'[10]ins spares'!#REF!</definedName>
    <definedName name="______DAT22" localSheetId="45">'[10]ins spares'!#REF!</definedName>
    <definedName name="______DAT22" localSheetId="27">'[10]ins spares'!#REF!</definedName>
    <definedName name="______DAT22" localSheetId="28">'[10]ins spares'!#REF!</definedName>
    <definedName name="______DAT22" localSheetId="29">'[10]ins spares'!#REF!</definedName>
    <definedName name="______DAT22" localSheetId="66">'[10]ins spares'!#REF!</definedName>
    <definedName name="______DAT22">'[10]ins spares'!#REF!</definedName>
    <definedName name="______DAT23" localSheetId="70">'[10]ins spares'!#REF!</definedName>
    <definedName name="______DAT23" localSheetId="52">'[10]ins spares'!#REF!</definedName>
    <definedName name="______DAT23" localSheetId="58">'[10]ins spares'!#REF!</definedName>
    <definedName name="______DAT23" localSheetId="57">'[10]ins spares'!#REF!</definedName>
    <definedName name="______DAT23" localSheetId="64">'[10]ins spares'!#REF!</definedName>
    <definedName name="______DAT23" localSheetId="67">'[10]ins spares'!#REF!</definedName>
    <definedName name="______DAT23" localSheetId="65">'[10]ins spares'!#REF!</definedName>
    <definedName name="______DAT23" localSheetId="68">'[10]ins spares'!#REF!</definedName>
    <definedName name="______DAT23" localSheetId="71">'[10]ins spares'!#REF!</definedName>
    <definedName name="______DAT23" localSheetId="44">'[10]ins spares'!#REF!</definedName>
    <definedName name="______DAT23" localSheetId="45">'[10]ins spares'!#REF!</definedName>
    <definedName name="______DAT23" localSheetId="27">'[10]ins spares'!#REF!</definedName>
    <definedName name="______DAT23" localSheetId="28">'[10]ins spares'!#REF!</definedName>
    <definedName name="______DAT23" localSheetId="29">'[10]ins spares'!#REF!</definedName>
    <definedName name="______DAT23" localSheetId="66">'[10]ins spares'!#REF!</definedName>
    <definedName name="______DAT23">'[10]ins spares'!#REF!</definedName>
    <definedName name="______DAT24" localSheetId="70">'[10]ins spares'!#REF!</definedName>
    <definedName name="______DAT24" localSheetId="52">'[10]ins spares'!#REF!</definedName>
    <definedName name="______DAT24" localSheetId="58">'[10]ins spares'!#REF!</definedName>
    <definedName name="______DAT24" localSheetId="57">'[10]ins spares'!#REF!</definedName>
    <definedName name="______DAT24" localSheetId="64">'[10]ins spares'!#REF!</definedName>
    <definedName name="______DAT24" localSheetId="67">'[10]ins spares'!#REF!</definedName>
    <definedName name="______DAT24" localSheetId="65">'[10]ins spares'!#REF!</definedName>
    <definedName name="______DAT24" localSheetId="68">'[10]ins spares'!#REF!</definedName>
    <definedName name="______DAT24" localSheetId="71">'[10]ins spares'!#REF!</definedName>
    <definedName name="______DAT24" localSheetId="44">'[10]ins spares'!#REF!</definedName>
    <definedName name="______DAT24" localSheetId="45">'[10]ins spares'!#REF!</definedName>
    <definedName name="______DAT24" localSheetId="27">'[10]ins spares'!#REF!</definedName>
    <definedName name="______DAT24" localSheetId="28">'[10]ins spares'!#REF!</definedName>
    <definedName name="______DAT24" localSheetId="29">'[10]ins spares'!#REF!</definedName>
    <definedName name="______DAT24" localSheetId="66">'[10]ins spares'!#REF!</definedName>
    <definedName name="______DAT24">'[10]ins spares'!#REF!</definedName>
    <definedName name="______DAT3" localSheetId="70">#REF!</definedName>
    <definedName name="______DAT3" localSheetId="52">#REF!</definedName>
    <definedName name="______DAT3" localSheetId="58">#REF!</definedName>
    <definedName name="______DAT3" localSheetId="56">#REF!</definedName>
    <definedName name="______DAT3" localSheetId="57">#REF!</definedName>
    <definedName name="______DAT3" localSheetId="64">#REF!</definedName>
    <definedName name="______DAT3" localSheetId="67">#REF!</definedName>
    <definedName name="______DAT3" localSheetId="65">#REF!</definedName>
    <definedName name="______DAT3" localSheetId="68">#REF!</definedName>
    <definedName name="______DAT3" localSheetId="71">#REF!</definedName>
    <definedName name="______DAT3" localSheetId="44">#REF!</definedName>
    <definedName name="______DAT3" localSheetId="45">#REF!</definedName>
    <definedName name="______DAT3" localSheetId="17">#REF!</definedName>
    <definedName name="______DAT3" localSheetId="27">#REF!</definedName>
    <definedName name="______DAT3" localSheetId="72">#REF!</definedName>
    <definedName name="______DAT3" localSheetId="28">#REF!</definedName>
    <definedName name="______DAT3" localSheetId="29">#REF!</definedName>
    <definedName name="______DAT3" localSheetId="66">#REF!</definedName>
    <definedName name="______DAT3">#REF!</definedName>
    <definedName name="______DAT4" localSheetId="70">#REF!</definedName>
    <definedName name="______DAT4" localSheetId="52">#REF!</definedName>
    <definedName name="______DAT4" localSheetId="58">#REF!</definedName>
    <definedName name="______DAT4" localSheetId="57">#REF!</definedName>
    <definedName name="______DAT4" localSheetId="64">#REF!</definedName>
    <definedName name="______DAT4" localSheetId="67">#REF!</definedName>
    <definedName name="______DAT4" localSheetId="65">#REF!</definedName>
    <definedName name="______DAT4" localSheetId="68">#REF!</definedName>
    <definedName name="______DAT4" localSheetId="71">#REF!</definedName>
    <definedName name="______DAT4" localSheetId="44">#REF!</definedName>
    <definedName name="______DAT4" localSheetId="45">#REF!</definedName>
    <definedName name="______DAT4" localSheetId="17">#REF!</definedName>
    <definedName name="______DAT4" localSheetId="27">#REF!</definedName>
    <definedName name="______DAT4" localSheetId="72">#REF!</definedName>
    <definedName name="______DAT4" localSheetId="28">#REF!</definedName>
    <definedName name="______DAT4" localSheetId="29">#REF!</definedName>
    <definedName name="______DAT4" localSheetId="66">#REF!</definedName>
    <definedName name="______DAT4">#REF!</definedName>
    <definedName name="______DAT5" localSheetId="70">#REF!</definedName>
    <definedName name="______DAT5" localSheetId="52">#REF!</definedName>
    <definedName name="______DAT5" localSheetId="58">#REF!</definedName>
    <definedName name="______DAT5" localSheetId="57">#REF!</definedName>
    <definedName name="______DAT5" localSheetId="64">#REF!</definedName>
    <definedName name="______DAT5" localSheetId="67">#REF!</definedName>
    <definedName name="______DAT5" localSheetId="65">#REF!</definedName>
    <definedName name="______DAT5" localSheetId="68">#REF!</definedName>
    <definedName name="______DAT5" localSheetId="71">#REF!</definedName>
    <definedName name="______DAT5" localSheetId="44">#REF!</definedName>
    <definedName name="______DAT5" localSheetId="45">#REF!</definedName>
    <definedName name="______DAT5" localSheetId="17">#REF!</definedName>
    <definedName name="______DAT5" localSheetId="27">#REF!</definedName>
    <definedName name="______DAT5" localSheetId="72">#REF!</definedName>
    <definedName name="______DAT5" localSheetId="28">#REF!</definedName>
    <definedName name="______DAT5" localSheetId="29">#REF!</definedName>
    <definedName name="______DAT5" localSheetId="66">#REF!</definedName>
    <definedName name="______DAT5">#REF!</definedName>
    <definedName name="______DAT6" localSheetId="70">#REF!</definedName>
    <definedName name="______DAT6" localSheetId="52">#REF!</definedName>
    <definedName name="______DAT6" localSheetId="58">#REF!</definedName>
    <definedName name="______DAT6" localSheetId="57">#REF!</definedName>
    <definedName name="______DAT6" localSheetId="64">#REF!</definedName>
    <definedName name="______DAT6" localSheetId="67">#REF!</definedName>
    <definedName name="______DAT6" localSheetId="65">#REF!</definedName>
    <definedName name="______DAT6" localSheetId="68">#REF!</definedName>
    <definedName name="______DAT6" localSheetId="71">#REF!</definedName>
    <definedName name="______DAT6" localSheetId="44">#REF!</definedName>
    <definedName name="______DAT6" localSheetId="45">#REF!</definedName>
    <definedName name="______DAT6" localSheetId="27">#REF!</definedName>
    <definedName name="______DAT6" localSheetId="28">#REF!</definedName>
    <definedName name="______DAT6" localSheetId="29">#REF!</definedName>
    <definedName name="______DAT6" localSheetId="66">#REF!</definedName>
    <definedName name="______DAT6">#REF!</definedName>
    <definedName name="______DAT7" localSheetId="70">#REF!</definedName>
    <definedName name="______DAT7" localSheetId="52">#REF!</definedName>
    <definedName name="______DAT7" localSheetId="58">#REF!</definedName>
    <definedName name="______DAT7" localSheetId="57">#REF!</definedName>
    <definedName name="______DAT7" localSheetId="64">#REF!</definedName>
    <definedName name="______DAT7" localSheetId="67">#REF!</definedName>
    <definedName name="______DAT7" localSheetId="65">#REF!</definedName>
    <definedName name="______DAT7" localSheetId="68">#REF!</definedName>
    <definedName name="______DAT7" localSheetId="71">#REF!</definedName>
    <definedName name="______DAT7" localSheetId="44">#REF!</definedName>
    <definedName name="______DAT7" localSheetId="45">#REF!</definedName>
    <definedName name="______DAT7" localSheetId="27">#REF!</definedName>
    <definedName name="______DAT7" localSheetId="28">#REF!</definedName>
    <definedName name="______DAT7" localSheetId="29">#REF!</definedName>
    <definedName name="______DAT7" localSheetId="66">#REF!</definedName>
    <definedName name="______DAT7">#REF!</definedName>
    <definedName name="______DAT8" localSheetId="70">#REF!</definedName>
    <definedName name="______DAT8" localSheetId="52">#REF!</definedName>
    <definedName name="______DAT8" localSheetId="58">#REF!</definedName>
    <definedName name="______DAT8" localSheetId="57">#REF!</definedName>
    <definedName name="______DAT8" localSheetId="64">#REF!</definedName>
    <definedName name="______DAT8" localSheetId="67">#REF!</definedName>
    <definedName name="______DAT8" localSheetId="65">#REF!</definedName>
    <definedName name="______DAT8" localSheetId="68">#REF!</definedName>
    <definedName name="______DAT8" localSheetId="71">#REF!</definedName>
    <definedName name="______DAT8" localSheetId="44">#REF!</definedName>
    <definedName name="______DAT8" localSheetId="45">#REF!</definedName>
    <definedName name="______DAT8" localSheetId="27">#REF!</definedName>
    <definedName name="______DAT8" localSheetId="28">#REF!</definedName>
    <definedName name="______DAT8" localSheetId="29">#REF!</definedName>
    <definedName name="______DAT8" localSheetId="66">#REF!</definedName>
    <definedName name="______DAT8">#REF!</definedName>
    <definedName name="______DAT9" localSheetId="70">#REF!</definedName>
    <definedName name="______DAT9" localSheetId="52">#REF!</definedName>
    <definedName name="______DAT9" localSheetId="58">#REF!</definedName>
    <definedName name="______DAT9" localSheetId="57">#REF!</definedName>
    <definedName name="______DAT9" localSheetId="64">#REF!</definedName>
    <definedName name="______DAT9" localSheetId="67">#REF!</definedName>
    <definedName name="______DAT9" localSheetId="65">#REF!</definedName>
    <definedName name="______DAT9" localSheetId="68">#REF!</definedName>
    <definedName name="______DAT9" localSheetId="71">#REF!</definedName>
    <definedName name="______DAT9" localSheetId="44">#REF!</definedName>
    <definedName name="______DAT9" localSheetId="45">#REF!</definedName>
    <definedName name="______DAT9" localSheetId="27">#REF!</definedName>
    <definedName name="______DAT9" localSheetId="28">#REF!</definedName>
    <definedName name="______DAT9" localSheetId="29">#REF!</definedName>
    <definedName name="______DAT9" localSheetId="66">#REF!</definedName>
    <definedName name="______DAT9">#REF!</definedName>
    <definedName name="______G87634" localSheetId="70">#REF!</definedName>
    <definedName name="______G87634" localSheetId="52">#REF!</definedName>
    <definedName name="______G87634" localSheetId="58">#REF!</definedName>
    <definedName name="______G87634" localSheetId="57">#REF!</definedName>
    <definedName name="______G87634" localSheetId="64">#REF!</definedName>
    <definedName name="______G87634" localSheetId="67">#REF!</definedName>
    <definedName name="______G87634" localSheetId="65">#REF!</definedName>
    <definedName name="______G87634" localSheetId="68">#REF!</definedName>
    <definedName name="______G87634" localSheetId="71">#REF!</definedName>
    <definedName name="______G87634" localSheetId="44">#REF!</definedName>
    <definedName name="______G87634" localSheetId="45">#REF!</definedName>
    <definedName name="______G87634" localSheetId="27">#REF!</definedName>
    <definedName name="______G87634" localSheetId="28">#REF!</definedName>
    <definedName name="______G87634" localSheetId="29">#REF!</definedName>
    <definedName name="______G87634" localSheetId="66">#REF!</definedName>
    <definedName name="______G87634">#REF!</definedName>
    <definedName name="______PG1">'[5]Financial Estimates'!$A$7:$B$108</definedName>
    <definedName name="______PG2" localSheetId="70">#REF!</definedName>
    <definedName name="______PG2" localSheetId="52">#REF!</definedName>
    <definedName name="______PG2" localSheetId="58">#REF!</definedName>
    <definedName name="______PG2" localSheetId="56">#REF!</definedName>
    <definedName name="______PG2" localSheetId="57">#REF!</definedName>
    <definedName name="______PG2" localSheetId="64">#REF!</definedName>
    <definedName name="______PG2" localSheetId="67">#REF!</definedName>
    <definedName name="______PG2" localSheetId="65">#REF!</definedName>
    <definedName name="______PG2" localSheetId="68">#REF!</definedName>
    <definedName name="______PG2" localSheetId="71">#REF!</definedName>
    <definedName name="______PG2" localSheetId="44">#REF!</definedName>
    <definedName name="______PG2" localSheetId="45">#REF!</definedName>
    <definedName name="______PG2" localSheetId="17">#REF!</definedName>
    <definedName name="______PG2" localSheetId="27">#REF!</definedName>
    <definedName name="______PG2" localSheetId="72">#REF!</definedName>
    <definedName name="______PG2" localSheetId="28">#REF!</definedName>
    <definedName name="______PG2" localSheetId="29">#REF!</definedName>
    <definedName name="______PG2" localSheetId="66">#REF!</definedName>
    <definedName name="______PG2">#REF!</definedName>
    <definedName name="______PG3" localSheetId="70">#REF!</definedName>
    <definedName name="______PG3" localSheetId="52">#REF!</definedName>
    <definedName name="______PG3" localSheetId="58">#REF!</definedName>
    <definedName name="______PG3" localSheetId="57">#REF!</definedName>
    <definedName name="______PG3" localSheetId="64">#REF!</definedName>
    <definedName name="______PG3" localSheetId="67">#REF!</definedName>
    <definedName name="______PG3" localSheetId="65">#REF!</definedName>
    <definedName name="______PG3" localSheetId="68">#REF!</definedName>
    <definedName name="______PG3" localSheetId="71">#REF!</definedName>
    <definedName name="______PG3" localSheetId="44">#REF!</definedName>
    <definedName name="______PG3" localSheetId="45">#REF!</definedName>
    <definedName name="______PG3" localSheetId="17">#REF!</definedName>
    <definedName name="______PG3" localSheetId="27">#REF!</definedName>
    <definedName name="______PG3" localSheetId="72">#REF!</definedName>
    <definedName name="______PG3" localSheetId="28">#REF!</definedName>
    <definedName name="______PG3" localSheetId="29">#REF!</definedName>
    <definedName name="______PG3" localSheetId="66">#REF!</definedName>
    <definedName name="______PG3">#REF!</definedName>
    <definedName name="______PG5">'[5]Financial Estimates'!$A$271:$D$342</definedName>
    <definedName name="______pg6">'[7]Financial Estimates'!$A$271:$D$342</definedName>
    <definedName name="______pg7" localSheetId="70">'[7]Financial Estimates'!#REF!</definedName>
    <definedName name="______pg7" localSheetId="52">'[7]Financial Estimates'!#REF!</definedName>
    <definedName name="______pg7" localSheetId="58">'[7]Financial Estimates'!#REF!</definedName>
    <definedName name="______pg7" localSheetId="56">'[7]Financial Estimates'!#REF!</definedName>
    <definedName name="______pg7" localSheetId="57">'[7]Financial Estimates'!#REF!</definedName>
    <definedName name="______pg7" localSheetId="64">'[7]Financial Estimates'!#REF!</definedName>
    <definedName name="______pg7" localSheetId="67">'[7]Financial Estimates'!#REF!</definedName>
    <definedName name="______pg7" localSheetId="65">'[7]Financial Estimates'!#REF!</definedName>
    <definedName name="______pg7" localSheetId="68">'[7]Financial Estimates'!#REF!</definedName>
    <definedName name="______pg7" localSheetId="71">'[7]Financial Estimates'!#REF!</definedName>
    <definedName name="______pg7" localSheetId="44">'[7]Financial Estimates'!#REF!</definedName>
    <definedName name="______pg7" localSheetId="45">'[7]Financial Estimates'!#REF!</definedName>
    <definedName name="______pg7" localSheetId="17">'[7]Financial Estimates'!#REF!</definedName>
    <definedName name="______pg7" localSheetId="27">'[7]Financial Estimates'!#REF!</definedName>
    <definedName name="______pg7" localSheetId="72">'[7]Financial Estimates'!#REF!</definedName>
    <definedName name="______pg7" localSheetId="28">'[7]Financial Estimates'!#REF!</definedName>
    <definedName name="______pg7" localSheetId="29">'[7]Financial Estimates'!#REF!</definedName>
    <definedName name="______pg7" localSheetId="66">'[7]Financial Estimates'!#REF!</definedName>
    <definedName name="______pg7">'[7]Financial Estimates'!#REF!</definedName>
    <definedName name="______za1" localSheetId="70">#REF!</definedName>
    <definedName name="______za1" localSheetId="52">#REF!</definedName>
    <definedName name="______za1" localSheetId="58">#REF!</definedName>
    <definedName name="______za1" localSheetId="56">#REF!</definedName>
    <definedName name="______za1" localSheetId="57">#REF!</definedName>
    <definedName name="______za1" localSheetId="64">#REF!</definedName>
    <definedName name="______za1" localSheetId="67">#REF!</definedName>
    <definedName name="______za1" localSheetId="65">#REF!</definedName>
    <definedName name="______za1" localSheetId="68">#REF!</definedName>
    <definedName name="______za1" localSheetId="71">#REF!</definedName>
    <definedName name="______za1" localSheetId="44">#REF!</definedName>
    <definedName name="______za1" localSheetId="45">#REF!</definedName>
    <definedName name="______za1" localSheetId="17">#REF!</definedName>
    <definedName name="______za1" localSheetId="27">#REF!</definedName>
    <definedName name="______za1" localSheetId="72">#REF!</definedName>
    <definedName name="______za1" localSheetId="28">#REF!</definedName>
    <definedName name="______za1" localSheetId="29">#REF!</definedName>
    <definedName name="______za1" localSheetId="66">#REF!</definedName>
    <definedName name="______za1">#REF!</definedName>
    <definedName name="______zz1" localSheetId="70">#REF!</definedName>
    <definedName name="______zz1" localSheetId="52">#REF!</definedName>
    <definedName name="______zz1" localSheetId="58">#REF!</definedName>
    <definedName name="______zz1" localSheetId="57">#REF!</definedName>
    <definedName name="______zz1" localSheetId="64">#REF!</definedName>
    <definedName name="______zz1" localSheetId="67">#REF!</definedName>
    <definedName name="______zz1" localSheetId="65">#REF!</definedName>
    <definedName name="______zz1" localSheetId="68">#REF!</definedName>
    <definedName name="______zz1" localSheetId="71">#REF!</definedName>
    <definedName name="______zz1" localSheetId="44">#REF!</definedName>
    <definedName name="______zz1" localSheetId="45">#REF!</definedName>
    <definedName name="______zz1" localSheetId="17">#REF!</definedName>
    <definedName name="______zz1" localSheetId="27">#REF!</definedName>
    <definedName name="______zz1" localSheetId="72">#REF!</definedName>
    <definedName name="______zz1" localSheetId="28">#REF!</definedName>
    <definedName name="______zz1" localSheetId="29">#REF!</definedName>
    <definedName name="______zz1" localSheetId="66">#REF!</definedName>
    <definedName name="______zz1">#REF!</definedName>
    <definedName name="_____as3">[12]BEST_17112006!$C$20</definedName>
    <definedName name="_____D87840" localSheetId="70">#REF!</definedName>
    <definedName name="_____D87840" localSheetId="52">#REF!</definedName>
    <definedName name="_____D87840" localSheetId="58">#REF!</definedName>
    <definedName name="_____D87840" localSheetId="56">#REF!</definedName>
    <definedName name="_____D87840" localSheetId="57">#REF!</definedName>
    <definedName name="_____D87840" localSheetId="64">#REF!</definedName>
    <definedName name="_____D87840" localSheetId="67">#REF!</definedName>
    <definedName name="_____D87840" localSheetId="65">#REF!</definedName>
    <definedName name="_____D87840" localSheetId="68">#REF!</definedName>
    <definedName name="_____D87840" localSheetId="71">#REF!</definedName>
    <definedName name="_____D87840" localSheetId="44">#REF!</definedName>
    <definedName name="_____D87840" localSheetId="45">#REF!</definedName>
    <definedName name="_____D87840" localSheetId="17">#REF!</definedName>
    <definedName name="_____D87840" localSheetId="27">#REF!</definedName>
    <definedName name="_____D87840" localSheetId="72">#REF!</definedName>
    <definedName name="_____D87840" localSheetId="28">#REF!</definedName>
    <definedName name="_____D87840" localSheetId="29">#REF!</definedName>
    <definedName name="_____D87840" localSheetId="66">#REF!</definedName>
    <definedName name="_____D87840">#REF!</definedName>
    <definedName name="_____DAT1" localSheetId="70">#REF!</definedName>
    <definedName name="_____DAT1" localSheetId="52">#REF!</definedName>
    <definedName name="_____DAT1" localSheetId="58">#REF!</definedName>
    <definedName name="_____DAT1" localSheetId="57">#REF!</definedName>
    <definedName name="_____DAT1" localSheetId="64">#REF!</definedName>
    <definedName name="_____DAT1" localSheetId="67">#REF!</definedName>
    <definedName name="_____DAT1" localSheetId="65">#REF!</definedName>
    <definedName name="_____DAT1" localSheetId="68">#REF!</definedName>
    <definedName name="_____DAT1" localSheetId="71">#REF!</definedName>
    <definedName name="_____DAT1" localSheetId="44">#REF!</definedName>
    <definedName name="_____DAT1" localSheetId="45">#REF!</definedName>
    <definedName name="_____DAT1" localSheetId="17">#REF!</definedName>
    <definedName name="_____DAT1" localSheetId="27">#REF!</definedName>
    <definedName name="_____DAT1" localSheetId="72">#REF!</definedName>
    <definedName name="_____DAT1" localSheetId="28">#REF!</definedName>
    <definedName name="_____DAT1" localSheetId="29">#REF!</definedName>
    <definedName name="_____DAT1" localSheetId="66">#REF!</definedName>
    <definedName name="_____DAT1">#REF!</definedName>
    <definedName name="_____DAT10" localSheetId="70">#REF!</definedName>
    <definedName name="_____DAT10" localSheetId="52">#REF!</definedName>
    <definedName name="_____DAT10" localSheetId="58">#REF!</definedName>
    <definedName name="_____DAT10" localSheetId="57">#REF!</definedName>
    <definedName name="_____DAT10" localSheetId="64">#REF!</definedName>
    <definedName name="_____DAT10" localSheetId="67">#REF!</definedName>
    <definedName name="_____DAT10" localSheetId="65">#REF!</definedName>
    <definedName name="_____DAT10" localSheetId="68">#REF!</definedName>
    <definedName name="_____DAT10" localSheetId="71">#REF!</definedName>
    <definedName name="_____DAT10" localSheetId="44">#REF!</definedName>
    <definedName name="_____DAT10" localSheetId="45">#REF!</definedName>
    <definedName name="_____DAT10" localSheetId="17">#REF!</definedName>
    <definedName name="_____DAT10" localSheetId="27">#REF!</definedName>
    <definedName name="_____DAT10" localSheetId="72">#REF!</definedName>
    <definedName name="_____DAT10" localSheetId="28">#REF!</definedName>
    <definedName name="_____DAT10" localSheetId="29">#REF!</definedName>
    <definedName name="_____DAT10" localSheetId="66">#REF!</definedName>
    <definedName name="_____DAT10">#REF!</definedName>
    <definedName name="_____DAT11" localSheetId="70">#REF!</definedName>
    <definedName name="_____DAT11" localSheetId="52">#REF!</definedName>
    <definedName name="_____DAT11" localSheetId="58">#REF!</definedName>
    <definedName name="_____DAT11" localSheetId="57">#REF!</definedName>
    <definedName name="_____DAT11" localSheetId="64">#REF!</definedName>
    <definedName name="_____DAT11" localSheetId="67">#REF!</definedName>
    <definedName name="_____DAT11" localSheetId="65">#REF!</definedName>
    <definedName name="_____DAT11" localSheetId="68">#REF!</definedName>
    <definedName name="_____DAT11" localSheetId="71">#REF!</definedName>
    <definedName name="_____DAT11" localSheetId="44">#REF!</definedName>
    <definedName name="_____DAT11" localSheetId="45">#REF!</definedName>
    <definedName name="_____DAT11" localSheetId="27">#REF!</definedName>
    <definedName name="_____DAT11" localSheetId="28">#REF!</definedName>
    <definedName name="_____DAT11" localSheetId="29">#REF!</definedName>
    <definedName name="_____DAT11" localSheetId="66">#REF!</definedName>
    <definedName name="_____DAT11">#REF!</definedName>
    <definedName name="_____DAT12" localSheetId="70">'[10]ins spares'!#REF!</definedName>
    <definedName name="_____DAT12" localSheetId="52">'[10]ins spares'!#REF!</definedName>
    <definedName name="_____DAT12" localSheetId="58">'[10]ins spares'!#REF!</definedName>
    <definedName name="_____DAT12" localSheetId="57">'[10]ins spares'!#REF!</definedName>
    <definedName name="_____DAT12" localSheetId="64">'[10]ins spares'!#REF!</definedName>
    <definedName name="_____DAT12" localSheetId="67">'[10]ins spares'!#REF!</definedName>
    <definedName name="_____DAT12" localSheetId="65">'[10]ins spares'!#REF!</definedName>
    <definedName name="_____DAT12" localSheetId="68">'[10]ins spares'!#REF!</definedName>
    <definedName name="_____DAT12" localSheetId="71">'[10]ins spares'!#REF!</definedName>
    <definedName name="_____DAT12" localSheetId="44">'[10]ins spares'!#REF!</definedName>
    <definedName name="_____DAT12" localSheetId="45">'[10]ins spares'!#REF!</definedName>
    <definedName name="_____DAT12" localSheetId="27">'[10]ins spares'!#REF!</definedName>
    <definedName name="_____DAT12" localSheetId="28">'[10]ins spares'!#REF!</definedName>
    <definedName name="_____DAT12" localSheetId="29">'[10]ins spares'!#REF!</definedName>
    <definedName name="_____DAT12" localSheetId="66">'[10]ins spares'!#REF!</definedName>
    <definedName name="_____DAT12">'[10]ins spares'!#REF!</definedName>
    <definedName name="_____DAT13" localSheetId="70">'[10]ins spares'!#REF!</definedName>
    <definedName name="_____DAT13" localSheetId="52">'[10]ins spares'!#REF!</definedName>
    <definedName name="_____DAT13" localSheetId="58">'[10]ins spares'!#REF!</definedName>
    <definedName name="_____DAT13" localSheetId="57">'[10]ins spares'!#REF!</definedName>
    <definedName name="_____DAT13" localSheetId="64">'[10]ins spares'!#REF!</definedName>
    <definedName name="_____DAT13" localSheetId="67">'[10]ins spares'!#REF!</definedName>
    <definedName name="_____DAT13" localSheetId="65">'[10]ins spares'!#REF!</definedName>
    <definedName name="_____DAT13" localSheetId="68">'[10]ins spares'!#REF!</definedName>
    <definedName name="_____DAT13" localSheetId="71">'[10]ins spares'!#REF!</definedName>
    <definedName name="_____DAT13" localSheetId="44">'[10]ins spares'!#REF!</definedName>
    <definedName name="_____DAT13" localSheetId="45">'[10]ins spares'!#REF!</definedName>
    <definedName name="_____DAT13" localSheetId="27">'[10]ins spares'!#REF!</definedName>
    <definedName name="_____DAT13" localSheetId="28">'[10]ins spares'!#REF!</definedName>
    <definedName name="_____DAT13" localSheetId="29">'[10]ins spares'!#REF!</definedName>
    <definedName name="_____DAT13" localSheetId="66">'[10]ins spares'!#REF!</definedName>
    <definedName name="_____DAT13">'[10]ins spares'!#REF!</definedName>
    <definedName name="_____DAT15" localSheetId="70">'[10]ins spares'!#REF!</definedName>
    <definedName name="_____DAT15" localSheetId="52">'[10]ins spares'!#REF!</definedName>
    <definedName name="_____DAT15" localSheetId="58">'[10]ins spares'!#REF!</definedName>
    <definedName name="_____DAT15" localSheetId="57">'[10]ins spares'!#REF!</definedName>
    <definedName name="_____DAT15" localSheetId="64">'[10]ins spares'!#REF!</definedName>
    <definedName name="_____DAT15" localSheetId="67">'[10]ins spares'!#REF!</definedName>
    <definedName name="_____DAT15" localSheetId="65">'[10]ins spares'!#REF!</definedName>
    <definedName name="_____DAT15" localSheetId="68">'[10]ins spares'!#REF!</definedName>
    <definedName name="_____DAT15" localSheetId="71">'[10]ins spares'!#REF!</definedName>
    <definedName name="_____DAT15" localSheetId="44">'[10]ins spares'!#REF!</definedName>
    <definedName name="_____DAT15" localSheetId="45">'[10]ins spares'!#REF!</definedName>
    <definedName name="_____DAT15" localSheetId="27">'[10]ins spares'!#REF!</definedName>
    <definedName name="_____DAT15" localSheetId="28">'[10]ins spares'!#REF!</definedName>
    <definedName name="_____DAT15" localSheetId="29">'[10]ins spares'!#REF!</definedName>
    <definedName name="_____DAT15" localSheetId="66">'[10]ins spares'!#REF!</definedName>
    <definedName name="_____DAT15">'[10]ins spares'!#REF!</definedName>
    <definedName name="_____DAT16" localSheetId="70">'[10]ins spares'!#REF!</definedName>
    <definedName name="_____DAT16" localSheetId="52">'[10]ins spares'!#REF!</definedName>
    <definedName name="_____DAT16" localSheetId="58">'[10]ins spares'!#REF!</definedName>
    <definedName name="_____DAT16" localSheetId="57">'[10]ins spares'!#REF!</definedName>
    <definedName name="_____DAT16" localSheetId="64">'[10]ins spares'!#REF!</definedName>
    <definedName name="_____DAT16" localSheetId="67">'[10]ins spares'!#REF!</definedName>
    <definedName name="_____DAT16" localSheetId="65">'[10]ins spares'!#REF!</definedName>
    <definedName name="_____DAT16" localSheetId="68">'[10]ins spares'!#REF!</definedName>
    <definedName name="_____DAT16" localSheetId="71">'[10]ins spares'!#REF!</definedName>
    <definedName name="_____DAT16" localSheetId="44">'[10]ins spares'!#REF!</definedName>
    <definedName name="_____DAT16" localSheetId="45">'[10]ins spares'!#REF!</definedName>
    <definedName name="_____DAT16" localSheetId="27">'[10]ins spares'!#REF!</definedName>
    <definedName name="_____DAT16" localSheetId="28">'[10]ins spares'!#REF!</definedName>
    <definedName name="_____DAT16" localSheetId="29">'[10]ins spares'!#REF!</definedName>
    <definedName name="_____DAT16" localSheetId="66">'[10]ins spares'!#REF!</definedName>
    <definedName name="_____DAT16">'[10]ins spares'!#REF!</definedName>
    <definedName name="_____DAT18" localSheetId="70">'[10]ins spares'!#REF!</definedName>
    <definedName name="_____DAT18" localSheetId="52">'[10]ins spares'!#REF!</definedName>
    <definedName name="_____DAT18" localSheetId="58">'[10]ins spares'!#REF!</definedName>
    <definedName name="_____DAT18" localSheetId="57">'[10]ins spares'!#REF!</definedName>
    <definedName name="_____DAT18" localSheetId="64">'[10]ins spares'!#REF!</definedName>
    <definedName name="_____DAT18" localSheetId="67">'[10]ins spares'!#REF!</definedName>
    <definedName name="_____DAT18" localSheetId="65">'[10]ins spares'!#REF!</definedName>
    <definedName name="_____DAT18" localSheetId="68">'[10]ins spares'!#REF!</definedName>
    <definedName name="_____DAT18" localSheetId="71">'[10]ins spares'!#REF!</definedName>
    <definedName name="_____DAT18" localSheetId="44">'[10]ins spares'!#REF!</definedName>
    <definedName name="_____DAT18" localSheetId="45">'[10]ins spares'!#REF!</definedName>
    <definedName name="_____DAT18" localSheetId="27">'[10]ins spares'!#REF!</definedName>
    <definedName name="_____DAT18" localSheetId="28">'[10]ins spares'!#REF!</definedName>
    <definedName name="_____DAT18" localSheetId="29">'[10]ins spares'!#REF!</definedName>
    <definedName name="_____DAT18" localSheetId="66">'[10]ins spares'!#REF!</definedName>
    <definedName name="_____DAT18">'[10]ins spares'!#REF!</definedName>
    <definedName name="_____DAT19" localSheetId="70">'[10]ins spares'!#REF!</definedName>
    <definedName name="_____DAT19" localSheetId="52">'[10]ins spares'!#REF!</definedName>
    <definedName name="_____DAT19" localSheetId="58">'[10]ins spares'!#REF!</definedName>
    <definedName name="_____DAT19" localSheetId="57">'[10]ins spares'!#REF!</definedName>
    <definedName name="_____DAT19" localSheetId="64">'[10]ins spares'!#REF!</definedName>
    <definedName name="_____DAT19" localSheetId="67">'[10]ins spares'!#REF!</definedName>
    <definedName name="_____DAT19" localSheetId="65">'[10]ins spares'!#REF!</definedName>
    <definedName name="_____DAT19" localSheetId="68">'[10]ins spares'!#REF!</definedName>
    <definedName name="_____DAT19" localSheetId="71">'[10]ins spares'!#REF!</definedName>
    <definedName name="_____DAT19" localSheetId="44">'[10]ins spares'!#REF!</definedName>
    <definedName name="_____DAT19" localSheetId="45">'[10]ins spares'!#REF!</definedName>
    <definedName name="_____DAT19" localSheetId="27">'[10]ins spares'!#REF!</definedName>
    <definedName name="_____DAT19" localSheetId="28">'[10]ins spares'!#REF!</definedName>
    <definedName name="_____DAT19" localSheetId="29">'[10]ins spares'!#REF!</definedName>
    <definedName name="_____DAT19" localSheetId="66">'[10]ins spares'!#REF!</definedName>
    <definedName name="_____DAT19">'[10]ins spares'!#REF!</definedName>
    <definedName name="_____DAT2" localSheetId="70">#REF!</definedName>
    <definedName name="_____DAT2" localSheetId="52">#REF!</definedName>
    <definedName name="_____DAT2" localSheetId="58">#REF!</definedName>
    <definedName name="_____DAT2" localSheetId="56">#REF!</definedName>
    <definedName name="_____DAT2" localSheetId="57">#REF!</definedName>
    <definedName name="_____DAT2" localSheetId="64">#REF!</definedName>
    <definedName name="_____DAT2" localSheetId="67">#REF!</definedName>
    <definedName name="_____DAT2" localSheetId="65">#REF!</definedName>
    <definedName name="_____DAT2" localSheetId="68">#REF!</definedName>
    <definedName name="_____DAT2" localSheetId="71">#REF!</definedName>
    <definedName name="_____DAT2" localSheetId="44">#REF!</definedName>
    <definedName name="_____DAT2" localSheetId="45">#REF!</definedName>
    <definedName name="_____DAT2" localSheetId="17">#REF!</definedName>
    <definedName name="_____DAT2" localSheetId="27">#REF!</definedName>
    <definedName name="_____DAT2" localSheetId="72">#REF!</definedName>
    <definedName name="_____DAT2" localSheetId="28">#REF!</definedName>
    <definedName name="_____DAT2" localSheetId="29">#REF!</definedName>
    <definedName name="_____DAT2" localSheetId="66">#REF!</definedName>
    <definedName name="_____DAT2">#REF!</definedName>
    <definedName name="_____DAT20" localSheetId="70">'[10]ins spares'!#REF!</definedName>
    <definedName name="_____DAT20" localSheetId="52">'[10]ins spares'!#REF!</definedName>
    <definedName name="_____DAT20" localSheetId="58">'[10]ins spares'!#REF!</definedName>
    <definedName name="_____DAT20" localSheetId="56">'[10]ins spares'!#REF!</definedName>
    <definedName name="_____DAT20" localSheetId="57">'[10]ins spares'!#REF!</definedName>
    <definedName name="_____DAT20" localSheetId="64">'[10]ins spares'!#REF!</definedName>
    <definedName name="_____DAT20" localSheetId="67">'[10]ins spares'!#REF!</definedName>
    <definedName name="_____DAT20" localSheetId="65">'[10]ins spares'!#REF!</definedName>
    <definedName name="_____DAT20" localSheetId="68">'[10]ins spares'!#REF!</definedName>
    <definedName name="_____DAT20" localSheetId="71">'[10]ins spares'!#REF!</definedName>
    <definedName name="_____DAT20" localSheetId="44">'[10]ins spares'!#REF!</definedName>
    <definedName name="_____DAT20" localSheetId="45">'[10]ins spares'!#REF!</definedName>
    <definedName name="_____DAT20" localSheetId="17">'[10]ins spares'!#REF!</definedName>
    <definedName name="_____DAT20" localSheetId="27">'[10]ins spares'!#REF!</definedName>
    <definedName name="_____DAT20" localSheetId="72">'[10]ins spares'!#REF!</definedName>
    <definedName name="_____DAT20" localSheetId="28">'[10]ins spares'!#REF!</definedName>
    <definedName name="_____DAT20" localSheetId="29">'[10]ins spares'!#REF!</definedName>
    <definedName name="_____DAT20" localSheetId="66">'[10]ins spares'!#REF!</definedName>
    <definedName name="_____DAT20">'[10]ins spares'!#REF!</definedName>
    <definedName name="_____DAT21" localSheetId="70">'[10]ins spares'!#REF!</definedName>
    <definedName name="_____DAT21" localSheetId="52">'[10]ins spares'!#REF!</definedName>
    <definedName name="_____DAT21" localSheetId="58">'[10]ins spares'!#REF!</definedName>
    <definedName name="_____DAT21" localSheetId="57">'[10]ins spares'!#REF!</definedName>
    <definedName name="_____DAT21" localSheetId="64">'[10]ins spares'!#REF!</definedName>
    <definedName name="_____DAT21" localSheetId="67">'[10]ins spares'!#REF!</definedName>
    <definedName name="_____DAT21" localSheetId="65">'[10]ins spares'!#REF!</definedName>
    <definedName name="_____DAT21" localSheetId="68">'[10]ins spares'!#REF!</definedName>
    <definedName name="_____DAT21" localSheetId="71">'[10]ins spares'!#REF!</definedName>
    <definedName name="_____DAT21" localSheetId="44">'[10]ins spares'!#REF!</definedName>
    <definedName name="_____DAT21" localSheetId="45">'[10]ins spares'!#REF!</definedName>
    <definedName name="_____DAT21" localSheetId="27">'[10]ins spares'!#REF!</definedName>
    <definedName name="_____DAT21" localSheetId="28">'[10]ins spares'!#REF!</definedName>
    <definedName name="_____DAT21" localSheetId="29">'[10]ins spares'!#REF!</definedName>
    <definedName name="_____DAT21" localSheetId="66">'[10]ins spares'!#REF!</definedName>
    <definedName name="_____DAT21">'[10]ins spares'!#REF!</definedName>
    <definedName name="_____DAT22" localSheetId="70">'[10]ins spares'!#REF!</definedName>
    <definedName name="_____DAT22" localSheetId="52">'[10]ins spares'!#REF!</definedName>
    <definedName name="_____DAT22" localSheetId="58">'[10]ins spares'!#REF!</definedName>
    <definedName name="_____DAT22" localSheetId="57">'[10]ins spares'!#REF!</definedName>
    <definedName name="_____DAT22" localSheetId="64">'[10]ins spares'!#REF!</definedName>
    <definedName name="_____DAT22" localSheetId="67">'[10]ins spares'!#REF!</definedName>
    <definedName name="_____DAT22" localSheetId="65">'[10]ins spares'!#REF!</definedName>
    <definedName name="_____DAT22" localSheetId="68">'[10]ins spares'!#REF!</definedName>
    <definedName name="_____DAT22" localSheetId="71">'[10]ins spares'!#REF!</definedName>
    <definedName name="_____DAT22" localSheetId="44">'[10]ins spares'!#REF!</definedName>
    <definedName name="_____DAT22" localSheetId="45">'[10]ins spares'!#REF!</definedName>
    <definedName name="_____DAT22" localSheetId="27">'[10]ins spares'!#REF!</definedName>
    <definedName name="_____DAT22" localSheetId="28">'[10]ins spares'!#REF!</definedName>
    <definedName name="_____DAT22" localSheetId="29">'[10]ins spares'!#REF!</definedName>
    <definedName name="_____DAT22" localSheetId="66">'[10]ins spares'!#REF!</definedName>
    <definedName name="_____DAT22">'[10]ins spares'!#REF!</definedName>
    <definedName name="_____DAT23" localSheetId="70">'[10]ins spares'!#REF!</definedName>
    <definedName name="_____DAT23" localSheetId="52">'[10]ins spares'!#REF!</definedName>
    <definedName name="_____DAT23" localSheetId="58">'[10]ins spares'!#REF!</definedName>
    <definedName name="_____DAT23" localSheetId="57">'[10]ins spares'!#REF!</definedName>
    <definedName name="_____DAT23" localSheetId="64">'[10]ins spares'!#REF!</definedName>
    <definedName name="_____DAT23" localSheetId="67">'[10]ins spares'!#REF!</definedName>
    <definedName name="_____DAT23" localSheetId="65">'[10]ins spares'!#REF!</definedName>
    <definedName name="_____DAT23" localSheetId="68">'[10]ins spares'!#REF!</definedName>
    <definedName name="_____DAT23" localSheetId="71">'[10]ins spares'!#REF!</definedName>
    <definedName name="_____DAT23" localSheetId="44">'[10]ins spares'!#REF!</definedName>
    <definedName name="_____DAT23" localSheetId="45">'[10]ins spares'!#REF!</definedName>
    <definedName name="_____DAT23" localSheetId="27">'[10]ins spares'!#REF!</definedName>
    <definedName name="_____DAT23" localSheetId="28">'[10]ins spares'!#REF!</definedName>
    <definedName name="_____DAT23" localSheetId="29">'[10]ins spares'!#REF!</definedName>
    <definedName name="_____DAT23" localSheetId="66">'[10]ins spares'!#REF!</definedName>
    <definedName name="_____DAT23">'[10]ins spares'!#REF!</definedName>
    <definedName name="_____DAT24" localSheetId="70">'[10]ins spares'!#REF!</definedName>
    <definedName name="_____DAT24" localSheetId="52">'[10]ins spares'!#REF!</definedName>
    <definedName name="_____DAT24" localSheetId="58">'[10]ins spares'!#REF!</definedName>
    <definedName name="_____DAT24" localSheetId="57">'[10]ins spares'!#REF!</definedName>
    <definedName name="_____DAT24" localSheetId="64">'[10]ins spares'!#REF!</definedName>
    <definedName name="_____DAT24" localSheetId="67">'[10]ins spares'!#REF!</definedName>
    <definedName name="_____DAT24" localSheetId="65">'[10]ins spares'!#REF!</definedName>
    <definedName name="_____DAT24" localSheetId="68">'[10]ins spares'!#REF!</definedName>
    <definedName name="_____DAT24" localSheetId="71">'[10]ins spares'!#REF!</definedName>
    <definedName name="_____DAT24" localSheetId="44">'[10]ins spares'!#REF!</definedName>
    <definedName name="_____DAT24" localSheetId="45">'[10]ins spares'!#REF!</definedName>
    <definedName name="_____DAT24" localSheetId="27">'[10]ins spares'!#REF!</definedName>
    <definedName name="_____DAT24" localSheetId="28">'[10]ins spares'!#REF!</definedName>
    <definedName name="_____DAT24" localSheetId="29">'[10]ins spares'!#REF!</definedName>
    <definedName name="_____DAT24" localSheetId="66">'[10]ins spares'!#REF!</definedName>
    <definedName name="_____DAT24">'[10]ins spares'!#REF!</definedName>
    <definedName name="_____DAT3" localSheetId="70">#REF!</definedName>
    <definedName name="_____DAT3" localSheetId="52">#REF!</definedName>
    <definedName name="_____DAT3" localSheetId="58">#REF!</definedName>
    <definedName name="_____DAT3" localSheetId="56">#REF!</definedName>
    <definedName name="_____DAT3" localSheetId="57">#REF!</definedName>
    <definedName name="_____DAT3" localSheetId="64">#REF!</definedName>
    <definedName name="_____DAT3" localSheetId="67">#REF!</definedName>
    <definedName name="_____DAT3" localSheetId="65">#REF!</definedName>
    <definedName name="_____DAT3" localSheetId="68">#REF!</definedName>
    <definedName name="_____DAT3" localSheetId="71">#REF!</definedName>
    <definedName name="_____DAT3" localSheetId="44">#REF!</definedName>
    <definedName name="_____DAT3" localSheetId="45">#REF!</definedName>
    <definedName name="_____DAT3" localSheetId="17">#REF!</definedName>
    <definedName name="_____DAT3" localSheetId="27">#REF!</definedName>
    <definedName name="_____DAT3" localSheetId="72">#REF!</definedName>
    <definedName name="_____DAT3" localSheetId="28">#REF!</definedName>
    <definedName name="_____DAT3" localSheetId="29">#REF!</definedName>
    <definedName name="_____DAT3" localSheetId="66">#REF!</definedName>
    <definedName name="_____DAT3">#REF!</definedName>
    <definedName name="_____DAT4" localSheetId="70">#REF!</definedName>
    <definedName name="_____DAT4" localSheetId="52">#REF!</definedName>
    <definedName name="_____DAT4" localSheetId="58">#REF!</definedName>
    <definedName name="_____DAT4" localSheetId="57">#REF!</definedName>
    <definedName name="_____DAT4" localSheetId="64">#REF!</definedName>
    <definedName name="_____DAT4" localSheetId="67">#REF!</definedName>
    <definedName name="_____DAT4" localSheetId="65">#REF!</definedName>
    <definedName name="_____DAT4" localSheetId="68">#REF!</definedName>
    <definedName name="_____DAT4" localSheetId="71">#REF!</definedName>
    <definedName name="_____DAT4" localSheetId="44">#REF!</definedName>
    <definedName name="_____DAT4" localSheetId="45">#REF!</definedName>
    <definedName name="_____DAT4" localSheetId="17">#REF!</definedName>
    <definedName name="_____DAT4" localSheetId="27">#REF!</definedName>
    <definedName name="_____DAT4" localSheetId="72">#REF!</definedName>
    <definedName name="_____DAT4" localSheetId="28">#REF!</definedName>
    <definedName name="_____DAT4" localSheetId="29">#REF!</definedName>
    <definedName name="_____DAT4" localSheetId="66">#REF!</definedName>
    <definedName name="_____DAT4">#REF!</definedName>
    <definedName name="_____DAT5" localSheetId="70">#REF!</definedName>
    <definedName name="_____DAT5" localSheetId="52">#REF!</definedName>
    <definedName name="_____DAT5" localSheetId="58">#REF!</definedName>
    <definedName name="_____DAT5" localSheetId="57">#REF!</definedName>
    <definedName name="_____DAT5" localSheetId="64">#REF!</definedName>
    <definedName name="_____DAT5" localSheetId="67">#REF!</definedName>
    <definedName name="_____DAT5" localSheetId="65">#REF!</definedName>
    <definedName name="_____DAT5" localSheetId="68">#REF!</definedName>
    <definedName name="_____DAT5" localSheetId="71">#REF!</definedName>
    <definedName name="_____DAT5" localSheetId="44">#REF!</definedName>
    <definedName name="_____DAT5" localSheetId="45">#REF!</definedName>
    <definedName name="_____DAT5" localSheetId="17">#REF!</definedName>
    <definedName name="_____DAT5" localSheetId="27">#REF!</definedName>
    <definedName name="_____DAT5" localSheetId="72">#REF!</definedName>
    <definedName name="_____DAT5" localSheetId="28">#REF!</definedName>
    <definedName name="_____DAT5" localSheetId="29">#REF!</definedName>
    <definedName name="_____DAT5" localSheetId="66">#REF!</definedName>
    <definedName name="_____DAT5">#REF!</definedName>
    <definedName name="_____DAT6" localSheetId="70">#REF!</definedName>
    <definedName name="_____DAT6" localSheetId="52">#REF!</definedName>
    <definedName name="_____DAT6" localSheetId="58">#REF!</definedName>
    <definedName name="_____DAT6" localSheetId="57">#REF!</definedName>
    <definedName name="_____DAT6" localSheetId="64">#REF!</definedName>
    <definedName name="_____DAT6" localSheetId="67">#REF!</definedName>
    <definedName name="_____DAT6" localSheetId="65">#REF!</definedName>
    <definedName name="_____DAT6" localSheetId="68">#REF!</definedName>
    <definedName name="_____DAT6" localSheetId="71">#REF!</definedName>
    <definedName name="_____DAT6" localSheetId="44">#REF!</definedName>
    <definedName name="_____DAT6" localSheetId="45">#REF!</definedName>
    <definedName name="_____DAT6" localSheetId="27">#REF!</definedName>
    <definedName name="_____DAT6" localSheetId="28">#REF!</definedName>
    <definedName name="_____DAT6" localSheetId="29">#REF!</definedName>
    <definedName name="_____DAT6" localSheetId="66">#REF!</definedName>
    <definedName name="_____DAT6">#REF!</definedName>
    <definedName name="_____DAT7" localSheetId="70">#REF!</definedName>
    <definedName name="_____DAT7" localSheetId="52">#REF!</definedName>
    <definedName name="_____DAT7" localSheetId="58">#REF!</definedName>
    <definedName name="_____DAT7" localSheetId="57">#REF!</definedName>
    <definedName name="_____DAT7" localSheetId="64">#REF!</definedName>
    <definedName name="_____DAT7" localSheetId="67">#REF!</definedName>
    <definedName name="_____DAT7" localSheetId="65">#REF!</definedName>
    <definedName name="_____DAT7" localSheetId="68">#REF!</definedName>
    <definedName name="_____DAT7" localSheetId="71">#REF!</definedName>
    <definedName name="_____DAT7" localSheetId="44">#REF!</definedName>
    <definedName name="_____DAT7" localSheetId="45">#REF!</definedName>
    <definedName name="_____DAT7" localSheetId="27">#REF!</definedName>
    <definedName name="_____DAT7" localSheetId="28">#REF!</definedName>
    <definedName name="_____DAT7" localSheetId="29">#REF!</definedName>
    <definedName name="_____DAT7" localSheetId="66">#REF!</definedName>
    <definedName name="_____DAT7">#REF!</definedName>
    <definedName name="_____DAT8" localSheetId="70">#REF!</definedName>
    <definedName name="_____DAT8" localSheetId="52">#REF!</definedName>
    <definedName name="_____DAT8" localSheetId="58">#REF!</definedName>
    <definedName name="_____DAT8" localSheetId="57">#REF!</definedName>
    <definedName name="_____DAT8" localSheetId="64">#REF!</definedName>
    <definedName name="_____DAT8" localSheetId="67">#REF!</definedName>
    <definedName name="_____DAT8" localSheetId="65">#REF!</definedName>
    <definedName name="_____DAT8" localSheetId="68">#REF!</definedName>
    <definedName name="_____DAT8" localSheetId="71">#REF!</definedName>
    <definedName name="_____DAT8" localSheetId="44">#REF!</definedName>
    <definedName name="_____DAT8" localSheetId="45">#REF!</definedName>
    <definedName name="_____DAT8" localSheetId="27">#REF!</definedName>
    <definedName name="_____DAT8" localSheetId="28">#REF!</definedName>
    <definedName name="_____DAT8" localSheetId="29">#REF!</definedName>
    <definedName name="_____DAT8" localSheetId="66">#REF!</definedName>
    <definedName name="_____DAT8">#REF!</definedName>
    <definedName name="_____DAT9" localSheetId="70">#REF!</definedName>
    <definedName name="_____DAT9" localSheetId="52">#REF!</definedName>
    <definedName name="_____DAT9" localSheetId="58">#REF!</definedName>
    <definedName name="_____DAT9" localSheetId="57">#REF!</definedName>
    <definedName name="_____DAT9" localSheetId="64">#REF!</definedName>
    <definedName name="_____DAT9" localSheetId="67">#REF!</definedName>
    <definedName name="_____DAT9" localSheetId="65">#REF!</definedName>
    <definedName name="_____DAT9" localSheetId="68">#REF!</definedName>
    <definedName name="_____DAT9" localSheetId="71">#REF!</definedName>
    <definedName name="_____DAT9" localSheetId="44">#REF!</definedName>
    <definedName name="_____DAT9" localSheetId="45">#REF!</definedName>
    <definedName name="_____DAT9" localSheetId="27">#REF!</definedName>
    <definedName name="_____DAT9" localSheetId="28">#REF!</definedName>
    <definedName name="_____DAT9" localSheetId="29">#REF!</definedName>
    <definedName name="_____DAT9" localSheetId="66">#REF!</definedName>
    <definedName name="_____DAT9">#REF!</definedName>
    <definedName name="_____G87634" localSheetId="70">#REF!</definedName>
    <definedName name="_____G87634" localSheetId="52">#REF!</definedName>
    <definedName name="_____G87634" localSheetId="58">#REF!</definedName>
    <definedName name="_____G87634" localSheetId="57">#REF!</definedName>
    <definedName name="_____G87634" localSheetId="64">#REF!</definedName>
    <definedName name="_____G87634" localSheetId="67">#REF!</definedName>
    <definedName name="_____G87634" localSheetId="65">#REF!</definedName>
    <definedName name="_____G87634" localSheetId="68">#REF!</definedName>
    <definedName name="_____G87634" localSheetId="71">#REF!</definedName>
    <definedName name="_____G87634" localSheetId="44">#REF!</definedName>
    <definedName name="_____G87634" localSheetId="45">#REF!</definedName>
    <definedName name="_____G87634" localSheetId="27">#REF!</definedName>
    <definedName name="_____G87634" localSheetId="28">#REF!</definedName>
    <definedName name="_____G87634" localSheetId="29">#REF!</definedName>
    <definedName name="_____G87634" localSheetId="66">#REF!</definedName>
    <definedName name="_____G87634">#REF!</definedName>
    <definedName name="_____PG1">'[5]Financial Estimates'!$A$7:$B$108</definedName>
    <definedName name="_____PG2" localSheetId="70">#REF!</definedName>
    <definedName name="_____PG2" localSheetId="52">#REF!</definedName>
    <definedName name="_____PG2" localSheetId="58">#REF!</definedName>
    <definedName name="_____PG2" localSheetId="56">#REF!</definedName>
    <definedName name="_____PG2" localSheetId="57">#REF!</definedName>
    <definedName name="_____PG2" localSheetId="64">#REF!</definedName>
    <definedName name="_____PG2" localSheetId="67">#REF!</definedName>
    <definedName name="_____PG2" localSheetId="65">#REF!</definedName>
    <definedName name="_____PG2" localSheetId="68">#REF!</definedName>
    <definedName name="_____PG2" localSheetId="71">#REF!</definedName>
    <definedName name="_____PG2" localSheetId="44">#REF!</definedName>
    <definedName name="_____PG2" localSheetId="45">#REF!</definedName>
    <definedName name="_____PG2" localSheetId="17">#REF!</definedName>
    <definedName name="_____PG2" localSheetId="27">#REF!</definedName>
    <definedName name="_____PG2" localSheetId="72">#REF!</definedName>
    <definedName name="_____PG2" localSheetId="28">#REF!</definedName>
    <definedName name="_____PG2" localSheetId="29">#REF!</definedName>
    <definedName name="_____PG2" localSheetId="66">#REF!</definedName>
    <definedName name="_____PG2">#REF!</definedName>
    <definedName name="_____PG3" localSheetId="70">#REF!</definedName>
    <definedName name="_____PG3" localSheetId="52">#REF!</definedName>
    <definedName name="_____PG3" localSheetId="58">#REF!</definedName>
    <definedName name="_____PG3" localSheetId="57">#REF!</definedName>
    <definedName name="_____PG3" localSheetId="64">#REF!</definedName>
    <definedName name="_____PG3" localSheetId="67">#REF!</definedName>
    <definedName name="_____PG3" localSheetId="65">#REF!</definedName>
    <definedName name="_____PG3" localSheetId="68">#REF!</definedName>
    <definedName name="_____PG3" localSheetId="71">#REF!</definedName>
    <definedName name="_____PG3" localSheetId="44">#REF!</definedName>
    <definedName name="_____PG3" localSheetId="45">#REF!</definedName>
    <definedName name="_____PG3" localSheetId="17">#REF!</definedName>
    <definedName name="_____PG3" localSheetId="27">#REF!</definedName>
    <definedName name="_____PG3" localSheetId="72">#REF!</definedName>
    <definedName name="_____PG3" localSheetId="28">#REF!</definedName>
    <definedName name="_____PG3" localSheetId="29">#REF!</definedName>
    <definedName name="_____PG3" localSheetId="66">#REF!</definedName>
    <definedName name="_____PG3">#REF!</definedName>
    <definedName name="_____PG5">'[5]Financial Estimates'!$A$271:$D$342</definedName>
    <definedName name="_____pg6">'[7]Financial Estimates'!$A$271:$D$342</definedName>
    <definedName name="_____pg7" localSheetId="70">'[7]Financial Estimates'!#REF!</definedName>
    <definedName name="_____pg7" localSheetId="52">'[7]Financial Estimates'!#REF!</definedName>
    <definedName name="_____pg7" localSheetId="58">'[7]Financial Estimates'!#REF!</definedName>
    <definedName name="_____pg7" localSheetId="56">'[7]Financial Estimates'!#REF!</definedName>
    <definedName name="_____pg7" localSheetId="57">'[7]Financial Estimates'!#REF!</definedName>
    <definedName name="_____pg7" localSheetId="64">'[7]Financial Estimates'!#REF!</definedName>
    <definedName name="_____pg7" localSheetId="67">'[7]Financial Estimates'!#REF!</definedName>
    <definedName name="_____pg7" localSheetId="65">'[7]Financial Estimates'!#REF!</definedName>
    <definedName name="_____pg7" localSheetId="68">'[7]Financial Estimates'!#REF!</definedName>
    <definedName name="_____pg7" localSheetId="71">'[7]Financial Estimates'!#REF!</definedName>
    <definedName name="_____pg7" localSheetId="44">'[7]Financial Estimates'!#REF!</definedName>
    <definedName name="_____pg7" localSheetId="45">'[7]Financial Estimates'!#REF!</definedName>
    <definedName name="_____pg7" localSheetId="17">'[7]Financial Estimates'!#REF!</definedName>
    <definedName name="_____pg7" localSheetId="27">'[7]Financial Estimates'!#REF!</definedName>
    <definedName name="_____pg7" localSheetId="72">'[7]Financial Estimates'!#REF!</definedName>
    <definedName name="_____pg7" localSheetId="28">'[7]Financial Estimates'!#REF!</definedName>
    <definedName name="_____pg7" localSheetId="29">'[7]Financial Estimates'!#REF!</definedName>
    <definedName name="_____pg7" localSheetId="66">'[7]Financial Estimates'!#REF!</definedName>
    <definedName name="_____pg7">'[7]Financial Estimates'!#REF!</definedName>
    <definedName name="_____za1" localSheetId="70">#REF!</definedName>
    <definedName name="_____za1" localSheetId="52">#REF!</definedName>
    <definedName name="_____za1" localSheetId="58">#REF!</definedName>
    <definedName name="_____za1" localSheetId="56">#REF!</definedName>
    <definedName name="_____za1" localSheetId="57">#REF!</definedName>
    <definedName name="_____za1" localSheetId="64">#REF!</definedName>
    <definedName name="_____za1" localSheetId="67">#REF!</definedName>
    <definedName name="_____za1" localSheetId="65">#REF!</definedName>
    <definedName name="_____za1" localSheetId="68">#REF!</definedName>
    <definedName name="_____za1" localSheetId="71">#REF!</definedName>
    <definedName name="_____za1" localSheetId="44">#REF!</definedName>
    <definedName name="_____za1" localSheetId="45">#REF!</definedName>
    <definedName name="_____za1" localSheetId="17">#REF!</definedName>
    <definedName name="_____za1" localSheetId="27">#REF!</definedName>
    <definedName name="_____za1" localSheetId="72">#REF!</definedName>
    <definedName name="_____za1" localSheetId="28">#REF!</definedName>
    <definedName name="_____za1" localSheetId="29">#REF!</definedName>
    <definedName name="_____za1" localSheetId="66">#REF!</definedName>
    <definedName name="_____za1">#REF!</definedName>
    <definedName name="_____zz1" localSheetId="70">#REF!</definedName>
    <definedName name="_____zz1" localSheetId="52">#REF!</definedName>
    <definedName name="_____zz1" localSheetId="58">#REF!</definedName>
    <definedName name="_____zz1" localSheetId="57">#REF!</definedName>
    <definedName name="_____zz1" localSheetId="64">#REF!</definedName>
    <definedName name="_____zz1" localSheetId="67">#REF!</definedName>
    <definedName name="_____zz1" localSheetId="65">#REF!</definedName>
    <definedName name="_____zz1" localSheetId="68">#REF!</definedName>
    <definedName name="_____zz1" localSheetId="71">#REF!</definedName>
    <definedName name="_____zz1" localSheetId="44">#REF!</definedName>
    <definedName name="_____zz1" localSheetId="45">#REF!</definedName>
    <definedName name="_____zz1" localSheetId="17">#REF!</definedName>
    <definedName name="_____zz1" localSheetId="27">#REF!</definedName>
    <definedName name="_____zz1" localSheetId="72">#REF!</definedName>
    <definedName name="_____zz1" localSheetId="28">#REF!</definedName>
    <definedName name="_____zz1" localSheetId="29">#REF!</definedName>
    <definedName name="_____zz1" localSheetId="66">#REF!</definedName>
    <definedName name="_____zz1">#REF!</definedName>
    <definedName name="____as3">[12]BEST_17112006!$C$20</definedName>
    <definedName name="____D87840" localSheetId="70">#REF!</definedName>
    <definedName name="____D87840" localSheetId="52">#REF!</definedName>
    <definedName name="____D87840" localSheetId="58">#REF!</definedName>
    <definedName name="____D87840" localSheetId="56">#REF!</definedName>
    <definedName name="____D87840" localSheetId="57">#REF!</definedName>
    <definedName name="____D87840" localSheetId="64">#REF!</definedName>
    <definedName name="____D87840" localSheetId="67">#REF!</definedName>
    <definedName name="____D87840" localSheetId="65">#REF!</definedName>
    <definedName name="____D87840" localSheetId="68">#REF!</definedName>
    <definedName name="____D87840" localSheetId="71">#REF!</definedName>
    <definedName name="____D87840" localSheetId="44">#REF!</definedName>
    <definedName name="____D87840" localSheetId="45">#REF!</definedName>
    <definedName name="____D87840" localSheetId="17">#REF!</definedName>
    <definedName name="____D87840" localSheetId="27">#REF!</definedName>
    <definedName name="____D87840" localSheetId="72">#REF!</definedName>
    <definedName name="____D87840" localSheetId="28">#REF!</definedName>
    <definedName name="____D87840" localSheetId="29">#REF!</definedName>
    <definedName name="____D87840" localSheetId="66">#REF!</definedName>
    <definedName name="____D87840">#REF!</definedName>
    <definedName name="____DAT1" localSheetId="70">#REF!</definedName>
    <definedName name="____DAT1" localSheetId="52">#REF!</definedName>
    <definedName name="____DAT1" localSheetId="58">#REF!</definedName>
    <definedName name="____DAT1" localSheetId="57">#REF!</definedName>
    <definedName name="____DAT1" localSheetId="64">#REF!</definedName>
    <definedName name="____DAT1" localSheetId="67">#REF!</definedName>
    <definedName name="____DAT1" localSheetId="65">#REF!</definedName>
    <definedName name="____DAT1" localSheetId="68">#REF!</definedName>
    <definedName name="____DAT1" localSheetId="71">#REF!</definedName>
    <definedName name="____DAT1" localSheetId="44">#REF!</definedName>
    <definedName name="____DAT1" localSheetId="45">#REF!</definedName>
    <definedName name="____DAT1" localSheetId="17">#REF!</definedName>
    <definedName name="____DAT1" localSheetId="27">#REF!</definedName>
    <definedName name="____DAT1" localSheetId="72">#REF!</definedName>
    <definedName name="____DAT1" localSheetId="28">#REF!</definedName>
    <definedName name="____DAT1" localSheetId="29">#REF!</definedName>
    <definedName name="____DAT1" localSheetId="66">#REF!</definedName>
    <definedName name="____DAT1">#REF!</definedName>
    <definedName name="____DAT10" localSheetId="70">#REF!</definedName>
    <definedName name="____DAT10" localSheetId="52">#REF!</definedName>
    <definedName name="____DAT10" localSheetId="58">#REF!</definedName>
    <definedName name="____DAT10" localSheetId="57">#REF!</definedName>
    <definedName name="____DAT10" localSheetId="64">#REF!</definedName>
    <definedName name="____DAT10" localSheetId="67">#REF!</definedName>
    <definedName name="____DAT10" localSheetId="65">#REF!</definedName>
    <definedName name="____DAT10" localSheetId="68">#REF!</definedName>
    <definedName name="____DAT10" localSheetId="71">#REF!</definedName>
    <definedName name="____DAT10" localSheetId="44">#REF!</definedName>
    <definedName name="____DAT10" localSheetId="45">#REF!</definedName>
    <definedName name="____DAT10" localSheetId="17">#REF!</definedName>
    <definedName name="____DAT10" localSheetId="27">#REF!</definedName>
    <definedName name="____DAT10" localSheetId="72">#REF!</definedName>
    <definedName name="____DAT10" localSheetId="28">#REF!</definedName>
    <definedName name="____DAT10" localSheetId="29">#REF!</definedName>
    <definedName name="____DAT10" localSheetId="66">#REF!</definedName>
    <definedName name="____DAT10">#REF!</definedName>
    <definedName name="____DAT11" localSheetId="70">#REF!</definedName>
    <definedName name="____DAT11" localSheetId="52">#REF!</definedName>
    <definedName name="____DAT11" localSheetId="58">#REF!</definedName>
    <definedName name="____DAT11" localSheetId="57">#REF!</definedName>
    <definedName name="____DAT11" localSheetId="64">#REF!</definedName>
    <definedName name="____DAT11" localSheetId="67">#REF!</definedName>
    <definedName name="____DAT11" localSheetId="65">#REF!</definedName>
    <definedName name="____DAT11" localSheetId="68">#REF!</definedName>
    <definedName name="____DAT11" localSheetId="71">#REF!</definedName>
    <definedName name="____DAT11" localSheetId="44">#REF!</definedName>
    <definedName name="____DAT11" localSheetId="45">#REF!</definedName>
    <definedName name="____DAT11" localSheetId="27">#REF!</definedName>
    <definedName name="____DAT11" localSheetId="28">#REF!</definedName>
    <definedName name="____DAT11" localSheetId="29">#REF!</definedName>
    <definedName name="____DAT11" localSheetId="66">#REF!</definedName>
    <definedName name="____DAT11">#REF!</definedName>
    <definedName name="____DAT12" localSheetId="70">'[10]ins spares'!#REF!</definedName>
    <definedName name="____DAT12" localSheetId="52">'[10]ins spares'!#REF!</definedName>
    <definedName name="____DAT12" localSheetId="58">'[10]ins spares'!#REF!</definedName>
    <definedName name="____DAT12" localSheetId="57">'[10]ins spares'!#REF!</definedName>
    <definedName name="____DAT12" localSheetId="64">'[10]ins spares'!#REF!</definedName>
    <definedName name="____DAT12" localSheetId="67">'[10]ins spares'!#REF!</definedName>
    <definedName name="____DAT12" localSheetId="65">'[10]ins spares'!#REF!</definedName>
    <definedName name="____DAT12" localSheetId="68">'[10]ins spares'!#REF!</definedName>
    <definedName name="____DAT12" localSheetId="71">'[10]ins spares'!#REF!</definedName>
    <definedName name="____DAT12" localSheetId="44">'[10]ins spares'!#REF!</definedName>
    <definedName name="____DAT12" localSheetId="45">'[10]ins spares'!#REF!</definedName>
    <definedName name="____DAT12" localSheetId="27">'[10]ins spares'!#REF!</definedName>
    <definedName name="____DAT12" localSheetId="28">'[10]ins spares'!#REF!</definedName>
    <definedName name="____DAT12" localSheetId="29">'[10]ins spares'!#REF!</definedName>
    <definedName name="____DAT12" localSheetId="66">'[10]ins spares'!#REF!</definedName>
    <definedName name="____DAT12">'[10]ins spares'!#REF!</definedName>
    <definedName name="____DAT13" localSheetId="70">'[10]ins spares'!#REF!</definedName>
    <definedName name="____DAT13" localSheetId="52">'[10]ins spares'!#REF!</definedName>
    <definedName name="____DAT13" localSheetId="58">'[10]ins spares'!#REF!</definedName>
    <definedName name="____DAT13" localSheetId="57">'[10]ins spares'!#REF!</definedName>
    <definedName name="____DAT13" localSheetId="64">'[10]ins spares'!#REF!</definedName>
    <definedName name="____DAT13" localSheetId="67">'[10]ins spares'!#REF!</definedName>
    <definedName name="____DAT13" localSheetId="65">'[10]ins spares'!#REF!</definedName>
    <definedName name="____DAT13" localSheetId="68">'[10]ins spares'!#REF!</definedName>
    <definedName name="____DAT13" localSheetId="71">'[10]ins spares'!#REF!</definedName>
    <definedName name="____DAT13" localSheetId="44">'[10]ins spares'!#REF!</definedName>
    <definedName name="____DAT13" localSheetId="45">'[10]ins spares'!#REF!</definedName>
    <definedName name="____DAT13" localSheetId="27">'[10]ins spares'!#REF!</definedName>
    <definedName name="____DAT13" localSheetId="28">'[10]ins spares'!#REF!</definedName>
    <definedName name="____DAT13" localSheetId="29">'[10]ins spares'!#REF!</definedName>
    <definedName name="____DAT13" localSheetId="66">'[10]ins spares'!#REF!</definedName>
    <definedName name="____DAT13">'[10]ins spares'!#REF!</definedName>
    <definedName name="____DAT15" localSheetId="70">'[10]ins spares'!#REF!</definedName>
    <definedName name="____DAT15" localSheetId="52">'[10]ins spares'!#REF!</definedName>
    <definedName name="____DAT15" localSheetId="58">'[10]ins spares'!#REF!</definedName>
    <definedName name="____DAT15" localSheetId="57">'[10]ins spares'!#REF!</definedName>
    <definedName name="____DAT15" localSheetId="64">'[10]ins spares'!#REF!</definedName>
    <definedName name="____DAT15" localSheetId="67">'[10]ins spares'!#REF!</definedName>
    <definedName name="____DAT15" localSheetId="65">'[10]ins spares'!#REF!</definedName>
    <definedName name="____DAT15" localSheetId="68">'[10]ins spares'!#REF!</definedName>
    <definedName name="____DAT15" localSheetId="71">'[10]ins spares'!#REF!</definedName>
    <definedName name="____DAT15" localSheetId="44">'[10]ins spares'!#REF!</definedName>
    <definedName name="____DAT15" localSheetId="45">'[10]ins spares'!#REF!</definedName>
    <definedName name="____DAT15" localSheetId="27">'[10]ins spares'!#REF!</definedName>
    <definedName name="____DAT15" localSheetId="28">'[10]ins spares'!#REF!</definedName>
    <definedName name="____DAT15" localSheetId="29">'[10]ins spares'!#REF!</definedName>
    <definedName name="____DAT15" localSheetId="66">'[10]ins spares'!#REF!</definedName>
    <definedName name="____DAT15">'[10]ins spares'!#REF!</definedName>
    <definedName name="____DAT16" localSheetId="70">'[10]ins spares'!#REF!</definedName>
    <definedName name="____DAT16" localSheetId="52">'[10]ins spares'!#REF!</definedName>
    <definedName name="____DAT16" localSheetId="58">'[10]ins spares'!#REF!</definedName>
    <definedName name="____DAT16" localSheetId="57">'[10]ins spares'!#REF!</definedName>
    <definedName name="____DAT16" localSheetId="64">'[10]ins spares'!#REF!</definedName>
    <definedName name="____DAT16" localSheetId="67">'[10]ins spares'!#REF!</definedName>
    <definedName name="____DAT16" localSheetId="65">'[10]ins spares'!#REF!</definedName>
    <definedName name="____DAT16" localSheetId="68">'[10]ins spares'!#REF!</definedName>
    <definedName name="____DAT16" localSheetId="71">'[10]ins spares'!#REF!</definedName>
    <definedName name="____DAT16" localSheetId="44">'[10]ins spares'!#REF!</definedName>
    <definedName name="____DAT16" localSheetId="45">'[10]ins spares'!#REF!</definedName>
    <definedName name="____DAT16" localSheetId="27">'[10]ins spares'!#REF!</definedName>
    <definedName name="____DAT16" localSheetId="28">'[10]ins spares'!#REF!</definedName>
    <definedName name="____DAT16" localSheetId="29">'[10]ins spares'!#REF!</definedName>
    <definedName name="____DAT16" localSheetId="66">'[10]ins spares'!#REF!</definedName>
    <definedName name="____DAT16">'[10]ins spares'!#REF!</definedName>
    <definedName name="____DAT18" localSheetId="70">'[10]ins spares'!#REF!</definedName>
    <definedName name="____DAT18" localSheetId="52">'[10]ins spares'!#REF!</definedName>
    <definedName name="____DAT18" localSheetId="58">'[10]ins spares'!#REF!</definedName>
    <definedName name="____DAT18" localSheetId="57">'[10]ins spares'!#REF!</definedName>
    <definedName name="____DAT18" localSheetId="64">'[10]ins spares'!#REF!</definedName>
    <definedName name="____DAT18" localSheetId="67">'[10]ins spares'!#REF!</definedName>
    <definedName name="____DAT18" localSheetId="65">'[10]ins spares'!#REF!</definedName>
    <definedName name="____DAT18" localSheetId="68">'[10]ins spares'!#REF!</definedName>
    <definedName name="____DAT18" localSheetId="71">'[10]ins spares'!#REF!</definedName>
    <definedName name="____DAT18" localSheetId="44">'[10]ins spares'!#REF!</definedName>
    <definedName name="____DAT18" localSheetId="45">'[10]ins spares'!#REF!</definedName>
    <definedName name="____DAT18" localSheetId="27">'[10]ins spares'!#REF!</definedName>
    <definedName name="____DAT18" localSheetId="28">'[10]ins spares'!#REF!</definedName>
    <definedName name="____DAT18" localSheetId="29">'[10]ins spares'!#REF!</definedName>
    <definedName name="____DAT18" localSheetId="66">'[10]ins spares'!#REF!</definedName>
    <definedName name="____DAT18">'[10]ins spares'!#REF!</definedName>
    <definedName name="____DAT19" localSheetId="70">'[10]ins spares'!#REF!</definedName>
    <definedName name="____DAT19" localSheetId="52">'[10]ins spares'!#REF!</definedName>
    <definedName name="____DAT19" localSheetId="58">'[10]ins spares'!#REF!</definedName>
    <definedName name="____DAT19" localSheetId="57">'[10]ins spares'!#REF!</definedName>
    <definedName name="____DAT19" localSheetId="64">'[10]ins spares'!#REF!</definedName>
    <definedName name="____DAT19" localSheetId="67">'[10]ins spares'!#REF!</definedName>
    <definedName name="____DAT19" localSheetId="65">'[10]ins spares'!#REF!</definedName>
    <definedName name="____DAT19" localSheetId="68">'[10]ins spares'!#REF!</definedName>
    <definedName name="____DAT19" localSheetId="71">'[10]ins spares'!#REF!</definedName>
    <definedName name="____DAT19" localSheetId="44">'[10]ins spares'!#REF!</definedName>
    <definedName name="____DAT19" localSheetId="45">'[10]ins spares'!#REF!</definedName>
    <definedName name="____DAT19" localSheetId="27">'[10]ins spares'!#REF!</definedName>
    <definedName name="____DAT19" localSheetId="28">'[10]ins spares'!#REF!</definedName>
    <definedName name="____DAT19" localSheetId="29">'[10]ins spares'!#REF!</definedName>
    <definedName name="____DAT19" localSheetId="66">'[10]ins spares'!#REF!</definedName>
    <definedName name="____DAT19">'[10]ins spares'!#REF!</definedName>
    <definedName name="____DAT2" localSheetId="70">#REF!</definedName>
    <definedName name="____DAT2" localSheetId="52">#REF!</definedName>
    <definedName name="____DAT2" localSheetId="58">#REF!</definedName>
    <definedName name="____DAT2" localSheetId="56">#REF!</definedName>
    <definedName name="____DAT2" localSheetId="57">#REF!</definedName>
    <definedName name="____DAT2" localSheetId="64">#REF!</definedName>
    <definedName name="____DAT2" localSheetId="67">#REF!</definedName>
    <definedName name="____DAT2" localSheetId="65">#REF!</definedName>
    <definedName name="____DAT2" localSheetId="68">#REF!</definedName>
    <definedName name="____DAT2" localSheetId="71">#REF!</definedName>
    <definedName name="____DAT2" localSheetId="44">#REF!</definedName>
    <definedName name="____DAT2" localSheetId="45">#REF!</definedName>
    <definedName name="____DAT2" localSheetId="17">#REF!</definedName>
    <definedName name="____DAT2" localSheetId="27">#REF!</definedName>
    <definedName name="____DAT2" localSheetId="72">#REF!</definedName>
    <definedName name="____DAT2" localSheetId="28">#REF!</definedName>
    <definedName name="____DAT2" localSheetId="29">#REF!</definedName>
    <definedName name="____DAT2" localSheetId="66">#REF!</definedName>
    <definedName name="____DAT2">#REF!</definedName>
    <definedName name="____DAT20" localSheetId="70">'[10]ins spares'!#REF!</definedName>
    <definedName name="____DAT20" localSheetId="52">'[10]ins spares'!#REF!</definedName>
    <definedName name="____DAT20" localSheetId="58">'[10]ins spares'!#REF!</definedName>
    <definedName name="____DAT20" localSheetId="56">'[10]ins spares'!#REF!</definedName>
    <definedName name="____DAT20" localSheetId="57">'[10]ins spares'!#REF!</definedName>
    <definedName name="____DAT20" localSheetId="64">'[10]ins spares'!#REF!</definedName>
    <definedName name="____DAT20" localSheetId="67">'[10]ins spares'!#REF!</definedName>
    <definedName name="____DAT20" localSheetId="65">'[10]ins spares'!#REF!</definedName>
    <definedName name="____DAT20" localSheetId="68">'[10]ins spares'!#REF!</definedName>
    <definedName name="____DAT20" localSheetId="71">'[10]ins spares'!#REF!</definedName>
    <definedName name="____DAT20" localSheetId="44">'[10]ins spares'!#REF!</definedName>
    <definedName name="____DAT20" localSheetId="45">'[10]ins spares'!#REF!</definedName>
    <definedName name="____DAT20" localSheetId="17">'[10]ins spares'!#REF!</definedName>
    <definedName name="____DAT20" localSheetId="27">'[10]ins spares'!#REF!</definedName>
    <definedName name="____DAT20" localSheetId="72">'[10]ins spares'!#REF!</definedName>
    <definedName name="____DAT20" localSheetId="28">'[10]ins spares'!#REF!</definedName>
    <definedName name="____DAT20" localSheetId="29">'[10]ins spares'!#REF!</definedName>
    <definedName name="____DAT20" localSheetId="66">'[10]ins spares'!#REF!</definedName>
    <definedName name="____DAT20">'[10]ins spares'!#REF!</definedName>
    <definedName name="____DAT21" localSheetId="70">'[10]ins spares'!#REF!</definedName>
    <definedName name="____DAT21" localSheetId="52">'[10]ins spares'!#REF!</definedName>
    <definedName name="____DAT21" localSheetId="58">'[10]ins spares'!#REF!</definedName>
    <definedName name="____DAT21" localSheetId="57">'[10]ins spares'!#REF!</definedName>
    <definedName name="____DAT21" localSheetId="64">'[10]ins spares'!#REF!</definedName>
    <definedName name="____DAT21" localSheetId="67">'[10]ins spares'!#REF!</definedName>
    <definedName name="____DAT21" localSheetId="65">'[10]ins spares'!#REF!</definedName>
    <definedName name="____DAT21" localSheetId="68">'[10]ins spares'!#REF!</definedName>
    <definedName name="____DAT21" localSheetId="71">'[10]ins spares'!#REF!</definedName>
    <definedName name="____DAT21" localSheetId="44">'[10]ins spares'!#REF!</definedName>
    <definedName name="____DAT21" localSheetId="45">'[10]ins spares'!#REF!</definedName>
    <definedName name="____DAT21" localSheetId="27">'[10]ins spares'!#REF!</definedName>
    <definedName name="____DAT21" localSheetId="28">'[10]ins spares'!#REF!</definedName>
    <definedName name="____DAT21" localSheetId="29">'[10]ins spares'!#REF!</definedName>
    <definedName name="____DAT21" localSheetId="66">'[10]ins spares'!#REF!</definedName>
    <definedName name="____DAT21">'[10]ins spares'!#REF!</definedName>
    <definedName name="____DAT22" localSheetId="70">'[10]ins spares'!#REF!</definedName>
    <definedName name="____DAT22" localSheetId="52">'[10]ins spares'!#REF!</definedName>
    <definedName name="____DAT22" localSheetId="58">'[10]ins spares'!#REF!</definedName>
    <definedName name="____DAT22" localSheetId="57">'[10]ins spares'!#REF!</definedName>
    <definedName name="____DAT22" localSheetId="64">'[10]ins spares'!#REF!</definedName>
    <definedName name="____DAT22" localSheetId="67">'[10]ins spares'!#REF!</definedName>
    <definedName name="____DAT22" localSheetId="65">'[10]ins spares'!#REF!</definedName>
    <definedName name="____DAT22" localSheetId="68">'[10]ins spares'!#REF!</definedName>
    <definedName name="____DAT22" localSheetId="71">'[10]ins spares'!#REF!</definedName>
    <definedName name="____DAT22" localSheetId="44">'[10]ins spares'!#REF!</definedName>
    <definedName name="____DAT22" localSheetId="45">'[10]ins spares'!#REF!</definedName>
    <definedName name="____DAT22" localSheetId="27">'[10]ins spares'!#REF!</definedName>
    <definedName name="____DAT22" localSheetId="28">'[10]ins spares'!#REF!</definedName>
    <definedName name="____DAT22" localSheetId="29">'[10]ins spares'!#REF!</definedName>
    <definedName name="____DAT22" localSheetId="66">'[10]ins spares'!#REF!</definedName>
    <definedName name="____DAT22">'[10]ins spares'!#REF!</definedName>
    <definedName name="____DAT23" localSheetId="70">'[10]ins spares'!#REF!</definedName>
    <definedName name="____DAT23" localSheetId="52">'[10]ins spares'!#REF!</definedName>
    <definedName name="____DAT23" localSheetId="58">'[10]ins spares'!#REF!</definedName>
    <definedName name="____DAT23" localSheetId="57">'[10]ins spares'!#REF!</definedName>
    <definedName name="____DAT23" localSheetId="64">'[10]ins spares'!#REF!</definedName>
    <definedName name="____DAT23" localSheetId="67">'[10]ins spares'!#REF!</definedName>
    <definedName name="____DAT23" localSheetId="65">'[10]ins spares'!#REF!</definedName>
    <definedName name="____DAT23" localSheetId="68">'[10]ins spares'!#REF!</definedName>
    <definedName name="____DAT23" localSheetId="71">'[10]ins spares'!#REF!</definedName>
    <definedName name="____DAT23" localSheetId="44">'[10]ins spares'!#REF!</definedName>
    <definedName name="____DAT23" localSheetId="45">'[10]ins spares'!#REF!</definedName>
    <definedName name="____DAT23" localSheetId="27">'[10]ins spares'!#REF!</definedName>
    <definedName name="____DAT23" localSheetId="28">'[10]ins spares'!#REF!</definedName>
    <definedName name="____DAT23" localSheetId="29">'[10]ins spares'!#REF!</definedName>
    <definedName name="____DAT23" localSheetId="66">'[10]ins spares'!#REF!</definedName>
    <definedName name="____DAT23">'[10]ins spares'!#REF!</definedName>
    <definedName name="____DAT24" localSheetId="70">'[10]ins spares'!#REF!</definedName>
    <definedName name="____DAT24" localSheetId="52">'[10]ins spares'!#REF!</definedName>
    <definedName name="____DAT24" localSheetId="58">'[10]ins spares'!#REF!</definedName>
    <definedName name="____DAT24" localSheetId="57">'[10]ins spares'!#REF!</definedName>
    <definedName name="____DAT24" localSheetId="64">'[10]ins spares'!#REF!</definedName>
    <definedName name="____DAT24" localSheetId="67">'[10]ins spares'!#REF!</definedName>
    <definedName name="____DAT24" localSheetId="65">'[10]ins spares'!#REF!</definedName>
    <definedName name="____DAT24" localSheetId="68">'[10]ins spares'!#REF!</definedName>
    <definedName name="____DAT24" localSheetId="71">'[10]ins spares'!#REF!</definedName>
    <definedName name="____DAT24" localSheetId="44">'[10]ins spares'!#REF!</definedName>
    <definedName name="____DAT24" localSheetId="45">'[10]ins spares'!#REF!</definedName>
    <definedName name="____DAT24" localSheetId="27">'[10]ins spares'!#REF!</definedName>
    <definedName name="____DAT24" localSheetId="28">'[10]ins spares'!#REF!</definedName>
    <definedName name="____DAT24" localSheetId="29">'[10]ins spares'!#REF!</definedName>
    <definedName name="____DAT24" localSheetId="66">'[10]ins spares'!#REF!</definedName>
    <definedName name="____DAT24">'[10]ins spares'!#REF!</definedName>
    <definedName name="____DAT3" localSheetId="70">#REF!</definedName>
    <definedName name="____DAT3" localSheetId="52">#REF!</definedName>
    <definedName name="____DAT3" localSheetId="58">#REF!</definedName>
    <definedName name="____DAT3" localSheetId="56">#REF!</definedName>
    <definedName name="____DAT3" localSheetId="57">#REF!</definedName>
    <definedName name="____DAT3" localSheetId="64">#REF!</definedName>
    <definedName name="____DAT3" localSheetId="67">#REF!</definedName>
    <definedName name="____DAT3" localSheetId="65">#REF!</definedName>
    <definedName name="____DAT3" localSheetId="68">#REF!</definedName>
    <definedName name="____DAT3" localSheetId="71">#REF!</definedName>
    <definedName name="____DAT3" localSheetId="44">#REF!</definedName>
    <definedName name="____DAT3" localSheetId="45">#REF!</definedName>
    <definedName name="____DAT3" localSheetId="17">#REF!</definedName>
    <definedName name="____DAT3" localSheetId="27">#REF!</definedName>
    <definedName name="____DAT3" localSheetId="72">#REF!</definedName>
    <definedName name="____DAT3" localSheetId="28">#REF!</definedName>
    <definedName name="____DAT3" localSheetId="29">#REF!</definedName>
    <definedName name="____DAT3" localSheetId="66">#REF!</definedName>
    <definedName name="____DAT3">#REF!</definedName>
    <definedName name="____DAT4" localSheetId="70">#REF!</definedName>
    <definedName name="____DAT4" localSheetId="52">#REF!</definedName>
    <definedName name="____DAT4" localSheetId="58">#REF!</definedName>
    <definedName name="____DAT4" localSheetId="57">#REF!</definedName>
    <definedName name="____DAT4" localSheetId="64">#REF!</definedName>
    <definedName name="____DAT4" localSheetId="67">#REF!</definedName>
    <definedName name="____DAT4" localSheetId="65">#REF!</definedName>
    <definedName name="____DAT4" localSheetId="68">#REF!</definedName>
    <definedName name="____DAT4" localSheetId="71">#REF!</definedName>
    <definedName name="____DAT4" localSheetId="44">#REF!</definedName>
    <definedName name="____DAT4" localSheetId="45">#REF!</definedName>
    <definedName name="____DAT4" localSheetId="17">#REF!</definedName>
    <definedName name="____DAT4" localSheetId="27">#REF!</definedName>
    <definedName name="____DAT4" localSheetId="72">#REF!</definedName>
    <definedName name="____DAT4" localSheetId="28">#REF!</definedName>
    <definedName name="____DAT4" localSheetId="29">#REF!</definedName>
    <definedName name="____DAT4" localSheetId="66">#REF!</definedName>
    <definedName name="____DAT4">#REF!</definedName>
    <definedName name="____DAT5" localSheetId="70">#REF!</definedName>
    <definedName name="____DAT5" localSheetId="52">#REF!</definedName>
    <definedName name="____DAT5" localSheetId="58">#REF!</definedName>
    <definedName name="____DAT5" localSheetId="57">#REF!</definedName>
    <definedName name="____DAT5" localSheetId="64">#REF!</definedName>
    <definedName name="____DAT5" localSheetId="67">#REF!</definedName>
    <definedName name="____DAT5" localSheetId="65">#REF!</definedName>
    <definedName name="____DAT5" localSheetId="68">#REF!</definedName>
    <definedName name="____DAT5" localSheetId="71">#REF!</definedName>
    <definedName name="____DAT5" localSheetId="44">#REF!</definedName>
    <definedName name="____DAT5" localSheetId="45">#REF!</definedName>
    <definedName name="____DAT5" localSheetId="17">#REF!</definedName>
    <definedName name="____DAT5" localSheetId="27">#REF!</definedName>
    <definedName name="____DAT5" localSheetId="72">#REF!</definedName>
    <definedName name="____DAT5" localSheetId="28">#REF!</definedName>
    <definedName name="____DAT5" localSheetId="29">#REF!</definedName>
    <definedName name="____DAT5" localSheetId="66">#REF!</definedName>
    <definedName name="____DAT5">#REF!</definedName>
    <definedName name="____DAT6" localSheetId="70">#REF!</definedName>
    <definedName name="____DAT6" localSheetId="52">#REF!</definedName>
    <definedName name="____DAT6" localSheetId="58">#REF!</definedName>
    <definedName name="____DAT6" localSheetId="57">#REF!</definedName>
    <definedName name="____DAT6" localSheetId="64">#REF!</definedName>
    <definedName name="____DAT6" localSheetId="67">#REF!</definedName>
    <definedName name="____DAT6" localSheetId="65">#REF!</definedName>
    <definedName name="____DAT6" localSheetId="68">#REF!</definedName>
    <definedName name="____DAT6" localSheetId="71">#REF!</definedName>
    <definedName name="____DAT6" localSheetId="44">#REF!</definedName>
    <definedName name="____DAT6" localSheetId="45">#REF!</definedName>
    <definedName name="____DAT6" localSheetId="27">#REF!</definedName>
    <definedName name="____DAT6" localSheetId="28">#REF!</definedName>
    <definedName name="____DAT6" localSheetId="29">#REF!</definedName>
    <definedName name="____DAT6" localSheetId="66">#REF!</definedName>
    <definedName name="____DAT6">#REF!</definedName>
    <definedName name="____DAT7" localSheetId="70">#REF!</definedName>
    <definedName name="____DAT7" localSheetId="52">#REF!</definedName>
    <definedName name="____DAT7" localSheetId="58">#REF!</definedName>
    <definedName name="____DAT7" localSheetId="57">#REF!</definedName>
    <definedName name="____DAT7" localSheetId="64">#REF!</definedName>
    <definedName name="____DAT7" localSheetId="67">#REF!</definedName>
    <definedName name="____DAT7" localSheetId="65">#REF!</definedName>
    <definedName name="____DAT7" localSheetId="68">#REF!</definedName>
    <definedName name="____DAT7" localSheetId="71">#REF!</definedName>
    <definedName name="____DAT7" localSheetId="44">#REF!</definedName>
    <definedName name="____DAT7" localSheetId="45">#REF!</definedName>
    <definedName name="____DAT7" localSheetId="27">#REF!</definedName>
    <definedName name="____DAT7" localSheetId="28">#REF!</definedName>
    <definedName name="____DAT7" localSheetId="29">#REF!</definedName>
    <definedName name="____DAT7" localSheetId="66">#REF!</definedName>
    <definedName name="____DAT7">#REF!</definedName>
    <definedName name="____DAT8" localSheetId="70">#REF!</definedName>
    <definedName name="____DAT8" localSheetId="52">#REF!</definedName>
    <definedName name="____DAT8" localSheetId="58">#REF!</definedName>
    <definedName name="____DAT8" localSheetId="57">#REF!</definedName>
    <definedName name="____DAT8" localSheetId="64">#REF!</definedName>
    <definedName name="____DAT8" localSheetId="67">#REF!</definedName>
    <definedName name="____DAT8" localSheetId="65">#REF!</definedName>
    <definedName name="____DAT8" localSheetId="68">#REF!</definedName>
    <definedName name="____DAT8" localSheetId="71">#REF!</definedName>
    <definedName name="____DAT8" localSheetId="44">#REF!</definedName>
    <definedName name="____DAT8" localSheetId="45">#REF!</definedName>
    <definedName name="____DAT8" localSheetId="27">#REF!</definedName>
    <definedName name="____DAT8" localSheetId="28">#REF!</definedName>
    <definedName name="____DAT8" localSheetId="29">#REF!</definedName>
    <definedName name="____DAT8" localSheetId="66">#REF!</definedName>
    <definedName name="____DAT8">#REF!</definedName>
    <definedName name="____DAT9" localSheetId="70">#REF!</definedName>
    <definedName name="____DAT9" localSheetId="52">#REF!</definedName>
    <definedName name="____DAT9" localSheetId="58">#REF!</definedName>
    <definedName name="____DAT9" localSheetId="57">#REF!</definedName>
    <definedName name="____DAT9" localSheetId="64">#REF!</definedName>
    <definedName name="____DAT9" localSheetId="67">#REF!</definedName>
    <definedName name="____DAT9" localSheetId="65">#REF!</definedName>
    <definedName name="____DAT9" localSheetId="68">#REF!</definedName>
    <definedName name="____DAT9" localSheetId="71">#REF!</definedName>
    <definedName name="____DAT9" localSheetId="44">#REF!</definedName>
    <definedName name="____DAT9" localSheetId="45">#REF!</definedName>
    <definedName name="____DAT9" localSheetId="27">#REF!</definedName>
    <definedName name="____DAT9" localSheetId="28">#REF!</definedName>
    <definedName name="____DAT9" localSheetId="29">#REF!</definedName>
    <definedName name="____DAT9" localSheetId="66">#REF!</definedName>
    <definedName name="____DAT9">#REF!</definedName>
    <definedName name="____ELL45" localSheetId="70">#REF!</definedName>
    <definedName name="____ELL45" localSheetId="52">#REF!</definedName>
    <definedName name="____ELL45" localSheetId="58">#REF!</definedName>
    <definedName name="____ELL45" localSheetId="57">#REF!</definedName>
    <definedName name="____ELL45" localSheetId="64">#REF!</definedName>
    <definedName name="____ELL45" localSheetId="67">#REF!</definedName>
    <definedName name="____ELL45" localSheetId="65">#REF!</definedName>
    <definedName name="____ELL45" localSheetId="68">#REF!</definedName>
    <definedName name="____ELL45" localSheetId="71">#REF!</definedName>
    <definedName name="____ELL45" localSheetId="44">#REF!</definedName>
    <definedName name="____ELL45" localSheetId="45">#REF!</definedName>
    <definedName name="____ELL45" localSheetId="27">#REF!</definedName>
    <definedName name="____ELL45" localSheetId="28">#REF!</definedName>
    <definedName name="____ELL45" localSheetId="29">#REF!</definedName>
    <definedName name="____ELL45" localSheetId="66">#REF!</definedName>
    <definedName name="____ELL45">#REF!</definedName>
    <definedName name="____ELL90" localSheetId="70">#REF!</definedName>
    <definedName name="____ELL90" localSheetId="52">#REF!</definedName>
    <definedName name="____ELL90" localSheetId="58">#REF!</definedName>
    <definedName name="____ELL90" localSheetId="57">#REF!</definedName>
    <definedName name="____ELL90" localSheetId="64">#REF!</definedName>
    <definedName name="____ELL90" localSheetId="67">#REF!</definedName>
    <definedName name="____ELL90" localSheetId="65">#REF!</definedName>
    <definedName name="____ELL90" localSheetId="68">#REF!</definedName>
    <definedName name="____ELL90" localSheetId="71">#REF!</definedName>
    <definedName name="____ELL90" localSheetId="44">#REF!</definedName>
    <definedName name="____ELL90" localSheetId="45">#REF!</definedName>
    <definedName name="____ELL90" localSheetId="27">#REF!</definedName>
    <definedName name="____ELL90" localSheetId="28">#REF!</definedName>
    <definedName name="____ELL90" localSheetId="29">#REF!</definedName>
    <definedName name="____ELL90" localSheetId="66">#REF!</definedName>
    <definedName name="____ELL90">#REF!</definedName>
    <definedName name="____EMP4">#N/A</definedName>
    <definedName name="____FFr98">'[13]#REF'!$F$29</definedName>
    <definedName name="____FFr99">'[13]#REF'!$G$29</definedName>
    <definedName name="____FRF2" localSheetId="70">#REF!</definedName>
    <definedName name="____FRF2" localSheetId="52">#REF!</definedName>
    <definedName name="____FRF2" localSheetId="58">#REF!</definedName>
    <definedName name="____FRF2" localSheetId="56">#REF!</definedName>
    <definedName name="____FRF2" localSheetId="57">#REF!</definedName>
    <definedName name="____FRF2" localSheetId="64">#REF!</definedName>
    <definedName name="____FRF2" localSheetId="67">#REF!</definedName>
    <definedName name="____FRF2" localSheetId="65">#REF!</definedName>
    <definedName name="____FRF2" localSheetId="68">#REF!</definedName>
    <definedName name="____FRF2" localSheetId="71">#REF!</definedName>
    <definedName name="____FRF2" localSheetId="44">#REF!</definedName>
    <definedName name="____FRF2" localSheetId="45">#REF!</definedName>
    <definedName name="____FRF2" localSheetId="17">#REF!</definedName>
    <definedName name="____FRF2" localSheetId="27">#REF!</definedName>
    <definedName name="____FRF2" localSheetId="72">#REF!</definedName>
    <definedName name="____FRF2" localSheetId="28">#REF!</definedName>
    <definedName name="____FRF2" localSheetId="29">#REF!</definedName>
    <definedName name="____FRF2" localSheetId="66">#REF!</definedName>
    <definedName name="____FRF2">#REF!</definedName>
    <definedName name="____G87634" localSheetId="70">#REF!</definedName>
    <definedName name="____G87634" localSheetId="52">#REF!</definedName>
    <definedName name="____G87634" localSheetId="58">#REF!</definedName>
    <definedName name="____G87634" localSheetId="57">#REF!</definedName>
    <definedName name="____G87634" localSheetId="64">#REF!</definedName>
    <definedName name="____G87634" localSheetId="67">#REF!</definedName>
    <definedName name="____G87634" localSheetId="65">#REF!</definedName>
    <definedName name="____G87634" localSheetId="68">#REF!</definedName>
    <definedName name="____G87634" localSheetId="71">#REF!</definedName>
    <definedName name="____G87634" localSheetId="44">#REF!</definedName>
    <definedName name="____G87634" localSheetId="45">#REF!</definedName>
    <definedName name="____G87634" localSheetId="17">#REF!</definedName>
    <definedName name="____G87634" localSheetId="27">#REF!</definedName>
    <definedName name="____G87634" localSheetId="72">#REF!</definedName>
    <definedName name="____G87634" localSheetId="28">#REF!</definedName>
    <definedName name="____G87634" localSheetId="29">#REF!</definedName>
    <definedName name="____G87634" localSheetId="66">#REF!</definedName>
    <definedName name="____G87634">#REF!</definedName>
    <definedName name="____K5" localSheetId="70">#REF!</definedName>
    <definedName name="____K5" localSheetId="52">#REF!</definedName>
    <definedName name="____K5" localSheetId="58">#REF!</definedName>
    <definedName name="____K5" localSheetId="57">#REF!</definedName>
    <definedName name="____K5" localSheetId="64">#REF!</definedName>
    <definedName name="____K5" localSheetId="67">#REF!</definedName>
    <definedName name="____K5" localSheetId="65">#REF!</definedName>
    <definedName name="____K5" localSheetId="68">#REF!</definedName>
    <definedName name="____K5" localSheetId="71">#REF!</definedName>
    <definedName name="____K5" localSheetId="44">#REF!</definedName>
    <definedName name="____K5" localSheetId="45">#REF!</definedName>
    <definedName name="____K5" localSheetId="17">#REF!</definedName>
    <definedName name="____K5" localSheetId="27">#REF!</definedName>
    <definedName name="____K5" localSheetId="72">#REF!</definedName>
    <definedName name="____K5" localSheetId="28">#REF!</definedName>
    <definedName name="____K5" localSheetId="29">#REF!</definedName>
    <definedName name="____K5" localSheetId="66">#REF!</definedName>
    <definedName name="____K5">#REF!</definedName>
    <definedName name="____K6" localSheetId="70">#REF!</definedName>
    <definedName name="____K6" localSheetId="52">#REF!</definedName>
    <definedName name="____K6" localSheetId="58">#REF!</definedName>
    <definedName name="____K6" localSheetId="57">#REF!</definedName>
    <definedName name="____K6" localSheetId="64">#REF!</definedName>
    <definedName name="____K6" localSheetId="67">#REF!</definedName>
    <definedName name="____K6" localSheetId="65">#REF!</definedName>
    <definedName name="____K6" localSheetId="68">#REF!</definedName>
    <definedName name="____K6" localSheetId="71">#REF!</definedName>
    <definedName name="____K6" localSheetId="44">#REF!</definedName>
    <definedName name="____K6" localSheetId="45">#REF!</definedName>
    <definedName name="____K6" localSheetId="27">#REF!</definedName>
    <definedName name="____K6" localSheetId="28">#REF!</definedName>
    <definedName name="____K6" localSheetId="29">#REF!</definedName>
    <definedName name="____K6" localSheetId="66">#REF!</definedName>
    <definedName name="____K6">#REF!</definedName>
    <definedName name="____KD10">[14]현장지지물물량!$A$8:$N$196</definedName>
    <definedName name="____KD11">[14]현장지지물물량!$A$1:$IV$7</definedName>
    <definedName name="____KD12">[14]현장지지물물량!$A$8:$N$196</definedName>
    <definedName name="____KD13">[14]현장지지물물량!$A$1:$IV$7</definedName>
    <definedName name="____KD14">[15]현장지지물물량!$A$9:$N$23</definedName>
    <definedName name="____KD15">[16]현장지지물물량!$A$9:$N$23</definedName>
    <definedName name="____KD16">[16]현장지지물물량!$A$1:$IV$8</definedName>
    <definedName name="____KD18">[16]현장지지물물량!$A$9:$N$23</definedName>
    <definedName name="____KD2" localSheetId="70" hidden="1">#REF!</definedName>
    <definedName name="____KD2" localSheetId="52" hidden="1">#REF!</definedName>
    <definedName name="____KD2" localSheetId="58" hidden="1">#REF!</definedName>
    <definedName name="____KD2" localSheetId="56" hidden="1">#REF!</definedName>
    <definedName name="____KD2" localSheetId="57" hidden="1">#REF!</definedName>
    <definedName name="____KD2" localSheetId="64" hidden="1">#REF!</definedName>
    <definedName name="____KD2" localSheetId="67" hidden="1">#REF!</definedName>
    <definedName name="____KD2" localSheetId="65" hidden="1">#REF!</definedName>
    <definedName name="____KD2" localSheetId="68" hidden="1">#REF!</definedName>
    <definedName name="____KD2" localSheetId="71" hidden="1">#REF!</definedName>
    <definedName name="____KD2" localSheetId="44" hidden="1">#REF!</definedName>
    <definedName name="____KD2" localSheetId="45" hidden="1">#REF!</definedName>
    <definedName name="____KD2" localSheetId="17" hidden="1">#REF!</definedName>
    <definedName name="____KD2" localSheetId="27" hidden="1">#REF!</definedName>
    <definedName name="____KD2" localSheetId="72" hidden="1">#REF!</definedName>
    <definedName name="____KD2" localSheetId="28" hidden="1">#REF!</definedName>
    <definedName name="____KD2" localSheetId="29" hidden="1">#REF!</definedName>
    <definedName name="____KD2" localSheetId="66" hidden="1">#REF!</definedName>
    <definedName name="____KD2" hidden="1">#REF!</definedName>
    <definedName name="____KD3" localSheetId="70" hidden="1">#REF!</definedName>
    <definedName name="____KD3" localSheetId="52" hidden="1">#REF!</definedName>
    <definedName name="____KD3" localSheetId="58" hidden="1">#REF!</definedName>
    <definedName name="____KD3" localSheetId="57" hidden="1">#REF!</definedName>
    <definedName name="____KD3" localSheetId="64" hidden="1">#REF!</definedName>
    <definedName name="____KD3" localSheetId="67" hidden="1">#REF!</definedName>
    <definedName name="____KD3" localSheetId="65" hidden="1">#REF!</definedName>
    <definedName name="____KD3" localSheetId="68" hidden="1">#REF!</definedName>
    <definedName name="____KD3" localSheetId="71" hidden="1">#REF!</definedName>
    <definedName name="____KD3" localSheetId="44" hidden="1">#REF!</definedName>
    <definedName name="____KD3" localSheetId="45" hidden="1">#REF!</definedName>
    <definedName name="____KD3" localSheetId="17" hidden="1">#REF!</definedName>
    <definedName name="____KD3" localSheetId="27" hidden="1">#REF!</definedName>
    <definedName name="____KD3" localSheetId="72" hidden="1">#REF!</definedName>
    <definedName name="____KD3" localSheetId="28" hidden="1">#REF!</definedName>
    <definedName name="____KD3" localSheetId="29" hidden="1">#REF!</definedName>
    <definedName name="____KD3" localSheetId="66" hidden="1">#REF!</definedName>
    <definedName name="____KD3" hidden="1">#REF!</definedName>
    <definedName name="____KD4">[14]현장지지물물량!$A$8:$N$196</definedName>
    <definedName name="____KD5">[16]현장지지물물량!$A$1:$IV$8</definedName>
    <definedName name="____KD6">[16]현장지지물물량!$A$1:$IV$8</definedName>
    <definedName name="____KD7">[16]현장지지물물량!$A$9:$N$23</definedName>
    <definedName name="____KD8">[17]설산1.나!$A$8:$J$53</definedName>
    <definedName name="____KD9">[17]본사S!$B$10:$P$103</definedName>
    <definedName name="____LL3" localSheetId="70">#REF!</definedName>
    <definedName name="____LL3" localSheetId="52">#REF!</definedName>
    <definedName name="____LL3" localSheetId="58">#REF!</definedName>
    <definedName name="____LL3" localSheetId="56">#REF!</definedName>
    <definedName name="____LL3" localSheetId="57">#REF!</definedName>
    <definedName name="____LL3" localSheetId="64">#REF!</definedName>
    <definedName name="____LL3" localSheetId="67">#REF!</definedName>
    <definedName name="____LL3" localSheetId="65">#REF!</definedName>
    <definedName name="____LL3" localSheetId="68">#REF!</definedName>
    <definedName name="____LL3" localSheetId="71">#REF!</definedName>
    <definedName name="____LL3" localSheetId="44">#REF!</definedName>
    <definedName name="____LL3" localSheetId="45">#REF!</definedName>
    <definedName name="____LL3" localSheetId="17">#REF!</definedName>
    <definedName name="____LL3" localSheetId="27">#REF!</definedName>
    <definedName name="____LL3" localSheetId="72">#REF!</definedName>
    <definedName name="____LL3" localSheetId="28">#REF!</definedName>
    <definedName name="____LL3" localSheetId="29">#REF!</definedName>
    <definedName name="____LL3" localSheetId="66">#REF!</definedName>
    <definedName name="____LL3">#REF!</definedName>
    <definedName name="____LL4" localSheetId="70">#REF!</definedName>
    <definedName name="____LL4" localSheetId="52">#REF!</definedName>
    <definedName name="____LL4" localSheetId="58">#REF!</definedName>
    <definedName name="____LL4" localSheetId="57">#REF!</definedName>
    <definedName name="____LL4" localSheetId="64">#REF!</definedName>
    <definedName name="____LL4" localSheetId="67">#REF!</definedName>
    <definedName name="____LL4" localSheetId="65">#REF!</definedName>
    <definedName name="____LL4" localSheetId="68">#REF!</definedName>
    <definedName name="____LL4" localSheetId="71">#REF!</definedName>
    <definedName name="____LL4" localSheetId="44">#REF!</definedName>
    <definedName name="____LL4" localSheetId="45">#REF!</definedName>
    <definedName name="____LL4" localSheetId="17">#REF!</definedName>
    <definedName name="____LL4" localSheetId="27">#REF!</definedName>
    <definedName name="____LL4" localSheetId="72">#REF!</definedName>
    <definedName name="____LL4" localSheetId="28">#REF!</definedName>
    <definedName name="____LL4" localSheetId="29">#REF!</definedName>
    <definedName name="____LL4" localSheetId="66">#REF!</definedName>
    <definedName name="____LL4">#REF!</definedName>
    <definedName name="____LL5" localSheetId="70">#REF!</definedName>
    <definedName name="____LL5" localSheetId="52">#REF!</definedName>
    <definedName name="____LL5" localSheetId="58">#REF!</definedName>
    <definedName name="____LL5" localSheetId="57">#REF!</definedName>
    <definedName name="____LL5" localSheetId="64">#REF!</definedName>
    <definedName name="____LL5" localSheetId="67">#REF!</definedName>
    <definedName name="____LL5" localSheetId="65">#REF!</definedName>
    <definedName name="____LL5" localSheetId="68">#REF!</definedName>
    <definedName name="____LL5" localSheetId="71">#REF!</definedName>
    <definedName name="____LL5" localSheetId="44">#REF!</definedName>
    <definedName name="____LL5" localSheetId="45">#REF!</definedName>
    <definedName name="____LL5" localSheetId="17">#REF!</definedName>
    <definedName name="____LL5" localSheetId="27">#REF!</definedName>
    <definedName name="____LL5" localSheetId="72">#REF!</definedName>
    <definedName name="____LL5" localSheetId="28">#REF!</definedName>
    <definedName name="____LL5" localSheetId="29">#REF!</definedName>
    <definedName name="____LL5" localSheetId="66">#REF!</definedName>
    <definedName name="____LL5">#REF!</definedName>
    <definedName name="____p2" localSheetId="70">#REF!</definedName>
    <definedName name="____p2" localSheetId="52">#REF!</definedName>
    <definedName name="____p2" localSheetId="58">#REF!</definedName>
    <definedName name="____p2" localSheetId="57">#REF!</definedName>
    <definedName name="____p2" localSheetId="64">#REF!</definedName>
    <definedName name="____p2" localSheetId="67">#REF!</definedName>
    <definedName name="____p2" localSheetId="65">#REF!</definedName>
    <definedName name="____p2" localSheetId="68">#REF!</definedName>
    <definedName name="____p2" localSheetId="71">#REF!</definedName>
    <definedName name="____p2" localSheetId="44">#REF!</definedName>
    <definedName name="____p2" localSheetId="45">#REF!</definedName>
    <definedName name="____p2" localSheetId="27">#REF!</definedName>
    <definedName name="____p2" localSheetId="28">#REF!</definedName>
    <definedName name="____p2" localSheetId="29">#REF!</definedName>
    <definedName name="____p2" localSheetId="66">#REF!</definedName>
    <definedName name="____p2">#REF!</definedName>
    <definedName name="____P21" localSheetId="70">#REF!</definedName>
    <definedName name="____P21" localSheetId="52">#REF!</definedName>
    <definedName name="____P21" localSheetId="58">#REF!</definedName>
    <definedName name="____P21" localSheetId="57">#REF!</definedName>
    <definedName name="____P21" localSheetId="64">#REF!</definedName>
    <definedName name="____P21" localSheetId="67">#REF!</definedName>
    <definedName name="____P21" localSheetId="65">#REF!</definedName>
    <definedName name="____P21" localSheetId="68">#REF!</definedName>
    <definedName name="____P21" localSheetId="71">#REF!</definedName>
    <definedName name="____P21" localSheetId="44">#REF!</definedName>
    <definedName name="____P21" localSheetId="45">#REF!</definedName>
    <definedName name="____P21" localSheetId="27">#REF!</definedName>
    <definedName name="____P21" localSheetId="28">#REF!</definedName>
    <definedName name="____P21" localSheetId="29">#REF!</definedName>
    <definedName name="____P21" localSheetId="66">#REF!</definedName>
    <definedName name="____P21">#REF!</definedName>
    <definedName name="____P22" localSheetId="70">#REF!</definedName>
    <definedName name="____P22" localSheetId="52">#REF!</definedName>
    <definedName name="____P22" localSheetId="58">#REF!</definedName>
    <definedName name="____P22" localSheetId="57">#REF!</definedName>
    <definedName name="____P22" localSheetId="64">#REF!</definedName>
    <definedName name="____P22" localSheetId="67">#REF!</definedName>
    <definedName name="____P22" localSheetId="65">#REF!</definedName>
    <definedName name="____P22" localSheetId="68">#REF!</definedName>
    <definedName name="____P22" localSheetId="71">#REF!</definedName>
    <definedName name="____P22" localSheetId="44">#REF!</definedName>
    <definedName name="____P22" localSheetId="45">#REF!</definedName>
    <definedName name="____P22" localSheetId="27">#REF!</definedName>
    <definedName name="____P22" localSheetId="28">#REF!</definedName>
    <definedName name="____P22" localSheetId="29">#REF!</definedName>
    <definedName name="____P22" localSheetId="66">#REF!</definedName>
    <definedName name="____P22">#REF!</definedName>
    <definedName name="____p3" localSheetId="70">#REF!</definedName>
    <definedName name="____p3" localSheetId="52">#REF!</definedName>
    <definedName name="____p3" localSheetId="58">#REF!</definedName>
    <definedName name="____p3" localSheetId="57">#REF!</definedName>
    <definedName name="____p3" localSheetId="64">#REF!</definedName>
    <definedName name="____p3" localSheetId="67">#REF!</definedName>
    <definedName name="____p3" localSheetId="65">#REF!</definedName>
    <definedName name="____p3" localSheetId="68">#REF!</definedName>
    <definedName name="____p3" localSheetId="71">#REF!</definedName>
    <definedName name="____p3" localSheetId="44">#REF!</definedName>
    <definedName name="____p3" localSheetId="45">#REF!</definedName>
    <definedName name="____p3" localSheetId="27">#REF!</definedName>
    <definedName name="____p3" localSheetId="28">#REF!</definedName>
    <definedName name="____p3" localSheetId="29">#REF!</definedName>
    <definedName name="____p3" localSheetId="66">#REF!</definedName>
    <definedName name="____p3">#REF!</definedName>
    <definedName name="____P31" localSheetId="70">#REF!</definedName>
    <definedName name="____P31" localSheetId="52">#REF!</definedName>
    <definedName name="____P31" localSheetId="58">#REF!</definedName>
    <definedName name="____P31" localSheetId="57">#REF!</definedName>
    <definedName name="____P31" localSheetId="64">#REF!</definedName>
    <definedName name="____P31" localSheetId="67">#REF!</definedName>
    <definedName name="____P31" localSheetId="65">#REF!</definedName>
    <definedName name="____P31" localSheetId="68">#REF!</definedName>
    <definedName name="____P31" localSheetId="71">#REF!</definedName>
    <definedName name="____P31" localSheetId="44">#REF!</definedName>
    <definedName name="____P31" localSheetId="45">#REF!</definedName>
    <definedName name="____P31" localSheetId="27">#REF!</definedName>
    <definedName name="____P31" localSheetId="28">#REF!</definedName>
    <definedName name="____P31" localSheetId="29">#REF!</definedName>
    <definedName name="____P31" localSheetId="66">#REF!</definedName>
    <definedName name="____P31">#REF!</definedName>
    <definedName name="____P32" localSheetId="70">#REF!</definedName>
    <definedName name="____P32" localSheetId="52">#REF!</definedName>
    <definedName name="____P32" localSheetId="58">#REF!</definedName>
    <definedName name="____P32" localSheetId="57">#REF!</definedName>
    <definedName name="____P32" localSheetId="64">#REF!</definedName>
    <definedName name="____P32" localSheetId="67">#REF!</definedName>
    <definedName name="____P32" localSheetId="65">#REF!</definedName>
    <definedName name="____P32" localSheetId="68">#REF!</definedName>
    <definedName name="____P32" localSheetId="71">#REF!</definedName>
    <definedName name="____P32" localSheetId="44">#REF!</definedName>
    <definedName name="____P32" localSheetId="45">#REF!</definedName>
    <definedName name="____P32" localSheetId="27">#REF!</definedName>
    <definedName name="____P32" localSheetId="28">#REF!</definedName>
    <definedName name="____P32" localSheetId="29">#REF!</definedName>
    <definedName name="____P32" localSheetId="66">#REF!</definedName>
    <definedName name="____P32">#REF!</definedName>
    <definedName name="____P33" localSheetId="70">#REF!</definedName>
    <definedName name="____P33" localSheetId="52">#REF!</definedName>
    <definedName name="____P33" localSheetId="58">#REF!</definedName>
    <definedName name="____P33" localSheetId="57">#REF!</definedName>
    <definedName name="____P33" localSheetId="64">#REF!</definedName>
    <definedName name="____P33" localSheetId="67">#REF!</definedName>
    <definedName name="____P33" localSheetId="65">#REF!</definedName>
    <definedName name="____P33" localSheetId="68">#REF!</definedName>
    <definedName name="____P33" localSheetId="71">#REF!</definedName>
    <definedName name="____P33" localSheetId="44">#REF!</definedName>
    <definedName name="____P33" localSheetId="45">#REF!</definedName>
    <definedName name="____P33" localSheetId="27">#REF!</definedName>
    <definedName name="____P33" localSheetId="28">#REF!</definedName>
    <definedName name="____P33" localSheetId="29">#REF!</definedName>
    <definedName name="____P33" localSheetId="66">#REF!</definedName>
    <definedName name="____P33">#REF!</definedName>
    <definedName name="____P34" localSheetId="70">#REF!</definedName>
    <definedName name="____P34" localSheetId="52">#REF!</definedName>
    <definedName name="____P34" localSheetId="58">#REF!</definedName>
    <definedName name="____P34" localSheetId="57">#REF!</definedName>
    <definedName name="____P34" localSheetId="64">#REF!</definedName>
    <definedName name="____P34" localSheetId="67">#REF!</definedName>
    <definedName name="____P34" localSheetId="65">#REF!</definedName>
    <definedName name="____P34" localSheetId="68">#REF!</definedName>
    <definedName name="____P34" localSheetId="71">#REF!</definedName>
    <definedName name="____P34" localSheetId="44">#REF!</definedName>
    <definedName name="____P34" localSheetId="45">#REF!</definedName>
    <definedName name="____P34" localSheetId="27">#REF!</definedName>
    <definedName name="____P34" localSheetId="28">#REF!</definedName>
    <definedName name="____P34" localSheetId="29">#REF!</definedName>
    <definedName name="____P34" localSheetId="66">#REF!</definedName>
    <definedName name="____P34">#REF!</definedName>
    <definedName name="____PG1">'[4]Financial Estimates'!$A$7:$B$108</definedName>
    <definedName name="____PG2" localSheetId="70">#REF!</definedName>
    <definedName name="____PG2" localSheetId="52">#REF!</definedName>
    <definedName name="____PG2" localSheetId="58">#REF!</definedName>
    <definedName name="____PG2" localSheetId="56">#REF!</definedName>
    <definedName name="____PG2" localSheetId="57">#REF!</definedName>
    <definedName name="____PG2" localSheetId="64">#REF!</definedName>
    <definedName name="____PG2" localSheetId="67">#REF!</definedName>
    <definedName name="____PG2" localSheetId="65">#REF!</definedName>
    <definedName name="____PG2" localSheetId="68">#REF!</definedName>
    <definedName name="____PG2" localSheetId="71">#REF!</definedName>
    <definedName name="____PG2" localSheetId="44">#REF!</definedName>
    <definedName name="____PG2" localSheetId="45">#REF!</definedName>
    <definedName name="____PG2" localSheetId="17">#REF!</definedName>
    <definedName name="____PG2" localSheetId="27">#REF!</definedName>
    <definedName name="____PG2" localSheetId="72">#REF!</definedName>
    <definedName name="____PG2" localSheetId="28">#REF!</definedName>
    <definedName name="____PG2" localSheetId="29">#REF!</definedName>
    <definedName name="____PG2" localSheetId="66">#REF!</definedName>
    <definedName name="____PG2">#REF!</definedName>
    <definedName name="____PG3" localSheetId="70">#REF!</definedName>
    <definedName name="____PG3" localSheetId="52">#REF!</definedName>
    <definedName name="____PG3" localSheetId="58">#REF!</definedName>
    <definedName name="____PG3" localSheetId="57">#REF!</definedName>
    <definedName name="____PG3" localSheetId="64">#REF!</definedName>
    <definedName name="____PG3" localSheetId="67">#REF!</definedName>
    <definedName name="____PG3" localSheetId="65">#REF!</definedName>
    <definedName name="____PG3" localSheetId="68">#REF!</definedName>
    <definedName name="____PG3" localSheetId="71">#REF!</definedName>
    <definedName name="____PG3" localSheetId="44">#REF!</definedName>
    <definedName name="____PG3" localSheetId="45">#REF!</definedName>
    <definedName name="____PG3" localSheetId="17">#REF!</definedName>
    <definedName name="____PG3" localSheetId="27">#REF!</definedName>
    <definedName name="____PG3" localSheetId="72">#REF!</definedName>
    <definedName name="____PG3" localSheetId="28">#REF!</definedName>
    <definedName name="____PG3" localSheetId="29">#REF!</definedName>
    <definedName name="____PG3" localSheetId="66">#REF!</definedName>
    <definedName name="____PG3">#REF!</definedName>
    <definedName name="____PG5">'[5]Financial Estimates'!$A$271:$D$342</definedName>
    <definedName name="____pg6">'[6]Financial Estimates'!$A$271:$D$342</definedName>
    <definedName name="____pg7" localSheetId="70">'[7]Financial Estimates'!#REF!</definedName>
    <definedName name="____pg7" localSheetId="52">'[7]Financial Estimates'!#REF!</definedName>
    <definedName name="____pg7" localSheetId="58">'[7]Financial Estimates'!#REF!</definedName>
    <definedName name="____pg7" localSheetId="56">'[7]Financial Estimates'!#REF!</definedName>
    <definedName name="____pg7" localSheetId="57">'[7]Financial Estimates'!#REF!</definedName>
    <definedName name="____pg7" localSheetId="64">'[7]Financial Estimates'!#REF!</definedName>
    <definedName name="____pg7" localSheetId="67">'[7]Financial Estimates'!#REF!</definedName>
    <definedName name="____pg7" localSheetId="65">'[7]Financial Estimates'!#REF!</definedName>
    <definedName name="____pg7" localSheetId="68">'[7]Financial Estimates'!#REF!</definedName>
    <definedName name="____pg7" localSheetId="71">'[7]Financial Estimates'!#REF!</definedName>
    <definedName name="____pg7" localSheetId="44">'[7]Financial Estimates'!#REF!</definedName>
    <definedName name="____pg7" localSheetId="45">'[7]Financial Estimates'!#REF!</definedName>
    <definedName name="____pg7" localSheetId="17">'[7]Financial Estimates'!#REF!</definedName>
    <definedName name="____pg7" localSheetId="27">'[7]Financial Estimates'!#REF!</definedName>
    <definedName name="____pg7" localSheetId="72">'[7]Financial Estimates'!#REF!</definedName>
    <definedName name="____pg7" localSheetId="28">'[7]Financial Estimates'!#REF!</definedName>
    <definedName name="____pg7" localSheetId="29">'[7]Financial Estimates'!#REF!</definedName>
    <definedName name="____pg7" localSheetId="66">'[7]Financial Estimates'!#REF!</definedName>
    <definedName name="____pg7">'[7]Financial Estimates'!#REF!</definedName>
    <definedName name="____RE100" localSheetId="70">#REF!</definedName>
    <definedName name="____RE100" localSheetId="52">#REF!</definedName>
    <definedName name="____RE100" localSheetId="58">#REF!</definedName>
    <definedName name="____RE100" localSheetId="56">#REF!</definedName>
    <definedName name="____RE100" localSheetId="57">#REF!</definedName>
    <definedName name="____RE100" localSheetId="64">#REF!</definedName>
    <definedName name="____RE100" localSheetId="67">#REF!</definedName>
    <definedName name="____RE100" localSheetId="65">#REF!</definedName>
    <definedName name="____RE100" localSheetId="68">#REF!</definedName>
    <definedName name="____RE100" localSheetId="71">#REF!</definedName>
    <definedName name="____RE100" localSheetId="44">#REF!</definedName>
    <definedName name="____RE100" localSheetId="45">#REF!</definedName>
    <definedName name="____RE100" localSheetId="17">#REF!</definedName>
    <definedName name="____RE100" localSheetId="27">#REF!</definedName>
    <definedName name="____RE100" localSheetId="72">#REF!</definedName>
    <definedName name="____RE100" localSheetId="28">#REF!</definedName>
    <definedName name="____RE100" localSheetId="29">#REF!</definedName>
    <definedName name="____RE100" localSheetId="66">#REF!</definedName>
    <definedName name="____RE100">#REF!</definedName>
    <definedName name="____RE104" localSheetId="70">#REF!</definedName>
    <definedName name="____RE104" localSheetId="52">#REF!</definedName>
    <definedName name="____RE104" localSheetId="58">#REF!</definedName>
    <definedName name="____RE104" localSheetId="57">#REF!</definedName>
    <definedName name="____RE104" localSheetId="64">#REF!</definedName>
    <definedName name="____RE104" localSheetId="67">#REF!</definedName>
    <definedName name="____RE104" localSheetId="65">#REF!</definedName>
    <definedName name="____RE104" localSheetId="68">#REF!</definedName>
    <definedName name="____RE104" localSheetId="71">#REF!</definedName>
    <definedName name="____RE104" localSheetId="44">#REF!</definedName>
    <definedName name="____RE104" localSheetId="45">#REF!</definedName>
    <definedName name="____RE104" localSheetId="17">#REF!</definedName>
    <definedName name="____RE104" localSheetId="27">#REF!</definedName>
    <definedName name="____RE104" localSheetId="72">#REF!</definedName>
    <definedName name="____RE104" localSheetId="28">#REF!</definedName>
    <definedName name="____RE104" localSheetId="29">#REF!</definedName>
    <definedName name="____RE104" localSheetId="66">#REF!</definedName>
    <definedName name="____RE104">#REF!</definedName>
    <definedName name="____RE112" localSheetId="70">#REF!</definedName>
    <definedName name="____RE112" localSheetId="52">#REF!</definedName>
    <definedName name="____RE112" localSheetId="58">#REF!</definedName>
    <definedName name="____RE112" localSheetId="57">#REF!</definedName>
    <definedName name="____RE112" localSheetId="64">#REF!</definedName>
    <definedName name="____RE112" localSheetId="67">#REF!</definedName>
    <definedName name="____RE112" localSheetId="65">#REF!</definedName>
    <definedName name="____RE112" localSheetId="68">#REF!</definedName>
    <definedName name="____RE112" localSheetId="71">#REF!</definedName>
    <definedName name="____RE112" localSheetId="44">#REF!</definedName>
    <definedName name="____RE112" localSheetId="45">#REF!</definedName>
    <definedName name="____RE112" localSheetId="17">#REF!</definedName>
    <definedName name="____RE112" localSheetId="27">#REF!</definedName>
    <definedName name="____RE112" localSheetId="72">#REF!</definedName>
    <definedName name="____RE112" localSheetId="28">#REF!</definedName>
    <definedName name="____RE112" localSheetId="29">#REF!</definedName>
    <definedName name="____RE112" localSheetId="66">#REF!</definedName>
    <definedName name="____RE112">#REF!</definedName>
    <definedName name="____RE26" localSheetId="70">#REF!</definedName>
    <definedName name="____RE26" localSheetId="52">#REF!</definedName>
    <definedName name="____RE26" localSheetId="58">#REF!</definedName>
    <definedName name="____RE26" localSheetId="57">#REF!</definedName>
    <definedName name="____RE26" localSheetId="64">#REF!</definedName>
    <definedName name="____RE26" localSheetId="67">#REF!</definedName>
    <definedName name="____RE26" localSheetId="65">#REF!</definedName>
    <definedName name="____RE26" localSheetId="68">#REF!</definedName>
    <definedName name="____RE26" localSheetId="71">#REF!</definedName>
    <definedName name="____RE26" localSheetId="44">#REF!</definedName>
    <definedName name="____RE26" localSheetId="45">#REF!</definedName>
    <definedName name="____RE26" localSheetId="27">#REF!</definedName>
    <definedName name="____RE26" localSheetId="28">#REF!</definedName>
    <definedName name="____RE26" localSheetId="29">#REF!</definedName>
    <definedName name="____RE26" localSheetId="66">#REF!</definedName>
    <definedName name="____RE26">#REF!</definedName>
    <definedName name="____RE28" localSheetId="70">#REF!</definedName>
    <definedName name="____RE28" localSheetId="52">#REF!</definedName>
    <definedName name="____RE28" localSheetId="58">#REF!</definedName>
    <definedName name="____RE28" localSheetId="57">#REF!</definedName>
    <definedName name="____RE28" localSheetId="64">#REF!</definedName>
    <definedName name="____RE28" localSheetId="67">#REF!</definedName>
    <definedName name="____RE28" localSheetId="65">#REF!</definedName>
    <definedName name="____RE28" localSheetId="68">#REF!</definedName>
    <definedName name="____RE28" localSheetId="71">#REF!</definedName>
    <definedName name="____RE28" localSheetId="44">#REF!</definedName>
    <definedName name="____RE28" localSheetId="45">#REF!</definedName>
    <definedName name="____RE28" localSheetId="27">#REF!</definedName>
    <definedName name="____RE28" localSheetId="28">#REF!</definedName>
    <definedName name="____RE28" localSheetId="29">#REF!</definedName>
    <definedName name="____RE28" localSheetId="66">#REF!</definedName>
    <definedName name="____RE28">#REF!</definedName>
    <definedName name="____RE30" localSheetId="70">#REF!</definedName>
    <definedName name="____RE30" localSheetId="52">#REF!</definedName>
    <definedName name="____RE30" localSheetId="58">#REF!</definedName>
    <definedName name="____RE30" localSheetId="57">#REF!</definedName>
    <definedName name="____RE30" localSheetId="64">#REF!</definedName>
    <definedName name="____RE30" localSheetId="67">#REF!</definedName>
    <definedName name="____RE30" localSheetId="65">#REF!</definedName>
    <definedName name="____RE30" localSheetId="68">#REF!</definedName>
    <definedName name="____RE30" localSheetId="71">#REF!</definedName>
    <definedName name="____RE30" localSheetId="44">#REF!</definedName>
    <definedName name="____RE30" localSheetId="45">#REF!</definedName>
    <definedName name="____RE30" localSheetId="27">#REF!</definedName>
    <definedName name="____RE30" localSheetId="28">#REF!</definedName>
    <definedName name="____RE30" localSheetId="29">#REF!</definedName>
    <definedName name="____RE30" localSheetId="66">#REF!</definedName>
    <definedName name="____RE30">#REF!</definedName>
    <definedName name="____RE32" localSheetId="70">#REF!</definedName>
    <definedName name="____RE32" localSheetId="52">#REF!</definedName>
    <definedName name="____RE32" localSheetId="58">#REF!</definedName>
    <definedName name="____RE32" localSheetId="57">#REF!</definedName>
    <definedName name="____RE32" localSheetId="64">#REF!</definedName>
    <definedName name="____RE32" localSheetId="67">#REF!</definedName>
    <definedName name="____RE32" localSheetId="65">#REF!</definedName>
    <definedName name="____RE32" localSheetId="68">#REF!</definedName>
    <definedName name="____RE32" localSheetId="71">#REF!</definedName>
    <definedName name="____RE32" localSheetId="44">#REF!</definedName>
    <definedName name="____RE32" localSheetId="45">#REF!</definedName>
    <definedName name="____RE32" localSheetId="27">#REF!</definedName>
    <definedName name="____RE32" localSheetId="28">#REF!</definedName>
    <definedName name="____RE32" localSheetId="29">#REF!</definedName>
    <definedName name="____RE32" localSheetId="66">#REF!</definedName>
    <definedName name="____RE32">#REF!</definedName>
    <definedName name="____RE34" localSheetId="70">#REF!</definedName>
    <definedName name="____RE34" localSheetId="52">#REF!</definedName>
    <definedName name="____RE34" localSheetId="58">#REF!</definedName>
    <definedName name="____RE34" localSheetId="57">#REF!</definedName>
    <definedName name="____RE34" localSheetId="64">#REF!</definedName>
    <definedName name="____RE34" localSheetId="67">#REF!</definedName>
    <definedName name="____RE34" localSheetId="65">#REF!</definedName>
    <definedName name="____RE34" localSheetId="68">#REF!</definedName>
    <definedName name="____RE34" localSheetId="71">#REF!</definedName>
    <definedName name="____RE34" localSheetId="44">#REF!</definedName>
    <definedName name="____RE34" localSheetId="45">#REF!</definedName>
    <definedName name="____RE34" localSheetId="27">#REF!</definedName>
    <definedName name="____RE34" localSheetId="28">#REF!</definedName>
    <definedName name="____RE34" localSheetId="29">#REF!</definedName>
    <definedName name="____RE34" localSheetId="66">#REF!</definedName>
    <definedName name="____RE34">#REF!</definedName>
    <definedName name="____RE36" localSheetId="70">#REF!</definedName>
    <definedName name="____RE36" localSheetId="52">#REF!</definedName>
    <definedName name="____RE36" localSheetId="58">#REF!</definedName>
    <definedName name="____RE36" localSheetId="57">#REF!</definedName>
    <definedName name="____RE36" localSheetId="64">#REF!</definedName>
    <definedName name="____RE36" localSheetId="67">#REF!</definedName>
    <definedName name="____RE36" localSheetId="65">#REF!</definedName>
    <definedName name="____RE36" localSheetId="68">#REF!</definedName>
    <definedName name="____RE36" localSheetId="71">#REF!</definedName>
    <definedName name="____RE36" localSheetId="44">#REF!</definedName>
    <definedName name="____RE36" localSheetId="45">#REF!</definedName>
    <definedName name="____RE36" localSheetId="27">#REF!</definedName>
    <definedName name="____RE36" localSheetId="28">#REF!</definedName>
    <definedName name="____RE36" localSheetId="29">#REF!</definedName>
    <definedName name="____RE36" localSheetId="66">#REF!</definedName>
    <definedName name="____RE36">#REF!</definedName>
    <definedName name="____RE38" localSheetId="70">#REF!</definedName>
    <definedName name="____RE38" localSheetId="52">#REF!</definedName>
    <definedName name="____RE38" localSheetId="58">#REF!</definedName>
    <definedName name="____RE38" localSheetId="57">#REF!</definedName>
    <definedName name="____RE38" localSheetId="64">#REF!</definedName>
    <definedName name="____RE38" localSheetId="67">#REF!</definedName>
    <definedName name="____RE38" localSheetId="65">#REF!</definedName>
    <definedName name="____RE38" localSheetId="68">#REF!</definedName>
    <definedName name="____RE38" localSheetId="71">#REF!</definedName>
    <definedName name="____RE38" localSheetId="44">#REF!</definedName>
    <definedName name="____RE38" localSheetId="45">#REF!</definedName>
    <definedName name="____RE38" localSheetId="27">#REF!</definedName>
    <definedName name="____RE38" localSheetId="28">#REF!</definedName>
    <definedName name="____RE38" localSheetId="29">#REF!</definedName>
    <definedName name="____RE38" localSheetId="66">#REF!</definedName>
    <definedName name="____RE38">#REF!</definedName>
    <definedName name="____RE40" localSheetId="70">#REF!</definedName>
    <definedName name="____RE40" localSheetId="52">#REF!</definedName>
    <definedName name="____RE40" localSheetId="58">#REF!</definedName>
    <definedName name="____RE40" localSheetId="57">#REF!</definedName>
    <definedName name="____RE40" localSheetId="64">#REF!</definedName>
    <definedName name="____RE40" localSheetId="67">#REF!</definedName>
    <definedName name="____RE40" localSheetId="65">#REF!</definedName>
    <definedName name="____RE40" localSheetId="68">#REF!</definedName>
    <definedName name="____RE40" localSheetId="71">#REF!</definedName>
    <definedName name="____RE40" localSheetId="44">#REF!</definedName>
    <definedName name="____RE40" localSheetId="45">#REF!</definedName>
    <definedName name="____RE40" localSheetId="27">#REF!</definedName>
    <definedName name="____RE40" localSheetId="28">#REF!</definedName>
    <definedName name="____RE40" localSheetId="29">#REF!</definedName>
    <definedName name="____RE40" localSheetId="66">#REF!</definedName>
    <definedName name="____RE40">#REF!</definedName>
    <definedName name="____RE42" localSheetId="70">#REF!</definedName>
    <definedName name="____RE42" localSheetId="52">#REF!</definedName>
    <definedName name="____RE42" localSheetId="58">#REF!</definedName>
    <definedName name="____RE42" localSheetId="57">#REF!</definedName>
    <definedName name="____RE42" localSheetId="64">#REF!</definedName>
    <definedName name="____RE42" localSheetId="67">#REF!</definedName>
    <definedName name="____RE42" localSheetId="65">#REF!</definedName>
    <definedName name="____RE42" localSheetId="68">#REF!</definedName>
    <definedName name="____RE42" localSheetId="71">#REF!</definedName>
    <definedName name="____RE42" localSheetId="44">#REF!</definedName>
    <definedName name="____RE42" localSheetId="45">#REF!</definedName>
    <definedName name="____RE42" localSheetId="27">#REF!</definedName>
    <definedName name="____RE42" localSheetId="28">#REF!</definedName>
    <definedName name="____RE42" localSheetId="29">#REF!</definedName>
    <definedName name="____RE42" localSheetId="66">#REF!</definedName>
    <definedName name="____RE42">#REF!</definedName>
    <definedName name="____RE44" localSheetId="70">#REF!</definedName>
    <definedName name="____RE44" localSheetId="52">#REF!</definedName>
    <definedName name="____RE44" localSheetId="58">#REF!</definedName>
    <definedName name="____RE44" localSheetId="57">#REF!</definedName>
    <definedName name="____RE44" localSheetId="64">#REF!</definedName>
    <definedName name="____RE44" localSheetId="67">#REF!</definedName>
    <definedName name="____RE44" localSheetId="65">#REF!</definedName>
    <definedName name="____RE44" localSheetId="68">#REF!</definedName>
    <definedName name="____RE44" localSheetId="71">#REF!</definedName>
    <definedName name="____RE44" localSheetId="44">#REF!</definedName>
    <definedName name="____RE44" localSheetId="45">#REF!</definedName>
    <definedName name="____RE44" localSheetId="27">#REF!</definedName>
    <definedName name="____RE44" localSheetId="28">#REF!</definedName>
    <definedName name="____RE44" localSheetId="29">#REF!</definedName>
    <definedName name="____RE44" localSheetId="66">#REF!</definedName>
    <definedName name="____RE44">#REF!</definedName>
    <definedName name="____RE48" localSheetId="70">#REF!</definedName>
    <definedName name="____RE48" localSheetId="52">#REF!</definedName>
    <definedName name="____RE48" localSheetId="58">#REF!</definedName>
    <definedName name="____RE48" localSheetId="57">#REF!</definedName>
    <definedName name="____RE48" localSheetId="64">#REF!</definedName>
    <definedName name="____RE48" localSheetId="67">#REF!</definedName>
    <definedName name="____RE48" localSheetId="65">#REF!</definedName>
    <definedName name="____RE48" localSheetId="68">#REF!</definedName>
    <definedName name="____RE48" localSheetId="71">#REF!</definedName>
    <definedName name="____RE48" localSheetId="44">#REF!</definedName>
    <definedName name="____RE48" localSheetId="45">#REF!</definedName>
    <definedName name="____RE48" localSheetId="27">#REF!</definedName>
    <definedName name="____RE48" localSheetId="28">#REF!</definedName>
    <definedName name="____RE48" localSheetId="29">#REF!</definedName>
    <definedName name="____RE48" localSheetId="66">#REF!</definedName>
    <definedName name="____RE48">#REF!</definedName>
    <definedName name="____RE52" localSheetId="70">#REF!</definedName>
    <definedName name="____RE52" localSheetId="52">#REF!</definedName>
    <definedName name="____RE52" localSheetId="58">#REF!</definedName>
    <definedName name="____RE52" localSheetId="57">#REF!</definedName>
    <definedName name="____RE52" localSheetId="64">#REF!</definedName>
    <definedName name="____RE52" localSheetId="67">#REF!</definedName>
    <definedName name="____RE52" localSheetId="65">#REF!</definedName>
    <definedName name="____RE52" localSheetId="68">#REF!</definedName>
    <definedName name="____RE52" localSheetId="71">#REF!</definedName>
    <definedName name="____RE52" localSheetId="44">#REF!</definedName>
    <definedName name="____RE52" localSheetId="45">#REF!</definedName>
    <definedName name="____RE52" localSheetId="27">#REF!</definedName>
    <definedName name="____RE52" localSheetId="28">#REF!</definedName>
    <definedName name="____RE52" localSheetId="29">#REF!</definedName>
    <definedName name="____RE52" localSheetId="66">#REF!</definedName>
    <definedName name="____RE52">#REF!</definedName>
    <definedName name="____RE56" localSheetId="70">#REF!</definedName>
    <definedName name="____RE56" localSheetId="52">#REF!</definedName>
    <definedName name="____RE56" localSheetId="58">#REF!</definedName>
    <definedName name="____RE56" localSheetId="57">#REF!</definedName>
    <definedName name="____RE56" localSheetId="64">#REF!</definedName>
    <definedName name="____RE56" localSheetId="67">#REF!</definedName>
    <definedName name="____RE56" localSheetId="65">#REF!</definedName>
    <definedName name="____RE56" localSheetId="68">#REF!</definedName>
    <definedName name="____RE56" localSheetId="71">#REF!</definedName>
    <definedName name="____RE56" localSheetId="44">#REF!</definedName>
    <definedName name="____RE56" localSheetId="45">#REF!</definedName>
    <definedName name="____RE56" localSheetId="27">#REF!</definedName>
    <definedName name="____RE56" localSheetId="28">#REF!</definedName>
    <definedName name="____RE56" localSheetId="29">#REF!</definedName>
    <definedName name="____RE56" localSheetId="66">#REF!</definedName>
    <definedName name="____RE56">#REF!</definedName>
    <definedName name="____RE60" localSheetId="70">#REF!</definedName>
    <definedName name="____RE60" localSheetId="52">#REF!</definedName>
    <definedName name="____RE60" localSheetId="58">#REF!</definedName>
    <definedName name="____RE60" localSheetId="57">#REF!</definedName>
    <definedName name="____RE60" localSheetId="64">#REF!</definedName>
    <definedName name="____RE60" localSheetId="67">#REF!</definedName>
    <definedName name="____RE60" localSheetId="65">#REF!</definedName>
    <definedName name="____RE60" localSheetId="68">#REF!</definedName>
    <definedName name="____RE60" localSheetId="71">#REF!</definedName>
    <definedName name="____RE60" localSheetId="44">#REF!</definedName>
    <definedName name="____RE60" localSheetId="45">#REF!</definedName>
    <definedName name="____RE60" localSheetId="27">#REF!</definedName>
    <definedName name="____RE60" localSheetId="28">#REF!</definedName>
    <definedName name="____RE60" localSheetId="29">#REF!</definedName>
    <definedName name="____RE60" localSheetId="66">#REF!</definedName>
    <definedName name="____RE60">#REF!</definedName>
    <definedName name="____RE64" localSheetId="70">#REF!</definedName>
    <definedName name="____RE64" localSheetId="52">#REF!</definedName>
    <definedName name="____RE64" localSheetId="58">#REF!</definedName>
    <definedName name="____RE64" localSheetId="57">#REF!</definedName>
    <definedName name="____RE64" localSheetId="64">#REF!</definedName>
    <definedName name="____RE64" localSheetId="67">#REF!</definedName>
    <definedName name="____RE64" localSheetId="65">#REF!</definedName>
    <definedName name="____RE64" localSheetId="68">#REF!</definedName>
    <definedName name="____RE64" localSheetId="71">#REF!</definedName>
    <definedName name="____RE64" localSheetId="44">#REF!</definedName>
    <definedName name="____RE64" localSheetId="45">#REF!</definedName>
    <definedName name="____RE64" localSheetId="27">#REF!</definedName>
    <definedName name="____RE64" localSheetId="28">#REF!</definedName>
    <definedName name="____RE64" localSheetId="29">#REF!</definedName>
    <definedName name="____RE64" localSheetId="66">#REF!</definedName>
    <definedName name="____RE64">#REF!</definedName>
    <definedName name="____RE68" localSheetId="70">#REF!</definedName>
    <definedName name="____RE68" localSheetId="52">#REF!</definedName>
    <definedName name="____RE68" localSheetId="58">#REF!</definedName>
    <definedName name="____RE68" localSheetId="57">#REF!</definedName>
    <definedName name="____RE68" localSheetId="64">#REF!</definedName>
    <definedName name="____RE68" localSheetId="67">#REF!</definedName>
    <definedName name="____RE68" localSheetId="65">#REF!</definedName>
    <definedName name="____RE68" localSheetId="68">#REF!</definedName>
    <definedName name="____RE68" localSheetId="71">#REF!</definedName>
    <definedName name="____RE68" localSheetId="44">#REF!</definedName>
    <definedName name="____RE68" localSheetId="45">#REF!</definedName>
    <definedName name="____RE68" localSheetId="27">#REF!</definedName>
    <definedName name="____RE68" localSheetId="28">#REF!</definedName>
    <definedName name="____RE68" localSheetId="29">#REF!</definedName>
    <definedName name="____RE68" localSheetId="66">#REF!</definedName>
    <definedName name="____RE68">#REF!</definedName>
    <definedName name="____RE72" localSheetId="70">#REF!</definedName>
    <definedName name="____RE72" localSheetId="52">#REF!</definedName>
    <definedName name="____RE72" localSheetId="58">#REF!</definedName>
    <definedName name="____RE72" localSheetId="57">#REF!</definedName>
    <definedName name="____RE72" localSheetId="64">#REF!</definedName>
    <definedName name="____RE72" localSheetId="67">#REF!</definedName>
    <definedName name="____RE72" localSheetId="65">#REF!</definedName>
    <definedName name="____RE72" localSheetId="68">#REF!</definedName>
    <definedName name="____RE72" localSheetId="71">#REF!</definedName>
    <definedName name="____RE72" localSheetId="44">#REF!</definedName>
    <definedName name="____RE72" localSheetId="45">#REF!</definedName>
    <definedName name="____RE72" localSheetId="27">#REF!</definedName>
    <definedName name="____RE72" localSheetId="28">#REF!</definedName>
    <definedName name="____RE72" localSheetId="29">#REF!</definedName>
    <definedName name="____RE72" localSheetId="66">#REF!</definedName>
    <definedName name="____RE72">#REF!</definedName>
    <definedName name="____RE76" localSheetId="70">#REF!</definedName>
    <definedName name="____RE76" localSheetId="52">#REF!</definedName>
    <definedName name="____RE76" localSheetId="58">#REF!</definedName>
    <definedName name="____RE76" localSheetId="57">#REF!</definedName>
    <definedName name="____RE76" localSheetId="64">#REF!</definedName>
    <definedName name="____RE76" localSheetId="67">#REF!</definedName>
    <definedName name="____RE76" localSheetId="65">#REF!</definedName>
    <definedName name="____RE76" localSheetId="68">#REF!</definedName>
    <definedName name="____RE76" localSheetId="71">#REF!</definedName>
    <definedName name="____RE76" localSheetId="44">#REF!</definedName>
    <definedName name="____RE76" localSheetId="45">#REF!</definedName>
    <definedName name="____RE76" localSheetId="27">#REF!</definedName>
    <definedName name="____RE76" localSheetId="28">#REF!</definedName>
    <definedName name="____RE76" localSheetId="29">#REF!</definedName>
    <definedName name="____RE76" localSheetId="66">#REF!</definedName>
    <definedName name="____RE76">#REF!</definedName>
    <definedName name="____RE80" localSheetId="70">#REF!</definedName>
    <definedName name="____RE80" localSheetId="52">#REF!</definedName>
    <definedName name="____RE80" localSheetId="58">#REF!</definedName>
    <definedName name="____RE80" localSheetId="57">#REF!</definedName>
    <definedName name="____RE80" localSheetId="64">#REF!</definedName>
    <definedName name="____RE80" localSheetId="67">#REF!</definedName>
    <definedName name="____RE80" localSheetId="65">#REF!</definedName>
    <definedName name="____RE80" localSheetId="68">#REF!</definedName>
    <definedName name="____RE80" localSheetId="71">#REF!</definedName>
    <definedName name="____RE80" localSheetId="44">#REF!</definedName>
    <definedName name="____RE80" localSheetId="45">#REF!</definedName>
    <definedName name="____RE80" localSheetId="27">#REF!</definedName>
    <definedName name="____RE80" localSheetId="28">#REF!</definedName>
    <definedName name="____RE80" localSheetId="29">#REF!</definedName>
    <definedName name="____RE80" localSheetId="66">#REF!</definedName>
    <definedName name="____RE80">#REF!</definedName>
    <definedName name="____RE88" localSheetId="70">#REF!</definedName>
    <definedName name="____RE88" localSheetId="52">#REF!</definedName>
    <definedName name="____RE88" localSheetId="58">#REF!</definedName>
    <definedName name="____RE88" localSheetId="57">#REF!</definedName>
    <definedName name="____RE88" localSheetId="64">#REF!</definedName>
    <definedName name="____RE88" localSheetId="67">#REF!</definedName>
    <definedName name="____RE88" localSheetId="65">#REF!</definedName>
    <definedName name="____RE88" localSheetId="68">#REF!</definedName>
    <definedName name="____RE88" localSheetId="71">#REF!</definedName>
    <definedName name="____RE88" localSheetId="44">#REF!</definedName>
    <definedName name="____RE88" localSheetId="45">#REF!</definedName>
    <definedName name="____RE88" localSheetId="27">#REF!</definedName>
    <definedName name="____RE88" localSheetId="28">#REF!</definedName>
    <definedName name="____RE88" localSheetId="29">#REF!</definedName>
    <definedName name="____RE88" localSheetId="66">#REF!</definedName>
    <definedName name="____RE88">#REF!</definedName>
    <definedName name="____RE92" localSheetId="70">#REF!</definedName>
    <definedName name="____RE92" localSheetId="52">#REF!</definedName>
    <definedName name="____RE92" localSheetId="58">#REF!</definedName>
    <definedName name="____RE92" localSheetId="57">#REF!</definedName>
    <definedName name="____RE92" localSheetId="64">#REF!</definedName>
    <definedName name="____RE92" localSheetId="67">#REF!</definedName>
    <definedName name="____RE92" localSheetId="65">#REF!</definedName>
    <definedName name="____RE92" localSheetId="68">#REF!</definedName>
    <definedName name="____RE92" localSheetId="71">#REF!</definedName>
    <definedName name="____RE92" localSheetId="44">#REF!</definedName>
    <definedName name="____RE92" localSheetId="45">#REF!</definedName>
    <definedName name="____RE92" localSheetId="27">#REF!</definedName>
    <definedName name="____RE92" localSheetId="28">#REF!</definedName>
    <definedName name="____RE92" localSheetId="29">#REF!</definedName>
    <definedName name="____RE92" localSheetId="66">#REF!</definedName>
    <definedName name="____RE92">#REF!</definedName>
    <definedName name="____RE96" localSheetId="70">#REF!</definedName>
    <definedName name="____RE96" localSheetId="52">#REF!</definedName>
    <definedName name="____RE96" localSheetId="58">#REF!</definedName>
    <definedName name="____RE96" localSheetId="57">#REF!</definedName>
    <definedName name="____RE96" localSheetId="64">#REF!</definedName>
    <definedName name="____RE96" localSheetId="67">#REF!</definedName>
    <definedName name="____RE96" localSheetId="65">#REF!</definedName>
    <definedName name="____RE96" localSheetId="68">#REF!</definedName>
    <definedName name="____RE96" localSheetId="71">#REF!</definedName>
    <definedName name="____RE96" localSheetId="44">#REF!</definedName>
    <definedName name="____RE96" localSheetId="45">#REF!</definedName>
    <definedName name="____RE96" localSheetId="27">#REF!</definedName>
    <definedName name="____RE96" localSheetId="28">#REF!</definedName>
    <definedName name="____RE96" localSheetId="29">#REF!</definedName>
    <definedName name="____RE96" localSheetId="66">#REF!</definedName>
    <definedName name="____RE96">#REF!</definedName>
    <definedName name="____RR12" localSheetId="70">#REF!</definedName>
    <definedName name="____RR12" localSheetId="52">#REF!</definedName>
    <definedName name="____RR12" localSheetId="58">#REF!</definedName>
    <definedName name="____RR12" localSheetId="57">#REF!</definedName>
    <definedName name="____RR12" localSheetId="64">#REF!</definedName>
    <definedName name="____RR12" localSheetId="67">#REF!</definedName>
    <definedName name="____RR12" localSheetId="65">#REF!</definedName>
    <definedName name="____RR12" localSheetId="68">#REF!</definedName>
    <definedName name="____RR12" localSheetId="71">#REF!</definedName>
    <definedName name="____RR12" localSheetId="44">#REF!</definedName>
    <definedName name="____RR12" localSheetId="45">#REF!</definedName>
    <definedName name="____RR12" localSheetId="27">#REF!</definedName>
    <definedName name="____RR12" localSheetId="28">#REF!</definedName>
    <definedName name="____RR12" localSheetId="29">#REF!</definedName>
    <definedName name="____RR12" localSheetId="66">#REF!</definedName>
    <definedName name="____RR12">#REF!</definedName>
    <definedName name="____RR13" localSheetId="70">#REF!</definedName>
    <definedName name="____RR13" localSheetId="52">#REF!</definedName>
    <definedName name="____RR13" localSheetId="58">#REF!</definedName>
    <definedName name="____RR13" localSheetId="57">#REF!</definedName>
    <definedName name="____RR13" localSheetId="64">#REF!</definedName>
    <definedName name="____RR13" localSheetId="67">#REF!</definedName>
    <definedName name="____RR13" localSheetId="65">#REF!</definedName>
    <definedName name="____RR13" localSheetId="68">#REF!</definedName>
    <definedName name="____RR13" localSheetId="71">#REF!</definedName>
    <definedName name="____RR13" localSheetId="44">#REF!</definedName>
    <definedName name="____RR13" localSheetId="45">#REF!</definedName>
    <definedName name="____RR13" localSheetId="27">#REF!</definedName>
    <definedName name="____RR13" localSheetId="28">#REF!</definedName>
    <definedName name="____RR13" localSheetId="29">#REF!</definedName>
    <definedName name="____RR13" localSheetId="66">#REF!</definedName>
    <definedName name="____RR13">#REF!</definedName>
    <definedName name="____RR14" localSheetId="70">#REF!</definedName>
    <definedName name="____RR14" localSheetId="52">#REF!</definedName>
    <definedName name="____RR14" localSheetId="58">#REF!</definedName>
    <definedName name="____RR14" localSheetId="57">#REF!</definedName>
    <definedName name="____RR14" localSheetId="64">#REF!</definedName>
    <definedName name="____RR14" localSheetId="67">#REF!</definedName>
    <definedName name="____RR14" localSheetId="65">#REF!</definedName>
    <definedName name="____RR14" localSheetId="68">#REF!</definedName>
    <definedName name="____RR14" localSheetId="71">#REF!</definedName>
    <definedName name="____RR14" localSheetId="44">#REF!</definedName>
    <definedName name="____RR14" localSheetId="45">#REF!</definedName>
    <definedName name="____RR14" localSheetId="27">#REF!</definedName>
    <definedName name="____RR14" localSheetId="28">#REF!</definedName>
    <definedName name="____RR14" localSheetId="29">#REF!</definedName>
    <definedName name="____RR14" localSheetId="66">#REF!</definedName>
    <definedName name="____RR14">#REF!</definedName>
    <definedName name="____RR15" localSheetId="70">#REF!</definedName>
    <definedName name="____RR15" localSheetId="52">#REF!</definedName>
    <definedName name="____RR15" localSheetId="58">#REF!</definedName>
    <definedName name="____RR15" localSheetId="57">#REF!</definedName>
    <definedName name="____RR15" localSheetId="64">#REF!</definedName>
    <definedName name="____RR15" localSheetId="67">#REF!</definedName>
    <definedName name="____RR15" localSheetId="65">#REF!</definedName>
    <definedName name="____RR15" localSheetId="68">#REF!</definedName>
    <definedName name="____RR15" localSheetId="71">#REF!</definedName>
    <definedName name="____RR15" localSheetId="44">#REF!</definedName>
    <definedName name="____RR15" localSheetId="45">#REF!</definedName>
    <definedName name="____RR15" localSheetId="27">#REF!</definedName>
    <definedName name="____RR15" localSheetId="28">#REF!</definedName>
    <definedName name="____RR15" localSheetId="29">#REF!</definedName>
    <definedName name="____RR15" localSheetId="66">#REF!</definedName>
    <definedName name="____RR15">#REF!</definedName>
    <definedName name="____w123" localSheetId="140" hidden="1">{"Edition",#N/A,FALSE,"Data"}</definedName>
    <definedName name="____w123" localSheetId="58" hidden="1">{"Edition",#N/A,FALSE,"Data"}</definedName>
    <definedName name="____w123" localSheetId="56" hidden="1">{"Edition",#N/A,FALSE,"Data"}</definedName>
    <definedName name="____w123" localSheetId="57" hidden="1">{"Edition",#N/A,FALSE,"Data"}</definedName>
    <definedName name="____w123" localSheetId="67" hidden="1">{"Edition",#N/A,FALSE,"Data"}</definedName>
    <definedName name="____w123" localSheetId="65" hidden="1">{"Edition",#N/A,FALSE,"Data"}</definedName>
    <definedName name="____w123" localSheetId="68" hidden="1">{"Edition",#N/A,FALSE,"Data"}</definedName>
    <definedName name="____w123" localSheetId="71" hidden="1">{"Edition",#N/A,FALSE,"Data"}</definedName>
    <definedName name="____w123" localSheetId="17" hidden="1">{"Edition",#N/A,FALSE,"Data"}</definedName>
    <definedName name="____w123" localSheetId="27" hidden="1">{"Edition",#N/A,FALSE,"Data"}</definedName>
    <definedName name="____w123" localSheetId="72" hidden="1">{"Edition",#N/A,FALSE,"Data"}</definedName>
    <definedName name="____w123" localSheetId="28" hidden="1">{"Edition",#N/A,FALSE,"Data"}</definedName>
    <definedName name="____w123" localSheetId="29" hidden="1">{"Edition",#N/A,FALSE,"Data"}</definedName>
    <definedName name="____w123" hidden="1">{"Edition",#N/A,FALSE,"Data"}</definedName>
    <definedName name="____xlfn.BAHTTEXT" hidden="1">#NAME?</definedName>
    <definedName name="____za1" localSheetId="70">#REF!</definedName>
    <definedName name="____za1" localSheetId="52">#REF!</definedName>
    <definedName name="____za1" localSheetId="58">#REF!</definedName>
    <definedName name="____za1" localSheetId="56">#REF!</definedName>
    <definedName name="____za1" localSheetId="57">#REF!</definedName>
    <definedName name="____za1" localSheetId="64">#REF!</definedName>
    <definedName name="____za1" localSheetId="67">#REF!</definedName>
    <definedName name="____za1" localSheetId="65">#REF!</definedName>
    <definedName name="____za1" localSheetId="68">#REF!</definedName>
    <definedName name="____za1" localSheetId="71">#REF!</definedName>
    <definedName name="____za1" localSheetId="44">#REF!</definedName>
    <definedName name="____za1" localSheetId="45">#REF!</definedName>
    <definedName name="____za1" localSheetId="17">#REF!</definedName>
    <definedName name="____za1" localSheetId="27">#REF!</definedName>
    <definedName name="____za1" localSheetId="72">#REF!</definedName>
    <definedName name="____za1" localSheetId="28">#REF!</definedName>
    <definedName name="____za1" localSheetId="29">#REF!</definedName>
    <definedName name="____za1" localSheetId="66">#REF!</definedName>
    <definedName name="____za1">#REF!</definedName>
    <definedName name="____zz1" localSheetId="70">#REF!</definedName>
    <definedName name="____zz1" localSheetId="52">#REF!</definedName>
    <definedName name="____zz1" localSheetId="58">#REF!</definedName>
    <definedName name="____zz1" localSheetId="57">#REF!</definedName>
    <definedName name="____zz1" localSheetId="64">#REF!</definedName>
    <definedName name="____zz1" localSheetId="67">#REF!</definedName>
    <definedName name="____zz1" localSheetId="65">#REF!</definedName>
    <definedName name="____zz1" localSheetId="68">#REF!</definedName>
    <definedName name="____zz1" localSheetId="71">#REF!</definedName>
    <definedName name="____zz1" localSheetId="44">#REF!</definedName>
    <definedName name="____zz1" localSheetId="45">#REF!</definedName>
    <definedName name="____zz1" localSheetId="17">#REF!</definedName>
    <definedName name="____zz1" localSheetId="27">#REF!</definedName>
    <definedName name="____zz1" localSheetId="72">#REF!</definedName>
    <definedName name="____zz1" localSheetId="28">#REF!</definedName>
    <definedName name="____zz1" localSheetId="29">#REF!</definedName>
    <definedName name="____zz1" localSheetId="66">#REF!</definedName>
    <definedName name="____zz1">#REF!</definedName>
    <definedName name="___a3">[18]Summary!___a3</definedName>
    <definedName name="___AOC2" localSheetId="70">#REF!</definedName>
    <definedName name="___AOC2" localSheetId="52">#REF!</definedName>
    <definedName name="___AOC2" localSheetId="58">#REF!</definedName>
    <definedName name="___AOC2" localSheetId="56">#REF!</definedName>
    <definedName name="___AOC2" localSheetId="57">#REF!</definedName>
    <definedName name="___AOC2" localSheetId="64">#REF!</definedName>
    <definedName name="___AOC2" localSheetId="67">#REF!</definedName>
    <definedName name="___AOC2" localSheetId="65">#REF!</definedName>
    <definedName name="___AOC2" localSheetId="68">#REF!</definedName>
    <definedName name="___AOC2" localSheetId="71">#REF!</definedName>
    <definedName name="___AOC2" localSheetId="44">#REF!</definedName>
    <definedName name="___AOC2" localSheetId="45">#REF!</definedName>
    <definedName name="___AOC2" localSheetId="17">#REF!</definedName>
    <definedName name="___AOC2" localSheetId="27">#REF!</definedName>
    <definedName name="___AOC2" localSheetId="72">#REF!</definedName>
    <definedName name="___AOC2" localSheetId="28">#REF!</definedName>
    <definedName name="___AOC2" localSheetId="29">#REF!</definedName>
    <definedName name="___AOC2" localSheetId="66">#REF!</definedName>
    <definedName name="___AOC2">#REF!</definedName>
    <definedName name="___as3">[12]BEST_17112006!$C$20</definedName>
    <definedName name="___BBQ1" localSheetId="70">[19]!_xlbgnm.BBQ1</definedName>
    <definedName name="___BBQ1" localSheetId="52">[19]!_xlbgnm.BBQ1</definedName>
    <definedName name="___BBQ1" localSheetId="58">[19]!_xlbgnm.BBQ1</definedName>
    <definedName name="___BBQ1" localSheetId="57">[19]!_xlbgnm.BBQ1</definedName>
    <definedName name="___BBQ1" localSheetId="64">[19]!_xlbgnm.BBQ1</definedName>
    <definedName name="___BBQ1" localSheetId="67">[19]!_xlbgnm.BBQ1</definedName>
    <definedName name="___BBQ1" localSheetId="65">[19]!_xlbgnm.BBQ1</definedName>
    <definedName name="___BBQ1" localSheetId="68">[19]!_xlbgnm.BBQ1</definedName>
    <definedName name="___BBQ1" localSheetId="71">[19]!_xlbgnm.BBQ1</definedName>
    <definedName name="___BBQ1" localSheetId="44">[19]!_xlbgnm.BBQ1</definedName>
    <definedName name="___BBQ1" localSheetId="45">[19]!_xlbgnm.BBQ1</definedName>
    <definedName name="___BBQ1" localSheetId="27">[19]!_xlbgnm.BBQ1</definedName>
    <definedName name="___BBQ1" localSheetId="28">[19]!_xlbgnm.BBQ1</definedName>
    <definedName name="___BBQ1" localSheetId="29">[19]!_xlbgnm.BBQ1</definedName>
    <definedName name="___BBQ1" localSheetId="66">[19]!_xlbgnm.BBQ1</definedName>
    <definedName name="___BBQ1">[19]!_xlbgnm.BBQ1</definedName>
    <definedName name="___CO1" localSheetId="70">#REF!</definedName>
    <definedName name="___CO1" localSheetId="52">#REF!</definedName>
    <definedName name="___CO1" localSheetId="58">#REF!</definedName>
    <definedName name="___CO1" localSheetId="56">#REF!</definedName>
    <definedName name="___CO1" localSheetId="57">#REF!</definedName>
    <definedName name="___CO1" localSheetId="64">#REF!</definedName>
    <definedName name="___CO1" localSheetId="67">#REF!</definedName>
    <definedName name="___CO1" localSheetId="65">#REF!</definedName>
    <definedName name="___CO1" localSheetId="68">#REF!</definedName>
    <definedName name="___CO1" localSheetId="71">#REF!</definedName>
    <definedName name="___CO1" localSheetId="44">#REF!</definedName>
    <definedName name="___CO1" localSheetId="45">#REF!</definedName>
    <definedName name="___CO1" localSheetId="17">#REF!</definedName>
    <definedName name="___CO1" localSheetId="27">#REF!</definedName>
    <definedName name="___CO1" localSheetId="72">#REF!</definedName>
    <definedName name="___CO1" localSheetId="28">#REF!</definedName>
    <definedName name="___CO1" localSheetId="29">#REF!</definedName>
    <definedName name="___CO1" localSheetId="66">#REF!</definedName>
    <definedName name="___CO1">#REF!</definedName>
    <definedName name="___D87840" localSheetId="70">#REF!</definedName>
    <definedName name="___D87840" localSheetId="52">#REF!</definedName>
    <definedName name="___D87840" localSheetId="58">#REF!</definedName>
    <definedName name="___D87840" localSheetId="57">#REF!</definedName>
    <definedName name="___D87840" localSheetId="64">#REF!</definedName>
    <definedName name="___D87840" localSheetId="67">#REF!</definedName>
    <definedName name="___D87840" localSheetId="65">#REF!</definedName>
    <definedName name="___D87840" localSheetId="68">#REF!</definedName>
    <definedName name="___D87840" localSheetId="71">#REF!</definedName>
    <definedName name="___D87840" localSheetId="44">#REF!</definedName>
    <definedName name="___D87840" localSheetId="45">#REF!</definedName>
    <definedName name="___D87840" localSheetId="17">#REF!</definedName>
    <definedName name="___D87840" localSheetId="27">#REF!</definedName>
    <definedName name="___D87840" localSheetId="72">#REF!</definedName>
    <definedName name="___D87840" localSheetId="28">#REF!</definedName>
    <definedName name="___D87840" localSheetId="29">#REF!</definedName>
    <definedName name="___D87840" localSheetId="66">#REF!</definedName>
    <definedName name="___D87840">#REF!</definedName>
    <definedName name="___DAT1" localSheetId="70">#REF!</definedName>
    <definedName name="___DAT1" localSheetId="52">#REF!</definedName>
    <definedName name="___DAT1" localSheetId="58">#REF!</definedName>
    <definedName name="___DAT1" localSheetId="57">#REF!</definedName>
    <definedName name="___DAT1" localSheetId="64">#REF!</definedName>
    <definedName name="___DAT1" localSheetId="67">#REF!</definedName>
    <definedName name="___DAT1" localSheetId="65">#REF!</definedName>
    <definedName name="___DAT1" localSheetId="68">#REF!</definedName>
    <definedName name="___DAT1" localSheetId="71">#REF!</definedName>
    <definedName name="___DAT1" localSheetId="44">#REF!</definedName>
    <definedName name="___DAT1" localSheetId="45">#REF!</definedName>
    <definedName name="___DAT1" localSheetId="17">#REF!</definedName>
    <definedName name="___DAT1" localSheetId="27">#REF!</definedName>
    <definedName name="___DAT1" localSheetId="72">#REF!</definedName>
    <definedName name="___DAT1" localSheetId="28">#REF!</definedName>
    <definedName name="___DAT1" localSheetId="29">#REF!</definedName>
    <definedName name="___DAT1" localSheetId="66">#REF!</definedName>
    <definedName name="___DAT1">#REF!</definedName>
    <definedName name="___DAT10" localSheetId="70">#REF!</definedName>
    <definedName name="___DAT10" localSheetId="52">#REF!</definedName>
    <definedName name="___DAT10" localSheetId="58">#REF!</definedName>
    <definedName name="___DAT10" localSheetId="57">#REF!</definedName>
    <definedName name="___DAT10" localSheetId="64">#REF!</definedName>
    <definedName name="___DAT10" localSheetId="67">#REF!</definedName>
    <definedName name="___DAT10" localSheetId="65">#REF!</definedName>
    <definedName name="___DAT10" localSheetId="68">#REF!</definedName>
    <definedName name="___DAT10" localSheetId="71">#REF!</definedName>
    <definedName name="___DAT10" localSheetId="44">#REF!</definedName>
    <definedName name="___DAT10" localSheetId="45">#REF!</definedName>
    <definedName name="___DAT10" localSheetId="27">#REF!</definedName>
    <definedName name="___DAT10" localSheetId="28">#REF!</definedName>
    <definedName name="___DAT10" localSheetId="29">#REF!</definedName>
    <definedName name="___DAT10" localSheetId="66">#REF!</definedName>
    <definedName name="___DAT10">#REF!</definedName>
    <definedName name="___DAT11" localSheetId="70">#REF!</definedName>
    <definedName name="___DAT11" localSheetId="52">#REF!</definedName>
    <definedName name="___DAT11" localSheetId="58">#REF!</definedName>
    <definedName name="___DAT11" localSheetId="57">#REF!</definedName>
    <definedName name="___DAT11" localSheetId="64">#REF!</definedName>
    <definedName name="___DAT11" localSheetId="67">#REF!</definedName>
    <definedName name="___DAT11" localSheetId="65">#REF!</definedName>
    <definedName name="___DAT11" localSheetId="68">#REF!</definedName>
    <definedName name="___DAT11" localSheetId="71">#REF!</definedName>
    <definedName name="___DAT11" localSheetId="44">#REF!</definedName>
    <definedName name="___DAT11" localSheetId="45">#REF!</definedName>
    <definedName name="___DAT11" localSheetId="27">#REF!</definedName>
    <definedName name="___DAT11" localSheetId="28">#REF!</definedName>
    <definedName name="___DAT11" localSheetId="29">#REF!</definedName>
    <definedName name="___DAT11" localSheetId="66">#REF!</definedName>
    <definedName name="___DAT11">#REF!</definedName>
    <definedName name="___DAT12" localSheetId="70">'[10]ins spares'!#REF!</definedName>
    <definedName name="___DAT12" localSheetId="52">'[10]ins spares'!#REF!</definedName>
    <definedName name="___DAT12" localSheetId="58">'[10]ins spares'!#REF!</definedName>
    <definedName name="___DAT12" localSheetId="57">'[10]ins spares'!#REF!</definedName>
    <definedName name="___DAT12" localSheetId="64">'[10]ins spares'!#REF!</definedName>
    <definedName name="___DAT12" localSheetId="67">'[10]ins spares'!#REF!</definedName>
    <definedName name="___DAT12" localSheetId="65">'[10]ins spares'!#REF!</definedName>
    <definedName name="___DAT12" localSheetId="68">'[10]ins spares'!#REF!</definedName>
    <definedName name="___DAT12" localSheetId="71">'[10]ins spares'!#REF!</definedName>
    <definedName name="___DAT12" localSheetId="44">'[10]ins spares'!#REF!</definedName>
    <definedName name="___DAT12" localSheetId="45">'[10]ins spares'!#REF!</definedName>
    <definedName name="___DAT12" localSheetId="27">'[10]ins spares'!#REF!</definedName>
    <definedName name="___DAT12" localSheetId="28">'[10]ins spares'!#REF!</definedName>
    <definedName name="___DAT12" localSheetId="29">'[10]ins spares'!#REF!</definedName>
    <definedName name="___DAT12" localSheetId="66">'[10]ins spares'!#REF!</definedName>
    <definedName name="___DAT12">'[10]ins spares'!#REF!</definedName>
    <definedName name="___DAT13" localSheetId="70">'[10]ins spares'!#REF!</definedName>
    <definedName name="___DAT13" localSheetId="52">'[10]ins spares'!#REF!</definedName>
    <definedName name="___DAT13" localSheetId="58">'[10]ins spares'!#REF!</definedName>
    <definedName name="___DAT13" localSheetId="57">'[10]ins spares'!#REF!</definedName>
    <definedName name="___DAT13" localSheetId="64">'[10]ins spares'!#REF!</definedName>
    <definedName name="___DAT13" localSheetId="67">'[10]ins spares'!#REF!</definedName>
    <definedName name="___DAT13" localSheetId="65">'[10]ins spares'!#REF!</definedName>
    <definedName name="___DAT13" localSheetId="68">'[10]ins spares'!#REF!</definedName>
    <definedName name="___DAT13" localSheetId="71">'[10]ins spares'!#REF!</definedName>
    <definedName name="___DAT13" localSheetId="44">'[10]ins spares'!#REF!</definedName>
    <definedName name="___DAT13" localSheetId="45">'[10]ins spares'!#REF!</definedName>
    <definedName name="___DAT13" localSheetId="27">'[10]ins spares'!#REF!</definedName>
    <definedName name="___DAT13" localSheetId="28">'[10]ins spares'!#REF!</definedName>
    <definedName name="___DAT13" localSheetId="29">'[10]ins spares'!#REF!</definedName>
    <definedName name="___DAT13" localSheetId="66">'[10]ins spares'!#REF!</definedName>
    <definedName name="___DAT13">'[10]ins spares'!#REF!</definedName>
    <definedName name="___DAT15" localSheetId="70">'[10]ins spares'!#REF!</definedName>
    <definedName name="___DAT15" localSheetId="52">'[10]ins spares'!#REF!</definedName>
    <definedName name="___DAT15" localSheetId="58">'[10]ins spares'!#REF!</definedName>
    <definedName name="___DAT15" localSheetId="57">'[10]ins spares'!#REF!</definedName>
    <definedName name="___DAT15" localSheetId="64">'[10]ins spares'!#REF!</definedName>
    <definedName name="___DAT15" localSheetId="67">'[10]ins spares'!#REF!</definedName>
    <definedName name="___DAT15" localSheetId="65">'[10]ins spares'!#REF!</definedName>
    <definedName name="___DAT15" localSheetId="68">'[10]ins spares'!#REF!</definedName>
    <definedName name="___DAT15" localSheetId="71">'[10]ins spares'!#REF!</definedName>
    <definedName name="___DAT15" localSheetId="44">'[10]ins spares'!#REF!</definedName>
    <definedName name="___DAT15" localSheetId="45">'[10]ins spares'!#REF!</definedName>
    <definedName name="___DAT15" localSheetId="27">'[10]ins spares'!#REF!</definedName>
    <definedName name="___DAT15" localSheetId="28">'[10]ins spares'!#REF!</definedName>
    <definedName name="___DAT15" localSheetId="29">'[10]ins spares'!#REF!</definedName>
    <definedName name="___DAT15" localSheetId="66">'[10]ins spares'!#REF!</definedName>
    <definedName name="___DAT15">'[10]ins spares'!#REF!</definedName>
    <definedName name="___DAT16" localSheetId="70">'[10]ins spares'!#REF!</definedName>
    <definedName name="___DAT16" localSheetId="52">'[10]ins spares'!#REF!</definedName>
    <definedName name="___DAT16" localSheetId="58">'[10]ins spares'!#REF!</definedName>
    <definedName name="___DAT16" localSheetId="57">'[10]ins spares'!#REF!</definedName>
    <definedName name="___DAT16" localSheetId="64">'[10]ins spares'!#REF!</definedName>
    <definedName name="___DAT16" localSheetId="67">'[10]ins spares'!#REF!</definedName>
    <definedName name="___DAT16" localSheetId="65">'[10]ins spares'!#REF!</definedName>
    <definedName name="___DAT16" localSheetId="68">'[10]ins spares'!#REF!</definedName>
    <definedName name="___DAT16" localSheetId="71">'[10]ins spares'!#REF!</definedName>
    <definedName name="___DAT16" localSheetId="44">'[10]ins spares'!#REF!</definedName>
    <definedName name="___DAT16" localSheetId="45">'[10]ins spares'!#REF!</definedName>
    <definedName name="___DAT16" localSheetId="27">'[10]ins spares'!#REF!</definedName>
    <definedName name="___DAT16" localSheetId="28">'[10]ins spares'!#REF!</definedName>
    <definedName name="___DAT16" localSheetId="29">'[10]ins spares'!#REF!</definedName>
    <definedName name="___DAT16" localSheetId="66">'[10]ins spares'!#REF!</definedName>
    <definedName name="___DAT16">'[10]ins spares'!#REF!</definedName>
    <definedName name="___DAT18" localSheetId="70">'[10]ins spares'!#REF!</definedName>
    <definedName name="___DAT18" localSheetId="52">'[10]ins spares'!#REF!</definedName>
    <definedName name="___DAT18" localSheetId="58">'[10]ins spares'!#REF!</definedName>
    <definedName name="___DAT18" localSheetId="57">'[10]ins spares'!#REF!</definedName>
    <definedName name="___DAT18" localSheetId="64">'[10]ins spares'!#REF!</definedName>
    <definedName name="___DAT18" localSheetId="67">'[10]ins spares'!#REF!</definedName>
    <definedName name="___DAT18" localSheetId="65">'[10]ins spares'!#REF!</definedName>
    <definedName name="___DAT18" localSheetId="68">'[10]ins spares'!#REF!</definedName>
    <definedName name="___DAT18" localSheetId="71">'[10]ins spares'!#REF!</definedName>
    <definedName name="___DAT18" localSheetId="44">'[10]ins spares'!#REF!</definedName>
    <definedName name="___DAT18" localSheetId="45">'[10]ins spares'!#REF!</definedName>
    <definedName name="___DAT18" localSheetId="27">'[10]ins spares'!#REF!</definedName>
    <definedName name="___DAT18" localSheetId="28">'[10]ins spares'!#REF!</definedName>
    <definedName name="___DAT18" localSheetId="29">'[10]ins spares'!#REF!</definedName>
    <definedName name="___DAT18" localSheetId="66">'[10]ins spares'!#REF!</definedName>
    <definedName name="___DAT18">'[10]ins spares'!#REF!</definedName>
    <definedName name="___DAT19" localSheetId="70">'[10]ins spares'!#REF!</definedName>
    <definedName name="___DAT19" localSheetId="52">'[10]ins spares'!#REF!</definedName>
    <definedName name="___DAT19" localSheetId="58">'[10]ins spares'!#REF!</definedName>
    <definedName name="___DAT19" localSheetId="57">'[10]ins spares'!#REF!</definedName>
    <definedName name="___DAT19" localSheetId="64">'[10]ins spares'!#REF!</definedName>
    <definedName name="___DAT19" localSheetId="67">'[10]ins spares'!#REF!</definedName>
    <definedName name="___DAT19" localSheetId="65">'[10]ins spares'!#REF!</definedName>
    <definedName name="___DAT19" localSheetId="68">'[10]ins spares'!#REF!</definedName>
    <definedName name="___DAT19" localSheetId="71">'[10]ins spares'!#REF!</definedName>
    <definedName name="___DAT19" localSheetId="44">'[10]ins spares'!#REF!</definedName>
    <definedName name="___DAT19" localSheetId="45">'[10]ins spares'!#REF!</definedName>
    <definedName name="___DAT19" localSheetId="27">'[10]ins spares'!#REF!</definedName>
    <definedName name="___DAT19" localSheetId="28">'[10]ins spares'!#REF!</definedName>
    <definedName name="___DAT19" localSheetId="29">'[10]ins spares'!#REF!</definedName>
    <definedName name="___DAT19" localSheetId="66">'[10]ins spares'!#REF!</definedName>
    <definedName name="___DAT19">'[10]ins spares'!#REF!</definedName>
    <definedName name="___DAT2" localSheetId="70">#REF!</definedName>
    <definedName name="___DAT2" localSheetId="52">#REF!</definedName>
    <definedName name="___DAT2" localSheetId="58">#REF!</definedName>
    <definedName name="___DAT2" localSheetId="56">#REF!</definedName>
    <definedName name="___DAT2" localSheetId="57">#REF!</definedName>
    <definedName name="___DAT2" localSheetId="64">#REF!</definedName>
    <definedName name="___DAT2" localSheetId="67">#REF!</definedName>
    <definedName name="___DAT2" localSheetId="65">#REF!</definedName>
    <definedName name="___DAT2" localSheetId="68">#REF!</definedName>
    <definedName name="___DAT2" localSheetId="71">#REF!</definedName>
    <definedName name="___DAT2" localSheetId="44">#REF!</definedName>
    <definedName name="___DAT2" localSheetId="45">#REF!</definedName>
    <definedName name="___DAT2" localSheetId="17">#REF!</definedName>
    <definedName name="___DAT2" localSheetId="27">#REF!</definedName>
    <definedName name="___DAT2" localSheetId="72">#REF!</definedName>
    <definedName name="___DAT2" localSheetId="28">#REF!</definedName>
    <definedName name="___DAT2" localSheetId="29">#REF!</definedName>
    <definedName name="___DAT2" localSheetId="66">#REF!</definedName>
    <definedName name="___DAT2">#REF!</definedName>
    <definedName name="___DAT20" localSheetId="70">'[10]ins spares'!#REF!</definedName>
    <definedName name="___DAT20" localSheetId="52">'[10]ins spares'!#REF!</definedName>
    <definedName name="___DAT20" localSheetId="58">'[10]ins spares'!#REF!</definedName>
    <definedName name="___DAT20" localSheetId="56">'[10]ins spares'!#REF!</definedName>
    <definedName name="___DAT20" localSheetId="57">'[10]ins spares'!#REF!</definedName>
    <definedName name="___DAT20" localSheetId="64">'[10]ins spares'!#REF!</definedName>
    <definedName name="___DAT20" localSheetId="67">'[10]ins spares'!#REF!</definedName>
    <definedName name="___DAT20" localSheetId="65">'[10]ins spares'!#REF!</definedName>
    <definedName name="___DAT20" localSheetId="68">'[10]ins spares'!#REF!</definedName>
    <definedName name="___DAT20" localSheetId="71">'[10]ins spares'!#REF!</definedName>
    <definedName name="___DAT20" localSheetId="44">'[10]ins spares'!#REF!</definedName>
    <definedName name="___DAT20" localSheetId="45">'[10]ins spares'!#REF!</definedName>
    <definedName name="___DAT20" localSheetId="17">'[10]ins spares'!#REF!</definedName>
    <definedName name="___DAT20" localSheetId="27">'[10]ins spares'!#REF!</definedName>
    <definedName name="___DAT20" localSheetId="72">'[10]ins spares'!#REF!</definedName>
    <definedName name="___DAT20" localSheetId="28">'[10]ins spares'!#REF!</definedName>
    <definedName name="___DAT20" localSheetId="29">'[10]ins spares'!#REF!</definedName>
    <definedName name="___DAT20" localSheetId="66">'[10]ins spares'!#REF!</definedName>
    <definedName name="___DAT20">'[10]ins spares'!#REF!</definedName>
    <definedName name="___DAT21" localSheetId="70">'[10]ins spares'!#REF!</definedName>
    <definedName name="___DAT21" localSheetId="52">'[10]ins spares'!#REF!</definedName>
    <definedName name="___DAT21" localSheetId="58">'[10]ins spares'!#REF!</definedName>
    <definedName name="___DAT21" localSheetId="57">'[10]ins spares'!#REF!</definedName>
    <definedName name="___DAT21" localSheetId="64">'[10]ins spares'!#REF!</definedName>
    <definedName name="___DAT21" localSheetId="67">'[10]ins spares'!#REF!</definedName>
    <definedName name="___DAT21" localSheetId="65">'[10]ins spares'!#REF!</definedName>
    <definedName name="___DAT21" localSheetId="68">'[10]ins spares'!#REF!</definedName>
    <definedName name="___DAT21" localSheetId="71">'[10]ins spares'!#REF!</definedName>
    <definedName name="___DAT21" localSheetId="44">'[10]ins spares'!#REF!</definedName>
    <definedName name="___DAT21" localSheetId="45">'[10]ins spares'!#REF!</definedName>
    <definedName name="___DAT21" localSheetId="27">'[10]ins spares'!#REF!</definedName>
    <definedName name="___DAT21" localSheetId="28">'[10]ins spares'!#REF!</definedName>
    <definedName name="___DAT21" localSheetId="29">'[10]ins spares'!#REF!</definedName>
    <definedName name="___DAT21" localSheetId="66">'[10]ins spares'!#REF!</definedName>
    <definedName name="___DAT21">'[10]ins spares'!#REF!</definedName>
    <definedName name="___DAT22" localSheetId="70">'[10]ins spares'!#REF!</definedName>
    <definedName name="___DAT22" localSheetId="52">'[10]ins spares'!#REF!</definedName>
    <definedName name="___DAT22" localSheetId="58">'[10]ins spares'!#REF!</definedName>
    <definedName name="___DAT22" localSheetId="57">'[10]ins spares'!#REF!</definedName>
    <definedName name="___DAT22" localSheetId="64">'[10]ins spares'!#REF!</definedName>
    <definedName name="___DAT22" localSheetId="67">'[10]ins spares'!#REF!</definedName>
    <definedName name="___DAT22" localSheetId="65">'[10]ins spares'!#REF!</definedName>
    <definedName name="___DAT22" localSheetId="68">'[10]ins spares'!#REF!</definedName>
    <definedName name="___DAT22" localSheetId="71">'[10]ins spares'!#REF!</definedName>
    <definedName name="___DAT22" localSheetId="44">'[10]ins spares'!#REF!</definedName>
    <definedName name="___DAT22" localSheetId="45">'[10]ins spares'!#REF!</definedName>
    <definedName name="___DAT22" localSheetId="27">'[10]ins spares'!#REF!</definedName>
    <definedName name="___DAT22" localSheetId="28">'[10]ins spares'!#REF!</definedName>
    <definedName name="___DAT22" localSheetId="29">'[10]ins spares'!#REF!</definedName>
    <definedName name="___DAT22" localSheetId="66">'[10]ins spares'!#REF!</definedName>
    <definedName name="___DAT22">'[10]ins spares'!#REF!</definedName>
    <definedName name="___DAT23" localSheetId="70">'[10]ins spares'!#REF!</definedName>
    <definedName name="___DAT23" localSheetId="52">'[10]ins spares'!#REF!</definedName>
    <definedName name="___DAT23" localSheetId="58">'[10]ins spares'!#REF!</definedName>
    <definedName name="___DAT23" localSheetId="57">'[10]ins spares'!#REF!</definedName>
    <definedName name="___DAT23" localSheetId="64">'[10]ins spares'!#REF!</definedName>
    <definedName name="___DAT23" localSheetId="67">'[10]ins spares'!#REF!</definedName>
    <definedName name="___DAT23" localSheetId="65">'[10]ins spares'!#REF!</definedName>
    <definedName name="___DAT23" localSheetId="68">'[10]ins spares'!#REF!</definedName>
    <definedName name="___DAT23" localSheetId="71">'[10]ins spares'!#REF!</definedName>
    <definedName name="___DAT23" localSheetId="44">'[10]ins spares'!#REF!</definedName>
    <definedName name="___DAT23" localSheetId="45">'[10]ins spares'!#REF!</definedName>
    <definedName name="___DAT23" localSheetId="27">'[10]ins spares'!#REF!</definedName>
    <definedName name="___DAT23" localSheetId="28">'[10]ins spares'!#REF!</definedName>
    <definedName name="___DAT23" localSheetId="29">'[10]ins spares'!#REF!</definedName>
    <definedName name="___DAT23" localSheetId="66">'[10]ins spares'!#REF!</definedName>
    <definedName name="___DAT23">'[10]ins spares'!#REF!</definedName>
    <definedName name="___DAT24" localSheetId="70">'[10]ins spares'!#REF!</definedName>
    <definedName name="___DAT24" localSheetId="52">'[10]ins spares'!#REF!</definedName>
    <definedName name="___DAT24" localSheetId="58">'[10]ins spares'!#REF!</definedName>
    <definedName name="___DAT24" localSheetId="57">'[10]ins spares'!#REF!</definedName>
    <definedName name="___DAT24" localSheetId="64">'[10]ins spares'!#REF!</definedName>
    <definedName name="___DAT24" localSheetId="67">'[10]ins spares'!#REF!</definedName>
    <definedName name="___DAT24" localSheetId="65">'[10]ins spares'!#REF!</definedName>
    <definedName name="___DAT24" localSheetId="68">'[10]ins spares'!#REF!</definedName>
    <definedName name="___DAT24" localSheetId="71">'[10]ins spares'!#REF!</definedName>
    <definedName name="___DAT24" localSheetId="44">'[10]ins spares'!#REF!</definedName>
    <definedName name="___DAT24" localSheetId="45">'[10]ins spares'!#REF!</definedName>
    <definedName name="___DAT24" localSheetId="27">'[10]ins spares'!#REF!</definedName>
    <definedName name="___DAT24" localSheetId="28">'[10]ins spares'!#REF!</definedName>
    <definedName name="___DAT24" localSheetId="29">'[10]ins spares'!#REF!</definedName>
    <definedName name="___DAT24" localSheetId="66">'[10]ins spares'!#REF!</definedName>
    <definedName name="___DAT24">'[10]ins spares'!#REF!</definedName>
    <definedName name="___DAT3" localSheetId="70">#REF!</definedName>
    <definedName name="___DAT3" localSheetId="52">#REF!</definedName>
    <definedName name="___DAT3" localSheetId="58">#REF!</definedName>
    <definedName name="___DAT3" localSheetId="56">#REF!</definedName>
    <definedName name="___DAT3" localSheetId="57">#REF!</definedName>
    <definedName name="___DAT3" localSheetId="64">#REF!</definedName>
    <definedName name="___DAT3" localSheetId="67">#REF!</definedName>
    <definedName name="___DAT3" localSheetId="65">#REF!</definedName>
    <definedName name="___DAT3" localSheetId="68">#REF!</definedName>
    <definedName name="___DAT3" localSheetId="71">#REF!</definedName>
    <definedName name="___DAT3" localSheetId="44">#REF!</definedName>
    <definedName name="___DAT3" localSheetId="45">#REF!</definedName>
    <definedName name="___DAT3" localSheetId="17">#REF!</definedName>
    <definedName name="___DAT3" localSheetId="27">#REF!</definedName>
    <definedName name="___DAT3" localSheetId="72">#REF!</definedName>
    <definedName name="___DAT3" localSheetId="28">#REF!</definedName>
    <definedName name="___DAT3" localSheetId="29">#REF!</definedName>
    <definedName name="___DAT3" localSheetId="66">#REF!</definedName>
    <definedName name="___DAT3">#REF!</definedName>
    <definedName name="___DAT4" localSheetId="70">#REF!</definedName>
    <definedName name="___DAT4" localSheetId="52">#REF!</definedName>
    <definedName name="___DAT4" localSheetId="58">#REF!</definedName>
    <definedName name="___DAT4" localSheetId="57">#REF!</definedName>
    <definedName name="___DAT4" localSheetId="64">#REF!</definedName>
    <definedName name="___DAT4" localSheetId="67">#REF!</definedName>
    <definedName name="___DAT4" localSheetId="65">#REF!</definedName>
    <definedName name="___DAT4" localSheetId="68">#REF!</definedName>
    <definedName name="___DAT4" localSheetId="71">#REF!</definedName>
    <definedName name="___DAT4" localSheetId="44">#REF!</definedName>
    <definedName name="___DAT4" localSheetId="45">#REF!</definedName>
    <definedName name="___DAT4" localSheetId="17">#REF!</definedName>
    <definedName name="___DAT4" localSheetId="27">#REF!</definedName>
    <definedName name="___DAT4" localSheetId="72">#REF!</definedName>
    <definedName name="___DAT4" localSheetId="28">#REF!</definedName>
    <definedName name="___DAT4" localSheetId="29">#REF!</definedName>
    <definedName name="___DAT4" localSheetId="66">#REF!</definedName>
    <definedName name="___DAT4">#REF!</definedName>
    <definedName name="___DAT5" localSheetId="70">#REF!</definedName>
    <definedName name="___DAT5" localSheetId="52">#REF!</definedName>
    <definedName name="___DAT5" localSheetId="58">#REF!</definedName>
    <definedName name="___DAT5" localSheetId="57">#REF!</definedName>
    <definedName name="___DAT5" localSheetId="64">#REF!</definedName>
    <definedName name="___DAT5" localSheetId="67">#REF!</definedName>
    <definedName name="___DAT5" localSheetId="65">#REF!</definedName>
    <definedName name="___DAT5" localSheetId="68">#REF!</definedName>
    <definedName name="___DAT5" localSheetId="71">#REF!</definedName>
    <definedName name="___DAT5" localSheetId="44">#REF!</definedName>
    <definedName name="___DAT5" localSheetId="45">#REF!</definedName>
    <definedName name="___DAT5" localSheetId="17">#REF!</definedName>
    <definedName name="___DAT5" localSheetId="27">#REF!</definedName>
    <definedName name="___DAT5" localSheetId="72">#REF!</definedName>
    <definedName name="___DAT5" localSheetId="28">#REF!</definedName>
    <definedName name="___DAT5" localSheetId="29">#REF!</definedName>
    <definedName name="___DAT5" localSheetId="66">#REF!</definedName>
    <definedName name="___DAT5">#REF!</definedName>
    <definedName name="___DAT6" localSheetId="70">#REF!</definedName>
    <definedName name="___DAT6" localSheetId="52">#REF!</definedName>
    <definedName name="___DAT6" localSheetId="58">#REF!</definedName>
    <definedName name="___DAT6" localSheetId="57">#REF!</definedName>
    <definedName name="___DAT6" localSheetId="64">#REF!</definedName>
    <definedName name="___DAT6" localSheetId="67">#REF!</definedName>
    <definedName name="___DAT6" localSheetId="65">#REF!</definedName>
    <definedName name="___DAT6" localSheetId="68">#REF!</definedName>
    <definedName name="___DAT6" localSheetId="71">#REF!</definedName>
    <definedName name="___DAT6" localSheetId="44">#REF!</definedName>
    <definedName name="___DAT6" localSheetId="45">#REF!</definedName>
    <definedName name="___DAT6" localSheetId="27">#REF!</definedName>
    <definedName name="___DAT6" localSheetId="28">#REF!</definedName>
    <definedName name="___DAT6" localSheetId="29">#REF!</definedName>
    <definedName name="___DAT6" localSheetId="66">#REF!</definedName>
    <definedName name="___DAT6">#REF!</definedName>
    <definedName name="___DAT7" localSheetId="70">#REF!</definedName>
    <definedName name="___DAT7" localSheetId="52">#REF!</definedName>
    <definedName name="___DAT7" localSheetId="58">#REF!</definedName>
    <definedName name="___DAT7" localSheetId="57">#REF!</definedName>
    <definedName name="___DAT7" localSheetId="64">#REF!</definedName>
    <definedName name="___DAT7" localSheetId="67">#REF!</definedName>
    <definedName name="___DAT7" localSheetId="65">#REF!</definedName>
    <definedName name="___DAT7" localSheetId="68">#REF!</definedName>
    <definedName name="___DAT7" localSheetId="71">#REF!</definedName>
    <definedName name="___DAT7" localSheetId="44">#REF!</definedName>
    <definedName name="___DAT7" localSheetId="45">#REF!</definedName>
    <definedName name="___DAT7" localSheetId="27">#REF!</definedName>
    <definedName name="___DAT7" localSheetId="28">#REF!</definedName>
    <definedName name="___DAT7" localSheetId="29">#REF!</definedName>
    <definedName name="___DAT7" localSheetId="66">#REF!</definedName>
    <definedName name="___DAT7">#REF!</definedName>
    <definedName name="___DAT8" localSheetId="70">#REF!</definedName>
    <definedName name="___DAT8" localSheetId="52">#REF!</definedName>
    <definedName name="___DAT8" localSheetId="58">#REF!</definedName>
    <definedName name="___DAT8" localSheetId="57">#REF!</definedName>
    <definedName name="___DAT8" localSheetId="64">#REF!</definedName>
    <definedName name="___DAT8" localSheetId="67">#REF!</definedName>
    <definedName name="___DAT8" localSheetId="65">#REF!</definedName>
    <definedName name="___DAT8" localSheetId="68">#REF!</definedName>
    <definedName name="___DAT8" localSheetId="71">#REF!</definedName>
    <definedName name="___DAT8" localSheetId="44">#REF!</definedName>
    <definedName name="___DAT8" localSheetId="45">#REF!</definedName>
    <definedName name="___DAT8" localSheetId="27">#REF!</definedName>
    <definedName name="___DAT8" localSheetId="28">#REF!</definedName>
    <definedName name="___DAT8" localSheetId="29">#REF!</definedName>
    <definedName name="___DAT8" localSheetId="66">#REF!</definedName>
    <definedName name="___DAT8">#REF!</definedName>
    <definedName name="___DAT9" localSheetId="70">#REF!</definedName>
    <definedName name="___DAT9" localSheetId="52">#REF!</definedName>
    <definedName name="___DAT9" localSheetId="58">#REF!</definedName>
    <definedName name="___DAT9" localSheetId="57">#REF!</definedName>
    <definedName name="___DAT9" localSheetId="64">#REF!</definedName>
    <definedName name="___DAT9" localSheetId="67">#REF!</definedName>
    <definedName name="___DAT9" localSheetId="65">#REF!</definedName>
    <definedName name="___DAT9" localSheetId="68">#REF!</definedName>
    <definedName name="___DAT9" localSheetId="71">#REF!</definedName>
    <definedName name="___DAT9" localSheetId="44">#REF!</definedName>
    <definedName name="___DAT9" localSheetId="45">#REF!</definedName>
    <definedName name="___DAT9" localSheetId="27">#REF!</definedName>
    <definedName name="___DAT9" localSheetId="28">#REF!</definedName>
    <definedName name="___DAT9" localSheetId="29">#REF!</definedName>
    <definedName name="___DAT9" localSheetId="66">#REF!</definedName>
    <definedName name="___DAT9">#REF!</definedName>
    <definedName name="___ELL45" localSheetId="70">#REF!</definedName>
    <definedName name="___ELL45" localSheetId="52">#REF!</definedName>
    <definedName name="___ELL45" localSheetId="58">#REF!</definedName>
    <definedName name="___ELL45" localSheetId="57">#REF!</definedName>
    <definedName name="___ELL45" localSheetId="64">#REF!</definedName>
    <definedName name="___ELL45" localSheetId="67">#REF!</definedName>
    <definedName name="___ELL45" localSheetId="65">#REF!</definedName>
    <definedName name="___ELL45" localSheetId="68">#REF!</definedName>
    <definedName name="___ELL45" localSheetId="71">#REF!</definedName>
    <definedName name="___ELL45" localSheetId="44">#REF!</definedName>
    <definedName name="___ELL45" localSheetId="45">#REF!</definedName>
    <definedName name="___ELL45" localSheetId="27">#REF!</definedName>
    <definedName name="___ELL45" localSheetId="28">#REF!</definedName>
    <definedName name="___ELL45" localSheetId="29">#REF!</definedName>
    <definedName name="___ELL45" localSheetId="66">#REF!</definedName>
    <definedName name="___ELL45">#REF!</definedName>
    <definedName name="___ELL90" localSheetId="70">#REF!</definedName>
    <definedName name="___ELL90" localSheetId="52">#REF!</definedName>
    <definedName name="___ELL90" localSheetId="58">#REF!</definedName>
    <definedName name="___ELL90" localSheetId="57">#REF!</definedName>
    <definedName name="___ELL90" localSheetId="64">#REF!</definedName>
    <definedName name="___ELL90" localSheetId="67">#REF!</definedName>
    <definedName name="___ELL90" localSheetId="65">#REF!</definedName>
    <definedName name="___ELL90" localSheetId="68">#REF!</definedName>
    <definedName name="___ELL90" localSheetId="71">#REF!</definedName>
    <definedName name="___ELL90" localSheetId="44">#REF!</definedName>
    <definedName name="___ELL90" localSheetId="45">#REF!</definedName>
    <definedName name="___ELL90" localSheetId="27">#REF!</definedName>
    <definedName name="___ELL90" localSheetId="28">#REF!</definedName>
    <definedName name="___ELL90" localSheetId="29">#REF!</definedName>
    <definedName name="___ELL90" localSheetId="66">#REF!</definedName>
    <definedName name="___ELL90">#REF!</definedName>
    <definedName name="___EMP4">#N/A</definedName>
    <definedName name="___f2" localSheetId="70">#REF!</definedName>
    <definedName name="___f2" localSheetId="52">#REF!</definedName>
    <definedName name="___f2" localSheetId="58">#REF!</definedName>
    <definedName name="___f2" localSheetId="56">#REF!</definedName>
    <definedName name="___f2" localSheetId="57">#REF!</definedName>
    <definedName name="___f2" localSheetId="64">#REF!</definedName>
    <definedName name="___f2" localSheetId="67">#REF!</definedName>
    <definedName name="___f2" localSheetId="65">#REF!</definedName>
    <definedName name="___f2" localSheetId="68">#REF!</definedName>
    <definedName name="___f2" localSheetId="71">#REF!</definedName>
    <definedName name="___f2" localSheetId="44">#REF!</definedName>
    <definedName name="___f2" localSheetId="45">#REF!</definedName>
    <definedName name="___f2" localSheetId="17">#REF!</definedName>
    <definedName name="___f2" localSheetId="27">#REF!</definedName>
    <definedName name="___f2" localSheetId="72">#REF!</definedName>
    <definedName name="___f2" localSheetId="28">#REF!</definedName>
    <definedName name="___f2" localSheetId="29">#REF!</definedName>
    <definedName name="___f2" localSheetId="66">#REF!</definedName>
    <definedName name="___f2">#REF!</definedName>
    <definedName name="___ffr1" localSheetId="70">#REF!</definedName>
    <definedName name="___ffr1" localSheetId="52">#REF!</definedName>
    <definedName name="___ffr1" localSheetId="58">#REF!</definedName>
    <definedName name="___ffr1" localSheetId="57">#REF!</definedName>
    <definedName name="___ffr1" localSheetId="64">#REF!</definedName>
    <definedName name="___ffr1" localSheetId="67">#REF!</definedName>
    <definedName name="___ffr1" localSheetId="65">#REF!</definedName>
    <definedName name="___ffr1" localSheetId="68">#REF!</definedName>
    <definedName name="___ffr1" localSheetId="71">#REF!</definedName>
    <definedName name="___ffr1" localSheetId="44">#REF!</definedName>
    <definedName name="___ffr1" localSheetId="45">#REF!</definedName>
    <definedName name="___ffr1" localSheetId="17">#REF!</definedName>
    <definedName name="___ffr1" localSheetId="27">#REF!</definedName>
    <definedName name="___ffr1" localSheetId="72">#REF!</definedName>
    <definedName name="___ffr1" localSheetId="28">#REF!</definedName>
    <definedName name="___ffr1" localSheetId="29">#REF!</definedName>
    <definedName name="___ffr1" localSheetId="66">#REF!</definedName>
    <definedName name="___ffr1">#REF!</definedName>
    <definedName name="___ffr2">[13]자바라1!$O$10</definedName>
    <definedName name="___FFr98">'[13]#REF'!$F$29</definedName>
    <definedName name="___FFr99">'[13]#REF'!$G$29</definedName>
    <definedName name="___FRF2" localSheetId="70">#REF!</definedName>
    <definedName name="___FRF2" localSheetId="52">#REF!</definedName>
    <definedName name="___FRF2" localSheetId="58">#REF!</definedName>
    <definedName name="___FRF2" localSheetId="56">#REF!</definedName>
    <definedName name="___FRF2" localSheetId="57">#REF!</definedName>
    <definedName name="___FRF2" localSheetId="64">#REF!</definedName>
    <definedName name="___FRF2" localSheetId="67">#REF!</definedName>
    <definedName name="___FRF2" localSheetId="65">#REF!</definedName>
    <definedName name="___FRF2" localSheetId="68">#REF!</definedName>
    <definedName name="___FRF2" localSheetId="71">#REF!</definedName>
    <definedName name="___FRF2" localSheetId="44">#REF!</definedName>
    <definedName name="___FRF2" localSheetId="45">#REF!</definedName>
    <definedName name="___FRF2" localSheetId="17">#REF!</definedName>
    <definedName name="___FRF2" localSheetId="27">#REF!</definedName>
    <definedName name="___FRF2" localSheetId="72">#REF!</definedName>
    <definedName name="___FRF2" localSheetId="28">#REF!</definedName>
    <definedName name="___FRF2" localSheetId="29">#REF!</definedName>
    <definedName name="___FRF2" localSheetId="66">#REF!</definedName>
    <definedName name="___FRF2">#REF!</definedName>
    <definedName name="___G87634" localSheetId="70">#REF!</definedName>
    <definedName name="___G87634" localSheetId="52">#REF!</definedName>
    <definedName name="___G87634" localSheetId="58">#REF!</definedName>
    <definedName name="___G87634" localSheetId="57">#REF!</definedName>
    <definedName name="___G87634" localSheetId="64">#REF!</definedName>
    <definedName name="___G87634" localSheetId="67">#REF!</definedName>
    <definedName name="___G87634" localSheetId="65">#REF!</definedName>
    <definedName name="___G87634" localSheetId="68">#REF!</definedName>
    <definedName name="___G87634" localSheetId="71">#REF!</definedName>
    <definedName name="___G87634" localSheetId="44">#REF!</definedName>
    <definedName name="___G87634" localSheetId="45">#REF!</definedName>
    <definedName name="___G87634" localSheetId="17">#REF!</definedName>
    <definedName name="___G87634" localSheetId="27">#REF!</definedName>
    <definedName name="___G87634" localSheetId="72">#REF!</definedName>
    <definedName name="___G87634" localSheetId="28">#REF!</definedName>
    <definedName name="___G87634" localSheetId="29">#REF!</definedName>
    <definedName name="___G87634" localSheetId="66">#REF!</definedName>
    <definedName name="___G87634">#REF!</definedName>
    <definedName name="___K5" localSheetId="70">#REF!</definedName>
    <definedName name="___K5" localSheetId="52">#REF!</definedName>
    <definedName name="___K5" localSheetId="58">#REF!</definedName>
    <definedName name="___K5" localSheetId="57">#REF!</definedName>
    <definedName name="___K5" localSheetId="64">#REF!</definedName>
    <definedName name="___K5" localSheetId="67">#REF!</definedName>
    <definedName name="___K5" localSheetId="65">#REF!</definedName>
    <definedName name="___K5" localSheetId="68">#REF!</definedName>
    <definedName name="___K5" localSheetId="71">#REF!</definedName>
    <definedName name="___K5" localSheetId="44">#REF!</definedName>
    <definedName name="___K5" localSheetId="45">#REF!</definedName>
    <definedName name="___K5" localSheetId="17">#REF!</definedName>
    <definedName name="___K5" localSheetId="27">#REF!</definedName>
    <definedName name="___K5" localSheetId="72">#REF!</definedName>
    <definedName name="___K5" localSheetId="28">#REF!</definedName>
    <definedName name="___K5" localSheetId="29">#REF!</definedName>
    <definedName name="___K5" localSheetId="66">#REF!</definedName>
    <definedName name="___K5">#REF!</definedName>
    <definedName name="___K6" localSheetId="70">#REF!</definedName>
    <definedName name="___K6" localSheetId="52">#REF!</definedName>
    <definedName name="___K6" localSheetId="58">#REF!</definedName>
    <definedName name="___K6" localSheetId="57">#REF!</definedName>
    <definedName name="___K6" localSheetId="64">#REF!</definedName>
    <definedName name="___K6" localSheetId="67">#REF!</definedName>
    <definedName name="___K6" localSheetId="65">#REF!</definedName>
    <definedName name="___K6" localSheetId="68">#REF!</definedName>
    <definedName name="___K6" localSheetId="71">#REF!</definedName>
    <definedName name="___K6" localSheetId="44">#REF!</definedName>
    <definedName name="___K6" localSheetId="45">#REF!</definedName>
    <definedName name="___K6" localSheetId="27">#REF!</definedName>
    <definedName name="___K6" localSheetId="28">#REF!</definedName>
    <definedName name="___K6" localSheetId="29">#REF!</definedName>
    <definedName name="___K6" localSheetId="66">#REF!</definedName>
    <definedName name="___K6">#REF!</definedName>
    <definedName name="___KD10">[14]현장지지물물량!$A$8:$N$196</definedName>
    <definedName name="___KD11">[14]현장지지물물량!$A$1:$IV$7</definedName>
    <definedName name="___KD12">[14]현장지지물물량!$A$8:$N$196</definedName>
    <definedName name="___KD13">[14]현장지지물물량!$A$1:$IV$7</definedName>
    <definedName name="___KD14">[15]현장지지물물량!$A$9:$N$23</definedName>
    <definedName name="___KD15">[16]현장지지물물량!$A$9:$N$23</definedName>
    <definedName name="___KD16">[16]현장지지물물량!$A$1:$IV$8</definedName>
    <definedName name="___KD18">[16]현장지지물물량!$A$9:$N$23</definedName>
    <definedName name="___KD2" localSheetId="70" hidden="1">#REF!</definedName>
    <definedName name="___KD2" localSheetId="52" hidden="1">#REF!</definedName>
    <definedName name="___KD2" localSheetId="58" hidden="1">#REF!</definedName>
    <definedName name="___KD2" localSheetId="56" hidden="1">#REF!</definedName>
    <definedName name="___KD2" localSheetId="57" hidden="1">#REF!</definedName>
    <definedName name="___KD2" localSheetId="64" hidden="1">#REF!</definedName>
    <definedName name="___KD2" localSheetId="67" hidden="1">#REF!</definedName>
    <definedName name="___KD2" localSheetId="65" hidden="1">#REF!</definedName>
    <definedName name="___KD2" localSheetId="68" hidden="1">#REF!</definedName>
    <definedName name="___KD2" localSheetId="71" hidden="1">#REF!</definedName>
    <definedName name="___KD2" localSheetId="44" hidden="1">#REF!</definedName>
    <definedName name="___KD2" localSheetId="45" hidden="1">#REF!</definedName>
    <definedName name="___KD2" localSheetId="17" hidden="1">#REF!</definedName>
    <definedName name="___KD2" localSheetId="27" hidden="1">#REF!</definedName>
    <definedName name="___KD2" localSheetId="72" hidden="1">#REF!</definedName>
    <definedName name="___KD2" localSheetId="28" hidden="1">#REF!</definedName>
    <definedName name="___KD2" localSheetId="29" hidden="1">#REF!</definedName>
    <definedName name="___KD2" localSheetId="66" hidden="1">#REF!</definedName>
    <definedName name="___KD2" hidden="1">#REF!</definedName>
    <definedName name="___KD3" localSheetId="70" hidden="1">#REF!</definedName>
    <definedName name="___KD3" localSheetId="52" hidden="1">#REF!</definedName>
    <definedName name="___KD3" localSheetId="58" hidden="1">#REF!</definedName>
    <definedName name="___KD3" localSheetId="57" hidden="1">#REF!</definedName>
    <definedName name="___KD3" localSheetId="64" hidden="1">#REF!</definedName>
    <definedName name="___KD3" localSheetId="67" hidden="1">#REF!</definedName>
    <definedName name="___KD3" localSheetId="65" hidden="1">#REF!</definedName>
    <definedName name="___KD3" localSheetId="68" hidden="1">#REF!</definedName>
    <definedName name="___KD3" localSheetId="71" hidden="1">#REF!</definedName>
    <definedName name="___KD3" localSheetId="44" hidden="1">#REF!</definedName>
    <definedName name="___KD3" localSheetId="45" hidden="1">#REF!</definedName>
    <definedName name="___KD3" localSheetId="17" hidden="1">#REF!</definedName>
    <definedName name="___KD3" localSheetId="27" hidden="1">#REF!</definedName>
    <definedName name="___KD3" localSheetId="72" hidden="1">#REF!</definedName>
    <definedName name="___KD3" localSheetId="28" hidden="1">#REF!</definedName>
    <definedName name="___KD3" localSheetId="29" hidden="1">#REF!</definedName>
    <definedName name="___KD3" localSheetId="66" hidden="1">#REF!</definedName>
    <definedName name="___KD3" hidden="1">#REF!</definedName>
    <definedName name="___KD4">[14]현장지지물물량!$A$8:$N$196</definedName>
    <definedName name="___KD5">[16]현장지지물물량!$A$1:$IV$8</definedName>
    <definedName name="___KD6">[16]현장지지물물량!$A$1:$IV$8</definedName>
    <definedName name="___KD7">[16]현장지지물물량!$A$9:$N$23</definedName>
    <definedName name="___KD8">[17]설산1.나!$A$8:$J$53</definedName>
    <definedName name="___KD9">[17]본사S!$B$10:$P$103</definedName>
    <definedName name="___KK1" localSheetId="70" hidden="1">#REF!</definedName>
    <definedName name="___KK1" localSheetId="52" hidden="1">#REF!</definedName>
    <definedName name="___KK1" localSheetId="58" hidden="1">#REF!</definedName>
    <definedName name="___KK1" localSheetId="56" hidden="1">#REF!</definedName>
    <definedName name="___KK1" localSheetId="57" hidden="1">#REF!</definedName>
    <definedName name="___KK1" localSheetId="64" hidden="1">#REF!</definedName>
    <definedName name="___KK1" localSheetId="67" hidden="1">#REF!</definedName>
    <definedName name="___KK1" localSheetId="65" hidden="1">#REF!</definedName>
    <definedName name="___KK1" localSheetId="68" hidden="1">#REF!</definedName>
    <definedName name="___KK1" localSheetId="71" hidden="1">#REF!</definedName>
    <definedName name="___KK1" localSheetId="44" hidden="1">#REF!</definedName>
    <definedName name="___KK1" localSheetId="45" hidden="1">#REF!</definedName>
    <definedName name="___KK1" localSheetId="17" hidden="1">#REF!</definedName>
    <definedName name="___KK1" localSheetId="27" hidden="1">#REF!</definedName>
    <definedName name="___KK1" localSheetId="72" hidden="1">#REF!</definedName>
    <definedName name="___KK1" localSheetId="28" hidden="1">#REF!</definedName>
    <definedName name="___KK1" localSheetId="29" hidden="1">#REF!</definedName>
    <definedName name="___KK1" localSheetId="66" hidden="1">#REF!</definedName>
    <definedName name="___KK1" hidden="1">#REF!</definedName>
    <definedName name="___KK2" localSheetId="70" hidden="1">#REF!</definedName>
    <definedName name="___KK2" localSheetId="52" hidden="1">#REF!</definedName>
    <definedName name="___KK2" localSheetId="58" hidden="1">#REF!</definedName>
    <definedName name="___KK2" localSheetId="57" hidden="1">#REF!</definedName>
    <definedName name="___KK2" localSheetId="64" hidden="1">#REF!</definedName>
    <definedName name="___KK2" localSheetId="67" hidden="1">#REF!</definedName>
    <definedName name="___KK2" localSheetId="65" hidden="1">#REF!</definedName>
    <definedName name="___KK2" localSheetId="68" hidden="1">#REF!</definedName>
    <definedName name="___KK2" localSheetId="71" hidden="1">#REF!</definedName>
    <definedName name="___KK2" localSheetId="44" hidden="1">#REF!</definedName>
    <definedName name="___KK2" localSheetId="45" hidden="1">#REF!</definedName>
    <definedName name="___KK2" localSheetId="17" hidden="1">#REF!</definedName>
    <definedName name="___KK2" localSheetId="27" hidden="1">#REF!</definedName>
    <definedName name="___KK2" localSheetId="72" hidden="1">#REF!</definedName>
    <definedName name="___KK2" localSheetId="28" hidden="1">#REF!</definedName>
    <definedName name="___KK2" localSheetId="29" hidden="1">#REF!</definedName>
    <definedName name="___KK2" localSheetId="66" hidden="1">#REF!</definedName>
    <definedName name="___KK2" hidden="1">#REF!</definedName>
    <definedName name="___KK3" localSheetId="70" hidden="1">#REF!</definedName>
    <definedName name="___KK3" localSheetId="52" hidden="1">#REF!</definedName>
    <definedName name="___KK3" localSheetId="58" hidden="1">#REF!</definedName>
    <definedName name="___KK3" localSheetId="57" hidden="1">#REF!</definedName>
    <definedName name="___KK3" localSheetId="64" hidden="1">#REF!</definedName>
    <definedName name="___KK3" localSheetId="67" hidden="1">#REF!</definedName>
    <definedName name="___KK3" localSheetId="65" hidden="1">#REF!</definedName>
    <definedName name="___KK3" localSheetId="68" hidden="1">#REF!</definedName>
    <definedName name="___KK3" localSheetId="71" hidden="1">#REF!</definedName>
    <definedName name="___KK3" localSheetId="44" hidden="1">#REF!</definedName>
    <definedName name="___KK3" localSheetId="45" hidden="1">#REF!</definedName>
    <definedName name="___KK3" localSheetId="17" hidden="1">#REF!</definedName>
    <definedName name="___KK3" localSheetId="27" hidden="1">#REF!</definedName>
    <definedName name="___KK3" localSheetId="72" hidden="1">#REF!</definedName>
    <definedName name="___KK3" localSheetId="28" hidden="1">#REF!</definedName>
    <definedName name="___KK3" localSheetId="29" hidden="1">#REF!</definedName>
    <definedName name="___KK3" localSheetId="66" hidden="1">#REF!</definedName>
    <definedName name="___KK3" hidden="1">#REF!</definedName>
    <definedName name="___LL1" localSheetId="70">#REF!</definedName>
    <definedName name="___LL1" localSheetId="52">#REF!</definedName>
    <definedName name="___LL1" localSheetId="58">#REF!</definedName>
    <definedName name="___LL1" localSheetId="57">#REF!</definedName>
    <definedName name="___LL1" localSheetId="64">#REF!</definedName>
    <definedName name="___LL1" localSheetId="67">#REF!</definedName>
    <definedName name="___LL1" localSheetId="65">#REF!</definedName>
    <definedName name="___LL1" localSheetId="68">#REF!</definedName>
    <definedName name="___LL1" localSheetId="71">#REF!</definedName>
    <definedName name="___LL1" localSheetId="44">#REF!</definedName>
    <definedName name="___LL1" localSheetId="45">#REF!</definedName>
    <definedName name="___LL1" localSheetId="27">#REF!</definedName>
    <definedName name="___LL1" localSheetId="28">#REF!</definedName>
    <definedName name="___LL1" localSheetId="29">#REF!</definedName>
    <definedName name="___LL1" localSheetId="66">#REF!</definedName>
    <definedName name="___LL1">#REF!</definedName>
    <definedName name="___LL2" localSheetId="70">#REF!</definedName>
    <definedName name="___LL2" localSheetId="52">#REF!</definedName>
    <definedName name="___LL2" localSheetId="58">#REF!</definedName>
    <definedName name="___LL2" localSheetId="57">#REF!</definedName>
    <definedName name="___LL2" localSheetId="64">#REF!</definedName>
    <definedName name="___LL2" localSheetId="67">#REF!</definedName>
    <definedName name="___LL2" localSheetId="65">#REF!</definedName>
    <definedName name="___LL2" localSheetId="68">#REF!</definedName>
    <definedName name="___LL2" localSheetId="71">#REF!</definedName>
    <definedName name="___LL2" localSheetId="44">#REF!</definedName>
    <definedName name="___LL2" localSheetId="45">#REF!</definedName>
    <definedName name="___LL2" localSheetId="27">#REF!</definedName>
    <definedName name="___LL2" localSheetId="28">#REF!</definedName>
    <definedName name="___LL2" localSheetId="29">#REF!</definedName>
    <definedName name="___LL2" localSheetId="66">#REF!</definedName>
    <definedName name="___LL2">#REF!</definedName>
    <definedName name="___LL3" localSheetId="70">#REF!</definedName>
    <definedName name="___LL3" localSheetId="52">#REF!</definedName>
    <definedName name="___LL3" localSheetId="58">#REF!</definedName>
    <definedName name="___LL3" localSheetId="57">#REF!</definedName>
    <definedName name="___LL3" localSheetId="64">#REF!</definedName>
    <definedName name="___LL3" localSheetId="67">#REF!</definedName>
    <definedName name="___LL3" localSheetId="65">#REF!</definedName>
    <definedName name="___LL3" localSheetId="68">#REF!</definedName>
    <definedName name="___LL3" localSheetId="71">#REF!</definedName>
    <definedName name="___LL3" localSheetId="44">#REF!</definedName>
    <definedName name="___LL3" localSheetId="45">#REF!</definedName>
    <definedName name="___LL3" localSheetId="27">#REF!</definedName>
    <definedName name="___LL3" localSheetId="28">#REF!</definedName>
    <definedName name="___LL3" localSheetId="29">#REF!</definedName>
    <definedName name="___LL3" localSheetId="66">#REF!</definedName>
    <definedName name="___LL3">#REF!</definedName>
    <definedName name="___LL4" localSheetId="70">#REF!</definedName>
    <definedName name="___LL4" localSheetId="52">#REF!</definedName>
    <definedName name="___LL4" localSheetId="58">#REF!</definedName>
    <definedName name="___LL4" localSheetId="57">#REF!</definedName>
    <definedName name="___LL4" localSheetId="64">#REF!</definedName>
    <definedName name="___LL4" localSheetId="67">#REF!</definedName>
    <definedName name="___LL4" localSheetId="65">#REF!</definedName>
    <definedName name="___LL4" localSheetId="68">#REF!</definedName>
    <definedName name="___LL4" localSheetId="71">#REF!</definedName>
    <definedName name="___LL4" localSheetId="44">#REF!</definedName>
    <definedName name="___LL4" localSheetId="45">#REF!</definedName>
    <definedName name="___LL4" localSheetId="27">#REF!</definedName>
    <definedName name="___LL4" localSheetId="28">#REF!</definedName>
    <definedName name="___LL4" localSheetId="29">#REF!</definedName>
    <definedName name="___LL4" localSheetId="66">#REF!</definedName>
    <definedName name="___LL4">#REF!</definedName>
    <definedName name="___LL5" localSheetId="70">#REF!</definedName>
    <definedName name="___LL5" localSheetId="52">#REF!</definedName>
    <definedName name="___LL5" localSheetId="58">#REF!</definedName>
    <definedName name="___LL5" localSheetId="57">#REF!</definedName>
    <definedName name="___LL5" localSheetId="64">#REF!</definedName>
    <definedName name="___LL5" localSheetId="67">#REF!</definedName>
    <definedName name="___LL5" localSheetId="65">#REF!</definedName>
    <definedName name="___LL5" localSheetId="68">#REF!</definedName>
    <definedName name="___LL5" localSheetId="71">#REF!</definedName>
    <definedName name="___LL5" localSheetId="44">#REF!</definedName>
    <definedName name="___LL5" localSheetId="45">#REF!</definedName>
    <definedName name="___LL5" localSheetId="27">#REF!</definedName>
    <definedName name="___LL5" localSheetId="28">#REF!</definedName>
    <definedName name="___LL5" localSheetId="29">#REF!</definedName>
    <definedName name="___LL5" localSheetId="66">#REF!</definedName>
    <definedName name="___LL5">#REF!</definedName>
    <definedName name="___MPR1">#N/A</definedName>
    <definedName name="___MPR2">#N/A</definedName>
    <definedName name="___MPR3">#N/A</definedName>
    <definedName name="___nh1" localSheetId="70">'[20]Fixed Charge'!#REF!</definedName>
    <definedName name="___nh1" localSheetId="52">'[20]Fixed Charge'!#REF!</definedName>
    <definedName name="___nh1" localSheetId="58">'[20]Fixed Charge'!#REF!</definedName>
    <definedName name="___nh1" localSheetId="57">'[20]Fixed Charge'!#REF!</definedName>
    <definedName name="___nh1" localSheetId="64">'[20]Fixed Charge'!#REF!</definedName>
    <definedName name="___nh1" localSheetId="67">'[20]Fixed Charge'!#REF!</definedName>
    <definedName name="___nh1" localSheetId="65">'[20]Fixed Charge'!#REF!</definedName>
    <definedName name="___nh1" localSheetId="68">'[20]Fixed Charge'!#REF!</definedName>
    <definedName name="___nh1" localSheetId="71">'[20]Fixed Charge'!#REF!</definedName>
    <definedName name="___nh1" localSheetId="44">'[20]Fixed Charge'!#REF!</definedName>
    <definedName name="___nh1" localSheetId="45">'[20]Fixed Charge'!#REF!</definedName>
    <definedName name="___nh1" localSheetId="27">'[20]Fixed Charge'!#REF!</definedName>
    <definedName name="___nh1" localSheetId="28">'[20]Fixed Charge'!#REF!</definedName>
    <definedName name="___nh1" localSheetId="29">'[20]Fixed Charge'!#REF!</definedName>
    <definedName name="___nh1" localSheetId="66">'[20]Fixed Charge'!#REF!</definedName>
    <definedName name="___nh1">'[20]Fixed Charge'!#REF!</definedName>
    <definedName name="___nis3" localSheetId="70" hidden="1">#REF!</definedName>
    <definedName name="___nis3" localSheetId="52" hidden="1">#REF!</definedName>
    <definedName name="___nis3" localSheetId="58" hidden="1">#REF!</definedName>
    <definedName name="___nis3" localSheetId="56" hidden="1">#REF!</definedName>
    <definedName name="___nis3" localSheetId="57" hidden="1">#REF!</definedName>
    <definedName name="___nis3" localSheetId="64" hidden="1">#REF!</definedName>
    <definedName name="___nis3" localSheetId="67" hidden="1">#REF!</definedName>
    <definedName name="___nis3" localSheetId="65" hidden="1">#REF!</definedName>
    <definedName name="___nis3" localSheetId="68" hidden="1">#REF!</definedName>
    <definedName name="___nis3" localSheetId="71" hidden="1">#REF!</definedName>
    <definedName name="___nis3" localSheetId="44" hidden="1">#REF!</definedName>
    <definedName name="___nis3" localSheetId="45" hidden="1">#REF!</definedName>
    <definedName name="___nis3" localSheetId="17" hidden="1">#REF!</definedName>
    <definedName name="___nis3" localSheetId="27" hidden="1">#REF!</definedName>
    <definedName name="___nis3" localSheetId="72" hidden="1">#REF!</definedName>
    <definedName name="___nis3" localSheetId="28" hidden="1">#REF!</definedName>
    <definedName name="___nis3" localSheetId="29" hidden="1">#REF!</definedName>
    <definedName name="___nis3" localSheetId="66" hidden="1">#REF!</definedName>
    <definedName name="___nis3" hidden="1">#REF!</definedName>
    <definedName name="___p1" localSheetId="70">#REF!</definedName>
    <definedName name="___p1" localSheetId="52">#REF!</definedName>
    <definedName name="___p1" localSheetId="58">#REF!</definedName>
    <definedName name="___p1" localSheetId="57">#REF!</definedName>
    <definedName name="___p1" localSheetId="64">#REF!</definedName>
    <definedName name="___p1" localSheetId="67">#REF!</definedName>
    <definedName name="___p1" localSheetId="65">#REF!</definedName>
    <definedName name="___p1" localSheetId="68">#REF!</definedName>
    <definedName name="___p1" localSheetId="71">#REF!</definedName>
    <definedName name="___p1" localSheetId="44">#REF!</definedName>
    <definedName name="___p1" localSheetId="45">#REF!</definedName>
    <definedName name="___p1" localSheetId="17">#REF!</definedName>
    <definedName name="___p1" localSheetId="27">#REF!</definedName>
    <definedName name="___p1" localSheetId="72">#REF!</definedName>
    <definedName name="___p1" localSheetId="28">#REF!</definedName>
    <definedName name="___p1" localSheetId="29">#REF!</definedName>
    <definedName name="___p1" localSheetId="66">#REF!</definedName>
    <definedName name="___p1">#REF!</definedName>
    <definedName name="___p2" localSheetId="70">#REF!</definedName>
    <definedName name="___p2" localSheetId="52">#REF!</definedName>
    <definedName name="___p2" localSheetId="58">#REF!</definedName>
    <definedName name="___p2" localSheetId="57">#REF!</definedName>
    <definedName name="___p2" localSheetId="64">#REF!</definedName>
    <definedName name="___p2" localSheetId="67">#REF!</definedName>
    <definedName name="___p2" localSheetId="65">#REF!</definedName>
    <definedName name="___p2" localSheetId="68">#REF!</definedName>
    <definedName name="___p2" localSheetId="71">#REF!</definedName>
    <definedName name="___p2" localSheetId="44">#REF!</definedName>
    <definedName name="___p2" localSheetId="45">#REF!</definedName>
    <definedName name="___p2" localSheetId="17">#REF!</definedName>
    <definedName name="___p2" localSheetId="27">#REF!</definedName>
    <definedName name="___p2" localSheetId="72">#REF!</definedName>
    <definedName name="___p2" localSheetId="28">#REF!</definedName>
    <definedName name="___p2" localSheetId="29">#REF!</definedName>
    <definedName name="___p2" localSheetId="66">#REF!</definedName>
    <definedName name="___p2">#REF!</definedName>
    <definedName name="___P21" localSheetId="70">#REF!</definedName>
    <definedName name="___P21" localSheetId="52">#REF!</definedName>
    <definedName name="___P21" localSheetId="58">#REF!</definedName>
    <definedName name="___P21" localSheetId="57">#REF!</definedName>
    <definedName name="___P21" localSheetId="64">#REF!</definedName>
    <definedName name="___P21" localSheetId="67">#REF!</definedName>
    <definedName name="___P21" localSheetId="65">#REF!</definedName>
    <definedName name="___P21" localSheetId="68">#REF!</definedName>
    <definedName name="___P21" localSheetId="71">#REF!</definedName>
    <definedName name="___P21" localSheetId="44">#REF!</definedName>
    <definedName name="___P21" localSheetId="45">#REF!</definedName>
    <definedName name="___P21" localSheetId="27">#REF!</definedName>
    <definedName name="___P21" localSheetId="28">#REF!</definedName>
    <definedName name="___P21" localSheetId="29">#REF!</definedName>
    <definedName name="___P21" localSheetId="66">#REF!</definedName>
    <definedName name="___P21">#REF!</definedName>
    <definedName name="___P22" localSheetId="70">#REF!</definedName>
    <definedName name="___P22" localSheetId="52">#REF!</definedName>
    <definedName name="___P22" localSheetId="58">#REF!</definedName>
    <definedName name="___P22" localSheetId="57">#REF!</definedName>
    <definedName name="___P22" localSheetId="64">#REF!</definedName>
    <definedName name="___P22" localSheetId="67">#REF!</definedName>
    <definedName name="___P22" localSheetId="65">#REF!</definedName>
    <definedName name="___P22" localSheetId="68">#REF!</definedName>
    <definedName name="___P22" localSheetId="71">#REF!</definedName>
    <definedName name="___P22" localSheetId="44">#REF!</definedName>
    <definedName name="___P22" localSheetId="45">#REF!</definedName>
    <definedName name="___P22" localSheetId="27">#REF!</definedName>
    <definedName name="___P22" localSheetId="28">#REF!</definedName>
    <definedName name="___P22" localSheetId="29">#REF!</definedName>
    <definedName name="___P22" localSheetId="66">#REF!</definedName>
    <definedName name="___P22">#REF!</definedName>
    <definedName name="___p3" localSheetId="70">#REF!</definedName>
    <definedName name="___p3" localSheetId="52">#REF!</definedName>
    <definedName name="___p3" localSheetId="58">#REF!</definedName>
    <definedName name="___p3" localSheetId="57">#REF!</definedName>
    <definedName name="___p3" localSheetId="64">#REF!</definedName>
    <definedName name="___p3" localSheetId="67">#REF!</definedName>
    <definedName name="___p3" localSheetId="65">#REF!</definedName>
    <definedName name="___p3" localSheetId="68">#REF!</definedName>
    <definedName name="___p3" localSheetId="71">#REF!</definedName>
    <definedName name="___p3" localSheetId="44">#REF!</definedName>
    <definedName name="___p3" localSheetId="45">#REF!</definedName>
    <definedName name="___p3" localSheetId="27">#REF!</definedName>
    <definedName name="___p3" localSheetId="28">#REF!</definedName>
    <definedName name="___p3" localSheetId="29">#REF!</definedName>
    <definedName name="___p3" localSheetId="66">#REF!</definedName>
    <definedName name="___p3">#REF!</definedName>
    <definedName name="___P31" localSheetId="70">#REF!</definedName>
    <definedName name="___P31" localSheetId="52">#REF!</definedName>
    <definedName name="___P31" localSheetId="58">#REF!</definedName>
    <definedName name="___P31" localSheetId="57">#REF!</definedName>
    <definedName name="___P31" localSheetId="64">#REF!</definedName>
    <definedName name="___P31" localSheetId="67">#REF!</definedName>
    <definedName name="___P31" localSheetId="65">#REF!</definedName>
    <definedName name="___P31" localSheetId="68">#REF!</definedName>
    <definedName name="___P31" localSheetId="71">#REF!</definedName>
    <definedName name="___P31" localSheetId="44">#REF!</definedName>
    <definedName name="___P31" localSheetId="45">#REF!</definedName>
    <definedName name="___P31" localSheetId="27">#REF!</definedName>
    <definedName name="___P31" localSheetId="28">#REF!</definedName>
    <definedName name="___P31" localSheetId="29">#REF!</definedName>
    <definedName name="___P31" localSheetId="66">#REF!</definedName>
    <definedName name="___P31">#REF!</definedName>
    <definedName name="___P32" localSheetId="70">#REF!</definedName>
    <definedName name="___P32" localSheetId="52">#REF!</definedName>
    <definedName name="___P32" localSheetId="58">#REF!</definedName>
    <definedName name="___P32" localSheetId="57">#REF!</definedName>
    <definedName name="___P32" localSheetId="64">#REF!</definedName>
    <definedName name="___P32" localSheetId="67">#REF!</definedName>
    <definedName name="___P32" localSheetId="65">#REF!</definedName>
    <definedName name="___P32" localSheetId="68">#REF!</definedName>
    <definedName name="___P32" localSheetId="71">#REF!</definedName>
    <definedName name="___P32" localSheetId="44">#REF!</definedName>
    <definedName name="___P32" localSheetId="45">#REF!</definedName>
    <definedName name="___P32" localSheetId="27">#REF!</definedName>
    <definedName name="___P32" localSheetId="28">#REF!</definedName>
    <definedName name="___P32" localSheetId="29">#REF!</definedName>
    <definedName name="___P32" localSheetId="66">#REF!</definedName>
    <definedName name="___P32">#REF!</definedName>
    <definedName name="___P33" localSheetId="70">#REF!</definedName>
    <definedName name="___P33" localSheetId="52">#REF!</definedName>
    <definedName name="___P33" localSheetId="58">#REF!</definedName>
    <definedName name="___P33" localSheetId="57">#REF!</definedName>
    <definedName name="___P33" localSheetId="64">#REF!</definedName>
    <definedName name="___P33" localSheetId="67">#REF!</definedName>
    <definedName name="___P33" localSheetId="65">#REF!</definedName>
    <definedName name="___P33" localSheetId="68">#REF!</definedName>
    <definedName name="___P33" localSheetId="71">#REF!</definedName>
    <definedName name="___P33" localSheetId="44">#REF!</definedName>
    <definedName name="___P33" localSheetId="45">#REF!</definedName>
    <definedName name="___P33" localSheetId="27">#REF!</definedName>
    <definedName name="___P33" localSheetId="28">#REF!</definedName>
    <definedName name="___P33" localSheetId="29">#REF!</definedName>
    <definedName name="___P33" localSheetId="66">#REF!</definedName>
    <definedName name="___P33">#REF!</definedName>
    <definedName name="___P34" localSheetId="70">#REF!</definedName>
    <definedName name="___P34" localSheetId="52">#REF!</definedName>
    <definedName name="___P34" localSheetId="58">#REF!</definedName>
    <definedName name="___P34" localSheetId="57">#REF!</definedName>
    <definedName name="___P34" localSheetId="64">#REF!</definedName>
    <definedName name="___P34" localSheetId="67">#REF!</definedName>
    <definedName name="___P34" localSheetId="65">#REF!</definedName>
    <definedName name="___P34" localSheetId="68">#REF!</definedName>
    <definedName name="___P34" localSheetId="71">#REF!</definedName>
    <definedName name="___P34" localSheetId="44">#REF!</definedName>
    <definedName name="___P34" localSheetId="45">#REF!</definedName>
    <definedName name="___P34" localSheetId="27">#REF!</definedName>
    <definedName name="___P34" localSheetId="28">#REF!</definedName>
    <definedName name="___P34" localSheetId="29">#REF!</definedName>
    <definedName name="___P34" localSheetId="66">#REF!</definedName>
    <definedName name="___P34">#REF!</definedName>
    <definedName name="___PC1" localSheetId="70">#REF!</definedName>
    <definedName name="___PC1" localSheetId="52">#REF!</definedName>
    <definedName name="___PC1" localSheetId="58">#REF!</definedName>
    <definedName name="___PC1" localSheetId="57">#REF!</definedName>
    <definedName name="___PC1" localSheetId="64">#REF!</definedName>
    <definedName name="___PC1" localSheetId="67">#REF!</definedName>
    <definedName name="___PC1" localSheetId="65">#REF!</definedName>
    <definedName name="___PC1" localSheetId="68">#REF!</definedName>
    <definedName name="___PC1" localSheetId="71">#REF!</definedName>
    <definedName name="___PC1" localSheetId="44">#REF!</definedName>
    <definedName name="___PC1" localSheetId="45">#REF!</definedName>
    <definedName name="___PC1" localSheetId="27">#REF!</definedName>
    <definedName name="___PC1" localSheetId="28">#REF!</definedName>
    <definedName name="___PC1" localSheetId="29">#REF!</definedName>
    <definedName name="___PC1" localSheetId="66">#REF!</definedName>
    <definedName name="___PC1">#REF!</definedName>
    <definedName name="___PG1">'[5]Financial Estimates'!$A$7:$B$108</definedName>
    <definedName name="___PG2" localSheetId="70">#REF!</definedName>
    <definedName name="___PG2" localSheetId="52">#REF!</definedName>
    <definedName name="___PG2" localSheetId="58">#REF!</definedName>
    <definedName name="___PG2" localSheetId="56">#REF!</definedName>
    <definedName name="___PG2" localSheetId="57">#REF!</definedName>
    <definedName name="___PG2" localSheetId="64">#REF!</definedName>
    <definedName name="___PG2" localSheetId="67">#REF!</definedName>
    <definedName name="___PG2" localSheetId="65">#REF!</definedName>
    <definedName name="___PG2" localSheetId="68">#REF!</definedName>
    <definedName name="___PG2" localSheetId="71">#REF!</definedName>
    <definedName name="___PG2" localSheetId="44">#REF!</definedName>
    <definedName name="___PG2" localSheetId="45">#REF!</definedName>
    <definedName name="___PG2" localSheetId="17">#REF!</definedName>
    <definedName name="___PG2" localSheetId="27">#REF!</definedName>
    <definedName name="___PG2" localSheetId="72">#REF!</definedName>
    <definedName name="___PG2" localSheetId="28">#REF!</definedName>
    <definedName name="___PG2" localSheetId="29">#REF!</definedName>
    <definedName name="___PG2" localSheetId="66">#REF!</definedName>
    <definedName name="___PG2">#REF!</definedName>
    <definedName name="___PG3" localSheetId="70">#REF!</definedName>
    <definedName name="___PG3" localSheetId="52">#REF!</definedName>
    <definedName name="___PG3" localSheetId="58">#REF!</definedName>
    <definedName name="___PG3" localSheetId="57">#REF!</definedName>
    <definedName name="___PG3" localSheetId="64">#REF!</definedName>
    <definedName name="___PG3" localSheetId="67">#REF!</definedName>
    <definedName name="___PG3" localSheetId="65">#REF!</definedName>
    <definedName name="___PG3" localSheetId="68">#REF!</definedName>
    <definedName name="___PG3" localSheetId="71">#REF!</definedName>
    <definedName name="___PG3" localSheetId="44">#REF!</definedName>
    <definedName name="___PG3" localSheetId="45">#REF!</definedName>
    <definedName name="___PG3" localSheetId="17">#REF!</definedName>
    <definedName name="___PG3" localSheetId="27">#REF!</definedName>
    <definedName name="___PG3" localSheetId="72">#REF!</definedName>
    <definedName name="___PG3" localSheetId="28">#REF!</definedName>
    <definedName name="___PG3" localSheetId="29">#REF!</definedName>
    <definedName name="___PG3" localSheetId="66">#REF!</definedName>
    <definedName name="___PG3">#REF!</definedName>
    <definedName name="___PG5">'[5]Financial Estimates'!$A$271:$D$342</definedName>
    <definedName name="___pg6">'[6]Financial Estimates'!$A$271:$D$342</definedName>
    <definedName name="___pg7" localSheetId="70">'[6]Financial Estimates'!#REF!</definedName>
    <definedName name="___pg7" localSheetId="52">'[6]Financial Estimates'!#REF!</definedName>
    <definedName name="___pg7" localSheetId="58">'[6]Financial Estimates'!#REF!</definedName>
    <definedName name="___pg7" localSheetId="56">'[6]Financial Estimates'!#REF!</definedName>
    <definedName name="___pg7" localSheetId="57">'[6]Financial Estimates'!#REF!</definedName>
    <definedName name="___pg7" localSheetId="64">'[6]Financial Estimates'!#REF!</definedName>
    <definedName name="___pg7" localSheetId="67">'[6]Financial Estimates'!#REF!</definedName>
    <definedName name="___pg7" localSheetId="65">'[6]Financial Estimates'!#REF!</definedName>
    <definedName name="___pg7" localSheetId="68">'[6]Financial Estimates'!#REF!</definedName>
    <definedName name="___pg7" localSheetId="71">'[6]Financial Estimates'!#REF!</definedName>
    <definedName name="___pg7" localSheetId="44">'[6]Financial Estimates'!#REF!</definedName>
    <definedName name="___pg7" localSheetId="45">'[6]Financial Estimates'!#REF!</definedName>
    <definedName name="___pg7" localSheetId="17">'[6]Financial Estimates'!#REF!</definedName>
    <definedName name="___pg7" localSheetId="27">'[6]Financial Estimates'!#REF!</definedName>
    <definedName name="___pg7" localSheetId="72">'[6]Financial Estimates'!#REF!</definedName>
    <definedName name="___pg7" localSheetId="28">'[6]Financial Estimates'!#REF!</definedName>
    <definedName name="___pg7" localSheetId="29">'[6]Financial Estimates'!#REF!</definedName>
    <definedName name="___pg7" localSheetId="66">'[6]Financial Estimates'!#REF!</definedName>
    <definedName name="___pg7">'[6]Financial Estimates'!#REF!</definedName>
    <definedName name="___RE100" localSheetId="70">#REF!</definedName>
    <definedName name="___RE100" localSheetId="52">#REF!</definedName>
    <definedName name="___RE100" localSheetId="58">#REF!</definedName>
    <definedName name="___RE100" localSheetId="56">#REF!</definedName>
    <definedName name="___RE100" localSheetId="57">#REF!</definedName>
    <definedName name="___RE100" localSheetId="64">#REF!</definedName>
    <definedName name="___RE100" localSheetId="67">#REF!</definedName>
    <definedName name="___RE100" localSheetId="65">#REF!</definedName>
    <definedName name="___RE100" localSheetId="68">#REF!</definedName>
    <definedName name="___RE100" localSheetId="71">#REF!</definedName>
    <definedName name="___RE100" localSheetId="44">#REF!</definedName>
    <definedName name="___RE100" localSheetId="45">#REF!</definedName>
    <definedName name="___RE100" localSheetId="17">#REF!</definedName>
    <definedName name="___RE100" localSheetId="27">#REF!</definedName>
    <definedName name="___RE100" localSheetId="72">#REF!</definedName>
    <definedName name="___RE100" localSheetId="28">#REF!</definedName>
    <definedName name="___RE100" localSheetId="29">#REF!</definedName>
    <definedName name="___RE100" localSheetId="66">#REF!</definedName>
    <definedName name="___RE100">#REF!</definedName>
    <definedName name="___RE104" localSheetId="70">#REF!</definedName>
    <definedName name="___RE104" localSheetId="52">#REF!</definedName>
    <definedName name="___RE104" localSheetId="58">#REF!</definedName>
    <definedName name="___RE104" localSheetId="57">#REF!</definedName>
    <definedName name="___RE104" localSheetId="64">#REF!</definedName>
    <definedName name="___RE104" localSheetId="67">#REF!</definedName>
    <definedName name="___RE104" localSheetId="65">#REF!</definedName>
    <definedName name="___RE104" localSheetId="68">#REF!</definedName>
    <definedName name="___RE104" localSheetId="71">#REF!</definedName>
    <definedName name="___RE104" localSheetId="44">#REF!</definedName>
    <definedName name="___RE104" localSheetId="45">#REF!</definedName>
    <definedName name="___RE104" localSheetId="17">#REF!</definedName>
    <definedName name="___RE104" localSheetId="27">#REF!</definedName>
    <definedName name="___RE104" localSheetId="72">#REF!</definedName>
    <definedName name="___RE104" localSheetId="28">#REF!</definedName>
    <definedName name="___RE104" localSheetId="29">#REF!</definedName>
    <definedName name="___RE104" localSheetId="66">#REF!</definedName>
    <definedName name="___RE104">#REF!</definedName>
    <definedName name="___RE112" localSheetId="70">#REF!</definedName>
    <definedName name="___RE112" localSheetId="52">#REF!</definedName>
    <definedName name="___RE112" localSheetId="58">#REF!</definedName>
    <definedName name="___RE112" localSheetId="57">#REF!</definedName>
    <definedName name="___RE112" localSheetId="64">#REF!</definedName>
    <definedName name="___RE112" localSheetId="67">#REF!</definedName>
    <definedName name="___RE112" localSheetId="65">#REF!</definedName>
    <definedName name="___RE112" localSheetId="68">#REF!</definedName>
    <definedName name="___RE112" localSheetId="71">#REF!</definedName>
    <definedName name="___RE112" localSheetId="44">#REF!</definedName>
    <definedName name="___RE112" localSheetId="45">#REF!</definedName>
    <definedName name="___RE112" localSheetId="17">#REF!</definedName>
    <definedName name="___RE112" localSheetId="27">#REF!</definedName>
    <definedName name="___RE112" localSheetId="72">#REF!</definedName>
    <definedName name="___RE112" localSheetId="28">#REF!</definedName>
    <definedName name="___RE112" localSheetId="29">#REF!</definedName>
    <definedName name="___RE112" localSheetId="66">#REF!</definedName>
    <definedName name="___RE112">#REF!</definedName>
    <definedName name="___RE26" localSheetId="70">#REF!</definedName>
    <definedName name="___RE26" localSheetId="52">#REF!</definedName>
    <definedName name="___RE26" localSheetId="58">#REF!</definedName>
    <definedName name="___RE26" localSheetId="57">#REF!</definedName>
    <definedName name="___RE26" localSheetId="64">#REF!</definedName>
    <definedName name="___RE26" localSheetId="67">#REF!</definedName>
    <definedName name="___RE26" localSheetId="65">#REF!</definedName>
    <definedName name="___RE26" localSheetId="68">#REF!</definedName>
    <definedName name="___RE26" localSheetId="71">#REF!</definedName>
    <definedName name="___RE26" localSheetId="44">#REF!</definedName>
    <definedName name="___RE26" localSheetId="45">#REF!</definedName>
    <definedName name="___RE26" localSheetId="27">#REF!</definedName>
    <definedName name="___RE26" localSheetId="28">#REF!</definedName>
    <definedName name="___RE26" localSheetId="29">#REF!</definedName>
    <definedName name="___RE26" localSheetId="66">#REF!</definedName>
    <definedName name="___RE26">#REF!</definedName>
    <definedName name="___RE28" localSheetId="70">#REF!</definedName>
    <definedName name="___RE28" localSheetId="52">#REF!</definedName>
    <definedName name="___RE28" localSheetId="58">#REF!</definedName>
    <definedName name="___RE28" localSheetId="57">#REF!</definedName>
    <definedName name="___RE28" localSheetId="64">#REF!</definedName>
    <definedName name="___RE28" localSheetId="67">#REF!</definedName>
    <definedName name="___RE28" localSheetId="65">#REF!</definedName>
    <definedName name="___RE28" localSheetId="68">#REF!</definedName>
    <definedName name="___RE28" localSheetId="71">#REF!</definedName>
    <definedName name="___RE28" localSheetId="44">#REF!</definedName>
    <definedName name="___RE28" localSheetId="45">#REF!</definedName>
    <definedName name="___RE28" localSheetId="27">#REF!</definedName>
    <definedName name="___RE28" localSheetId="28">#REF!</definedName>
    <definedName name="___RE28" localSheetId="29">#REF!</definedName>
    <definedName name="___RE28" localSheetId="66">#REF!</definedName>
    <definedName name="___RE28">#REF!</definedName>
    <definedName name="___RE30" localSheetId="70">#REF!</definedName>
    <definedName name="___RE30" localSheetId="52">#REF!</definedName>
    <definedName name="___RE30" localSheetId="58">#REF!</definedName>
    <definedName name="___RE30" localSheetId="57">#REF!</definedName>
    <definedName name="___RE30" localSheetId="64">#REF!</definedName>
    <definedName name="___RE30" localSheetId="67">#REF!</definedName>
    <definedName name="___RE30" localSheetId="65">#REF!</definedName>
    <definedName name="___RE30" localSheetId="68">#REF!</definedName>
    <definedName name="___RE30" localSheetId="71">#REF!</definedName>
    <definedName name="___RE30" localSheetId="44">#REF!</definedName>
    <definedName name="___RE30" localSheetId="45">#REF!</definedName>
    <definedName name="___RE30" localSheetId="27">#REF!</definedName>
    <definedName name="___RE30" localSheetId="28">#REF!</definedName>
    <definedName name="___RE30" localSheetId="29">#REF!</definedName>
    <definedName name="___RE30" localSheetId="66">#REF!</definedName>
    <definedName name="___RE30">#REF!</definedName>
    <definedName name="___RE32" localSheetId="70">#REF!</definedName>
    <definedName name="___RE32" localSheetId="52">#REF!</definedName>
    <definedName name="___RE32" localSheetId="58">#REF!</definedName>
    <definedName name="___RE32" localSheetId="57">#REF!</definedName>
    <definedName name="___RE32" localSheetId="64">#REF!</definedName>
    <definedName name="___RE32" localSheetId="67">#REF!</definedName>
    <definedName name="___RE32" localSheetId="65">#REF!</definedName>
    <definedName name="___RE32" localSheetId="68">#REF!</definedName>
    <definedName name="___RE32" localSheetId="71">#REF!</definedName>
    <definedName name="___RE32" localSheetId="44">#REF!</definedName>
    <definedName name="___RE32" localSheetId="45">#REF!</definedName>
    <definedName name="___RE32" localSheetId="27">#REF!</definedName>
    <definedName name="___RE32" localSheetId="28">#REF!</definedName>
    <definedName name="___RE32" localSheetId="29">#REF!</definedName>
    <definedName name="___RE32" localSheetId="66">#REF!</definedName>
    <definedName name="___RE32">#REF!</definedName>
    <definedName name="___RE34" localSheetId="70">#REF!</definedName>
    <definedName name="___RE34" localSheetId="52">#REF!</definedName>
    <definedName name="___RE34" localSheetId="58">#REF!</definedName>
    <definedName name="___RE34" localSheetId="57">#REF!</definedName>
    <definedName name="___RE34" localSheetId="64">#REF!</definedName>
    <definedName name="___RE34" localSheetId="67">#REF!</definedName>
    <definedName name="___RE34" localSheetId="65">#REF!</definedName>
    <definedName name="___RE34" localSheetId="68">#REF!</definedName>
    <definedName name="___RE34" localSheetId="71">#REF!</definedName>
    <definedName name="___RE34" localSheetId="44">#REF!</definedName>
    <definedName name="___RE34" localSheetId="45">#REF!</definedName>
    <definedName name="___RE34" localSheetId="27">#REF!</definedName>
    <definedName name="___RE34" localSheetId="28">#REF!</definedName>
    <definedName name="___RE34" localSheetId="29">#REF!</definedName>
    <definedName name="___RE34" localSheetId="66">#REF!</definedName>
    <definedName name="___RE34">#REF!</definedName>
    <definedName name="___RE36" localSheetId="70">#REF!</definedName>
    <definedName name="___RE36" localSheetId="52">#REF!</definedName>
    <definedName name="___RE36" localSheetId="58">#REF!</definedName>
    <definedName name="___RE36" localSheetId="57">#REF!</definedName>
    <definedName name="___RE36" localSheetId="64">#REF!</definedName>
    <definedName name="___RE36" localSheetId="67">#REF!</definedName>
    <definedName name="___RE36" localSheetId="65">#REF!</definedName>
    <definedName name="___RE36" localSheetId="68">#REF!</definedName>
    <definedName name="___RE36" localSheetId="71">#REF!</definedName>
    <definedName name="___RE36" localSheetId="44">#REF!</definedName>
    <definedName name="___RE36" localSheetId="45">#REF!</definedName>
    <definedName name="___RE36" localSheetId="27">#REF!</definedName>
    <definedName name="___RE36" localSheetId="28">#REF!</definedName>
    <definedName name="___RE36" localSheetId="29">#REF!</definedName>
    <definedName name="___RE36" localSheetId="66">#REF!</definedName>
    <definedName name="___RE36">#REF!</definedName>
    <definedName name="___RE38" localSheetId="70">#REF!</definedName>
    <definedName name="___RE38" localSheetId="52">#REF!</definedName>
    <definedName name="___RE38" localSheetId="58">#REF!</definedName>
    <definedName name="___RE38" localSheetId="57">#REF!</definedName>
    <definedName name="___RE38" localSheetId="64">#REF!</definedName>
    <definedName name="___RE38" localSheetId="67">#REF!</definedName>
    <definedName name="___RE38" localSheetId="65">#REF!</definedName>
    <definedName name="___RE38" localSheetId="68">#REF!</definedName>
    <definedName name="___RE38" localSheetId="71">#REF!</definedName>
    <definedName name="___RE38" localSheetId="44">#REF!</definedName>
    <definedName name="___RE38" localSheetId="45">#REF!</definedName>
    <definedName name="___RE38" localSheetId="27">#REF!</definedName>
    <definedName name="___RE38" localSheetId="28">#REF!</definedName>
    <definedName name="___RE38" localSheetId="29">#REF!</definedName>
    <definedName name="___RE38" localSheetId="66">#REF!</definedName>
    <definedName name="___RE38">#REF!</definedName>
    <definedName name="___RE40" localSheetId="70">#REF!</definedName>
    <definedName name="___RE40" localSheetId="52">#REF!</definedName>
    <definedName name="___RE40" localSheetId="58">#REF!</definedName>
    <definedName name="___RE40" localSheetId="57">#REF!</definedName>
    <definedName name="___RE40" localSheetId="64">#REF!</definedName>
    <definedName name="___RE40" localSheetId="67">#REF!</definedName>
    <definedName name="___RE40" localSheetId="65">#REF!</definedName>
    <definedName name="___RE40" localSheetId="68">#REF!</definedName>
    <definedName name="___RE40" localSheetId="71">#REF!</definedName>
    <definedName name="___RE40" localSheetId="44">#REF!</definedName>
    <definedName name="___RE40" localSheetId="45">#REF!</definedName>
    <definedName name="___RE40" localSheetId="27">#REF!</definedName>
    <definedName name="___RE40" localSheetId="28">#REF!</definedName>
    <definedName name="___RE40" localSheetId="29">#REF!</definedName>
    <definedName name="___RE40" localSheetId="66">#REF!</definedName>
    <definedName name="___RE40">#REF!</definedName>
    <definedName name="___RE42" localSheetId="70">#REF!</definedName>
    <definedName name="___RE42" localSheetId="52">#REF!</definedName>
    <definedName name="___RE42" localSheetId="58">#REF!</definedName>
    <definedName name="___RE42" localSheetId="57">#REF!</definedName>
    <definedName name="___RE42" localSheetId="64">#REF!</definedName>
    <definedName name="___RE42" localSheetId="67">#REF!</definedName>
    <definedName name="___RE42" localSheetId="65">#REF!</definedName>
    <definedName name="___RE42" localSheetId="68">#REF!</definedName>
    <definedName name="___RE42" localSheetId="71">#REF!</definedName>
    <definedName name="___RE42" localSheetId="44">#REF!</definedName>
    <definedName name="___RE42" localSheetId="45">#REF!</definedName>
    <definedName name="___RE42" localSheetId="27">#REF!</definedName>
    <definedName name="___RE42" localSheetId="28">#REF!</definedName>
    <definedName name="___RE42" localSheetId="29">#REF!</definedName>
    <definedName name="___RE42" localSheetId="66">#REF!</definedName>
    <definedName name="___RE42">#REF!</definedName>
    <definedName name="___RE44" localSheetId="70">#REF!</definedName>
    <definedName name="___RE44" localSheetId="52">#REF!</definedName>
    <definedName name="___RE44" localSheetId="58">#REF!</definedName>
    <definedName name="___RE44" localSheetId="57">#REF!</definedName>
    <definedName name="___RE44" localSheetId="64">#REF!</definedName>
    <definedName name="___RE44" localSheetId="67">#REF!</definedName>
    <definedName name="___RE44" localSheetId="65">#REF!</definedName>
    <definedName name="___RE44" localSheetId="68">#REF!</definedName>
    <definedName name="___RE44" localSheetId="71">#REF!</definedName>
    <definedName name="___RE44" localSheetId="44">#REF!</definedName>
    <definedName name="___RE44" localSheetId="45">#REF!</definedName>
    <definedName name="___RE44" localSheetId="27">#REF!</definedName>
    <definedName name="___RE44" localSheetId="28">#REF!</definedName>
    <definedName name="___RE44" localSheetId="29">#REF!</definedName>
    <definedName name="___RE44" localSheetId="66">#REF!</definedName>
    <definedName name="___RE44">#REF!</definedName>
    <definedName name="___RE48" localSheetId="70">#REF!</definedName>
    <definedName name="___RE48" localSheetId="52">#REF!</definedName>
    <definedName name="___RE48" localSheetId="58">#REF!</definedName>
    <definedName name="___RE48" localSheetId="57">#REF!</definedName>
    <definedName name="___RE48" localSheetId="64">#REF!</definedName>
    <definedName name="___RE48" localSheetId="67">#REF!</definedName>
    <definedName name="___RE48" localSheetId="65">#REF!</definedName>
    <definedName name="___RE48" localSheetId="68">#REF!</definedName>
    <definedName name="___RE48" localSheetId="71">#REF!</definedName>
    <definedName name="___RE48" localSheetId="44">#REF!</definedName>
    <definedName name="___RE48" localSheetId="45">#REF!</definedName>
    <definedName name="___RE48" localSheetId="27">#REF!</definedName>
    <definedName name="___RE48" localSheetId="28">#REF!</definedName>
    <definedName name="___RE48" localSheetId="29">#REF!</definedName>
    <definedName name="___RE48" localSheetId="66">#REF!</definedName>
    <definedName name="___RE48">#REF!</definedName>
    <definedName name="___RE52" localSheetId="70">#REF!</definedName>
    <definedName name="___RE52" localSheetId="52">#REF!</definedName>
    <definedName name="___RE52" localSheetId="58">#REF!</definedName>
    <definedName name="___RE52" localSheetId="57">#REF!</definedName>
    <definedName name="___RE52" localSheetId="64">#REF!</definedName>
    <definedName name="___RE52" localSheetId="67">#REF!</definedName>
    <definedName name="___RE52" localSheetId="65">#REF!</definedName>
    <definedName name="___RE52" localSheetId="68">#REF!</definedName>
    <definedName name="___RE52" localSheetId="71">#REF!</definedName>
    <definedName name="___RE52" localSheetId="44">#REF!</definedName>
    <definedName name="___RE52" localSheetId="45">#REF!</definedName>
    <definedName name="___RE52" localSheetId="27">#REF!</definedName>
    <definedName name="___RE52" localSheetId="28">#REF!</definedName>
    <definedName name="___RE52" localSheetId="29">#REF!</definedName>
    <definedName name="___RE52" localSheetId="66">#REF!</definedName>
    <definedName name="___RE52">#REF!</definedName>
    <definedName name="___RE56" localSheetId="70">#REF!</definedName>
    <definedName name="___RE56" localSheetId="52">#REF!</definedName>
    <definedName name="___RE56" localSheetId="58">#REF!</definedName>
    <definedName name="___RE56" localSheetId="57">#REF!</definedName>
    <definedName name="___RE56" localSheetId="64">#REF!</definedName>
    <definedName name="___RE56" localSheetId="67">#REF!</definedName>
    <definedName name="___RE56" localSheetId="65">#REF!</definedName>
    <definedName name="___RE56" localSheetId="68">#REF!</definedName>
    <definedName name="___RE56" localSheetId="71">#REF!</definedName>
    <definedName name="___RE56" localSheetId="44">#REF!</definedName>
    <definedName name="___RE56" localSheetId="45">#REF!</definedName>
    <definedName name="___RE56" localSheetId="27">#REF!</definedName>
    <definedName name="___RE56" localSheetId="28">#REF!</definedName>
    <definedName name="___RE56" localSheetId="29">#REF!</definedName>
    <definedName name="___RE56" localSheetId="66">#REF!</definedName>
    <definedName name="___RE56">#REF!</definedName>
    <definedName name="___RE60" localSheetId="70">#REF!</definedName>
    <definedName name="___RE60" localSheetId="52">#REF!</definedName>
    <definedName name="___RE60" localSheetId="58">#REF!</definedName>
    <definedName name="___RE60" localSheetId="57">#REF!</definedName>
    <definedName name="___RE60" localSheetId="64">#REF!</definedName>
    <definedName name="___RE60" localSheetId="67">#REF!</definedName>
    <definedName name="___RE60" localSheetId="65">#REF!</definedName>
    <definedName name="___RE60" localSheetId="68">#REF!</definedName>
    <definedName name="___RE60" localSheetId="71">#REF!</definedName>
    <definedName name="___RE60" localSheetId="44">#REF!</definedName>
    <definedName name="___RE60" localSheetId="45">#REF!</definedName>
    <definedName name="___RE60" localSheetId="27">#REF!</definedName>
    <definedName name="___RE60" localSheetId="28">#REF!</definedName>
    <definedName name="___RE60" localSheetId="29">#REF!</definedName>
    <definedName name="___RE60" localSheetId="66">#REF!</definedName>
    <definedName name="___RE60">#REF!</definedName>
    <definedName name="___RE64" localSheetId="70">#REF!</definedName>
    <definedName name="___RE64" localSheetId="52">#REF!</definedName>
    <definedName name="___RE64" localSheetId="58">#REF!</definedName>
    <definedName name="___RE64" localSheetId="57">#REF!</definedName>
    <definedName name="___RE64" localSheetId="64">#REF!</definedName>
    <definedName name="___RE64" localSheetId="67">#REF!</definedName>
    <definedName name="___RE64" localSheetId="65">#REF!</definedName>
    <definedName name="___RE64" localSheetId="68">#REF!</definedName>
    <definedName name="___RE64" localSheetId="71">#REF!</definedName>
    <definedName name="___RE64" localSheetId="44">#REF!</definedName>
    <definedName name="___RE64" localSheetId="45">#REF!</definedName>
    <definedName name="___RE64" localSheetId="27">#REF!</definedName>
    <definedName name="___RE64" localSheetId="28">#REF!</definedName>
    <definedName name="___RE64" localSheetId="29">#REF!</definedName>
    <definedName name="___RE64" localSheetId="66">#REF!</definedName>
    <definedName name="___RE64">#REF!</definedName>
    <definedName name="___RE68" localSheetId="70">#REF!</definedName>
    <definedName name="___RE68" localSheetId="52">#REF!</definedName>
    <definedName name="___RE68" localSheetId="58">#REF!</definedName>
    <definedName name="___RE68" localSheetId="57">#REF!</definedName>
    <definedName name="___RE68" localSheetId="64">#REF!</definedName>
    <definedName name="___RE68" localSheetId="67">#REF!</definedName>
    <definedName name="___RE68" localSheetId="65">#REF!</definedName>
    <definedName name="___RE68" localSheetId="68">#REF!</definedName>
    <definedName name="___RE68" localSheetId="71">#REF!</definedName>
    <definedName name="___RE68" localSheetId="44">#REF!</definedName>
    <definedName name="___RE68" localSheetId="45">#REF!</definedName>
    <definedName name="___RE68" localSheetId="27">#REF!</definedName>
    <definedName name="___RE68" localSheetId="28">#REF!</definedName>
    <definedName name="___RE68" localSheetId="29">#REF!</definedName>
    <definedName name="___RE68" localSheetId="66">#REF!</definedName>
    <definedName name="___RE68">#REF!</definedName>
    <definedName name="___RE72" localSheetId="70">#REF!</definedName>
    <definedName name="___RE72" localSheetId="52">#REF!</definedName>
    <definedName name="___RE72" localSheetId="58">#REF!</definedName>
    <definedName name="___RE72" localSheetId="57">#REF!</definedName>
    <definedName name="___RE72" localSheetId="64">#REF!</definedName>
    <definedName name="___RE72" localSheetId="67">#REF!</definedName>
    <definedName name="___RE72" localSheetId="65">#REF!</definedName>
    <definedName name="___RE72" localSheetId="68">#REF!</definedName>
    <definedName name="___RE72" localSheetId="71">#REF!</definedName>
    <definedName name="___RE72" localSheetId="44">#REF!</definedName>
    <definedName name="___RE72" localSheetId="45">#REF!</definedName>
    <definedName name="___RE72" localSheetId="27">#REF!</definedName>
    <definedName name="___RE72" localSheetId="28">#REF!</definedName>
    <definedName name="___RE72" localSheetId="29">#REF!</definedName>
    <definedName name="___RE72" localSheetId="66">#REF!</definedName>
    <definedName name="___RE72">#REF!</definedName>
    <definedName name="___RE76" localSheetId="70">#REF!</definedName>
    <definedName name="___RE76" localSheetId="52">#REF!</definedName>
    <definedName name="___RE76" localSheetId="58">#REF!</definedName>
    <definedName name="___RE76" localSheetId="57">#REF!</definedName>
    <definedName name="___RE76" localSheetId="64">#REF!</definedName>
    <definedName name="___RE76" localSheetId="67">#REF!</definedName>
    <definedName name="___RE76" localSheetId="65">#REF!</definedName>
    <definedName name="___RE76" localSheetId="68">#REF!</definedName>
    <definedName name="___RE76" localSheetId="71">#REF!</definedName>
    <definedName name="___RE76" localSheetId="44">#REF!</definedName>
    <definedName name="___RE76" localSheetId="45">#REF!</definedName>
    <definedName name="___RE76" localSheetId="27">#REF!</definedName>
    <definedName name="___RE76" localSheetId="28">#REF!</definedName>
    <definedName name="___RE76" localSheetId="29">#REF!</definedName>
    <definedName name="___RE76" localSheetId="66">#REF!</definedName>
    <definedName name="___RE76">#REF!</definedName>
    <definedName name="___RE80" localSheetId="70">#REF!</definedName>
    <definedName name="___RE80" localSheetId="52">#REF!</definedName>
    <definedName name="___RE80" localSheetId="58">#REF!</definedName>
    <definedName name="___RE80" localSheetId="57">#REF!</definedName>
    <definedName name="___RE80" localSheetId="64">#REF!</definedName>
    <definedName name="___RE80" localSheetId="67">#REF!</definedName>
    <definedName name="___RE80" localSheetId="65">#REF!</definedName>
    <definedName name="___RE80" localSheetId="68">#REF!</definedName>
    <definedName name="___RE80" localSheetId="71">#REF!</definedName>
    <definedName name="___RE80" localSheetId="44">#REF!</definedName>
    <definedName name="___RE80" localSheetId="45">#REF!</definedName>
    <definedName name="___RE80" localSheetId="27">#REF!</definedName>
    <definedName name="___RE80" localSheetId="28">#REF!</definedName>
    <definedName name="___RE80" localSheetId="29">#REF!</definedName>
    <definedName name="___RE80" localSheetId="66">#REF!</definedName>
    <definedName name="___RE80">#REF!</definedName>
    <definedName name="___RE88" localSheetId="70">#REF!</definedName>
    <definedName name="___RE88" localSheetId="52">#REF!</definedName>
    <definedName name="___RE88" localSheetId="58">#REF!</definedName>
    <definedName name="___RE88" localSheetId="57">#REF!</definedName>
    <definedName name="___RE88" localSheetId="64">#REF!</definedName>
    <definedName name="___RE88" localSheetId="67">#REF!</definedName>
    <definedName name="___RE88" localSheetId="65">#REF!</definedName>
    <definedName name="___RE88" localSheetId="68">#REF!</definedName>
    <definedName name="___RE88" localSheetId="71">#REF!</definedName>
    <definedName name="___RE88" localSheetId="44">#REF!</definedName>
    <definedName name="___RE88" localSheetId="45">#REF!</definedName>
    <definedName name="___RE88" localSheetId="27">#REF!</definedName>
    <definedName name="___RE88" localSheetId="28">#REF!</definedName>
    <definedName name="___RE88" localSheetId="29">#REF!</definedName>
    <definedName name="___RE88" localSheetId="66">#REF!</definedName>
    <definedName name="___RE88">#REF!</definedName>
    <definedName name="___RE92" localSheetId="70">#REF!</definedName>
    <definedName name="___RE92" localSheetId="52">#REF!</definedName>
    <definedName name="___RE92" localSheetId="58">#REF!</definedName>
    <definedName name="___RE92" localSheetId="57">#REF!</definedName>
    <definedName name="___RE92" localSheetId="64">#REF!</definedName>
    <definedName name="___RE92" localSheetId="67">#REF!</definedName>
    <definedName name="___RE92" localSheetId="65">#REF!</definedName>
    <definedName name="___RE92" localSheetId="68">#REF!</definedName>
    <definedName name="___RE92" localSheetId="71">#REF!</definedName>
    <definedName name="___RE92" localSheetId="44">#REF!</definedName>
    <definedName name="___RE92" localSheetId="45">#REF!</definedName>
    <definedName name="___RE92" localSheetId="27">#REF!</definedName>
    <definedName name="___RE92" localSheetId="28">#REF!</definedName>
    <definedName name="___RE92" localSheetId="29">#REF!</definedName>
    <definedName name="___RE92" localSheetId="66">#REF!</definedName>
    <definedName name="___RE92">#REF!</definedName>
    <definedName name="___RE96" localSheetId="70">#REF!</definedName>
    <definedName name="___RE96" localSheetId="52">#REF!</definedName>
    <definedName name="___RE96" localSheetId="58">#REF!</definedName>
    <definedName name="___RE96" localSheetId="57">#REF!</definedName>
    <definedName name="___RE96" localSheetId="64">#REF!</definedName>
    <definedName name="___RE96" localSheetId="67">#REF!</definedName>
    <definedName name="___RE96" localSheetId="65">#REF!</definedName>
    <definedName name="___RE96" localSheetId="68">#REF!</definedName>
    <definedName name="___RE96" localSheetId="71">#REF!</definedName>
    <definedName name="___RE96" localSheetId="44">#REF!</definedName>
    <definedName name="___RE96" localSheetId="45">#REF!</definedName>
    <definedName name="___RE96" localSheetId="27">#REF!</definedName>
    <definedName name="___RE96" localSheetId="28">#REF!</definedName>
    <definedName name="___RE96" localSheetId="29">#REF!</definedName>
    <definedName name="___RE96" localSheetId="66">#REF!</definedName>
    <definedName name="___RE96">#REF!</definedName>
    <definedName name="___RMK1">#N/A</definedName>
    <definedName name="___RMK2">#N/A</definedName>
    <definedName name="___RR11" localSheetId="70">#REF!</definedName>
    <definedName name="___RR11" localSheetId="52">#REF!</definedName>
    <definedName name="___RR11" localSheetId="58">#REF!</definedName>
    <definedName name="___RR11" localSheetId="56">#REF!</definedName>
    <definedName name="___RR11" localSheetId="57">#REF!</definedName>
    <definedName name="___RR11" localSheetId="64">#REF!</definedName>
    <definedName name="___RR11" localSheetId="67">#REF!</definedName>
    <definedName name="___RR11" localSheetId="65">#REF!</definedName>
    <definedName name="___RR11" localSheetId="68">#REF!</definedName>
    <definedName name="___RR11" localSheetId="71">#REF!</definedName>
    <definedName name="___RR11" localSheetId="44">#REF!</definedName>
    <definedName name="___RR11" localSheetId="45">#REF!</definedName>
    <definedName name="___RR11" localSheetId="17">#REF!</definedName>
    <definedName name="___RR11" localSheetId="27">#REF!</definedName>
    <definedName name="___RR11" localSheetId="72">#REF!</definedName>
    <definedName name="___RR11" localSheetId="28">#REF!</definedName>
    <definedName name="___RR11" localSheetId="29">#REF!</definedName>
    <definedName name="___RR11" localSheetId="66">#REF!</definedName>
    <definedName name="___RR11">#REF!</definedName>
    <definedName name="___RR12" localSheetId="70">#REF!</definedName>
    <definedName name="___RR12" localSheetId="52">#REF!</definedName>
    <definedName name="___RR12" localSheetId="58">#REF!</definedName>
    <definedName name="___RR12" localSheetId="57">#REF!</definedName>
    <definedName name="___RR12" localSheetId="64">#REF!</definedName>
    <definedName name="___RR12" localSheetId="67">#REF!</definedName>
    <definedName name="___RR12" localSheetId="65">#REF!</definedName>
    <definedName name="___RR12" localSheetId="68">#REF!</definedName>
    <definedName name="___RR12" localSheetId="71">#REF!</definedName>
    <definedName name="___RR12" localSheetId="44">#REF!</definedName>
    <definedName name="___RR12" localSheetId="45">#REF!</definedName>
    <definedName name="___RR12" localSheetId="17">#REF!</definedName>
    <definedName name="___RR12" localSheetId="27">#REF!</definedName>
    <definedName name="___RR12" localSheetId="72">#REF!</definedName>
    <definedName name="___RR12" localSheetId="28">#REF!</definedName>
    <definedName name="___RR12" localSheetId="29">#REF!</definedName>
    <definedName name="___RR12" localSheetId="66">#REF!</definedName>
    <definedName name="___RR12">#REF!</definedName>
    <definedName name="___RR13" localSheetId="70">#REF!</definedName>
    <definedName name="___RR13" localSheetId="52">#REF!</definedName>
    <definedName name="___RR13" localSheetId="58">#REF!</definedName>
    <definedName name="___RR13" localSheetId="57">#REF!</definedName>
    <definedName name="___RR13" localSheetId="64">#REF!</definedName>
    <definedName name="___RR13" localSheetId="67">#REF!</definedName>
    <definedName name="___RR13" localSheetId="65">#REF!</definedName>
    <definedName name="___RR13" localSheetId="68">#REF!</definedName>
    <definedName name="___RR13" localSheetId="71">#REF!</definedName>
    <definedName name="___RR13" localSheetId="44">#REF!</definedName>
    <definedName name="___RR13" localSheetId="45">#REF!</definedName>
    <definedName name="___RR13" localSheetId="17">#REF!</definedName>
    <definedName name="___RR13" localSheetId="27">#REF!</definedName>
    <definedName name="___RR13" localSheetId="72">#REF!</definedName>
    <definedName name="___RR13" localSheetId="28">#REF!</definedName>
    <definedName name="___RR13" localSheetId="29">#REF!</definedName>
    <definedName name="___RR13" localSheetId="66">#REF!</definedName>
    <definedName name="___RR13">#REF!</definedName>
    <definedName name="___RR14" localSheetId="70">#REF!</definedName>
    <definedName name="___RR14" localSheetId="52">#REF!</definedName>
    <definedName name="___RR14" localSheetId="58">#REF!</definedName>
    <definedName name="___RR14" localSheetId="57">#REF!</definedName>
    <definedName name="___RR14" localSheetId="64">#REF!</definedName>
    <definedName name="___RR14" localSheetId="67">#REF!</definedName>
    <definedName name="___RR14" localSheetId="65">#REF!</definedName>
    <definedName name="___RR14" localSheetId="68">#REF!</definedName>
    <definedName name="___RR14" localSheetId="71">#REF!</definedName>
    <definedName name="___RR14" localSheetId="44">#REF!</definedName>
    <definedName name="___RR14" localSheetId="45">#REF!</definedName>
    <definedName name="___RR14" localSheetId="27">#REF!</definedName>
    <definedName name="___RR14" localSheetId="28">#REF!</definedName>
    <definedName name="___RR14" localSheetId="29">#REF!</definedName>
    <definedName name="___RR14" localSheetId="66">#REF!</definedName>
    <definedName name="___RR14">#REF!</definedName>
    <definedName name="___RR15" localSheetId="70">#REF!</definedName>
    <definedName name="___RR15" localSheetId="52">#REF!</definedName>
    <definedName name="___RR15" localSheetId="58">#REF!</definedName>
    <definedName name="___RR15" localSheetId="57">#REF!</definedName>
    <definedName name="___RR15" localSheetId="64">#REF!</definedName>
    <definedName name="___RR15" localSheetId="67">#REF!</definedName>
    <definedName name="___RR15" localSheetId="65">#REF!</definedName>
    <definedName name="___RR15" localSheetId="68">#REF!</definedName>
    <definedName name="___RR15" localSheetId="71">#REF!</definedName>
    <definedName name="___RR15" localSheetId="44">#REF!</definedName>
    <definedName name="___RR15" localSheetId="45">#REF!</definedName>
    <definedName name="___RR15" localSheetId="27">#REF!</definedName>
    <definedName name="___RR15" localSheetId="28">#REF!</definedName>
    <definedName name="___RR15" localSheetId="29">#REF!</definedName>
    <definedName name="___RR15" localSheetId="66">#REF!</definedName>
    <definedName name="___RR15">#REF!</definedName>
    <definedName name="___SSS1" localSheetId="70">#REF!</definedName>
    <definedName name="___SSS1" localSheetId="52">#REF!</definedName>
    <definedName name="___SSS1" localSheetId="58">#REF!</definedName>
    <definedName name="___SSS1" localSheetId="57">#REF!</definedName>
    <definedName name="___SSS1" localSheetId="64">#REF!</definedName>
    <definedName name="___SSS1" localSheetId="67">#REF!</definedName>
    <definedName name="___SSS1" localSheetId="65">#REF!</definedName>
    <definedName name="___SSS1" localSheetId="68">#REF!</definedName>
    <definedName name="___SSS1" localSheetId="71">#REF!</definedName>
    <definedName name="___SSS1" localSheetId="44">#REF!</definedName>
    <definedName name="___SSS1" localSheetId="45">#REF!</definedName>
    <definedName name="___SSS1" localSheetId="27">#REF!</definedName>
    <definedName name="___SSS1" localSheetId="28">#REF!</definedName>
    <definedName name="___SSS1" localSheetId="29">#REF!</definedName>
    <definedName name="___SSS1" localSheetId="66">#REF!</definedName>
    <definedName name="___SSS1">#REF!</definedName>
    <definedName name="___SSS2">[21]현장지지물물량!$A$9:$N$23</definedName>
    <definedName name="___USD1">'[13]#REF'!$E$26</definedName>
    <definedName name="___USD2">'[13]#REF'!$F$26</definedName>
    <definedName name="___USD3">'[13]#REF'!$G$26</definedName>
    <definedName name="___w123" localSheetId="140" hidden="1">{"Edition",#N/A,FALSE,"Data"}</definedName>
    <definedName name="___w123" localSheetId="58" hidden="1">{"Edition",#N/A,FALSE,"Data"}</definedName>
    <definedName name="___w123" localSheetId="56" hidden="1">{"Edition",#N/A,FALSE,"Data"}</definedName>
    <definedName name="___w123" localSheetId="57" hidden="1">{"Edition",#N/A,FALSE,"Data"}</definedName>
    <definedName name="___w123" localSheetId="67" hidden="1">{"Edition",#N/A,FALSE,"Data"}</definedName>
    <definedName name="___w123" localSheetId="65" hidden="1">{"Edition",#N/A,FALSE,"Data"}</definedName>
    <definedName name="___w123" localSheetId="68" hidden="1">{"Edition",#N/A,FALSE,"Data"}</definedName>
    <definedName name="___w123" localSheetId="71" hidden="1">{"Edition",#N/A,FALSE,"Data"}</definedName>
    <definedName name="___w123" localSheetId="17" hidden="1">{"Edition",#N/A,FALSE,"Data"}</definedName>
    <definedName name="___w123" localSheetId="27" hidden="1">{"Edition",#N/A,FALSE,"Data"}</definedName>
    <definedName name="___w123" localSheetId="72" hidden="1">{"Edition",#N/A,FALSE,"Data"}</definedName>
    <definedName name="___w123" localSheetId="28" hidden="1">{"Edition",#N/A,FALSE,"Data"}</definedName>
    <definedName name="___w123" localSheetId="29" hidden="1">{"Edition",#N/A,FALSE,"Data"}</definedName>
    <definedName name="___w123" hidden="1">{"Edition",#N/A,FALSE,"Data"}</definedName>
    <definedName name="___xlfn.BAHTTEXT" hidden="1">#NAME?</definedName>
    <definedName name="___za1" localSheetId="70">#REF!</definedName>
    <definedName name="___za1" localSheetId="52">#REF!</definedName>
    <definedName name="___za1" localSheetId="58">#REF!</definedName>
    <definedName name="___za1" localSheetId="56">#REF!</definedName>
    <definedName name="___za1" localSheetId="57">#REF!</definedName>
    <definedName name="___za1" localSheetId="64">#REF!</definedName>
    <definedName name="___za1" localSheetId="67">#REF!</definedName>
    <definedName name="___za1" localSheetId="65">#REF!</definedName>
    <definedName name="___za1" localSheetId="68">#REF!</definedName>
    <definedName name="___za1" localSheetId="71">#REF!</definedName>
    <definedName name="___za1" localSheetId="44">#REF!</definedName>
    <definedName name="___za1" localSheetId="45">#REF!</definedName>
    <definedName name="___za1" localSheetId="17">#REF!</definedName>
    <definedName name="___za1" localSheetId="27">#REF!</definedName>
    <definedName name="___za1" localSheetId="72">#REF!</definedName>
    <definedName name="___za1" localSheetId="28">#REF!</definedName>
    <definedName name="___za1" localSheetId="29">#REF!</definedName>
    <definedName name="___za1" localSheetId="66">#REF!</definedName>
    <definedName name="___za1">#REF!</definedName>
    <definedName name="___zz1" localSheetId="70">#REF!</definedName>
    <definedName name="___zz1" localSheetId="52">#REF!</definedName>
    <definedName name="___zz1" localSheetId="58">#REF!</definedName>
    <definedName name="___zz1" localSheetId="57">#REF!</definedName>
    <definedName name="___zz1" localSheetId="64">#REF!</definedName>
    <definedName name="___zz1" localSheetId="67">#REF!</definedName>
    <definedName name="___zz1" localSheetId="65">#REF!</definedName>
    <definedName name="___zz1" localSheetId="68">#REF!</definedName>
    <definedName name="___zz1" localSheetId="71">#REF!</definedName>
    <definedName name="___zz1" localSheetId="44">#REF!</definedName>
    <definedName name="___zz1" localSheetId="45">#REF!</definedName>
    <definedName name="___zz1" localSheetId="17">#REF!</definedName>
    <definedName name="___zz1" localSheetId="27">#REF!</definedName>
    <definedName name="___zz1" localSheetId="72">#REF!</definedName>
    <definedName name="___zz1" localSheetId="28">#REF!</definedName>
    <definedName name="___zz1" localSheetId="29">#REF!</definedName>
    <definedName name="___zz1" localSheetId="66">#REF!</definedName>
    <definedName name="___zz1">#REF!</definedName>
    <definedName name="__123Graph_A" localSheetId="70" hidden="1">#REF!</definedName>
    <definedName name="__123Graph_A" localSheetId="52" hidden="1">#REF!</definedName>
    <definedName name="__123Graph_A" localSheetId="58" hidden="1">#REF!</definedName>
    <definedName name="__123Graph_A" localSheetId="57" hidden="1">#REF!</definedName>
    <definedName name="__123Graph_A" localSheetId="64" hidden="1">#REF!</definedName>
    <definedName name="__123Graph_A" localSheetId="67" hidden="1">#REF!</definedName>
    <definedName name="__123Graph_A" localSheetId="65" hidden="1">#REF!</definedName>
    <definedName name="__123Graph_A" localSheetId="68" hidden="1">#REF!</definedName>
    <definedName name="__123Graph_A" localSheetId="71" hidden="1">#REF!</definedName>
    <definedName name="__123Graph_A" localSheetId="44" hidden="1">#REF!</definedName>
    <definedName name="__123Graph_A" localSheetId="45" hidden="1">#REF!</definedName>
    <definedName name="__123Graph_A" localSheetId="17" hidden="1">#REF!</definedName>
    <definedName name="__123Graph_A" localSheetId="27" hidden="1">#REF!</definedName>
    <definedName name="__123Graph_A" localSheetId="72" hidden="1">#REF!</definedName>
    <definedName name="__123Graph_A" localSheetId="28" hidden="1">#REF!</definedName>
    <definedName name="__123Graph_A" localSheetId="29" hidden="1">#REF!</definedName>
    <definedName name="__123Graph_A" localSheetId="66" hidden="1">#REF!</definedName>
    <definedName name="__123Graph_A" hidden="1">#REF!</definedName>
    <definedName name="__123Graph_ACurrent" localSheetId="70" hidden="1">'[22]Eq. Mobilization'!#REF!</definedName>
    <definedName name="__123Graph_ACurrent" localSheetId="52" hidden="1">'[22]Eq. Mobilization'!#REF!</definedName>
    <definedName name="__123Graph_ACurrent" localSheetId="58" hidden="1">'[22]Eq. Mobilization'!#REF!</definedName>
    <definedName name="__123Graph_ACurrent" localSheetId="57" hidden="1">'[22]Eq. Mobilization'!#REF!</definedName>
    <definedName name="__123Graph_ACurrent" localSheetId="64" hidden="1">'[22]Eq. Mobilization'!#REF!</definedName>
    <definedName name="__123Graph_ACurrent" localSheetId="67" hidden="1">'[22]Eq. Mobilization'!#REF!</definedName>
    <definedName name="__123Graph_ACurrent" localSheetId="65" hidden="1">'[22]Eq. Mobilization'!#REF!</definedName>
    <definedName name="__123Graph_ACurrent" localSheetId="68" hidden="1">'[22]Eq. Mobilization'!#REF!</definedName>
    <definedName name="__123Graph_ACurrent" localSheetId="71" hidden="1">'[22]Eq. Mobilization'!#REF!</definedName>
    <definedName name="__123Graph_ACurrent" localSheetId="44" hidden="1">'[22]Eq. Mobilization'!#REF!</definedName>
    <definedName name="__123Graph_ACurrent" localSheetId="45" hidden="1">'[22]Eq. Mobilization'!#REF!</definedName>
    <definedName name="__123Graph_ACurrent" localSheetId="17" hidden="1">'[22]Eq. Mobilization'!#REF!</definedName>
    <definedName name="__123Graph_ACurrent" localSheetId="27" hidden="1">'[22]Eq. Mobilization'!#REF!</definedName>
    <definedName name="__123Graph_ACurrent" localSheetId="72" hidden="1">'[22]Eq. Mobilization'!#REF!</definedName>
    <definedName name="__123Graph_ACurrent" localSheetId="28" hidden="1">'[22]Eq. Mobilization'!#REF!</definedName>
    <definedName name="__123Graph_ACurrent" localSheetId="29" hidden="1">'[22]Eq. Mobilization'!#REF!</definedName>
    <definedName name="__123Graph_ACurrent" localSheetId="66" hidden="1">'[22]Eq. Mobilization'!#REF!</definedName>
    <definedName name="__123Graph_ACurrent" hidden="1">'[22]Eq. Mobilization'!#REF!</definedName>
    <definedName name="__123Graph_ADEMAND" localSheetId="70" hidden="1">#REF!</definedName>
    <definedName name="__123Graph_ADEMAND" localSheetId="52" hidden="1">#REF!</definedName>
    <definedName name="__123Graph_ADEMAND" localSheetId="58" hidden="1">#REF!</definedName>
    <definedName name="__123Graph_ADEMAND" localSheetId="56" hidden="1">#REF!</definedName>
    <definedName name="__123Graph_ADEMAND" localSheetId="57" hidden="1">#REF!</definedName>
    <definedName name="__123Graph_ADEMAND" localSheetId="64" hidden="1">#REF!</definedName>
    <definedName name="__123Graph_ADEMAND" localSheetId="67" hidden="1">#REF!</definedName>
    <definedName name="__123Graph_ADEMAND" localSheetId="65" hidden="1">#REF!</definedName>
    <definedName name="__123Graph_ADEMAND" localSheetId="68" hidden="1">#REF!</definedName>
    <definedName name="__123Graph_ADEMAND" localSheetId="71" hidden="1">#REF!</definedName>
    <definedName name="__123Graph_ADEMAND" localSheetId="44" hidden="1">#REF!</definedName>
    <definedName name="__123Graph_ADEMAND" localSheetId="45" hidden="1">#REF!</definedName>
    <definedName name="__123Graph_ADEMAND" localSheetId="17" hidden="1">#REF!</definedName>
    <definedName name="__123Graph_ADEMAND" localSheetId="27" hidden="1">#REF!</definedName>
    <definedName name="__123Graph_ADEMAND" localSheetId="72" hidden="1">#REF!</definedName>
    <definedName name="__123Graph_ADEMAND" localSheetId="28" hidden="1">#REF!</definedName>
    <definedName name="__123Graph_ADEMAND" localSheetId="29" hidden="1">#REF!</definedName>
    <definedName name="__123Graph_ADEMAND" localSheetId="66" hidden="1">#REF!</definedName>
    <definedName name="__123Graph_ADEMAND" hidden="1">#REF!</definedName>
    <definedName name="__123Graph_ADMD_2" localSheetId="70" hidden="1">#REF!</definedName>
    <definedName name="__123Graph_ADMD_2" localSheetId="52" hidden="1">#REF!</definedName>
    <definedName name="__123Graph_ADMD_2" localSheetId="58" hidden="1">#REF!</definedName>
    <definedName name="__123Graph_ADMD_2" localSheetId="57" hidden="1">#REF!</definedName>
    <definedName name="__123Graph_ADMD_2" localSheetId="64" hidden="1">#REF!</definedName>
    <definedName name="__123Graph_ADMD_2" localSheetId="67" hidden="1">#REF!</definedName>
    <definedName name="__123Graph_ADMD_2" localSheetId="65" hidden="1">#REF!</definedName>
    <definedName name="__123Graph_ADMD_2" localSheetId="68" hidden="1">#REF!</definedName>
    <definedName name="__123Graph_ADMD_2" localSheetId="71" hidden="1">#REF!</definedName>
    <definedName name="__123Graph_ADMD_2" localSheetId="44" hidden="1">#REF!</definedName>
    <definedName name="__123Graph_ADMD_2" localSheetId="45" hidden="1">#REF!</definedName>
    <definedName name="__123Graph_ADMD_2" localSheetId="17" hidden="1">#REF!</definedName>
    <definedName name="__123Graph_ADMD_2" localSheetId="27" hidden="1">#REF!</definedName>
    <definedName name="__123Graph_ADMD_2" localSheetId="72" hidden="1">#REF!</definedName>
    <definedName name="__123Graph_ADMD_2" localSheetId="28" hidden="1">#REF!</definedName>
    <definedName name="__123Graph_ADMD_2" localSheetId="29" hidden="1">#REF!</definedName>
    <definedName name="__123Graph_ADMD_2" localSheetId="66" hidden="1">#REF!</definedName>
    <definedName name="__123Graph_ADMD_2" hidden="1">#REF!</definedName>
    <definedName name="__123Graph_AFAC" localSheetId="70" hidden="1">#REF!</definedName>
    <definedName name="__123Graph_AFAC" localSheetId="52" hidden="1">#REF!</definedName>
    <definedName name="__123Graph_AFAC" localSheetId="58" hidden="1">#REF!</definedName>
    <definedName name="__123Graph_AFAC" localSheetId="57" hidden="1">#REF!</definedName>
    <definedName name="__123Graph_AFAC" localSheetId="64" hidden="1">#REF!</definedName>
    <definedName name="__123Graph_AFAC" localSheetId="67" hidden="1">#REF!</definedName>
    <definedName name="__123Graph_AFAC" localSheetId="65" hidden="1">#REF!</definedName>
    <definedName name="__123Graph_AFAC" localSheetId="68" hidden="1">#REF!</definedName>
    <definedName name="__123Graph_AFAC" localSheetId="71" hidden="1">#REF!</definedName>
    <definedName name="__123Graph_AFAC" localSheetId="44" hidden="1">#REF!</definedName>
    <definedName name="__123Graph_AFAC" localSheetId="45" hidden="1">#REF!</definedName>
    <definedName name="__123Graph_AFAC" localSheetId="17" hidden="1">#REF!</definedName>
    <definedName name="__123Graph_AFAC" localSheetId="27" hidden="1">#REF!</definedName>
    <definedName name="__123Graph_AFAC" localSheetId="72" hidden="1">#REF!</definedName>
    <definedName name="__123Graph_AFAC" localSheetId="28" hidden="1">#REF!</definedName>
    <definedName name="__123Graph_AFAC" localSheetId="29" hidden="1">#REF!</definedName>
    <definedName name="__123Graph_AFAC" localSheetId="66" hidden="1">#REF!</definedName>
    <definedName name="__123Graph_AFAC" hidden="1">#REF!</definedName>
    <definedName name="__123Graph_AFAC_COMP" localSheetId="70" hidden="1">#REF!</definedName>
    <definedName name="__123Graph_AFAC_COMP" localSheetId="52" hidden="1">#REF!</definedName>
    <definedName name="__123Graph_AFAC_COMP" localSheetId="58" hidden="1">#REF!</definedName>
    <definedName name="__123Graph_AFAC_COMP" localSheetId="57" hidden="1">#REF!</definedName>
    <definedName name="__123Graph_AFAC_COMP" localSheetId="64" hidden="1">#REF!</definedName>
    <definedName name="__123Graph_AFAC_COMP" localSheetId="67" hidden="1">#REF!</definedName>
    <definedName name="__123Graph_AFAC_COMP" localSheetId="65" hidden="1">#REF!</definedName>
    <definedName name="__123Graph_AFAC_COMP" localSheetId="68" hidden="1">#REF!</definedName>
    <definedName name="__123Graph_AFAC_COMP" localSheetId="71" hidden="1">#REF!</definedName>
    <definedName name="__123Graph_AFAC_COMP" localSheetId="44" hidden="1">#REF!</definedName>
    <definedName name="__123Graph_AFAC_COMP" localSheetId="45" hidden="1">#REF!</definedName>
    <definedName name="__123Graph_AFAC_COMP" localSheetId="27" hidden="1">#REF!</definedName>
    <definedName name="__123Graph_AFAC_COMP" localSheetId="28" hidden="1">#REF!</definedName>
    <definedName name="__123Graph_AFAC_COMP" localSheetId="29" hidden="1">#REF!</definedName>
    <definedName name="__123Graph_AFAC_COMP" localSheetId="66" hidden="1">#REF!</definedName>
    <definedName name="__123Graph_AFAC_COMP" hidden="1">#REF!</definedName>
    <definedName name="__123Graph_B" localSheetId="70" hidden="1">'[22]Eq. Mobilization'!#REF!</definedName>
    <definedName name="__123Graph_B" localSheetId="52" hidden="1">'[22]Eq. Mobilization'!#REF!</definedName>
    <definedName name="__123Graph_B" localSheetId="58" hidden="1">'[22]Eq. Mobilization'!#REF!</definedName>
    <definedName name="__123Graph_B" localSheetId="57" hidden="1">'[22]Eq. Mobilization'!#REF!</definedName>
    <definedName name="__123Graph_B" localSheetId="64" hidden="1">'[22]Eq. Mobilization'!#REF!</definedName>
    <definedName name="__123Graph_B" localSheetId="67" hidden="1">'[22]Eq. Mobilization'!#REF!</definedName>
    <definedName name="__123Graph_B" localSheetId="65" hidden="1">'[22]Eq. Mobilization'!#REF!</definedName>
    <definedName name="__123Graph_B" localSheetId="68" hidden="1">'[22]Eq. Mobilization'!#REF!</definedName>
    <definedName name="__123Graph_B" localSheetId="71" hidden="1">'[22]Eq. Mobilization'!#REF!</definedName>
    <definedName name="__123Graph_B" localSheetId="44" hidden="1">'[22]Eq. Mobilization'!#REF!</definedName>
    <definedName name="__123Graph_B" localSheetId="45" hidden="1">'[22]Eq. Mobilization'!#REF!</definedName>
    <definedName name="__123Graph_B" localSheetId="27" hidden="1">'[22]Eq. Mobilization'!#REF!</definedName>
    <definedName name="__123Graph_B" localSheetId="28" hidden="1">'[22]Eq. Mobilization'!#REF!</definedName>
    <definedName name="__123Graph_B" localSheetId="29" hidden="1">'[22]Eq. Mobilization'!#REF!</definedName>
    <definedName name="__123Graph_B" localSheetId="66" hidden="1">'[22]Eq. Mobilization'!#REF!</definedName>
    <definedName name="__123Graph_B" hidden="1">'[22]Eq. Mobilization'!#REF!</definedName>
    <definedName name="__123Graph_BCurrent" localSheetId="70" hidden="1">'[22]Eq. Mobilization'!#REF!</definedName>
    <definedName name="__123Graph_BCurrent" localSheetId="52" hidden="1">'[22]Eq. Mobilization'!#REF!</definedName>
    <definedName name="__123Graph_BCurrent" localSheetId="58" hidden="1">'[22]Eq. Mobilization'!#REF!</definedName>
    <definedName name="__123Graph_BCurrent" localSheetId="57" hidden="1">'[22]Eq. Mobilization'!#REF!</definedName>
    <definedName name="__123Graph_BCurrent" localSheetId="64" hidden="1">'[22]Eq. Mobilization'!#REF!</definedName>
    <definedName name="__123Graph_BCurrent" localSheetId="67" hidden="1">'[22]Eq. Mobilization'!#REF!</definedName>
    <definedName name="__123Graph_BCurrent" localSheetId="65" hidden="1">'[22]Eq. Mobilization'!#REF!</definedName>
    <definedName name="__123Graph_BCurrent" localSheetId="68" hidden="1">'[22]Eq. Mobilization'!#REF!</definedName>
    <definedName name="__123Graph_BCurrent" localSheetId="71" hidden="1">'[22]Eq. Mobilization'!#REF!</definedName>
    <definedName name="__123Graph_BCurrent" localSheetId="44" hidden="1">'[22]Eq. Mobilization'!#REF!</definedName>
    <definedName name="__123Graph_BCurrent" localSheetId="45" hidden="1">'[22]Eq. Mobilization'!#REF!</definedName>
    <definedName name="__123Graph_BCurrent" localSheetId="27" hidden="1">'[22]Eq. Mobilization'!#REF!</definedName>
    <definedName name="__123Graph_BCurrent" localSheetId="28" hidden="1">'[22]Eq. Mobilization'!#REF!</definedName>
    <definedName name="__123Graph_BCurrent" localSheetId="29" hidden="1">'[22]Eq. Mobilization'!#REF!</definedName>
    <definedName name="__123Graph_BCurrent" localSheetId="66" hidden="1">'[22]Eq. Mobilization'!#REF!</definedName>
    <definedName name="__123Graph_BCurrent" hidden="1">'[22]Eq. Mobilization'!#REF!</definedName>
    <definedName name="__123Graph_BDMD_2" localSheetId="70" hidden="1">#REF!</definedName>
    <definedName name="__123Graph_BDMD_2" localSheetId="52" hidden="1">#REF!</definedName>
    <definedName name="__123Graph_BDMD_2" localSheetId="58" hidden="1">#REF!</definedName>
    <definedName name="__123Graph_BDMD_2" localSheetId="56" hidden="1">#REF!</definedName>
    <definedName name="__123Graph_BDMD_2" localSheetId="57" hidden="1">#REF!</definedName>
    <definedName name="__123Graph_BDMD_2" localSheetId="64" hidden="1">#REF!</definedName>
    <definedName name="__123Graph_BDMD_2" localSheetId="67" hidden="1">#REF!</definedName>
    <definedName name="__123Graph_BDMD_2" localSheetId="65" hidden="1">#REF!</definedName>
    <definedName name="__123Graph_BDMD_2" localSheetId="68" hidden="1">#REF!</definedName>
    <definedName name="__123Graph_BDMD_2" localSheetId="71" hidden="1">#REF!</definedName>
    <definedName name="__123Graph_BDMD_2" localSheetId="44" hidden="1">#REF!</definedName>
    <definedName name="__123Graph_BDMD_2" localSheetId="45" hidden="1">#REF!</definedName>
    <definedName name="__123Graph_BDMD_2" localSheetId="17" hidden="1">#REF!</definedName>
    <definedName name="__123Graph_BDMD_2" localSheetId="27" hidden="1">#REF!</definedName>
    <definedName name="__123Graph_BDMD_2" localSheetId="72" hidden="1">#REF!</definedName>
    <definedName name="__123Graph_BDMD_2" localSheetId="28" hidden="1">#REF!</definedName>
    <definedName name="__123Graph_BDMD_2" localSheetId="29" hidden="1">#REF!</definedName>
    <definedName name="__123Graph_BDMD_2" localSheetId="66" hidden="1">#REF!</definedName>
    <definedName name="__123Graph_BDMD_2" hidden="1">#REF!</definedName>
    <definedName name="__123Graph_BFAC" localSheetId="70" hidden="1">#REF!</definedName>
    <definedName name="__123Graph_BFAC" localSheetId="52" hidden="1">#REF!</definedName>
    <definedName name="__123Graph_BFAC" localSheetId="58" hidden="1">#REF!</definedName>
    <definedName name="__123Graph_BFAC" localSheetId="57" hidden="1">#REF!</definedName>
    <definedName name="__123Graph_BFAC" localSheetId="64" hidden="1">#REF!</definedName>
    <definedName name="__123Graph_BFAC" localSheetId="67" hidden="1">#REF!</definedName>
    <definedName name="__123Graph_BFAC" localSheetId="65" hidden="1">#REF!</definedName>
    <definedName name="__123Graph_BFAC" localSheetId="68" hidden="1">#REF!</definedName>
    <definedName name="__123Graph_BFAC" localSheetId="71" hidden="1">#REF!</definedName>
    <definedName name="__123Graph_BFAC" localSheetId="44" hidden="1">#REF!</definedName>
    <definedName name="__123Graph_BFAC" localSheetId="45" hidden="1">#REF!</definedName>
    <definedName name="__123Graph_BFAC" localSheetId="17" hidden="1">#REF!</definedName>
    <definedName name="__123Graph_BFAC" localSheetId="27" hidden="1">#REF!</definedName>
    <definedName name="__123Graph_BFAC" localSheetId="72" hidden="1">#REF!</definedName>
    <definedName name="__123Graph_BFAC" localSheetId="28" hidden="1">#REF!</definedName>
    <definedName name="__123Graph_BFAC" localSheetId="29" hidden="1">#REF!</definedName>
    <definedName name="__123Graph_BFAC" localSheetId="66" hidden="1">#REF!</definedName>
    <definedName name="__123Graph_BFAC" hidden="1">#REF!</definedName>
    <definedName name="__123Graph_BFAC_COMP" localSheetId="70" hidden="1">#REF!</definedName>
    <definedName name="__123Graph_BFAC_COMP" localSheetId="52" hidden="1">#REF!</definedName>
    <definedName name="__123Graph_BFAC_COMP" localSheetId="58" hidden="1">#REF!</definedName>
    <definedName name="__123Graph_BFAC_COMP" localSheetId="57" hidden="1">#REF!</definedName>
    <definedName name="__123Graph_BFAC_COMP" localSheetId="64" hidden="1">#REF!</definedName>
    <definedName name="__123Graph_BFAC_COMP" localSheetId="67" hidden="1">#REF!</definedName>
    <definedName name="__123Graph_BFAC_COMP" localSheetId="65" hidden="1">#REF!</definedName>
    <definedName name="__123Graph_BFAC_COMP" localSheetId="68" hidden="1">#REF!</definedName>
    <definedName name="__123Graph_BFAC_COMP" localSheetId="71" hidden="1">#REF!</definedName>
    <definedName name="__123Graph_BFAC_COMP" localSheetId="44" hidden="1">#REF!</definedName>
    <definedName name="__123Graph_BFAC_COMP" localSheetId="45" hidden="1">#REF!</definedName>
    <definedName name="__123Graph_BFAC_COMP" localSheetId="17" hidden="1">#REF!</definedName>
    <definedName name="__123Graph_BFAC_COMP" localSheetId="27" hidden="1">#REF!</definedName>
    <definedName name="__123Graph_BFAC_COMP" localSheetId="72" hidden="1">#REF!</definedName>
    <definedName name="__123Graph_BFAC_COMP" localSheetId="28" hidden="1">#REF!</definedName>
    <definedName name="__123Graph_BFAC_COMP" localSheetId="29" hidden="1">#REF!</definedName>
    <definedName name="__123Graph_BFAC_COMP" localSheetId="66" hidden="1">#REF!</definedName>
    <definedName name="__123Graph_BFAC_COMP" hidden="1">#REF!</definedName>
    <definedName name="__123Graph_D" localSheetId="70" hidden="1">#REF!</definedName>
    <definedName name="__123Graph_D" localSheetId="52" hidden="1">#REF!</definedName>
    <definedName name="__123Graph_D" localSheetId="58" hidden="1">#REF!</definedName>
    <definedName name="__123Graph_D" localSheetId="57" hidden="1">#REF!</definedName>
    <definedName name="__123Graph_D" localSheetId="64" hidden="1">#REF!</definedName>
    <definedName name="__123Graph_D" localSheetId="67" hidden="1">#REF!</definedName>
    <definedName name="__123Graph_D" localSheetId="65" hidden="1">#REF!</definedName>
    <definedName name="__123Graph_D" localSheetId="68" hidden="1">#REF!</definedName>
    <definedName name="__123Graph_D" localSheetId="71" hidden="1">#REF!</definedName>
    <definedName name="__123Graph_D" localSheetId="44" hidden="1">#REF!</definedName>
    <definedName name="__123Graph_D" localSheetId="45" hidden="1">#REF!</definedName>
    <definedName name="__123Graph_D" localSheetId="27" hidden="1">#REF!</definedName>
    <definedName name="__123Graph_D" localSheetId="28" hidden="1">#REF!</definedName>
    <definedName name="__123Graph_D" localSheetId="29" hidden="1">#REF!</definedName>
    <definedName name="__123Graph_D" localSheetId="66" hidden="1">#REF!</definedName>
    <definedName name="__123Graph_D" hidden="1">#REF!</definedName>
    <definedName name="__123Graph_E" localSheetId="70" hidden="1">#REF!</definedName>
    <definedName name="__123Graph_E" localSheetId="52" hidden="1">#REF!</definedName>
    <definedName name="__123Graph_E" localSheetId="58" hidden="1">#REF!</definedName>
    <definedName name="__123Graph_E" localSheetId="57" hidden="1">#REF!</definedName>
    <definedName name="__123Graph_E" localSheetId="64" hidden="1">#REF!</definedName>
    <definedName name="__123Graph_E" localSheetId="67" hidden="1">#REF!</definedName>
    <definedName name="__123Graph_E" localSheetId="65" hidden="1">#REF!</definedName>
    <definedName name="__123Graph_E" localSheetId="68" hidden="1">#REF!</definedName>
    <definedName name="__123Graph_E" localSheetId="71" hidden="1">#REF!</definedName>
    <definedName name="__123Graph_E" localSheetId="44" hidden="1">#REF!</definedName>
    <definedName name="__123Graph_E" localSheetId="45" hidden="1">#REF!</definedName>
    <definedName name="__123Graph_E" localSheetId="27" hidden="1">#REF!</definedName>
    <definedName name="__123Graph_E" localSheetId="28" hidden="1">#REF!</definedName>
    <definedName name="__123Graph_E" localSheetId="29" hidden="1">#REF!</definedName>
    <definedName name="__123Graph_E" localSheetId="66" hidden="1">#REF!</definedName>
    <definedName name="__123Graph_E" hidden="1">#REF!</definedName>
    <definedName name="__123Graph_LBL_A" localSheetId="70" hidden="1">#REF!</definedName>
    <definedName name="__123Graph_LBL_A" localSheetId="52" hidden="1">#REF!</definedName>
    <definedName name="__123Graph_LBL_A" localSheetId="58" hidden="1">#REF!</definedName>
    <definedName name="__123Graph_LBL_A" localSheetId="57" hidden="1">#REF!</definedName>
    <definedName name="__123Graph_LBL_A" localSheetId="64" hidden="1">#REF!</definedName>
    <definedName name="__123Graph_LBL_A" localSheetId="67" hidden="1">#REF!</definedName>
    <definedName name="__123Graph_LBL_A" localSheetId="65" hidden="1">#REF!</definedName>
    <definedName name="__123Graph_LBL_A" localSheetId="68" hidden="1">#REF!</definedName>
    <definedName name="__123Graph_LBL_A" localSheetId="71" hidden="1">#REF!</definedName>
    <definedName name="__123Graph_LBL_A" localSheetId="44" hidden="1">#REF!</definedName>
    <definedName name="__123Graph_LBL_A" localSheetId="45" hidden="1">#REF!</definedName>
    <definedName name="__123Graph_LBL_A" localSheetId="27" hidden="1">#REF!</definedName>
    <definedName name="__123Graph_LBL_A" localSheetId="28" hidden="1">#REF!</definedName>
    <definedName name="__123Graph_LBL_A" localSheetId="29" hidden="1">#REF!</definedName>
    <definedName name="__123Graph_LBL_A" localSheetId="66" hidden="1">#REF!</definedName>
    <definedName name="__123Graph_LBL_A" hidden="1">#REF!</definedName>
    <definedName name="__123Graph_LBL_ADEMAND" localSheetId="70" hidden="1">#REF!</definedName>
    <definedName name="__123Graph_LBL_ADEMAND" localSheetId="52" hidden="1">#REF!</definedName>
    <definedName name="__123Graph_LBL_ADEMAND" localSheetId="58" hidden="1">#REF!</definedName>
    <definedName name="__123Graph_LBL_ADEMAND" localSheetId="57" hidden="1">#REF!</definedName>
    <definedName name="__123Graph_LBL_ADEMAND" localSheetId="64" hidden="1">#REF!</definedName>
    <definedName name="__123Graph_LBL_ADEMAND" localSheetId="67" hidden="1">#REF!</definedName>
    <definedName name="__123Graph_LBL_ADEMAND" localSheetId="65" hidden="1">#REF!</definedName>
    <definedName name="__123Graph_LBL_ADEMAND" localSheetId="68" hidden="1">#REF!</definedName>
    <definedName name="__123Graph_LBL_ADEMAND" localSheetId="71" hidden="1">#REF!</definedName>
    <definedName name="__123Graph_LBL_ADEMAND" localSheetId="44" hidden="1">#REF!</definedName>
    <definedName name="__123Graph_LBL_ADEMAND" localSheetId="45" hidden="1">#REF!</definedName>
    <definedName name="__123Graph_LBL_ADEMAND" localSheetId="27" hidden="1">#REF!</definedName>
    <definedName name="__123Graph_LBL_ADEMAND" localSheetId="28" hidden="1">#REF!</definedName>
    <definedName name="__123Graph_LBL_ADEMAND" localSheetId="29" hidden="1">#REF!</definedName>
    <definedName name="__123Graph_LBL_ADEMAND" localSheetId="66" hidden="1">#REF!</definedName>
    <definedName name="__123Graph_LBL_ADEMAND" hidden="1">#REF!</definedName>
    <definedName name="__123Graph_LBL_ADMD_2" localSheetId="70" hidden="1">#REF!</definedName>
    <definedName name="__123Graph_LBL_ADMD_2" localSheetId="52" hidden="1">#REF!</definedName>
    <definedName name="__123Graph_LBL_ADMD_2" localSheetId="58" hidden="1">#REF!</definedName>
    <definedName name="__123Graph_LBL_ADMD_2" localSheetId="57" hidden="1">#REF!</definedName>
    <definedName name="__123Graph_LBL_ADMD_2" localSheetId="64" hidden="1">#REF!</definedName>
    <definedName name="__123Graph_LBL_ADMD_2" localSheetId="67" hidden="1">#REF!</definedName>
    <definedName name="__123Graph_LBL_ADMD_2" localSheetId="65" hidden="1">#REF!</definedName>
    <definedName name="__123Graph_LBL_ADMD_2" localSheetId="68" hidden="1">#REF!</definedName>
    <definedName name="__123Graph_LBL_ADMD_2" localSheetId="71" hidden="1">#REF!</definedName>
    <definedName name="__123Graph_LBL_ADMD_2" localSheetId="44" hidden="1">#REF!</definedName>
    <definedName name="__123Graph_LBL_ADMD_2" localSheetId="45" hidden="1">#REF!</definedName>
    <definedName name="__123Graph_LBL_ADMD_2" localSheetId="27" hidden="1">#REF!</definedName>
    <definedName name="__123Graph_LBL_ADMD_2" localSheetId="28" hidden="1">#REF!</definedName>
    <definedName name="__123Graph_LBL_ADMD_2" localSheetId="29" hidden="1">#REF!</definedName>
    <definedName name="__123Graph_LBL_ADMD_2" localSheetId="66" hidden="1">#REF!</definedName>
    <definedName name="__123Graph_LBL_ADMD_2" hidden="1">#REF!</definedName>
    <definedName name="__123Graph_LBL_AFAC" localSheetId="70" hidden="1">#REF!</definedName>
    <definedName name="__123Graph_LBL_AFAC" localSheetId="52" hidden="1">#REF!</definedName>
    <definedName name="__123Graph_LBL_AFAC" localSheetId="58" hidden="1">#REF!</definedName>
    <definedName name="__123Graph_LBL_AFAC" localSheetId="57" hidden="1">#REF!</definedName>
    <definedName name="__123Graph_LBL_AFAC" localSheetId="64" hidden="1">#REF!</definedName>
    <definedName name="__123Graph_LBL_AFAC" localSheetId="67" hidden="1">#REF!</definedName>
    <definedName name="__123Graph_LBL_AFAC" localSheetId="65" hidden="1">#REF!</definedName>
    <definedName name="__123Graph_LBL_AFAC" localSheetId="68" hidden="1">#REF!</definedName>
    <definedName name="__123Graph_LBL_AFAC" localSheetId="71" hidden="1">#REF!</definedName>
    <definedName name="__123Graph_LBL_AFAC" localSheetId="44" hidden="1">#REF!</definedName>
    <definedName name="__123Graph_LBL_AFAC" localSheetId="45" hidden="1">#REF!</definedName>
    <definedName name="__123Graph_LBL_AFAC" localSheetId="27" hidden="1">#REF!</definedName>
    <definedName name="__123Graph_LBL_AFAC" localSheetId="28" hidden="1">#REF!</definedName>
    <definedName name="__123Graph_LBL_AFAC" localSheetId="29" hidden="1">#REF!</definedName>
    <definedName name="__123Graph_LBL_AFAC" localSheetId="66" hidden="1">#REF!</definedName>
    <definedName name="__123Graph_LBL_AFAC" hidden="1">#REF!</definedName>
    <definedName name="__123Graph_LBL_AFAC_COMP" localSheetId="70" hidden="1">#REF!</definedName>
    <definedName name="__123Graph_LBL_AFAC_COMP" localSheetId="52" hidden="1">#REF!</definedName>
    <definedName name="__123Graph_LBL_AFAC_COMP" localSheetId="58" hidden="1">#REF!</definedName>
    <definedName name="__123Graph_LBL_AFAC_COMP" localSheetId="57" hidden="1">#REF!</definedName>
    <definedName name="__123Graph_LBL_AFAC_COMP" localSheetId="64" hidden="1">#REF!</definedName>
    <definedName name="__123Graph_LBL_AFAC_COMP" localSheetId="67" hidden="1">#REF!</definedName>
    <definedName name="__123Graph_LBL_AFAC_COMP" localSheetId="65" hidden="1">#REF!</definedName>
    <definedName name="__123Graph_LBL_AFAC_COMP" localSheetId="68" hidden="1">#REF!</definedName>
    <definedName name="__123Graph_LBL_AFAC_COMP" localSheetId="71" hidden="1">#REF!</definedName>
    <definedName name="__123Graph_LBL_AFAC_COMP" localSheetId="44" hidden="1">#REF!</definedName>
    <definedName name="__123Graph_LBL_AFAC_COMP" localSheetId="45" hidden="1">#REF!</definedName>
    <definedName name="__123Graph_LBL_AFAC_COMP" localSheetId="27" hidden="1">#REF!</definedName>
    <definedName name="__123Graph_LBL_AFAC_COMP" localSheetId="28" hidden="1">#REF!</definedName>
    <definedName name="__123Graph_LBL_AFAC_COMP" localSheetId="29" hidden="1">#REF!</definedName>
    <definedName name="__123Graph_LBL_AFAC_COMP" localSheetId="66" hidden="1">#REF!</definedName>
    <definedName name="__123Graph_LBL_AFAC_COMP" hidden="1">#REF!</definedName>
    <definedName name="__123Graph_LBL_B" localSheetId="70" hidden="1">'[22]Eq. Mobilization'!#REF!</definedName>
    <definedName name="__123Graph_LBL_B" localSheetId="52" hidden="1">'[22]Eq. Mobilization'!#REF!</definedName>
    <definedName name="__123Graph_LBL_B" localSheetId="58" hidden="1">'[22]Eq. Mobilization'!#REF!</definedName>
    <definedName name="__123Graph_LBL_B" localSheetId="57" hidden="1">'[22]Eq. Mobilization'!#REF!</definedName>
    <definedName name="__123Graph_LBL_B" localSheetId="64" hidden="1">'[22]Eq. Mobilization'!#REF!</definedName>
    <definedName name="__123Graph_LBL_B" localSheetId="67" hidden="1">'[22]Eq. Mobilization'!#REF!</definedName>
    <definedName name="__123Graph_LBL_B" localSheetId="65" hidden="1">'[22]Eq. Mobilization'!#REF!</definedName>
    <definedName name="__123Graph_LBL_B" localSheetId="68" hidden="1">'[22]Eq. Mobilization'!#REF!</definedName>
    <definedName name="__123Graph_LBL_B" localSheetId="71" hidden="1">'[22]Eq. Mobilization'!#REF!</definedName>
    <definedName name="__123Graph_LBL_B" localSheetId="44" hidden="1">'[22]Eq. Mobilization'!#REF!</definedName>
    <definedName name="__123Graph_LBL_B" localSheetId="45" hidden="1">'[22]Eq. Mobilization'!#REF!</definedName>
    <definedName name="__123Graph_LBL_B" localSheetId="27" hidden="1">'[22]Eq. Mobilization'!#REF!</definedName>
    <definedName name="__123Graph_LBL_B" localSheetId="28" hidden="1">'[22]Eq. Mobilization'!#REF!</definedName>
    <definedName name="__123Graph_LBL_B" localSheetId="29" hidden="1">'[22]Eq. Mobilization'!#REF!</definedName>
    <definedName name="__123Graph_LBL_B" localSheetId="66" hidden="1">'[22]Eq. Mobilization'!#REF!</definedName>
    <definedName name="__123Graph_LBL_B" hidden="1">'[22]Eq. Mobilization'!#REF!</definedName>
    <definedName name="__123Graph_LBL_BDMD_2" localSheetId="70" hidden="1">#REF!</definedName>
    <definedName name="__123Graph_LBL_BDMD_2" localSheetId="52" hidden="1">#REF!</definedName>
    <definedName name="__123Graph_LBL_BDMD_2" localSheetId="58" hidden="1">#REF!</definedName>
    <definedName name="__123Graph_LBL_BDMD_2" localSheetId="56" hidden="1">#REF!</definedName>
    <definedName name="__123Graph_LBL_BDMD_2" localSheetId="57" hidden="1">#REF!</definedName>
    <definedName name="__123Graph_LBL_BDMD_2" localSheetId="64" hidden="1">#REF!</definedName>
    <definedName name="__123Graph_LBL_BDMD_2" localSheetId="67" hidden="1">#REF!</definedName>
    <definedName name="__123Graph_LBL_BDMD_2" localSheetId="65" hidden="1">#REF!</definedName>
    <definedName name="__123Graph_LBL_BDMD_2" localSheetId="68" hidden="1">#REF!</definedName>
    <definedName name="__123Graph_LBL_BDMD_2" localSheetId="71" hidden="1">#REF!</definedName>
    <definedName name="__123Graph_LBL_BDMD_2" localSheetId="44" hidden="1">#REF!</definedName>
    <definedName name="__123Graph_LBL_BDMD_2" localSheetId="45" hidden="1">#REF!</definedName>
    <definedName name="__123Graph_LBL_BDMD_2" localSheetId="17" hidden="1">#REF!</definedName>
    <definedName name="__123Graph_LBL_BDMD_2" localSheetId="27" hidden="1">#REF!</definedName>
    <definedName name="__123Graph_LBL_BDMD_2" localSheetId="72" hidden="1">#REF!</definedName>
    <definedName name="__123Graph_LBL_BDMD_2" localSheetId="28" hidden="1">#REF!</definedName>
    <definedName name="__123Graph_LBL_BDMD_2" localSheetId="29" hidden="1">#REF!</definedName>
    <definedName name="__123Graph_LBL_BDMD_2" localSheetId="66" hidden="1">#REF!</definedName>
    <definedName name="__123Graph_LBL_BDMD_2" hidden="1">#REF!</definedName>
    <definedName name="__123Graph_LBL_BFAC" localSheetId="70" hidden="1">#REF!</definedName>
    <definedName name="__123Graph_LBL_BFAC" localSheetId="52" hidden="1">#REF!</definedName>
    <definedName name="__123Graph_LBL_BFAC" localSheetId="58" hidden="1">#REF!</definedName>
    <definedName name="__123Graph_LBL_BFAC" localSheetId="57" hidden="1">#REF!</definedName>
    <definedName name="__123Graph_LBL_BFAC" localSheetId="64" hidden="1">#REF!</definedName>
    <definedName name="__123Graph_LBL_BFAC" localSheetId="67" hidden="1">#REF!</definedName>
    <definedName name="__123Graph_LBL_BFAC" localSheetId="65" hidden="1">#REF!</definedName>
    <definedName name="__123Graph_LBL_BFAC" localSheetId="68" hidden="1">#REF!</definedName>
    <definedName name="__123Graph_LBL_BFAC" localSheetId="71" hidden="1">#REF!</definedName>
    <definedName name="__123Graph_LBL_BFAC" localSheetId="44" hidden="1">#REF!</definedName>
    <definedName name="__123Graph_LBL_BFAC" localSheetId="45" hidden="1">#REF!</definedName>
    <definedName name="__123Graph_LBL_BFAC" localSheetId="17" hidden="1">#REF!</definedName>
    <definedName name="__123Graph_LBL_BFAC" localSheetId="27" hidden="1">#REF!</definedName>
    <definedName name="__123Graph_LBL_BFAC" localSheetId="72" hidden="1">#REF!</definedName>
    <definedName name="__123Graph_LBL_BFAC" localSheetId="28" hidden="1">#REF!</definedName>
    <definedName name="__123Graph_LBL_BFAC" localSheetId="29" hidden="1">#REF!</definedName>
    <definedName name="__123Graph_LBL_BFAC" localSheetId="66" hidden="1">#REF!</definedName>
    <definedName name="__123Graph_LBL_BFAC" hidden="1">#REF!</definedName>
    <definedName name="__123Graph_LBL_BFAC_COMP" localSheetId="70" hidden="1">#REF!</definedName>
    <definedName name="__123Graph_LBL_BFAC_COMP" localSheetId="52" hidden="1">#REF!</definedName>
    <definedName name="__123Graph_LBL_BFAC_COMP" localSheetId="58" hidden="1">#REF!</definedName>
    <definedName name="__123Graph_LBL_BFAC_COMP" localSheetId="57" hidden="1">#REF!</definedName>
    <definedName name="__123Graph_LBL_BFAC_COMP" localSheetId="64" hidden="1">#REF!</definedName>
    <definedName name="__123Graph_LBL_BFAC_COMP" localSheetId="67" hidden="1">#REF!</definedName>
    <definedName name="__123Graph_LBL_BFAC_COMP" localSheetId="65" hidden="1">#REF!</definedName>
    <definedName name="__123Graph_LBL_BFAC_COMP" localSheetId="68" hidden="1">#REF!</definedName>
    <definedName name="__123Graph_LBL_BFAC_COMP" localSheetId="71" hidden="1">#REF!</definedName>
    <definedName name="__123Graph_LBL_BFAC_COMP" localSheetId="44" hidden="1">#REF!</definedName>
    <definedName name="__123Graph_LBL_BFAC_COMP" localSheetId="45" hidden="1">#REF!</definedName>
    <definedName name="__123Graph_LBL_BFAC_COMP" localSheetId="17" hidden="1">#REF!</definedName>
    <definedName name="__123Graph_LBL_BFAC_COMP" localSheetId="27" hidden="1">#REF!</definedName>
    <definedName name="__123Graph_LBL_BFAC_COMP" localSheetId="72" hidden="1">#REF!</definedName>
    <definedName name="__123Graph_LBL_BFAC_COMP" localSheetId="28" hidden="1">#REF!</definedName>
    <definedName name="__123Graph_LBL_BFAC_COMP" localSheetId="29" hidden="1">#REF!</definedName>
    <definedName name="__123Graph_LBL_BFAC_COMP" localSheetId="66" hidden="1">#REF!</definedName>
    <definedName name="__123Graph_LBL_BFAC_COMP" hidden="1">#REF!</definedName>
    <definedName name="__123Graph_X" localSheetId="70" hidden="1">#REF!</definedName>
    <definedName name="__123Graph_X" localSheetId="52" hidden="1">#REF!</definedName>
    <definedName name="__123Graph_X" localSheetId="58" hidden="1">#REF!</definedName>
    <definedName name="__123Graph_X" localSheetId="57" hidden="1">#REF!</definedName>
    <definedName name="__123Graph_X" localSheetId="64" hidden="1">#REF!</definedName>
    <definedName name="__123Graph_X" localSheetId="67" hidden="1">#REF!</definedName>
    <definedName name="__123Graph_X" localSheetId="65" hidden="1">#REF!</definedName>
    <definedName name="__123Graph_X" localSheetId="68" hidden="1">#REF!</definedName>
    <definedName name="__123Graph_X" localSheetId="71" hidden="1">#REF!</definedName>
    <definedName name="__123Graph_X" localSheetId="44" hidden="1">#REF!</definedName>
    <definedName name="__123Graph_X" localSheetId="45" hidden="1">#REF!</definedName>
    <definedName name="__123Graph_X" localSheetId="27" hidden="1">#REF!</definedName>
    <definedName name="__123Graph_X" localSheetId="28" hidden="1">#REF!</definedName>
    <definedName name="__123Graph_X" localSheetId="29" hidden="1">#REF!</definedName>
    <definedName name="__123Graph_X" localSheetId="66" hidden="1">#REF!</definedName>
    <definedName name="__123Graph_X" hidden="1">#REF!</definedName>
    <definedName name="__123Graph_XCurrent" localSheetId="70" hidden="1">'[22]Eq. Mobilization'!#REF!</definedName>
    <definedName name="__123Graph_XCurrent" localSheetId="52" hidden="1">'[22]Eq. Mobilization'!#REF!</definedName>
    <definedName name="__123Graph_XCurrent" localSheetId="58" hidden="1">'[22]Eq. Mobilization'!#REF!</definedName>
    <definedName name="__123Graph_XCurrent" localSheetId="57" hidden="1">'[22]Eq. Mobilization'!#REF!</definedName>
    <definedName name="__123Graph_XCurrent" localSheetId="64" hidden="1">'[22]Eq. Mobilization'!#REF!</definedName>
    <definedName name="__123Graph_XCurrent" localSheetId="67" hidden="1">'[22]Eq. Mobilization'!#REF!</definedName>
    <definedName name="__123Graph_XCurrent" localSheetId="65" hidden="1">'[22]Eq. Mobilization'!#REF!</definedName>
    <definedName name="__123Graph_XCurrent" localSheetId="68" hidden="1">'[22]Eq. Mobilization'!#REF!</definedName>
    <definedName name="__123Graph_XCurrent" localSheetId="71" hidden="1">'[22]Eq. Mobilization'!#REF!</definedName>
    <definedName name="__123Graph_XCurrent" localSheetId="44" hidden="1">'[22]Eq. Mobilization'!#REF!</definedName>
    <definedName name="__123Graph_XCurrent" localSheetId="45" hidden="1">'[22]Eq. Mobilization'!#REF!</definedName>
    <definedName name="__123Graph_XCurrent" localSheetId="27" hidden="1">'[22]Eq. Mobilization'!#REF!</definedName>
    <definedName name="__123Graph_XCurrent" localSheetId="28" hidden="1">'[22]Eq. Mobilization'!#REF!</definedName>
    <definedName name="__123Graph_XCurrent" localSheetId="29" hidden="1">'[22]Eq. Mobilization'!#REF!</definedName>
    <definedName name="__123Graph_XCurrent" localSheetId="66" hidden="1">'[22]Eq. Mobilization'!#REF!</definedName>
    <definedName name="__123Graph_XCurrent" hidden="1">'[22]Eq. Mobilization'!#REF!</definedName>
    <definedName name="__123Graph_XDEMAND" localSheetId="70" hidden="1">#REF!</definedName>
    <definedName name="__123Graph_XDEMAND" localSheetId="52" hidden="1">#REF!</definedName>
    <definedName name="__123Graph_XDEMAND" localSheetId="58" hidden="1">#REF!</definedName>
    <definedName name="__123Graph_XDEMAND" localSheetId="56" hidden="1">#REF!</definedName>
    <definedName name="__123Graph_XDEMAND" localSheetId="57" hidden="1">#REF!</definedName>
    <definedName name="__123Graph_XDEMAND" localSheetId="64" hidden="1">#REF!</definedName>
    <definedName name="__123Graph_XDEMAND" localSheetId="67" hidden="1">#REF!</definedName>
    <definedName name="__123Graph_XDEMAND" localSheetId="65" hidden="1">#REF!</definedName>
    <definedName name="__123Graph_XDEMAND" localSheetId="68" hidden="1">#REF!</definedName>
    <definedName name="__123Graph_XDEMAND" localSheetId="71" hidden="1">#REF!</definedName>
    <definedName name="__123Graph_XDEMAND" localSheetId="44" hidden="1">#REF!</definedName>
    <definedName name="__123Graph_XDEMAND" localSheetId="45" hidden="1">#REF!</definedName>
    <definedName name="__123Graph_XDEMAND" localSheetId="17" hidden="1">#REF!</definedName>
    <definedName name="__123Graph_XDEMAND" localSheetId="27" hidden="1">#REF!</definedName>
    <definedName name="__123Graph_XDEMAND" localSheetId="72" hidden="1">#REF!</definedName>
    <definedName name="__123Graph_XDEMAND" localSheetId="28" hidden="1">#REF!</definedName>
    <definedName name="__123Graph_XDEMAND" localSheetId="29" hidden="1">#REF!</definedName>
    <definedName name="__123Graph_XDEMAND" localSheetId="66" hidden="1">#REF!</definedName>
    <definedName name="__123Graph_XDEMAND" hidden="1">#REF!</definedName>
    <definedName name="__123Graph_XDMD_2" localSheetId="70" hidden="1">#REF!</definedName>
    <definedName name="__123Graph_XDMD_2" localSheetId="52" hidden="1">#REF!</definedName>
    <definedName name="__123Graph_XDMD_2" localSheetId="58" hidden="1">#REF!</definedName>
    <definedName name="__123Graph_XDMD_2" localSheetId="57" hidden="1">#REF!</definedName>
    <definedName name="__123Graph_XDMD_2" localSheetId="64" hidden="1">#REF!</definedName>
    <definedName name="__123Graph_XDMD_2" localSheetId="67" hidden="1">#REF!</definedName>
    <definedName name="__123Graph_XDMD_2" localSheetId="65" hidden="1">#REF!</definedName>
    <definedName name="__123Graph_XDMD_2" localSheetId="68" hidden="1">#REF!</definedName>
    <definedName name="__123Graph_XDMD_2" localSheetId="71" hidden="1">#REF!</definedName>
    <definedName name="__123Graph_XDMD_2" localSheetId="44" hidden="1">#REF!</definedName>
    <definedName name="__123Graph_XDMD_2" localSheetId="45" hidden="1">#REF!</definedName>
    <definedName name="__123Graph_XDMD_2" localSheetId="17" hidden="1">#REF!</definedName>
    <definedName name="__123Graph_XDMD_2" localSheetId="27" hidden="1">#REF!</definedName>
    <definedName name="__123Graph_XDMD_2" localSheetId="72" hidden="1">#REF!</definedName>
    <definedName name="__123Graph_XDMD_2" localSheetId="28" hidden="1">#REF!</definedName>
    <definedName name="__123Graph_XDMD_2" localSheetId="29" hidden="1">#REF!</definedName>
    <definedName name="__123Graph_XDMD_2" localSheetId="66" hidden="1">#REF!</definedName>
    <definedName name="__123Graph_XDMD_2" hidden="1">#REF!</definedName>
    <definedName name="__123Graph_XFAC" localSheetId="70" hidden="1">#REF!</definedName>
    <definedName name="__123Graph_XFAC" localSheetId="52" hidden="1">#REF!</definedName>
    <definedName name="__123Graph_XFAC" localSheetId="58" hidden="1">#REF!</definedName>
    <definedName name="__123Graph_XFAC" localSheetId="57" hidden="1">#REF!</definedName>
    <definedName name="__123Graph_XFAC" localSheetId="64" hidden="1">#REF!</definedName>
    <definedName name="__123Graph_XFAC" localSheetId="67" hidden="1">#REF!</definedName>
    <definedName name="__123Graph_XFAC" localSheetId="65" hidden="1">#REF!</definedName>
    <definedName name="__123Graph_XFAC" localSheetId="68" hidden="1">#REF!</definedName>
    <definedName name="__123Graph_XFAC" localSheetId="71" hidden="1">#REF!</definedName>
    <definedName name="__123Graph_XFAC" localSheetId="44" hidden="1">#REF!</definedName>
    <definedName name="__123Graph_XFAC" localSheetId="45" hidden="1">#REF!</definedName>
    <definedName name="__123Graph_XFAC" localSheetId="17" hidden="1">#REF!</definedName>
    <definedName name="__123Graph_XFAC" localSheetId="27" hidden="1">#REF!</definedName>
    <definedName name="__123Graph_XFAC" localSheetId="72" hidden="1">#REF!</definedName>
    <definedName name="__123Graph_XFAC" localSheetId="28" hidden="1">#REF!</definedName>
    <definedName name="__123Graph_XFAC" localSheetId="29" hidden="1">#REF!</definedName>
    <definedName name="__123Graph_XFAC" localSheetId="66" hidden="1">#REF!</definedName>
    <definedName name="__123Graph_XFAC" hidden="1">#REF!</definedName>
    <definedName name="__123Graph_XFAC_COMP" localSheetId="70" hidden="1">#REF!</definedName>
    <definedName name="__123Graph_XFAC_COMP" localSheetId="52" hidden="1">#REF!</definedName>
    <definedName name="__123Graph_XFAC_COMP" localSheetId="58" hidden="1">#REF!</definedName>
    <definedName name="__123Graph_XFAC_COMP" localSheetId="57" hidden="1">#REF!</definedName>
    <definedName name="__123Graph_XFAC_COMP" localSheetId="64" hidden="1">#REF!</definedName>
    <definedName name="__123Graph_XFAC_COMP" localSheetId="67" hidden="1">#REF!</definedName>
    <definedName name="__123Graph_XFAC_COMP" localSheetId="65" hidden="1">#REF!</definedName>
    <definedName name="__123Graph_XFAC_COMP" localSheetId="68" hidden="1">#REF!</definedName>
    <definedName name="__123Graph_XFAC_COMP" localSheetId="71" hidden="1">#REF!</definedName>
    <definedName name="__123Graph_XFAC_COMP" localSheetId="44" hidden="1">#REF!</definedName>
    <definedName name="__123Graph_XFAC_COMP" localSheetId="45" hidden="1">#REF!</definedName>
    <definedName name="__123Graph_XFAC_COMP" localSheetId="27" hidden="1">#REF!</definedName>
    <definedName name="__123Graph_XFAC_COMP" localSheetId="28" hidden="1">#REF!</definedName>
    <definedName name="__123Graph_XFAC_COMP" localSheetId="29" hidden="1">#REF!</definedName>
    <definedName name="__123Graph_XFAC_COMP" localSheetId="66" hidden="1">#REF!</definedName>
    <definedName name="__123Graph_XFAC_COMP" hidden="1">#REF!</definedName>
    <definedName name="__a3">[18]Summary!__a3</definedName>
    <definedName name="__AOC2" localSheetId="70">#REF!</definedName>
    <definedName name="__AOC2" localSheetId="52">#REF!</definedName>
    <definedName name="__AOC2" localSheetId="58">#REF!</definedName>
    <definedName name="__AOC2" localSheetId="56">#REF!</definedName>
    <definedName name="__AOC2" localSheetId="57">#REF!</definedName>
    <definedName name="__AOC2" localSheetId="64">#REF!</definedName>
    <definedName name="__AOC2" localSheetId="67">#REF!</definedName>
    <definedName name="__AOC2" localSheetId="65">#REF!</definedName>
    <definedName name="__AOC2" localSheetId="68">#REF!</definedName>
    <definedName name="__AOC2" localSheetId="71">#REF!</definedName>
    <definedName name="__AOC2" localSheetId="44">#REF!</definedName>
    <definedName name="__AOC2" localSheetId="45">#REF!</definedName>
    <definedName name="__AOC2" localSheetId="17">#REF!</definedName>
    <definedName name="__AOC2" localSheetId="27">#REF!</definedName>
    <definedName name="__AOC2" localSheetId="72">#REF!</definedName>
    <definedName name="__AOC2" localSheetId="28">#REF!</definedName>
    <definedName name="__AOC2" localSheetId="29">#REF!</definedName>
    <definedName name="__AOC2" localSheetId="66">#REF!</definedName>
    <definedName name="__AOC2">#REF!</definedName>
    <definedName name="__as3">[12]BEST_17112006!$C$20</definedName>
    <definedName name="__CO1" localSheetId="70">#REF!</definedName>
    <definedName name="__CO1" localSheetId="52">#REF!</definedName>
    <definedName name="__CO1" localSheetId="58">#REF!</definedName>
    <definedName name="__CO1" localSheetId="56">#REF!</definedName>
    <definedName name="__CO1" localSheetId="57">#REF!</definedName>
    <definedName name="__CO1" localSheetId="64">#REF!</definedName>
    <definedName name="__CO1" localSheetId="67">#REF!</definedName>
    <definedName name="__CO1" localSheetId="65">#REF!</definedName>
    <definedName name="__CO1" localSheetId="68">#REF!</definedName>
    <definedName name="__CO1" localSheetId="71">#REF!</definedName>
    <definedName name="__CO1" localSheetId="44">#REF!</definedName>
    <definedName name="__CO1" localSheetId="45">#REF!</definedName>
    <definedName name="__CO1" localSheetId="17">#REF!</definedName>
    <definedName name="__CO1" localSheetId="27">#REF!</definedName>
    <definedName name="__CO1" localSheetId="72">#REF!</definedName>
    <definedName name="__CO1" localSheetId="28">#REF!</definedName>
    <definedName name="__CO1" localSheetId="29">#REF!</definedName>
    <definedName name="__CO1" localSheetId="66">#REF!</definedName>
    <definedName name="__CO1">#REF!</definedName>
    <definedName name="__D87840" localSheetId="70">#REF!</definedName>
    <definedName name="__D87840" localSheetId="52">#REF!</definedName>
    <definedName name="__D87840" localSheetId="58">#REF!</definedName>
    <definedName name="__D87840" localSheetId="57">#REF!</definedName>
    <definedName name="__D87840" localSheetId="64">#REF!</definedName>
    <definedName name="__D87840" localSheetId="67">#REF!</definedName>
    <definedName name="__D87840" localSheetId="65">#REF!</definedName>
    <definedName name="__D87840" localSheetId="68">#REF!</definedName>
    <definedName name="__D87840" localSheetId="71">#REF!</definedName>
    <definedName name="__D87840" localSheetId="44">#REF!</definedName>
    <definedName name="__D87840" localSheetId="45">#REF!</definedName>
    <definedName name="__D87840" localSheetId="17">#REF!</definedName>
    <definedName name="__D87840" localSheetId="27">#REF!</definedName>
    <definedName name="__D87840" localSheetId="72">#REF!</definedName>
    <definedName name="__D87840" localSheetId="28">#REF!</definedName>
    <definedName name="__D87840" localSheetId="29">#REF!</definedName>
    <definedName name="__D87840" localSheetId="66">#REF!</definedName>
    <definedName name="__D87840">#REF!</definedName>
    <definedName name="__DAT1" localSheetId="70">#REF!</definedName>
    <definedName name="__DAT1" localSheetId="52">#REF!</definedName>
    <definedName name="__DAT1" localSheetId="58">#REF!</definedName>
    <definedName name="__DAT1" localSheetId="57">#REF!</definedName>
    <definedName name="__DAT1" localSheetId="64">#REF!</definedName>
    <definedName name="__DAT1" localSheetId="67">#REF!</definedName>
    <definedName name="__DAT1" localSheetId="65">#REF!</definedName>
    <definedName name="__DAT1" localSheetId="68">#REF!</definedName>
    <definedName name="__DAT1" localSheetId="71">#REF!</definedName>
    <definedName name="__DAT1" localSheetId="44">#REF!</definedName>
    <definedName name="__DAT1" localSheetId="45">#REF!</definedName>
    <definedName name="__DAT1" localSheetId="17">#REF!</definedName>
    <definedName name="__DAT1" localSheetId="27">#REF!</definedName>
    <definedName name="__DAT1" localSheetId="72">#REF!</definedName>
    <definedName name="__DAT1" localSheetId="28">#REF!</definedName>
    <definedName name="__DAT1" localSheetId="29">#REF!</definedName>
    <definedName name="__DAT1" localSheetId="66">#REF!</definedName>
    <definedName name="__DAT1">#REF!</definedName>
    <definedName name="__DAT10" localSheetId="70">#REF!</definedName>
    <definedName name="__DAT10" localSheetId="52">#REF!</definedName>
    <definedName name="__DAT10" localSheetId="58">#REF!</definedName>
    <definedName name="__DAT10" localSheetId="57">#REF!</definedName>
    <definedName name="__DAT10" localSheetId="64">#REF!</definedName>
    <definedName name="__DAT10" localSheetId="67">#REF!</definedName>
    <definedName name="__DAT10" localSheetId="65">#REF!</definedName>
    <definedName name="__DAT10" localSheetId="68">#REF!</definedName>
    <definedName name="__DAT10" localSheetId="71">#REF!</definedName>
    <definedName name="__DAT10" localSheetId="44">#REF!</definedName>
    <definedName name="__DAT10" localSheetId="45">#REF!</definedName>
    <definedName name="__DAT10" localSheetId="27">#REF!</definedName>
    <definedName name="__DAT10" localSheetId="28">#REF!</definedName>
    <definedName name="__DAT10" localSheetId="29">#REF!</definedName>
    <definedName name="__DAT10" localSheetId="66">#REF!</definedName>
    <definedName name="__DAT10">#REF!</definedName>
    <definedName name="__DAT11" localSheetId="70">#REF!</definedName>
    <definedName name="__DAT11" localSheetId="52">#REF!</definedName>
    <definedName name="__DAT11" localSheetId="58">#REF!</definedName>
    <definedName name="__DAT11" localSheetId="57">#REF!</definedName>
    <definedName name="__DAT11" localSheetId="64">#REF!</definedName>
    <definedName name="__DAT11" localSheetId="67">#REF!</definedName>
    <definedName name="__DAT11" localSheetId="65">#REF!</definedName>
    <definedName name="__DAT11" localSheetId="68">#REF!</definedName>
    <definedName name="__DAT11" localSheetId="71">#REF!</definedName>
    <definedName name="__DAT11" localSheetId="44">#REF!</definedName>
    <definedName name="__DAT11" localSheetId="45">#REF!</definedName>
    <definedName name="__DAT11" localSheetId="27">#REF!</definedName>
    <definedName name="__DAT11" localSheetId="28">#REF!</definedName>
    <definedName name="__DAT11" localSheetId="29">#REF!</definedName>
    <definedName name="__DAT11" localSheetId="66">#REF!</definedName>
    <definedName name="__DAT11">#REF!</definedName>
    <definedName name="__DAT12" localSheetId="70">'[10]ins spares'!#REF!</definedName>
    <definedName name="__DAT12" localSheetId="52">'[10]ins spares'!#REF!</definedName>
    <definedName name="__DAT12" localSheetId="58">'[10]ins spares'!#REF!</definedName>
    <definedName name="__DAT12" localSheetId="57">'[10]ins spares'!#REF!</definedName>
    <definedName name="__DAT12" localSheetId="64">'[10]ins spares'!#REF!</definedName>
    <definedName name="__DAT12" localSheetId="67">'[10]ins spares'!#REF!</definedName>
    <definedName name="__DAT12" localSheetId="65">'[10]ins spares'!#REF!</definedName>
    <definedName name="__DAT12" localSheetId="68">'[10]ins spares'!#REF!</definedName>
    <definedName name="__DAT12" localSheetId="71">'[10]ins spares'!#REF!</definedName>
    <definedName name="__DAT12" localSheetId="44">'[10]ins spares'!#REF!</definedName>
    <definedName name="__DAT12" localSheetId="45">'[10]ins spares'!#REF!</definedName>
    <definedName name="__DAT12" localSheetId="27">'[10]ins spares'!#REF!</definedName>
    <definedName name="__DAT12" localSheetId="28">'[10]ins spares'!#REF!</definedName>
    <definedName name="__DAT12" localSheetId="29">'[10]ins spares'!#REF!</definedName>
    <definedName name="__DAT12" localSheetId="66">'[10]ins spares'!#REF!</definedName>
    <definedName name="__DAT12">'[10]ins spares'!#REF!</definedName>
    <definedName name="__DAT13" localSheetId="70">'[10]ins spares'!#REF!</definedName>
    <definedName name="__DAT13" localSheetId="52">'[10]ins spares'!#REF!</definedName>
    <definedName name="__DAT13" localSheetId="58">'[10]ins spares'!#REF!</definedName>
    <definedName name="__DAT13" localSheetId="57">'[10]ins spares'!#REF!</definedName>
    <definedName name="__DAT13" localSheetId="64">'[10]ins spares'!#REF!</definedName>
    <definedName name="__DAT13" localSheetId="67">'[10]ins spares'!#REF!</definedName>
    <definedName name="__DAT13" localSheetId="65">'[10]ins spares'!#REF!</definedName>
    <definedName name="__DAT13" localSheetId="68">'[10]ins spares'!#REF!</definedName>
    <definedName name="__DAT13" localSheetId="71">'[10]ins spares'!#REF!</definedName>
    <definedName name="__DAT13" localSheetId="44">'[10]ins spares'!#REF!</definedName>
    <definedName name="__DAT13" localSheetId="45">'[10]ins spares'!#REF!</definedName>
    <definedName name="__DAT13" localSheetId="27">'[10]ins spares'!#REF!</definedName>
    <definedName name="__DAT13" localSheetId="28">'[10]ins spares'!#REF!</definedName>
    <definedName name="__DAT13" localSheetId="29">'[10]ins spares'!#REF!</definedName>
    <definedName name="__DAT13" localSheetId="66">'[10]ins spares'!#REF!</definedName>
    <definedName name="__DAT13">'[10]ins spares'!#REF!</definedName>
    <definedName name="__DAT15" localSheetId="70">'[10]ins spares'!#REF!</definedName>
    <definedName name="__DAT15" localSheetId="52">'[10]ins spares'!#REF!</definedName>
    <definedName name="__DAT15" localSheetId="58">'[10]ins spares'!#REF!</definedName>
    <definedName name="__DAT15" localSheetId="57">'[10]ins spares'!#REF!</definedName>
    <definedName name="__DAT15" localSheetId="64">'[10]ins spares'!#REF!</definedName>
    <definedName name="__DAT15" localSheetId="67">'[10]ins spares'!#REF!</definedName>
    <definedName name="__DAT15" localSheetId="65">'[10]ins spares'!#REF!</definedName>
    <definedName name="__DAT15" localSheetId="68">'[10]ins spares'!#REF!</definedName>
    <definedName name="__DAT15" localSheetId="71">'[10]ins spares'!#REF!</definedName>
    <definedName name="__DAT15" localSheetId="44">'[10]ins spares'!#REF!</definedName>
    <definedName name="__DAT15" localSheetId="45">'[10]ins spares'!#REF!</definedName>
    <definedName name="__DAT15" localSheetId="27">'[10]ins spares'!#REF!</definedName>
    <definedName name="__DAT15" localSheetId="28">'[10]ins spares'!#REF!</definedName>
    <definedName name="__DAT15" localSheetId="29">'[10]ins spares'!#REF!</definedName>
    <definedName name="__DAT15" localSheetId="66">'[10]ins spares'!#REF!</definedName>
    <definedName name="__DAT15">'[10]ins spares'!#REF!</definedName>
    <definedName name="__DAT16" localSheetId="70">'[10]ins spares'!#REF!</definedName>
    <definedName name="__DAT16" localSheetId="52">'[10]ins spares'!#REF!</definedName>
    <definedName name="__DAT16" localSheetId="58">'[10]ins spares'!#REF!</definedName>
    <definedName name="__DAT16" localSheetId="57">'[10]ins spares'!#REF!</definedName>
    <definedName name="__DAT16" localSheetId="64">'[10]ins spares'!#REF!</definedName>
    <definedName name="__DAT16" localSheetId="67">'[10]ins spares'!#REF!</definedName>
    <definedName name="__DAT16" localSheetId="65">'[10]ins spares'!#REF!</definedName>
    <definedName name="__DAT16" localSheetId="68">'[10]ins spares'!#REF!</definedName>
    <definedName name="__DAT16" localSheetId="71">'[10]ins spares'!#REF!</definedName>
    <definedName name="__DAT16" localSheetId="44">'[10]ins spares'!#REF!</definedName>
    <definedName name="__DAT16" localSheetId="45">'[10]ins spares'!#REF!</definedName>
    <definedName name="__DAT16" localSheetId="27">'[10]ins spares'!#REF!</definedName>
    <definedName name="__DAT16" localSheetId="28">'[10]ins spares'!#REF!</definedName>
    <definedName name="__DAT16" localSheetId="29">'[10]ins spares'!#REF!</definedName>
    <definedName name="__DAT16" localSheetId="66">'[10]ins spares'!#REF!</definedName>
    <definedName name="__DAT16">'[10]ins spares'!#REF!</definedName>
    <definedName name="__DAT18" localSheetId="70">'[10]ins spares'!#REF!</definedName>
    <definedName name="__DAT18" localSheetId="52">'[10]ins spares'!#REF!</definedName>
    <definedName name="__DAT18" localSheetId="58">'[10]ins spares'!#REF!</definedName>
    <definedName name="__DAT18" localSheetId="57">'[10]ins spares'!#REF!</definedName>
    <definedName name="__DAT18" localSheetId="64">'[10]ins spares'!#REF!</definedName>
    <definedName name="__DAT18" localSheetId="67">'[10]ins spares'!#REF!</definedName>
    <definedName name="__DAT18" localSheetId="65">'[10]ins spares'!#REF!</definedName>
    <definedName name="__DAT18" localSheetId="68">'[10]ins spares'!#REF!</definedName>
    <definedName name="__DAT18" localSheetId="71">'[10]ins spares'!#REF!</definedName>
    <definedName name="__DAT18" localSheetId="44">'[10]ins spares'!#REF!</definedName>
    <definedName name="__DAT18" localSheetId="45">'[10]ins spares'!#REF!</definedName>
    <definedName name="__DAT18" localSheetId="27">'[10]ins spares'!#REF!</definedName>
    <definedName name="__DAT18" localSheetId="28">'[10]ins spares'!#REF!</definedName>
    <definedName name="__DAT18" localSheetId="29">'[10]ins spares'!#REF!</definedName>
    <definedName name="__DAT18" localSheetId="66">'[10]ins spares'!#REF!</definedName>
    <definedName name="__DAT18">'[10]ins spares'!#REF!</definedName>
    <definedName name="__DAT19" localSheetId="70">'[10]ins spares'!#REF!</definedName>
    <definedName name="__DAT19" localSheetId="52">'[10]ins spares'!#REF!</definedName>
    <definedName name="__DAT19" localSheetId="58">'[10]ins spares'!#REF!</definedName>
    <definedName name="__DAT19" localSheetId="57">'[10]ins spares'!#REF!</definedName>
    <definedName name="__DAT19" localSheetId="64">'[10]ins spares'!#REF!</definedName>
    <definedName name="__DAT19" localSheetId="67">'[10]ins spares'!#REF!</definedName>
    <definedName name="__DAT19" localSheetId="65">'[10]ins spares'!#REF!</definedName>
    <definedName name="__DAT19" localSheetId="68">'[10]ins spares'!#REF!</definedName>
    <definedName name="__DAT19" localSheetId="71">'[10]ins spares'!#REF!</definedName>
    <definedName name="__DAT19" localSheetId="44">'[10]ins spares'!#REF!</definedName>
    <definedName name="__DAT19" localSheetId="45">'[10]ins spares'!#REF!</definedName>
    <definedName name="__DAT19" localSheetId="27">'[10]ins spares'!#REF!</definedName>
    <definedName name="__DAT19" localSheetId="28">'[10]ins spares'!#REF!</definedName>
    <definedName name="__DAT19" localSheetId="29">'[10]ins spares'!#REF!</definedName>
    <definedName name="__DAT19" localSheetId="66">'[10]ins spares'!#REF!</definedName>
    <definedName name="__DAT19">'[10]ins spares'!#REF!</definedName>
    <definedName name="__DAT2" localSheetId="70">#REF!</definedName>
    <definedName name="__DAT2" localSheetId="52">#REF!</definedName>
    <definedName name="__DAT2" localSheetId="58">#REF!</definedName>
    <definedName name="__DAT2" localSheetId="56">#REF!</definedName>
    <definedName name="__DAT2" localSheetId="57">#REF!</definedName>
    <definedName name="__DAT2" localSheetId="64">#REF!</definedName>
    <definedName name="__DAT2" localSheetId="67">#REF!</definedName>
    <definedName name="__DAT2" localSheetId="65">#REF!</definedName>
    <definedName name="__DAT2" localSheetId="68">#REF!</definedName>
    <definedName name="__DAT2" localSheetId="71">#REF!</definedName>
    <definedName name="__DAT2" localSheetId="44">#REF!</definedName>
    <definedName name="__DAT2" localSheetId="45">#REF!</definedName>
    <definedName name="__DAT2" localSheetId="17">#REF!</definedName>
    <definedName name="__DAT2" localSheetId="27">#REF!</definedName>
    <definedName name="__DAT2" localSheetId="72">#REF!</definedName>
    <definedName name="__DAT2" localSheetId="28">#REF!</definedName>
    <definedName name="__DAT2" localSheetId="29">#REF!</definedName>
    <definedName name="__DAT2" localSheetId="66">#REF!</definedName>
    <definedName name="__DAT2">#REF!</definedName>
    <definedName name="__DAT20" localSheetId="70">'[10]ins spares'!#REF!</definedName>
    <definedName name="__DAT20" localSheetId="52">'[10]ins spares'!#REF!</definedName>
    <definedName name="__DAT20" localSheetId="58">'[10]ins spares'!#REF!</definedName>
    <definedName name="__DAT20" localSheetId="56">'[10]ins spares'!#REF!</definedName>
    <definedName name="__DAT20" localSheetId="57">'[10]ins spares'!#REF!</definedName>
    <definedName name="__DAT20" localSheetId="64">'[10]ins spares'!#REF!</definedName>
    <definedName name="__DAT20" localSheetId="67">'[10]ins spares'!#REF!</definedName>
    <definedName name="__DAT20" localSheetId="65">'[10]ins spares'!#REF!</definedName>
    <definedName name="__DAT20" localSheetId="68">'[10]ins spares'!#REF!</definedName>
    <definedName name="__DAT20" localSheetId="71">'[10]ins spares'!#REF!</definedName>
    <definedName name="__DAT20" localSheetId="44">'[10]ins spares'!#REF!</definedName>
    <definedName name="__DAT20" localSheetId="45">'[10]ins spares'!#REF!</definedName>
    <definedName name="__DAT20" localSheetId="17">'[10]ins spares'!#REF!</definedName>
    <definedName name="__DAT20" localSheetId="27">'[10]ins spares'!#REF!</definedName>
    <definedName name="__DAT20" localSheetId="72">'[10]ins spares'!#REF!</definedName>
    <definedName name="__DAT20" localSheetId="28">'[10]ins spares'!#REF!</definedName>
    <definedName name="__DAT20" localSheetId="29">'[10]ins spares'!#REF!</definedName>
    <definedName name="__DAT20" localSheetId="66">'[10]ins spares'!#REF!</definedName>
    <definedName name="__DAT20">'[10]ins spares'!#REF!</definedName>
    <definedName name="__DAT21" localSheetId="70">'[10]ins spares'!#REF!</definedName>
    <definedName name="__DAT21" localSheetId="52">'[10]ins spares'!#REF!</definedName>
    <definedName name="__DAT21" localSheetId="58">'[10]ins spares'!#REF!</definedName>
    <definedName name="__DAT21" localSheetId="57">'[10]ins spares'!#REF!</definedName>
    <definedName name="__DAT21" localSheetId="64">'[10]ins spares'!#REF!</definedName>
    <definedName name="__DAT21" localSheetId="67">'[10]ins spares'!#REF!</definedName>
    <definedName name="__DAT21" localSheetId="65">'[10]ins spares'!#REF!</definedName>
    <definedName name="__DAT21" localSheetId="68">'[10]ins spares'!#REF!</definedName>
    <definedName name="__DAT21" localSheetId="71">'[10]ins spares'!#REF!</definedName>
    <definedName name="__DAT21" localSheetId="44">'[10]ins spares'!#REF!</definedName>
    <definedName name="__DAT21" localSheetId="45">'[10]ins spares'!#REF!</definedName>
    <definedName name="__DAT21" localSheetId="27">'[10]ins spares'!#REF!</definedName>
    <definedName name="__DAT21" localSheetId="28">'[10]ins spares'!#REF!</definedName>
    <definedName name="__DAT21" localSheetId="29">'[10]ins spares'!#REF!</definedName>
    <definedName name="__DAT21" localSheetId="66">'[10]ins spares'!#REF!</definedName>
    <definedName name="__DAT21">'[10]ins spares'!#REF!</definedName>
    <definedName name="__DAT22" localSheetId="70">'[10]ins spares'!#REF!</definedName>
    <definedName name="__DAT22" localSheetId="52">'[10]ins spares'!#REF!</definedName>
    <definedName name="__DAT22" localSheetId="58">'[10]ins spares'!#REF!</definedName>
    <definedName name="__DAT22" localSheetId="57">'[10]ins spares'!#REF!</definedName>
    <definedName name="__DAT22" localSheetId="64">'[10]ins spares'!#REF!</definedName>
    <definedName name="__DAT22" localSheetId="67">'[10]ins spares'!#REF!</definedName>
    <definedName name="__DAT22" localSheetId="65">'[10]ins spares'!#REF!</definedName>
    <definedName name="__DAT22" localSheetId="68">'[10]ins spares'!#REF!</definedName>
    <definedName name="__DAT22" localSheetId="71">'[10]ins spares'!#REF!</definedName>
    <definedName name="__DAT22" localSheetId="44">'[10]ins spares'!#REF!</definedName>
    <definedName name="__DAT22" localSheetId="45">'[10]ins spares'!#REF!</definedName>
    <definedName name="__DAT22" localSheetId="27">'[10]ins spares'!#REF!</definedName>
    <definedName name="__DAT22" localSheetId="28">'[10]ins spares'!#REF!</definedName>
    <definedName name="__DAT22" localSheetId="29">'[10]ins spares'!#REF!</definedName>
    <definedName name="__DAT22" localSheetId="66">'[10]ins spares'!#REF!</definedName>
    <definedName name="__DAT22">'[10]ins spares'!#REF!</definedName>
    <definedName name="__DAT23" localSheetId="70">'[10]ins spares'!#REF!</definedName>
    <definedName name="__DAT23" localSheetId="52">'[10]ins spares'!#REF!</definedName>
    <definedName name="__DAT23" localSheetId="58">'[10]ins spares'!#REF!</definedName>
    <definedName name="__DAT23" localSheetId="57">'[10]ins spares'!#REF!</definedName>
    <definedName name="__DAT23" localSheetId="64">'[10]ins spares'!#REF!</definedName>
    <definedName name="__DAT23" localSheetId="67">'[10]ins spares'!#REF!</definedName>
    <definedName name="__DAT23" localSheetId="65">'[10]ins spares'!#REF!</definedName>
    <definedName name="__DAT23" localSheetId="68">'[10]ins spares'!#REF!</definedName>
    <definedName name="__DAT23" localSheetId="71">'[10]ins spares'!#REF!</definedName>
    <definedName name="__DAT23" localSheetId="44">'[10]ins spares'!#REF!</definedName>
    <definedName name="__DAT23" localSheetId="45">'[10]ins spares'!#REF!</definedName>
    <definedName name="__DAT23" localSheetId="27">'[10]ins spares'!#REF!</definedName>
    <definedName name="__DAT23" localSheetId="28">'[10]ins spares'!#REF!</definedName>
    <definedName name="__DAT23" localSheetId="29">'[10]ins spares'!#REF!</definedName>
    <definedName name="__DAT23" localSheetId="66">'[10]ins spares'!#REF!</definedName>
    <definedName name="__DAT23">'[10]ins spares'!#REF!</definedName>
    <definedName name="__DAT24" localSheetId="70">'[10]ins spares'!#REF!</definedName>
    <definedName name="__DAT24" localSheetId="52">'[10]ins spares'!#REF!</definedName>
    <definedName name="__DAT24" localSheetId="58">'[10]ins spares'!#REF!</definedName>
    <definedName name="__DAT24" localSheetId="57">'[10]ins spares'!#REF!</definedName>
    <definedName name="__DAT24" localSheetId="64">'[10]ins spares'!#REF!</definedName>
    <definedName name="__DAT24" localSheetId="67">'[10]ins spares'!#REF!</definedName>
    <definedName name="__DAT24" localSheetId="65">'[10]ins spares'!#REF!</definedName>
    <definedName name="__DAT24" localSheetId="68">'[10]ins spares'!#REF!</definedName>
    <definedName name="__DAT24" localSheetId="71">'[10]ins spares'!#REF!</definedName>
    <definedName name="__DAT24" localSheetId="44">'[10]ins spares'!#REF!</definedName>
    <definedName name="__DAT24" localSheetId="45">'[10]ins spares'!#REF!</definedName>
    <definedName name="__DAT24" localSheetId="27">'[10]ins spares'!#REF!</definedName>
    <definedName name="__DAT24" localSheetId="28">'[10]ins spares'!#REF!</definedName>
    <definedName name="__DAT24" localSheetId="29">'[10]ins spares'!#REF!</definedName>
    <definedName name="__DAT24" localSheetId="66">'[10]ins spares'!#REF!</definedName>
    <definedName name="__DAT24">'[10]ins spares'!#REF!</definedName>
    <definedName name="__DAT3" localSheetId="70">#REF!</definedName>
    <definedName name="__DAT3" localSheetId="52">#REF!</definedName>
    <definedName name="__DAT3" localSheetId="58">#REF!</definedName>
    <definedName name="__DAT3" localSheetId="56">#REF!</definedName>
    <definedName name="__DAT3" localSheetId="57">#REF!</definedName>
    <definedName name="__DAT3" localSheetId="64">#REF!</definedName>
    <definedName name="__DAT3" localSheetId="67">#REF!</definedName>
    <definedName name="__DAT3" localSheetId="65">#REF!</definedName>
    <definedName name="__DAT3" localSheetId="68">#REF!</definedName>
    <definedName name="__DAT3" localSheetId="71">#REF!</definedName>
    <definedName name="__DAT3" localSheetId="44">#REF!</definedName>
    <definedName name="__DAT3" localSheetId="45">#REF!</definedName>
    <definedName name="__DAT3" localSheetId="17">#REF!</definedName>
    <definedName name="__DAT3" localSheetId="27">#REF!</definedName>
    <definedName name="__DAT3" localSheetId="72">#REF!</definedName>
    <definedName name="__DAT3" localSheetId="28">#REF!</definedName>
    <definedName name="__DAT3" localSheetId="29">#REF!</definedName>
    <definedName name="__DAT3" localSheetId="66">#REF!</definedName>
    <definedName name="__DAT3">#REF!</definedName>
    <definedName name="__DAT4" localSheetId="70">#REF!</definedName>
    <definedName name="__DAT4" localSheetId="52">#REF!</definedName>
    <definedName name="__DAT4" localSheetId="58">#REF!</definedName>
    <definedName name="__DAT4" localSheetId="57">#REF!</definedName>
    <definedName name="__DAT4" localSheetId="64">#REF!</definedName>
    <definedName name="__DAT4" localSheetId="67">#REF!</definedName>
    <definedName name="__DAT4" localSheetId="65">#REF!</definedName>
    <definedName name="__DAT4" localSheetId="68">#REF!</definedName>
    <definedName name="__DAT4" localSheetId="71">#REF!</definedName>
    <definedName name="__DAT4" localSheetId="44">#REF!</definedName>
    <definedName name="__DAT4" localSheetId="45">#REF!</definedName>
    <definedName name="__DAT4" localSheetId="17">#REF!</definedName>
    <definedName name="__DAT4" localSheetId="27">#REF!</definedName>
    <definedName name="__DAT4" localSheetId="72">#REF!</definedName>
    <definedName name="__DAT4" localSheetId="28">#REF!</definedName>
    <definedName name="__DAT4" localSheetId="29">#REF!</definedName>
    <definedName name="__DAT4" localSheetId="66">#REF!</definedName>
    <definedName name="__DAT4">#REF!</definedName>
    <definedName name="__DAT5" localSheetId="70">#REF!</definedName>
    <definedName name="__DAT5" localSheetId="52">#REF!</definedName>
    <definedName name="__DAT5" localSheetId="58">#REF!</definedName>
    <definedName name="__DAT5" localSheetId="57">#REF!</definedName>
    <definedName name="__DAT5" localSheetId="64">#REF!</definedName>
    <definedName name="__DAT5" localSheetId="67">#REF!</definedName>
    <definedName name="__DAT5" localSheetId="65">#REF!</definedName>
    <definedName name="__DAT5" localSheetId="68">#REF!</definedName>
    <definedName name="__DAT5" localSheetId="71">#REF!</definedName>
    <definedName name="__DAT5" localSheetId="44">#REF!</definedName>
    <definedName name="__DAT5" localSheetId="45">#REF!</definedName>
    <definedName name="__DAT5" localSheetId="17">#REF!</definedName>
    <definedName name="__DAT5" localSheetId="27">#REF!</definedName>
    <definedName name="__DAT5" localSheetId="72">#REF!</definedName>
    <definedName name="__DAT5" localSheetId="28">#REF!</definedName>
    <definedName name="__DAT5" localSheetId="29">#REF!</definedName>
    <definedName name="__DAT5" localSheetId="66">#REF!</definedName>
    <definedName name="__DAT5">#REF!</definedName>
    <definedName name="__DAT6" localSheetId="70">#REF!</definedName>
    <definedName name="__DAT6" localSheetId="52">#REF!</definedName>
    <definedName name="__DAT6" localSheetId="58">#REF!</definedName>
    <definedName name="__DAT6" localSheetId="57">#REF!</definedName>
    <definedName name="__DAT6" localSheetId="64">#REF!</definedName>
    <definedName name="__DAT6" localSheetId="67">#REF!</definedName>
    <definedName name="__DAT6" localSheetId="65">#REF!</definedName>
    <definedName name="__DAT6" localSheetId="68">#REF!</definedName>
    <definedName name="__DAT6" localSheetId="71">#REF!</definedName>
    <definedName name="__DAT6" localSheetId="44">#REF!</definedName>
    <definedName name="__DAT6" localSheetId="45">#REF!</definedName>
    <definedName name="__DAT6" localSheetId="27">#REF!</definedName>
    <definedName name="__DAT6" localSheetId="28">#REF!</definedName>
    <definedName name="__DAT6" localSheetId="29">#REF!</definedName>
    <definedName name="__DAT6" localSheetId="66">#REF!</definedName>
    <definedName name="__DAT6">#REF!</definedName>
    <definedName name="__DAT7" localSheetId="70">#REF!</definedName>
    <definedName name="__DAT7" localSheetId="52">#REF!</definedName>
    <definedName name="__DAT7" localSheetId="58">#REF!</definedName>
    <definedName name="__DAT7" localSheetId="57">#REF!</definedName>
    <definedName name="__DAT7" localSheetId="64">#REF!</definedName>
    <definedName name="__DAT7" localSheetId="67">#REF!</definedName>
    <definedName name="__DAT7" localSheetId="65">#REF!</definedName>
    <definedName name="__DAT7" localSheetId="68">#REF!</definedName>
    <definedName name="__DAT7" localSheetId="71">#REF!</definedName>
    <definedName name="__DAT7" localSheetId="44">#REF!</definedName>
    <definedName name="__DAT7" localSheetId="45">#REF!</definedName>
    <definedName name="__DAT7" localSheetId="27">#REF!</definedName>
    <definedName name="__DAT7" localSheetId="28">#REF!</definedName>
    <definedName name="__DAT7" localSheetId="29">#REF!</definedName>
    <definedName name="__DAT7" localSheetId="66">#REF!</definedName>
    <definedName name="__DAT7">#REF!</definedName>
    <definedName name="__DAT8" localSheetId="70">#REF!</definedName>
    <definedName name="__DAT8" localSheetId="52">#REF!</definedName>
    <definedName name="__DAT8" localSheetId="58">#REF!</definedName>
    <definedName name="__DAT8" localSheetId="57">#REF!</definedName>
    <definedName name="__DAT8" localSheetId="64">#REF!</definedName>
    <definedName name="__DAT8" localSheetId="67">#REF!</definedName>
    <definedName name="__DAT8" localSheetId="65">#REF!</definedName>
    <definedName name="__DAT8" localSheetId="68">#REF!</definedName>
    <definedName name="__DAT8" localSheetId="71">#REF!</definedName>
    <definedName name="__DAT8" localSheetId="44">#REF!</definedName>
    <definedName name="__DAT8" localSheetId="45">#REF!</definedName>
    <definedName name="__DAT8" localSheetId="27">#REF!</definedName>
    <definedName name="__DAT8" localSheetId="28">#REF!</definedName>
    <definedName name="__DAT8" localSheetId="29">#REF!</definedName>
    <definedName name="__DAT8" localSheetId="66">#REF!</definedName>
    <definedName name="__DAT8">#REF!</definedName>
    <definedName name="__DAT9" localSheetId="70">#REF!</definedName>
    <definedName name="__DAT9" localSheetId="52">#REF!</definedName>
    <definedName name="__DAT9" localSheetId="58">#REF!</definedName>
    <definedName name="__DAT9" localSheetId="57">#REF!</definedName>
    <definedName name="__DAT9" localSheetId="64">#REF!</definedName>
    <definedName name="__DAT9" localSheetId="67">#REF!</definedName>
    <definedName name="__DAT9" localSheetId="65">#REF!</definedName>
    <definedName name="__DAT9" localSheetId="68">#REF!</definedName>
    <definedName name="__DAT9" localSheetId="71">#REF!</definedName>
    <definedName name="__DAT9" localSheetId="44">#REF!</definedName>
    <definedName name="__DAT9" localSheetId="45">#REF!</definedName>
    <definedName name="__DAT9" localSheetId="27">#REF!</definedName>
    <definedName name="__DAT9" localSheetId="28">#REF!</definedName>
    <definedName name="__DAT9" localSheetId="29">#REF!</definedName>
    <definedName name="__DAT9" localSheetId="66">#REF!</definedName>
    <definedName name="__DAT9">#REF!</definedName>
    <definedName name="__ELL45" localSheetId="70">#REF!</definedName>
    <definedName name="__ELL45" localSheetId="52">#REF!</definedName>
    <definedName name="__ELL45" localSheetId="58">#REF!</definedName>
    <definedName name="__ELL45" localSheetId="57">#REF!</definedName>
    <definedName name="__ELL45" localSheetId="64">#REF!</definedName>
    <definedName name="__ELL45" localSheetId="67">#REF!</definedName>
    <definedName name="__ELL45" localSheetId="65">#REF!</definedName>
    <definedName name="__ELL45" localSheetId="68">#REF!</definedName>
    <definedName name="__ELL45" localSheetId="71">#REF!</definedName>
    <definedName name="__ELL45" localSheetId="44">#REF!</definedName>
    <definedName name="__ELL45" localSheetId="45">#REF!</definedName>
    <definedName name="__ELL45" localSheetId="27">#REF!</definedName>
    <definedName name="__ELL45" localSheetId="28">#REF!</definedName>
    <definedName name="__ELL45" localSheetId="29">#REF!</definedName>
    <definedName name="__ELL45" localSheetId="66">#REF!</definedName>
    <definedName name="__ELL45">#REF!</definedName>
    <definedName name="__ELL90" localSheetId="70">#REF!</definedName>
    <definedName name="__ELL90" localSheetId="52">#REF!</definedName>
    <definedName name="__ELL90" localSheetId="58">#REF!</definedName>
    <definedName name="__ELL90" localSheetId="57">#REF!</definedName>
    <definedName name="__ELL90" localSheetId="64">#REF!</definedName>
    <definedName name="__ELL90" localSheetId="67">#REF!</definedName>
    <definedName name="__ELL90" localSheetId="65">#REF!</definedName>
    <definedName name="__ELL90" localSheetId="68">#REF!</definedName>
    <definedName name="__ELL90" localSheetId="71">#REF!</definedName>
    <definedName name="__ELL90" localSheetId="44">#REF!</definedName>
    <definedName name="__ELL90" localSheetId="45">#REF!</definedName>
    <definedName name="__ELL90" localSheetId="27">#REF!</definedName>
    <definedName name="__ELL90" localSheetId="28">#REF!</definedName>
    <definedName name="__ELL90" localSheetId="29">#REF!</definedName>
    <definedName name="__ELL90" localSheetId="66">#REF!</definedName>
    <definedName name="__ELL90">#REF!</definedName>
    <definedName name="__EMP4">#N/A</definedName>
    <definedName name="__f2" localSheetId="70">#REF!</definedName>
    <definedName name="__f2" localSheetId="52">#REF!</definedName>
    <definedName name="__f2" localSheetId="58">#REF!</definedName>
    <definedName name="__f2" localSheetId="56">#REF!</definedName>
    <definedName name="__f2" localSheetId="57">#REF!</definedName>
    <definedName name="__f2" localSheetId="64">#REF!</definedName>
    <definedName name="__f2" localSheetId="67">#REF!</definedName>
    <definedName name="__f2" localSheetId="65">#REF!</definedName>
    <definedName name="__f2" localSheetId="68">#REF!</definedName>
    <definedName name="__f2" localSheetId="71">#REF!</definedName>
    <definedName name="__f2" localSheetId="44">#REF!</definedName>
    <definedName name="__f2" localSheetId="45">#REF!</definedName>
    <definedName name="__f2" localSheetId="17">#REF!</definedName>
    <definedName name="__f2" localSheetId="27">#REF!</definedName>
    <definedName name="__f2" localSheetId="72">#REF!</definedName>
    <definedName name="__f2" localSheetId="28">#REF!</definedName>
    <definedName name="__f2" localSheetId="29">#REF!</definedName>
    <definedName name="__f2" localSheetId="66">#REF!</definedName>
    <definedName name="__f2">#REF!</definedName>
    <definedName name="__ffr1" localSheetId="70">#REF!</definedName>
    <definedName name="__ffr1" localSheetId="52">#REF!</definedName>
    <definedName name="__ffr1" localSheetId="58">#REF!</definedName>
    <definedName name="__ffr1" localSheetId="57">#REF!</definedName>
    <definedName name="__ffr1" localSheetId="64">#REF!</definedName>
    <definedName name="__ffr1" localSheetId="67">#REF!</definedName>
    <definedName name="__ffr1" localSheetId="65">#REF!</definedName>
    <definedName name="__ffr1" localSheetId="68">#REF!</definedName>
    <definedName name="__ffr1" localSheetId="71">#REF!</definedName>
    <definedName name="__ffr1" localSheetId="44">#REF!</definedName>
    <definedName name="__ffr1" localSheetId="45">#REF!</definedName>
    <definedName name="__ffr1" localSheetId="17">#REF!</definedName>
    <definedName name="__ffr1" localSheetId="27">#REF!</definedName>
    <definedName name="__ffr1" localSheetId="72">#REF!</definedName>
    <definedName name="__ffr1" localSheetId="28">#REF!</definedName>
    <definedName name="__ffr1" localSheetId="29">#REF!</definedName>
    <definedName name="__ffr1" localSheetId="66">#REF!</definedName>
    <definedName name="__ffr1">#REF!</definedName>
    <definedName name="__ffr2">[13]자바라1!$O$10</definedName>
    <definedName name="__FFr98">'[13]#REF'!$F$29</definedName>
    <definedName name="__FFr99">'[13]#REF'!$G$29</definedName>
    <definedName name="__FRF2" localSheetId="70">#REF!</definedName>
    <definedName name="__FRF2" localSheetId="52">#REF!</definedName>
    <definedName name="__FRF2" localSheetId="58">#REF!</definedName>
    <definedName name="__FRF2" localSheetId="56">#REF!</definedName>
    <definedName name="__FRF2" localSheetId="57">#REF!</definedName>
    <definedName name="__FRF2" localSheetId="64">#REF!</definedName>
    <definedName name="__FRF2" localSheetId="67">#REF!</definedName>
    <definedName name="__FRF2" localSheetId="65">#REF!</definedName>
    <definedName name="__FRF2" localSheetId="68">#REF!</definedName>
    <definedName name="__FRF2" localSheetId="71">#REF!</definedName>
    <definedName name="__FRF2" localSheetId="44">#REF!</definedName>
    <definedName name="__FRF2" localSheetId="45">#REF!</definedName>
    <definedName name="__FRF2" localSheetId="17">#REF!</definedName>
    <definedName name="__FRF2" localSheetId="27">#REF!</definedName>
    <definedName name="__FRF2" localSheetId="72">#REF!</definedName>
    <definedName name="__FRF2" localSheetId="28">#REF!</definedName>
    <definedName name="__FRF2" localSheetId="29">#REF!</definedName>
    <definedName name="__FRF2" localSheetId="66">#REF!</definedName>
    <definedName name="__FRF2">#REF!</definedName>
    <definedName name="__G87634" localSheetId="70">#REF!</definedName>
    <definedName name="__G87634" localSheetId="52">#REF!</definedName>
    <definedName name="__G87634" localSheetId="58">#REF!</definedName>
    <definedName name="__G87634" localSheetId="57">#REF!</definedName>
    <definedName name="__G87634" localSheetId="64">#REF!</definedName>
    <definedName name="__G87634" localSheetId="67">#REF!</definedName>
    <definedName name="__G87634" localSheetId="65">#REF!</definedName>
    <definedName name="__G87634" localSheetId="68">#REF!</definedName>
    <definedName name="__G87634" localSheetId="71">#REF!</definedName>
    <definedName name="__G87634" localSheetId="44">#REF!</definedName>
    <definedName name="__G87634" localSheetId="45">#REF!</definedName>
    <definedName name="__G87634" localSheetId="17">#REF!</definedName>
    <definedName name="__G87634" localSheetId="27">#REF!</definedName>
    <definedName name="__G87634" localSheetId="72">#REF!</definedName>
    <definedName name="__G87634" localSheetId="28">#REF!</definedName>
    <definedName name="__G87634" localSheetId="29">#REF!</definedName>
    <definedName name="__G87634" localSheetId="66">#REF!</definedName>
    <definedName name="__G87634">#REF!</definedName>
    <definedName name="__K3" localSheetId="70">#REF!</definedName>
    <definedName name="__K3" localSheetId="52">#REF!</definedName>
    <definedName name="__K3" localSheetId="58">#REF!</definedName>
    <definedName name="__K3" localSheetId="57">#REF!</definedName>
    <definedName name="__K3" localSheetId="64">#REF!</definedName>
    <definedName name="__K3" localSheetId="67">#REF!</definedName>
    <definedName name="__K3" localSheetId="65">#REF!</definedName>
    <definedName name="__K3" localSheetId="68">#REF!</definedName>
    <definedName name="__K3" localSheetId="71">#REF!</definedName>
    <definedName name="__K3" localSheetId="44">#REF!</definedName>
    <definedName name="__K3" localSheetId="45">#REF!</definedName>
    <definedName name="__K3" localSheetId="17">#REF!</definedName>
    <definedName name="__K3" localSheetId="27">#REF!</definedName>
    <definedName name="__K3" localSheetId="72">#REF!</definedName>
    <definedName name="__K3" localSheetId="28">#REF!</definedName>
    <definedName name="__K3" localSheetId="29">#REF!</definedName>
    <definedName name="__K3" localSheetId="66">#REF!</definedName>
    <definedName name="__K3">#REF!</definedName>
    <definedName name="__K5" localSheetId="70">#REF!</definedName>
    <definedName name="__K5" localSheetId="52">#REF!</definedName>
    <definedName name="__K5" localSheetId="58">#REF!</definedName>
    <definedName name="__K5" localSheetId="57">#REF!</definedName>
    <definedName name="__K5" localSheetId="64">#REF!</definedName>
    <definedName name="__K5" localSheetId="67">#REF!</definedName>
    <definedName name="__K5" localSheetId="65">#REF!</definedName>
    <definedName name="__K5" localSheetId="68">#REF!</definedName>
    <definedName name="__K5" localSheetId="71">#REF!</definedName>
    <definedName name="__K5" localSheetId="44">#REF!</definedName>
    <definedName name="__K5" localSheetId="45">#REF!</definedName>
    <definedName name="__K5" localSheetId="27">#REF!</definedName>
    <definedName name="__K5" localSheetId="28">#REF!</definedName>
    <definedName name="__K5" localSheetId="29">#REF!</definedName>
    <definedName name="__K5" localSheetId="66">#REF!</definedName>
    <definedName name="__K5">#REF!</definedName>
    <definedName name="__K6" localSheetId="70">#REF!</definedName>
    <definedName name="__K6" localSheetId="52">#REF!</definedName>
    <definedName name="__K6" localSheetId="58">#REF!</definedName>
    <definedName name="__K6" localSheetId="57">#REF!</definedName>
    <definedName name="__K6" localSheetId="64">#REF!</definedName>
    <definedName name="__K6" localSheetId="67">#REF!</definedName>
    <definedName name="__K6" localSheetId="65">#REF!</definedName>
    <definedName name="__K6" localSheetId="68">#REF!</definedName>
    <definedName name="__K6" localSheetId="71">#REF!</definedName>
    <definedName name="__K6" localSheetId="44">#REF!</definedName>
    <definedName name="__K6" localSheetId="45">#REF!</definedName>
    <definedName name="__K6" localSheetId="27">#REF!</definedName>
    <definedName name="__K6" localSheetId="28">#REF!</definedName>
    <definedName name="__K6" localSheetId="29">#REF!</definedName>
    <definedName name="__K6" localSheetId="66">#REF!</definedName>
    <definedName name="__K6">#REF!</definedName>
    <definedName name="__KD10">[14]현장지지물물량!$A$8:$N$196</definedName>
    <definedName name="__KD11">[14]현장지지물물량!$A$1:$IV$7</definedName>
    <definedName name="__KD12">[14]현장지지물물량!$A$8:$N$196</definedName>
    <definedName name="__KD13">[14]현장지지물물량!$A$1:$IV$7</definedName>
    <definedName name="__KD14">[15]현장지지물물량!$A$9:$N$23</definedName>
    <definedName name="__KD15">[16]현장지지물물량!$A$9:$N$23</definedName>
    <definedName name="__KD16">[16]현장지지물물량!$A$1:$IV$8</definedName>
    <definedName name="__KD18">[16]현장지지물물량!$A$9:$N$23</definedName>
    <definedName name="__KD2" localSheetId="70" hidden="1">#REF!</definedName>
    <definedName name="__KD2" localSheetId="52" hidden="1">#REF!</definedName>
    <definedName name="__KD2" localSheetId="58" hidden="1">#REF!</definedName>
    <definedName name="__KD2" localSheetId="56" hidden="1">#REF!</definedName>
    <definedName name="__KD2" localSheetId="57" hidden="1">#REF!</definedName>
    <definedName name="__KD2" localSheetId="64" hidden="1">#REF!</definedName>
    <definedName name="__KD2" localSheetId="67" hidden="1">#REF!</definedName>
    <definedName name="__KD2" localSheetId="65" hidden="1">#REF!</definedName>
    <definedName name="__KD2" localSheetId="68" hidden="1">#REF!</definedName>
    <definedName name="__KD2" localSheetId="71" hidden="1">#REF!</definedName>
    <definedName name="__KD2" localSheetId="44" hidden="1">#REF!</definedName>
    <definedName name="__KD2" localSheetId="45" hidden="1">#REF!</definedName>
    <definedName name="__KD2" localSheetId="17" hidden="1">#REF!</definedName>
    <definedName name="__KD2" localSheetId="27" hidden="1">#REF!</definedName>
    <definedName name="__KD2" localSheetId="72" hidden="1">#REF!</definedName>
    <definedName name="__KD2" localSheetId="28" hidden="1">#REF!</definedName>
    <definedName name="__KD2" localSheetId="29" hidden="1">#REF!</definedName>
    <definedName name="__KD2" localSheetId="66" hidden="1">#REF!</definedName>
    <definedName name="__KD2" hidden="1">#REF!</definedName>
    <definedName name="__KD3" localSheetId="70" hidden="1">#REF!</definedName>
    <definedName name="__KD3" localSheetId="52" hidden="1">#REF!</definedName>
    <definedName name="__KD3" localSheetId="58" hidden="1">#REF!</definedName>
    <definedName name="__KD3" localSheetId="57" hidden="1">#REF!</definedName>
    <definedName name="__KD3" localSheetId="64" hidden="1">#REF!</definedName>
    <definedName name="__KD3" localSheetId="67" hidden="1">#REF!</definedName>
    <definedName name="__KD3" localSheetId="65" hidden="1">#REF!</definedName>
    <definedName name="__KD3" localSheetId="68" hidden="1">#REF!</definedName>
    <definedName name="__KD3" localSheetId="71" hidden="1">#REF!</definedName>
    <definedName name="__KD3" localSheetId="44" hidden="1">#REF!</definedName>
    <definedName name="__KD3" localSheetId="45" hidden="1">#REF!</definedName>
    <definedName name="__KD3" localSheetId="17" hidden="1">#REF!</definedName>
    <definedName name="__KD3" localSheetId="27" hidden="1">#REF!</definedName>
    <definedName name="__KD3" localSheetId="72" hidden="1">#REF!</definedName>
    <definedName name="__KD3" localSheetId="28" hidden="1">#REF!</definedName>
    <definedName name="__KD3" localSheetId="29" hidden="1">#REF!</definedName>
    <definedName name="__KD3" localSheetId="66" hidden="1">#REF!</definedName>
    <definedName name="__KD3" hidden="1">#REF!</definedName>
    <definedName name="__KD4">[14]현장지지물물량!$A$8:$N$196</definedName>
    <definedName name="__KD5">[16]현장지지물물량!$A$1:$IV$8</definedName>
    <definedName name="__KD6">[16]현장지지물물량!$A$1:$IV$8</definedName>
    <definedName name="__KD7">[16]현장지지물물량!$A$9:$N$23</definedName>
    <definedName name="__KD8">[17]설산1.나!$A$8:$J$53</definedName>
    <definedName name="__KD9">[17]본사S!$B$10:$P$103</definedName>
    <definedName name="__KK1" localSheetId="70" hidden="1">#REF!</definedName>
    <definedName name="__KK1" localSheetId="52" hidden="1">#REF!</definedName>
    <definedName name="__KK1" localSheetId="58" hidden="1">#REF!</definedName>
    <definedName name="__KK1" localSheetId="56" hidden="1">#REF!</definedName>
    <definedName name="__KK1" localSheetId="57" hidden="1">#REF!</definedName>
    <definedName name="__KK1" localSheetId="64" hidden="1">#REF!</definedName>
    <definedName name="__KK1" localSheetId="67" hidden="1">#REF!</definedName>
    <definedName name="__KK1" localSheetId="65" hidden="1">#REF!</definedName>
    <definedName name="__KK1" localSheetId="68" hidden="1">#REF!</definedName>
    <definedName name="__KK1" localSheetId="71" hidden="1">#REF!</definedName>
    <definedName name="__KK1" localSheetId="44" hidden="1">#REF!</definedName>
    <definedName name="__KK1" localSheetId="45" hidden="1">#REF!</definedName>
    <definedName name="__KK1" localSheetId="17" hidden="1">#REF!</definedName>
    <definedName name="__KK1" localSheetId="27" hidden="1">#REF!</definedName>
    <definedName name="__KK1" localSheetId="72" hidden="1">#REF!</definedName>
    <definedName name="__KK1" localSheetId="28" hidden="1">#REF!</definedName>
    <definedName name="__KK1" localSheetId="29" hidden="1">#REF!</definedName>
    <definedName name="__KK1" localSheetId="66" hidden="1">#REF!</definedName>
    <definedName name="__KK1" hidden="1">#REF!</definedName>
    <definedName name="__KK2" localSheetId="70" hidden="1">#REF!</definedName>
    <definedName name="__KK2" localSheetId="52" hidden="1">#REF!</definedName>
    <definedName name="__KK2" localSheetId="58" hidden="1">#REF!</definedName>
    <definedName name="__KK2" localSheetId="57" hidden="1">#REF!</definedName>
    <definedName name="__KK2" localSheetId="64" hidden="1">#REF!</definedName>
    <definedName name="__KK2" localSheetId="67" hidden="1">#REF!</definedName>
    <definedName name="__KK2" localSheetId="65" hidden="1">#REF!</definedName>
    <definedName name="__KK2" localSheetId="68" hidden="1">#REF!</definedName>
    <definedName name="__KK2" localSheetId="71" hidden="1">#REF!</definedName>
    <definedName name="__KK2" localSheetId="44" hidden="1">#REF!</definedName>
    <definedName name="__KK2" localSheetId="45" hidden="1">#REF!</definedName>
    <definedName name="__KK2" localSheetId="17" hidden="1">#REF!</definedName>
    <definedName name="__KK2" localSheetId="27" hidden="1">#REF!</definedName>
    <definedName name="__KK2" localSheetId="72" hidden="1">#REF!</definedName>
    <definedName name="__KK2" localSheetId="28" hidden="1">#REF!</definedName>
    <definedName name="__KK2" localSheetId="29" hidden="1">#REF!</definedName>
    <definedName name="__KK2" localSheetId="66" hidden="1">#REF!</definedName>
    <definedName name="__KK2" hidden="1">#REF!</definedName>
    <definedName name="__KK3" localSheetId="70" hidden="1">#REF!</definedName>
    <definedName name="__KK3" localSheetId="52" hidden="1">#REF!</definedName>
    <definedName name="__KK3" localSheetId="58" hidden="1">#REF!</definedName>
    <definedName name="__KK3" localSheetId="57" hidden="1">#REF!</definedName>
    <definedName name="__KK3" localSheetId="64" hidden="1">#REF!</definedName>
    <definedName name="__KK3" localSheetId="67" hidden="1">#REF!</definedName>
    <definedName name="__KK3" localSheetId="65" hidden="1">#REF!</definedName>
    <definedName name="__KK3" localSheetId="68" hidden="1">#REF!</definedName>
    <definedName name="__KK3" localSheetId="71" hidden="1">#REF!</definedName>
    <definedName name="__KK3" localSheetId="44" hidden="1">#REF!</definedName>
    <definedName name="__KK3" localSheetId="45" hidden="1">#REF!</definedName>
    <definedName name="__KK3" localSheetId="17" hidden="1">#REF!</definedName>
    <definedName name="__KK3" localSheetId="27" hidden="1">#REF!</definedName>
    <definedName name="__KK3" localSheetId="72" hidden="1">#REF!</definedName>
    <definedName name="__KK3" localSheetId="28" hidden="1">#REF!</definedName>
    <definedName name="__KK3" localSheetId="29" hidden="1">#REF!</definedName>
    <definedName name="__KK3" localSheetId="66" hidden="1">#REF!</definedName>
    <definedName name="__KK3" hidden="1">#REF!</definedName>
    <definedName name="__LL1" localSheetId="70">#REF!</definedName>
    <definedName name="__LL1" localSheetId="52">#REF!</definedName>
    <definedName name="__LL1" localSheetId="58">#REF!</definedName>
    <definedName name="__LL1" localSheetId="57">#REF!</definedName>
    <definedName name="__LL1" localSheetId="64">#REF!</definedName>
    <definedName name="__LL1" localSheetId="67">#REF!</definedName>
    <definedName name="__LL1" localSheetId="65">#REF!</definedName>
    <definedName name="__LL1" localSheetId="68">#REF!</definedName>
    <definedName name="__LL1" localSheetId="71">#REF!</definedName>
    <definedName name="__LL1" localSheetId="44">#REF!</definedName>
    <definedName name="__LL1" localSheetId="45">#REF!</definedName>
    <definedName name="__LL1" localSheetId="27">#REF!</definedName>
    <definedName name="__LL1" localSheetId="28">#REF!</definedName>
    <definedName name="__LL1" localSheetId="29">#REF!</definedName>
    <definedName name="__LL1" localSheetId="66">#REF!</definedName>
    <definedName name="__LL1">#REF!</definedName>
    <definedName name="__LL2" localSheetId="70">#REF!</definedName>
    <definedName name="__LL2" localSheetId="52">#REF!</definedName>
    <definedName name="__LL2" localSheetId="58">#REF!</definedName>
    <definedName name="__LL2" localSheetId="57">#REF!</definedName>
    <definedName name="__LL2" localSheetId="64">#REF!</definedName>
    <definedName name="__LL2" localSheetId="67">#REF!</definedName>
    <definedName name="__LL2" localSheetId="65">#REF!</definedName>
    <definedName name="__LL2" localSheetId="68">#REF!</definedName>
    <definedName name="__LL2" localSheetId="71">#REF!</definedName>
    <definedName name="__LL2" localSheetId="44">#REF!</definedName>
    <definedName name="__LL2" localSheetId="45">#REF!</definedName>
    <definedName name="__LL2" localSheetId="27">#REF!</definedName>
    <definedName name="__LL2" localSheetId="28">#REF!</definedName>
    <definedName name="__LL2" localSheetId="29">#REF!</definedName>
    <definedName name="__LL2" localSheetId="66">#REF!</definedName>
    <definedName name="__LL2">#REF!</definedName>
    <definedName name="__LL3" localSheetId="70">#REF!</definedName>
    <definedName name="__LL3" localSheetId="52">#REF!</definedName>
    <definedName name="__LL3" localSheetId="58">#REF!</definedName>
    <definedName name="__LL3" localSheetId="57">#REF!</definedName>
    <definedName name="__LL3" localSheetId="64">#REF!</definedName>
    <definedName name="__LL3" localSheetId="67">#REF!</definedName>
    <definedName name="__LL3" localSheetId="65">#REF!</definedName>
    <definedName name="__LL3" localSheetId="68">#REF!</definedName>
    <definedName name="__LL3" localSheetId="71">#REF!</definedName>
    <definedName name="__LL3" localSheetId="44">#REF!</definedName>
    <definedName name="__LL3" localSheetId="45">#REF!</definedName>
    <definedName name="__LL3" localSheetId="27">#REF!</definedName>
    <definedName name="__LL3" localSheetId="28">#REF!</definedName>
    <definedName name="__LL3" localSheetId="29">#REF!</definedName>
    <definedName name="__LL3" localSheetId="66">#REF!</definedName>
    <definedName name="__LL3">#REF!</definedName>
    <definedName name="__LL4" localSheetId="70">#REF!</definedName>
    <definedName name="__LL4" localSheetId="52">#REF!</definedName>
    <definedName name="__LL4" localSheetId="58">#REF!</definedName>
    <definedName name="__LL4" localSheetId="57">#REF!</definedName>
    <definedName name="__LL4" localSheetId="64">#REF!</definedName>
    <definedName name="__LL4" localSheetId="67">#REF!</definedName>
    <definedName name="__LL4" localSheetId="65">#REF!</definedName>
    <definedName name="__LL4" localSheetId="68">#REF!</definedName>
    <definedName name="__LL4" localSheetId="71">#REF!</definedName>
    <definedName name="__LL4" localSheetId="44">#REF!</definedName>
    <definedName name="__LL4" localSheetId="45">#REF!</definedName>
    <definedName name="__LL4" localSheetId="27">#REF!</definedName>
    <definedName name="__LL4" localSheetId="28">#REF!</definedName>
    <definedName name="__LL4" localSheetId="29">#REF!</definedName>
    <definedName name="__LL4" localSheetId="66">#REF!</definedName>
    <definedName name="__LL4">#REF!</definedName>
    <definedName name="__LL5" localSheetId="70">#REF!</definedName>
    <definedName name="__LL5" localSheetId="52">#REF!</definedName>
    <definedName name="__LL5" localSheetId="58">#REF!</definedName>
    <definedName name="__LL5" localSheetId="57">#REF!</definedName>
    <definedName name="__LL5" localSheetId="64">#REF!</definedName>
    <definedName name="__LL5" localSheetId="67">#REF!</definedName>
    <definedName name="__LL5" localSheetId="65">#REF!</definedName>
    <definedName name="__LL5" localSheetId="68">#REF!</definedName>
    <definedName name="__LL5" localSheetId="71">#REF!</definedName>
    <definedName name="__LL5" localSheetId="44">#REF!</definedName>
    <definedName name="__LL5" localSheetId="45">#REF!</definedName>
    <definedName name="__LL5" localSheetId="27">#REF!</definedName>
    <definedName name="__LL5" localSheetId="28">#REF!</definedName>
    <definedName name="__LL5" localSheetId="29">#REF!</definedName>
    <definedName name="__LL5" localSheetId="66">#REF!</definedName>
    <definedName name="__LL5">#REF!</definedName>
    <definedName name="__MPR1">#N/A</definedName>
    <definedName name="__MPR2">#N/A</definedName>
    <definedName name="__MPR3">#N/A</definedName>
    <definedName name="__nh1" localSheetId="70">'[20]Fixed Charge'!#REF!</definedName>
    <definedName name="__nh1" localSheetId="52">'[20]Fixed Charge'!#REF!</definedName>
    <definedName name="__nh1" localSheetId="58">'[20]Fixed Charge'!#REF!</definedName>
    <definedName name="__nh1" localSheetId="57">'[20]Fixed Charge'!#REF!</definedName>
    <definedName name="__nh1" localSheetId="64">'[20]Fixed Charge'!#REF!</definedName>
    <definedName name="__nh1" localSheetId="67">'[20]Fixed Charge'!#REF!</definedName>
    <definedName name="__nh1" localSheetId="65">'[20]Fixed Charge'!#REF!</definedName>
    <definedName name="__nh1" localSheetId="68">'[20]Fixed Charge'!#REF!</definedName>
    <definedName name="__nh1" localSheetId="71">'[20]Fixed Charge'!#REF!</definedName>
    <definedName name="__nh1" localSheetId="44">'[20]Fixed Charge'!#REF!</definedName>
    <definedName name="__nh1" localSheetId="45">'[20]Fixed Charge'!#REF!</definedName>
    <definedName name="__nh1" localSheetId="27">'[20]Fixed Charge'!#REF!</definedName>
    <definedName name="__nh1" localSheetId="28">'[20]Fixed Charge'!#REF!</definedName>
    <definedName name="__nh1" localSheetId="29">'[20]Fixed Charge'!#REF!</definedName>
    <definedName name="__nh1" localSheetId="66">'[20]Fixed Charge'!#REF!</definedName>
    <definedName name="__nh1">'[20]Fixed Charge'!#REF!</definedName>
    <definedName name="__nis3" localSheetId="70" hidden="1">#REF!</definedName>
    <definedName name="__nis3" localSheetId="52" hidden="1">#REF!</definedName>
    <definedName name="__nis3" localSheetId="58" hidden="1">#REF!</definedName>
    <definedName name="__nis3" localSheetId="56" hidden="1">#REF!</definedName>
    <definedName name="__nis3" localSheetId="57" hidden="1">#REF!</definedName>
    <definedName name="__nis3" localSheetId="64" hidden="1">#REF!</definedName>
    <definedName name="__nis3" localSheetId="67" hidden="1">#REF!</definedName>
    <definedName name="__nis3" localSheetId="65" hidden="1">#REF!</definedName>
    <definedName name="__nis3" localSheetId="68" hidden="1">#REF!</definedName>
    <definedName name="__nis3" localSheetId="71" hidden="1">#REF!</definedName>
    <definedName name="__nis3" localSheetId="44" hidden="1">#REF!</definedName>
    <definedName name="__nis3" localSheetId="45" hidden="1">#REF!</definedName>
    <definedName name="__nis3" localSheetId="17" hidden="1">#REF!</definedName>
    <definedName name="__nis3" localSheetId="27" hidden="1">#REF!</definedName>
    <definedName name="__nis3" localSheetId="72" hidden="1">#REF!</definedName>
    <definedName name="__nis3" localSheetId="28" hidden="1">#REF!</definedName>
    <definedName name="__nis3" localSheetId="29" hidden="1">#REF!</definedName>
    <definedName name="__nis3" localSheetId="66" hidden="1">#REF!</definedName>
    <definedName name="__nis3" hidden="1">#REF!</definedName>
    <definedName name="__p1" localSheetId="70">#REF!</definedName>
    <definedName name="__p1" localSheetId="52">#REF!</definedName>
    <definedName name="__p1" localSheetId="58">#REF!</definedName>
    <definedName name="__p1" localSheetId="57">#REF!</definedName>
    <definedName name="__p1" localSheetId="64">#REF!</definedName>
    <definedName name="__p1" localSheetId="67">#REF!</definedName>
    <definedName name="__p1" localSheetId="65">#REF!</definedName>
    <definedName name="__p1" localSheetId="68">#REF!</definedName>
    <definedName name="__p1" localSheetId="71">#REF!</definedName>
    <definedName name="__p1" localSheetId="44">#REF!</definedName>
    <definedName name="__p1" localSheetId="45">#REF!</definedName>
    <definedName name="__p1" localSheetId="17">#REF!</definedName>
    <definedName name="__p1" localSheetId="27">#REF!</definedName>
    <definedName name="__p1" localSheetId="72">#REF!</definedName>
    <definedName name="__p1" localSheetId="28">#REF!</definedName>
    <definedName name="__p1" localSheetId="29">#REF!</definedName>
    <definedName name="__p1" localSheetId="66">#REF!</definedName>
    <definedName name="__p1">#REF!</definedName>
    <definedName name="__p2" localSheetId="70">#REF!</definedName>
    <definedName name="__p2" localSheetId="52">#REF!</definedName>
    <definedName name="__p2" localSheetId="58">#REF!</definedName>
    <definedName name="__p2" localSheetId="57">#REF!</definedName>
    <definedName name="__p2" localSheetId="64">#REF!</definedName>
    <definedName name="__p2" localSheetId="67">#REF!</definedName>
    <definedName name="__p2" localSheetId="65">#REF!</definedName>
    <definedName name="__p2" localSheetId="68">#REF!</definedName>
    <definedName name="__p2" localSheetId="71">#REF!</definedName>
    <definedName name="__p2" localSheetId="44">#REF!</definedName>
    <definedName name="__p2" localSheetId="45">#REF!</definedName>
    <definedName name="__p2" localSheetId="17">#REF!</definedName>
    <definedName name="__p2" localSheetId="27">#REF!</definedName>
    <definedName name="__p2" localSheetId="72">#REF!</definedName>
    <definedName name="__p2" localSheetId="28">#REF!</definedName>
    <definedName name="__p2" localSheetId="29">#REF!</definedName>
    <definedName name="__p2" localSheetId="66">#REF!</definedName>
    <definedName name="__p2">#REF!</definedName>
    <definedName name="__P21" localSheetId="70">#REF!</definedName>
    <definedName name="__P21" localSheetId="52">#REF!</definedName>
    <definedName name="__P21" localSheetId="58">#REF!</definedName>
    <definedName name="__P21" localSheetId="57">#REF!</definedName>
    <definedName name="__P21" localSheetId="64">#REF!</definedName>
    <definedName name="__P21" localSheetId="67">#REF!</definedName>
    <definedName name="__P21" localSheetId="65">#REF!</definedName>
    <definedName name="__P21" localSheetId="68">#REF!</definedName>
    <definedName name="__P21" localSheetId="71">#REF!</definedName>
    <definedName name="__P21" localSheetId="44">#REF!</definedName>
    <definedName name="__P21" localSheetId="45">#REF!</definedName>
    <definedName name="__P21" localSheetId="27">#REF!</definedName>
    <definedName name="__P21" localSheetId="28">#REF!</definedName>
    <definedName name="__P21" localSheetId="29">#REF!</definedName>
    <definedName name="__P21" localSheetId="66">#REF!</definedName>
    <definedName name="__P21">#REF!</definedName>
    <definedName name="__P22" localSheetId="70">#REF!</definedName>
    <definedName name="__P22" localSheetId="52">#REF!</definedName>
    <definedName name="__P22" localSheetId="58">#REF!</definedName>
    <definedName name="__P22" localSheetId="57">#REF!</definedName>
    <definedName name="__P22" localSheetId="64">#REF!</definedName>
    <definedName name="__P22" localSheetId="67">#REF!</definedName>
    <definedName name="__P22" localSheetId="65">#REF!</definedName>
    <definedName name="__P22" localSheetId="68">#REF!</definedName>
    <definedName name="__P22" localSheetId="71">#REF!</definedName>
    <definedName name="__P22" localSheetId="44">#REF!</definedName>
    <definedName name="__P22" localSheetId="45">#REF!</definedName>
    <definedName name="__P22" localSheetId="27">#REF!</definedName>
    <definedName name="__P22" localSheetId="28">#REF!</definedName>
    <definedName name="__P22" localSheetId="29">#REF!</definedName>
    <definedName name="__P22" localSheetId="66">#REF!</definedName>
    <definedName name="__P22">#REF!</definedName>
    <definedName name="__p3" localSheetId="70">#REF!</definedName>
    <definedName name="__p3" localSheetId="52">#REF!</definedName>
    <definedName name="__p3" localSheetId="58">#REF!</definedName>
    <definedName name="__p3" localSheetId="57">#REF!</definedName>
    <definedName name="__p3" localSheetId="64">#REF!</definedName>
    <definedName name="__p3" localSheetId="67">#REF!</definedName>
    <definedName name="__p3" localSheetId="65">#REF!</definedName>
    <definedName name="__p3" localSheetId="68">#REF!</definedName>
    <definedName name="__p3" localSheetId="71">#REF!</definedName>
    <definedName name="__p3" localSheetId="44">#REF!</definedName>
    <definedName name="__p3" localSheetId="45">#REF!</definedName>
    <definedName name="__p3" localSheetId="27">#REF!</definedName>
    <definedName name="__p3" localSheetId="28">#REF!</definedName>
    <definedName name="__p3" localSheetId="29">#REF!</definedName>
    <definedName name="__p3" localSheetId="66">#REF!</definedName>
    <definedName name="__p3">#REF!</definedName>
    <definedName name="__P31" localSheetId="70">#REF!</definedName>
    <definedName name="__P31" localSheetId="52">#REF!</definedName>
    <definedName name="__P31" localSheetId="58">#REF!</definedName>
    <definedName name="__P31" localSheetId="57">#REF!</definedName>
    <definedName name="__P31" localSheetId="64">#REF!</definedName>
    <definedName name="__P31" localSheetId="67">#REF!</definedName>
    <definedName name="__P31" localSheetId="65">#REF!</definedName>
    <definedName name="__P31" localSheetId="68">#REF!</definedName>
    <definedName name="__P31" localSheetId="71">#REF!</definedName>
    <definedName name="__P31" localSheetId="44">#REF!</definedName>
    <definedName name="__P31" localSheetId="45">#REF!</definedName>
    <definedName name="__P31" localSheetId="27">#REF!</definedName>
    <definedName name="__P31" localSheetId="28">#REF!</definedName>
    <definedName name="__P31" localSheetId="29">#REF!</definedName>
    <definedName name="__P31" localSheetId="66">#REF!</definedName>
    <definedName name="__P31">#REF!</definedName>
    <definedName name="__P32" localSheetId="70">#REF!</definedName>
    <definedName name="__P32" localSheetId="52">#REF!</definedName>
    <definedName name="__P32" localSheetId="58">#REF!</definedName>
    <definedName name="__P32" localSheetId="57">#REF!</definedName>
    <definedName name="__P32" localSheetId="64">#REF!</definedName>
    <definedName name="__P32" localSheetId="67">#REF!</definedName>
    <definedName name="__P32" localSheetId="65">#REF!</definedName>
    <definedName name="__P32" localSheetId="68">#REF!</definedName>
    <definedName name="__P32" localSheetId="71">#REF!</definedName>
    <definedName name="__P32" localSheetId="44">#REF!</definedName>
    <definedName name="__P32" localSheetId="45">#REF!</definedName>
    <definedName name="__P32" localSheetId="27">#REF!</definedName>
    <definedName name="__P32" localSheetId="28">#REF!</definedName>
    <definedName name="__P32" localSheetId="29">#REF!</definedName>
    <definedName name="__P32" localSheetId="66">#REF!</definedName>
    <definedName name="__P32">#REF!</definedName>
    <definedName name="__P33" localSheetId="70">#REF!</definedName>
    <definedName name="__P33" localSheetId="52">#REF!</definedName>
    <definedName name="__P33" localSheetId="58">#REF!</definedName>
    <definedName name="__P33" localSheetId="57">#REF!</definedName>
    <definedName name="__P33" localSheetId="64">#REF!</definedName>
    <definedName name="__P33" localSheetId="67">#REF!</definedName>
    <definedName name="__P33" localSheetId="65">#REF!</definedName>
    <definedName name="__P33" localSheetId="68">#REF!</definedName>
    <definedName name="__P33" localSheetId="71">#REF!</definedName>
    <definedName name="__P33" localSheetId="44">#REF!</definedName>
    <definedName name="__P33" localSheetId="45">#REF!</definedName>
    <definedName name="__P33" localSheetId="27">#REF!</definedName>
    <definedName name="__P33" localSheetId="28">#REF!</definedName>
    <definedName name="__P33" localSheetId="29">#REF!</definedName>
    <definedName name="__P33" localSheetId="66">#REF!</definedName>
    <definedName name="__P33">#REF!</definedName>
    <definedName name="__P34" localSheetId="70">#REF!</definedName>
    <definedName name="__P34" localSheetId="52">#REF!</definedName>
    <definedName name="__P34" localSheetId="58">#REF!</definedName>
    <definedName name="__P34" localSheetId="57">#REF!</definedName>
    <definedName name="__P34" localSheetId="64">#REF!</definedName>
    <definedName name="__P34" localSheetId="67">#REF!</definedName>
    <definedName name="__P34" localSheetId="65">#REF!</definedName>
    <definedName name="__P34" localSheetId="68">#REF!</definedName>
    <definedName name="__P34" localSheetId="71">#REF!</definedName>
    <definedName name="__P34" localSheetId="44">#REF!</definedName>
    <definedName name="__P34" localSheetId="45">#REF!</definedName>
    <definedName name="__P34" localSheetId="27">#REF!</definedName>
    <definedName name="__P34" localSheetId="28">#REF!</definedName>
    <definedName name="__P34" localSheetId="29">#REF!</definedName>
    <definedName name="__P34" localSheetId="66">#REF!</definedName>
    <definedName name="__P34">#REF!</definedName>
    <definedName name="__PC1" localSheetId="70">#REF!</definedName>
    <definedName name="__PC1" localSheetId="52">#REF!</definedName>
    <definedName name="__PC1" localSheetId="58">#REF!</definedName>
    <definedName name="__PC1" localSheetId="57">#REF!</definedName>
    <definedName name="__PC1" localSheetId="64">#REF!</definedName>
    <definedName name="__PC1" localSheetId="67">#REF!</definedName>
    <definedName name="__PC1" localSheetId="65">#REF!</definedName>
    <definedName name="__PC1" localSheetId="68">#REF!</definedName>
    <definedName name="__PC1" localSheetId="71">#REF!</definedName>
    <definedName name="__PC1" localSheetId="44">#REF!</definedName>
    <definedName name="__PC1" localSheetId="45">#REF!</definedName>
    <definedName name="__PC1" localSheetId="27">#REF!</definedName>
    <definedName name="__PC1" localSheetId="28">#REF!</definedName>
    <definedName name="__PC1" localSheetId="29">#REF!</definedName>
    <definedName name="__PC1" localSheetId="66">#REF!</definedName>
    <definedName name="__PC1">#REF!</definedName>
    <definedName name="__PG1">'[5]Financial Estimates'!$A$7:$B$108</definedName>
    <definedName name="__PG2" localSheetId="70">#REF!</definedName>
    <definedName name="__PG2" localSheetId="52">#REF!</definedName>
    <definedName name="__PG2" localSheetId="58">#REF!</definedName>
    <definedName name="__PG2" localSheetId="56">#REF!</definedName>
    <definedName name="__PG2" localSheetId="57">#REF!</definedName>
    <definedName name="__PG2" localSheetId="64">#REF!</definedName>
    <definedName name="__PG2" localSheetId="67">#REF!</definedName>
    <definedName name="__PG2" localSheetId="65">#REF!</definedName>
    <definedName name="__PG2" localSheetId="68">#REF!</definedName>
    <definedName name="__PG2" localSheetId="71">#REF!</definedName>
    <definedName name="__PG2" localSheetId="44">#REF!</definedName>
    <definedName name="__PG2" localSheetId="45">#REF!</definedName>
    <definedName name="__PG2" localSheetId="17">#REF!</definedName>
    <definedName name="__PG2" localSheetId="27">#REF!</definedName>
    <definedName name="__PG2" localSheetId="72">#REF!</definedName>
    <definedName name="__PG2" localSheetId="28">#REF!</definedName>
    <definedName name="__PG2" localSheetId="29">#REF!</definedName>
    <definedName name="__PG2" localSheetId="66">#REF!</definedName>
    <definedName name="__PG2">#REF!</definedName>
    <definedName name="__PG3" localSheetId="70">#REF!</definedName>
    <definedName name="__PG3" localSheetId="52">#REF!</definedName>
    <definedName name="__PG3" localSheetId="58">#REF!</definedName>
    <definedName name="__PG3" localSheetId="57">#REF!</definedName>
    <definedName name="__PG3" localSheetId="64">#REF!</definedName>
    <definedName name="__PG3" localSheetId="67">#REF!</definedName>
    <definedName name="__PG3" localSheetId="65">#REF!</definedName>
    <definedName name="__PG3" localSheetId="68">#REF!</definedName>
    <definedName name="__PG3" localSheetId="71">#REF!</definedName>
    <definedName name="__PG3" localSheetId="44">#REF!</definedName>
    <definedName name="__PG3" localSheetId="45">#REF!</definedName>
    <definedName name="__PG3" localSheetId="17">#REF!</definedName>
    <definedName name="__PG3" localSheetId="27">#REF!</definedName>
    <definedName name="__PG3" localSheetId="72">#REF!</definedName>
    <definedName name="__PG3" localSheetId="28">#REF!</definedName>
    <definedName name="__PG3" localSheetId="29">#REF!</definedName>
    <definedName name="__PG3" localSheetId="66">#REF!</definedName>
    <definedName name="__PG3">#REF!</definedName>
    <definedName name="__PG5">'[5]Financial Estimates'!$A$271:$D$342</definedName>
    <definedName name="__pg6">'[6]Financial Estimates'!$A$271:$D$342</definedName>
    <definedName name="__pg7" localSheetId="70">'[6]Financial Estimates'!#REF!</definedName>
    <definedName name="__pg7" localSheetId="52">'[6]Financial Estimates'!#REF!</definedName>
    <definedName name="__pg7" localSheetId="58">'[6]Financial Estimates'!#REF!</definedName>
    <definedName name="__pg7" localSheetId="56">'[6]Financial Estimates'!#REF!</definedName>
    <definedName name="__pg7" localSheetId="57">'[6]Financial Estimates'!#REF!</definedName>
    <definedName name="__pg7" localSheetId="64">'[6]Financial Estimates'!#REF!</definedName>
    <definedName name="__pg7" localSheetId="67">'[6]Financial Estimates'!#REF!</definedName>
    <definedName name="__pg7" localSheetId="65">'[6]Financial Estimates'!#REF!</definedName>
    <definedName name="__pg7" localSheetId="68">'[6]Financial Estimates'!#REF!</definedName>
    <definedName name="__pg7" localSheetId="71">'[6]Financial Estimates'!#REF!</definedName>
    <definedName name="__pg7" localSheetId="44">'[6]Financial Estimates'!#REF!</definedName>
    <definedName name="__pg7" localSheetId="45">'[6]Financial Estimates'!#REF!</definedName>
    <definedName name="__pg7" localSheetId="17">'[6]Financial Estimates'!#REF!</definedName>
    <definedName name="__pg7" localSheetId="27">'[6]Financial Estimates'!#REF!</definedName>
    <definedName name="__pg7" localSheetId="72">'[6]Financial Estimates'!#REF!</definedName>
    <definedName name="__pg7" localSheetId="28">'[6]Financial Estimates'!#REF!</definedName>
    <definedName name="__pg7" localSheetId="29">'[6]Financial Estimates'!#REF!</definedName>
    <definedName name="__pg7" localSheetId="66">'[6]Financial Estimates'!#REF!</definedName>
    <definedName name="__pg7">'[6]Financial Estimates'!#REF!</definedName>
    <definedName name="__RE100" localSheetId="70">#REF!</definedName>
    <definedName name="__RE100" localSheetId="52">#REF!</definedName>
    <definedName name="__RE100" localSheetId="58">#REF!</definedName>
    <definedName name="__RE100" localSheetId="56">#REF!</definedName>
    <definedName name="__RE100" localSheetId="57">#REF!</definedName>
    <definedName name="__RE100" localSheetId="64">#REF!</definedName>
    <definedName name="__RE100" localSheetId="67">#REF!</definedName>
    <definedName name="__RE100" localSheetId="65">#REF!</definedName>
    <definedName name="__RE100" localSheetId="68">#REF!</definedName>
    <definedName name="__RE100" localSheetId="71">#REF!</definedName>
    <definedName name="__RE100" localSheetId="44">#REF!</definedName>
    <definedName name="__RE100" localSheetId="45">#REF!</definedName>
    <definedName name="__RE100" localSheetId="17">#REF!</definedName>
    <definedName name="__RE100" localSheetId="27">#REF!</definedName>
    <definedName name="__RE100" localSheetId="72">#REF!</definedName>
    <definedName name="__RE100" localSheetId="28">#REF!</definedName>
    <definedName name="__RE100" localSheetId="29">#REF!</definedName>
    <definedName name="__RE100" localSheetId="66">#REF!</definedName>
    <definedName name="__RE100">#REF!</definedName>
    <definedName name="__RE104" localSheetId="70">#REF!</definedName>
    <definedName name="__RE104" localSheetId="52">#REF!</definedName>
    <definedName name="__RE104" localSheetId="58">#REF!</definedName>
    <definedName name="__RE104" localSheetId="57">#REF!</definedName>
    <definedName name="__RE104" localSheetId="64">#REF!</definedName>
    <definedName name="__RE104" localSheetId="67">#REF!</definedName>
    <definedName name="__RE104" localSheetId="65">#REF!</definedName>
    <definedName name="__RE104" localSheetId="68">#REF!</definedName>
    <definedName name="__RE104" localSheetId="71">#REF!</definedName>
    <definedName name="__RE104" localSheetId="44">#REF!</definedName>
    <definedName name="__RE104" localSheetId="45">#REF!</definedName>
    <definedName name="__RE104" localSheetId="17">#REF!</definedName>
    <definedName name="__RE104" localSheetId="27">#REF!</definedName>
    <definedName name="__RE104" localSheetId="72">#REF!</definedName>
    <definedName name="__RE104" localSheetId="28">#REF!</definedName>
    <definedName name="__RE104" localSheetId="29">#REF!</definedName>
    <definedName name="__RE104" localSheetId="66">#REF!</definedName>
    <definedName name="__RE104">#REF!</definedName>
    <definedName name="__RE112" localSheetId="70">#REF!</definedName>
    <definedName name="__RE112" localSheetId="52">#REF!</definedName>
    <definedName name="__RE112" localSheetId="58">#REF!</definedName>
    <definedName name="__RE112" localSheetId="57">#REF!</definedName>
    <definedName name="__RE112" localSheetId="64">#REF!</definedName>
    <definedName name="__RE112" localSheetId="67">#REF!</definedName>
    <definedName name="__RE112" localSheetId="65">#REF!</definedName>
    <definedName name="__RE112" localSheetId="68">#REF!</definedName>
    <definedName name="__RE112" localSheetId="71">#REF!</definedName>
    <definedName name="__RE112" localSheetId="44">#REF!</definedName>
    <definedName name="__RE112" localSheetId="45">#REF!</definedName>
    <definedName name="__RE112" localSheetId="17">#REF!</definedName>
    <definedName name="__RE112" localSheetId="27">#REF!</definedName>
    <definedName name="__RE112" localSheetId="72">#REF!</definedName>
    <definedName name="__RE112" localSheetId="28">#REF!</definedName>
    <definedName name="__RE112" localSheetId="29">#REF!</definedName>
    <definedName name="__RE112" localSheetId="66">#REF!</definedName>
    <definedName name="__RE112">#REF!</definedName>
    <definedName name="__RE26" localSheetId="70">#REF!</definedName>
    <definedName name="__RE26" localSheetId="52">#REF!</definedName>
    <definedName name="__RE26" localSheetId="58">#REF!</definedName>
    <definedName name="__RE26" localSheetId="57">#REF!</definedName>
    <definedName name="__RE26" localSheetId="64">#REF!</definedName>
    <definedName name="__RE26" localSheetId="67">#REF!</definedName>
    <definedName name="__RE26" localSheetId="65">#REF!</definedName>
    <definedName name="__RE26" localSheetId="68">#REF!</definedName>
    <definedName name="__RE26" localSheetId="71">#REF!</definedName>
    <definedName name="__RE26" localSheetId="44">#REF!</definedName>
    <definedName name="__RE26" localSheetId="45">#REF!</definedName>
    <definedName name="__RE26" localSheetId="27">#REF!</definedName>
    <definedName name="__RE26" localSheetId="28">#REF!</definedName>
    <definedName name="__RE26" localSheetId="29">#REF!</definedName>
    <definedName name="__RE26" localSheetId="66">#REF!</definedName>
    <definedName name="__RE26">#REF!</definedName>
    <definedName name="__RE28" localSheetId="70">#REF!</definedName>
    <definedName name="__RE28" localSheetId="52">#REF!</definedName>
    <definedName name="__RE28" localSheetId="58">#REF!</definedName>
    <definedName name="__RE28" localSheetId="57">#REF!</definedName>
    <definedName name="__RE28" localSheetId="64">#REF!</definedName>
    <definedName name="__RE28" localSheetId="67">#REF!</definedName>
    <definedName name="__RE28" localSheetId="65">#REF!</definedName>
    <definedName name="__RE28" localSheetId="68">#REF!</definedName>
    <definedName name="__RE28" localSheetId="71">#REF!</definedName>
    <definedName name="__RE28" localSheetId="44">#REF!</definedName>
    <definedName name="__RE28" localSheetId="45">#REF!</definedName>
    <definedName name="__RE28" localSheetId="27">#REF!</definedName>
    <definedName name="__RE28" localSheetId="28">#REF!</definedName>
    <definedName name="__RE28" localSheetId="29">#REF!</definedName>
    <definedName name="__RE28" localSheetId="66">#REF!</definedName>
    <definedName name="__RE28">#REF!</definedName>
    <definedName name="__RE30" localSheetId="70">#REF!</definedName>
    <definedName name="__RE30" localSheetId="52">#REF!</definedName>
    <definedName name="__RE30" localSheetId="58">#REF!</definedName>
    <definedName name="__RE30" localSheetId="57">#REF!</definedName>
    <definedName name="__RE30" localSheetId="64">#REF!</definedName>
    <definedName name="__RE30" localSheetId="67">#REF!</definedName>
    <definedName name="__RE30" localSheetId="65">#REF!</definedName>
    <definedName name="__RE30" localSheetId="68">#REF!</definedName>
    <definedName name="__RE30" localSheetId="71">#REF!</definedName>
    <definedName name="__RE30" localSheetId="44">#REF!</definedName>
    <definedName name="__RE30" localSheetId="45">#REF!</definedName>
    <definedName name="__RE30" localSheetId="27">#REF!</definedName>
    <definedName name="__RE30" localSheetId="28">#REF!</definedName>
    <definedName name="__RE30" localSheetId="29">#REF!</definedName>
    <definedName name="__RE30" localSheetId="66">#REF!</definedName>
    <definedName name="__RE30">#REF!</definedName>
    <definedName name="__RE32" localSheetId="70">#REF!</definedName>
    <definedName name="__RE32" localSheetId="52">#REF!</definedName>
    <definedName name="__RE32" localSheetId="58">#REF!</definedName>
    <definedName name="__RE32" localSheetId="57">#REF!</definedName>
    <definedName name="__RE32" localSheetId="64">#REF!</definedName>
    <definedName name="__RE32" localSheetId="67">#REF!</definedName>
    <definedName name="__RE32" localSheetId="65">#REF!</definedName>
    <definedName name="__RE32" localSheetId="68">#REF!</definedName>
    <definedName name="__RE32" localSheetId="71">#REF!</definedName>
    <definedName name="__RE32" localSheetId="44">#REF!</definedName>
    <definedName name="__RE32" localSheetId="45">#REF!</definedName>
    <definedName name="__RE32" localSheetId="27">#REF!</definedName>
    <definedName name="__RE32" localSheetId="28">#REF!</definedName>
    <definedName name="__RE32" localSheetId="29">#REF!</definedName>
    <definedName name="__RE32" localSheetId="66">#REF!</definedName>
    <definedName name="__RE32">#REF!</definedName>
    <definedName name="__RE34" localSheetId="70">#REF!</definedName>
    <definedName name="__RE34" localSheetId="52">#REF!</definedName>
    <definedName name="__RE34" localSheetId="58">#REF!</definedName>
    <definedName name="__RE34" localSheetId="57">#REF!</definedName>
    <definedName name="__RE34" localSheetId="64">#REF!</definedName>
    <definedName name="__RE34" localSheetId="67">#REF!</definedName>
    <definedName name="__RE34" localSheetId="65">#REF!</definedName>
    <definedName name="__RE34" localSheetId="68">#REF!</definedName>
    <definedName name="__RE34" localSheetId="71">#REF!</definedName>
    <definedName name="__RE34" localSheetId="44">#REF!</definedName>
    <definedName name="__RE34" localSheetId="45">#REF!</definedName>
    <definedName name="__RE34" localSheetId="27">#REF!</definedName>
    <definedName name="__RE34" localSheetId="28">#REF!</definedName>
    <definedName name="__RE34" localSheetId="29">#REF!</definedName>
    <definedName name="__RE34" localSheetId="66">#REF!</definedName>
    <definedName name="__RE34">#REF!</definedName>
    <definedName name="__RE36" localSheetId="70">#REF!</definedName>
    <definedName name="__RE36" localSheetId="52">#REF!</definedName>
    <definedName name="__RE36" localSheetId="58">#REF!</definedName>
    <definedName name="__RE36" localSheetId="57">#REF!</definedName>
    <definedName name="__RE36" localSheetId="64">#REF!</definedName>
    <definedName name="__RE36" localSheetId="67">#REF!</definedName>
    <definedName name="__RE36" localSheetId="65">#REF!</definedName>
    <definedName name="__RE36" localSheetId="68">#REF!</definedName>
    <definedName name="__RE36" localSheetId="71">#REF!</definedName>
    <definedName name="__RE36" localSheetId="44">#REF!</definedName>
    <definedName name="__RE36" localSheetId="45">#REF!</definedName>
    <definedName name="__RE36" localSheetId="27">#REF!</definedName>
    <definedName name="__RE36" localSheetId="28">#REF!</definedName>
    <definedName name="__RE36" localSheetId="29">#REF!</definedName>
    <definedName name="__RE36" localSheetId="66">#REF!</definedName>
    <definedName name="__RE36">#REF!</definedName>
    <definedName name="__RE38" localSheetId="70">#REF!</definedName>
    <definedName name="__RE38" localSheetId="52">#REF!</definedName>
    <definedName name="__RE38" localSheetId="58">#REF!</definedName>
    <definedName name="__RE38" localSheetId="57">#REF!</definedName>
    <definedName name="__RE38" localSheetId="64">#REF!</definedName>
    <definedName name="__RE38" localSheetId="67">#REF!</definedName>
    <definedName name="__RE38" localSheetId="65">#REF!</definedName>
    <definedName name="__RE38" localSheetId="68">#REF!</definedName>
    <definedName name="__RE38" localSheetId="71">#REF!</definedName>
    <definedName name="__RE38" localSheetId="44">#REF!</definedName>
    <definedName name="__RE38" localSheetId="45">#REF!</definedName>
    <definedName name="__RE38" localSheetId="27">#REF!</definedName>
    <definedName name="__RE38" localSheetId="28">#REF!</definedName>
    <definedName name="__RE38" localSheetId="29">#REF!</definedName>
    <definedName name="__RE38" localSheetId="66">#REF!</definedName>
    <definedName name="__RE38">#REF!</definedName>
    <definedName name="__RE40" localSheetId="70">#REF!</definedName>
    <definedName name="__RE40" localSheetId="52">#REF!</definedName>
    <definedName name="__RE40" localSheetId="58">#REF!</definedName>
    <definedName name="__RE40" localSheetId="57">#REF!</definedName>
    <definedName name="__RE40" localSheetId="64">#REF!</definedName>
    <definedName name="__RE40" localSheetId="67">#REF!</definedName>
    <definedName name="__RE40" localSheetId="65">#REF!</definedName>
    <definedName name="__RE40" localSheetId="68">#REF!</definedName>
    <definedName name="__RE40" localSheetId="71">#REF!</definedName>
    <definedName name="__RE40" localSheetId="44">#REF!</definedName>
    <definedName name="__RE40" localSheetId="45">#REF!</definedName>
    <definedName name="__RE40" localSheetId="27">#REF!</definedName>
    <definedName name="__RE40" localSheetId="28">#REF!</definedName>
    <definedName name="__RE40" localSheetId="29">#REF!</definedName>
    <definedName name="__RE40" localSheetId="66">#REF!</definedName>
    <definedName name="__RE40">#REF!</definedName>
    <definedName name="__RE42" localSheetId="70">#REF!</definedName>
    <definedName name="__RE42" localSheetId="52">#REF!</definedName>
    <definedName name="__RE42" localSheetId="58">#REF!</definedName>
    <definedName name="__RE42" localSheetId="57">#REF!</definedName>
    <definedName name="__RE42" localSheetId="64">#REF!</definedName>
    <definedName name="__RE42" localSheetId="67">#REF!</definedName>
    <definedName name="__RE42" localSheetId="65">#REF!</definedName>
    <definedName name="__RE42" localSheetId="68">#REF!</definedName>
    <definedName name="__RE42" localSheetId="71">#REF!</definedName>
    <definedName name="__RE42" localSheetId="44">#REF!</definedName>
    <definedName name="__RE42" localSheetId="45">#REF!</definedName>
    <definedName name="__RE42" localSheetId="27">#REF!</definedName>
    <definedName name="__RE42" localSheetId="28">#REF!</definedName>
    <definedName name="__RE42" localSheetId="29">#REF!</definedName>
    <definedName name="__RE42" localSheetId="66">#REF!</definedName>
    <definedName name="__RE42">#REF!</definedName>
    <definedName name="__RE44" localSheetId="70">#REF!</definedName>
    <definedName name="__RE44" localSheetId="52">#REF!</definedName>
    <definedName name="__RE44" localSheetId="58">#REF!</definedName>
    <definedName name="__RE44" localSheetId="57">#REF!</definedName>
    <definedName name="__RE44" localSheetId="64">#REF!</definedName>
    <definedName name="__RE44" localSheetId="67">#REF!</definedName>
    <definedName name="__RE44" localSheetId="65">#REF!</definedName>
    <definedName name="__RE44" localSheetId="68">#REF!</definedName>
    <definedName name="__RE44" localSheetId="71">#REF!</definedName>
    <definedName name="__RE44" localSheetId="44">#REF!</definedName>
    <definedName name="__RE44" localSheetId="45">#REF!</definedName>
    <definedName name="__RE44" localSheetId="27">#REF!</definedName>
    <definedName name="__RE44" localSheetId="28">#REF!</definedName>
    <definedName name="__RE44" localSheetId="29">#REF!</definedName>
    <definedName name="__RE44" localSheetId="66">#REF!</definedName>
    <definedName name="__RE44">#REF!</definedName>
    <definedName name="__RE48" localSheetId="70">#REF!</definedName>
    <definedName name="__RE48" localSheetId="52">#REF!</definedName>
    <definedName name="__RE48" localSheetId="58">#REF!</definedName>
    <definedName name="__RE48" localSheetId="57">#REF!</definedName>
    <definedName name="__RE48" localSheetId="64">#REF!</definedName>
    <definedName name="__RE48" localSheetId="67">#REF!</definedName>
    <definedName name="__RE48" localSheetId="65">#REF!</definedName>
    <definedName name="__RE48" localSheetId="68">#REF!</definedName>
    <definedName name="__RE48" localSheetId="71">#REF!</definedName>
    <definedName name="__RE48" localSheetId="44">#REF!</definedName>
    <definedName name="__RE48" localSheetId="45">#REF!</definedName>
    <definedName name="__RE48" localSheetId="27">#REF!</definedName>
    <definedName name="__RE48" localSheetId="28">#REF!</definedName>
    <definedName name="__RE48" localSheetId="29">#REF!</definedName>
    <definedName name="__RE48" localSheetId="66">#REF!</definedName>
    <definedName name="__RE48">#REF!</definedName>
    <definedName name="__RE52" localSheetId="70">#REF!</definedName>
    <definedName name="__RE52" localSheetId="52">#REF!</definedName>
    <definedName name="__RE52" localSheetId="58">#REF!</definedName>
    <definedName name="__RE52" localSheetId="57">#REF!</definedName>
    <definedName name="__RE52" localSheetId="64">#REF!</definedName>
    <definedName name="__RE52" localSheetId="67">#REF!</definedName>
    <definedName name="__RE52" localSheetId="65">#REF!</definedName>
    <definedName name="__RE52" localSheetId="68">#REF!</definedName>
    <definedName name="__RE52" localSheetId="71">#REF!</definedName>
    <definedName name="__RE52" localSheetId="44">#REF!</definedName>
    <definedName name="__RE52" localSheetId="45">#REF!</definedName>
    <definedName name="__RE52" localSheetId="27">#REF!</definedName>
    <definedName name="__RE52" localSheetId="28">#REF!</definedName>
    <definedName name="__RE52" localSheetId="29">#REF!</definedName>
    <definedName name="__RE52" localSheetId="66">#REF!</definedName>
    <definedName name="__RE52">#REF!</definedName>
    <definedName name="__RE56" localSheetId="70">#REF!</definedName>
    <definedName name="__RE56" localSheetId="52">#REF!</definedName>
    <definedName name="__RE56" localSheetId="58">#REF!</definedName>
    <definedName name="__RE56" localSheetId="57">#REF!</definedName>
    <definedName name="__RE56" localSheetId="64">#REF!</definedName>
    <definedName name="__RE56" localSheetId="67">#REF!</definedName>
    <definedName name="__RE56" localSheetId="65">#REF!</definedName>
    <definedName name="__RE56" localSheetId="68">#REF!</definedName>
    <definedName name="__RE56" localSheetId="71">#REF!</definedName>
    <definedName name="__RE56" localSheetId="44">#REF!</definedName>
    <definedName name="__RE56" localSheetId="45">#REF!</definedName>
    <definedName name="__RE56" localSheetId="27">#REF!</definedName>
    <definedName name="__RE56" localSheetId="28">#REF!</definedName>
    <definedName name="__RE56" localSheetId="29">#REF!</definedName>
    <definedName name="__RE56" localSheetId="66">#REF!</definedName>
    <definedName name="__RE56">#REF!</definedName>
    <definedName name="__RE60" localSheetId="70">#REF!</definedName>
    <definedName name="__RE60" localSheetId="52">#REF!</definedName>
    <definedName name="__RE60" localSheetId="58">#REF!</definedName>
    <definedName name="__RE60" localSheetId="57">#REF!</definedName>
    <definedName name="__RE60" localSheetId="64">#REF!</definedName>
    <definedName name="__RE60" localSheetId="67">#REF!</definedName>
    <definedName name="__RE60" localSheetId="65">#REF!</definedName>
    <definedName name="__RE60" localSheetId="68">#REF!</definedName>
    <definedName name="__RE60" localSheetId="71">#REF!</definedName>
    <definedName name="__RE60" localSheetId="44">#REF!</definedName>
    <definedName name="__RE60" localSheetId="45">#REF!</definedName>
    <definedName name="__RE60" localSheetId="27">#REF!</definedName>
    <definedName name="__RE60" localSheetId="28">#REF!</definedName>
    <definedName name="__RE60" localSheetId="29">#REF!</definedName>
    <definedName name="__RE60" localSheetId="66">#REF!</definedName>
    <definedName name="__RE60">#REF!</definedName>
    <definedName name="__RE64" localSheetId="70">#REF!</definedName>
    <definedName name="__RE64" localSheetId="52">#REF!</definedName>
    <definedName name="__RE64" localSheetId="58">#REF!</definedName>
    <definedName name="__RE64" localSheetId="57">#REF!</definedName>
    <definedName name="__RE64" localSheetId="64">#REF!</definedName>
    <definedName name="__RE64" localSheetId="67">#REF!</definedName>
    <definedName name="__RE64" localSheetId="65">#REF!</definedName>
    <definedName name="__RE64" localSheetId="68">#REF!</definedName>
    <definedName name="__RE64" localSheetId="71">#REF!</definedName>
    <definedName name="__RE64" localSheetId="44">#REF!</definedName>
    <definedName name="__RE64" localSheetId="45">#REF!</definedName>
    <definedName name="__RE64" localSheetId="27">#REF!</definedName>
    <definedName name="__RE64" localSheetId="28">#REF!</definedName>
    <definedName name="__RE64" localSheetId="29">#REF!</definedName>
    <definedName name="__RE64" localSheetId="66">#REF!</definedName>
    <definedName name="__RE64">#REF!</definedName>
    <definedName name="__RE68" localSheetId="70">#REF!</definedName>
    <definedName name="__RE68" localSheetId="52">#REF!</definedName>
    <definedName name="__RE68" localSheetId="58">#REF!</definedName>
    <definedName name="__RE68" localSheetId="57">#REF!</definedName>
    <definedName name="__RE68" localSheetId="64">#REF!</definedName>
    <definedName name="__RE68" localSheetId="67">#REF!</definedName>
    <definedName name="__RE68" localSheetId="65">#REF!</definedName>
    <definedName name="__RE68" localSheetId="68">#REF!</definedName>
    <definedName name="__RE68" localSheetId="71">#REF!</definedName>
    <definedName name="__RE68" localSheetId="44">#REF!</definedName>
    <definedName name="__RE68" localSheetId="45">#REF!</definedName>
    <definedName name="__RE68" localSheetId="27">#REF!</definedName>
    <definedName name="__RE68" localSheetId="28">#REF!</definedName>
    <definedName name="__RE68" localSheetId="29">#REF!</definedName>
    <definedName name="__RE68" localSheetId="66">#REF!</definedName>
    <definedName name="__RE68">#REF!</definedName>
    <definedName name="__RE72" localSheetId="70">#REF!</definedName>
    <definedName name="__RE72" localSheetId="52">#REF!</definedName>
    <definedName name="__RE72" localSheetId="58">#REF!</definedName>
    <definedName name="__RE72" localSheetId="57">#REF!</definedName>
    <definedName name="__RE72" localSheetId="64">#REF!</definedName>
    <definedName name="__RE72" localSheetId="67">#REF!</definedName>
    <definedName name="__RE72" localSheetId="65">#REF!</definedName>
    <definedName name="__RE72" localSheetId="68">#REF!</definedName>
    <definedName name="__RE72" localSheetId="71">#REF!</definedName>
    <definedName name="__RE72" localSheetId="44">#REF!</definedName>
    <definedName name="__RE72" localSheetId="45">#REF!</definedName>
    <definedName name="__RE72" localSheetId="27">#REF!</definedName>
    <definedName name="__RE72" localSheetId="28">#REF!</definedName>
    <definedName name="__RE72" localSheetId="29">#REF!</definedName>
    <definedName name="__RE72" localSheetId="66">#REF!</definedName>
    <definedName name="__RE72">#REF!</definedName>
    <definedName name="__RE76" localSheetId="70">#REF!</definedName>
    <definedName name="__RE76" localSheetId="52">#REF!</definedName>
    <definedName name="__RE76" localSheetId="58">#REF!</definedName>
    <definedName name="__RE76" localSheetId="57">#REF!</definedName>
    <definedName name="__RE76" localSheetId="64">#REF!</definedName>
    <definedName name="__RE76" localSheetId="67">#REF!</definedName>
    <definedName name="__RE76" localSheetId="65">#REF!</definedName>
    <definedName name="__RE76" localSheetId="68">#REF!</definedName>
    <definedName name="__RE76" localSheetId="71">#REF!</definedName>
    <definedName name="__RE76" localSheetId="44">#REF!</definedName>
    <definedName name="__RE76" localSheetId="45">#REF!</definedName>
    <definedName name="__RE76" localSheetId="27">#REF!</definedName>
    <definedName name="__RE76" localSheetId="28">#REF!</definedName>
    <definedName name="__RE76" localSheetId="29">#REF!</definedName>
    <definedName name="__RE76" localSheetId="66">#REF!</definedName>
    <definedName name="__RE76">#REF!</definedName>
    <definedName name="__RE80" localSheetId="70">#REF!</definedName>
    <definedName name="__RE80" localSheetId="52">#REF!</definedName>
    <definedName name="__RE80" localSheetId="58">#REF!</definedName>
    <definedName name="__RE80" localSheetId="57">#REF!</definedName>
    <definedName name="__RE80" localSheetId="64">#REF!</definedName>
    <definedName name="__RE80" localSheetId="67">#REF!</definedName>
    <definedName name="__RE80" localSheetId="65">#REF!</definedName>
    <definedName name="__RE80" localSheetId="68">#REF!</definedName>
    <definedName name="__RE80" localSheetId="71">#REF!</definedName>
    <definedName name="__RE80" localSheetId="44">#REF!</definedName>
    <definedName name="__RE80" localSheetId="45">#REF!</definedName>
    <definedName name="__RE80" localSheetId="27">#REF!</definedName>
    <definedName name="__RE80" localSheetId="28">#REF!</definedName>
    <definedName name="__RE80" localSheetId="29">#REF!</definedName>
    <definedName name="__RE80" localSheetId="66">#REF!</definedName>
    <definedName name="__RE80">#REF!</definedName>
    <definedName name="__RE88" localSheetId="70">#REF!</definedName>
    <definedName name="__RE88" localSheetId="52">#REF!</definedName>
    <definedName name="__RE88" localSheetId="58">#REF!</definedName>
    <definedName name="__RE88" localSheetId="57">#REF!</definedName>
    <definedName name="__RE88" localSheetId="64">#REF!</definedName>
    <definedName name="__RE88" localSheetId="67">#REF!</definedName>
    <definedName name="__RE88" localSheetId="65">#REF!</definedName>
    <definedName name="__RE88" localSheetId="68">#REF!</definedName>
    <definedName name="__RE88" localSheetId="71">#REF!</definedName>
    <definedName name="__RE88" localSheetId="44">#REF!</definedName>
    <definedName name="__RE88" localSheetId="45">#REF!</definedName>
    <definedName name="__RE88" localSheetId="27">#REF!</definedName>
    <definedName name="__RE88" localSheetId="28">#REF!</definedName>
    <definedName name="__RE88" localSheetId="29">#REF!</definedName>
    <definedName name="__RE88" localSheetId="66">#REF!</definedName>
    <definedName name="__RE88">#REF!</definedName>
    <definedName name="__RE92" localSheetId="70">#REF!</definedName>
    <definedName name="__RE92" localSheetId="52">#REF!</definedName>
    <definedName name="__RE92" localSheetId="58">#REF!</definedName>
    <definedName name="__RE92" localSheetId="57">#REF!</definedName>
    <definedName name="__RE92" localSheetId="64">#REF!</definedName>
    <definedName name="__RE92" localSheetId="67">#REF!</definedName>
    <definedName name="__RE92" localSheetId="65">#REF!</definedName>
    <definedName name="__RE92" localSheetId="68">#REF!</definedName>
    <definedName name="__RE92" localSheetId="71">#REF!</definedName>
    <definedName name="__RE92" localSheetId="44">#REF!</definedName>
    <definedName name="__RE92" localSheetId="45">#REF!</definedName>
    <definedName name="__RE92" localSheetId="27">#REF!</definedName>
    <definedName name="__RE92" localSheetId="28">#REF!</definedName>
    <definedName name="__RE92" localSheetId="29">#REF!</definedName>
    <definedName name="__RE92" localSheetId="66">#REF!</definedName>
    <definedName name="__RE92">#REF!</definedName>
    <definedName name="__RE96" localSheetId="70">#REF!</definedName>
    <definedName name="__RE96" localSheetId="52">#REF!</definedName>
    <definedName name="__RE96" localSheetId="58">#REF!</definedName>
    <definedName name="__RE96" localSheetId="57">#REF!</definedName>
    <definedName name="__RE96" localSheetId="64">#REF!</definedName>
    <definedName name="__RE96" localSheetId="67">#REF!</definedName>
    <definedName name="__RE96" localSheetId="65">#REF!</definedName>
    <definedName name="__RE96" localSheetId="68">#REF!</definedName>
    <definedName name="__RE96" localSheetId="71">#REF!</definedName>
    <definedName name="__RE96" localSheetId="44">#REF!</definedName>
    <definedName name="__RE96" localSheetId="45">#REF!</definedName>
    <definedName name="__RE96" localSheetId="27">#REF!</definedName>
    <definedName name="__RE96" localSheetId="28">#REF!</definedName>
    <definedName name="__RE96" localSheetId="29">#REF!</definedName>
    <definedName name="__RE96" localSheetId="66">#REF!</definedName>
    <definedName name="__RE96">#REF!</definedName>
    <definedName name="__RMK1">#N/A</definedName>
    <definedName name="__RMK2">#N/A</definedName>
    <definedName name="__RR11" localSheetId="70">#REF!</definedName>
    <definedName name="__RR11" localSheetId="52">#REF!</definedName>
    <definedName name="__RR11" localSheetId="58">#REF!</definedName>
    <definedName name="__RR11" localSheetId="56">#REF!</definedName>
    <definedName name="__RR11" localSheetId="57">#REF!</definedName>
    <definedName name="__RR11" localSheetId="64">#REF!</definedName>
    <definedName name="__RR11" localSheetId="67">#REF!</definedName>
    <definedName name="__RR11" localSheetId="65">#REF!</definedName>
    <definedName name="__RR11" localSheetId="68">#REF!</definedName>
    <definedName name="__RR11" localSheetId="71">#REF!</definedName>
    <definedName name="__RR11" localSheetId="44">#REF!</definedName>
    <definedName name="__RR11" localSheetId="45">#REF!</definedName>
    <definedName name="__RR11" localSheetId="17">#REF!</definedName>
    <definedName name="__RR11" localSheetId="27">#REF!</definedName>
    <definedName name="__RR11" localSheetId="72">#REF!</definedName>
    <definedName name="__RR11" localSheetId="28">#REF!</definedName>
    <definedName name="__RR11" localSheetId="29">#REF!</definedName>
    <definedName name="__RR11" localSheetId="66">#REF!</definedName>
    <definedName name="__RR11">#REF!</definedName>
    <definedName name="__RR12" localSheetId="70">#REF!</definedName>
    <definedName name="__RR12" localSheetId="52">#REF!</definedName>
    <definedName name="__RR12" localSheetId="58">#REF!</definedName>
    <definedName name="__RR12" localSheetId="57">#REF!</definedName>
    <definedName name="__RR12" localSheetId="64">#REF!</definedName>
    <definedName name="__RR12" localSheetId="67">#REF!</definedName>
    <definedName name="__RR12" localSheetId="65">#REF!</definedName>
    <definedName name="__RR12" localSheetId="68">#REF!</definedName>
    <definedName name="__RR12" localSheetId="71">#REF!</definedName>
    <definedName name="__RR12" localSheetId="44">#REF!</definedName>
    <definedName name="__RR12" localSheetId="45">#REF!</definedName>
    <definedName name="__RR12" localSheetId="17">#REF!</definedName>
    <definedName name="__RR12" localSheetId="27">#REF!</definedName>
    <definedName name="__RR12" localSheetId="72">#REF!</definedName>
    <definedName name="__RR12" localSheetId="28">#REF!</definedName>
    <definedName name="__RR12" localSheetId="29">#REF!</definedName>
    <definedName name="__RR12" localSheetId="66">#REF!</definedName>
    <definedName name="__RR12">#REF!</definedName>
    <definedName name="__RR13" localSheetId="70">#REF!</definedName>
    <definedName name="__RR13" localSheetId="52">#REF!</definedName>
    <definedName name="__RR13" localSheetId="58">#REF!</definedName>
    <definedName name="__RR13" localSheetId="57">#REF!</definedName>
    <definedName name="__RR13" localSheetId="64">#REF!</definedName>
    <definedName name="__RR13" localSheetId="67">#REF!</definedName>
    <definedName name="__RR13" localSheetId="65">#REF!</definedName>
    <definedName name="__RR13" localSheetId="68">#REF!</definedName>
    <definedName name="__RR13" localSheetId="71">#REF!</definedName>
    <definedName name="__RR13" localSheetId="44">#REF!</definedName>
    <definedName name="__RR13" localSheetId="45">#REF!</definedName>
    <definedName name="__RR13" localSheetId="17">#REF!</definedName>
    <definedName name="__RR13" localSheetId="27">#REF!</definedName>
    <definedName name="__RR13" localSheetId="72">#REF!</definedName>
    <definedName name="__RR13" localSheetId="28">#REF!</definedName>
    <definedName name="__RR13" localSheetId="29">#REF!</definedName>
    <definedName name="__RR13" localSheetId="66">#REF!</definedName>
    <definedName name="__RR13">#REF!</definedName>
    <definedName name="__RR14" localSheetId="70">#REF!</definedName>
    <definedName name="__RR14" localSheetId="52">#REF!</definedName>
    <definedName name="__RR14" localSheetId="58">#REF!</definedName>
    <definedName name="__RR14" localSheetId="57">#REF!</definedName>
    <definedName name="__RR14" localSheetId="64">#REF!</definedName>
    <definedName name="__RR14" localSheetId="67">#REF!</definedName>
    <definedName name="__RR14" localSheetId="65">#REF!</definedName>
    <definedName name="__RR14" localSheetId="68">#REF!</definedName>
    <definedName name="__RR14" localSheetId="71">#REF!</definedName>
    <definedName name="__RR14" localSheetId="44">#REF!</definedName>
    <definedName name="__RR14" localSheetId="45">#REF!</definedName>
    <definedName name="__RR14" localSheetId="27">#REF!</definedName>
    <definedName name="__RR14" localSheetId="28">#REF!</definedName>
    <definedName name="__RR14" localSheetId="29">#REF!</definedName>
    <definedName name="__RR14" localSheetId="66">#REF!</definedName>
    <definedName name="__RR14">#REF!</definedName>
    <definedName name="__RR15" localSheetId="70">#REF!</definedName>
    <definedName name="__RR15" localSheetId="52">#REF!</definedName>
    <definedName name="__RR15" localSheetId="58">#REF!</definedName>
    <definedName name="__RR15" localSheetId="57">#REF!</definedName>
    <definedName name="__RR15" localSheetId="64">#REF!</definedName>
    <definedName name="__RR15" localSheetId="67">#REF!</definedName>
    <definedName name="__RR15" localSheetId="65">#REF!</definedName>
    <definedName name="__RR15" localSheetId="68">#REF!</definedName>
    <definedName name="__RR15" localSheetId="71">#REF!</definedName>
    <definedName name="__RR15" localSheetId="44">#REF!</definedName>
    <definedName name="__RR15" localSheetId="45">#REF!</definedName>
    <definedName name="__RR15" localSheetId="27">#REF!</definedName>
    <definedName name="__RR15" localSheetId="28">#REF!</definedName>
    <definedName name="__RR15" localSheetId="29">#REF!</definedName>
    <definedName name="__RR15" localSheetId="66">#REF!</definedName>
    <definedName name="__RR15">#REF!</definedName>
    <definedName name="__SSS1" localSheetId="70">#REF!</definedName>
    <definedName name="__SSS1" localSheetId="52">#REF!</definedName>
    <definedName name="__SSS1" localSheetId="58">#REF!</definedName>
    <definedName name="__SSS1" localSheetId="57">#REF!</definedName>
    <definedName name="__SSS1" localSheetId="64">#REF!</definedName>
    <definedName name="__SSS1" localSheetId="67">#REF!</definedName>
    <definedName name="__SSS1" localSheetId="65">#REF!</definedName>
    <definedName name="__SSS1" localSheetId="68">#REF!</definedName>
    <definedName name="__SSS1" localSheetId="71">#REF!</definedName>
    <definedName name="__SSS1" localSheetId="44">#REF!</definedName>
    <definedName name="__SSS1" localSheetId="45">#REF!</definedName>
    <definedName name="__SSS1" localSheetId="27">#REF!</definedName>
    <definedName name="__SSS1" localSheetId="28">#REF!</definedName>
    <definedName name="__SSS1" localSheetId="29">#REF!</definedName>
    <definedName name="__SSS1" localSheetId="66">#REF!</definedName>
    <definedName name="__SSS1">#REF!</definedName>
    <definedName name="__SSS2">[21]현장지지물물량!$A$9:$N$23</definedName>
    <definedName name="__USD1">'[13]#REF'!$E$26</definedName>
    <definedName name="__USD2">'[13]#REF'!$F$26</definedName>
    <definedName name="__USD3">'[13]#REF'!$G$26</definedName>
    <definedName name="__w123" localSheetId="140" hidden="1">{"Edition",#N/A,FALSE,"Data"}</definedName>
    <definedName name="__w123" localSheetId="58" hidden="1">{"Edition",#N/A,FALSE,"Data"}</definedName>
    <definedName name="__w123" localSheetId="56" hidden="1">{"Edition",#N/A,FALSE,"Data"}</definedName>
    <definedName name="__w123" localSheetId="57" hidden="1">{"Edition",#N/A,FALSE,"Data"}</definedName>
    <definedName name="__w123" localSheetId="67" hidden="1">{"Edition",#N/A,FALSE,"Data"}</definedName>
    <definedName name="__w123" localSheetId="65" hidden="1">{"Edition",#N/A,FALSE,"Data"}</definedName>
    <definedName name="__w123" localSheetId="68" hidden="1">{"Edition",#N/A,FALSE,"Data"}</definedName>
    <definedName name="__w123" localSheetId="71" hidden="1">{"Edition",#N/A,FALSE,"Data"}</definedName>
    <definedName name="__w123" localSheetId="17" hidden="1">{"Edition",#N/A,FALSE,"Data"}</definedName>
    <definedName name="__w123" localSheetId="27" hidden="1">{"Edition",#N/A,FALSE,"Data"}</definedName>
    <definedName name="__w123" localSheetId="72" hidden="1">{"Edition",#N/A,FALSE,"Data"}</definedName>
    <definedName name="__w123" localSheetId="28" hidden="1">{"Edition",#N/A,FALSE,"Data"}</definedName>
    <definedName name="__w123" localSheetId="29" hidden="1">{"Edition",#N/A,FALSE,"Data"}</definedName>
    <definedName name="__w123" hidden="1">{"Edition",#N/A,FALSE,"Data"}</definedName>
    <definedName name="__xlfn.BAHTTEXT" hidden="1">#NAME?</definedName>
    <definedName name="__za1" localSheetId="70">#REF!</definedName>
    <definedName name="__za1" localSheetId="52">#REF!</definedName>
    <definedName name="__za1" localSheetId="58">#REF!</definedName>
    <definedName name="__za1" localSheetId="56">#REF!</definedName>
    <definedName name="__za1" localSheetId="57">#REF!</definedName>
    <definedName name="__za1" localSheetId="64">#REF!</definedName>
    <definedName name="__za1" localSheetId="67">#REF!</definedName>
    <definedName name="__za1" localSheetId="65">#REF!</definedName>
    <definedName name="__za1" localSheetId="68">#REF!</definedName>
    <definedName name="__za1" localSheetId="71">#REF!</definedName>
    <definedName name="__za1" localSheetId="44">#REF!</definedName>
    <definedName name="__za1" localSheetId="45">#REF!</definedName>
    <definedName name="__za1" localSheetId="17">#REF!</definedName>
    <definedName name="__za1" localSheetId="27">#REF!</definedName>
    <definedName name="__za1" localSheetId="72">#REF!</definedName>
    <definedName name="__za1" localSheetId="28">#REF!</definedName>
    <definedName name="__za1" localSheetId="29">#REF!</definedName>
    <definedName name="__za1" localSheetId="66">#REF!</definedName>
    <definedName name="__za1">#REF!</definedName>
    <definedName name="__zz1" localSheetId="70">#REF!</definedName>
    <definedName name="__zz1" localSheetId="52">#REF!</definedName>
    <definedName name="__zz1" localSheetId="58">#REF!</definedName>
    <definedName name="__zz1" localSheetId="57">#REF!</definedName>
    <definedName name="__zz1" localSheetId="64">#REF!</definedName>
    <definedName name="__zz1" localSheetId="67">#REF!</definedName>
    <definedName name="__zz1" localSheetId="65">#REF!</definedName>
    <definedName name="__zz1" localSheetId="68">#REF!</definedName>
    <definedName name="__zz1" localSheetId="71">#REF!</definedName>
    <definedName name="__zz1" localSheetId="44">#REF!</definedName>
    <definedName name="__zz1" localSheetId="45">#REF!</definedName>
    <definedName name="__zz1" localSheetId="17">#REF!</definedName>
    <definedName name="__zz1" localSheetId="27">#REF!</definedName>
    <definedName name="__zz1" localSheetId="72">#REF!</definedName>
    <definedName name="__zz1" localSheetId="28">#REF!</definedName>
    <definedName name="__zz1" localSheetId="29">#REF!</definedName>
    <definedName name="__zz1" localSheetId="66">#REF!</definedName>
    <definedName name="__zz1">#REF!</definedName>
    <definedName name="_1">#N/A</definedName>
    <definedName name="_11">#N/A</definedName>
    <definedName name="_12">#N/A</definedName>
    <definedName name="_2">#N/A</definedName>
    <definedName name="_21">#N/A</definedName>
    <definedName name="_22">#N/A</definedName>
    <definedName name="_23">#N/A</definedName>
    <definedName name="_24">#N/A</definedName>
    <definedName name="_25">#N/A</definedName>
    <definedName name="_31">#N/A</definedName>
    <definedName name="_32">#N/A</definedName>
    <definedName name="_33">#N/A</definedName>
    <definedName name="_34">#N/A</definedName>
    <definedName name="_35">#N/A</definedName>
    <definedName name="_36">#N/A</definedName>
    <definedName name="_41">#N/A</definedName>
    <definedName name="_42">#N/A</definedName>
    <definedName name="_４４__分_期" localSheetId="70">#REF!</definedName>
    <definedName name="_４４__分_期" localSheetId="52">#REF!</definedName>
    <definedName name="_４４__分_期" localSheetId="58">#REF!</definedName>
    <definedName name="_４４__分_期" localSheetId="56">#REF!</definedName>
    <definedName name="_４４__分_期" localSheetId="57">#REF!</definedName>
    <definedName name="_４４__分_期" localSheetId="64">#REF!</definedName>
    <definedName name="_４４__分_期" localSheetId="67">#REF!</definedName>
    <definedName name="_４４__分_期" localSheetId="65">#REF!</definedName>
    <definedName name="_４４__分_期" localSheetId="68">#REF!</definedName>
    <definedName name="_４４__分_期" localSheetId="71">#REF!</definedName>
    <definedName name="_４４__分_期" localSheetId="44">#REF!</definedName>
    <definedName name="_４４__分_期" localSheetId="45">#REF!</definedName>
    <definedName name="_４４__分_期" localSheetId="17">#REF!</definedName>
    <definedName name="_４４__分_期" localSheetId="27">#REF!</definedName>
    <definedName name="_４４__分_期" localSheetId="72">#REF!</definedName>
    <definedName name="_４４__分_期" localSheetId="28">#REF!</definedName>
    <definedName name="_４４__分_期" localSheetId="29">#REF!</definedName>
    <definedName name="_４４__分_期" localSheetId="66">#REF!</definedName>
    <definedName name="_４４__分_期">#REF!</definedName>
    <definedName name="_51">#N/A</definedName>
    <definedName name="_52">#N/A</definedName>
    <definedName name="_53">#N/A</definedName>
    <definedName name="_54">#N/A</definedName>
    <definedName name="_61">#N/A</definedName>
    <definedName name="_62">#N/A</definedName>
    <definedName name="_71">#N/A</definedName>
    <definedName name="_72">#N/A</definedName>
    <definedName name="_a3">[18]Summary!_a3</definedName>
    <definedName name="_AOC2" localSheetId="70">#REF!</definedName>
    <definedName name="_AOC2" localSheetId="52">#REF!</definedName>
    <definedName name="_AOC2" localSheetId="58">#REF!</definedName>
    <definedName name="_AOC2" localSheetId="56">#REF!</definedName>
    <definedName name="_AOC2" localSheetId="57">#REF!</definedName>
    <definedName name="_AOC2" localSheetId="64">#REF!</definedName>
    <definedName name="_AOC2" localSheetId="67">#REF!</definedName>
    <definedName name="_AOC2" localSheetId="65">#REF!</definedName>
    <definedName name="_AOC2" localSheetId="68">#REF!</definedName>
    <definedName name="_AOC2" localSheetId="71">#REF!</definedName>
    <definedName name="_AOC2" localSheetId="44">#REF!</definedName>
    <definedName name="_AOC2" localSheetId="45">#REF!</definedName>
    <definedName name="_AOC2" localSheetId="17">#REF!</definedName>
    <definedName name="_AOC2" localSheetId="27">#REF!</definedName>
    <definedName name="_AOC2" localSheetId="72">#REF!</definedName>
    <definedName name="_AOC2" localSheetId="28">#REF!</definedName>
    <definedName name="_AOC2" localSheetId="29">#REF!</definedName>
    <definedName name="_AOC2" localSheetId="66">#REF!</definedName>
    <definedName name="_AOC2">#REF!</definedName>
    <definedName name="_as3">[12]BEST_17112006!$C$20</definedName>
    <definedName name="_BAS_FCOST_AFT_">'[5]Financial Estimates'!$C$321</definedName>
    <definedName name="_BBQ1" localSheetId="70">[19]!_xlbgnm.BBQ1</definedName>
    <definedName name="_BBQ1" localSheetId="52">[19]!_xlbgnm.BBQ1</definedName>
    <definedName name="_BBQ1" localSheetId="58">[19]!_xlbgnm.BBQ1</definedName>
    <definedName name="_BBQ1" localSheetId="57">[19]!_xlbgnm.BBQ1</definedName>
    <definedName name="_BBQ1" localSheetId="64">[19]!_xlbgnm.BBQ1</definedName>
    <definedName name="_BBQ1" localSheetId="67">[19]!_xlbgnm.BBQ1</definedName>
    <definedName name="_BBQ1" localSheetId="65">[19]!_xlbgnm.BBQ1</definedName>
    <definedName name="_BBQ1" localSheetId="68">[19]!_xlbgnm.BBQ1</definedName>
    <definedName name="_BBQ1" localSheetId="71">[19]!_xlbgnm.BBQ1</definedName>
    <definedName name="_BBQ1" localSheetId="44">[19]!_xlbgnm.BBQ1</definedName>
    <definedName name="_BBQ1" localSheetId="45">[19]!_xlbgnm.BBQ1</definedName>
    <definedName name="_BBQ1" localSheetId="27">[19]!_xlbgnm.BBQ1</definedName>
    <definedName name="_BBQ1" localSheetId="28">[19]!_xlbgnm.BBQ1</definedName>
    <definedName name="_BBQ1" localSheetId="29">[19]!_xlbgnm.BBQ1</definedName>
    <definedName name="_BBQ1" localSheetId="66">[19]!_xlbgnm.BBQ1</definedName>
    <definedName name="_BBQ1">[19]!_xlbgnm.BBQ1</definedName>
    <definedName name="_BEST_GR" localSheetId="70">#REF!</definedName>
    <definedName name="_BEST_GR" localSheetId="52">#REF!</definedName>
    <definedName name="_BEST_GR" localSheetId="58">#REF!</definedName>
    <definedName name="_BEST_GR" localSheetId="56">#REF!</definedName>
    <definedName name="_BEST_GR" localSheetId="57">#REF!</definedName>
    <definedName name="_BEST_GR" localSheetId="64">#REF!</definedName>
    <definedName name="_BEST_GR" localSheetId="67">#REF!</definedName>
    <definedName name="_BEST_GR" localSheetId="65">#REF!</definedName>
    <definedName name="_BEST_GR" localSheetId="68">#REF!</definedName>
    <definedName name="_BEST_GR" localSheetId="71">#REF!</definedName>
    <definedName name="_BEST_GR" localSheetId="44">#REF!</definedName>
    <definedName name="_BEST_GR" localSheetId="45">#REF!</definedName>
    <definedName name="_BEST_GR" localSheetId="17">#REF!</definedName>
    <definedName name="_BEST_GR" localSheetId="27">#REF!</definedName>
    <definedName name="_BEST_GR" localSheetId="72">#REF!</definedName>
    <definedName name="_BEST_GR" localSheetId="28">#REF!</definedName>
    <definedName name="_BEST_GR" localSheetId="29">#REF!</definedName>
    <definedName name="_BEST_GR" localSheetId="66">#REF!</definedName>
    <definedName name="_BEST_GR">#REF!</definedName>
    <definedName name="_BHIV_AUX" localSheetId="70">#REF!</definedName>
    <definedName name="_BHIV_AUX" localSheetId="52">#REF!</definedName>
    <definedName name="_BHIV_AUX" localSheetId="58">#REF!</definedName>
    <definedName name="_BHIV_AUX" localSheetId="57">#REF!</definedName>
    <definedName name="_BHIV_AUX" localSheetId="64">#REF!</definedName>
    <definedName name="_BHIV_AUX" localSheetId="67">#REF!</definedName>
    <definedName name="_BHIV_AUX" localSheetId="65">#REF!</definedName>
    <definedName name="_BHIV_AUX" localSheetId="68">#REF!</definedName>
    <definedName name="_BHIV_AUX" localSheetId="71">#REF!</definedName>
    <definedName name="_BHIV_AUX" localSheetId="44">#REF!</definedName>
    <definedName name="_BHIV_AUX" localSheetId="45">#REF!</definedName>
    <definedName name="_BHIV_AUX" localSheetId="17">#REF!</definedName>
    <definedName name="_BHIV_AUX" localSheetId="27">#REF!</definedName>
    <definedName name="_BHIV_AUX" localSheetId="72">#REF!</definedName>
    <definedName name="_BHIV_AUX" localSheetId="28">#REF!</definedName>
    <definedName name="_BHIV_AUX" localSheetId="29">#REF!</definedName>
    <definedName name="_BHIV_AUX" localSheetId="66">#REF!</definedName>
    <definedName name="_BHIV_AUX">#REF!</definedName>
    <definedName name="_BHIV_HT_RT" localSheetId="70">#REF!</definedName>
    <definedName name="_BHIV_HT_RT" localSheetId="52">#REF!</definedName>
    <definedName name="_BHIV_HT_RT" localSheetId="58">#REF!</definedName>
    <definedName name="_BHIV_HT_RT" localSheetId="57">#REF!</definedName>
    <definedName name="_BHIV_HT_RT" localSheetId="64">#REF!</definedName>
    <definedName name="_BHIV_HT_RT" localSheetId="67">#REF!</definedName>
    <definedName name="_BHIV_HT_RT" localSheetId="65">#REF!</definedName>
    <definedName name="_BHIV_HT_RT" localSheetId="68">#REF!</definedName>
    <definedName name="_BHIV_HT_RT" localSheetId="71">#REF!</definedName>
    <definedName name="_BHIV_HT_RT" localSheetId="44">#REF!</definedName>
    <definedName name="_BHIV_HT_RT" localSheetId="45">#REF!</definedName>
    <definedName name="_BHIV_HT_RT" localSheetId="17">#REF!</definedName>
    <definedName name="_BHIV_HT_RT" localSheetId="27">#REF!</definedName>
    <definedName name="_BHIV_HT_RT" localSheetId="72">#REF!</definedName>
    <definedName name="_BHIV_HT_RT" localSheetId="28">#REF!</definedName>
    <definedName name="_BHIV_HT_RT" localSheetId="29">#REF!</definedName>
    <definedName name="_BHIV_HT_RT" localSheetId="66">#REF!</definedName>
    <definedName name="_BHIV_HT_RT">#REF!</definedName>
    <definedName name="_BSES22_GR" localSheetId="70">#REF!</definedName>
    <definedName name="_BSES22_GR" localSheetId="52">#REF!</definedName>
    <definedName name="_BSES22_GR" localSheetId="58">#REF!</definedName>
    <definedName name="_BSES22_GR" localSheetId="57">#REF!</definedName>
    <definedName name="_BSES22_GR" localSheetId="64">#REF!</definedName>
    <definedName name="_BSES22_GR" localSheetId="67">#REF!</definedName>
    <definedName name="_BSES22_GR" localSheetId="65">#REF!</definedName>
    <definedName name="_BSES22_GR" localSheetId="68">#REF!</definedName>
    <definedName name="_BSES22_GR" localSheetId="71">#REF!</definedName>
    <definedName name="_BSES22_GR" localSheetId="44">#REF!</definedName>
    <definedName name="_BSES22_GR" localSheetId="45">#REF!</definedName>
    <definedName name="_BSES22_GR" localSheetId="27">#REF!</definedName>
    <definedName name="_BSES22_GR" localSheetId="28">#REF!</definedName>
    <definedName name="_BSES22_GR" localSheetId="29">#REF!</definedName>
    <definedName name="_BSES22_GR" localSheetId="66">#REF!</definedName>
    <definedName name="_BSES22_GR">#REF!</definedName>
    <definedName name="_BSES220_GR" localSheetId="70">#REF!</definedName>
    <definedName name="_BSES220_GR" localSheetId="52">#REF!</definedName>
    <definedName name="_BSES220_GR" localSheetId="58">#REF!</definedName>
    <definedName name="_BSES220_GR" localSheetId="57">#REF!</definedName>
    <definedName name="_BSES220_GR" localSheetId="64">#REF!</definedName>
    <definedName name="_BSES220_GR" localSheetId="67">#REF!</definedName>
    <definedName name="_BSES220_GR" localSheetId="65">#REF!</definedName>
    <definedName name="_BSES220_GR" localSheetId="68">#REF!</definedName>
    <definedName name="_BSES220_GR" localSheetId="71">#REF!</definedName>
    <definedName name="_BSES220_GR" localSheetId="44">#REF!</definedName>
    <definedName name="_BSES220_GR" localSheetId="45">#REF!</definedName>
    <definedName name="_BSES220_GR" localSheetId="27">#REF!</definedName>
    <definedName name="_BSES220_GR" localSheetId="28">#REF!</definedName>
    <definedName name="_BSES220_GR" localSheetId="29">#REF!</definedName>
    <definedName name="_BSES220_GR" localSheetId="66">#REF!</definedName>
    <definedName name="_BSES220_GR">#REF!</definedName>
    <definedName name="_C" localSheetId="70">#REF!</definedName>
    <definedName name="_C" localSheetId="14">#REF!</definedName>
    <definedName name="_C" localSheetId="52">#REF!</definedName>
    <definedName name="_C" localSheetId="58">#REF!</definedName>
    <definedName name="_C" localSheetId="57">#REF!</definedName>
    <definedName name="_C" localSheetId="64">#REF!</definedName>
    <definedName name="_C" localSheetId="67">#REF!</definedName>
    <definedName name="_C" localSheetId="65">#REF!</definedName>
    <definedName name="_C" localSheetId="68">#REF!</definedName>
    <definedName name="_C" localSheetId="71">#REF!</definedName>
    <definedName name="_C" localSheetId="44">#REF!</definedName>
    <definedName name="_C" localSheetId="45">#REF!</definedName>
    <definedName name="_C" localSheetId="27">#REF!</definedName>
    <definedName name="_C" localSheetId="28">#REF!</definedName>
    <definedName name="_C" localSheetId="29">#REF!</definedName>
    <definedName name="_C" localSheetId="66">#REF!</definedName>
    <definedName name="_C">#REF!</definedName>
    <definedName name="_CO1" localSheetId="70">#REF!</definedName>
    <definedName name="_CO1" localSheetId="52">#REF!</definedName>
    <definedName name="_CO1" localSheetId="58">#REF!</definedName>
    <definedName name="_CO1" localSheetId="57">#REF!</definedName>
    <definedName name="_CO1" localSheetId="64">#REF!</definedName>
    <definedName name="_CO1" localSheetId="67">#REF!</definedName>
    <definedName name="_CO1" localSheetId="65">#REF!</definedName>
    <definedName name="_CO1" localSheetId="68">#REF!</definedName>
    <definedName name="_CO1" localSheetId="71">#REF!</definedName>
    <definedName name="_CO1" localSheetId="44">#REF!</definedName>
    <definedName name="_CO1" localSheetId="45">#REF!</definedName>
    <definedName name="_CO1" localSheetId="27">#REF!</definedName>
    <definedName name="_CO1" localSheetId="28">#REF!</definedName>
    <definedName name="_CO1" localSheetId="29">#REF!</definedName>
    <definedName name="_CO1" localSheetId="66">#REF!</definedName>
    <definedName name="_CO1">#REF!</definedName>
    <definedName name="_COAL_CAL_VAL_">'[5]Financial Estimates'!$C$324</definedName>
    <definedName name="_D87840" localSheetId="70">#REF!</definedName>
    <definedName name="_D87840" localSheetId="52">#REF!</definedName>
    <definedName name="_D87840" localSheetId="58">#REF!</definedName>
    <definedName name="_D87840" localSheetId="56">#REF!</definedName>
    <definedName name="_D87840" localSheetId="57">#REF!</definedName>
    <definedName name="_D87840" localSheetId="64">#REF!</definedName>
    <definedName name="_D87840" localSheetId="67">#REF!</definedName>
    <definedName name="_D87840" localSheetId="65">#REF!</definedName>
    <definedName name="_D87840" localSheetId="68">#REF!</definedName>
    <definedName name="_D87840" localSheetId="71">#REF!</definedName>
    <definedName name="_D87840" localSheetId="44">#REF!</definedName>
    <definedName name="_D87840" localSheetId="45">#REF!</definedName>
    <definedName name="_D87840" localSheetId="17">#REF!</definedName>
    <definedName name="_D87840" localSheetId="27">#REF!</definedName>
    <definedName name="_D87840" localSheetId="72">#REF!</definedName>
    <definedName name="_D87840" localSheetId="28">#REF!</definedName>
    <definedName name="_D87840" localSheetId="29">#REF!</definedName>
    <definedName name="_D87840" localSheetId="66">#REF!</definedName>
    <definedName name="_D87840">#REF!</definedName>
    <definedName name="_DAT1" localSheetId="70">#REF!</definedName>
    <definedName name="_DAT1" localSheetId="52">#REF!</definedName>
    <definedName name="_DAT1" localSheetId="58">#REF!</definedName>
    <definedName name="_DAT1" localSheetId="57">#REF!</definedName>
    <definedName name="_DAT1" localSheetId="64">#REF!</definedName>
    <definedName name="_DAT1" localSheetId="67">#REF!</definedName>
    <definedName name="_DAT1" localSheetId="65">#REF!</definedName>
    <definedName name="_DAT1" localSheetId="68">#REF!</definedName>
    <definedName name="_DAT1" localSheetId="71">#REF!</definedName>
    <definedName name="_DAT1" localSheetId="44">#REF!</definedName>
    <definedName name="_DAT1" localSheetId="45">#REF!</definedName>
    <definedName name="_DAT1" localSheetId="17">#REF!</definedName>
    <definedName name="_DAT1" localSheetId="27">#REF!</definedName>
    <definedName name="_DAT1" localSheetId="72">#REF!</definedName>
    <definedName name="_DAT1" localSheetId="28">#REF!</definedName>
    <definedName name="_DAT1" localSheetId="29">#REF!</definedName>
    <definedName name="_DAT1" localSheetId="66">#REF!</definedName>
    <definedName name="_DAT1">#REF!</definedName>
    <definedName name="_DAT10" localSheetId="70">#REF!</definedName>
    <definedName name="_DAT10" localSheetId="52">#REF!</definedName>
    <definedName name="_DAT10" localSheetId="58">#REF!</definedName>
    <definedName name="_DAT10" localSheetId="57">#REF!</definedName>
    <definedName name="_DAT10" localSheetId="64">#REF!</definedName>
    <definedName name="_DAT10" localSheetId="67">#REF!</definedName>
    <definedName name="_DAT10" localSheetId="65">#REF!</definedName>
    <definedName name="_DAT10" localSheetId="68">#REF!</definedName>
    <definedName name="_DAT10" localSheetId="71">#REF!</definedName>
    <definedName name="_DAT10" localSheetId="44">#REF!</definedName>
    <definedName name="_DAT10" localSheetId="45">#REF!</definedName>
    <definedName name="_DAT10" localSheetId="17">#REF!</definedName>
    <definedName name="_DAT10" localSheetId="27">#REF!</definedName>
    <definedName name="_DAT10" localSheetId="72">#REF!</definedName>
    <definedName name="_DAT10" localSheetId="28">#REF!</definedName>
    <definedName name="_DAT10" localSheetId="29">#REF!</definedName>
    <definedName name="_DAT10" localSheetId="66">#REF!</definedName>
    <definedName name="_DAT10">#REF!</definedName>
    <definedName name="_DAT11" localSheetId="70">#REF!</definedName>
    <definedName name="_DAT11" localSheetId="52">#REF!</definedName>
    <definedName name="_DAT11" localSheetId="58">#REF!</definedName>
    <definedName name="_DAT11" localSheetId="57">#REF!</definedName>
    <definedName name="_DAT11" localSheetId="64">#REF!</definedName>
    <definedName name="_DAT11" localSheetId="67">#REF!</definedName>
    <definedName name="_DAT11" localSheetId="65">#REF!</definedName>
    <definedName name="_DAT11" localSheetId="68">#REF!</definedName>
    <definedName name="_DAT11" localSheetId="71">#REF!</definedName>
    <definedName name="_DAT11" localSheetId="44">#REF!</definedName>
    <definedName name="_DAT11" localSheetId="45">#REF!</definedName>
    <definedName name="_DAT11" localSheetId="27">#REF!</definedName>
    <definedName name="_DAT11" localSheetId="28">#REF!</definedName>
    <definedName name="_DAT11" localSheetId="29">#REF!</definedName>
    <definedName name="_DAT11" localSheetId="66">#REF!</definedName>
    <definedName name="_DAT11">#REF!</definedName>
    <definedName name="_DAT12" localSheetId="70">'[10]ins spares'!#REF!</definedName>
    <definedName name="_DAT12" localSheetId="52">'[10]ins spares'!#REF!</definedName>
    <definedName name="_DAT12" localSheetId="58">'[10]ins spares'!#REF!</definedName>
    <definedName name="_DAT12" localSheetId="57">'[10]ins spares'!#REF!</definedName>
    <definedName name="_DAT12" localSheetId="64">'[10]ins spares'!#REF!</definedName>
    <definedName name="_DAT12" localSheetId="67">'[10]ins spares'!#REF!</definedName>
    <definedName name="_DAT12" localSheetId="65">'[10]ins spares'!#REF!</definedName>
    <definedName name="_DAT12" localSheetId="68">'[10]ins spares'!#REF!</definedName>
    <definedName name="_DAT12" localSheetId="71">'[10]ins spares'!#REF!</definedName>
    <definedName name="_DAT12" localSheetId="44">'[10]ins spares'!#REF!</definedName>
    <definedName name="_DAT12" localSheetId="45">'[10]ins spares'!#REF!</definedName>
    <definedName name="_DAT12" localSheetId="27">'[10]ins spares'!#REF!</definedName>
    <definedName name="_DAT12" localSheetId="28">'[10]ins spares'!#REF!</definedName>
    <definedName name="_DAT12" localSheetId="29">'[10]ins spares'!#REF!</definedName>
    <definedName name="_DAT12" localSheetId="66">'[10]ins spares'!#REF!</definedName>
    <definedName name="_DAT12">'[10]ins spares'!#REF!</definedName>
    <definedName name="_DAT13" localSheetId="70">'[10]ins spares'!#REF!</definedName>
    <definedName name="_DAT13" localSheetId="52">'[10]ins spares'!#REF!</definedName>
    <definedName name="_DAT13" localSheetId="58">'[10]ins spares'!#REF!</definedName>
    <definedName name="_DAT13" localSheetId="57">'[10]ins spares'!#REF!</definedName>
    <definedName name="_DAT13" localSheetId="64">'[10]ins spares'!#REF!</definedName>
    <definedName name="_DAT13" localSheetId="67">'[10]ins spares'!#REF!</definedName>
    <definedName name="_DAT13" localSheetId="65">'[10]ins spares'!#REF!</definedName>
    <definedName name="_DAT13" localSheetId="68">'[10]ins spares'!#REF!</definedName>
    <definedName name="_DAT13" localSheetId="71">'[10]ins spares'!#REF!</definedName>
    <definedName name="_DAT13" localSheetId="44">'[10]ins spares'!#REF!</definedName>
    <definedName name="_DAT13" localSheetId="45">'[10]ins spares'!#REF!</definedName>
    <definedName name="_DAT13" localSheetId="27">'[10]ins spares'!#REF!</definedName>
    <definedName name="_DAT13" localSheetId="28">'[10]ins spares'!#REF!</definedName>
    <definedName name="_DAT13" localSheetId="29">'[10]ins spares'!#REF!</definedName>
    <definedName name="_DAT13" localSheetId="66">'[10]ins spares'!#REF!</definedName>
    <definedName name="_DAT13">'[10]ins spares'!#REF!</definedName>
    <definedName name="_DAT15" localSheetId="70">'[10]ins spares'!#REF!</definedName>
    <definedName name="_DAT15" localSheetId="52">'[10]ins spares'!#REF!</definedName>
    <definedName name="_DAT15" localSheetId="58">'[10]ins spares'!#REF!</definedName>
    <definedName name="_DAT15" localSheetId="57">'[10]ins spares'!#REF!</definedName>
    <definedName name="_DAT15" localSheetId="64">'[10]ins spares'!#REF!</definedName>
    <definedName name="_DAT15" localSheetId="67">'[10]ins spares'!#REF!</definedName>
    <definedName name="_DAT15" localSheetId="65">'[10]ins spares'!#REF!</definedName>
    <definedName name="_DAT15" localSheetId="68">'[10]ins spares'!#REF!</definedName>
    <definedName name="_DAT15" localSheetId="71">'[10]ins spares'!#REF!</definedName>
    <definedName name="_DAT15" localSheetId="44">'[10]ins spares'!#REF!</definedName>
    <definedName name="_DAT15" localSheetId="45">'[10]ins spares'!#REF!</definedName>
    <definedName name="_DAT15" localSheetId="27">'[10]ins spares'!#REF!</definedName>
    <definedName name="_DAT15" localSheetId="28">'[10]ins spares'!#REF!</definedName>
    <definedName name="_DAT15" localSheetId="29">'[10]ins spares'!#REF!</definedName>
    <definedName name="_DAT15" localSheetId="66">'[10]ins spares'!#REF!</definedName>
    <definedName name="_DAT15">'[10]ins spares'!#REF!</definedName>
    <definedName name="_DAT16" localSheetId="70">'[10]ins spares'!#REF!</definedName>
    <definedName name="_DAT16" localSheetId="52">'[10]ins spares'!#REF!</definedName>
    <definedName name="_DAT16" localSheetId="58">'[10]ins spares'!#REF!</definedName>
    <definedName name="_DAT16" localSheetId="57">'[10]ins spares'!#REF!</definedName>
    <definedName name="_DAT16" localSheetId="64">'[10]ins spares'!#REF!</definedName>
    <definedName name="_DAT16" localSheetId="67">'[10]ins spares'!#REF!</definedName>
    <definedName name="_DAT16" localSheetId="65">'[10]ins spares'!#REF!</definedName>
    <definedName name="_DAT16" localSheetId="68">'[10]ins spares'!#REF!</definedName>
    <definedName name="_DAT16" localSheetId="71">'[10]ins spares'!#REF!</definedName>
    <definedName name="_DAT16" localSheetId="44">'[10]ins spares'!#REF!</definedName>
    <definedName name="_DAT16" localSheetId="45">'[10]ins spares'!#REF!</definedName>
    <definedName name="_DAT16" localSheetId="27">'[10]ins spares'!#REF!</definedName>
    <definedName name="_DAT16" localSheetId="28">'[10]ins spares'!#REF!</definedName>
    <definedName name="_DAT16" localSheetId="29">'[10]ins spares'!#REF!</definedName>
    <definedName name="_DAT16" localSheetId="66">'[10]ins spares'!#REF!</definedName>
    <definedName name="_DAT16">'[10]ins spares'!#REF!</definedName>
    <definedName name="_DAT18" localSheetId="70">'[10]ins spares'!#REF!</definedName>
    <definedName name="_DAT18" localSheetId="52">'[10]ins spares'!#REF!</definedName>
    <definedName name="_DAT18" localSheetId="58">'[10]ins spares'!#REF!</definedName>
    <definedName name="_DAT18" localSheetId="57">'[10]ins spares'!#REF!</definedName>
    <definedName name="_DAT18" localSheetId="64">'[10]ins spares'!#REF!</definedName>
    <definedName name="_DAT18" localSheetId="67">'[10]ins spares'!#REF!</definedName>
    <definedName name="_DAT18" localSheetId="65">'[10]ins spares'!#REF!</definedName>
    <definedName name="_DAT18" localSheetId="68">'[10]ins spares'!#REF!</definedName>
    <definedName name="_DAT18" localSheetId="71">'[10]ins spares'!#REF!</definedName>
    <definedName name="_DAT18" localSheetId="44">'[10]ins spares'!#REF!</definedName>
    <definedName name="_DAT18" localSheetId="45">'[10]ins spares'!#REF!</definedName>
    <definedName name="_DAT18" localSheetId="27">'[10]ins spares'!#REF!</definedName>
    <definedName name="_DAT18" localSheetId="28">'[10]ins spares'!#REF!</definedName>
    <definedName name="_DAT18" localSheetId="29">'[10]ins spares'!#REF!</definedName>
    <definedName name="_DAT18" localSheetId="66">'[10]ins spares'!#REF!</definedName>
    <definedName name="_DAT18">'[10]ins spares'!#REF!</definedName>
    <definedName name="_DAT19" localSheetId="70">'[10]ins spares'!#REF!</definedName>
    <definedName name="_DAT19" localSheetId="52">'[10]ins spares'!#REF!</definedName>
    <definedName name="_DAT19" localSheetId="58">'[10]ins spares'!#REF!</definedName>
    <definedName name="_DAT19" localSheetId="57">'[10]ins spares'!#REF!</definedName>
    <definedName name="_DAT19" localSheetId="64">'[10]ins spares'!#REF!</definedName>
    <definedName name="_DAT19" localSheetId="67">'[10]ins spares'!#REF!</definedName>
    <definedName name="_DAT19" localSheetId="65">'[10]ins spares'!#REF!</definedName>
    <definedName name="_DAT19" localSheetId="68">'[10]ins spares'!#REF!</definedName>
    <definedName name="_DAT19" localSheetId="71">'[10]ins spares'!#REF!</definedName>
    <definedName name="_DAT19" localSheetId="44">'[10]ins spares'!#REF!</definedName>
    <definedName name="_DAT19" localSheetId="45">'[10]ins spares'!#REF!</definedName>
    <definedName name="_DAT19" localSheetId="27">'[10]ins spares'!#REF!</definedName>
    <definedName name="_DAT19" localSheetId="28">'[10]ins spares'!#REF!</definedName>
    <definedName name="_DAT19" localSheetId="29">'[10]ins spares'!#REF!</definedName>
    <definedName name="_DAT19" localSheetId="66">'[10]ins spares'!#REF!</definedName>
    <definedName name="_DAT19">'[10]ins spares'!#REF!</definedName>
    <definedName name="_DAT2" localSheetId="70">#REF!</definedName>
    <definedName name="_DAT2" localSheetId="52">#REF!</definedName>
    <definedName name="_DAT2" localSheetId="58">#REF!</definedName>
    <definedName name="_DAT2" localSheetId="56">#REF!</definedName>
    <definedName name="_DAT2" localSheetId="57">#REF!</definedName>
    <definedName name="_DAT2" localSheetId="64">#REF!</definedName>
    <definedName name="_DAT2" localSheetId="67">#REF!</definedName>
    <definedName name="_DAT2" localSheetId="65">#REF!</definedName>
    <definedName name="_DAT2" localSheetId="68">#REF!</definedName>
    <definedName name="_DAT2" localSheetId="71">#REF!</definedName>
    <definedName name="_DAT2" localSheetId="44">#REF!</definedName>
    <definedName name="_DAT2" localSheetId="45">#REF!</definedName>
    <definedName name="_DAT2" localSheetId="17">#REF!</definedName>
    <definedName name="_DAT2" localSheetId="27">#REF!</definedName>
    <definedName name="_DAT2" localSheetId="72">#REF!</definedName>
    <definedName name="_DAT2" localSheetId="28">#REF!</definedName>
    <definedName name="_DAT2" localSheetId="29">#REF!</definedName>
    <definedName name="_DAT2" localSheetId="66">#REF!</definedName>
    <definedName name="_DAT2">#REF!</definedName>
    <definedName name="_DAT20" localSheetId="70">'[10]ins spares'!#REF!</definedName>
    <definedName name="_DAT20" localSheetId="52">'[10]ins spares'!#REF!</definedName>
    <definedName name="_DAT20" localSheetId="58">'[10]ins spares'!#REF!</definedName>
    <definedName name="_DAT20" localSheetId="56">'[10]ins spares'!#REF!</definedName>
    <definedName name="_DAT20" localSheetId="57">'[10]ins spares'!#REF!</definedName>
    <definedName name="_DAT20" localSheetId="64">'[10]ins spares'!#REF!</definedName>
    <definedName name="_DAT20" localSheetId="67">'[10]ins spares'!#REF!</definedName>
    <definedName name="_DAT20" localSheetId="65">'[10]ins spares'!#REF!</definedName>
    <definedName name="_DAT20" localSheetId="68">'[10]ins spares'!#REF!</definedName>
    <definedName name="_DAT20" localSheetId="71">'[10]ins spares'!#REF!</definedName>
    <definedName name="_DAT20" localSheetId="44">'[10]ins spares'!#REF!</definedName>
    <definedName name="_DAT20" localSheetId="45">'[10]ins spares'!#REF!</definedName>
    <definedName name="_DAT20" localSheetId="17">'[10]ins spares'!#REF!</definedName>
    <definedName name="_DAT20" localSheetId="27">'[10]ins spares'!#REF!</definedName>
    <definedName name="_DAT20" localSheetId="72">'[10]ins spares'!#REF!</definedName>
    <definedName name="_DAT20" localSheetId="28">'[10]ins spares'!#REF!</definedName>
    <definedName name="_DAT20" localSheetId="29">'[10]ins spares'!#REF!</definedName>
    <definedName name="_DAT20" localSheetId="66">'[10]ins spares'!#REF!</definedName>
    <definedName name="_DAT20">'[10]ins spares'!#REF!</definedName>
    <definedName name="_DAT21" localSheetId="70">'[10]ins spares'!#REF!</definedName>
    <definedName name="_DAT21" localSheetId="52">'[10]ins spares'!#REF!</definedName>
    <definedName name="_DAT21" localSheetId="58">'[10]ins spares'!#REF!</definedName>
    <definedName name="_DAT21" localSheetId="57">'[10]ins spares'!#REF!</definedName>
    <definedName name="_DAT21" localSheetId="64">'[10]ins spares'!#REF!</definedName>
    <definedName name="_DAT21" localSheetId="67">'[10]ins spares'!#REF!</definedName>
    <definedName name="_DAT21" localSheetId="65">'[10]ins spares'!#REF!</definedName>
    <definedName name="_DAT21" localSheetId="68">'[10]ins spares'!#REF!</definedName>
    <definedName name="_DAT21" localSheetId="71">'[10]ins spares'!#REF!</definedName>
    <definedName name="_DAT21" localSheetId="44">'[10]ins spares'!#REF!</definedName>
    <definedName name="_DAT21" localSheetId="45">'[10]ins spares'!#REF!</definedName>
    <definedName name="_DAT21" localSheetId="27">'[10]ins spares'!#REF!</definedName>
    <definedName name="_DAT21" localSheetId="28">'[10]ins spares'!#REF!</definedName>
    <definedName name="_DAT21" localSheetId="29">'[10]ins spares'!#REF!</definedName>
    <definedName name="_DAT21" localSheetId="66">'[10]ins spares'!#REF!</definedName>
    <definedName name="_DAT21">'[10]ins spares'!#REF!</definedName>
    <definedName name="_DAT22" localSheetId="70">'[10]ins spares'!#REF!</definedName>
    <definedName name="_DAT22" localSheetId="52">'[10]ins spares'!#REF!</definedName>
    <definedName name="_DAT22" localSheetId="58">'[10]ins spares'!#REF!</definedName>
    <definedName name="_DAT22" localSheetId="57">'[10]ins spares'!#REF!</definedName>
    <definedName name="_DAT22" localSheetId="64">'[10]ins spares'!#REF!</definedName>
    <definedName name="_DAT22" localSheetId="67">'[10]ins spares'!#REF!</definedName>
    <definedName name="_DAT22" localSheetId="65">'[10]ins spares'!#REF!</definedName>
    <definedName name="_DAT22" localSheetId="68">'[10]ins spares'!#REF!</definedName>
    <definedName name="_DAT22" localSheetId="71">'[10]ins spares'!#REF!</definedName>
    <definedName name="_DAT22" localSheetId="44">'[10]ins spares'!#REF!</definedName>
    <definedName name="_DAT22" localSheetId="45">'[10]ins spares'!#REF!</definedName>
    <definedName name="_DAT22" localSheetId="27">'[10]ins spares'!#REF!</definedName>
    <definedName name="_DAT22" localSheetId="28">'[10]ins spares'!#REF!</definedName>
    <definedName name="_DAT22" localSheetId="29">'[10]ins spares'!#REF!</definedName>
    <definedName name="_DAT22" localSheetId="66">'[10]ins spares'!#REF!</definedName>
    <definedName name="_DAT22">'[10]ins spares'!#REF!</definedName>
    <definedName name="_DAT23" localSheetId="70">'[10]ins spares'!#REF!</definedName>
    <definedName name="_DAT23" localSheetId="52">'[10]ins spares'!#REF!</definedName>
    <definedName name="_DAT23" localSheetId="58">'[10]ins spares'!#REF!</definedName>
    <definedName name="_DAT23" localSheetId="57">'[10]ins spares'!#REF!</definedName>
    <definedName name="_DAT23" localSheetId="64">'[10]ins spares'!#REF!</definedName>
    <definedName name="_DAT23" localSheetId="67">'[10]ins spares'!#REF!</definedName>
    <definedName name="_DAT23" localSheetId="65">'[10]ins spares'!#REF!</definedName>
    <definedName name="_DAT23" localSheetId="68">'[10]ins spares'!#REF!</definedName>
    <definedName name="_DAT23" localSheetId="71">'[10]ins spares'!#REF!</definedName>
    <definedName name="_DAT23" localSheetId="44">'[10]ins spares'!#REF!</definedName>
    <definedName name="_DAT23" localSheetId="45">'[10]ins spares'!#REF!</definedName>
    <definedName name="_DAT23" localSheetId="27">'[10]ins spares'!#REF!</definedName>
    <definedName name="_DAT23" localSheetId="28">'[10]ins spares'!#REF!</definedName>
    <definedName name="_DAT23" localSheetId="29">'[10]ins spares'!#REF!</definedName>
    <definedName name="_DAT23" localSheetId="66">'[10]ins spares'!#REF!</definedName>
    <definedName name="_DAT23">'[10]ins spares'!#REF!</definedName>
    <definedName name="_DAT24" localSheetId="70">'[10]ins spares'!#REF!</definedName>
    <definedName name="_DAT24" localSheetId="52">'[10]ins spares'!#REF!</definedName>
    <definedName name="_DAT24" localSheetId="58">'[10]ins spares'!#REF!</definedName>
    <definedName name="_DAT24" localSheetId="57">'[10]ins spares'!#REF!</definedName>
    <definedName name="_DAT24" localSheetId="64">'[10]ins spares'!#REF!</definedName>
    <definedName name="_DAT24" localSheetId="67">'[10]ins spares'!#REF!</definedName>
    <definedName name="_DAT24" localSheetId="65">'[10]ins spares'!#REF!</definedName>
    <definedName name="_DAT24" localSheetId="68">'[10]ins spares'!#REF!</definedName>
    <definedName name="_DAT24" localSheetId="71">'[10]ins spares'!#REF!</definedName>
    <definedName name="_DAT24" localSheetId="44">'[10]ins spares'!#REF!</definedName>
    <definedName name="_DAT24" localSheetId="45">'[10]ins spares'!#REF!</definedName>
    <definedName name="_DAT24" localSheetId="27">'[10]ins spares'!#REF!</definedName>
    <definedName name="_DAT24" localSheetId="28">'[10]ins spares'!#REF!</definedName>
    <definedName name="_DAT24" localSheetId="29">'[10]ins spares'!#REF!</definedName>
    <definedName name="_DAT24" localSheetId="66">'[10]ins spares'!#REF!</definedName>
    <definedName name="_DAT24">'[10]ins spares'!#REF!</definedName>
    <definedName name="_DAT3" localSheetId="70">#REF!</definedName>
    <definedName name="_DAT3" localSheetId="52">#REF!</definedName>
    <definedName name="_DAT3" localSheetId="58">#REF!</definedName>
    <definedName name="_DAT3" localSheetId="56">#REF!</definedName>
    <definedName name="_DAT3" localSheetId="57">#REF!</definedName>
    <definedName name="_DAT3" localSheetId="64">#REF!</definedName>
    <definedName name="_DAT3" localSheetId="67">#REF!</definedName>
    <definedName name="_DAT3" localSheetId="65">#REF!</definedName>
    <definedName name="_DAT3" localSheetId="68">#REF!</definedName>
    <definedName name="_DAT3" localSheetId="71">#REF!</definedName>
    <definedName name="_DAT3" localSheetId="44">#REF!</definedName>
    <definedName name="_DAT3" localSheetId="45">#REF!</definedName>
    <definedName name="_DAT3" localSheetId="17">#REF!</definedName>
    <definedName name="_DAT3" localSheetId="27">#REF!</definedName>
    <definedName name="_DAT3" localSheetId="72">#REF!</definedName>
    <definedName name="_DAT3" localSheetId="28">#REF!</definedName>
    <definedName name="_DAT3" localSheetId="29">#REF!</definedName>
    <definedName name="_DAT3" localSheetId="66">#REF!</definedName>
    <definedName name="_DAT3">#REF!</definedName>
    <definedName name="_DAT4" localSheetId="70">#REF!</definedName>
    <definedName name="_DAT4" localSheetId="52">#REF!</definedName>
    <definedName name="_DAT4" localSheetId="58">#REF!</definedName>
    <definedName name="_DAT4" localSheetId="57">#REF!</definedName>
    <definedName name="_DAT4" localSheetId="64">#REF!</definedName>
    <definedName name="_DAT4" localSheetId="67">#REF!</definedName>
    <definedName name="_DAT4" localSheetId="65">#REF!</definedName>
    <definedName name="_DAT4" localSheetId="68">#REF!</definedName>
    <definedName name="_DAT4" localSheetId="71">#REF!</definedName>
    <definedName name="_DAT4" localSheetId="44">#REF!</definedName>
    <definedName name="_DAT4" localSheetId="45">#REF!</definedName>
    <definedName name="_DAT4" localSheetId="17">#REF!</definedName>
    <definedName name="_DAT4" localSheetId="27">#REF!</definedName>
    <definedName name="_DAT4" localSheetId="72">#REF!</definedName>
    <definedName name="_DAT4" localSheetId="28">#REF!</definedName>
    <definedName name="_DAT4" localSheetId="29">#REF!</definedName>
    <definedName name="_DAT4" localSheetId="66">#REF!</definedName>
    <definedName name="_DAT4">#REF!</definedName>
    <definedName name="_DAT5" localSheetId="70">#REF!</definedName>
    <definedName name="_DAT5" localSheetId="52">#REF!</definedName>
    <definedName name="_DAT5" localSheetId="58">#REF!</definedName>
    <definedName name="_DAT5" localSheetId="57">#REF!</definedName>
    <definedName name="_DAT5" localSheetId="64">#REF!</definedName>
    <definedName name="_DAT5" localSheetId="67">#REF!</definedName>
    <definedName name="_DAT5" localSheetId="65">#REF!</definedName>
    <definedName name="_DAT5" localSheetId="68">#REF!</definedName>
    <definedName name="_DAT5" localSheetId="71">#REF!</definedName>
    <definedName name="_DAT5" localSheetId="44">#REF!</definedName>
    <definedName name="_DAT5" localSheetId="45">#REF!</definedName>
    <definedName name="_DAT5" localSheetId="17">#REF!</definedName>
    <definedName name="_DAT5" localSheetId="27">#REF!</definedName>
    <definedName name="_DAT5" localSheetId="72">#REF!</definedName>
    <definedName name="_DAT5" localSheetId="28">#REF!</definedName>
    <definedName name="_DAT5" localSheetId="29">#REF!</definedName>
    <definedName name="_DAT5" localSheetId="66">#REF!</definedName>
    <definedName name="_DAT5">#REF!</definedName>
    <definedName name="_DAT6" localSheetId="70">#REF!</definedName>
    <definedName name="_DAT6" localSheetId="52">#REF!</definedName>
    <definedName name="_DAT6" localSheetId="58">#REF!</definedName>
    <definedName name="_DAT6" localSheetId="57">#REF!</definedName>
    <definedName name="_DAT6" localSheetId="64">#REF!</definedName>
    <definedName name="_DAT6" localSheetId="67">#REF!</definedName>
    <definedName name="_DAT6" localSheetId="65">#REF!</definedName>
    <definedName name="_DAT6" localSheetId="68">#REF!</definedName>
    <definedName name="_DAT6" localSheetId="71">#REF!</definedName>
    <definedName name="_DAT6" localSheetId="44">#REF!</definedName>
    <definedName name="_DAT6" localSheetId="45">#REF!</definedName>
    <definedName name="_DAT6" localSheetId="27">#REF!</definedName>
    <definedName name="_DAT6" localSheetId="28">#REF!</definedName>
    <definedName name="_DAT6" localSheetId="29">#REF!</definedName>
    <definedName name="_DAT6" localSheetId="66">#REF!</definedName>
    <definedName name="_DAT6">#REF!</definedName>
    <definedName name="_DAT7" localSheetId="70">#REF!</definedName>
    <definedName name="_DAT7" localSheetId="52">#REF!</definedName>
    <definedName name="_DAT7" localSheetId="58">#REF!</definedName>
    <definedName name="_DAT7" localSheetId="57">#REF!</definedName>
    <definedName name="_DAT7" localSheetId="64">#REF!</definedName>
    <definedName name="_DAT7" localSheetId="67">#REF!</definedName>
    <definedName name="_DAT7" localSheetId="65">#REF!</definedName>
    <definedName name="_DAT7" localSheetId="68">#REF!</definedName>
    <definedName name="_DAT7" localSheetId="71">#REF!</definedName>
    <definedName name="_DAT7" localSheetId="44">#REF!</definedName>
    <definedName name="_DAT7" localSheetId="45">#REF!</definedName>
    <definedName name="_DAT7" localSheetId="27">#REF!</definedName>
    <definedName name="_DAT7" localSheetId="28">#REF!</definedName>
    <definedName name="_DAT7" localSheetId="29">#REF!</definedName>
    <definedName name="_DAT7" localSheetId="66">#REF!</definedName>
    <definedName name="_DAT7">#REF!</definedName>
    <definedName name="_DAT8" localSheetId="70">#REF!</definedName>
    <definedName name="_DAT8" localSheetId="52">#REF!</definedName>
    <definedName name="_DAT8" localSheetId="58">#REF!</definedName>
    <definedName name="_DAT8" localSheetId="57">#REF!</definedName>
    <definedName name="_DAT8" localSheetId="64">#REF!</definedName>
    <definedName name="_DAT8" localSheetId="67">#REF!</definedName>
    <definedName name="_DAT8" localSheetId="65">#REF!</definedName>
    <definedName name="_DAT8" localSheetId="68">#REF!</definedName>
    <definedName name="_DAT8" localSheetId="71">#REF!</definedName>
    <definedName name="_DAT8" localSheetId="44">#REF!</definedName>
    <definedName name="_DAT8" localSheetId="45">#REF!</definedName>
    <definedName name="_DAT8" localSheetId="27">#REF!</definedName>
    <definedName name="_DAT8" localSheetId="28">#REF!</definedName>
    <definedName name="_DAT8" localSheetId="29">#REF!</definedName>
    <definedName name="_DAT8" localSheetId="66">#REF!</definedName>
    <definedName name="_DAT8">#REF!</definedName>
    <definedName name="_DAT9" localSheetId="70">#REF!</definedName>
    <definedName name="_DAT9" localSheetId="52">#REF!</definedName>
    <definedName name="_DAT9" localSheetId="58">#REF!</definedName>
    <definedName name="_DAT9" localSheetId="57">#REF!</definedName>
    <definedName name="_DAT9" localSheetId="64">#REF!</definedName>
    <definedName name="_DAT9" localSheetId="67">#REF!</definedName>
    <definedName name="_DAT9" localSheetId="65">#REF!</definedName>
    <definedName name="_DAT9" localSheetId="68">#REF!</definedName>
    <definedName name="_DAT9" localSheetId="71">#REF!</definedName>
    <definedName name="_DAT9" localSheetId="44">#REF!</definedName>
    <definedName name="_DAT9" localSheetId="45">#REF!</definedName>
    <definedName name="_DAT9" localSheetId="27">#REF!</definedName>
    <definedName name="_DAT9" localSheetId="28">#REF!</definedName>
    <definedName name="_DAT9" localSheetId="29">#REF!</definedName>
    <definedName name="_DAT9" localSheetId="66">#REF!</definedName>
    <definedName name="_DAT9">#REF!</definedName>
    <definedName name="_DDD2">#N/A</definedName>
    <definedName name="_DDD3">#N/A</definedName>
    <definedName name="_DDD4">#N/A</definedName>
    <definedName name="_DDD5">#N/A</definedName>
    <definedName name="_ELL45" localSheetId="70">#REF!</definedName>
    <definedName name="_ELL45" localSheetId="52">#REF!</definedName>
    <definedName name="_ELL45" localSheetId="58">#REF!</definedName>
    <definedName name="_ELL45" localSheetId="56">#REF!</definedName>
    <definedName name="_ELL45" localSheetId="57">#REF!</definedName>
    <definedName name="_ELL45" localSheetId="64">#REF!</definedName>
    <definedName name="_ELL45" localSheetId="67">#REF!</definedName>
    <definedName name="_ELL45" localSheetId="65">#REF!</definedName>
    <definedName name="_ELL45" localSheetId="68">#REF!</definedName>
    <definedName name="_ELL45" localSheetId="71">#REF!</definedName>
    <definedName name="_ELL45" localSheetId="44">#REF!</definedName>
    <definedName name="_ELL45" localSheetId="45">#REF!</definedName>
    <definedName name="_ELL45" localSheetId="17">#REF!</definedName>
    <definedName name="_ELL45" localSheetId="27">#REF!</definedName>
    <definedName name="_ELL45" localSheetId="72">#REF!</definedName>
    <definedName name="_ELL45" localSheetId="28">#REF!</definedName>
    <definedName name="_ELL45" localSheetId="29">#REF!</definedName>
    <definedName name="_ELL45" localSheetId="66">#REF!</definedName>
    <definedName name="_ELL45">#REF!</definedName>
    <definedName name="_ELL90" localSheetId="70">#REF!</definedName>
    <definedName name="_ELL90" localSheetId="52">#REF!</definedName>
    <definedName name="_ELL90" localSheetId="58">#REF!</definedName>
    <definedName name="_ELL90" localSheetId="57">#REF!</definedName>
    <definedName name="_ELL90" localSheetId="64">#REF!</definedName>
    <definedName name="_ELL90" localSheetId="67">#REF!</definedName>
    <definedName name="_ELL90" localSheetId="65">#REF!</definedName>
    <definedName name="_ELL90" localSheetId="68">#REF!</definedName>
    <definedName name="_ELL90" localSheetId="71">#REF!</definedName>
    <definedName name="_ELL90" localSheetId="44">#REF!</definedName>
    <definedName name="_ELL90" localSheetId="45">#REF!</definedName>
    <definedName name="_ELL90" localSheetId="17">#REF!</definedName>
    <definedName name="_ELL90" localSheetId="27">#REF!</definedName>
    <definedName name="_ELL90" localSheetId="72">#REF!</definedName>
    <definedName name="_ELL90" localSheetId="28">#REF!</definedName>
    <definedName name="_ELL90" localSheetId="29">#REF!</definedName>
    <definedName name="_ELL90" localSheetId="66">#REF!</definedName>
    <definedName name="_ELL90">#REF!</definedName>
    <definedName name="_EMP4">#N/A</definedName>
    <definedName name="_ENR_BEST_AFT_">'[5]Financial Estimates'!$C$318</definedName>
    <definedName name="_ENR_BSES_AFT_">'[5]Financial Estimates'!$C$319</definedName>
    <definedName name="_ENR_BSES220_AFT_">'[5]Financial Estimates'!$C$320</definedName>
    <definedName name="_ENR_TIR_AFT_">'[5]Financial Estimates'!$C$309</definedName>
    <definedName name="_f2" localSheetId="70">#REF!</definedName>
    <definedName name="_f2" localSheetId="52">#REF!</definedName>
    <definedName name="_f2" localSheetId="58">#REF!</definedName>
    <definedName name="_f2" localSheetId="56">#REF!</definedName>
    <definedName name="_f2" localSheetId="57">#REF!</definedName>
    <definedName name="_f2" localSheetId="64">#REF!</definedName>
    <definedName name="_f2" localSheetId="67">#REF!</definedName>
    <definedName name="_f2" localSheetId="65">#REF!</definedName>
    <definedName name="_f2" localSheetId="68">#REF!</definedName>
    <definedName name="_f2" localSheetId="71">#REF!</definedName>
    <definedName name="_f2" localSheetId="44">#REF!</definedName>
    <definedName name="_f2" localSheetId="45">#REF!</definedName>
    <definedName name="_f2" localSheetId="17">#REF!</definedName>
    <definedName name="_f2" localSheetId="27">#REF!</definedName>
    <definedName name="_f2" localSheetId="72">#REF!</definedName>
    <definedName name="_f2" localSheetId="28">#REF!</definedName>
    <definedName name="_f2" localSheetId="29">#REF!</definedName>
    <definedName name="_f2" localSheetId="66">#REF!</definedName>
    <definedName name="_f2">#REF!</definedName>
    <definedName name="_ffr1" localSheetId="70">#REF!</definedName>
    <definedName name="_ffr1" localSheetId="52">#REF!</definedName>
    <definedName name="_ffr1" localSheetId="58">#REF!</definedName>
    <definedName name="_ffr1" localSheetId="57">#REF!</definedName>
    <definedName name="_ffr1" localSheetId="64">#REF!</definedName>
    <definedName name="_ffr1" localSheetId="67">#REF!</definedName>
    <definedName name="_ffr1" localSheetId="65">#REF!</definedName>
    <definedName name="_ffr1" localSheetId="68">#REF!</definedName>
    <definedName name="_ffr1" localSheetId="71">#REF!</definedName>
    <definedName name="_ffr1" localSheetId="44">#REF!</definedName>
    <definedName name="_ffr1" localSheetId="45">#REF!</definedName>
    <definedName name="_ffr1" localSheetId="17">#REF!</definedName>
    <definedName name="_ffr1" localSheetId="27">#REF!</definedName>
    <definedName name="_ffr1" localSheetId="72">#REF!</definedName>
    <definedName name="_ffr1" localSheetId="28">#REF!</definedName>
    <definedName name="_ffr1" localSheetId="29">#REF!</definedName>
    <definedName name="_ffr1" localSheetId="66">#REF!</definedName>
    <definedName name="_ffr1">#REF!</definedName>
    <definedName name="_ffr2">[13]자바라1!$O$10</definedName>
    <definedName name="_FFr98">'[13]#REF'!$F$29</definedName>
    <definedName name="_FFr99">'[13]#REF'!$G$29</definedName>
    <definedName name="_Fill" localSheetId="70" hidden="1">[23]I!#REF!</definedName>
    <definedName name="_Fill" localSheetId="52" hidden="1">[23]I!#REF!</definedName>
    <definedName name="_Fill" localSheetId="58" hidden="1">[23]I!#REF!</definedName>
    <definedName name="_Fill" localSheetId="56" hidden="1">[23]I!#REF!</definedName>
    <definedName name="_Fill" localSheetId="57" hidden="1">[23]I!#REF!</definedName>
    <definedName name="_Fill" localSheetId="64" hidden="1">[23]I!#REF!</definedName>
    <definedName name="_Fill" localSheetId="67" hidden="1">[23]I!#REF!</definedName>
    <definedName name="_Fill" localSheetId="65" hidden="1">[23]I!#REF!</definedName>
    <definedName name="_Fill" localSheetId="68" hidden="1">[23]I!#REF!</definedName>
    <definedName name="_Fill" localSheetId="71" hidden="1">[23]I!#REF!</definedName>
    <definedName name="_Fill" localSheetId="44" hidden="1">[23]I!#REF!</definedName>
    <definedName name="_Fill" localSheetId="45" hidden="1">[23]I!#REF!</definedName>
    <definedName name="_Fill" localSheetId="17" hidden="1">[23]I!#REF!</definedName>
    <definedName name="_Fill" localSheetId="27" hidden="1">[23]I!#REF!</definedName>
    <definedName name="_Fill" localSheetId="72" hidden="1">[23]I!#REF!</definedName>
    <definedName name="_Fill" localSheetId="28" hidden="1">[23]I!#REF!</definedName>
    <definedName name="_Fill" localSheetId="29" hidden="1">[23]I!#REF!</definedName>
    <definedName name="_Fill" localSheetId="66" hidden="1">[23]I!#REF!</definedName>
    <definedName name="_Fill" hidden="1">[23]I!#REF!</definedName>
    <definedName name="_xlnm._FilterDatabase" localSheetId="70" hidden="1">#REF!</definedName>
    <definedName name="_xlnm._FilterDatabase" localSheetId="52" hidden="1">#REF!</definedName>
    <definedName name="_xlnm._FilterDatabase" localSheetId="58" hidden="1">#REF!</definedName>
    <definedName name="_xlnm._FilterDatabase" localSheetId="56" hidden="1">#REF!</definedName>
    <definedName name="_xlnm._FilterDatabase" localSheetId="57" hidden="1">#REF!</definedName>
    <definedName name="_xlnm._FilterDatabase" localSheetId="64" hidden="1">#REF!</definedName>
    <definedName name="_xlnm._FilterDatabase" localSheetId="67" hidden="1">#REF!</definedName>
    <definedName name="_xlnm._FilterDatabase" localSheetId="65" hidden="1">#REF!</definedName>
    <definedName name="_xlnm._FilterDatabase" localSheetId="68" hidden="1">#REF!</definedName>
    <definedName name="_xlnm._FilterDatabase" localSheetId="71" hidden="1">#REF!</definedName>
    <definedName name="_xlnm._FilterDatabase" localSheetId="44" hidden="1">#REF!</definedName>
    <definedName name="_xlnm._FilterDatabase" localSheetId="45" hidden="1">#REF!</definedName>
    <definedName name="_xlnm._FilterDatabase" localSheetId="17" hidden="1">#REF!</definedName>
    <definedName name="_xlnm._FilterDatabase" localSheetId="27" hidden="1">#REF!</definedName>
    <definedName name="_xlnm._FilterDatabase" localSheetId="72" hidden="1">#REF!</definedName>
    <definedName name="_xlnm._FilterDatabase" localSheetId="28" hidden="1">#REF!</definedName>
    <definedName name="_xlnm._FilterDatabase" localSheetId="29" hidden="1">#REF!</definedName>
    <definedName name="_xlnm._FilterDatabase" localSheetId="66" hidden="1">#REF!</definedName>
    <definedName name="_xlnm._FilterDatabase" hidden="1">#REF!</definedName>
    <definedName name="_FRF2" localSheetId="70">#REF!</definedName>
    <definedName name="_FRF2" localSheetId="52">#REF!</definedName>
    <definedName name="_FRF2" localSheetId="58">#REF!</definedName>
    <definedName name="_FRF2" localSheetId="57">#REF!</definedName>
    <definedName name="_FRF2" localSheetId="64">#REF!</definedName>
    <definedName name="_FRF2" localSheetId="67">#REF!</definedName>
    <definedName name="_FRF2" localSheetId="65">#REF!</definedName>
    <definedName name="_FRF2" localSheetId="68">#REF!</definedName>
    <definedName name="_FRF2" localSheetId="71">#REF!</definedName>
    <definedName name="_FRF2" localSheetId="44">#REF!</definedName>
    <definedName name="_FRF2" localSheetId="45">#REF!</definedName>
    <definedName name="_FRF2" localSheetId="17">#REF!</definedName>
    <definedName name="_FRF2" localSheetId="27">#REF!</definedName>
    <definedName name="_FRF2" localSheetId="72">#REF!</definedName>
    <definedName name="_FRF2" localSheetId="28">#REF!</definedName>
    <definedName name="_FRF2" localSheetId="29">#REF!</definedName>
    <definedName name="_FRF2" localSheetId="66">#REF!</definedName>
    <definedName name="_FRF2">#REF!</definedName>
    <definedName name="_G87634" localSheetId="70">#REF!</definedName>
    <definedName name="_G87634" localSheetId="52">#REF!</definedName>
    <definedName name="_G87634" localSheetId="58">#REF!</definedName>
    <definedName name="_G87634" localSheetId="57">#REF!</definedName>
    <definedName name="_G87634" localSheetId="64">#REF!</definedName>
    <definedName name="_G87634" localSheetId="67">#REF!</definedName>
    <definedName name="_G87634" localSheetId="65">#REF!</definedName>
    <definedName name="_G87634" localSheetId="68">#REF!</definedName>
    <definedName name="_G87634" localSheetId="71">#REF!</definedName>
    <definedName name="_G87634" localSheetId="44">#REF!</definedName>
    <definedName name="_G87634" localSheetId="45">#REF!</definedName>
    <definedName name="_G87634" localSheetId="17">#REF!</definedName>
    <definedName name="_G87634" localSheetId="27">#REF!</definedName>
    <definedName name="_G87634" localSheetId="72">#REF!</definedName>
    <definedName name="_G87634" localSheetId="28">#REF!</definedName>
    <definedName name="_G87634" localSheetId="29">#REF!</definedName>
    <definedName name="_G87634" localSheetId="66">#REF!</definedName>
    <definedName name="_G87634">#REF!</definedName>
    <definedName name="_GAS_CAL_VAL_">'[5]Financial Estimates'!$C$325</definedName>
    <definedName name="_hh1">[24]설산1.나!$A$8:$J$53</definedName>
    <definedName name="_hh2">[24]본사S!$B$10:$P$103</definedName>
    <definedName name="_HOME_" localSheetId="70">'[5]Financial Estimates'!#REF!</definedName>
    <definedName name="_HOME_" localSheetId="52">'[5]Financial Estimates'!#REF!</definedName>
    <definedName name="_HOME_" localSheetId="58">'[5]Financial Estimates'!#REF!</definedName>
    <definedName name="_HOME_" localSheetId="56">'[5]Financial Estimates'!#REF!</definedName>
    <definedName name="_HOME_" localSheetId="57">'[5]Financial Estimates'!#REF!</definedName>
    <definedName name="_HOME_" localSheetId="64">'[5]Financial Estimates'!#REF!</definedName>
    <definedName name="_HOME_" localSheetId="67">'[5]Financial Estimates'!#REF!</definedName>
    <definedName name="_HOME_" localSheetId="65">'[5]Financial Estimates'!#REF!</definedName>
    <definedName name="_HOME_" localSheetId="68">'[5]Financial Estimates'!#REF!</definedName>
    <definedName name="_HOME_" localSheetId="71">'[5]Financial Estimates'!#REF!</definedName>
    <definedName name="_HOME_" localSheetId="44">'[5]Financial Estimates'!#REF!</definedName>
    <definedName name="_HOME_" localSheetId="45">'[5]Financial Estimates'!#REF!</definedName>
    <definedName name="_HOME_" localSheetId="17">'[5]Financial Estimates'!#REF!</definedName>
    <definedName name="_HOME_" localSheetId="27">'[5]Financial Estimates'!#REF!</definedName>
    <definedName name="_HOME_" localSheetId="72">'[5]Financial Estimates'!#REF!</definedName>
    <definedName name="_HOME_" localSheetId="28">'[5]Financial Estimates'!#REF!</definedName>
    <definedName name="_HOME_" localSheetId="29">'[5]Financial Estimates'!#REF!</definedName>
    <definedName name="_HOME_" localSheetId="66">'[5]Financial Estimates'!#REF!</definedName>
    <definedName name="_HOME_">'[5]Financial Estimates'!#REF!</definedName>
    <definedName name="_HT_GR" localSheetId="70">#REF!</definedName>
    <definedName name="_HT_GR" localSheetId="52">#REF!</definedName>
    <definedName name="_HT_GR" localSheetId="58">#REF!</definedName>
    <definedName name="_HT_GR" localSheetId="56">#REF!</definedName>
    <definedName name="_HT_GR" localSheetId="57">#REF!</definedName>
    <definedName name="_HT_GR" localSheetId="64">#REF!</definedName>
    <definedName name="_HT_GR" localSheetId="67">#REF!</definedName>
    <definedName name="_HT_GR" localSheetId="65">#REF!</definedName>
    <definedName name="_HT_GR" localSheetId="68">#REF!</definedName>
    <definedName name="_HT_GR" localSheetId="71">#REF!</definedName>
    <definedName name="_HT_GR" localSheetId="44">#REF!</definedName>
    <definedName name="_HT_GR" localSheetId="45">#REF!</definedName>
    <definedName name="_HT_GR" localSheetId="17">#REF!</definedName>
    <definedName name="_HT_GR" localSheetId="27">#REF!</definedName>
    <definedName name="_HT_GR" localSheetId="72">#REF!</definedName>
    <definedName name="_HT_GR" localSheetId="28">#REF!</definedName>
    <definedName name="_HT_GR" localSheetId="29">#REF!</definedName>
    <definedName name="_HT_GR" localSheetId="66">#REF!</definedName>
    <definedName name="_HT_GR">#REF!</definedName>
    <definedName name="_HYDRO_AUX__">'[5]Financial Estimates'!$D$337</definedName>
    <definedName name="_K1" localSheetId="70">#REF!</definedName>
    <definedName name="_K1" localSheetId="52">#REF!</definedName>
    <definedName name="_K1" localSheetId="58">#REF!</definedName>
    <definedName name="_K1" localSheetId="56">#REF!</definedName>
    <definedName name="_K1" localSheetId="57">#REF!</definedName>
    <definedName name="_K1" localSheetId="64">#REF!</definedName>
    <definedName name="_K1" localSheetId="67">#REF!</definedName>
    <definedName name="_K1" localSheetId="65">#REF!</definedName>
    <definedName name="_K1" localSheetId="68">#REF!</definedName>
    <definedName name="_K1" localSheetId="71">#REF!</definedName>
    <definedName name="_K1" localSheetId="44">#REF!</definedName>
    <definedName name="_K1" localSheetId="45">#REF!</definedName>
    <definedName name="_K1" localSheetId="17">#REF!</definedName>
    <definedName name="_K1" localSheetId="27">#REF!</definedName>
    <definedName name="_K1" localSheetId="72">#REF!</definedName>
    <definedName name="_K1" localSheetId="28">#REF!</definedName>
    <definedName name="_K1" localSheetId="29">#REF!</definedName>
    <definedName name="_K1" localSheetId="66">#REF!</definedName>
    <definedName name="_K1">#REF!</definedName>
    <definedName name="_K2" localSheetId="70">#REF!</definedName>
    <definedName name="_K2" localSheetId="52">#REF!</definedName>
    <definedName name="_K2" localSheetId="58">#REF!</definedName>
    <definedName name="_K2" localSheetId="57">#REF!</definedName>
    <definedName name="_K2" localSheetId="64">#REF!</definedName>
    <definedName name="_K2" localSheetId="67">#REF!</definedName>
    <definedName name="_K2" localSheetId="65">#REF!</definedName>
    <definedName name="_K2" localSheetId="68">#REF!</definedName>
    <definedName name="_K2" localSheetId="71">#REF!</definedName>
    <definedName name="_K2" localSheetId="44">#REF!</definedName>
    <definedName name="_K2" localSheetId="45">#REF!</definedName>
    <definedName name="_K2" localSheetId="17">#REF!</definedName>
    <definedName name="_K2" localSheetId="27">#REF!</definedName>
    <definedName name="_K2" localSheetId="72">#REF!</definedName>
    <definedName name="_K2" localSheetId="28">#REF!</definedName>
    <definedName name="_K2" localSheetId="29">#REF!</definedName>
    <definedName name="_K2" localSheetId="66">#REF!</definedName>
    <definedName name="_K2">#REF!</definedName>
    <definedName name="_K3" localSheetId="70">#REF!</definedName>
    <definedName name="_K3" localSheetId="52">#REF!</definedName>
    <definedName name="_K3" localSheetId="58">#REF!</definedName>
    <definedName name="_K3" localSheetId="57">#REF!</definedName>
    <definedName name="_K3" localSheetId="64">#REF!</definedName>
    <definedName name="_K3" localSheetId="67">#REF!</definedName>
    <definedName name="_K3" localSheetId="65">#REF!</definedName>
    <definedName name="_K3" localSheetId="68">#REF!</definedName>
    <definedName name="_K3" localSheetId="71">#REF!</definedName>
    <definedName name="_K3" localSheetId="44">#REF!</definedName>
    <definedName name="_K3" localSheetId="45">#REF!</definedName>
    <definedName name="_K3" localSheetId="17">#REF!</definedName>
    <definedName name="_K3" localSheetId="27">#REF!</definedName>
    <definedName name="_K3" localSheetId="72">#REF!</definedName>
    <definedName name="_K3" localSheetId="28">#REF!</definedName>
    <definedName name="_K3" localSheetId="29">#REF!</definedName>
    <definedName name="_K3" localSheetId="66">#REF!</definedName>
    <definedName name="_K3">#REF!</definedName>
    <definedName name="_K5" localSheetId="70">#REF!</definedName>
    <definedName name="_K5" localSheetId="52">#REF!</definedName>
    <definedName name="_K5" localSheetId="58">#REF!</definedName>
    <definedName name="_K5" localSheetId="57">#REF!</definedName>
    <definedName name="_K5" localSheetId="64">#REF!</definedName>
    <definedName name="_K5" localSheetId="67">#REF!</definedName>
    <definedName name="_K5" localSheetId="65">#REF!</definedName>
    <definedName name="_K5" localSheetId="68">#REF!</definedName>
    <definedName name="_K5" localSheetId="71">#REF!</definedName>
    <definedName name="_K5" localSheetId="44">#REF!</definedName>
    <definedName name="_K5" localSheetId="45">#REF!</definedName>
    <definedName name="_K5" localSheetId="27">#REF!</definedName>
    <definedName name="_K5" localSheetId="28">#REF!</definedName>
    <definedName name="_K5" localSheetId="29">#REF!</definedName>
    <definedName name="_K5" localSheetId="66">#REF!</definedName>
    <definedName name="_K5">#REF!</definedName>
    <definedName name="_K6" localSheetId="70">#REF!</definedName>
    <definedName name="_K6" localSheetId="52">#REF!</definedName>
    <definedName name="_K6" localSheetId="58">#REF!</definedName>
    <definedName name="_K6" localSheetId="57">#REF!</definedName>
    <definedName name="_K6" localSheetId="64">#REF!</definedName>
    <definedName name="_K6" localSheetId="67">#REF!</definedName>
    <definedName name="_K6" localSheetId="65">#REF!</definedName>
    <definedName name="_K6" localSheetId="68">#REF!</definedName>
    <definedName name="_K6" localSheetId="71">#REF!</definedName>
    <definedName name="_K6" localSheetId="44">#REF!</definedName>
    <definedName name="_K6" localSheetId="45">#REF!</definedName>
    <definedName name="_K6" localSheetId="27">#REF!</definedName>
    <definedName name="_K6" localSheetId="28">#REF!</definedName>
    <definedName name="_K6" localSheetId="29">#REF!</definedName>
    <definedName name="_K6" localSheetId="66">#REF!</definedName>
    <definedName name="_K6">#REF!</definedName>
    <definedName name="_KD10">[14]현장지지물물량!$A$8:$N$196</definedName>
    <definedName name="_KD11">[14]현장지지물물량!$A$1:$IV$7</definedName>
    <definedName name="_KD12">[14]현장지지물물량!$A$8:$N$196</definedName>
    <definedName name="_KD13">[14]현장지지물물량!$A$1:$IV$7</definedName>
    <definedName name="_KD14">[15]현장지지물물량!$A$9:$N$23</definedName>
    <definedName name="_KD15">[16]현장지지물물량!$A$9:$N$23</definedName>
    <definedName name="_KD16">[16]현장지지물물량!$A$1:$IV$8</definedName>
    <definedName name="_KD18">[16]현장지지물물량!$A$9:$N$23</definedName>
    <definedName name="_KD2" localSheetId="70" hidden="1">#REF!</definedName>
    <definedName name="_KD2" localSheetId="52" hidden="1">#REF!</definedName>
    <definedName name="_KD2" localSheetId="58" hidden="1">#REF!</definedName>
    <definedName name="_KD2" localSheetId="56" hidden="1">#REF!</definedName>
    <definedName name="_KD2" localSheetId="57" hidden="1">#REF!</definedName>
    <definedName name="_KD2" localSheetId="64" hidden="1">#REF!</definedName>
    <definedName name="_KD2" localSheetId="67" hidden="1">#REF!</definedName>
    <definedName name="_KD2" localSheetId="65" hidden="1">#REF!</definedName>
    <definedName name="_KD2" localSheetId="68" hidden="1">#REF!</definedName>
    <definedName name="_KD2" localSheetId="71" hidden="1">#REF!</definedName>
    <definedName name="_KD2" localSheetId="44" hidden="1">#REF!</definedName>
    <definedName name="_KD2" localSheetId="45" hidden="1">#REF!</definedName>
    <definedName name="_KD2" localSheetId="17" hidden="1">#REF!</definedName>
    <definedName name="_KD2" localSheetId="27" hidden="1">#REF!</definedName>
    <definedName name="_KD2" localSheetId="72" hidden="1">#REF!</definedName>
    <definedName name="_KD2" localSheetId="28" hidden="1">#REF!</definedName>
    <definedName name="_KD2" localSheetId="29" hidden="1">#REF!</definedName>
    <definedName name="_KD2" localSheetId="66" hidden="1">#REF!</definedName>
    <definedName name="_KD2" hidden="1">#REF!</definedName>
    <definedName name="_KD3" localSheetId="70" hidden="1">#REF!</definedName>
    <definedName name="_KD3" localSheetId="52" hidden="1">#REF!</definedName>
    <definedName name="_KD3" localSheetId="58" hidden="1">#REF!</definedName>
    <definedName name="_KD3" localSheetId="57" hidden="1">#REF!</definedName>
    <definedName name="_KD3" localSheetId="64" hidden="1">#REF!</definedName>
    <definedName name="_KD3" localSheetId="67" hidden="1">#REF!</definedName>
    <definedName name="_KD3" localSheetId="65" hidden="1">#REF!</definedName>
    <definedName name="_KD3" localSheetId="68" hidden="1">#REF!</definedName>
    <definedName name="_KD3" localSheetId="71" hidden="1">#REF!</definedName>
    <definedName name="_KD3" localSheetId="44" hidden="1">#REF!</definedName>
    <definedName name="_KD3" localSheetId="45" hidden="1">#REF!</definedName>
    <definedName name="_KD3" localSheetId="17" hidden="1">#REF!</definedName>
    <definedName name="_KD3" localSheetId="27" hidden="1">#REF!</definedName>
    <definedName name="_KD3" localSheetId="72" hidden="1">#REF!</definedName>
    <definedName name="_KD3" localSheetId="28" hidden="1">#REF!</definedName>
    <definedName name="_KD3" localSheetId="29" hidden="1">#REF!</definedName>
    <definedName name="_KD3" localSheetId="66" hidden="1">#REF!</definedName>
    <definedName name="_KD3" hidden="1">#REF!</definedName>
    <definedName name="_KD4">[14]현장지지물물량!$A$8:$N$196</definedName>
    <definedName name="_KD5">[16]현장지지물물량!$A$1:$IV$8</definedName>
    <definedName name="_KD6">[16]현장지지물물량!$A$1:$IV$8</definedName>
    <definedName name="_KD7">[16]현장지지물물량!$A$9:$N$23</definedName>
    <definedName name="_KD8">[17]설산1.나!$A$8:$J$53</definedName>
    <definedName name="_KD9">[17]본사S!$B$10:$P$103</definedName>
    <definedName name="_Key1" localSheetId="70" hidden="1">#REF!</definedName>
    <definedName name="_Key1" localSheetId="52" hidden="1">#REF!</definedName>
    <definedName name="_Key1" localSheetId="58" hidden="1">#REF!</definedName>
    <definedName name="_Key1" localSheetId="56" hidden="1">#REF!</definedName>
    <definedName name="_Key1" localSheetId="57" hidden="1">#REF!</definedName>
    <definedName name="_Key1" localSheetId="64" hidden="1">#REF!</definedName>
    <definedName name="_Key1" localSheetId="67" hidden="1">#REF!</definedName>
    <definedName name="_Key1" localSheetId="65" hidden="1">#REF!</definedName>
    <definedName name="_Key1" localSheetId="68" hidden="1">#REF!</definedName>
    <definedName name="_Key1" localSheetId="71" hidden="1">#REF!</definedName>
    <definedName name="_Key1" localSheetId="44" hidden="1">#REF!</definedName>
    <definedName name="_Key1" localSheetId="45" hidden="1">#REF!</definedName>
    <definedName name="_Key1" localSheetId="17" hidden="1">#REF!</definedName>
    <definedName name="_Key1" localSheetId="27" hidden="1">#REF!</definedName>
    <definedName name="_Key1" localSheetId="72" hidden="1">#REF!</definedName>
    <definedName name="_Key1" localSheetId="28" hidden="1">#REF!</definedName>
    <definedName name="_Key1" localSheetId="29" hidden="1">#REF!</definedName>
    <definedName name="_Key1" localSheetId="66" hidden="1">#REF!</definedName>
    <definedName name="_Key1" hidden="1">#REF!</definedName>
    <definedName name="_Key2" localSheetId="70" hidden="1">#REF!</definedName>
    <definedName name="_Key2" localSheetId="52" hidden="1">#REF!</definedName>
    <definedName name="_Key2" localSheetId="58" hidden="1">#REF!</definedName>
    <definedName name="_Key2" localSheetId="57" hidden="1">#REF!</definedName>
    <definedName name="_Key2" localSheetId="64" hidden="1">#REF!</definedName>
    <definedName name="_Key2" localSheetId="67" hidden="1">#REF!</definedName>
    <definedName name="_Key2" localSheetId="65" hidden="1">#REF!</definedName>
    <definedName name="_Key2" localSheetId="68" hidden="1">#REF!</definedName>
    <definedName name="_Key2" localSheetId="71" hidden="1">#REF!</definedName>
    <definedName name="_Key2" localSheetId="44" hidden="1">#REF!</definedName>
    <definedName name="_Key2" localSheetId="45" hidden="1">#REF!</definedName>
    <definedName name="_Key2" localSheetId="17" hidden="1">#REF!</definedName>
    <definedName name="_Key2" localSheetId="27" hidden="1">#REF!</definedName>
    <definedName name="_Key2" localSheetId="72" hidden="1">#REF!</definedName>
    <definedName name="_Key2" localSheetId="28" hidden="1">#REF!</definedName>
    <definedName name="_Key2" localSheetId="29" hidden="1">#REF!</definedName>
    <definedName name="_Key2" localSheetId="66" hidden="1">#REF!</definedName>
    <definedName name="_Key2" hidden="1">#REF!</definedName>
    <definedName name="_KK1" localSheetId="70" hidden="1">#REF!</definedName>
    <definedName name="_KK1" localSheetId="52" hidden="1">#REF!</definedName>
    <definedName name="_KK1" localSheetId="58" hidden="1">#REF!</definedName>
    <definedName name="_KK1" localSheetId="57" hidden="1">#REF!</definedName>
    <definedName name="_KK1" localSheetId="64" hidden="1">#REF!</definedName>
    <definedName name="_KK1" localSheetId="67" hidden="1">#REF!</definedName>
    <definedName name="_KK1" localSheetId="65" hidden="1">#REF!</definedName>
    <definedName name="_KK1" localSheetId="68" hidden="1">#REF!</definedName>
    <definedName name="_KK1" localSheetId="71" hidden="1">#REF!</definedName>
    <definedName name="_KK1" localSheetId="44" hidden="1">#REF!</definedName>
    <definedName name="_KK1" localSheetId="45" hidden="1">#REF!</definedName>
    <definedName name="_KK1" localSheetId="17" hidden="1">#REF!</definedName>
    <definedName name="_KK1" localSheetId="27" hidden="1">#REF!</definedName>
    <definedName name="_KK1" localSheetId="72" hidden="1">#REF!</definedName>
    <definedName name="_KK1" localSheetId="28" hidden="1">#REF!</definedName>
    <definedName name="_KK1" localSheetId="29" hidden="1">#REF!</definedName>
    <definedName name="_KK1" localSheetId="66" hidden="1">#REF!</definedName>
    <definedName name="_KK1" hidden="1">#REF!</definedName>
    <definedName name="_KK2" localSheetId="70" hidden="1">#REF!</definedName>
    <definedName name="_KK2" localSheetId="52" hidden="1">#REF!</definedName>
    <definedName name="_KK2" localSheetId="58" hidden="1">#REF!</definedName>
    <definedName name="_KK2" localSheetId="57" hidden="1">#REF!</definedName>
    <definedName name="_KK2" localSheetId="64" hidden="1">#REF!</definedName>
    <definedName name="_KK2" localSheetId="67" hidden="1">#REF!</definedName>
    <definedName name="_KK2" localSheetId="65" hidden="1">#REF!</definedName>
    <definedName name="_KK2" localSheetId="68" hidden="1">#REF!</definedName>
    <definedName name="_KK2" localSheetId="71" hidden="1">#REF!</definedName>
    <definedName name="_KK2" localSheetId="44" hidden="1">#REF!</definedName>
    <definedName name="_KK2" localSheetId="45" hidden="1">#REF!</definedName>
    <definedName name="_KK2" localSheetId="27" hidden="1">#REF!</definedName>
    <definedName name="_KK2" localSheetId="28" hidden="1">#REF!</definedName>
    <definedName name="_KK2" localSheetId="29" hidden="1">#REF!</definedName>
    <definedName name="_KK2" localSheetId="66" hidden="1">#REF!</definedName>
    <definedName name="_KK2" hidden="1">#REF!</definedName>
    <definedName name="_KK3" localSheetId="70" hidden="1">#REF!</definedName>
    <definedName name="_KK3" localSheetId="52" hidden="1">#REF!</definedName>
    <definedName name="_KK3" localSheetId="58" hidden="1">#REF!</definedName>
    <definedName name="_KK3" localSheetId="57" hidden="1">#REF!</definedName>
    <definedName name="_KK3" localSheetId="64" hidden="1">#REF!</definedName>
    <definedName name="_KK3" localSheetId="67" hidden="1">#REF!</definedName>
    <definedName name="_KK3" localSheetId="65" hidden="1">#REF!</definedName>
    <definedName name="_KK3" localSheetId="68" hidden="1">#REF!</definedName>
    <definedName name="_KK3" localSheetId="71" hidden="1">#REF!</definedName>
    <definedName name="_KK3" localSheetId="44" hidden="1">#REF!</definedName>
    <definedName name="_KK3" localSheetId="45" hidden="1">#REF!</definedName>
    <definedName name="_KK3" localSheetId="27" hidden="1">#REF!</definedName>
    <definedName name="_KK3" localSheetId="28" hidden="1">#REF!</definedName>
    <definedName name="_KK3" localSheetId="29" hidden="1">#REF!</definedName>
    <definedName name="_KK3" localSheetId="66" hidden="1">#REF!</definedName>
    <definedName name="_KK3" hidden="1">#REF!</definedName>
    <definedName name="_LL1" localSheetId="70">#REF!</definedName>
    <definedName name="_LL1" localSheetId="52">#REF!</definedName>
    <definedName name="_LL1" localSheetId="58">#REF!</definedName>
    <definedName name="_LL1" localSheetId="57">#REF!</definedName>
    <definedName name="_LL1" localSheetId="64">#REF!</definedName>
    <definedName name="_LL1" localSheetId="67">#REF!</definedName>
    <definedName name="_LL1" localSheetId="65">#REF!</definedName>
    <definedName name="_LL1" localSheetId="68">#REF!</definedName>
    <definedName name="_LL1" localSheetId="71">#REF!</definedName>
    <definedName name="_LL1" localSheetId="44">#REF!</definedName>
    <definedName name="_LL1" localSheetId="45">#REF!</definedName>
    <definedName name="_LL1" localSheetId="27">#REF!</definedName>
    <definedName name="_LL1" localSheetId="28">#REF!</definedName>
    <definedName name="_LL1" localSheetId="29">#REF!</definedName>
    <definedName name="_LL1" localSheetId="66">#REF!</definedName>
    <definedName name="_LL1">#REF!</definedName>
    <definedName name="_LL2" localSheetId="70">#REF!</definedName>
    <definedName name="_LL2" localSheetId="52">#REF!</definedName>
    <definedName name="_LL2" localSheetId="58">#REF!</definedName>
    <definedName name="_LL2" localSheetId="57">#REF!</definedName>
    <definedName name="_LL2" localSheetId="64">#REF!</definedName>
    <definedName name="_LL2" localSheetId="67">#REF!</definedName>
    <definedName name="_LL2" localSheetId="65">#REF!</definedName>
    <definedName name="_LL2" localSheetId="68">#REF!</definedName>
    <definedName name="_LL2" localSheetId="71">#REF!</definedName>
    <definedName name="_LL2" localSheetId="44">#REF!</definedName>
    <definedName name="_LL2" localSheetId="45">#REF!</definedName>
    <definedName name="_LL2" localSheetId="27">#REF!</definedName>
    <definedName name="_LL2" localSheetId="28">#REF!</definedName>
    <definedName name="_LL2" localSheetId="29">#REF!</definedName>
    <definedName name="_LL2" localSheetId="66">#REF!</definedName>
    <definedName name="_LL2">#REF!</definedName>
    <definedName name="_LL3" localSheetId="70">#REF!</definedName>
    <definedName name="_LL3" localSheetId="52">#REF!</definedName>
    <definedName name="_LL3" localSheetId="58">#REF!</definedName>
    <definedName name="_LL3" localSheetId="57">#REF!</definedName>
    <definedName name="_LL3" localSheetId="64">#REF!</definedName>
    <definedName name="_LL3" localSheetId="67">#REF!</definedName>
    <definedName name="_LL3" localSheetId="65">#REF!</definedName>
    <definedName name="_LL3" localSheetId="68">#REF!</definedName>
    <definedName name="_LL3" localSheetId="71">#REF!</definedName>
    <definedName name="_LL3" localSheetId="44">#REF!</definedName>
    <definedName name="_LL3" localSheetId="45">#REF!</definedName>
    <definedName name="_LL3" localSheetId="27">#REF!</definedName>
    <definedName name="_LL3" localSheetId="28">#REF!</definedName>
    <definedName name="_LL3" localSheetId="29">#REF!</definedName>
    <definedName name="_LL3" localSheetId="66">#REF!</definedName>
    <definedName name="_LL3">#REF!</definedName>
    <definedName name="_LL4" localSheetId="70">#REF!</definedName>
    <definedName name="_LL4" localSheetId="52">#REF!</definedName>
    <definedName name="_LL4" localSheetId="58">#REF!</definedName>
    <definedName name="_LL4" localSheetId="57">#REF!</definedName>
    <definedName name="_LL4" localSheetId="64">#REF!</definedName>
    <definedName name="_LL4" localSheetId="67">#REF!</definedName>
    <definedName name="_LL4" localSheetId="65">#REF!</definedName>
    <definedName name="_LL4" localSheetId="68">#REF!</definedName>
    <definedName name="_LL4" localSheetId="71">#REF!</definedName>
    <definedName name="_LL4" localSheetId="44">#REF!</definedName>
    <definedName name="_LL4" localSheetId="45">#REF!</definedName>
    <definedName name="_LL4" localSheetId="27">#REF!</definedName>
    <definedName name="_LL4" localSheetId="28">#REF!</definedName>
    <definedName name="_LL4" localSheetId="29">#REF!</definedName>
    <definedName name="_LL4" localSheetId="66">#REF!</definedName>
    <definedName name="_LL4">#REF!</definedName>
    <definedName name="_LL5" localSheetId="70">#REF!</definedName>
    <definedName name="_LL5" localSheetId="52">#REF!</definedName>
    <definedName name="_LL5" localSheetId="58">#REF!</definedName>
    <definedName name="_LL5" localSheetId="57">#REF!</definedName>
    <definedName name="_LL5" localSheetId="64">#REF!</definedName>
    <definedName name="_LL5" localSheetId="67">#REF!</definedName>
    <definedName name="_LL5" localSheetId="65">#REF!</definedName>
    <definedName name="_LL5" localSheetId="68">#REF!</definedName>
    <definedName name="_LL5" localSheetId="71">#REF!</definedName>
    <definedName name="_LL5" localSheetId="44">#REF!</definedName>
    <definedName name="_LL5" localSheetId="45">#REF!</definedName>
    <definedName name="_LL5" localSheetId="27">#REF!</definedName>
    <definedName name="_LL5" localSheetId="28">#REF!</definedName>
    <definedName name="_LL5" localSheetId="29">#REF!</definedName>
    <definedName name="_LL5" localSheetId="66">#REF!</definedName>
    <definedName name="_LL5">#REF!</definedName>
    <definedName name="_LSHS_CAL_VAL_">'[5]Financial Estimates'!$C$326</definedName>
    <definedName name="_LT1P_GR" localSheetId="70">#REF!</definedName>
    <definedName name="_LT1P_GR" localSheetId="52">#REF!</definedName>
    <definedName name="_LT1P_GR" localSheetId="58">#REF!</definedName>
    <definedName name="_LT1P_GR" localSheetId="56">#REF!</definedName>
    <definedName name="_LT1P_GR" localSheetId="57">#REF!</definedName>
    <definedName name="_LT1P_GR" localSheetId="64">#REF!</definedName>
    <definedName name="_LT1P_GR" localSheetId="67">#REF!</definedName>
    <definedName name="_LT1P_GR" localSheetId="65">#REF!</definedName>
    <definedName name="_LT1P_GR" localSheetId="68">#REF!</definedName>
    <definedName name="_LT1P_GR" localSheetId="71">#REF!</definedName>
    <definedName name="_LT1P_GR" localSheetId="44">#REF!</definedName>
    <definedName name="_LT1P_GR" localSheetId="45">#REF!</definedName>
    <definedName name="_LT1P_GR" localSheetId="17">#REF!</definedName>
    <definedName name="_LT1P_GR" localSheetId="27">#REF!</definedName>
    <definedName name="_LT1P_GR" localSheetId="72">#REF!</definedName>
    <definedName name="_LT1P_GR" localSheetId="28">#REF!</definedName>
    <definedName name="_LT1P_GR" localSheetId="29">#REF!</definedName>
    <definedName name="_LT1P_GR" localSheetId="66">#REF!</definedName>
    <definedName name="_LT1P_GR">#REF!</definedName>
    <definedName name="_LT2P_GR" localSheetId="70">#REF!</definedName>
    <definedName name="_LT2P_GR" localSheetId="52">#REF!</definedName>
    <definedName name="_LT2P_GR" localSheetId="58">#REF!</definedName>
    <definedName name="_LT2P_GR" localSheetId="57">#REF!</definedName>
    <definedName name="_LT2P_GR" localSheetId="64">#REF!</definedName>
    <definedName name="_LT2P_GR" localSheetId="67">#REF!</definedName>
    <definedName name="_LT2P_GR" localSheetId="65">#REF!</definedName>
    <definedName name="_LT2P_GR" localSheetId="68">#REF!</definedName>
    <definedName name="_LT2P_GR" localSheetId="71">#REF!</definedName>
    <definedName name="_LT2P_GR" localSheetId="44">#REF!</definedName>
    <definedName name="_LT2P_GR" localSheetId="45">#REF!</definedName>
    <definedName name="_LT2P_GR" localSheetId="17">#REF!</definedName>
    <definedName name="_LT2P_GR" localSheetId="27">#REF!</definedName>
    <definedName name="_LT2P_GR" localSheetId="72">#REF!</definedName>
    <definedName name="_LT2P_GR" localSheetId="28">#REF!</definedName>
    <definedName name="_LT2P_GR" localSheetId="29">#REF!</definedName>
    <definedName name="_LT2P_GR" localSheetId="66">#REF!</definedName>
    <definedName name="_LT2P_GR">#REF!</definedName>
    <definedName name="_MDR_BEST_AFT_">'[5]Financial Estimates'!$C$304</definedName>
    <definedName name="_MDR_BSES_AFT_">'[5]Financial Estimates'!$C$305</definedName>
    <definedName name="_MDR_TIR_AFT_">'[5]Financial Estimates'!$C$298</definedName>
    <definedName name="_MPR1">#N/A</definedName>
    <definedName name="_MPR2">#N/A</definedName>
    <definedName name="_MPR3">#N/A</definedName>
    <definedName name="_nh1" localSheetId="70">'[20]Fixed Charge'!#REF!</definedName>
    <definedName name="_nh1" localSheetId="52">'[20]Fixed Charge'!#REF!</definedName>
    <definedName name="_nh1" localSheetId="58">'[20]Fixed Charge'!#REF!</definedName>
    <definedName name="_nh1" localSheetId="56">'[20]Fixed Charge'!#REF!</definedName>
    <definedName name="_nh1" localSheetId="57">'[20]Fixed Charge'!#REF!</definedName>
    <definedName name="_nh1" localSheetId="64">'[20]Fixed Charge'!#REF!</definedName>
    <definedName name="_nh1" localSheetId="67">'[20]Fixed Charge'!#REF!</definedName>
    <definedName name="_nh1" localSheetId="65">'[20]Fixed Charge'!#REF!</definedName>
    <definedName name="_nh1" localSheetId="68">'[20]Fixed Charge'!#REF!</definedName>
    <definedName name="_nh1" localSheetId="71">'[20]Fixed Charge'!#REF!</definedName>
    <definedName name="_nh1" localSheetId="44">'[20]Fixed Charge'!#REF!</definedName>
    <definedName name="_nh1" localSheetId="45">'[20]Fixed Charge'!#REF!</definedName>
    <definedName name="_nh1" localSheetId="17">'[20]Fixed Charge'!#REF!</definedName>
    <definedName name="_nh1" localSheetId="27">'[20]Fixed Charge'!#REF!</definedName>
    <definedName name="_nh1" localSheetId="72">'[20]Fixed Charge'!#REF!</definedName>
    <definedName name="_nh1" localSheetId="28">'[20]Fixed Charge'!#REF!</definedName>
    <definedName name="_nh1" localSheetId="29">'[20]Fixed Charge'!#REF!</definedName>
    <definedName name="_nh1" localSheetId="66">'[20]Fixed Charge'!#REF!</definedName>
    <definedName name="_nh1">'[20]Fixed Charge'!#REF!</definedName>
    <definedName name="_nis3" localSheetId="70" hidden="1">#REF!</definedName>
    <definedName name="_nis3" localSheetId="52" hidden="1">#REF!</definedName>
    <definedName name="_nis3" localSheetId="58" hidden="1">#REF!</definedName>
    <definedName name="_nis3" localSheetId="56" hidden="1">#REF!</definedName>
    <definedName name="_nis3" localSheetId="57" hidden="1">#REF!</definedName>
    <definedName name="_nis3" localSheetId="64" hidden="1">#REF!</definedName>
    <definedName name="_nis3" localSheetId="67" hidden="1">#REF!</definedName>
    <definedName name="_nis3" localSheetId="65" hidden="1">#REF!</definedName>
    <definedName name="_nis3" localSheetId="68" hidden="1">#REF!</definedName>
    <definedName name="_nis3" localSheetId="71" hidden="1">#REF!</definedName>
    <definedName name="_nis3" localSheetId="44" hidden="1">#REF!</definedName>
    <definedName name="_nis3" localSheetId="45" hidden="1">#REF!</definedName>
    <definedName name="_nis3" localSheetId="17" hidden="1">#REF!</definedName>
    <definedName name="_nis3" localSheetId="27" hidden="1">#REF!</definedName>
    <definedName name="_nis3" localSheetId="72" hidden="1">#REF!</definedName>
    <definedName name="_nis3" localSheetId="28" hidden="1">#REF!</definedName>
    <definedName name="_nis3" localSheetId="29" hidden="1">#REF!</definedName>
    <definedName name="_nis3" localSheetId="66" hidden="1">#REF!</definedName>
    <definedName name="_nis3" hidden="1">#REF!</definedName>
    <definedName name="_Order1" hidden="1">255</definedName>
    <definedName name="_Order2" hidden="1">255</definedName>
    <definedName name="_p1" localSheetId="70">#REF!</definedName>
    <definedName name="_p1" localSheetId="52">#REF!</definedName>
    <definedName name="_p1" localSheetId="58">#REF!</definedName>
    <definedName name="_p1" localSheetId="56">#REF!</definedName>
    <definedName name="_p1" localSheetId="57">#REF!</definedName>
    <definedName name="_p1" localSheetId="64">#REF!</definedName>
    <definedName name="_p1" localSheetId="67">#REF!</definedName>
    <definedName name="_p1" localSheetId="65">#REF!</definedName>
    <definedName name="_p1" localSheetId="68">#REF!</definedName>
    <definedName name="_p1" localSheetId="71">#REF!</definedName>
    <definedName name="_p1" localSheetId="44">#REF!</definedName>
    <definedName name="_p1" localSheetId="45">#REF!</definedName>
    <definedName name="_p1" localSheetId="17">#REF!</definedName>
    <definedName name="_p1" localSheetId="27">#REF!</definedName>
    <definedName name="_p1" localSheetId="72">#REF!</definedName>
    <definedName name="_p1" localSheetId="28">#REF!</definedName>
    <definedName name="_p1" localSheetId="29">#REF!</definedName>
    <definedName name="_p1" localSheetId="66">#REF!</definedName>
    <definedName name="_p1">#REF!</definedName>
    <definedName name="_p2" localSheetId="70">#REF!</definedName>
    <definedName name="_p2" localSheetId="52">#REF!</definedName>
    <definedName name="_p2" localSheetId="58">#REF!</definedName>
    <definedName name="_p2" localSheetId="57">#REF!</definedName>
    <definedName name="_p2" localSheetId="64">#REF!</definedName>
    <definedName name="_p2" localSheetId="67">#REF!</definedName>
    <definedName name="_p2" localSheetId="65">#REF!</definedName>
    <definedName name="_p2" localSheetId="68">#REF!</definedName>
    <definedName name="_p2" localSheetId="71">#REF!</definedName>
    <definedName name="_p2" localSheetId="44">#REF!</definedName>
    <definedName name="_p2" localSheetId="45">#REF!</definedName>
    <definedName name="_p2" localSheetId="17">#REF!</definedName>
    <definedName name="_p2" localSheetId="27">#REF!</definedName>
    <definedName name="_p2" localSheetId="72">#REF!</definedName>
    <definedName name="_p2" localSheetId="28">#REF!</definedName>
    <definedName name="_p2" localSheetId="29">#REF!</definedName>
    <definedName name="_p2" localSheetId="66">#REF!</definedName>
    <definedName name="_p2">#REF!</definedName>
    <definedName name="_P21" localSheetId="70">#REF!</definedName>
    <definedName name="_P21" localSheetId="52">#REF!</definedName>
    <definedName name="_P21" localSheetId="58">#REF!</definedName>
    <definedName name="_P21" localSheetId="57">#REF!</definedName>
    <definedName name="_P21" localSheetId="64">#REF!</definedName>
    <definedName name="_P21" localSheetId="67">#REF!</definedName>
    <definedName name="_P21" localSheetId="65">#REF!</definedName>
    <definedName name="_P21" localSheetId="68">#REF!</definedName>
    <definedName name="_P21" localSheetId="71">#REF!</definedName>
    <definedName name="_P21" localSheetId="44">#REF!</definedName>
    <definedName name="_P21" localSheetId="45">#REF!</definedName>
    <definedName name="_P21" localSheetId="17">#REF!</definedName>
    <definedName name="_P21" localSheetId="27">#REF!</definedName>
    <definedName name="_P21" localSheetId="72">#REF!</definedName>
    <definedName name="_P21" localSheetId="28">#REF!</definedName>
    <definedName name="_P21" localSheetId="29">#REF!</definedName>
    <definedName name="_P21" localSheetId="66">#REF!</definedName>
    <definedName name="_P21">#REF!</definedName>
    <definedName name="_P22" localSheetId="70">#REF!</definedName>
    <definedName name="_P22" localSheetId="52">#REF!</definedName>
    <definedName name="_P22" localSheetId="58">#REF!</definedName>
    <definedName name="_P22" localSheetId="57">#REF!</definedName>
    <definedName name="_P22" localSheetId="64">#REF!</definedName>
    <definedName name="_P22" localSheetId="67">#REF!</definedName>
    <definedName name="_P22" localSheetId="65">#REF!</definedName>
    <definedName name="_P22" localSheetId="68">#REF!</definedName>
    <definedName name="_P22" localSheetId="71">#REF!</definedName>
    <definedName name="_P22" localSheetId="44">#REF!</definedName>
    <definedName name="_P22" localSheetId="45">#REF!</definedName>
    <definedName name="_P22" localSheetId="27">#REF!</definedName>
    <definedName name="_P22" localSheetId="28">#REF!</definedName>
    <definedName name="_P22" localSheetId="29">#REF!</definedName>
    <definedName name="_P22" localSheetId="66">#REF!</definedName>
    <definedName name="_P22">#REF!</definedName>
    <definedName name="_p3" localSheetId="70">#REF!</definedName>
    <definedName name="_p3" localSheetId="52">#REF!</definedName>
    <definedName name="_p3" localSheetId="58">#REF!</definedName>
    <definedName name="_p3" localSheetId="57">#REF!</definedName>
    <definedName name="_p3" localSheetId="64">#REF!</definedName>
    <definedName name="_p3" localSheetId="67">#REF!</definedName>
    <definedName name="_p3" localSheetId="65">#REF!</definedName>
    <definedName name="_p3" localSheetId="68">#REF!</definedName>
    <definedName name="_p3" localSheetId="71">#REF!</definedName>
    <definedName name="_p3" localSheetId="44">#REF!</definedName>
    <definedName name="_p3" localSheetId="45">#REF!</definedName>
    <definedName name="_p3" localSheetId="27">#REF!</definedName>
    <definedName name="_p3" localSheetId="28">#REF!</definedName>
    <definedName name="_p3" localSheetId="29">#REF!</definedName>
    <definedName name="_p3" localSheetId="66">#REF!</definedName>
    <definedName name="_p3">#REF!</definedName>
    <definedName name="_P31" localSheetId="70">#REF!</definedName>
    <definedName name="_P31" localSheetId="52">#REF!</definedName>
    <definedName name="_P31" localSheetId="58">#REF!</definedName>
    <definedName name="_P31" localSheetId="57">#REF!</definedName>
    <definedName name="_P31" localSheetId="64">#REF!</definedName>
    <definedName name="_P31" localSheetId="67">#REF!</definedName>
    <definedName name="_P31" localSheetId="65">#REF!</definedName>
    <definedName name="_P31" localSheetId="68">#REF!</definedName>
    <definedName name="_P31" localSheetId="71">#REF!</definedName>
    <definedName name="_P31" localSheetId="44">#REF!</definedName>
    <definedName name="_P31" localSheetId="45">#REF!</definedName>
    <definedName name="_P31" localSheetId="27">#REF!</definedName>
    <definedName name="_P31" localSheetId="28">#REF!</definedName>
    <definedName name="_P31" localSheetId="29">#REF!</definedName>
    <definedName name="_P31" localSheetId="66">#REF!</definedName>
    <definedName name="_P31">#REF!</definedName>
    <definedName name="_P32" localSheetId="70">#REF!</definedName>
    <definedName name="_P32" localSheetId="52">#REF!</definedName>
    <definedName name="_P32" localSheetId="58">#REF!</definedName>
    <definedName name="_P32" localSheetId="57">#REF!</definedName>
    <definedName name="_P32" localSheetId="64">#REF!</definedName>
    <definedName name="_P32" localSheetId="67">#REF!</definedName>
    <definedName name="_P32" localSheetId="65">#REF!</definedName>
    <definedName name="_P32" localSheetId="68">#REF!</definedName>
    <definedName name="_P32" localSheetId="71">#REF!</definedName>
    <definedName name="_P32" localSheetId="44">#REF!</definedName>
    <definedName name="_P32" localSheetId="45">#REF!</definedName>
    <definedName name="_P32" localSheetId="27">#REF!</definedName>
    <definedName name="_P32" localSheetId="28">#REF!</definedName>
    <definedName name="_P32" localSheetId="29">#REF!</definedName>
    <definedName name="_P32" localSheetId="66">#REF!</definedName>
    <definedName name="_P32">#REF!</definedName>
    <definedName name="_P33" localSheetId="70">#REF!</definedName>
    <definedName name="_P33" localSheetId="52">#REF!</definedName>
    <definedName name="_P33" localSheetId="58">#REF!</definedName>
    <definedName name="_P33" localSheetId="57">#REF!</definedName>
    <definedName name="_P33" localSheetId="64">#REF!</definedName>
    <definedName name="_P33" localSheetId="67">#REF!</definedName>
    <definedName name="_P33" localSheetId="65">#REF!</definedName>
    <definedName name="_P33" localSheetId="68">#REF!</definedName>
    <definedName name="_P33" localSheetId="71">#REF!</definedName>
    <definedName name="_P33" localSheetId="44">#REF!</definedName>
    <definedName name="_P33" localSheetId="45">#REF!</definedName>
    <definedName name="_P33" localSheetId="27">#REF!</definedName>
    <definedName name="_P33" localSheetId="28">#REF!</definedName>
    <definedName name="_P33" localSheetId="29">#REF!</definedName>
    <definedName name="_P33" localSheetId="66">#REF!</definedName>
    <definedName name="_P33">#REF!</definedName>
    <definedName name="_P34" localSheetId="70">#REF!</definedName>
    <definedName name="_P34" localSheetId="52">#REF!</definedName>
    <definedName name="_P34" localSheetId="58">#REF!</definedName>
    <definedName name="_P34" localSheetId="57">#REF!</definedName>
    <definedName name="_P34" localSheetId="64">#REF!</definedName>
    <definedName name="_P34" localSheetId="67">#REF!</definedName>
    <definedName name="_P34" localSheetId="65">#REF!</definedName>
    <definedName name="_P34" localSheetId="68">#REF!</definedName>
    <definedName name="_P34" localSheetId="71">#REF!</definedName>
    <definedName name="_P34" localSheetId="44">#REF!</definedName>
    <definedName name="_P34" localSheetId="45">#REF!</definedName>
    <definedName name="_P34" localSheetId="27">#REF!</definedName>
    <definedName name="_P34" localSheetId="28">#REF!</definedName>
    <definedName name="_P34" localSheetId="29">#REF!</definedName>
    <definedName name="_P34" localSheetId="66">#REF!</definedName>
    <definedName name="_P34">#REF!</definedName>
    <definedName name="_Parse_In" localSheetId="70" hidden="1">#REF!</definedName>
    <definedName name="_Parse_In" localSheetId="52" hidden="1">#REF!</definedName>
    <definedName name="_Parse_In" localSheetId="58" hidden="1">#REF!</definedName>
    <definedName name="_Parse_In" localSheetId="57" hidden="1">#REF!</definedName>
    <definedName name="_Parse_In" localSheetId="64" hidden="1">#REF!</definedName>
    <definedName name="_Parse_In" localSheetId="67" hidden="1">#REF!</definedName>
    <definedName name="_Parse_In" localSheetId="65" hidden="1">#REF!</definedName>
    <definedName name="_Parse_In" localSheetId="68" hidden="1">#REF!</definedName>
    <definedName name="_Parse_In" localSheetId="71" hidden="1">#REF!</definedName>
    <definedName name="_Parse_In" localSheetId="44" hidden="1">#REF!</definedName>
    <definedName name="_Parse_In" localSheetId="45" hidden="1">#REF!</definedName>
    <definedName name="_Parse_In" localSheetId="27" hidden="1">#REF!</definedName>
    <definedName name="_Parse_In" localSheetId="28" hidden="1">#REF!</definedName>
    <definedName name="_Parse_In" localSheetId="29" hidden="1">#REF!</definedName>
    <definedName name="_Parse_In" localSheetId="66" hidden="1">#REF!</definedName>
    <definedName name="_Parse_In" hidden="1">#REF!</definedName>
    <definedName name="_Parse_Out" localSheetId="70" hidden="1">#REF!</definedName>
    <definedName name="_Parse_Out" localSheetId="52" hidden="1">#REF!</definedName>
    <definedName name="_Parse_Out" localSheetId="58" hidden="1">#REF!</definedName>
    <definedName name="_Parse_Out" localSheetId="57" hidden="1">#REF!</definedName>
    <definedName name="_Parse_Out" localSheetId="64" hidden="1">#REF!</definedName>
    <definedName name="_Parse_Out" localSheetId="67" hidden="1">#REF!</definedName>
    <definedName name="_Parse_Out" localSheetId="65" hidden="1">#REF!</definedName>
    <definedName name="_Parse_Out" localSheetId="68" hidden="1">#REF!</definedName>
    <definedName name="_Parse_Out" localSheetId="71" hidden="1">#REF!</definedName>
    <definedName name="_Parse_Out" localSheetId="44" hidden="1">#REF!</definedName>
    <definedName name="_Parse_Out" localSheetId="45" hidden="1">#REF!</definedName>
    <definedName name="_Parse_Out" localSheetId="27" hidden="1">#REF!</definedName>
    <definedName name="_Parse_Out" localSheetId="28" hidden="1">#REF!</definedName>
    <definedName name="_Parse_Out" localSheetId="29" hidden="1">#REF!</definedName>
    <definedName name="_Parse_Out" localSheetId="66" hidden="1">#REF!</definedName>
    <definedName name="_Parse_Out" hidden="1">#REF!</definedName>
    <definedName name="_PC1" localSheetId="70">#REF!</definedName>
    <definedName name="_PC1" localSheetId="52">#REF!</definedName>
    <definedName name="_PC1" localSheetId="58">#REF!</definedName>
    <definedName name="_PC1" localSheetId="57">#REF!</definedName>
    <definedName name="_PC1" localSheetId="64">#REF!</definedName>
    <definedName name="_PC1" localSheetId="67">#REF!</definedName>
    <definedName name="_PC1" localSheetId="65">#REF!</definedName>
    <definedName name="_PC1" localSheetId="68">#REF!</definedName>
    <definedName name="_PC1" localSheetId="71">#REF!</definedName>
    <definedName name="_PC1" localSheetId="44">#REF!</definedName>
    <definedName name="_PC1" localSheetId="45">#REF!</definedName>
    <definedName name="_PC1" localSheetId="27">#REF!</definedName>
    <definedName name="_PC1" localSheetId="28">#REF!</definedName>
    <definedName name="_PC1" localSheetId="29">#REF!</definedName>
    <definedName name="_PC1" localSheetId="66">#REF!</definedName>
    <definedName name="_PC1">#REF!</definedName>
    <definedName name="_PG1">'[5]Financial Estimates'!$A$7:$B$108</definedName>
    <definedName name="_PG2" localSheetId="70">#REF!</definedName>
    <definedName name="_PG2" localSheetId="52">#REF!</definedName>
    <definedName name="_PG2" localSheetId="58">#REF!</definedName>
    <definedName name="_PG2" localSheetId="56">#REF!</definedName>
    <definedName name="_PG2" localSheetId="57">#REF!</definedName>
    <definedName name="_PG2" localSheetId="64">#REF!</definedName>
    <definedName name="_PG2" localSheetId="67">#REF!</definedName>
    <definedName name="_PG2" localSheetId="65">#REF!</definedName>
    <definedName name="_PG2" localSheetId="68">#REF!</definedName>
    <definedName name="_PG2" localSheetId="71">#REF!</definedName>
    <definedName name="_PG2" localSheetId="44">#REF!</definedName>
    <definedName name="_PG2" localSheetId="45">#REF!</definedName>
    <definedName name="_PG2" localSheetId="17">#REF!</definedName>
    <definedName name="_PG2" localSheetId="27">#REF!</definedName>
    <definedName name="_PG2" localSheetId="72">#REF!</definedName>
    <definedName name="_PG2" localSheetId="28">#REF!</definedName>
    <definedName name="_PG2" localSheetId="29">#REF!</definedName>
    <definedName name="_PG2" localSheetId="66">#REF!</definedName>
    <definedName name="_PG2">#REF!</definedName>
    <definedName name="_PG3" localSheetId="70">#REF!</definedName>
    <definedName name="_PG3" localSheetId="52">#REF!</definedName>
    <definedName name="_PG3" localSheetId="58">#REF!</definedName>
    <definedName name="_PG3" localSheetId="57">#REF!</definedName>
    <definedName name="_PG3" localSheetId="64">#REF!</definedName>
    <definedName name="_PG3" localSheetId="67">#REF!</definedName>
    <definedName name="_PG3" localSheetId="65">#REF!</definedName>
    <definedName name="_PG3" localSheetId="68">#REF!</definedName>
    <definedName name="_PG3" localSheetId="71">#REF!</definedName>
    <definedName name="_PG3" localSheetId="44">#REF!</definedName>
    <definedName name="_PG3" localSheetId="45">#REF!</definedName>
    <definedName name="_PG3" localSheetId="17">#REF!</definedName>
    <definedName name="_PG3" localSheetId="27">#REF!</definedName>
    <definedName name="_PG3" localSheetId="72">#REF!</definedName>
    <definedName name="_PG3" localSheetId="28">#REF!</definedName>
    <definedName name="_PG3" localSheetId="29">#REF!</definedName>
    <definedName name="_PG3" localSheetId="66">#REF!</definedName>
    <definedName name="_PG3">#REF!</definedName>
    <definedName name="_PG5">'[5]Financial Estimates'!$A$271:$D$342</definedName>
    <definedName name="_pg6">'[7]Financial Estimates'!$A$271:$D$342</definedName>
    <definedName name="_pg7" localSheetId="70">'[7]Financial Estimates'!#REF!</definedName>
    <definedName name="_pg7" localSheetId="52">'[7]Financial Estimates'!#REF!</definedName>
    <definedName name="_pg7" localSheetId="58">'[7]Financial Estimates'!#REF!</definedName>
    <definedName name="_pg7" localSheetId="56">'[7]Financial Estimates'!#REF!</definedName>
    <definedName name="_pg7" localSheetId="57">'[7]Financial Estimates'!#REF!</definedName>
    <definedName name="_pg7" localSheetId="64">'[7]Financial Estimates'!#REF!</definedName>
    <definedName name="_pg7" localSheetId="67">'[7]Financial Estimates'!#REF!</definedName>
    <definedName name="_pg7" localSheetId="65">'[7]Financial Estimates'!#REF!</definedName>
    <definedName name="_pg7" localSheetId="68">'[7]Financial Estimates'!#REF!</definedName>
    <definedName name="_pg7" localSheetId="71">'[7]Financial Estimates'!#REF!</definedName>
    <definedName name="_pg7" localSheetId="44">'[7]Financial Estimates'!#REF!</definedName>
    <definedName name="_pg7" localSheetId="45">'[7]Financial Estimates'!#REF!</definedName>
    <definedName name="_pg7" localSheetId="17">'[7]Financial Estimates'!#REF!</definedName>
    <definedName name="_pg7" localSheetId="27">'[7]Financial Estimates'!#REF!</definedName>
    <definedName name="_pg7" localSheetId="72">'[7]Financial Estimates'!#REF!</definedName>
    <definedName name="_pg7" localSheetId="28">'[7]Financial Estimates'!#REF!</definedName>
    <definedName name="_pg7" localSheetId="29">'[7]Financial Estimates'!#REF!</definedName>
    <definedName name="_pg7" localSheetId="66">'[7]Financial Estimates'!#REF!</definedName>
    <definedName name="_pg7">'[7]Financial Estimates'!#REF!</definedName>
    <definedName name="_QTY1">#N/A</definedName>
    <definedName name="_QTY2">#N/A</definedName>
    <definedName name="_QTY3">#N/A</definedName>
    <definedName name="_QTY4">#N/A</definedName>
    <definedName name="_RE100" localSheetId="70">#REF!</definedName>
    <definedName name="_RE100" localSheetId="52">#REF!</definedName>
    <definedName name="_RE100" localSheetId="58">#REF!</definedName>
    <definedName name="_RE100" localSheetId="56">#REF!</definedName>
    <definedName name="_RE100" localSheetId="57">#REF!</definedName>
    <definedName name="_RE100" localSheetId="64">#REF!</definedName>
    <definedName name="_RE100" localSheetId="67">#REF!</definedName>
    <definedName name="_RE100" localSheetId="65">#REF!</definedName>
    <definedName name="_RE100" localSheetId="68">#REF!</definedName>
    <definedName name="_RE100" localSheetId="71">#REF!</definedName>
    <definedName name="_RE100" localSheetId="44">#REF!</definedName>
    <definedName name="_RE100" localSheetId="45">#REF!</definedName>
    <definedName name="_RE100" localSheetId="17">#REF!</definedName>
    <definedName name="_RE100" localSheetId="27">#REF!</definedName>
    <definedName name="_RE100" localSheetId="72">#REF!</definedName>
    <definedName name="_RE100" localSheetId="28">#REF!</definedName>
    <definedName name="_RE100" localSheetId="29">#REF!</definedName>
    <definedName name="_RE100" localSheetId="66">#REF!</definedName>
    <definedName name="_RE100">#REF!</definedName>
    <definedName name="_RE104" localSheetId="70">#REF!</definedName>
    <definedName name="_RE104" localSheetId="52">#REF!</definedName>
    <definedName name="_RE104" localSheetId="58">#REF!</definedName>
    <definedName name="_RE104" localSheetId="57">#REF!</definedName>
    <definedName name="_RE104" localSheetId="64">#REF!</definedName>
    <definedName name="_RE104" localSheetId="67">#REF!</definedName>
    <definedName name="_RE104" localSheetId="65">#REF!</definedName>
    <definedName name="_RE104" localSheetId="68">#REF!</definedName>
    <definedName name="_RE104" localSheetId="71">#REF!</definedName>
    <definedName name="_RE104" localSheetId="44">#REF!</definedName>
    <definedName name="_RE104" localSheetId="45">#REF!</definedName>
    <definedName name="_RE104" localSheetId="17">#REF!</definedName>
    <definedName name="_RE104" localSheetId="27">#REF!</definedName>
    <definedName name="_RE104" localSheetId="72">#REF!</definedName>
    <definedName name="_RE104" localSheetId="28">#REF!</definedName>
    <definedName name="_RE104" localSheetId="29">#REF!</definedName>
    <definedName name="_RE104" localSheetId="66">#REF!</definedName>
    <definedName name="_RE104">#REF!</definedName>
    <definedName name="_RE112" localSheetId="70">#REF!</definedName>
    <definedName name="_RE112" localSheetId="52">#REF!</definedName>
    <definedName name="_RE112" localSheetId="58">#REF!</definedName>
    <definedName name="_RE112" localSheetId="57">#REF!</definedName>
    <definedName name="_RE112" localSheetId="64">#REF!</definedName>
    <definedName name="_RE112" localSheetId="67">#REF!</definedName>
    <definedName name="_RE112" localSheetId="65">#REF!</definedName>
    <definedName name="_RE112" localSheetId="68">#REF!</definedName>
    <definedName name="_RE112" localSheetId="71">#REF!</definedName>
    <definedName name="_RE112" localSheetId="44">#REF!</definedName>
    <definedName name="_RE112" localSheetId="45">#REF!</definedName>
    <definedName name="_RE112" localSheetId="17">#REF!</definedName>
    <definedName name="_RE112" localSheetId="27">#REF!</definedName>
    <definedName name="_RE112" localSheetId="72">#REF!</definedName>
    <definedName name="_RE112" localSheetId="28">#REF!</definedName>
    <definedName name="_RE112" localSheetId="29">#REF!</definedName>
    <definedName name="_RE112" localSheetId="66">#REF!</definedName>
    <definedName name="_RE112">#REF!</definedName>
    <definedName name="_RE26" localSheetId="70">#REF!</definedName>
    <definedName name="_RE26" localSheetId="52">#REF!</definedName>
    <definedName name="_RE26" localSheetId="58">#REF!</definedName>
    <definedName name="_RE26" localSheetId="57">#REF!</definedName>
    <definedName name="_RE26" localSheetId="64">#REF!</definedName>
    <definedName name="_RE26" localSheetId="67">#REF!</definedName>
    <definedName name="_RE26" localSheetId="65">#REF!</definedName>
    <definedName name="_RE26" localSheetId="68">#REF!</definedName>
    <definedName name="_RE26" localSheetId="71">#REF!</definedName>
    <definedName name="_RE26" localSheetId="44">#REF!</definedName>
    <definedName name="_RE26" localSheetId="45">#REF!</definedName>
    <definedName name="_RE26" localSheetId="27">#REF!</definedName>
    <definedName name="_RE26" localSheetId="28">#REF!</definedName>
    <definedName name="_RE26" localSheetId="29">#REF!</definedName>
    <definedName name="_RE26" localSheetId="66">#REF!</definedName>
    <definedName name="_RE26">#REF!</definedName>
    <definedName name="_RE28" localSheetId="70">#REF!</definedName>
    <definedName name="_RE28" localSheetId="52">#REF!</definedName>
    <definedName name="_RE28" localSheetId="58">#REF!</definedName>
    <definedName name="_RE28" localSheetId="57">#REF!</definedName>
    <definedName name="_RE28" localSheetId="64">#REF!</definedName>
    <definedName name="_RE28" localSheetId="67">#REF!</definedName>
    <definedName name="_RE28" localSheetId="65">#REF!</definedName>
    <definedName name="_RE28" localSheetId="68">#REF!</definedName>
    <definedName name="_RE28" localSheetId="71">#REF!</definedName>
    <definedName name="_RE28" localSheetId="44">#REF!</definedName>
    <definedName name="_RE28" localSheetId="45">#REF!</definedName>
    <definedName name="_RE28" localSheetId="27">#REF!</definedName>
    <definedName name="_RE28" localSheetId="28">#REF!</definedName>
    <definedName name="_RE28" localSheetId="29">#REF!</definedName>
    <definedName name="_RE28" localSheetId="66">#REF!</definedName>
    <definedName name="_RE28">#REF!</definedName>
    <definedName name="_RE30" localSheetId="70">#REF!</definedName>
    <definedName name="_RE30" localSheetId="52">#REF!</definedName>
    <definedName name="_RE30" localSheetId="58">#REF!</definedName>
    <definedName name="_RE30" localSheetId="57">#REF!</definedName>
    <definedName name="_RE30" localSheetId="64">#REF!</definedName>
    <definedName name="_RE30" localSheetId="67">#REF!</definedName>
    <definedName name="_RE30" localSheetId="65">#REF!</definedName>
    <definedName name="_RE30" localSheetId="68">#REF!</definedName>
    <definedName name="_RE30" localSheetId="71">#REF!</definedName>
    <definedName name="_RE30" localSheetId="44">#REF!</definedName>
    <definedName name="_RE30" localSheetId="45">#REF!</definedName>
    <definedName name="_RE30" localSheetId="27">#REF!</definedName>
    <definedName name="_RE30" localSheetId="28">#REF!</definedName>
    <definedName name="_RE30" localSheetId="29">#REF!</definedName>
    <definedName name="_RE30" localSheetId="66">#REF!</definedName>
    <definedName name="_RE30">#REF!</definedName>
    <definedName name="_RE32" localSheetId="70">#REF!</definedName>
    <definedName name="_RE32" localSheetId="52">#REF!</definedName>
    <definedName name="_RE32" localSheetId="58">#REF!</definedName>
    <definedName name="_RE32" localSheetId="57">#REF!</definedName>
    <definedName name="_RE32" localSheetId="64">#REF!</definedName>
    <definedName name="_RE32" localSheetId="67">#REF!</definedName>
    <definedName name="_RE32" localSheetId="65">#REF!</definedName>
    <definedName name="_RE32" localSheetId="68">#REF!</definedName>
    <definedName name="_RE32" localSheetId="71">#REF!</definedName>
    <definedName name="_RE32" localSheetId="44">#REF!</definedName>
    <definedName name="_RE32" localSheetId="45">#REF!</definedName>
    <definedName name="_RE32" localSheetId="27">#REF!</definedName>
    <definedName name="_RE32" localSheetId="28">#REF!</definedName>
    <definedName name="_RE32" localSheetId="29">#REF!</definedName>
    <definedName name="_RE32" localSheetId="66">#REF!</definedName>
    <definedName name="_RE32">#REF!</definedName>
    <definedName name="_RE34" localSheetId="70">#REF!</definedName>
    <definedName name="_RE34" localSheetId="52">#REF!</definedName>
    <definedName name="_RE34" localSheetId="58">#REF!</definedName>
    <definedName name="_RE34" localSheetId="57">#REF!</definedName>
    <definedName name="_RE34" localSheetId="64">#REF!</definedName>
    <definedName name="_RE34" localSheetId="67">#REF!</definedName>
    <definedName name="_RE34" localSheetId="65">#REF!</definedName>
    <definedName name="_RE34" localSheetId="68">#REF!</definedName>
    <definedName name="_RE34" localSheetId="71">#REF!</definedName>
    <definedName name="_RE34" localSheetId="44">#REF!</definedName>
    <definedName name="_RE34" localSheetId="45">#REF!</definedName>
    <definedName name="_RE34" localSheetId="27">#REF!</definedName>
    <definedName name="_RE34" localSheetId="28">#REF!</definedName>
    <definedName name="_RE34" localSheetId="29">#REF!</definedName>
    <definedName name="_RE34" localSheetId="66">#REF!</definedName>
    <definedName name="_RE34">#REF!</definedName>
    <definedName name="_RE36" localSheetId="70">#REF!</definedName>
    <definedName name="_RE36" localSheetId="52">#REF!</definedName>
    <definedName name="_RE36" localSheetId="58">#REF!</definedName>
    <definedName name="_RE36" localSheetId="57">#REF!</definedName>
    <definedName name="_RE36" localSheetId="64">#REF!</definedName>
    <definedName name="_RE36" localSheetId="67">#REF!</definedName>
    <definedName name="_RE36" localSheetId="65">#REF!</definedName>
    <definedName name="_RE36" localSheetId="68">#REF!</definedName>
    <definedName name="_RE36" localSheetId="71">#REF!</definedName>
    <definedName name="_RE36" localSheetId="44">#REF!</definedName>
    <definedName name="_RE36" localSheetId="45">#REF!</definedName>
    <definedName name="_RE36" localSheetId="27">#REF!</definedName>
    <definedName name="_RE36" localSheetId="28">#REF!</definedName>
    <definedName name="_RE36" localSheetId="29">#REF!</definedName>
    <definedName name="_RE36" localSheetId="66">#REF!</definedName>
    <definedName name="_RE36">#REF!</definedName>
    <definedName name="_RE38" localSheetId="70">#REF!</definedName>
    <definedName name="_RE38" localSheetId="52">#REF!</definedName>
    <definedName name="_RE38" localSheetId="58">#REF!</definedName>
    <definedName name="_RE38" localSheetId="57">#REF!</definedName>
    <definedName name="_RE38" localSheetId="64">#REF!</definedName>
    <definedName name="_RE38" localSheetId="67">#REF!</definedName>
    <definedName name="_RE38" localSheetId="65">#REF!</definedName>
    <definedName name="_RE38" localSheetId="68">#REF!</definedName>
    <definedName name="_RE38" localSheetId="71">#REF!</definedName>
    <definedName name="_RE38" localSheetId="44">#REF!</definedName>
    <definedName name="_RE38" localSheetId="45">#REF!</definedName>
    <definedName name="_RE38" localSheetId="27">#REF!</definedName>
    <definedName name="_RE38" localSheetId="28">#REF!</definedName>
    <definedName name="_RE38" localSheetId="29">#REF!</definedName>
    <definedName name="_RE38" localSheetId="66">#REF!</definedName>
    <definedName name="_RE38">#REF!</definedName>
    <definedName name="_RE40" localSheetId="70">#REF!</definedName>
    <definedName name="_RE40" localSheetId="52">#REF!</definedName>
    <definedName name="_RE40" localSheetId="58">#REF!</definedName>
    <definedName name="_RE40" localSheetId="57">#REF!</definedName>
    <definedName name="_RE40" localSheetId="64">#REF!</definedName>
    <definedName name="_RE40" localSheetId="67">#REF!</definedName>
    <definedName name="_RE40" localSheetId="65">#REF!</definedName>
    <definedName name="_RE40" localSheetId="68">#REF!</definedName>
    <definedName name="_RE40" localSheetId="71">#REF!</definedName>
    <definedName name="_RE40" localSheetId="44">#REF!</definedName>
    <definedName name="_RE40" localSheetId="45">#REF!</definedName>
    <definedName name="_RE40" localSheetId="27">#REF!</definedName>
    <definedName name="_RE40" localSheetId="28">#REF!</definedName>
    <definedName name="_RE40" localSheetId="29">#REF!</definedName>
    <definedName name="_RE40" localSheetId="66">#REF!</definedName>
    <definedName name="_RE40">#REF!</definedName>
    <definedName name="_RE42" localSheetId="70">#REF!</definedName>
    <definedName name="_RE42" localSheetId="52">#REF!</definedName>
    <definedName name="_RE42" localSheetId="58">#REF!</definedName>
    <definedName name="_RE42" localSheetId="57">#REF!</definedName>
    <definedName name="_RE42" localSheetId="64">#REF!</definedName>
    <definedName name="_RE42" localSheetId="67">#REF!</definedName>
    <definedName name="_RE42" localSheetId="65">#REF!</definedName>
    <definedName name="_RE42" localSheetId="68">#REF!</definedName>
    <definedName name="_RE42" localSheetId="71">#REF!</definedName>
    <definedName name="_RE42" localSheetId="44">#REF!</definedName>
    <definedName name="_RE42" localSheetId="45">#REF!</definedName>
    <definedName name="_RE42" localSheetId="27">#REF!</definedName>
    <definedName name="_RE42" localSheetId="28">#REF!</definedName>
    <definedName name="_RE42" localSheetId="29">#REF!</definedName>
    <definedName name="_RE42" localSheetId="66">#REF!</definedName>
    <definedName name="_RE42">#REF!</definedName>
    <definedName name="_RE44" localSheetId="70">#REF!</definedName>
    <definedName name="_RE44" localSheetId="52">#REF!</definedName>
    <definedName name="_RE44" localSheetId="58">#REF!</definedName>
    <definedName name="_RE44" localSheetId="57">#REF!</definedName>
    <definedName name="_RE44" localSheetId="64">#REF!</definedName>
    <definedName name="_RE44" localSheetId="67">#REF!</definedName>
    <definedName name="_RE44" localSheetId="65">#REF!</definedName>
    <definedName name="_RE44" localSheetId="68">#REF!</definedName>
    <definedName name="_RE44" localSheetId="71">#REF!</definedName>
    <definedName name="_RE44" localSheetId="44">#REF!</definedName>
    <definedName name="_RE44" localSheetId="45">#REF!</definedName>
    <definedName name="_RE44" localSheetId="27">#REF!</definedName>
    <definedName name="_RE44" localSheetId="28">#REF!</definedName>
    <definedName name="_RE44" localSheetId="29">#REF!</definedName>
    <definedName name="_RE44" localSheetId="66">#REF!</definedName>
    <definedName name="_RE44">#REF!</definedName>
    <definedName name="_RE48" localSheetId="70">#REF!</definedName>
    <definedName name="_RE48" localSheetId="52">#REF!</definedName>
    <definedName name="_RE48" localSheetId="58">#REF!</definedName>
    <definedName name="_RE48" localSheetId="57">#REF!</definedName>
    <definedName name="_RE48" localSheetId="64">#REF!</definedName>
    <definedName name="_RE48" localSheetId="67">#REF!</definedName>
    <definedName name="_RE48" localSheetId="65">#REF!</definedName>
    <definedName name="_RE48" localSheetId="68">#REF!</definedName>
    <definedName name="_RE48" localSheetId="71">#REF!</definedName>
    <definedName name="_RE48" localSheetId="44">#REF!</definedName>
    <definedName name="_RE48" localSheetId="45">#REF!</definedName>
    <definedName name="_RE48" localSheetId="27">#REF!</definedName>
    <definedName name="_RE48" localSheetId="28">#REF!</definedName>
    <definedName name="_RE48" localSheetId="29">#REF!</definedName>
    <definedName name="_RE48" localSheetId="66">#REF!</definedName>
    <definedName name="_RE48">#REF!</definedName>
    <definedName name="_RE52" localSheetId="70">#REF!</definedName>
    <definedName name="_RE52" localSheetId="52">#REF!</definedName>
    <definedName name="_RE52" localSheetId="58">#REF!</definedName>
    <definedName name="_RE52" localSheetId="57">#REF!</definedName>
    <definedName name="_RE52" localSheetId="64">#REF!</definedName>
    <definedName name="_RE52" localSheetId="67">#REF!</definedName>
    <definedName name="_RE52" localSheetId="65">#REF!</definedName>
    <definedName name="_RE52" localSheetId="68">#REF!</definedName>
    <definedName name="_RE52" localSheetId="71">#REF!</definedName>
    <definedName name="_RE52" localSheetId="44">#REF!</definedName>
    <definedName name="_RE52" localSheetId="45">#REF!</definedName>
    <definedName name="_RE52" localSheetId="27">#REF!</definedName>
    <definedName name="_RE52" localSheetId="28">#REF!</definedName>
    <definedName name="_RE52" localSheetId="29">#REF!</definedName>
    <definedName name="_RE52" localSheetId="66">#REF!</definedName>
    <definedName name="_RE52">#REF!</definedName>
    <definedName name="_RE56" localSheetId="70">#REF!</definedName>
    <definedName name="_RE56" localSheetId="52">#REF!</definedName>
    <definedName name="_RE56" localSheetId="58">#REF!</definedName>
    <definedName name="_RE56" localSheetId="57">#REF!</definedName>
    <definedName name="_RE56" localSheetId="64">#REF!</definedName>
    <definedName name="_RE56" localSheetId="67">#REF!</definedName>
    <definedName name="_RE56" localSheetId="65">#REF!</definedName>
    <definedName name="_RE56" localSheetId="68">#REF!</definedName>
    <definedName name="_RE56" localSheetId="71">#REF!</definedName>
    <definedName name="_RE56" localSheetId="44">#REF!</definedName>
    <definedName name="_RE56" localSheetId="45">#REF!</definedName>
    <definedName name="_RE56" localSheetId="27">#REF!</definedName>
    <definedName name="_RE56" localSheetId="28">#REF!</definedName>
    <definedName name="_RE56" localSheetId="29">#REF!</definedName>
    <definedName name="_RE56" localSheetId="66">#REF!</definedName>
    <definedName name="_RE56">#REF!</definedName>
    <definedName name="_RE60" localSheetId="70">#REF!</definedName>
    <definedName name="_RE60" localSheetId="52">#REF!</definedName>
    <definedName name="_RE60" localSheetId="58">#REF!</definedName>
    <definedName name="_RE60" localSheetId="57">#REF!</definedName>
    <definedName name="_RE60" localSheetId="64">#REF!</definedName>
    <definedName name="_RE60" localSheetId="67">#REF!</definedName>
    <definedName name="_RE60" localSheetId="65">#REF!</definedName>
    <definedName name="_RE60" localSheetId="68">#REF!</definedName>
    <definedName name="_RE60" localSheetId="71">#REF!</definedName>
    <definedName name="_RE60" localSheetId="44">#REF!</definedName>
    <definedName name="_RE60" localSheetId="45">#REF!</definedName>
    <definedName name="_RE60" localSheetId="27">#REF!</definedName>
    <definedName name="_RE60" localSheetId="28">#REF!</definedName>
    <definedName name="_RE60" localSheetId="29">#REF!</definedName>
    <definedName name="_RE60" localSheetId="66">#REF!</definedName>
    <definedName name="_RE60">#REF!</definedName>
    <definedName name="_RE64" localSheetId="70">#REF!</definedName>
    <definedName name="_RE64" localSheetId="52">#REF!</definedName>
    <definedName name="_RE64" localSheetId="58">#REF!</definedName>
    <definedName name="_RE64" localSheetId="57">#REF!</definedName>
    <definedName name="_RE64" localSheetId="64">#REF!</definedName>
    <definedName name="_RE64" localSheetId="67">#REF!</definedName>
    <definedName name="_RE64" localSheetId="65">#REF!</definedName>
    <definedName name="_RE64" localSheetId="68">#REF!</definedName>
    <definedName name="_RE64" localSheetId="71">#REF!</definedName>
    <definedName name="_RE64" localSheetId="44">#REF!</definedName>
    <definedName name="_RE64" localSheetId="45">#REF!</definedName>
    <definedName name="_RE64" localSheetId="27">#REF!</definedName>
    <definedName name="_RE64" localSheetId="28">#REF!</definedName>
    <definedName name="_RE64" localSheetId="29">#REF!</definedName>
    <definedName name="_RE64" localSheetId="66">#REF!</definedName>
    <definedName name="_RE64">#REF!</definedName>
    <definedName name="_RE68" localSheetId="70">#REF!</definedName>
    <definedName name="_RE68" localSheetId="52">#REF!</definedName>
    <definedName name="_RE68" localSheetId="58">#REF!</definedName>
    <definedName name="_RE68" localSheetId="57">#REF!</definedName>
    <definedName name="_RE68" localSheetId="64">#REF!</definedName>
    <definedName name="_RE68" localSheetId="67">#REF!</definedName>
    <definedName name="_RE68" localSheetId="65">#REF!</definedName>
    <definedName name="_RE68" localSheetId="68">#REF!</definedName>
    <definedName name="_RE68" localSheetId="71">#REF!</definedName>
    <definedName name="_RE68" localSheetId="44">#REF!</definedName>
    <definedName name="_RE68" localSheetId="45">#REF!</definedName>
    <definedName name="_RE68" localSheetId="27">#REF!</definedName>
    <definedName name="_RE68" localSheetId="28">#REF!</definedName>
    <definedName name="_RE68" localSheetId="29">#REF!</definedName>
    <definedName name="_RE68" localSheetId="66">#REF!</definedName>
    <definedName name="_RE68">#REF!</definedName>
    <definedName name="_RE72" localSheetId="70">#REF!</definedName>
    <definedName name="_RE72" localSheetId="52">#REF!</definedName>
    <definedName name="_RE72" localSheetId="58">#REF!</definedName>
    <definedName name="_RE72" localSheetId="57">#REF!</definedName>
    <definedName name="_RE72" localSheetId="64">#REF!</definedName>
    <definedName name="_RE72" localSheetId="67">#REF!</definedName>
    <definedName name="_RE72" localSheetId="65">#REF!</definedName>
    <definedName name="_RE72" localSheetId="68">#REF!</definedName>
    <definedName name="_RE72" localSheetId="71">#REF!</definedName>
    <definedName name="_RE72" localSheetId="44">#REF!</definedName>
    <definedName name="_RE72" localSheetId="45">#REF!</definedName>
    <definedName name="_RE72" localSheetId="27">#REF!</definedName>
    <definedName name="_RE72" localSheetId="28">#REF!</definedName>
    <definedName name="_RE72" localSheetId="29">#REF!</definedName>
    <definedName name="_RE72" localSheetId="66">#REF!</definedName>
    <definedName name="_RE72">#REF!</definedName>
    <definedName name="_RE76" localSheetId="70">#REF!</definedName>
    <definedName name="_RE76" localSheetId="52">#REF!</definedName>
    <definedName name="_RE76" localSheetId="58">#REF!</definedName>
    <definedName name="_RE76" localSheetId="57">#REF!</definedName>
    <definedName name="_RE76" localSheetId="64">#REF!</definedName>
    <definedName name="_RE76" localSheetId="67">#REF!</definedName>
    <definedName name="_RE76" localSheetId="65">#REF!</definedName>
    <definedName name="_RE76" localSheetId="68">#REF!</definedName>
    <definedName name="_RE76" localSheetId="71">#REF!</definedName>
    <definedName name="_RE76" localSheetId="44">#REF!</definedName>
    <definedName name="_RE76" localSheetId="45">#REF!</definedName>
    <definedName name="_RE76" localSheetId="27">#REF!</definedName>
    <definedName name="_RE76" localSheetId="28">#REF!</definedName>
    <definedName name="_RE76" localSheetId="29">#REF!</definedName>
    <definedName name="_RE76" localSheetId="66">#REF!</definedName>
    <definedName name="_RE76">#REF!</definedName>
    <definedName name="_RE80" localSheetId="70">#REF!</definedName>
    <definedName name="_RE80" localSheetId="52">#REF!</definedName>
    <definedName name="_RE80" localSheetId="58">#REF!</definedName>
    <definedName name="_RE80" localSheetId="57">#REF!</definedName>
    <definedName name="_RE80" localSheetId="64">#REF!</definedName>
    <definedName name="_RE80" localSheetId="67">#REF!</definedName>
    <definedName name="_RE80" localSheetId="65">#REF!</definedName>
    <definedName name="_RE80" localSheetId="68">#REF!</definedName>
    <definedName name="_RE80" localSheetId="71">#REF!</definedName>
    <definedName name="_RE80" localSheetId="44">#REF!</definedName>
    <definedName name="_RE80" localSheetId="45">#REF!</definedName>
    <definedName name="_RE80" localSheetId="27">#REF!</definedName>
    <definedName name="_RE80" localSheetId="28">#REF!</definedName>
    <definedName name="_RE80" localSheetId="29">#REF!</definedName>
    <definedName name="_RE80" localSheetId="66">#REF!</definedName>
    <definedName name="_RE80">#REF!</definedName>
    <definedName name="_RE88" localSheetId="70">#REF!</definedName>
    <definedName name="_RE88" localSheetId="52">#REF!</definedName>
    <definedName name="_RE88" localSheetId="58">#REF!</definedName>
    <definedName name="_RE88" localSheetId="57">#REF!</definedName>
    <definedName name="_RE88" localSheetId="64">#REF!</definedName>
    <definedName name="_RE88" localSheetId="67">#REF!</definedName>
    <definedName name="_RE88" localSheetId="65">#REF!</definedName>
    <definedName name="_RE88" localSheetId="68">#REF!</definedName>
    <definedName name="_RE88" localSheetId="71">#REF!</definedName>
    <definedName name="_RE88" localSheetId="44">#REF!</definedName>
    <definedName name="_RE88" localSheetId="45">#REF!</definedName>
    <definedName name="_RE88" localSheetId="27">#REF!</definedName>
    <definedName name="_RE88" localSheetId="28">#REF!</definedName>
    <definedName name="_RE88" localSheetId="29">#REF!</definedName>
    <definedName name="_RE88" localSheetId="66">#REF!</definedName>
    <definedName name="_RE88">#REF!</definedName>
    <definedName name="_RE92" localSheetId="70">#REF!</definedName>
    <definedName name="_RE92" localSheetId="52">#REF!</definedName>
    <definedName name="_RE92" localSheetId="58">#REF!</definedName>
    <definedName name="_RE92" localSheetId="57">#REF!</definedName>
    <definedName name="_RE92" localSheetId="64">#REF!</definedName>
    <definedName name="_RE92" localSheetId="67">#REF!</definedName>
    <definedName name="_RE92" localSheetId="65">#REF!</definedName>
    <definedName name="_RE92" localSheetId="68">#REF!</definedName>
    <definedName name="_RE92" localSheetId="71">#REF!</definedName>
    <definedName name="_RE92" localSheetId="44">#REF!</definedName>
    <definedName name="_RE92" localSheetId="45">#REF!</definedName>
    <definedName name="_RE92" localSheetId="27">#REF!</definedName>
    <definedName name="_RE92" localSheetId="28">#REF!</definedName>
    <definedName name="_RE92" localSheetId="29">#REF!</definedName>
    <definedName name="_RE92" localSheetId="66">#REF!</definedName>
    <definedName name="_RE92">#REF!</definedName>
    <definedName name="_RE96" localSheetId="70">#REF!</definedName>
    <definedName name="_RE96" localSheetId="52">#REF!</definedName>
    <definedName name="_RE96" localSheetId="58">#REF!</definedName>
    <definedName name="_RE96" localSheetId="57">#REF!</definedName>
    <definedName name="_RE96" localSheetId="64">#REF!</definedName>
    <definedName name="_RE96" localSheetId="67">#REF!</definedName>
    <definedName name="_RE96" localSheetId="65">#REF!</definedName>
    <definedName name="_RE96" localSheetId="68">#REF!</definedName>
    <definedName name="_RE96" localSheetId="71">#REF!</definedName>
    <definedName name="_RE96" localSheetId="44">#REF!</definedName>
    <definedName name="_RE96" localSheetId="45">#REF!</definedName>
    <definedName name="_RE96" localSheetId="27">#REF!</definedName>
    <definedName name="_RE96" localSheetId="28">#REF!</definedName>
    <definedName name="_RE96" localSheetId="29">#REF!</definedName>
    <definedName name="_RE96" localSheetId="66">#REF!</definedName>
    <definedName name="_RE96">#REF!</definedName>
    <definedName name="_Regression_Int" hidden="1">1</definedName>
    <definedName name="_RES_GR" localSheetId="70">#REF!</definedName>
    <definedName name="_RES_GR" localSheetId="52">#REF!</definedName>
    <definedName name="_RES_GR" localSheetId="58">#REF!</definedName>
    <definedName name="_RES_GR" localSheetId="56">#REF!</definedName>
    <definedName name="_RES_GR" localSheetId="57">#REF!</definedName>
    <definedName name="_RES_GR" localSheetId="64">#REF!</definedName>
    <definedName name="_RES_GR" localSheetId="67">#REF!</definedName>
    <definedName name="_RES_GR" localSheetId="65">#REF!</definedName>
    <definedName name="_RES_GR" localSheetId="68">#REF!</definedName>
    <definedName name="_RES_GR" localSheetId="71">#REF!</definedName>
    <definedName name="_RES_GR" localSheetId="44">#REF!</definedName>
    <definedName name="_RES_GR" localSheetId="45">#REF!</definedName>
    <definedName name="_RES_GR" localSheetId="17">#REF!</definedName>
    <definedName name="_RES_GR" localSheetId="27">#REF!</definedName>
    <definedName name="_RES_GR" localSheetId="72">#REF!</definedName>
    <definedName name="_RES_GR" localSheetId="28">#REF!</definedName>
    <definedName name="_RES_GR" localSheetId="29">#REF!</definedName>
    <definedName name="_RES_GR" localSheetId="66">#REF!</definedName>
    <definedName name="_RES_GR">#REF!</definedName>
    <definedName name="_RLY_GR" localSheetId="70">#REF!</definedName>
    <definedName name="_RLY_GR" localSheetId="52">#REF!</definedName>
    <definedName name="_RLY_GR" localSheetId="58">#REF!</definedName>
    <definedName name="_RLY_GR" localSheetId="57">#REF!</definedName>
    <definedName name="_RLY_GR" localSheetId="64">#REF!</definedName>
    <definedName name="_RLY_GR" localSheetId="67">#REF!</definedName>
    <definedName name="_RLY_GR" localSheetId="65">#REF!</definedName>
    <definedName name="_RLY_GR" localSheetId="68">#REF!</definedName>
    <definedName name="_RLY_GR" localSheetId="71">#REF!</definedName>
    <definedName name="_RLY_GR" localSheetId="44">#REF!</definedName>
    <definedName name="_RLY_GR" localSheetId="45">#REF!</definedName>
    <definedName name="_RLY_GR" localSheetId="17">#REF!</definedName>
    <definedName name="_RLY_GR" localSheetId="27">#REF!</definedName>
    <definedName name="_RLY_GR" localSheetId="72">#REF!</definedName>
    <definedName name="_RLY_GR" localSheetId="28">#REF!</definedName>
    <definedName name="_RLY_GR" localSheetId="29">#REF!</definedName>
    <definedName name="_RLY_GR" localSheetId="66">#REF!</definedName>
    <definedName name="_RLY_GR">#REF!</definedName>
    <definedName name="_RMK1">#N/A</definedName>
    <definedName name="_RMK2">#N/A</definedName>
    <definedName name="_RR11" localSheetId="70">#REF!</definedName>
    <definedName name="_RR11" localSheetId="52">#REF!</definedName>
    <definedName name="_RR11" localSheetId="58">#REF!</definedName>
    <definedName name="_RR11" localSheetId="56">#REF!</definedName>
    <definedName name="_RR11" localSheetId="57">#REF!</definedName>
    <definedName name="_RR11" localSheetId="64">#REF!</definedName>
    <definedName name="_RR11" localSheetId="67">#REF!</definedName>
    <definedName name="_RR11" localSheetId="65">#REF!</definedName>
    <definedName name="_RR11" localSheetId="68">#REF!</definedName>
    <definedName name="_RR11" localSheetId="71">#REF!</definedName>
    <definedName name="_RR11" localSheetId="44">#REF!</definedName>
    <definedName name="_RR11" localSheetId="45">#REF!</definedName>
    <definedName name="_RR11" localSheetId="17">#REF!</definedName>
    <definedName name="_RR11" localSheetId="27">#REF!</definedName>
    <definedName name="_RR11" localSheetId="72">#REF!</definedName>
    <definedName name="_RR11" localSheetId="28">#REF!</definedName>
    <definedName name="_RR11" localSheetId="29">#REF!</definedName>
    <definedName name="_RR11" localSheetId="66">#REF!</definedName>
    <definedName name="_RR11">#REF!</definedName>
    <definedName name="_RR12" localSheetId="70">#REF!</definedName>
    <definedName name="_RR12" localSheetId="52">#REF!</definedName>
    <definedName name="_RR12" localSheetId="58">#REF!</definedName>
    <definedName name="_RR12" localSheetId="57">#REF!</definedName>
    <definedName name="_RR12" localSheetId="64">#REF!</definedName>
    <definedName name="_RR12" localSheetId="67">#REF!</definedName>
    <definedName name="_RR12" localSheetId="65">#REF!</definedName>
    <definedName name="_RR12" localSheetId="68">#REF!</definedName>
    <definedName name="_RR12" localSheetId="71">#REF!</definedName>
    <definedName name="_RR12" localSheetId="44">#REF!</definedName>
    <definedName name="_RR12" localSheetId="45">#REF!</definedName>
    <definedName name="_RR12" localSheetId="17">#REF!</definedName>
    <definedName name="_RR12" localSheetId="27">#REF!</definedName>
    <definedName name="_RR12" localSheetId="72">#REF!</definedName>
    <definedName name="_RR12" localSheetId="28">#REF!</definedName>
    <definedName name="_RR12" localSheetId="29">#REF!</definedName>
    <definedName name="_RR12" localSheetId="66">#REF!</definedName>
    <definedName name="_RR12">#REF!</definedName>
    <definedName name="_RR13" localSheetId="70">#REF!</definedName>
    <definedName name="_RR13" localSheetId="52">#REF!</definedName>
    <definedName name="_RR13" localSheetId="58">#REF!</definedName>
    <definedName name="_RR13" localSheetId="57">#REF!</definedName>
    <definedName name="_RR13" localSheetId="64">#REF!</definedName>
    <definedName name="_RR13" localSheetId="67">#REF!</definedName>
    <definedName name="_RR13" localSheetId="65">#REF!</definedName>
    <definedName name="_RR13" localSheetId="68">#REF!</definedName>
    <definedName name="_RR13" localSheetId="71">#REF!</definedName>
    <definedName name="_RR13" localSheetId="44">#REF!</definedName>
    <definedName name="_RR13" localSheetId="45">#REF!</definedName>
    <definedName name="_RR13" localSheetId="17">#REF!</definedName>
    <definedName name="_RR13" localSheetId="27">#REF!</definedName>
    <definedName name="_RR13" localSheetId="72">#REF!</definedName>
    <definedName name="_RR13" localSheetId="28">#REF!</definedName>
    <definedName name="_RR13" localSheetId="29">#REF!</definedName>
    <definedName name="_RR13" localSheetId="66">#REF!</definedName>
    <definedName name="_RR13">#REF!</definedName>
    <definedName name="_RR14" localSheetId="70">#REF!</definedName>
    <definedName name="_RR14" localSheetId="52">#REF!</definedName>
    <definedName name="_RR14" localSheetId="58">#REF!</definedName>
    <definedName name="_RR14" localSheetId="57">#REF!</definedName>
    <definedName name="_RR14" localSheetId="64">#REF!</definedName>
    <definedName name="_RR14" localSheetId="67">#REF!</definedName>
    <definedName name="_RR14" localSheetId="65">#REF!</definedName>
    <definedName name="_RR14" localSheetId="68">#REF!</definedName>
    <definedName name="_RR14" localSheetId="71">#REF!</definedName>
    <definedName name="_RR14" localSheetId="44">#REF!</definedName>
    <definedName name="_RR14" localSheetId="45">#REF!</definedName>
    <definedName name="_RR14" localSheetId="27">#REF!</definedName>
    <definedName name="_RR14" localSheetId="28">#REF!</definedName>
    <definedName name="_RR14" localSheetId="29">#REF!</definedName>
    <definedName name="_RR14" localSheetId="66">#REF!</definedName>
    <definedName name="_RR14">#REF!</definedName>
    <definedName name="_RR15" localSheetId="70">#REF!</definedName>
    <definedName name="_RR15" localSheetId="52">#REF!</definedName>
    <definedName name="_RR15" localSheetId="58">#REF!</definedName>
    <definedName name="_RR15" localSheetId="57">#REF!</definedName>
    <definedName name="_RR15" localSheetId="64">#REF!</definedName>
    <definedName name="_RR15" localSheetId="67">#REF!</definedName>
    <definedName name="_RR15" localSheetId="65">#REF!</definedName>
    <definedName name="_RR15" localSheetId="68">#REF!</definedName>
    <definedName name="_RR15" localSheetId="71">#REF!</definedName>
    <definedName name="_RR15" localSheetId="44">#REF!</definedName>
    <definedName name="_RR15" localSheetId="45">#REF!</definedName>
    <definedName name="_RR15" localSheetId="27">#REF!</definedName>
    <definedName name="_RR15" localSheetId="28">#REF!</definedName>
    <definedName name="_RR15" localSheetId="29">#REF!</definedName>
    <definedName name="_RR15" localSheetId="66">#REF!</definedName>
    <definedName name="_RR15">#REF!</definedName>
    <definedName name="_SCH6" localSheetId="70">'[25]04REL'!#REF!</definedName>
    <definedName name="_SCH6" localSheetId="52">'[25]04REL'!#REF!</definedName>
    <definedName name="_SCH6" localSheetId="58">'[25]04REL'!#REF!</definedName>
    <definedName name="_SCH6" localSheetId="57">'[25]04REL'!#REF!</definedName>
    <definedName name="_SCH6" localSheetId="64">'[25]04REL'!#REF!</definedName>
    <definedName name="_SCH6" localSheetId="67">'[25]04REL'!#REF!</definedName>
    <definedName name="_SCH6" localSheetId="65">'[25]04REL'!#REF!</definedName>
    <definedName name="_SCH6" localSheetId="30">'[25]04REL'!#REF!</definedName>
    <definedName name="_SCH6" localSheetId="68">'[25]04REL'!#REF!</definedName>
    <definedName name="_SCH6" localSheetId="71">'[25]04REL'!#REF!</definedName>
    <definedName name="_SCH6" localSheetId="44">'[25]04REL'!#REF!</definedName>
    <definedName name="_SCH6" localSheetId="45">'[25]04REL'!#REF!</definedName>
    <definedName name="_SCH6" localSheetId="27">'[25]04REL'!#REF!</definedName>
    <definedName name="_SCH6" localSheetId="28">'[25]04REL'!#REF!</definedName>
    <definedName name="_SCH6" localSheetId="29">'[25]04REL'!#REF!</definedName>
    <definedName name="_SCH6" localSheetId="66">'[25]04REL'!#REF!</definedName>
    <definedName name="_SCH6">'[25]04REL'!#REF!</definedName>
    <definedName name="_Sort" localSheetId="70" hidden="1">#REF!</definedName>
    <definedName name="_Sort" localSheetId="52" hidden="1">#REF!</definedName>
    <definedName name="_Sort" localSheetId="58" hidden="1">#REF!</definedName>
    <definedName name="_Sort" localSheetId="56" hidden="1">#REF!</definedName>
    <definedName name="_Sort" localSheetId="57" hidden="1">#REF!</definedName>
    <definedName name="_Sort" localSheetId="64" hidden="1">#REF!</definedName>
    <definedName name="_Sort" localSheetId="67" hidden="1">#REF!</definedName>
    <definedName name="_Sort" localSheetId="65" hidden="1">#REF!</definedName>
    <definedName name="_Sort" localSheetId="68" hidden="1">#REF!</definedName>
    <definedName name="_Sort" localSheetId="71" hidden="1">#REF!</definedName>
    <definedName name="_Sort" localSheetId="44" hidden="1">#REF!</definedName>
    <definedName name="_Sort" localSheetId="45" hidden="1">#REF!</definedName>
    <definedName name="_Sort" localSheetId="17" hidden="1">#REF!</definedName>
    <definedName name="_Sort" localSheetId="27" hidden="1">#REF!</definedName>
    <definedName name="_Sort" localSheetId="72" hidden="1">#REF!</definedName>
    <definedName name="_Sort" localSheetId="28" hidden="1">#REF!</definedName>
    <definedName name="_Sort" localSheetId="29" hidden="1">#REF!</definedName>
    <definedName name="_Sort" localSheetId="66" hidden="1">#REF!</definedName>
    <definedName name="_Sort" hidden="1">#REF!</definedName>
    <definedName name="_SSS1" localSheetId="70">#REF!</definedName>
    <definedName name="_SSS1" localSheetId="52">#REF!</definedName>
    <definedName name="_SSS1" localSheetId="58">#REF!</definedName>
    <definedName name="_SSS1" localSheetId="57">#REF!</definedName>
    <definedName name="_SSS1" localSheetId="64">#REF!</definedName>
    <definedName name="_SSS1" localSheetId="67">#REF!</definedName>
    <definedName name="_SSS1" localSheetId="65">#REF!</definedName>
    <definedName name="_SSS1" localSheetId="68">#REF!</definedName>
    <definedName name="_SSS1" localSheetId="71">#REF!</definedName>
    <definedName name="_SSS1" localSheetId="44">#REF!</definedName>
    <definedName name="_SSS1" localSheetId="45">#REF!</definedName>
    <definedName name="_SSS1" localSheetId="17">#REF!</definedName>
    <definedName name="_SSS1" localSheetId="27">#REF!</definedName>
    <definedName name="_SSS1" localSheetId="72">#REF!</definedName>
    <definedName name="_SSS1" localSheetId="28">#REF!</definedName>
    <definedName name="_SSS1" localSheetId="29">#REF!</definedName>
    <definedName name="_SSS1" localSheetId="66">#REF!</definedName>
    <definedName name="_SSS1">#REF!</definedName>
    <definedName name="_SSS2">[21]현장지지물물량!$A$9:$N$23</definedName>
    <definedName name="_T_D_LOSS__">'[5]Financial Estimates'!$C$342</definedName>
    <definedName name="_TAXBL_SLS__">'[5]Financial Estimates'!$C$339</definedName>
    <definedName name="_TOS_RATE_">'[5]Financial Estimates'!$C$340</definedName>
    <definedName name="_TST_GR" localSheetId="70">#REF!</definedName>
    <definedName name="_TST_GR" localSheetId="52">#REF!</definedName>
    <definedName name="_TST_GR" localSheetId="58">#REF!</definedName>
    <definedName name="_TST_GR" localSheetId="56">#REF!</definedName>
    <definedName name="_TST_GR" localSheetId="57">#REF!</definedName>
    <definedName name="_TST_GR" localSheetId="64">#REF!</definedName>
    <definedName name="_TST_GR" localSheetId="67">#REF!</definedName>
    <definedName name="_TST_GR" localSheetId="65">#REF!</definedName>
    <definedName name="_TST_GR" localSheetId="68">#REF!</definedName>
    <definedName name="_TST_GR" localSheetId="71">#REF!</definedName>
    <definedName name="_TST_GR" localSheetId="44">#REF!</definedName>
    <definedName name="_TST_GR" localSheetId="45">#REF!</definedName>
    <definedName name="_TST_GR" localSheetId="17">#REF!</definedName>
    <definedName name="_TST_GR" localSheetId="27">#REF!</definedName>
    <definedName name="_TST_GR" localSheetId="72">#REF!</definedName>
    <definedName name="_TST_GR" localSheetId="28">#REF!</definedName>
    <definedName name="_TST_GR" localSheetId="29">#REF!</definedName>
    <definedName name="_TST_GR" localSheetId="66">#REF!</definedName>
    <definedName name="_TST_GR">#REF!</definedName>
    <definedName name="_TXT_GR" localSheetId="70">#REF!</definedName>
    <definedName name="_TXT_GR" localSheetId="52">#REF!</definedName>
    <definedName name="_TXT_GR" localSheetId="58">#REF!</definedName>
    <definedName name="_TXT_GR" localSheetId="57">#REF!</definedName>
    <definedName name="_TXT_GR" localSheetId="64">#REF!</definedName>
    <definedName name="_TXT_GR" localSheetId="67">#REF!</definedName>
    <definedName name="_TXT_GR" localSheetId="65">#REF!</definedName>
    <definedName name="_TXT_GR" localSheetId="68">#REF!</definedName>
    <definedName name="_TXT_GR" localSheetId="71">#REF!</definedName>
    <definedName name="_TXT_GR" localSheetId="44">#REF!</definedName>
    <definedName name="_TXT_GR" localSheetId="45">#REF!</definedName>
    <definedName name="_TXT_GR" localSheetId="17">#REF!</definedName>
    <definedName name="_TXT_GR" localSheetId="27">#REF!</definedName>
    <definedName name="_TXT_GR" localSheetId="72">#REF!</definedName>
    <definedName name="_TXT_GR" localSheetId="28">#REF!</definedName>
    <definedName name="_TXT_GR" localSheetId="29">#REF!</definedName>
    <definedName name="_TXT_GR" localSheetId="66">#REF!</definedName>
    <definedName name="_TXT_GR">#REF!</definedName>
    <definedName name="_U_4_AUX__">'[5]Financial Estimates'!$D$332</definedName>
    <definedName name="_U_4_HT_RT_">'[5]Financial Estimates'!$C$332</definedName>
    <definedName name="_U_5_AUX__">'[5]Financial Estimates'!$D$333</definedName>
    <definedName name="_U_5_HT_RT_">'[5]Financial Estimates'!$C$333</definedName>
    <definedName name="_U_6_AUX__">'[5]Financial Estimates'!$D$334</definedName>
    <definedName name="_U_6_HT_RT_">'[5]Financial Estimates'!$C$334</definedName>
    <definedName name="_U_7CCPP_AUX__">'[5]Financial Estimates'!$D$336</definedName>
    <definedName name="_U_7CCPP_HT_RT_">'[5]Financial Estimates'!$C$336</definedName>
    <definedName name="_U_7GT_AUX__">'[5]Financial Estimates'!$D$335</definedName>
    <definedName name="_U_7GT_HT_RT_">'[5]Financial Estimates'!$C$335</definedName>
    <definedName name="_USD1">'[13]#REF'!$E$26</definedName>
    <definedName name="_USD2">'[13]#REF'!$F$26</definedName>
    <definedName name="_USD3">'[13]#REF'!$G$26</definedName>
    <definedName name="_w123" localSheetId="140" hidden="1">{"Edition",#N/A,FALSE,"Data"}</definedName>
    <definedName name="_w123" localSheetId="58" hidden="1">{"Edition",#N/A,FALSE,"Data"}</definedName>
    <definedName name="_w123" localSheetId="56" hidden="1">{"Edition",#N/A,FALSE,"Data"}</definedName>
    <definedName name="_w123" localSheetId="57" hidden="1">{"Edition",#N/A,FALSE,"Data"}</definedName>
    <definedName name="_w123" localSheetId="67" hidden="1">{"Edition",#N/A,FALSE,"Data"}</definedName>
    <definedName name="_w123" localSheetId="65" hidden="1">{"Edition",#N/A,FALSE,"Data"}</definedName>
    <definedName name="_w123" localSheetId="68" hidden="1">{"Edition",#N/A,FALSE,"Data"}</definedName>
    <definedName name="_w123" localSheetId="71" hidden="1">{"Edition",#N/A,FALSE,"Data"}</definedName>
    <definedName name="_w123" localSheetId="17" hidden="1">{"Edition",#N/A,FALSE,"Data"}</definedName>
    <definedName name="_w123" localSheetId="27" hidden="1">{"Edition",#N/A,FALSE,"Data"}</definedName>
    <definedName name="_w123" localSheetId="72" hidden="1">{"Edition",#N/A,FALSE,"Data"}</definedName>
    <definedName name="_w123" localSheetId="28" hidden="1">{"Edition",#N/A,FALSE,"Data"}</definedName>
    <definedName name="_w123" localSheetId="29" hidden="1">{"Edition",#N/A,FALSE,"Data"}</definedName>
    <definedName name="_w123" hidden="1">{"Edition",#N/A,FALSE,"Data"}</definedName>
    <definedName name="_za1" localSheetId="70">#REF!</definedName>
    <definedName name="_za1" localSheetId="52">#REF!</definedName>
    <definedName name="_za1" localSheetId="58">#REF!</definedName>
    <definedName name="_za1" localSheetId="56">#REF!</definedName>
    <definedName name="_za1" localSheetId="57">#REF!</definedName>
    <definedName name="_za1" localSheetId="64">#REF!</definedName>
    <definedName name="_za1" localSheetId="67">#REF!</definedName>
    <definedName name="_za1" localSheetId="65">#REF!</definedName>
    <definedName name="_za1" localSheetId="68">#REF!</definedName>
    <definedName name="_za1" localSheetId="71">#REF!</definedName>
    <definedName name="_za1" localSheetId="44">#REF!</definedName>
    <definedName name="_za1" localSheetId="45">#REF!</definedName>
    <definedName name="_za1" localSheetId="17">#REF!</definedName>
    <definedName name="_za1" localSheetId="27">#REF!</definedName>
    <definedName name="_za1" localSheetId="72">#REF!</definedName>
    <definedName name="_za1" localSheetId="28">#REF!</definedName>
    <definedName name="_za1" localSheetId="29">#REF!</definedName>
    <definedName name="_za1" localSheetId="66">#REF!</definedName>
    <definedName name="_za1">#REF!</definedName>
    <definedName name="_za2" localSheetId="70">#REF!</definedName>
    <definedName name="_za2" localSheetId="52">#REF!</definedName>
    <definedName name="_za2" localSheetId="58">#REF!</definedName>
    <definedName name="_za2" localSheetId="57">#REF!</definedName>
    <definedName name="_za2" localSheetId="64">#REF!</definedName>
    <definedName name="_za2" localSheetId="67">#REF!</definedName>
    <definedName name="_za2" localSheetId="65">#REF!</definedName>
    <definedName name="_za2" localSheetId="68">#REF!</definedName>
    <definedName name="_za2" localSheetId="71">#REF!</definedName>
    <definedName name="_za2" localSheetId="44">#REF!</definedName>
    <definedName name="_za2" localSheetId="45">#REF!</definedName>
    <definedName name="_za2" localSheetId="17">#REF!</definedName>
    <definedName name="_za2" localSheetId="27">#REF!</definedName>
    <definedName name="_za2" localSheetId="72">#REF!</definedName>
    <definedName name="_za2" localSheetId="28">#REF!</definedName>
    <definedName name="_za2" localSheetId="29">#REF!</definedName>
    <definedName name="_za2" localSheetId="66">#REF!</definedName>
    <definedName name="_za2">#REF!</definedName>
    <definedName name="_zz1" localSheetId="70">#REF!</definedName>
    <definedName name="_zz1" localSheetId="52">#REF!</definedName>
    <definedName name="_zz1" localSheetId="58">#REF!</definedName>
    <definedName name="_zz1" localSheetId="57">#REF!</definedName>
    <definedName name="_zz1" localSheetId="64">#REF!</definedName>
    <definedName name="_zz1" localSheetId="67">#REF!</definedName>
    <definedName name="_zz1" localSheetId="65">#REF!</definedName>
    <definedName name="_zz1" localSheetId="68">#REF!</definedName>
    <definedName name="_zz1" localSheetId="71">#REF!</definedName>
    <definedName name="_zz1" localSheetId="44">#REF!</definedName>
    <definedName name="_zz1" localSheetId="45">#REF!</definedName>
    <definedName name="_zz1" localSheetId="17">#REF!</definedName>
    <definedName name="_zz1" localSheetId="27">#REF!</definedName>
    <definedName name="_zz1" localSheetId="72">#REF!</definedName>
    <definedName name="_zz1" localSheetId="28">#REF!</definedName>
    <definedName name="_zz1" localSheetId="29">#REF!</definedName>
    <definedName name="_zz1" localSheetId="66">#REF!</definedName>
    <definedName name="_zz1">#REF!</definedName>
    <definedName name="A" localSheetId="70">#REF!</definedName>
    <definedName name="a" localSheetId="126">[12]Notes!$A$25</definedName>
    <definedName name="a" localSheetId="143">[12]Notes!$A$25</definedName>
    <definedName name="a" localSheetId="140">#N/A</definedName>
    <definedName name="a" localSheetId="142">#N/A</definedName>
    <definedName name="A" localSheetId="20">#REF!</definedName>
    <definedName name="a" localSheetId="14">#REF!</definedName>
    <definedName name="A" localSheetId="15">#REF!</definedName>
    <definedName name="A" localSheetId="52">#REF!</definedName>
    <definedName name="A" localSheetId="58">#REF!</definedName>
    <definedName name="A" localSheetId="56">#REF!</definedName>
    <definedName name="A" localSheetId="57">#REF!</definedName>
    <definedName name="A" localSheetId="64">#REF!</definedName>
    <definedName name="A" localSheetId="67">#REF!</definedName>
    <definedName name="A" localSheetId="65">#REF!</definedName>
    <definedName name="A" localSheetId="30">#REF!</definedName>
    <definedName name="A" localSheetId="68">#REF!</definedName>
    <definedName name="A" localSheetId="71">#REF!</definedName>
    <definedName name="A" localSheetId="44">#REF!</definedName>
    <definedName name="A" localSheetId="45">#REF!</definedName>
    <definedName name="A" localSheetId="48">#REF!</definedName>
    <definedName name="A" localSheetId="17">#REF!</definedName>
    <definedName name="a" localSheetId="116">[12]Notes!$A$25</definedName>
    <definedName name="A" localSheetId="27">#REF!</definedName>
    <definedName name="a" localSheetId="128">[12]Notes!$A$25</definedName>
    <definedName name="a" localSheetId="127">[12]Notes!$A$25</definedName>
    <definedName name="A" localSheetId="28">#REF!</definedName>
    <definedName name="A" localSheetId="29">#REF!</definedName>
    <definedName name="A" localSheetId="66">#REF!</definedName>
    <definedName name="A">#REF!</definedName>
    <definedName name="A.C._ES_TA" localSheetId="70">#REF!</definedName>
    <definedName name="A.C._ES_TA" localSheetId="143">#REF!</definedName>
    <definedName name="A.C._ES_TA" localSheetId="52">#REF!</definedName>
    <definedName name="A.C._ES_TA" localSheetId="58">#REF!</definedName>
    <definedName name="A.C._ES_TA" localSheetId="57">#REF!</definedName>
    <definedName name="A.C._ES_TA" localSheetId="64">#REF!</definedName>
    <definedName name="A.C._ES_TA" localSheetId="67">#REF!</definedName>
    <definedName name="A.C._ES_TA" localSheetId="65">#REF!</definedName>
    <definedName name="A.C._ES_TA" localSheetId="68">#REF!</definedName>
    <definedName name="A.C._ES_TA" localSheetId="71">#REF!</definedName>
    <definedName name="A.C._ES_TA" localSheetId="44">#REF!</definedName>
    <definedName name="A.C._ES_TA" localSheetId="45">#REF!</definedName>
    <definedName name="A.C._ES_TA" localSheetId="17">#REF!</definedName>
    <definedName name="A.C._ES_TA" localSheetId="27">#REF!</definedName>
    <definedName name="A.C._ES_TA" localSheetId="72">#REF!</definedName>
    <definedName name="A.C._ES_TA" localSheetId="28">#REF!</definedName>
    <definedName name="A.C._ES_TA" localSheetId="29">#REF!</definedName>
    <definedName name="A.C._ES_TA" localSheetId="66">#REF!</definedName>
    <definedName name="A.C._ES_TA">#REF!</definedName>
    <definedName name="A.C._ES_TD" localSheetId="70">#REF!</definedName>
    <definedName name="A.C._ES_TD" localSheetId="143">#REF!</definedName>
    <definedName name="A.C._ES_TD" localSheetId="52">#REF!</definedName>
    <definedName name="A.C._ES_TD" localSheetId="58">#REF!</definedName>
    <definedName name="A.C._ES_TD" localSheetId="56">#REF!</definedName>
    <definedName name="A.C._ES_TD" localSheetId="57">#REF!</definedName>
    <definedName name="A.C._ES_TD" localSheetId="64">#REF!</definedName>
    <definedName name="A.C._ES_TD" localSheetId="67">#REF!</definedName>
    <definedName name="A.C._ES_TD" localSheetId="65">#REF!</definedName>
    <definedName name="A.C._ES_TD" localSheetId="68">#REF!</definedName>
    <definedName name="A.C._ES_TD" localSheetId="71">#REF!</definedName>
    <definedName name="A.C._ES_TD" localSheetId="44">#REF!</definedName>
    <definedName name="A.C._ES_TD" localSheetId="45">#REF!</definedName>
    <definedName name="A.C._ES_TD" localSheetId="17">#REF!</definedName>
    <definedName name="A.C._ES_TD" localSheetId="27">#REF!</definedName>
    <definedName name="A.C._ES_TD" localSheetId="128">'[26]90% Write off'!#REF!</definedName>
    <definedName name="A.C._ES_TD" localSheetId="28">#REF!</definedName>
    <definedName name="A.C._ES_TD" localSheetId="29">#REF!</definedName>
    <definedName name="A.C._ES_TD" localSheetId="66">#REF!</definedName>
    <definedName name="A.C._ES_TD">#REF!</definedName>
    <definedName name="A￢_·¹_AO">#N/A</definedName>
    <definedName name="A1_">#N/A</definedName>
    <definedName name="A10_">#N/A</definedName>
    <definedName name="A11_">#N/A</definedName>
    <definedName name="A12_">#N/A</definedName>
    <definedName name="A2_">#N/A</definedName>
    <definedName name="A3_">#N/A</definedName>
    <definedName name="A4_">#N/A</definedName>
    <definedName name="A5_">#N/A</definedName>
    <definedName name="A6_">#N/A</definedName>
    <definedName name="A7_">#N/A</definedName>
    <definedName name="A8_">#N/A</definedName>
    <definedName name="A9_">#N/A</definedName>
    <definedName name="AA">[27]현장지지물물량!$A$8:$N$196</definedName>
    <definedName name="AAA" localSheetId="70" hidden="1">#REF!</definedName>
    <definedName name="AAA" localSheetId="52" hidden="1">#REF!</definedName>
    <definedName name="AAA" localSheetId="58" hidden="1">#REF!</definedName>
    <definedName name="AAA" localSheetId="56" hidden="1">#REF!</definedName>
    <definedName name="AAA" localSheetId="57" hidden="1">#REF!</definedName>
    <definedName name="AAA" localSheetId="64" hidden="1">#REF!</definedName>
    <definedName name="AAA" localSheetId="67" hidden="1">#REF!</definedName>
    <definedName name="AAA" localSheetId="65" hidden="1">#REF!</definedName>
    <definedName name="AAA" localSheetId="68" hidden="1">#REF!</definedName>
    <definedName name="AAA" localSheetId="71" hidden="1">#REF!</definedName>
    <definedName name="AAA" localSheetId="44" hidden="1">#REF!</definedName>
    <definedName name="AAA" localSheetId="45" hidden="1">#REF!</definedName>
    <definedName name="AAA" localSheetId="17" hidden="1">#REF!</definedName>
    <definedName name="AAA" localSheetId="27" hidden="1">#REF!</definedName>
    <definedName name="AAA" localSheetId="72" hidden="1">#REF!</definedName>
    <definedName name="AAA" localSheetId="28" hidden="1">#REF!</definedName>
    <definedName name="AAA" localSheetId="29" hidden="1">#REF!</definedName>
    <definedName name="AAA" localSheetId="66" hidden="1">#REF!</definedName>
    <definedName name="AAA" hidden="1">#REF!</definedName>
    <definedName name="aaaaaaa333333">[12]Notes!$A$61</definedName>
    <definedName name="aaaaaaaaaaaa">[12]Notes!$A$8</definedName>
    <definedName name="aæÐRIiÞA_Iª">#N/A</definedName>
    <definedName name="ABC" localSheetId="70" hidden="1">'[28]Eq. Mobilization'!#REF!</definedName>
    <definedName name="ABC" localSheetId="52" hidden="1">'[28]Eq. Mobilization'!#REF!</definedName>
    <definedName name="ABC" localSheetId="58" hidden="1">'[28]Eq. Mobilization'!#REF!</definedName>
    <definedName name="ABC" localSheetId="57" hidden="1">'[28]Eq. Mobilization'!#REF!</definedName>
    <definedName name="ABC" localSheetId="64" hidden="1">'[28]Eq. Mobilization'!#REF!</definedName>
    <definedName name="ABC" localSheetId="67" hidden="1">'[28]Eq. Mobilization'!#REF!</definedName>
    <definedName name="ABC" localSheetId="65" hidden="1">'[28]Eq. Mobilization'!#REF!</definedName>
    <definedName name="ABC" localSheetId="68" hidden="1">'[28]Eq. Mobilization'!#REF!</definedName>
    <definedName name="ABC" localSheetId="71" hidden="1">'[28]Eq. Mobilization'!#REF!</definedName>
    <definedName name="ABC" localSheetId="44" hidden="1">'[28]Eq. Mobilization'!#REF!</definedName>
    <definedName name="ABC" localSheetId="45" hidden="1">'[28]Eq. Mobilization'!#REF!</definedName>
    <definedName name="ABC" localSheetId="27" hidden="1">'[28]Eq. Mobilization'!#REF!</definedName>
    <definedName name="ABC" localSheetId="28" hidden="1">'[28]Eq. Mobilization'!#REF!</definedName>
    <definedName name="ABC" localSheetId="29" hidden="1">'[28]Eq. Mobilization'!#REF!</definedName>
    <definedName name="ABC" localSheetId="66" hidden="1">'[28]Eq. Mobilization'!#REF!</definedName>
    <definedName name="ABC" hidden="1">'[28]Eq. Mobilization'!#REF!</definedName>
    <definedName name="ABILDQTY">#N/A</definedName>
    <definedName name="ABILDQTYNU">#N/A</definedName>
    <definedName name="ABILDTWT">#N/A</definedName>
    <definedName name="ABILDTWTNU">#N/A</definedName>
    <definedName name="Access_Button" hidden="1">"PJTFINAL_F02F11_List"</definedName>
    <definedName name="AccessDatabase" hidden="1">"C:\jhp2\JHP\AES\PJTFINAL.mdb"</definedName>
    <definedName name="achscs" localSheetId="70">#REF!</definedName>
    <definedName name="achscs" localSheetId="52">#REF!</definedName>
    <definedName name="achscs" localSheetId="58">#REF!</definedName>
    <definedName name="achscs" localSheetId="57">#REF!</definedName>
    <definedName name="achscs" localSheetId="64">#REF!</definedName>
    <definedName name="achscs" localSheetId="67">#REF!</definedName>
    <definedName name="achscs" localSheetId="65">#REF!</definedName>
    <definedName name="achscs" localSheetId="68">#REF!</definedName>
    <definedName name="achscs" localSheetId="71">#REF!</definedName>
    <definedName name="achscs" localSheetId="44">#REF!</definedName>
    <definedName name="achscs" localSheetId="45">#REF!</definedName>
    <definedName name="achscs" localSheetId="48">#REF!</definedName>
    <definedName name="achscs" localSheetId="17">#REF!</definedName>
    <definedName name="achscs" localSheetId="27">#REF!</definedName>
    <definedName name="achscs" localSheetId="72">#REF!</definedName>
    <definedName name="achscs" localSheetId="28">#REF!</definedName>
    <definedName name="achscs" localSheetId="29">#REF!</definedName>
    <definedName name="achscs" localSheetId="66">#REF!</definedName>
    <definedName name="achscs">#REF!</definedName>
    <definedName name="ADD_IN_VERSION" localSheetId="70">#REF!</definedName>
    <definedName name="ADD_IN_VERSION" localSheetId="52">#REF!</definedName>
    <definedName name="ADD_IN_VERSION" localSheetId="58">#REF!</definedName>
    <definedName name="ADD_IN_VERSION" localSheetId="57">#REF!</definedName>
    <definedName name="ADD_IN_VERSION" localSheetId="64">#REF!</definedName>
    <definedName name="ADD_IN_VERSION" localSheetId="67">#REF!</definedName>
    <definedName name="ADD_IN_VERSION" localSheetId="65">#REF!</definedName>
    <definedName name="ADD_IN_VERSION" localSheetId="68">#REF!</definedName>
    <definedName name="ADD_IN_VERSION" localSheetId="71">#REF!</definedName>
    <definedName name="ADD_IN_VERSION" localSheetId="44">#REF!</definedName>
    <definedName name="ADD_IN_VERSION" localSheetId="45">#REF!</definedName>
    <definedName name="ADD_IN_VERSION" localSheetId="17">#REF!</definedName>
    <definedName name="ADD_IN_VERSION" localSheetId="27">#REF!</definedName>
    <definedName name="ADD_IN_VERSION" localSheetId="72">#REF!</definedName>
    <definedName name="ADD_IN_VERSION" localSheetId="28">#REF!</definedName>
    <definedName name="ADD_IN_VERSION" localSheetId="29">#REF!</definedName>
    <definedName name="ADD_IN_VERSION" localSheetId="66">#REF!</definedName>
    <definedName name="ADD_IN_VERSION">#REF!</definedName>
    <definedName name="ADITION" localSheetId="140" hidden="1">{"'장비'!$A$3:$M$12"}</definedName>
    <definedName name="ADITION" localSheetId="58" hidden="1">{"'장비'!$A$3:$M$12"}</definedName>
    <definedName name="ADITION" localSheetId="56" hidden="1">{"'장비'!$A$3:$M$12"}</definedName>
    <definedName name="ADITION" localSheetId="57" hidden="1">{"'장비'!$A$3:$M$12"}</definedName>
    <definedName name="ADITION" localSheetId="67" hidden="1">{"'장비'!$A$3:$M$12"}</definedName>
    <definedName name="ADITION" localSheetId="65" hidden="1">{"'장비'!$A$3:$M$12"}</definedName>
    <definedName name="ADITION" localSheetId="68" hidden="1">{"'장비'!$A$3:$M$12"}</definedName>
    <definedName name="ADITION" localSheetId="71" hidden="1">{"'장비'!$A$3:$M$12"}</definedName>
    <definedName name="ADITION" localSheetId="17" hidden="1">{"'장비'!$A$3:$M$12"}</definedName>
    <definedName name="ADITION" localSheetId="27" hidden="1">{"'장비'!$A$3:$M$12"}</definedName>
    <definedName name="ADITION" localSheetId="72" hidden="1">{"'장비'!$A$3:$M$12"}</definedName>
    <definedName name="ADITION" localSheetId="28" hidden="1">{"'장비'!$A$3:$M$12"}</definedName>
    <definedName name="ADITION" localSheetId="29" hidden="1">{"'장비'!$A$3:$M$12"}</definedName>
    <definedName name="ADITION" hidden="1">{"'장비'!$A$3:$M$12"}</definedName>
    <definedName name="ADL.63">[29]Addl.40!$A$38:$I$284</definedName>
    <definedName name="afaer">[12]BEST_17112006!$A$541</definedName>
    <definedName name="afasfasf" localSheetId="70">#REF!</definedName>
    <definedName name="afasfasf" localSheetId="52">#REF!</definedName>
    <definedName name="afasfasf" localSheetId="58">#REF!</definedName>
    <definedName name="afasfasf" localSheetId="57">#REF!</definedName>
    <definedName name="afasfasf" localSheetId="64">#REF!</definedName>
    <definedName name="afasfasf" localSheetId="67">#REF!</definedName>
    <definedName name="afasfasf" localSheetId="65">#REF!</definedName>
    <definedName name="afasfasf" localSheetId="68">#REF!</definedName>
    <definedName name="afasfasf" localSheetId="71">#REF!</definedName>
    <definedName name="afasfasf" localSheetId="44">#REF!</definedName>
    <definedName name="afasfasf" localSheetId="45">#REF!</definedName>
    <definedName name="afasfasf" localSheetId="48">#REF!</definedName>
    <definedName name="afasfasf" localSheetId="17">#REF!</definedName>
    <definedName name="afasfasf" localSheetId="27">#REF!</definedName>
    <definedName name="afasfasf" localSheetId="72">#REF!</definedName>
    <definedName name="afasfasf" localSheetId="28">#REF!</definedName>
    <definedName name="afasfasf" localSheetId="29">#REF!</definedName>
    <definedName name="afasfasf" localSheetId="66">#REF!</definedName>
    <definedName name="afasfasf">#REF!</definedName>
    <definedName name="afava">[12]BEST_17112006!$A$493</definedName>
    <definedName name="afshgafh">'[12]B_S Group'!$H$120</definedName>
    <definedName name="agdump" localSheetId="70">#REF!</definedName>
    <definedName name="agdump" localSheetId="52">#REF!</definedName>
    <definedName name="agdump" localSheetId="58">#REF!</definedName>
    <definedName name="agdump" localSheetId="56">#REF!</definedName>
    <definedName name="agdump" localSheetId="57">#REF!</definedName>
    <definedName name="agdump" localSheetId="64">#REF!</definedName>
    <definedName name="agdump" localSheetId="67">#REF!</definedName>
    <definedName name="agdump" localSheetId="65">#REF!</definedName>
    <definedName name="agdump" localSheetId="68">#REF!</definedName>
    <definedName name="agdump" localSheetId="71">#REF!</definedName>
    <definedName name="agdump" localSheetId="44">#REF!</definedName>
    <definedName name="agdump" localSheetId="45">#REF!</definedName>
    <definedName name="agdump" localSheetId="17">#REF!</definedName>
    <definedName name="agdump" localSheetId="27">#REF!</definedName>
    <definedName name="agdump" localSheetId="72">#REF!</definedName>
    <definedName name="agdump" localSheetId="28">#REF!</definedName>
    <definedName name="agdump" localSheetId="29">#REF!</definedName>
    <definedName name="agdump" localSheetId="66">#REF!</definedName>
    <definedName name="agdump">#REF!</definedName>
    <definedName name="agedump" localSheetId="70">#REF!</definedName>
    <definedName name="agedump" localSheetId="52">#REF!</definedName>
    <definedName name="agedump" localSheetId="58">#REF!</definedName>
    <definedName name="agedump" localSheetId="57">#REF!</definedName>
    <definedName name="agedump" localSheetId="64">#REF!</definedName>
    <definedName name="agedump" localSheetId="67">#REF!</definedName>
    <definedName name="agedump" localSheetId="65">#REF!</definedName>
    <definedName name="agedump" localSheetId="68">#REF!</definedName>
    <definedName name="agedump" localSheetId="71">#REF!</definedName>
    <definedName name="agedump" localSheetId="44">#REF!</definedName>
    <definedName name="agedump" localSheetId="45">#REF!</definedName>
    <definedName name="agedump" localSheetId="17">#REF!</definedName>
    <definedName name="agedump" localSheetId="27">#REF!</definedName>
    <definedName name="agedump" localSheetId="72">#REF!</definedName>
    <definedName name="agedump" localSheetId="28">#REF!</definedName>
    <definedName name="agedump" localSheetId="29">#REF!</definedName>
    <definedName name="agedump" localSheetId="66">#REF!</definedName>
    <definedName name="agedump">#REF!</definedName>
    <definedName name="agencydump" localSheetId="70">#REF!</definedName>
    <definedName name="agencydump" localSheetId="52">#REF!</definedName>
    <definedName name="agencydump" localSheetId="58">#REF!</definedName>
    <definedName name="agencydump" localSheetId="57">#REF!</definedName>
    <definedName name="agencydump" localSheetId="64">#REF!</definedName>
    <definedName name="agencydump" localSheetId="67">#REF!</definedName>
    <definedName name="agencydump" localSheetId="65">#REF!</definedName>
    <definedName name="agencydump" localSheetId="68">#REF!</definedName>
    <definedName name="agencydump" localSheetId="71">#REF!</definedName>
    <definedName name="agencydump" localSheetId="44">#REF!</definedName>
    <definedName name="agencydump" localSheetId="45">#REF!</definedName>
    <definedName name="agencydump" localSheetId="17">#REF!</definedName>
    <definedName name="agencydump" localSheetId="27">#REF!</definedName>
    <definedName name="agencydump" localSheetId="72">#REF!</definedName>
    <definedName name="agencydump" localSheetId="28">#REF!</definedName>
    <definedName name="agencydump" localSheetId="29">#REF!</definedName>
    <definedName name="agencydump" localSheetId="66">#REF!</definedName>
    <definedName name="agencydump">#REF!</definedName>
    <definedName name="AGENCYLY" localSheetId="70">#REF!</definedName>
    <definedName name="AGENCYLY" localSheetId="52">#REF!</definedName>
    <definedName name="AGENCYLY" localSheetId="58">#REF!</definedName>
    <definedName name="AGENCYLY" localSheetId="57">#REF!</definedName>
    <definedName name="AGENCYLY" localSheetId="64">#REF!</definedName>
    <definedName name="AGENCYLY" localSheetId="67">#REF!</definedName>
    <definedName name="AGENCYLY" localSheetId="65">#REF!</definedName>
    <definedName name="AGENCYLY" localSheetId="68">#REF!</definedName>
    <definedName name="AGENCYLY" localSheetId="71">#REF!</definedName>
    <definedName name="AGENCYLY" localSheetId="44">#REF!</definedName>
    <definedName name="AGENCYLY" localSheetId="45">#REF!</definedName>
    <definedName name="AGENCYLY" localSheetId="27">#REF!</definedName>
    <definedName name="AGENCYLY" localSheetId="28">#REF!</definedName>
    <definedName name="AGENCYLY" localSheetId="29">#REF!</definedName>
    <definedName name="AGENCYLY" localSheetId="66">#REF!</definedName>
    <definedName name="AGENCYLY">#REF!</definedName>
    <definedName name="AGENCYPLAN" localSheetId="70">#REF!</definedName>
    <definedName name="AGENCYPLAN" localSheetId="52">#REF!</definedName>
    <definedName name="AGENCYPLAN" localSheetId="58">#REF!</definedName>
    <definedName name="AGENCYPLAN" localSheetId="57">#REF!</definedName>
    <definedName name="AGENCYPLAN" localSheetId="64">#REF!</definedName>
    <definedName name="AGENCYPLAN" localSheetId="67">#REF!</definedName>
    <definedName name="AGENCYPLAN" localSheetId="65">#REF!</definedName>
    <definedName name="AGENCYPLAN" localSheetId="68">#REF!</definedName>
    <definedName name="AGENCYPLAN" localSheetId="71">#REF!</definedName>
    <definedName name="AGENCYPLAN" localSheetId="44">#REF!</definedName>
    <definedName name="AGENCYPLAN" localSheetId="45">#REF!</definedName>
    <definedName name="AGENCYPLAN" localSheetId="27">#REF!</definedName>
    <definedName name="AGENCYPLAN" localSheetId="28">#REF!</definedName>
    <definedName name="AGENCYPLAN" localSheetId="29">#REF!</definedName>
    <definedName name="AGENCYPLAN" localSheetId="66">#REF!</definedName>
    <definedName name="AGENCYPLAN">#REF!</definedName>
    <definedName name="ahefh" localSheetId="70">[12]BEST_17112006!#REF!</definedName>
    <definedName name="ahefh" localSheetId="143">[12]BEST_17112006!#REF!</definedName>
    <definedName name="ahefh" localSheetId="52">[12]BEST_17112006!#REF!</definedName>
    <definedName name="ahefh" localSheetId="58">[12]BEST_17112006!#REF!</definedName>
    <definedName name="ahefh" localSheetId="57">[12]BEST_17112006!#REF!</definedName>
    <definedName name="ahefh" localSheetId="64">[12]BEST_17112006!#REF!</definedName>
    <definedName name="ahefh" localSheetId="67">[12]BEST_17112006!#REF!</definedName>
    <definedName name="ahefh" localSheetId="65">[12]BEST_17112006!#REF!</definedName>
    <definedName name="ahefh" localSheetId="68">[12]BEST_17112006!#REF!</definedName>
    <definedName name="ahefh" localSheetId="71">[12]BEST_17112006!#REF!</definedName>
    <definedName name="ahefh" localSheetId="44">[12]BEST_17112006!#REF!</definedName>
    <definedName name="ahefh" localSheetId="45">[12]BEST_17112006!#REF!</definedName>
    <definedName name="ahefh" localSheetId="27">[12]BEST_17112006!#REF!</definedName>
    <definedName name="ahefh" localSheetId="28">[12]BEST_17112006!#REF!</definedName>
    <definedName name="ahefh" localSheetId="29">[12]BEST_17112006!#REF!</definedName>
    <definedName name="ahefh" localSheetId="66">[12]BEST_17112006!#REF!</definedName>
    <definedName name="ahefh">[12]BEST_17112006!#REF!</definedName>
    <definedName name="ahjsdhjkdh" localSheetId="70">#REF!</definedName>
    <definedName name="ahjsdhjkdh" localSheetId="52">#REF!</definedName>
    <definedName name="ahjsdhjkdh" localSheetId="58">#REF!</definedName>
    <definedName name="ahjsdhjkdh" localSheetId="57">#REF!</definedName>
    <definedName name="ahjsdhjkdh" localSheetId="64">#REF!</definedName>
    <definedName name="ahjsdhjkdh" localSheetId="67">#REF!</definedName>
    <definedName name="ahjsdhjkdh" localSheetId="65">#REF!</definedName>
    <definedName name="ahjsdhjkdh" localSheetId="68">#REF!</definedName>
    <definedName name="ahjsdhjkdh" localSheetId="71">#REF!</definedName>
    <definedName name="ahjsdhjkdh" localSheetId="44">#REF!</definedName>
    <definedName name="ahjsdhjkdh" localSheetId="45">#REF!</definedName>
    <definedName name="ahjsdhjkdh" localSheetId="48">#REF!</definedName>
    <definedName name="ahjsdhjkdh" localSheetId="17">#REF!</definedName>
    <definedName name="ahjsdhjkdh" localSheetId="27">#REF!</definedName>
    <definedName name="ahjsdhjkdh" localSheetId="72">#REF!</definedName>
    <definedName name="ahjsdhjkdh" localSheetId="28">#REF!</definedName>
    <definedName name="ahjsdhjkdh" localSheetId="29">#REF!</definedName>
    <definedName name="ahjsdhjkdh" localSheetId="66">#REF!</definedName>
    <definedName name="ahjsdhjkdh">#REF!</definedName>
    <definedName name="AIR">'[13]#REF'!$E$27</definedName>
    <definedName name="air_trap" localSheetId="70">#REF!</definedName>
    <definedName name="air_trap" localSheetId="52">#REF!</definedName>
    <definedName name="air_trap" localSheetId="58">#REF!</definedName>
    <definedName name="air_trap" localSheetId="56">#REF!</definedName>
    <definedName name="air_trap" localSheetId="57">#REF!</definedName>
    <definedName name="air_trap" localSheetId="64">#REF!</definedName>
    <definedName name="air_trap" localSheetId="67">#REF!</definedName>
    <definedName name="air_trap" localSheetId="65">#REF!</definedName>
    <definedName name="air_trap" localSheetId="68">#REF!</definedName>
    <definedName name="air_trap" localSheetId="71">#REF!</definedName>
    <definedName name="air_trap" localSheetId="44">#REF!</definedName>
    <definedName name="air_trap" localSheetId="45">#REF!</definedName>
    <definedName name="air_trap" localSheetId="17">#REF!</definedName>
    <definedName name="air_trap" localSheetId="27">#REF!</definedName>
    <definedName name="air_trap" localSheetId="72">#REF!</definedName>
    <definedName name="air_trap" localSheetId="28">#REF!</definedName>
    <definedName name="air_trap" localSheetId="29">#REF!</definedName>
    <definedName name="air_trap" localSheetId="66">#REF!</definedName>
    <definedName name="air_trap">#REF!</definedName>
    <definedName name="All_Item" localSheetId="70">#REF!</definedName>
    <definedName name="All_Item" localSheetId="52">#REF!</definedName>
    <definedName name="All_Item" localSheetId="58">#REF!</definedName>
    <definedName name="All_Item" localSheetId="57">#REF!</definedName>
    <definedName name="All_Item" localSheetId="64">#REF!</definedName>
    <definedName name="All_Item" localSheetId="67">#REF!</definedName>
    <definedName name="All_Item" localSheetId="65">#REF!</definedName>
    <definedName name="All_Item" localSheetId="68">#REF!</definedName>
    <definedName name="All_Item" localSheetId="71">#REF!</definedName>
    <definedName name="All_Item" localSheetId="44">#REF!</definedName>
    <definedName name="All_Item" localSheetId="45">#REF!</definedName>
    <definedName name="All_Item" localSheetId="17">#REF!</definedName>
    <definedName name="All_Item" localSheetId="27">#REF!</definedName>
    <definedName name="All_Item" localSheetId="72">#REF!</definedName>
    <definedName name="All_Item" localSheetId="28">#REF!</definedName>
    <definedName name="All_Item" localSheetId="29">#REF!</definedName>
    <definedName name="All_Item" localSheetId="66">#REF!</definedName>
    <definedName name="All_Item">#REF!</definedName>
    <definedName name="ALLOCATION" localSheetId="70">#REF!</definedName>
    <definedName name="ALLOCATION" localSheetId="52">#REF!</definedName>
    <definedName name="ALLOCATION" localSheetId="58">#REF!</definedName>
    <definedName name="ALLOCATION" localSheetId="57">#REF!</definedName>
    <definedName name="ALLOCATION" localSheetId="64">#REF!</definedName>
    <definedName name="ALLOCATION" localSheetId="67">#REF!</definedName>
    <definedName name="ALLOCATION" localSheetId="65">#REF!</definedName>
    <definedName name="ALLOCATION" localSheetId="68">#REF!</definedName>
    <definedName name="ALLOCATION" localSheetId="71">#REF!</definedName>
    <definedName name="ALLOCATION" localSheetId="44">#REF!</definedName>
    <definedName name="ALLOCATION" localSheetId="45">#REF!</definedName>
    <definedName name="ALLOCATION" localSheetId="17">#REF!</definedName>
    <definedName name="ALLOCATION" localSheetId="27">#REF!</definedName>
    <definedName name="ALLOCATION" localSheetId="72">#REF!</definedName>
    <definedName name="ALLOCATION" localSheetId="28">#REF!</definedName>
    <definedName name="ALLOCATION" localSheetId="29">#REF!</definedName>
    <definedName name="ALLOCATION" localSheetId="66">#REF!</definedName>
    <definedName name="ALLOCATION">#REF!</definedName>
    <definedName name="ALLOWANCE">#N/A</definedName>
    <definedName name="ALLTO" localSheetId="70">'[13]해외 연수비용 계산-삭제'!#REF!</definedName>
    <definedName name="ALLTO" localSheetId="52">'[13]해외 연수비용 계산-삭제'!#REF!</definedName>
    <definedName name="ALLTO" localSheetId="58">'[13]해외 연수비용 계산-삭제'!#REF!</definedName>
    <definedName name="ALLTO" localSheetId="57">'[13]해외 연수비용 계산-삭제'!#REF!</definedName>
    <definedName name="ALLTO" localSheetId="64">'[13]해외 연수비용 계산-삭제'!#REF!</definedName>
    <definedName name="ALLTO" localSheetId="67">'[13]해외 연수비용 계산-삭제'!#REF!</definedName>
    <definedName name="ALLTO" localSheetId="65">'[13]해외 연수비용 계산-삭제'!#REF!</definedName>
    <definedName name="ALLTO" localSheetId="68">'[13]해외 연수비용 계산-삭제'!#REF!</definedName>
    <definedName name="ALLTO" localSheetId="71">'[13]해외 연수비용 계산-삭제'!#REF!</definedName>
    <definedName name="ALLTO" localSheetId="44">'[13]해외 연수비용 계산-삭제'!#REF!</definedName>
    <definedName name="ALLTO" localSheetId="45">'[13]해외 연수비용 계산-삭제'!#REF!</definedName>
    <definedName name="ALLTO" localSheetId="17">'[13]해외 연수비용 계산-삭제'!#REF!</definedName>
    <definedName name="ALLTO" localSheetId="27">'[13]해외 연수비용 계산-삭제'!#REF!</definedName>
    <definedName name="ALLTO" localSheetId="72">'[13]해외 연수비용 계산-삭제'!#REF!</definedName>
    <definedName name="ALLTO" localSheetId="28">'[13]해외 연수비용 계산-삭제'!#REF!</definedName>
    <definedName name="ALLTO" localSheetId="29">'[13]해외 연수비용 계산-삭제'!#REF!</definedName>
    <definedName name="ALLTO" localSheetId="66">'[13]해외 연수비용 계산-삭제'!#REF!</definedName>
    <definedName name="ALLTO">'[13]해외 연수비용 계산-삭제'!#REF!</definedName>
    <definedName name="ALOCHDG" localSheetId="70">#REF!</definedName>
    <definedName name="ALOCHDG" localSheetId="52">#REF!</definedName>
    <definedName name="ALOCHDG" localSheetId="58">#REF!</definedName>
    <definedName name="ALOCHDG" localSheetId="56">#REF!</definedName>
    <definedName name="ALOCHDG" localSheetId="57">#REF!</definedName>
    <definedName name="ALOCHDG" localSheetId="64">#REF!</definedName>
    <definedName name="ALOCHDG" localSheetId="67">#REF!</definedName>
    <definedName name="ALOCHDG" localSheetId="65">#REF!</definedName>
    <definedName name="ALOCHDG" localSheetId="68">#REF!</definedName>
    <definedName name="ALOCHDG" localSheetId="71">#REF!</definedName>
    <definedName name="ALOCHDG" localSheetId="44">#REF!</definedName>
    <definedName name="ALOCHDG" localSheetId="45">#REF!</definedName>
    <definedName name="ALOCHDG" localSheetId="17">#REF!</definedName>
    <definedName name="ALOCHDG" localSheetId="27">#REF!</definedName>
    <definedName name="ALOCHDG" localSheetId="72">#REF!</definedName>
    <definedName name="ALOCHDG" localSheetId="28">#REF!</definedName>
    <definedName name="ALOCHDG" localSheetId="29">#REF!</definedName>
    <definedName name="ALOCHDG" localSheetId="66">#REF!</definedName>
    <definedName name="ALOCHDG">#REF!</definedName>
    <definedName name="AMAKEQTY">#N/A</definedName>
    <definedName name="AMAKEQTYNU">#N/A</definedName>
    <definedName name="AMAKETWT">#N/A</definedName>
    <definedName name="AMAKETWTNU">#N/A</definedName>
    <definedName name="angle" localSheetId="70">#REF!</definedName>
    <definedName name="angle" localSheetId="52">#REF!</definedName>
    <definedName name="angle" localSheetId="58">#REF!</definedName>
    <definedName name="angle" localSheetId="56">#REF!</definedName>
    <definedName name="angle" localSheetId="57">#REF!</definedName>
    <definedName name="angle" localSheetId="64">#REF!</definedName>
    <definedName name="angle" localSheetId="67">#REF!</definedName>
    <definedName name="angle" localSheetId="65">#REF!</definedName>
    <definedName name="angle" localSheetId="68">#REF!</definedName>
    <definedName name="angle" localSheetId="71">#REF!</definedName>
    <definedName name="angle" localSheetId="44">#REF!</definedName>
    <definedName name="angle" localSheetId="45">#REF!</definedName>
    <definedName name="angle" localSheetId="17">#REF!</definedName>
    <definedName name="angle" localSheetId="27">#REF!</definedName>
    <definedName name="angle" localSheetId="72">#REF!</definedName>
    <definedName name="angle" localSheetId="28">#REF!</definedName>
    <definedName name="angle" localSheetId="29">#REF!</definedName>
    <definedName name="angle" localSheetId="66">#REF!</definedName>
    <definedName name="angle">#REF!</definedName>
    <definedName name="ANNEXURE__A" localSheetId="70">#REF!</definedName>
    <definedName name="ANNEXURE__A" localSheetId="143">#REF!</definedName>
    <definedName name="ANNEXURE__A" localSheetId="52">#REF!</definedName>
    <definedName name="ANNEXURE__A" localSheetId="58">#REF!</definedName>
    <definedName name="ANNEXURE__A" localSheetId="57">#REF!</definedName>
    <definedName name="ANNEXURE__A" localSheetId="64">#REF!</definedName>
    <definedName name="ANNEXURE__A" localSheetId="67">#REF!</definedName>
    <definedName name="ANNEXURE__A" localSheetId="65">#REF!</definedName>
    <definedName name="ANNEXURE__A" localSheetId="68">#REF!</definedName>
    <definedName name="ANNEXURE__A" localSheetId="71">#REF!</definedName>
    <definedName name="ANNEXURE__A" localSheetId="44">#REF!</definedName>
    <definedName name="ANNEXURE__A" localSheetId="45">#REF!</definedName>
    <definedName name="ANNEXURE__A" localSheetId="17">#REF!</definedName>
    <definedName name="ANNEXURE__A" localSheetId="27">#REF!</definedName>
    <definedName name="ANNEXURE__A" localSheetId="72">#REF!</definedName>
    <definedName name="ANNEXURE__A" localSheetId="28">#REF!</definedName>
    <definedName name="ANNEXURE__A" localSheetId="29">#REF!</definedName>
    <definedName name="ANNEXURE__A" localSheetId="66">#REF!</definedName>
    <definedName name="ANNEXURE__A">#REF!</definedName>
    <definedName name="ANNEXURE__B.Sch" localSheetId="70">#REF!</definedName>
    <definedName name="ANNEXURE__B.Sch" localSheetId="143">#REF!</definedName>
    <definedName name="ANNEXURE__B.Sch" localSheetId="52">#REF!</definedName>
    <definedName name="ANNEXURE__B.Sch" localSheetId="58">#REF!</definedName>
    <definedName name="ANNEXURE__B.Sch" localSheetId="57">#REF!</definedName>
    <definedName name="ANNEXURE__B.Sch" localSheetId="64">#REF!</definedName>
    <definedName name="ANNEXURE__B.Sch" localSheetId="67">#REF!</definedName>
    <definedName name="ANNEXURE__B.Sch" localSheetId="65">#REF!</definedName>
    <definedName name="ANNEXURE__B.Sch" localSheetId="68">#REF!</definedName>
    <definedName name="ANNEXURE__B.Sch" localSheetId="71">#REF!</definedName>
    <definedName name="ANNEXURE__B.Sch" localSheetId="44">#REF!</definedName>
    <definedName name="ANNEXURE__B.Sch" localSheetId="45">#REF!</definedName>
    <definedName name="ANNEXURE__B.Sch" localSheetId="27">#REF!</definedName>
    <definedName name="ANNEXURE__B.Sch" localSheetId="28">#REF!</definedName>
    <definedName name="ANNEXURE__B.Sch" localSheetId="29">#REF!</definedName>
    <definedName name="ANNEXURE__B.Sch" localSheetId="66">#REF!</definedName>
    <definedName name="ANNEXURE__B.Sch">#REF!</definedName>
    <definedName name="ANNEXURE_A." localSheetId="70">#REF!</definedName>
    <definedName name="ANNEXURE_A." localSheetId="143">#REF!</definedName>
    <definedName name="ANNEXURE_A." localSheetId="52">#REF!</definedName>
    <definedName name="ANNEXURE_A." localSheetId="58">#REF!</definedName>
    <definedName name="ANNEXURE_A." localSheetId="57">#REF!</definedName>
    <definedName name="ANNEXURE_A." localSheetId="64">#REF!</definedName>
    <definedName name="ANNEXURE_A." localSheetId="67">#REF!</definedName>
    <definedName name="ANNEXURE_A." localSheetId="65">#REF!</definedName>
    <definedName name="ANNEXURE_A." localSheetId="68">#REF!</definedName>
    <definedName name="ANNEXURE_A." localSheetId="71">#REF!</definedName>
    <definedName name="ANNEXURE_A." localSheetId="44">#REF!</definedName>
    <definedName name="ANNEXURE_A." localSheetId="45">#REF!</definedName>
    <definedName name="ANNEXURE_A." localSheetId="27">#REF!</definedName>
    <definedName name="ANNEXURE_A." localSheetId="28">#REF!</definedName>
    <definedName name="ANNEXURE_A." localSheetId="29">#REF!</definedName>
    <definedName name="ANNEXURE_A." localSheetId="66">#REF!</definedName>
    <definedName name="ANNEXURE_A.">#REF!</definedName>
    <definedName name="aq">[12]Notes!$A$43</definedName>
    <definedName name="area" localSheetId="70">[30]MixBed!#REF!</definedName>
    <definedName name="area" localSheetId="52">[30]MixBed!#REF!</definedName>
    <definedName name="area" localSheetId="58">[30]MixBed!#REF!</definedName>
    <definedName name="area" localSheetId="57">[30]MixBed!#REF!</definedName>
    <definedName name="area" localSheetId="64">[30]MixBed!#REF!</definedName>
    <definedName name="area" localSheetId="67">[30]MixBed!#REF!</definedName>
    <definedName name="area" localSheetId="65">[30]MixBed!#REF!</definedName>
    <definedName name="area" localSheetId="68">[30]MixBed!#REF!</definedName>
    <definedName name="area" localSheetId="71">[30]MixBed!#REF!</definedName>
    <definedName name="area" localSheetId="44">[30]MixBed!#REF!</definedName>
    <definedName name="area" localSheetId="45">[30]MixBed!#REF!</definedName>
    <definedName name="area" localSheetId="27">[30]MixBed!#REF!</definedName>
    <definedName name="area" localSheetId="28">[30]MixBed!#REF!</definedName>
    <definedName name="area" localSheetId="29">[30]MixBed!#REF!</definedName>
    <definedName name="area" localSheetId="66">[30]MixBed!#REF!</definedName>
    <definedName name="area">[30]MixBed!#REF!</definedName>
    <definedName name="area1" localSheetId="70">[30]MixBed!#REF!</definedName>
    <definedName name="area1" localSheetId="52">[30]MixBed!#REF!</definedName>
    <definedName name="area1" localSheetId="58">[30]MixBed!#REF!</definedName>
    <definedName name="area1" localSheetId="57">[30]MixBed!#REF!</definedName>
    <definedName name="area1" localSheetId="64">[30]MixBed!#REF!</definedName>
    <definedName name="area1" localSheetId="67">[30]MixBed!#REF!</definedName>
    <definedName name="area1" localSheetId="65">[30]MixBed!#REF!</definedName>
    <definedName name="area1" localSheetId="68">[30]MixBed!#REF!</definedName>
    <definedName name="area1" localSheetId="71">[30]MixBed!#REF!</definedName>
    <definedName name="area1" localSheetId="44">[30]MixBed!#REF!</definedName>
    <definedName name="area1" localSheetId="45">[30]MixBed!#REF!</definedName>
    <definedName name="area1" localSheetId="27">[30]MixBed!#REF!</definedName>
    <definedName name="area1" localSheetId="28">[30]MixBed!#REF!</definedName>
    <definedName name="area1" localSheetId="29">[30]MixBed!#REF!</definedName>
    <definedName name="area1" localSheetId="66">[30]MixBed!#REF!</definedName>
    <definedName name="area1">[30]MixBed!#REF!</definedName>
    <definedName name="AS2DocOpenMode" hidden="1">"AS2DocumentEdit"</definedName>
    <definedName name="asaaa" localSheetId="70">#REF!</definedName>
    <definedName name="asaaa" localSheetId="52">#REF!</definedName>
    <definedName name="asaaa" localSheetId="58">#REF!</definedName>
    <definedName name="asaaa" localSheetId="57">#REF!</definedName>
    <definedName name="asaaa" localSheetId="64">#REF!</definedName>
    <definedName name="asaaa" localSheetId="67">#REF!</definedName>
    <definedName name="asaaa" localSheetId="65">#REF!</definedName>
    <definedName name="asaaa" localSheetId="68">#REF!</definedName>
    <definedName name="asaaa" localSheetId="71">#REF!</definedName>
    <definedName name="asaaa" localSheetId="44">#REF!</definedName>
    <definedName name="asaaa" localSheetId="45">#REF!</definedName>
    <definedName name="asaaa" localSheetId="48">#REF!</definedName>
    <definedName name="asaaa" localSheetId="17">#REF!</definedName>
    <definedName name="asaaa" localSheetId="27">#REF!</definedName>
    <definedName name="asaaa" localSheetId="72">#REF!</definedName>
    <definedName name="asaaa" localSheetId="28">#REF!</definedName>
    <definedName name="asaaa" localSheetId="29">#REF!</definedName>
    <definedName name="asaaa" localSheetId="66">#REF!</definedName>
    <definedName name="asaaa">#REF!</definedName>
    <definedName name="asasasasasaaaaaaaa">[12]Notes!$A$21</definedName>
    <definedName name="asd" localSheetId="70">#REF!</definedName>
    <definedName name="asd" localSheetId="52">#REF!</definedName>
    <definedName name="asd" localSheetId="58">#REF!</definedName>
    <definedName name="asd" localSheetId="56">#REF!</definedName>
    <definedName name="asd" localSheetId="57">#REF!</definedName>
    <definedName name="asd" localSheetId="64">#REF!</definedName>
    <definedName name="asd" localSheetId="67">#REF!</definedName>
    <definedName name="asd" localSheetId="65">#REF!</definedName>
    <definedName name="asd" localSheetId="68">#REF!</definedName>
    <definedName name="asd" localSheetId="71">#REF!</definedName>
    <definedName name="asd" localSheetId="44">#REF!</definedName>
    <definedName name="asd" localSheetId="45">#REF!</definedName>
    <definedName name="asd" localSheetId="17">#REF!</definedName>
    <definedName name="asd" localSheetId="27">#REF!</definedName>
    <definedName name="asd" localSheetId="72">#REF!</definedName>
    <definedName name="asd" localSheetId="28">#REF!</definedName>
    <definedName name="asd" localSheetId="29">#REF!</definedName>
    <definedName name="asd" localSheetId="66">#REF!</definedName>
    <definedName name="asd">#REF!</definedName>
    <definedName name="asdyrgy">'[12]B_S Group'!$H$434</definedName>
    <definedName name="ASO_CODE" localSheetId="70">'[31]ITEM-LIST'!#REF!</definedName>
    <definedName name="ASO_CODE" localSheetId="52">'[31]ITEM-LIST'!#REF!</definedName>
    <definedName name="ASO_CODE" localSheetId="58">'[31]ITEM-LIST'!#REF!</definedName>
    <definedName name="ASO_CODE" localSheetId="56">'[31]ITEM-LIST'!#REF!</definedName>
    <definedName name="ASO_CODE" localSheetId="57">'[31]ITEM-LIST'!#REF!</definedName>
    <definedName name="ASO_CODE" localSheetId="64">'[31]ITEM-LIST'!#REF!</definedName>
    <definedName name="ASO_CODE" localSheetId="67">'[31]ITEM-LIST'!#REF!</definedName>
    <definedName name="ASO_CODE" localSheetId="65">'[31]ITEM-LIST'!#REF!</definedName>
    <definedName name="ASO_CODE" localSheetId="68">'[31]ITEM-LIST'!#REF!</definedName>
    <definedName name="ASO_CODE" localSheetId="71">'[31]ITEM-LIST'!#REF!</definedName>
    <definedName name="ASO_CODE" localSheetId="44">'[31]ITEM-LIST'!#REF!</definedName>
    <definedName name="ASO_CODE" localSheetId="45">'[31]ITEM-LIST'!#REF!</definedName>
    <definedName name="ASO_CODE" localSheetId="17">'[31]ITEM-LIST'!#REF!</definedName>
    <definedName name="ASO_CODE" localSheetId="27">'[31]ITEM-LIST'!#REF!</definedName>
    <definedName name="ASO_CODE" localSheetId="72">'[31]ITEM-LIST'!#REF!</definedName>
    <definedName name="ASO_CODE" localSheetId="28">'[31]ITEM-LIST'!#REF!</definedName>
    <definedName name="ASO_CODE" localSheetId="29">'[31]ITEM-LIST'!#REF!</definedName>
    <definedName name="ASO_CODE" localSheetId="66">'[31]ITEM-LIST'!#REF!</definedName>
    <definedName name="ASO_CODE">'[31]ITEM-LIST'!#REF!</definedName>
    <definedName name="ass" localSheetId="140">#REF!</definedName>
    <definedName name="ass" localSheetId="142">#REF!</definedName>
    <definedName name="ass">[12]Notes!$A$17</definedName>
    <definedName name="asstwice">[12]Notes!$A$19</definedName>
    <definedName name="ASSUMPTIONS">'[5]Financial Estimates'!$A$271:$D$342</definedName>
    <definedName name="atyfafa" localSheetId="70">#REF!</definedName>
    <definedName name="atyfafa" localSheetId="52">#REF!</definedName>
    <definedName name="atyfafa" localSheetId="58">#REF!</definedName>
    <definedName name="atyfafa" localSheetId="57">#REF!</definedName>
    <definedName name="atyfafa" localSheetId="64">#REF!</definedName>
    <definedName name="atyfafa" localSheetId="67">#REF!</definedName>
    <definedName name="atyfafa" localSheetId="65">#REF!</definedName>
    <definedName name="atyfafa" localSheetId="68">#REF!</definedName>
    <definedName name="atyfafa" localSheetId="71">#REF!</definedName>
    <definedName name="atyfafa" localSheetId="44">#REF!</definedName>
    <definedName name="atyfafa" localSheetId="45">#REF!</definedName>
    <definedName name="atyfafa" localSheetId="48">#REF!</definedName>
    <definedName name="atyfafa" localSheetId="17">#REF!</definedName>
    <definedName name="atyfafa" localSheetId="27">#REF!</definedName>
    <definedName name="atyfafa" localSheetId="72">#REF!</definedName>
    <definedName name="atyfafa" localSheetId="28">#REF!</definedName>
    <definedName name="atyfafa" localSheetId="29">#REF!</definedName>
    <definedName name="atyfafa" localSheetId="66">#REF!</definedName>
    <definedName name="atyfafa">#REF!</definedName>
    <definedName name="aueri3hjf">'[12]B_S Group'!$H$31</definedName>
    <definedName name="avsrs">'[12]P&amp;L Group'!$A$90</definedName>
    <definedName name="B" localSheetId="140">#N/A</definedName>
    <definedName name="B" localSheetId="142">#N/A</definedName>
    <definedName name="b">[12]Notes!$A$27</definedName>
    <definedName name="B_1">#N/A</definedName>
    <definedName name="B_FLG" localSheetId="70">#REF!</definedName>
    <definedName name="B_FLG" localSheetId="52">#REF!</definedName>
    <definedName name="B_FLG" localSheetId="58">#REF!</definedName>
    <definedName name="B_FLG" localSheetId="56">#REF!</definedName>
    <definedName name="B_FLG" localSheetId="57">#REF!</definedName>
    <definedName name="B_FLG" localSheetId="64">#REF!</definedName>
    <definedName name="B_FLG" localSheetId="67">#REF!</definedName>
    <definedName name="B_FLG" localSheetId="65">#REF!</definedName>
    <definedName name="B_FLG" localSheetId="68">#REF!</definedName>
    <definedName name="B_FLG" localSheetId="71">#REF!</definedName>
    <definedName name="B_FLG" localSheetId="44">#REF!</definedName>
    <definedName name="B_FLG" localSheetId="45">#REF!</definedName>
    <definedName name="B_FLG" localSheetId="17">#REF!</definedName>
    <definedName name="B_FLG" localSheetId="27">#REF!</definedName>
    <definedName name="B_FLG" localSheetId="72">#REF!</definedName>
    <definedName name="B_FLG" localSheetId="28">#REF!</definedName>
    <definedName name="B_FLG" localSheetId="29">#REF!</definedName>
    <definedName name="B_FLG" localSheetId="66">#REF!</definedName>
    <definedName name="B_FLG">#REF!</definedName>
    <definedName name="back_pressure" localSheetId="70">#REF!</definedName>
    <definedName name="back_pressure" localSheetId="52">#REF!</definedName>
    <definedName name="back_pressure" localSheetId="58">#REF!</definedName>
    <definedName name="back_pressure" localSheetId="57">#REF!</definedName>
    <definedName name="back_pressure" localSheetId="64">#REF!</definedName>
    <definedName name="back_pressure" localSheetId="67">#REF!</definedName>
    <definedName name="back_pressure" localSheetId="65">#REF!</definedName>
    <definedName name="back_pressure" localSheetId="68">#REF!</definedName>
    <definedName name="back_pressure" localSheetId="71">#REF!</definedName>
    <definedName name="back_pressure" localSheetId="44">#REF!</definedName>
    <definedName name="back_pressure" localSheetId="45">#REF!</definedName>
    <definedName name="back_pressure" localSheetId="17">#REF!</definedName>
    <definedName name="back_pressure" localSheetId="27">#REF!</definedName>
    <definedName name="back_pressure" localSheetId="72">#REF!</definedName>
    <definedName name="back_pressure" localSheetId="28">#REF!</definedName>
    <definedName name="back_pressure" localSheetId="29">#REF!</definedName>
    <definedName name="back_pressure" localSheetId="66">#REF!</definedName>
    <definedName name="back_pressure">#REF!</definedName>
    <definedName name="ball" localSheetId="70">#REF!</definedName>
    <definedName name="ball" localSheetId="52">#REF!</definedName>
    <definedName name="ball" localSheetId="58">#REF!</definedName>
    <definedName name="ball" localSheetId="57">#REF!</definedName>
    <definedName name="ball" localSheetId="64">#REF!</definedName>
    <definedName name="ball" localSheetId="67">#REF!</definedName>
    <definedName name="ball" localSheetId="65">#REF!</definedName>
    <definedName name="ball" localSheetId="68">#REF!</definedName>
    <definedName name="ball" localSheetId="71">#REF!</definedName>
    <definedName name="ball" localSheetId="44">#REF!</definedName>
    <definedName name="ball" localSheetId="45">#REF!</definedName>
    <definedName name="ball" localSheetId="17">#REF!</definedName>
    <definedName name="ball" localSheetId="27">#REF!</definedName>
    <definedName name="ball" localSheetId="72">#REF!</definedName>
    <definedName name="ball" localSheetId="28">#REF!</definedName>
    <definedName name="ball" localSheetId="29">#REF!</definedName>
    <definedName name="ball" localSheetId="66">#REF!</definedName>
    <definedName name="ball">#REF!</definedName>
    <definedName name="BAS_FCOST_BEF" localSheetId="70">#REF!</definedName>
    <definedName name="BAS_FCOST_BEF" localSheetId="52">#REF!</definedName>
    <definedName name="BAS_FCOST_BEF" localSheetId="58">#REF!</definedName>
    <definedName name="BAS_FCOST_BEF" localSheetId="57">#REF!</definedName>
    <definedName name="BAS_FCOST_BEF" localSheetId="64">#REF!</definedName>
    <definedName name="BAS_FCOST_BEF" localSheetId="67">#REF!</definedName>
    <definedName name="BAS_FCOST_BEF" localSheetId="65">#REF!</definedName>
    <definedName name="BAS_FCOST_BEF" localSheetId="68">#REF!</definedName>
    <definedName name="BAS_FCOST_BEF" localSheetId="71">#REF!</definedName>
    <definedName name="BAS_FCOST_BEF" localSheetId="44">#REF!</definedName>
    <definedName name="BAS_FCOST_BEF" localSheetId="45">#REF!</definedName>
    <definedName name="BAS_FCOST_BEF" localSheetId="27">#REF!</definedName>
    <definedName name="BAS_FCOST_BEF" localSheetId="28">#REF!</definedName>
    <definedName name="BAS_FCOST_BEF" localSheetId="29">#REF!</definedName>
    <definedName name="BAS_FCOST_BEF" localSheetId="66">#REF!</definedName>
    <definedName name="BAS_FCOST_BEF">#REF!</definedName>
    <definedName name="BATTERIES_ES_TA" localSheetId="70">#REF!</definedName>
    <definedName name="BATTERIES_ES_TA" localSheetId="143">#REF!</definedName>
    <definedName name="BATTERIES_ES_TA" localSheetId="52">#REF!</definedName>
    <definedName name="BATTERIES_ES_TA" localSheetId="58">#REF!</definedName>
    <definedName name="BATTERIES_ES_TA" localSheetId="57">#REF!</definedName>
    <definedName name="BATTERIES_ES_TA" localSheetId="64">#REF!</definedName>
    <definedName name="BATTERIES_ES_TA" localSheetId="67">#REF!</definedName>
    <definedName name="BATTERIES_ES_TA" localSheetId="65">#REF!</definedName>
    <definedName name="BATTERIES_ES_TA" localSheetId="68">#REF!</definedName>
    <definedName name="BATTERIES_ES_TA" localSheetId="71">#REF!</definedName>
    <definedName name="BATTERIES_ES_TA" localSheetId="44">#REF!</definedName>
    <definedName name="BATTERIES_ES_TA" localSheetId="45">#REF!</definedName>
    <definedName name="BATTERIES_ES_TA" localSheetId="27">#REF!</definedName>
    <definedName name="BATTERIES_ES_TA" localSheetId="28">#REF!</definedName>
    <definedName name="BATTERIES_ES_TA" localSheetId="29">#REF!</definedName>
    <definedName name="BATTERIES_ES_TA" localSheetId="66">#REF!</definedName>
    <definedName name="BATTERIES_ES_TA">#REF!</definedName>
    <definedName name="BATTERIES_ES_TD" localSheetId="70">#REF!</definedName>
    <definedName name="BATTERIES_ES_TD" localSheetId="143">#REF!</definedName>
    <definedName name="BATTERIES_ES_TD" localSheetId="52">#REF!</definedName>
    <definedName name="BATTERIES_ES_TD" localSheetId="58">#REF!</definedName>
    <definedName name="BATTERIES_ES_TD" localSheetId="56">#REF!</definedName>
    <definedName name="BATTERIES_ES_TD" localSheetId="57">#REF!</definedName>
    <definedName name="BATTERIES_ES_TD" localSheetId="64">#REF!</definedName>
    <definedName name="BATTERIES_ES_TD" localSheetId="67">#REF!</definedName>
    <definedName name="BATTERIES_ES_TD" localSheetId="65">#REF!</definedName>
    <definedName name="BATTERIES_ES_TD" localSheetId="68">#REF!</definedName>
    <definedName name="BATTERIES_ES_TD" localSheetId="71">#REF!</definedName>
    <definedName name="BATTERIES_ES_TD" localSheetId="44">#REF!</definedName>
    <definedName name="BATTERIES_ES_TD" localSheetId="45">#REF!</definedName>
    <definedName name="BATTERIES_ES_TD" localSheetId="17">#REF!</definedName>
    <definedName name="BATTERIES_ES_TD" localSheetId="27">#REF!</definedName>
    <definedName name="BATTERIES_ES_TD" localSheetId="128">'[26]90% Write off'!#REF!</definedName>
    <definedName name="BATTERIES_ES_TD" localSheetId="28">#REF!</definedName>
    <definedName name="BATTERIES_ES_TD" localSheetId="29">#REF!</definedName>
    <definedName name="BATTERIES_ES_TD" localSheetId="66">#REF!</definedName>
    <definedName name="BATTERIES_ES_TD">#REF!</definedName>
    <definedName name="BB">#N/A</definedName>
    <definedName name="bbb" localSheetId="70">#REF!</definedName>
    <definedName name="bbb" localSheetId="52">#REF!</definedName>
    <definedName name="bbb" localSheetId="58">#REF!</definedName>
    <definedName name="bbb" localSheetId="56">#REF!</definedName>
    <definedName name="bbb" localSheetId="57">#REF!</definedName>
    <definedName name="bbb" localSheetId="64">#REF!</definedName>
    <definedName name="bbb" localSheetId="67">#REF!</definedName>
    <definedName name="bbb" localSheetId="65">#REF!</definedName>
    <definedName name="bbb" localSheetId="68">#REF!</definedName>
    <definedName name="bbb" localSheetId="71">#REF!</definedName>
    <definedName name="bbb" localSheetId="44">#REF!</definedName>
    <definedName name="bbb" localSheetId="45">#REF!</definedName>
    <definedName name="bbb" localSheetId="17">#REF!</definedName>
    <definedName name="bbb" localSheetId="27">#REF!</definedName>
    <definedName name="bbb" localSheetId="72">#REF!</definedName>
    <definedName name="bbb" localSheetId="28">#REF!</definedName>
    <definedName name="bbb" localSheetId="29">#REF!</definedName>
    <definedName name="bbb" localSheetId="66">#REF!</definedName>
    <definedName name="bbb">#REF!</definedName>
    <definedName name="bd" localSheetId="70">'[32]License Area'!#REF!</definedName>
    <definedName name="bd" localSheetId="52">'[32]License Area'!#REF!</definedName>
    <definedName name="bd" localSheetId="58">'[32]License Area'!#REF!</definedName>
    <definedName name="bd" localSheetId="56">'[32]License Area'!#REF!</definedName>
    <definedName name="bd" localSheetId="57">'[32]License Area'!#REF!</definedName>
    <definedName name="bd" localSheetId="64">'[32]License Area'!#REF!</definedName>
    <definedName name="bd" localSheetId="67">'[32]License Area'!#REF!</definedName>
    <definedName name="bd" localSheetId="65">'[32]License Area'!#REF!</definedName>
    <definedName name="bd" localSheetId="68">'[32]License Area'!#REF!</definedName>
    <definedName name="bd" localSheetId="71">'[32]License Area'!#REF!</definedName>
    <definedName name="bd" localSheetId="44">'[32]License Area'!#REF!</definedName>
    <definedName name="bd" localSheetId="45">'[32]License Area'!#REF!</definedName>
    <definedName name="bd" localSheetId="17">'[32]License Area'!#REF!</definedName>
    <definedName name="bd" localSheetId="27">'[32]License Area'!#REF!</definedName>
    <definedName name="bd" localSheetId="72">'[32]License Area'!#REF!</definedName>
    <definedName name="bd" localSheetId="28">'[32]License Area'!#REF!</definedName>
    <definedName name="bd" localSheetId="29">'[32]License Area'!#REF!</definedName>
    <definedName name="bd" localSheetId="66">'[32]License Area'!#REF!</definedName>
    <definedName name="bd">'[32]License Area'!#REF!</definedName>
    <definedName name="bdshfkdf">'[12]B_S Group'!$H$269</definedName>
    <definedName name="bgbgb" localSheetId="70">#REF!,#REF!</definedName>
    <definedName name="bgbgb" localSheetId="52">#REF!,#REF!</definedName>
    <definedName name="bgbgb" localSheetId="58">#REF!,#REF!</definedName>
    <definedName name="bgbgb" localSheetId="57">#REF!,#REF!</definedName>
    <definedName name="bgbgb" localSheetId="64">#REF!,#REF!</definedName>
    <definedName name="bgbgb" localSheetId="67">#REF!,#REF!</definedName>
    <definedName name="bgbgb" localSheetId="65">#REF!,#REF!</definedName>
    <definedName name="bgbgb" localSheetId="68">#REF!,#REF!</definedName>
    <definedName name="bgbgb" localSheetId="71">#REF!,#REF!</definedName>
    <definedName name="bgbgb" localSheetId="44">#REF!,#REF!</definedName>
    <definedName name="bgbgb" localSheetId="45">#REF!,#REF!</definedName>
    <definedName name="bgbgb" localSheetId="48">#REF!,#REF!</definedName>
    <definedName name="bgbgb" localSheetId="17">#REF!,#REF!</definedName>
    <definedName name="bgbgb" localSheetId="27">#REF!,#REF!</definedName>
    <definedName name="bgbgb" localSheetId="72">#REF!,#REF!</definedName>
    <definedName name="bgbgb" localSheetId="28">#REF!,#REF!</definedName>
    <definedName name="bgbgb" localSheetId="29">#REF!,#REF!</definedName>
    <definedName name="bgbgb" localSheetId="66">#REF!,#REF!</definedName>
    <definedName name="bgbgb">#REF!,#REF!</definedName>
    <definedName name="bhefgl">'[12]Schedule 1'!$B$2</definedName>
    <definedName name="BILDQTY">#N/A</definedName>
    <definedName name="BILDQTYNU">#N/A</definedName>
    <definedName name="BILDTWT">#N/A</definedName>
    <definedName name="BILDTWTNU">#N/A</definedName>
    <definedName name="bkd" localSheetId="140" hidden="1">{"'Sheet1'!$L$16"}</definedName>
    <definedName name="bkd" localSheetId="58" hidden="1">{"'Sheet1'!$L$16"}</definedName>
    <definedName name="bkd" localSheetId="56" hidden="1">{"'Sheet1'!$L$16"}</definedName>
    <definedName name="bkd" localSheetId="57" hidden="1">{"'Sheet1'!$L$16"}</definedName>
    <definedName name="bkd" localSheetId="67" hidden="1">{"'Sheet1'!$L$16"}</definedName>
    <definedName name="bkd" localSheetId="65" hidden="1">{"'Sheet1'!$L$16"}</definedName>
    <definedName name="bkd" localSheetId="68" hidden="1">{"'Sheet1'!$L$16"}</definedName>
    <definedName name="bkd" localSheetId="71" hidden="1">{"'Sheet1'!$L$16"}</definedName>
    <definedName name="bkd" localSheetId="17" hidden="1">{"'Sheet1'!$L$16"}</definedName>
    <definedName name="bkd" localSheetId="27" hidden="1">{"'Sheet1'!$L$16"}</definedName>
    <definedName name="bkd" localSheetId="72" hidden="1">{"'Sheet1'!$L$16"}</definedName>
    <definedName name="bkd" localSheetId="28" hidden="1">{"'Sheet1'!$L$16"}</definedName>
    <definedName name="bkd" localSheetId="29" hidden="1">{"'Sheet1'!$L$16"}</definedName>
    <definedName name="bkd" hidden="1">{"'Sheet1'!$L$16"}</definedName>
    <definedName name="BLOCK02" localSheetId="70">#REF!</definedName>
    <definedName name="BLOCK02" localSheetId="52">#REF!</definedName>
    <definedName name="BLOCK02" localSheetId="58">#REF!</definedName>
    <definedName name="BLOCK02" localSheetId="57">#REF!</definedName>
    <definedName name="BLOCK02" localSheetId="64">#REF!</definedName>
    <definedName name="BLOCK02" localSheetId="67">#REF!</definedName>
    <definedName name="BLOCK02" localSheetId="65">#REF!</definedName>
    <definedName name="BLOCK02" localSheetId="68">#REF!</definedName>
    <definedName name="BLOCK02" localSheetId="71">#REF!</definedName>
    <definedName name="BLOCK02" localSheetId="44">#REF!</definedName>
    <definedName name="BLOCK02" localSheetId="45">#REF!</definedName>
    <definedName name="BLOCK02" localSheetId="27">#REF!</definedName>
    <definedName name="BLOCK02" localSheetId="28">#REF!</definedName>
    <definedName name="BLOCK02" localSheetId="29">#REF!</definedName>
    <definedName name="BLOCK02" localSheetId="66">#REF!</definedName>
    <definedName name="BLOCK02">#REF!</definedName>
    <definedName name="BLOCK03" localSheetId="70">#REF!</definedName>
    <definedName name="BLOCK03" localSheetId="52">#REF!</definedName>
    <definedName name="BLOCK03" localSheetId="58">#REF!</definedName>
    <definedName name="BLOCK03" localSheetId="57">#REF!</definedName>
    <definedName name="BLOCK03" localSheetId="64">#REF!</definedName>
    <definedName name="BLOCK03" localSheetId="67">#REF!</definedName>
    <definedName name="BLOCK03" localSheetId="65">#REF!</definedName>
    <definedName name="BLOCK03" localSheetId="68">#REF!</definedName>
    <definedName name="BLOCK03" localSheetId="71">#REF!</definedName>
    <definedName name="BLOCK03" localSheetId="44">#REF!</definedName>
    <definedName name="BLOCK03" localSheetId="45">#REF!</definedName>
    <definedName name="BLOCK03" localSheetId="27">#REF!</definedName>
    <definedName name="BLOCK03" localSheetId="28">#REF!</definedName>
    <definedName name="BLOCK03" localSheetId="29">#REF!</definedName>
    <definedName name="BLOCK03" localSheetId="66">#REF!</definedName>
    <definedName name="BLOCK03">#REF!</definedName>
    <definedName name="BLR_COMP" localSheetId="70">#REF!</definedName>
    <definedName name="BLR_COMP" localSheetId="52">#REF!</definedName>
    <definedName name="BLR_COMP" localSheetId="58">#REF!</definedName>
    <definedName name="BLR_COMP" localSheetId="57">#REF!</definedName>
    <definedName name="BLR_COMP" localSheetId="64">#REF!</definedName>
    <definedName name="BLR_COMP" localSheetId="67">#REF!</definedName>
    <definedName name="BLR_COMP" localSheetId="65">#REF!</definedName>
    <definedName name="BLR_COMP" localSheetId="68">#REF!</definedName>
    <definedName name="BLR_COMP" localSheetId="71">#REF!</definedName>
    <definedName name="BLR_COMP" localSheetId="44">#REF!</definedName>
    <definedName name="BLR_COMP" localSheetId="45">#REF!</definedName>
    <definedName name="BLR_COMP" localSheetId="27">#REF!</definedName>
    <definedName name="BLR_COMP" localSheetId="28">#REF!</definedName>
    <definedName name="BLR_COMP" localSheetId="29">#REF!</definedName>
    <definedName name="BLR_COMP" localSheetId="66">#REF!</definedName>
    <definedName name="BLR_COMP">#REF!</definedName>
    <definedName name="BLR_COMP1" localSheetId="70">#REF!</definedName>
    <definedName name="BLR_COMP1" localSheetId="52">#REF!</definedName>
    <definedName name="BLR_COMP1" localSheetId="58">#REF!</definedName>
    <definedName name="BLR_COMP1" localSheetId="57">#REF!</definedName>
    <definedName name="BLR_COMP1" localSheetId="64">#REF!</definedName>
    <definedName name="BLR_COMP1" localSheetId="67">#REF!</definedName>
    <definedName name="BLR_COMP1" localSheetId="65">#REF!</definedName>
    <definedName name="BLR_COMP1" localSheetId="68">#REF!</definedName>
    <definedName name="BLR_COMP1" localSheetId="71">#REF!</definedName>
    <definedName name="BLR_COMP1" localSheetId="44">#REF!</definedName>
    <definedName name="BLR_COMP1" localSheetId="45">#REF!</definedName>
    <definedName name="BLR_COMP1" localSheetId="27">#REF!</definedName>
    <definedName name="BLR_COMP1" localSheetId="28">#REF!</definedName>
    <definedName name="BLR_COMP1" localSheetId="29">#REF!</definedName>
    <definedName name="BLR_COMP1" localSheetId="66">#REF!</definedName>
    <definedName name="BLR_COMP1">#REF!</definedName>
    <definedName name="BLR_TYPE" localSheetId="70">#REF!</definedName>
    <definedName name="BLR_TYPE" localSheetId="52">#REF!</definedName>
    <definedName name="BLR_TYPE" localSheetId="58">#REF!</definedName>
    <definedName name="BLR_TYPE" localSheetId="57">#REF!</definedName>
    <definedName name="BLR_TYPE" localSheetId="64">#REF!</definedName>
    <definedName name="BLR_TYPE" localSheetId="67">#REF!</definedName>
    <definedName name="BLR_TYPE" localSheetId="65">#REF!</definedName>
    <definedName name="BLR_TYPE" localSheetId="68">#REF!</definedName>
    <definedName name="BLR_TYPE" localSheetId="71">#REF!</definedName>
    <definedName name="BLR_TYPE" localSheetId="44">#REF!</definedName>
    <definedName name="BLR_TYPE" localSheetId="45">#REF!</definedName>
    <definedName name="BLR_TYPE" localSheetId="27">#REF!</definedName>
    <definedName name="BLR_TYPE" localSheetId="28">#REF!</definedName>
    <definedName name="BLR_TYPE" localSheetId="29">#REF!</definedName>
    <definedName name="BLR_TYPE" localSheetId="66">#REF!</definedName>
    <definedName name="BLR_TYPE">#REF!</definedName>
    <definedName name="bm" localSheetId="140" hidden="1">{"'Sheet1'!$L$16"}</definedName>
    <definedName name="bm" localSheetId="58" hidden="1">{"'Sheet1'!$L$16"}</definedName>
    <definedName name="bm" localSheetId="56" hidden="1">{"'Sheet1'!$L$16"}</definedName>
    <definedName name="bm" localSheetId="57" hidden="1">{"'Sheet1'!$L$16"}</definedName>
    <definedName name="bm" localSheetId="67" hidden="1">{"'Sheet1'!$L$16"}</definedName>
    <definedName name="bm" localSheetId="65" hidden="1">{"'Sheet1'!$L$16"}</definedName>
    <definedName name="bm" localSheetId="68" hidden="1">{"'Sheet1'!$L$16"}</definedName>
    <definedName name="bm" localSheetId="71" hidden="1">{"'Sheet1'!$L$16"}</definedName>
    <definedName name="bm" localSheetId="17" hidden="1">{"'Sheet1'!$L$16"}</definedName>
    <definedName name="bm" localSheetId="27" hidden="1">{"'Sheet1'!$L$16"}</definedName>
    <definedName name="bm" localSheetId="72" hidden="1">{"'Sheet1'!$L$16"}</definedName>
    <definedName name="bm" localSheetId="28" hidden="1">{"'Sheet1'!$L$16"}</definedName>
    <definedName name="bm" localSheetId="29" hidden="1">{"'Sheet1'!$L$16"}</definedName>
    <definedName name="bm" hidden="1">{"'Sheet1'!$L$16"}</definedName>
    <definedName name="bn" localSheetId="140" hidden="1">{"'Sheet1'!$L$16"}</definedName>
    <definedName name="bn" localSheetId="58" hidden="1">{"'Sheet1'!$L$16"}</definedName>
    <definedName name="bn" localSheetId="56" hidden="1">{"'Sheet1'!$L$16"}</definedName>
    <definedName name="bn" localSheetId="57" hidden="1">{"'Sheet1'!$L$16"}</definedName>
    <definedName name="bn" localSheetId="67" hidden="1">{"'Sheet1'!$L$16"}</definedName>
    <definedName name="bn" localSheetId="65" hidden="1">{"'Sheet1'!$L$16"}</definedName>
    <definedName name="bn" localSheetId="68" hidden="1">{"'Sheet1'!$L$16"}</definedName>
    <definedName name="bn" localSheetId="71" hidden="1">{"'Sheet1'!$L$16"}</definedName>
    <definedName name="bn" localSheetId="17" hidden="1">{"'Sheet1'!$L$16"}</definedName>
    <definedName name="bn" localSheetId="27" hidden="1">{"'Sheet1'!$L$16"}</definedName>
    <definedName name="bn" localSheetId="72" hidden="1">{"'Sheet1'!$L$16"}</definedName>
    <definedName name="bn" localSheetId="28" hidden="1">{"'Sheet1'!$L$16"}</definedName>
    <definedName name="bn" localSheetId="29" hidden="1">{"'Sheet1'!$L$16"}</definedName>
    <definedName name="bn" hidden="1">{"'Sheet1'!$L$16"}</definedName>
    <definedName name="BOLT" localSheetId="70">#REF!</definedName>
    <definedName name="BOLT" localSheetId="52">#REF!</definedName>
    <definedName name="BOLT" localSheetId="58">#REF!</definedName>
    <definedName name="BOLT" localSheetId="57">#REF!</definedName>
    <definedName name="BOLT" localSheetId="64">#REF!</definedName>
    <definedName name="BOLT" localSheetId="67">#REF!</definedName>
    <definedName name="BOLT" localSheetId="65">#REF!</definedName>
    <definedName name="BOLT" localSheetId="68">#REF!</definedName>
    <definedName name="BOLT" localSheetId="71">#REF!</definedName>
    <definedName name="BOLT" localSheetId="44">#REF!</definedName>
    <definedName name="BOLT" localSheetId="45">#REF!</definedName>
    <definedName name="BOLT" localSheetId="27">#REF!</definedName>
    <definedName name="BOLT" localSheetId="28">#REF!</definedName>
    <definedName name="BOLT" localSheetId="29">#REF!</definedName>
    <definedName name="BOLT" localSheetId="66">#REF!</definedName>
    <definedName name="BOLT">#REF!</definedName>
    <definedName name="BOSS" localSheetId="70">#REF!</definedName>
    <definedName name="BOSS" localSheetId="52">#REF!</definedName>
    <definedName name="BOSS" localSheetId="58">#REF!</definedName>
    <definedName name="BOSS" localSheetId="57">#REF!</definedName>
    <definedName name="BOSS" localSheetId="64">#REF!</definedName>
    <definedName name="BOSS" localSheetId="67">#REF!</definedName>
    <definedName name="BOSS" localSheetId="65">#REF!</definedName>
    <definedName name="BOSS" localSheetId="68">#REF!</definedName>
    <definedName name="BOSS" localSheetId="71">#REF!</definedName>
    <definedName name="BOSS" localSheetId="44">#REF!</definedName>
    <definedName name="BOSS" localSheetId="45">#REF!</definedName>
    <definedName name="BOSS" localSheetId="27">#REF!</definedName>
    <definedName name="BOSS" localSheetId="28">#REF!</definedName>
    <definedName name="BOSS" localSheetId="29">#REF!</definedName>
    <definedName name="BOSS" localSheetId="66">#REF!</definedName>
    <definedName name="BOSS">#REF!</definedName>
    <definedName name="bsdfhkd">'[12]B_S Group'!$H$277</definedName>
    <definedName name="bshfdgdf">'[12]B_S Group'!$H$129</definedName>
    <definedName name="BSO_CODE" localSheetId="70">'[31]ITEM-LIST'!#REF!</definedName>
    <definedName name="BSO_CODE" localSheetId="52">'[31]ITEM-LIST'!#REF!</definedName>
    <definedName name="BSO_CODE" localSheetId="58">'[31]ITEM-LIST'!#REF!</definedName>
    <definedName name="BSO_CODE" localSheetId="56">'[31]ITEM-LIST'!#REF!</definedName>
    <definedName name="BSO_CODE" localSheetId="57">'[31]ITEM-LIST'!#REF!</definedName>
    <definedName name="BSO_CODE" localSheetId="64">'[31]ITEM-LIST'!#REF!</definedName>
    <definedName name="BSO_CODE" localSheetId="67">'[31]ITEM-LIST'!#REF!</definedName>
    <definedName name="BSO_CODE" localSheetId="65">'[31]ITEM-LIST'!#REF!</definedName>
    <definedName name="BSO_CODE" localSheetId="68">'[31]ITEM-LIST'!#REF!</definedName>
    <definedName name="BSO_CODE" localSheetId="71">'[31]ITEM-LIST'!#REF!</definedName>
    <definedName name="BSO_CODE" localSheetId="44">'[31]ITEM-LIST'!#REF!</definedName>
    <definedName name="BSO_CODE" localSheetId="45">'[31]ITEM-LIST'!#REF!</definedName>
    <definedName name="BSO_CODE" localSheetId="17">'[31]ITEM-LIST'!#REF!</definedName>
    <definedName name="BSO_CODE" localSheetId="27">'[31]ITEM-LIST'!#REF!</definedName>
    <definedName name="BSO_CODE" localSheetId="72">'[31]ITEM-LIST'!#REF!</definedName>
    <definedName name="BSO_CODE" localSheetId="28">'[31]ITEM-LIST'!#REF!</definedName>
    <definedName name="BSO_CODE" localSheetId="29">'[31]ITEM-LIST'!#REF!</definedName>
    <definedName name="BSO_CODE" localSheetId="66">'[31]ITEM-LIST'!#REF!</definedName>
    <definedName name="BSO_CODE">'[31]ITEM-LIST'!#REF!</definedName>
    <definedName name="BT" localSheetId="70">'[33]해외 연수비용 계산-삭제'!#REF!</definedName>
    <definedName name="BT" localSheetId="52">'[33]해외 연수비용 계산-삭제'!#REF!</definedName>
    <definedName name="BT" localSheetId="58">'[33]해외 연수비용 계산-삭제'!#REF!</definedName>
    <definedName name="BT" localSheetId="57">'[33]해외 연수비용 계산-삭제'!#REF!</definedName>
    <definedName name="BT" localSheetId="64">'[33]해외 연수비용 계산-삭제'!#REF!</definedName>
    <definedName name="BT" localSheetId="67">'[33]해외 연수비용 계산-삭제'!#REF!</definedName>
    <definedName name="BT" localSheetId="65">'[33]해외 연수비용 계산-삭제'!#REF!</definedName>
    <definedName name="BT" localSheetId="68">'[33]해외 연수비용 계산-삭제'!#REF!</definedName>
    <definedName name="BT" localSheetId="71">'[33]해외 연수비용 계산-삭제'!#REF!</definedName>
    <definedName name="BT" localSheetId="44">'[33]해외 연수비용 계산-삭제'!#REF!</definedName>
    <definedName name="BT" localSheetId="45">'[33]해외 연수비용 계산-삭제'!#REF!</definedName>
    <definedName name="BT" localSheetId="17">'[33]해외 연수비용 계산-삭제'!#REF!</definedName>
    <definedName name="BT" localSheetId="27">'[33]해외 연수비용 계산-삭제'!#REF!</definedName>
    <definedName name="BT" localSheetId="72">'[33]해외 연수비용 계산-삭제'!#REF!</definedName>
    <definedName name="BT" localSheetId="28">'[33]해외 연수비용 계산-삭제'!#REF!</definedName>
    <definedName name="BT" localSheetId="29">'[33]해외 연수비용 계산-삭제'!#REF!</definedName>
    <definedName name="BT" localSheetId="66">'[33]해외 연수비용 계산-삭제'!#REF!</definedName>
    <definedName name="BT">'[33]해외 연수비용 계산-삭제'!#REF!</definedName>
    <definedName name="BUILD_ES_TA" localSheetId="70">#REF!</definedName>
    <definedName name="BUILD_ES_TA" localSheetId="143">#REF!</definedName>
    <definedName name="BUILD_ES_TA" localSheetId="52">#REF!</definedName>
    <definedName name="BUILD_ES_TA" localSheetId="58">#REF!</definedName>
    <definedName name="BUILD_ES_TA" localSheetId="57">#REF!</definedName>
    <definedName name="BUILD_ES_TA" localSheetId="64">#REF!</definedName>
    <definedName name="BUILD_ES_TA" localSheetId="67">#REF!</definedName>
    <definedName name="BUILD_ES_TA" localSheetId="65">#REF!</definedName>
    <definedName name="BUILD_ES_TA" localSheetId="68">#REF!</definedName>
    <definedName name="BUILD_ES_TA" localSheetId="71">#REF!</definedName>
    <definedName name="BUILD_ES_TA" localSheetId="44">#REF!</definedName>
    <definedName name="BUILD_ES_TA" localSheetId="45">#REF!</definedName>
    <definedName name="BUILD_ES_TA" localSheetId="17">#REF!</definedName>
    <definedName name="BUILD_ES_TA" localSheetId="27">#REF!</definedName>
    <definedName name="BUILD_ES_TA" localSheetId="72">#REF!</definedName>
    <definedName name="BUILD_ES_TA" localSheetId="28">#REF!</definedName>
    <definedName name="BUILD_ES_TA" localSheetId="29">#REF!</definedName>
    <definedName name="BUILD_ES_TA" localSheetId="66">#REF!</definedName>
    <definedName name="BUILD_ES_TA">#REF!</definedName>
    <definedName name="BUILD_ES_TD" localSheetId="70">#REF!</definedName>
    <definedName name="BUILD_ES_TD" localSheetId="143">#REF!</definedName>
    <definedName name="BUILD_ES_TD" localSheetId="52">#REF!</definedName>
    <definedName name="BUILD_ES_TD" localSheetId="58">#REF!</definedName>
    <definedName name="BUILD_ES_TD" localSheetId="56">#REF!</definedName>
    <definedName name="BUILD_ES_TD" localSheetId="57">#REF!</definedName>
    <definedName name="BUILD_ES_TD" localSheetId="64">#REF!</definedName>
    <definedName name="BUILD_ES_TD" localSheetId="67">#REF!</definedName>
    <definedName name="BUILD_ES_TD" localSheetId="65">#REF!</definedName>
    <definedName name="BUILD_ES_TD" localSheetId="68">#REF!</definedName>
    <definedName name="BUILD_ES_TD" localSheetId="71">#REF!</definedName>
    <definedName name="BUILD_ES_TD" localSheetId="44">#REF!</definedName>
    <definedName name="BUILD_ES_TD" localSheetId="45">#REF!</definedName>
    <definedName name="BUILD_ES_TD" localSheetId="17">#REF!</definedName>
    <definedName name="BUILD_ES_TD" localSheetId="27">#REF!</definedName>
    <definedName name="BUILD_ES_TD" localSheetId="72">#REF!</definedName>
    <definedName name="BUILD_ES_TD" localSheetId="128">'[26]90% Write off'!#REF!</definedName>
    <definedName name="BUILD_ES_TD" localSheetId="28">#REF!</definedName>
    <definedName name="BUILD_ES_TD" localSheetId="29">#REF!</definedName>
    <definedName name="BUILD_ES_TD" localSheetId="66">#REF!</definedName>
    <definedName name="BUILD_ES_TD">#REF!</definedName>
    <definedName name="BUILD_GEN_TA" localSheetId="70">#REF!</definedName>
    <definedName name="BUILD_GEN_TA" localSheetId="143">#REF!</definedName>
    <definedName name="BUILD_GEN_TA" localSheetId="52">#REF!</definedName>
    <definedName name="BUILD_GEN_TA" localSheetId="58">#REF!</definedName>
    <definedName name="BUILD_GEN_TA" localSheetId="57">#REF!</definedName>
    <definedName name="BUILD_GEN_TA" localSheetId="64">#REF!</definedName>
    <definedName name="BUILD_GEN_TA" localSheetId="67">#REF!</definedName>
    <definedName name="BUILD_GEN_TA" localSheetId="65">#REF!</definedName>
    <definedName name="BUILD_GEN_TA" localSheetId="68">#REF!</definedName>
    <definedName name="BUILD_GEN_TA" localSheetId="71">#REF!</definedName>
    <definedName name="BUILD_GEN_TA" localSheetId="44">#REF!</definedName>
    <definedName name="BUILD_GEN_TA" localSheetId="45">#REF!</definedName>
    <definedName name="BUILD_GEN_TA" localSheetId="17">#REF!</definedName>
    <definedName name="BUILD_GEN_TA" localSheetId="27">#REF!</definedName>
    <definedName name="BUILD_GEN_TA" localSheetId="72">#REF!</definedName>
    <definedName name="BUILD_GEN_TA" localSheetId="28">#REF!</definedName>
    <definedName name="BUILD_GEN_TA" localSheetId="29">#REF!</definedName>
    <definedName name="BUILD_GEN_TA" localSheetId="66">#REF!</definedName>
    <definedName name="BUILD_GEN_TA">#REF!</definedName>
    <definedName name="BUILD_GEN_TD" localSheetId="70">#REF!</definedName>
    <definedName name="BUILD_GEN_TD" localSheetId="143">#REF!</definedName>
    <definedName name="BUILD_GEN_TD" localSheetId="52">#REF!</definedName>
    <definedName name="BUILD_GEN_TD" localSheetId="58">#REF!</definedName>
    <definedName name="BUILD_GEN_TD" localSheetId="56">#REF!</definedName>
    <definedName name="BUILD_GEN_TD" localSheetId="57">#REF!</definedName>
    <definedName name="BUILD_GEN_TD" localSheetId="64">#REF!</definedName>
    <definedName name="BUILD_GEN_TD" localSheetId="67">#REF!</definedName>
    <definedName name="BUILD_GEN_TD" localSheetId="65">#REF!</definedName>
    <definedName name="BUILD_GEN_TD" localSheetId="68">#REF!</definedName>
    <definedName name="BUILD_GEN_TD" localSheetId="71">#REF!</definedName>
    <definedName name="BUILD_GEN_TD" localSheetId="44">#REF!</definedName>
    <definedName name="BUILD_GEN_TD" localSheetId="45">#REF!</definedName>
    <definedName name="BUILD_GEN_TD" localSheetId="17">#REF!</definedName>
    <definedName name="BUILD_GEN_TD" localSheetId="27">#REF!</definedName>
    <definedName name="BUILD_GEN_TD" localSheetId="128">'[26]90% Write off'!#REF!</definedName>
    <definedName name="BUILD_GEN_TD" localSheetId="28">#REF!</definedName>
    <definedName name="BUILD_GEN_TD" localSheetId="29">#REF!</definedName>
    <definedName name="BUILD_GEN_TD" localSheetId="66">#REF!</definedName>
    <definedName name="BUILD_GEN_TD">#REF!</definedName>
    <definedName name="BULYANGPNT" localSheetId="70">[13]!BULYANGPNT</definedName>
    <definedName name="BULYANGPNT" localSheetId="52">[13]!BULYANGPNT</definedName>
    <definedName name="BULYANGPNT" localSheetId="58">[13]!BULYANGPNT</definedName>
    <definedName name="BULYANGPNT" localSheetId="57">[13]!BULYANGPNT</definedName>
    <definedName name="BULYANGPNT" localSheetId="64">[13]!BULYANGPNT</definedName>
    <definedName name="BULYANGPNT" localSheetId="67">[13]!BULYANGPNT</definedName>
    <definedName name="BULYANGPNT" localSheetId="65">[13]!BULYANGPNT</definedName>
    <definedName name="BULYANGPNT" localSheetId="68">[13]!BULYANGPNT</definedName>
    <definedName name="BULYANGPNT" localSheetId="71">[13]!BULYANGPNT</definedName>
    <definedName name="BULYANGPNT" localSheetId="44">[13]!BULYANGPNT</definedName>
    <definedName name="BULYANGPNT" localSheetId="45">[13]!BULYANGPNT</definedName>
    <definedName name="BULYANGPNT" localSheetId="27">[13]!BULYANGPNT</definedName>
    <definedName name="BULYANGPNT" localSheetId="28">[13]!BULYANGPNT</definedName>
    <definedName name="BULYANGPNT" localSheetId="29">[13]!BULYANGPNT</definedName>
    <definedName name="BULYANGPNT" localSheetId="66">[13]!BULYANGPNT</definedName>
    <definedName name="BULYANGPNT">[13]!BULYANGPNT</definedName>
    <definedName name="butterfly" localSheetId="70">#REF!</definedName>
    <definedName name="butterfly" localSheetId="52">#REF!</definedName>
    <definedName name="butterfly" localSheetId="58">#REF!</definedName>
    <definedName name="butterfly" localSheetId="56">#REF!</definedName>
    <definedName name="butterfly" localSheetId="57">#REF!</definedName>
    <definedName name="butterfly" localSheetId="64">#REF!</definedName>
    <definedName name="butterfly" localSheetId="67">#REF!</definedName>
    <definedName name="butterfly" localSheetId="65">#REF!</definedName>
    <definedName name="butterfly" localSheetId="68">#REF!</definedName>
    <definedName name="butterfly" localSheetId="71">#REF!</definedName>
    <definedName name="butterfly" localSheetId="44">#REF!</definedName>
    <definedName name="butterfly" localSheetId="45">#REF!</definedName>
    <definedName name="butterfly" localSheetId="17">#REF!</definedName>
    <definedName name="butterfly" localSheetId="27">#REF!</definedName>
    <definedName name="butterfly" localSheetId="72">#REF!</definedName>
    <definedName name="butterfly" localSheetId="28">#REF!</definedName>
    <definedName name="butterfly" localSheetId="29">#REF!</definedName>
    <definedName name="butterfly" localSheetId="66">#REF!</definedName>
    <definedName name="butterfly">#REF!</definedName>
    <definedName name="C_" localSheetId="70">#REF!</definedName>
    <definedName name="C_" localSheetId="14">#REF!</definedName>
    <definedName name="C_" localSheetId="52">#REF!</definedName>
    <definedName name="C_" localSheetId="58">#REF!</definedName>
    <definedName name="C_" localSheetId="57">#REF!</definedName>
    <definedName name="C_" localSheetId="64">#REF!</definedName>
    <definedName name="C_" localSheetId="67">#REF!</definedName>
    <definedName name="C_" localSheetId="65">#REF!</definedName>
    <definedName name="C_" localSheetId="68">#REF!</definedName>
    <definedName name="C_" localSheetId="71">#REF!</definedName>
    <definedName name="C_" localSheetId="44">#REF!</definedName>
    <definedName name="C_" localSheetId="45">#REF!</definedName>
    <definedName name="C_" localSheetId="17">#REF!</definedName>
    <definedName name="C_" localSheetId="27">#REF!</definedName>
    <definedName name="C_" localSheetId="72">#REF!</definedName>
    <definedName name="C_" localSheetId="28">#REF!</definedName>
    <definedName name="C_" localSheetId="29">#REF!</definedName>
    <definedName name="C_" localSheetId="66">#REF!</definedName>
    <definedName name="C_">#REF!</definedName>
    <definedName name="ca" localSheetId="70">#REF!</definedName>
    <definedName name="ca" localSheetId="52">#REF!</definedName>
    <definedName name="ca" localSheetId="58">#REF!</definedName>
    <definedName name="ca" localSheetId="57">#REF!</definedName>
    <definedName name="ca" localSheetId="64">#REF!</definedName>
    <definedName name="ca" localSheetId="67">#REF!</definedName>
    <definedName name="ca" localSheetId="65">#REF!</definedName>
    <definedName name="ca" localSheetId="68">#REF!</definedName>
    <definedName name="ca" localSheetId="71">#REF!</definedName>
    <definedName name="ca" localSheetId="44">#REF!</definedName>
    <definedName name="ca" localSheetId="45">#REF!</definedName>
    <definedName name="ca" localSheetId="17">#REF!</definedName>
    <definedName name="ca" localSheetId="27">#REF!</definedName>
    <definedName name="ca" localSheetId="72">#REF!</definedName>
    <definedName name="ca" localSheetId="28">#REF!</definedName>
    <definedName name="ca" localSheetId="29">#REF!</definedName>
    <definedName name="ca" localSheetId="66">#REF!</definedName>
    <definedName name="ca">#REF!</definedName>
    <definedName name="CABLESMAIN_ES_TA" localSheetId="70">#REF!</definedName>
    <definedName name="CABLESMAIN_ES_TA" localSheetId="143">#REF!</definedName>
    <definedName name="CABLESMAIN_ES_TA" localSheetId="52">#REF!</definedName>
    <definedName name="CABLESMAIN_ES_TA" localSheetId="58">#REF!</definedName>
    <definedName name="CABLESMAIN_ES_TA" localSheetId="57">#REF!</definedName>
    <definedName name="CABLESMAIN_ES_TA" localSheetId="64">#REF!</definedName>
    <definedName name="CABLESMAIN_ES_TA" localSheetId="67">#REF!</definedName>
    <definedName name="CABLESMAIN_ES_TA" localSheetId="65">#REF!</definedName>
    <definedName name="CABLESMAIN_ES_TA" localSheetId="68">#REF!</definedName>
    <definedName name="CABLESMAIN_ES_TA" localSheetId="71">#REF!</definedName>
    <definedName name="CABLESMAIN_ES_TA" localSheetId="44">#REF!</definedName>
    <definedName name="CABLESMAIN_ES_TA" localSheetId="45">#REF!</definedName>
    <definedName name="CABLESMAIN_ES_TA" localSheetId="27">#REF!</definedName>
    <definedName name="CABLESMAIN_ES_TA" localSheetId="28">#REF!</definedName>
    <definedName name="CABLESMAIN_ES_TA" localSheetId="29">#REF!</definedName>
    <definedName name="CABLESMAIN_ES_TA" localSheetId="66">#REF!</definedName>
    <definedName name="CABLESMAIN_ES_TA">#REF!</definedName>
    <definedName name="CABLESMAIN_ES_TD" localSheetId="70">#REF!</definedName>
    <definedName name="CABLESMAIN_ES_TD" localSheetId="143">#REF!</definedName>
    <definedName name="CABLESMAIN_ES_TD" localSheetId="52">#REF!</definedName>
    <definedName name="CABLESMAIN_ES_TD" localSheetId="58">#REF!</definedName>
    <definedName name="CABLESMAIN_ES_TD" localSheetId="56">#REF!</definedName>
    <definedName name="CABLESMAIN_ES_TD" localSheetId="57">#REF!</definedName>
    <definedName name="CABLESMAIN_ES_TD" localSheetId="64">#REF!</definedName>
    <definedName name="CABLESMAIN_ES_TD" localSheetId="67">#REF!</definedName>
    <definedName name="CABLESMAIN_ES_TD" localSheetId="65">#REF!</definedName>
    <definedName name="CABLESMAIN_ES_TD" localSheetId="68">#REF!</definedName>
    <definedName name="CABLESMAIN_ES_TD" localSheetId="71">#REF!</definedName>
    <definedName name="CABLESMAIN_ES_TD" localSheetId="44">#REF!</definedName>
    <definedName name="CABLESMAIN_ES_TD" localSheetId="45">#REF!</definedName>
    <definedName name="CABLESMAIN_ES_TD" localSheetId="17">#REF!</definedName>
    <definedName name="CABLESMAIN_ES_TD" localSheetId="27">#REF!</definedName>
    <definedName name="CABLESMAIN_ES_TD" localSheetId="128">'[26]90% Write off'!#REF!</definedName>
    <definedName name="CABLESMAIN_ES_TD" localSheetId="28">#REF!</definedName>
    <definedName name="CABLESMAIN_ES_TD" localSheetId="29">#REF!</definedName>
    <definedName name="CABLESMAIN_ES_TD" localSheetId="66">#REF!</definedName>
    <definedName name="CABLESMAIN_ES_TD">#REF!</definedName>
    <definedName name="Cal" localSheetId="70">#REF!</definedName>
    <definedName name="Cal" localSheetId="52">#REF!</definedName>
    <definedName name="Cal" localSheetId="58">#REF!</definedName>
    <definedName name="Cal" localSheetId="57">#REF!</definedName>
    <definedName name="Cal" localSheetId="64">#REF!</definedName>
    <definedName name="Cal" localSheetId="67">#REF!</definedName>
    <definedName name="Cal" localSheetId="65">#REF!</definedName>
    <definedName name="Cal" localSheetId="68">#REF!</definedName>
    <definedName name="Cal" localSheetId="71">#REF!</definedName>
    <definedName name="Cal" localSheetId="44">#REF!</definedName>
    <definedName name="Cal" localSheetId="45">#REF!</definedName>
    <definedName name="Cal" localSheetId="17">#REF!</definedName>
    <definedName name="Cal" localSheetId="27">#REF!</definedName>
    <definedName name="Cal" localSheetId="72">#REF!</definedName>
    <definedName name="Cal" localSheetId="28">#REF!</definedName>
    <definedName name="Cal" localSheetId="29">#REF!</definedName>
    <definedName name="Cal" localSheetId="66">#REF!</definedName>
    <definedName name="Cal">#REF!</definedName>
    <definedName name="CalcAgencyPrice" localSheetId="70">#REF!</definedName>
    <definedName name="CalcAgencyPrice" localSheetId="52">#REF!</definedName>
    <definedName name="CalcAgencyPrice" localSheetId="58">#REF!</definedName>
    <definedName name="CalcAgencyPrice" localSheetId="57">#REF!</definedName>
    <definedName name="CalcAgencyPrice" localSheetId="64">#REF!</definedName>
    <definedName name="CalcAgencyPrice" localSheetId="67">#REF!</definedName>
    <definedName name="CalcAgencyPrice" localSheetId="65">#REF!</definedName>
    <definedName name="CalcAgencyPrice" localSheetId="68">#REF!</definedName>
    <definedName name="CalcAgencyPrice" localSheetId="71">#REF!</definedName>
    <definedName name="CalcAgencyPrice" localSheetId="44">#REF!</definedName>
    <definedName name="CalcAgencyPrice" localSheetId="45">#REF!</definedName>
    <definedName name="CalcAgencyPrice" localSheetId="17">#REF!</definedName>
    <definedName name="CalcAgencyPrice" localSheetId="27">#REF!</definedName>
    <definedName name="CalcAgencyPrice" localSheetId="72">#REF!</definedName>
    <definedName name="CalcAgencyPrice" localSheetId="28">#REF!</definedName>
    <definedName name="CalcAgencyPrice" localSheetId="29">#REF!</definedName>
    <definedName name="CalcAgencyPrice" localSheetId="66">#REF!</definedName>
    <definedName name="CalcAgencyPrice">#REF!</definedName>
    <definedName name="CAP" localSheetId="70">#REF!</definedName>
    <definedName name="CAP" localSheetId="52">#REF!</definedName>
    <definedName name="CAP" localSheetId="58">#REF!</definedName>
    <definedName name="CAP" localSheetId="57">#REF!</definedName>
    <definedName name="CAP" localSheetId="64">#REF!</definedName>
    <definedName name="CAP" localSheetId="67">#REF!</definedName>
    <definedName name="CAP" localSheetId="65">#REF!</definedName>
    <definedName name="CAP" localSheetId="68">#REF!</definedName>
    <definedName name="CAP" localSheetId="71">#REF!</definedName>
    <definedName name="CAP" localSheetId="44">#REF!</definedName>
    <definedName name="CAP" localSheetId="45">#REF!</definedName>
    <definedName name="CAP" localSheetId="27">#REF!</definedName>
    <definedName name="CAP" localSheetId="28">#REF!</definedName>
    <definedName name="CAP" localSheetId="29">#REF!</definedName>
    <definedName name="CAP" localSheetId="66">#REF!</definedName>
    <definedName name="CAP">#REF!</definedName>
    <definedName name="CAPACITOR_ES_TA" localSheetId="70">#REF!</definedName>
    <definedName name="CAPACITOR_ES_TA" localSheetId="143">#REF!</definedName>
    <definedName name="CAPACITOR_ES_TA" localSheetId="52">#REF!</definedName>
    <definedName name="CAPACITOR_ES_TA" localSheetId="58">#REF!</definedName>
    <definedName name="CAPACITOR_ES_TA" localSheetId="57">#REF!</definedName>
    <definedName name="CAPACITOR_ES_TA" localSheetId="64">#REF!</definedName>
    <definedName name="CAPACITOR_ES_TA" localSheetId="67">#REF!</definedName>
    <definedName name="CAPACITOR_ES_TA" localSheetId="65">#REF!</definedName>
    <definedName name="CAPACITOR_ES_TA" localSheetId="68">#REF!</definedName>
    <definedName name="CAPACITOR_ES_TA" localSheetId="71">#REF!</definedName>
    <definedName name="CAPACITOR_ES_TA" localSheetId="44">#REF!</definedName>
    <definedName name="CAPACITOR_ES_TA" localSheetId="45">#REF!</definedName>
    <definedName name="CAPACITOR_ES_TA" localSheetId="27">#REF!</definedName>
    <definedName name="CAPACITOR_ES_TA" localSheetId="28">#REF!</definedName>
    <definedName name="CAPACITOR_ES_TA" localSheetId="29">#REF!</definedName>
    <definedName name="CAPACITOR_ES_TA" localSheetId="66">#REF!</definedName>
    <definedName name="CAPACITOR_ES_TA">#REF!</definedName>
    <definedName name="CAPACITOR_ES_TD" localSheetId="70">#REF!</definedName>
    <definedName name="CAPACITOR_ES_TD" localSheetId="143">#REF!</definedName>
    <definedName name="CAPACITOR_ES_TD" localSheetId="52">#REF!</definedName>
    <definedName name="CAPACITOR_ES_TD" localSheetId="58">#REF!</definedName>
    <definedName name="CAPACITOR_ES_TD" localSheetId="56">#REF!</definedName>
    <definedName name="CAPACITOR_ES_TD" localSheetId="57">#REF!</definedName>
    <definedName name="CAPACITOR_ES_TD" localSheetId="64">#REF!</definedName>
    <definedName name="CAPACITOR_ES_TD" localSheetId="67">#REF!</definedName>
    <definedName name="CAPACITOR_ES_TD" localSheetId="65">#REF!</definedName>
    <definedName name="CAPACITOR_ES_TD" localSheetId="68">#REF!</definedName>
    <definedName name="CAPACITOR_ES_TD" localSheetId="71">#REF!</definedName>
    <definedName name="CAPACITOR_ES_TD" localSheetId="44">#REF!</definedName>
    <definedName name="CAPACITOR_ES_TD" localSheetId="45">#REF!</definedName>
    <definedName name="CAPACITOR_ES_TD" localSheetId="17">#REF!</definedName>
    <definedName name="CAPACITOR_ES_TD" localSheetId="27">#REF!</definedName>
    <definedName name="CAPACITOR_ES_TD" localSheetId="128">'[26]90% Write off'!#REF!</definedName>
    <definedName name="CAPACITOR_ES_TD" localSheetId="28">#REF!</definedName>
    <definedName name="CAPACITOR_ES_TD" localSheetId="29">#REF!</definedName>
    <definedName name="CAPACITOR_ES_TD" localSheetId="66">#REF!</definedName>
    <definedName name="CAPACITOR_ES_TD">#REF!</definedName>
    <definedName name="CAPRATE" localSheetId="70">'[13]해외 연수비용 계산-삭제'!#REF!</definedName>
    <definedName name="CAPRATE" localSheetId="52">'[13]해외 연수비용 계산-삭제'!#REF!</definedName>
    <definedName name="CAPRATE" localSheetId="58">'[13]해외 연수비용 계산-삭제'!#REF!</definedName>
    <definedName name="CAPRATE" localSheetId="57">'[13]해외 연수비용 계산-삭제'!#REF!</definedName>
    <definedName name="CAPRATE" localSheetId="64">'[13]해외 연수비용 계산-삭제'!#REF!</definedName>
    <definedName name="CAPRATE" localSheetId="67">'[13]해외 연수비용 계산-삭제'!#REF!</definedName>
    <definedName name="CAPRATE" localSheetId="65">'[13]해외 연수비용 계산-삭제'!#REF!</definedName>
    <definedName name="CAPRATE" localSheetId="68">'[13]해외 연수비용 계산-삭제'!#REF!</definedName>
    <definedName name="CAPRATE" localSheetId="71">'[13]해외 연수비용 계산-삭제'!#REF!</definedName>
    <definedName name="CAPRATE" localSheetId="44">'[13]해외 연수비용 계산-삭제'!#REF!</definedName>
    <definedName name="CAPRATE" localSheetId="45">'[13]해외 연수비용 계산-삭제'!#REF!</definedName>
    <definedName name="CAPRATE" localSheetId="27">'[13]해외 연수비용 계산-삭제'!#REF!</definedName>
    <definedName name="CAPRATE" localSheetId="28">'[13]해외 연수비용 계산-삭제'!#REF!</definedName>
    <definedName name="CAPRATE" localSheetId="29">'[13]해외 연수비용 계산-삭제'!#REF!</definedName>
    <definedName name="CAPRATE" localSheetId="66">'[13]해외 연수비용 계산-삭제'!#REF!</definedName>
    <definedName name="CAPRATE">'[13]해외 연수비용 계산-삭제'!#REF!</definedName>
    <definedName name="CAPTO" localSheetId="70">'[13]해외 연수비용 계산-삭제'!#REF!</definedName>
    <definedName name="CAPTO" localSheetId="52">'[13]해외 연수비용 계산-삭제'!#REF!</definedName>
    <definedName name="CAPTO" localSheetId="58">'[13]해외 연수비용 계산-삭제'!#REF!</definedName>
    <definedName name="CAPTO" localSheetId="57">'[13]해외 연수비용 계산-삭제'!#REF!</definedName>
    <definedName name="CAPTO" localSheetId="64">'[13]해외 연수비용 계산-삭제'!#REF!</definedName>
    <definedName name="CAPTO" localSheetId="67">'[13]해외 연수비용 계산-삭제'!#REF!</definedName>
    <definedName name="CAPTO" localSheetId="65">'[13]해외 연수비용 계산-삭제'!#REF!</definedName>
    <definedName name="CAPTO" localSheetId="68">'[13]해외 연수비용 계산-삭제'!#REF!</definedName>
    <definedName name="CAPTO" localSheetId="71">'[13]해외 연수비용 계산-삭제'!#REF!</definedName>
    <definedName name="CAPTO" localSheetId="44">'[13]해외 연수비용 계산-삭제'!#REF!</definedName>
    <definedName name="CAPTO" localSheetId="45">'[13]해외 연수비용 계산-삭제'!#REF!</definedName>
    <definedName name="CAPTO" localSheetId="27">'[13]해외 연수비용 계산-삭제'!#REF!</definedName>
    <definedName name="CAPTO" localSheetId="28">'[13]해외 연수비용 계산-삭제'!#REF!</definedName>
    <definedName name="CAPTO" localSheetId="29">'[13]해외 연수비용 계산-삭제'!#REF!</definedName>
    <definedName name="CAPTO" localSheetId="66">'[13]해외 연수비용 계산-삭제'!#REF!</definedName>
    <definedName name="CAPTO">'[13]해외 연수비용 계산-삭제'!#REF!</definedName>
    <definedName name="cas" localSheetId="70">#REF!</definedName>
    <definedName name="cas" localSheetId="52">#REF!</definedName>
    <definedName name="cas" localSheetId="58">#REF!</definedName>
    <definedName name="cas" localSheetId="56">#REF!</definedName>
    <definedName name="cas" localSheetId="57">#REF!</definedName>
    <definedName name="cas" localSheetId="64">#REF!</definedName>
    <definedName name="cas" localSheetId="67">#REF!</definedName>
    <definedName name="cas" localSheetId="65">#REF!</definedName>
    <definedName name="cas" localSheetId="68">#REF!</definedName>
    <definedName name="cas" localSheetId="71">#REF!</definedName>
    <definedName name="cas" localSheetId="44">#REF!</definedName>
    <definedName name="cas" localSheetId="45">#REF!</definedName>
    <definedName name="cas" localSheetId="17">#REF!</definedName>
    <definedName name="cas" localSheetId="27">#REF!</definedName>
    <definedName name="cas" localSheetId="72">#REF!</definedName>
    <definedName name="cas" localSheetId="28">#REF!</definedName>
    <definedName name="cas" localSheetId="29">#REF!</definedName>
    <definedName name="cas" localSheetId="66">#REF!</definedName>
    <definedName name="cas">#REF!</definedName>
    <definedName name="Category_All" localSheetId="70">#REF!</definedName>
    <definedName name="Category_All" localSheetId="52">#REF!</definedName>
    <definedName name="Category_All" localSheetId="58">#REF!</definedName>
    <definedName name="Category_All" localSheetId="57">#REF!</definedName>
    <definedName name="Category_All" localSheetId="64">#REF!</definedName>
    <definedName name="Category_All" localSheetId="67">#REF!</definedName>
    <definedName name="Category_All" localSheetId="65">#REF!</definedName>
    <definedName name="Category_All" localSheetId="68">#REF!</definedName>
    <definedName name="Category_All" localSheetId="71">#REF!</definedName>
    <definedName name="Category_All" localSheetId="44">#REF!</definedName>
    <definedName name="Category_All" localSheetId="45">#REF!</definedName>
    <definedName name="Category_All" localSheetId="17">#REF!</definedName>
    <definedName name="Category_All" localSheetId="27">#REF!</definedName>
    <definedName name="Category_All" localSheetId="72">#REF!</definedName>
    <definedName name="Category_All" localSheetId="28">#REF!</definedName>
    <definedName name="Category_All" localSheetId="29">#REF!</definedName>
    <definedName name="Category_All" localSheetId="66">#REF!</definedName>
    <definedName name="Category_All">#REF!</definedName>
    <definedName name="CC">#N/A</definedName>
    <definedName name="ccc">#N/A</definedName>
    <definedName name="cefcvwds">[12]BEST_17112006!$A$504:$M$519</definedName>
    <definedName name="cefeedf" localSheetId="70">[12]BEST_17112006!#REF!</definedName>
    <definedName name="cefeedf" localSheetId="143">[12]BEST_17112006!#REF!</definedName>
    <definedName name="cefeedf" localSheetId="52">[12]BEST_17112006!#REF!</definedName>
    <definedName name="cefeedf" localSheetId="58">[12]BEST_17112006!#REF!</definedName>
    <definedName name="cefeedf" localSheetId="56">[12]BEST_17112006!#REF!</definedName>
    <definedName name="cefeedf" localSheetId="57">[12]BEST_17112006!#REF!</definedName>
    <definedName name="cefeedf" localSheetId="64">[12]BEST_17112006!#REF!</definedName>
    <definedName name="cefeedf" localSheetId="67">[12]BEST_17112006!#REF!</definedName>
    <definedName name="cefeedf" localSheetId="65">[12]BEST_17112006!#REF!</definedName>
    <definedName name="cefeedf" localSheetId="68">[12]BEST_17112006!#REF!</definedName>
    <definedName name="cefeedf" localSheetId="71">[12]BEST_17112006!#REF!</definedName>
    <definedName name="cefeedf" localSheetId="44">[12]BEST_17112006!#REF!</definedName>
    <definedName name="cefeedf" localSheetId="45">[12]BEST_17112006!#REF!</definedName>
    <definedName name="cefeedf" localSheetId="17">[12]BEST_17112006!#REF!</definedName>
    <definedName name="cefeedf" localSheetId="27">[12]BEST_17112006!#REF!</definedName>
    <definedName name="cefeedf" localSheetId="72">[12]BEST_17112006!#REF!</definedName>
    <definedName name="cefeedf" localSheetId="28">[12]BEST_17112006!#REF!</definedName>
    <definedName name="cefeedf" localSheetId="29">[12]BEST_17112006!#REF!</definedName>
    <definedName name="cefeedf" localSheetId="66">[12]BEST_17112006!#REF!</definedName>
    <definedName name="cefeedf">[12]BEST_17112006!#REF!</definedName>
    <definedName name="cefgve">[12]BEST_17112006!$A$111</definedName>
    <definedName name="cefvdwg" localSheetId="70">[12]BEST_17112006!#REF!</definedName>
    <definedName name="cefvdwg" localSheetId="143">[12]BEST_17112006!#REF!</definedName>
    <definedName name="cefvdwg" localSheetId="52">[12]BEST_17112006!#REF!</definedName>
    <definedName name="cefvdwg" localSheetId="58">[12]BEST_17112006!#REF!</definedName>
    <definedName name="cefvdwg" localSheetId="57">[12]BEST_17112006!#REF!</definedName>
    <definedName name="cefvdwg" localSheetId="64">[12]BEST_17112006!#REF!</definedName>
    <definedName name="cefvdwg" localSheetId="67">[12]BEST_17112006!#REF!</definedName>
    <definedName name="cefvdwg" localSheetId="65">[12]BEST_17112006!#REF!</definedName>
    <definedName name="cefvdwg" localSheetId="68">[12]BEST_17112006!#REF!</definedName>
    <definedName name="cefvdwg" localSheetId="71">[12]BEST_17112006!#REF!</definedName>
    <definedName name="cefvdwg" localSheetId="44">[12]BEST_17112006!#REF!</definedName>
    <definedName name="cefvdwg" localSheetId="45">[12]BEST_17112006!#REF!</definedName>
    <definedName name="cefvdwg" localSheetId="27">[12]BEST_17112006!#REF!</definedName>
    <definedName name="cefvdwg" localSheetId="28">[12]BEST_17112006!#REF!</definedName>
    <definedName name="cefvdwg" localSheetId="29">[12]BEST_17112006!#REF!</definedName>
    <definedName name="cefvdwg" localSheetId="66">[12]BEST_17112006!#REF!</definedName>
    <definedName name="cefvdwg">[12]BEST_17112006!#REF!</definedName>
    <definedName name="cers" localSheetId="70">'[34]License Area'!#REF!</definedName>
    <definedName name="cers" localSheetId="52">'[34]License Area'!#REF!</definedName>
    <definedName name="cers" localSheetId="58">'[34]License Area'!#REF!</definedName>
    <definedName name="cers" localSheetId="57">'[34]License Area'!#REF!</definedName>
    <definedName name="cers" localSheetId="64">'[34]License Area'!#REF!</definedName>
    <definedName name="cers" localSheetId="67">'[34]License Area'!#REF!</definedName>
    <definedName name="cers" localSheetId="65">'[34]License Area'!#REF!</definedName>
    <definedName name="cers" localSheetId="68">'[34]License Area'!#REF!</definedName>
    <definedName name="cers" localSheetId="71">'[34]License Area'!#REF!</definedName>
    <definedName name="cers" localSheetId="44">'[34]License Area'!#REF!</definedName>
    <definedName name="cers" localSheetId="45">'[34]License Area'!#REF!</definedName>
    <definedName name="cers" localSheetId="27">'[34]License Area'!#REF!</definedName>
    <definedName name="cers" localSheetId="28">'[34]License Area'!#REF!</definedName>
    <definedName name="cers" localSheetId="29">'[34]License Area'!#REF!</definedName>
    <definedName name="cers" localSheetId="66">'[34]License Area'!#REF!</definedName>
    <definedName name="cers">'[34]License Area'!#REF!</definedName>
    <definedName name="cfwefcd">[12]BEST_17112006!$A$493:$M$499</definedName>
    <definedName name="CH" localSheetId="70">#REF!</definedName>
    <definedName name="CH" localSheetId="52">#REF!</definedName>
    <definedName name="CH" localSheetId="58">#REF!</definedName>
    <definedName name="CH" localSheetId="56">#REF!</definedName>
    <definedName name="CH" localSheetId="57">#REF!</definedName>
    <definedName name="CH" localSheetId="64">#REF!</definedName>
    <definedName name="CH" localSheetId="67">#REF!</definedName>
    <definedName name="CH" localSheetId="65">#REF!</definedName>
    <definedName name="CH" localSheetId="68">#REF!</definedName>
    <definedName name="CH" localSheetId="71">#REF!</definedName>
    <definedName name="CH" localSheetId="44">#REF!</definedName>
    <definedName name="CH" localSheetId="45">#REF!</definedName>
    <definedName name="CH" localSheetId="17">#REF!</definedName>
    <definedName name="CH" localSheetId="27">#REF!</definedName>
    <definedName name="CH" localSheetId="72">#REF!</definedName>
    <definedName name="CH" localSheetId="28">#REF!</definedName>
    <definedName name="CH" localSheetId="29">#REF!</definedName>
    <definedName name="CH" localSheetId="66">#REF!</definedName>
    <definedName name="CH">#REF!</definedName>
    <definedName name="check" localSheetId="70">#REF!</definedName>
    <definedName name="check" localSheetId="52">#REF!</definedName>
    <definedName name="check" localSheetId="58">#REF!</definedName>
    <definedName name="check" localSheetId="57">#REF!</definedName>
    <definedName name="check" localSheetId="64">#REF!</definedName>
    <definedName name="check" localSheetId="67">#REF!</definedName>
    <definedName name="check" localSheetId="65">#REF!</definedName>
    <definedName name="check" localSheetId="68">#REF!</definedName>
    <definedName name="check" localSheetId="71">#REF!</definedName>
    <definedName name="check" localSheetId="44">#REF!</definedName>
    <definedName name="check" localSheetId="45">#REF!</definedName>
    <definedName name="check" localSheetId="17">#REF!</definedName>
    <definedName name="check" localSheetId="27">#REF!</definedName>
    <definedName name="check" localSheetId="72">#REF!</definedName>
    <definedName name="check" localSheetId="28">#REF!</definedName>
    <definedName name="check" localSheetId="29">#REF!</definedName>
    <definedName name="check" localSheetId="66">#REF!</definedName>
    <definedName name="check">#REF!</definedName>
    <definedName name="CHOWKIES_ES_TA" localSheetId="70">#REF!</definedName>
    <definedName name="CHOWKIES_ES_TA" localSheetId="143">#REF!</definedName>
    <definedName name="CHOWKIES_ES_TA" localSheetId="52">#REF!</definedName>
    <definedName name="CHOWKIES_ES_TA" localSheetId="58">#REF!</definedName>
    <definedName name="CHOWKIES_ES_TA" localSheetId="57">#REF!</definedName>
    <definedName name="CHOWKIES_ES_TA" localSheetId="64">#REF!</definedName>
    <definedName name="CHOWKIES_ES_TA" localSheetId="67">#REF!</definedName>
    <definedName name="CHOWKIES_ES_TA" localSheetId="65">#REF!</definedName>
    <definedName name="CHOWKIES_ES_TA" localSheetId="68">#REF!</definedName>
    <definedName name="CHOWKIES_ES_TA" localSheetId="71">#REF!</definedName>
    <definedName name="CHOWKIES_ES_TA" localSheetId="44">#REF!</definedName>
    <definedName name="CHOWKIES_ES_TA" localSheetId="45">#REF!</definedName>
    <definedName name="CHOWKIES_ES_TA" localSheetId="27">#REF!</definedName>
    <definedName name="CHOWKIES_ES_TA" localSheetId="28">#REF!</definedName>
    <definedName name="CHOWKIES_ES_TA" localSheetId="29">#REF!</definedName>
    <definedName name="CHOWKIES_ES_TA" localSheetId="66">#REF!</definedName>
    <definedName name="CHOWKIES_ES_TA">#REF!</definedName>
    <definedName name="CHOWKIES_ES_TD" localSheetId="70">#REF!</definedName>
    <definedName name="CHOWKIES_ES_TD" localSheetId="143">#REF!</definedName>
    <definedName name="CHOWKIES_ES_TD" localSheetId="52">#REF!</definedName>
    <definedName name="CHOWKIES_ES_TD" localSheetId="58">#REF!</definedName>
    <definedName name="CHOWKIES_ES_TD" localSheetId="56">#REF!</definedName>
    <definedName name="CHOWKIES_ES_TD" localSheetId="57">#REF!</definedName>
    <definedName name="CHOWKIES_ES_TD" localSheetId="64">#REF!</definedName>
    <definedName name="CHOWKIES_ES_TD" localSheetId="67">#REF!</definedName>
    <definedName name="CHOWKIES_ES_TD" localSheetId="65">#REF!</definedName>
    <definedName name="CHOWKIES_ES_TD" localSheetId="68">#REF!</definedName>
    <definedName name="CHOWKIES_ES_TD" localSheetId="71">#REF!</definedName>
    <definedName name="CHOWKIES_ES_TD" localSheetId="44">#REF!</definedName>
    <definedName name="CHOWKIES_ES_TD" localSheetId="45">#REF!</definedName>
    <definedName name="CHOWKIES_ES_TD" localSheetId="17">#REF!</definedName>
    <definedName name="CHOWKIES_ES_TD" localSheetId="27">#REF!</definedName>
    <definedName name="CHOWKIES_ES_TD" localSheetId="128">'[26]90% Write off'!#REF!</definedName>
    <definedName name="CHOWKIES_ES_TD" localSheetId="28">#REF!</definedName>
    <definedName name="CHOWKIES_ES_TD" localSheetId="29">#REF!</definedName>
    <definedName name="CHOWKIES_ES_TD" localSheetId="66">#REF!</definedName>
    <definedName name="CHOWKIES_ES_TD">#REF!</definedName>
    <definedName name="CLASS">#N/A</definedName>
    <definedName name="clear">[35]집계표!$D$9:$J$13,[35]집계표!$L$9:$O$13,[35]집계표!$D$15:$J$24,[35]집계표!$L$15:$O$24,[35]집계표!$D$26:$J$26,[35]집계표!$L$26:$O$26,[35]집계표!$D$46:$J$50,[35]집계표!$L$46:$O$50,[35]집계표!$L$52:$O$61,[35]집계표!$L$63:$O$63,[35]집계표!$D$63:$J$63,[35]집계표!$D$52:$J$61,[35]집계표!$D$83:$J$87,[35]집계표!$L$83:$O$87,[35]집계표!$L$89:$O$98,[35]집계표!$L$100:$O$100,[35]집계표!$D$100:$J$100,[35]집계표!$D$89:$J$98</definedName>
    <definedName name="cn" localSheetId="140" hidden="1">{"'Sheet1'!$L$16"}</definedName>
    <definedName name="cn" localSheetId="58" hidden="1">{"'Sheet1'!$L$16"}</definedName>
    <definedName name="cn" localSheetId="56" hidden="1">{"'Sheet1'!$L$16"}</definedName>
    <definedName name="cn" localSheetId="57" hidden="1">{"'Sheet1'!$L$16"}</definedName>
    <definedName name="cn" localSheetId="67" hidden="1">{"'Sheet1'!$L$16"}</definedName>
    <definedName name="cn" localSheetId="65" hidden="1">{"'Sheet1'!$L$16"}</definedName>
    <definedName name="cn" localSheetId="68" hidden="1">{"'Sheet1'!$L$16"}</definedName>
    <definedName name="cn" localSheetId="71" hidden="1">{"'Sheet1'!$L$16"}</definedName>
    <definedName name="cn" localSheetId="17" hidden="1">{"'Sheet1'!$L$16"}</definedName>
    <definedName name="cn" localSheetId="27" hidden="1">{"'Sheet1'!$L$16"}</definedName>
    <definedName name="cn" localSheetId="72" hidden="1">{"'Sheet1'!$L$16"}</definedName>
    <definedName name="cn" localSheetId="28" hidden="1">{"'Sheet1'!$L$16"}</definedName>
    <definedName name="cn" localSheetId="29" hidden="1">{"'Sheet1'!$L$16"}</definedName>
    <definedName name="cn" hidden="1">{"'Sheet1'!$L$16"}</definedName>
    <definedName name="CNO" localSheetId="70">'[13]해외 기술훈련비 (합계)'!#REF!</definedName>
    <definedName name="CNO" localSheetId="52">'[13]해외 기술훈련비 (합계)'!#REF!</definedName>
    <definedName name="CNO" localSheetId="58">'[13]해외 기술훈련비 (합계)'!#REF!</definedName>
    <definedName name="CNO" localSheetId="57">'[13]해외 기술훈련비 (합계)'!#REF!</definedName>
    <definedName name="CNO" localSheetId="64">'[13]해외 기술훈련비 (합계)'!#REF!</definedName>
    <definedName name="CNO" localSheetId="67">'[13]해외 기술훈련비 (합계)'!#REF!</definedName>
    <definedName name="CNO" localSheetId="65">'[13]해외 기술훈련비 (합계)'!#REF!</definedName>
    <definedName name="CNO" localSheetId="68">'[13]해외 기술훈련비 (합계)'!#REF!</definedName>
    <definedName name="CNO" localSheetId="71">'[13]해외 기술훈련비 (합계)'!#REF!</definedName>
    <definedName name="CNO" localSheetId="44">'[13]해외 기술훈련비 (합계)'!#REF!</definedName>
    <definedName name="CNO" localSheetId="45">'[13]해외 기술훈련비 (합계)'!#REF!</definedName>
    <definedName name="CNO" localSheetId="27">'[13]해외 기술훈련비 (합계)'!#REF!</definedName>
    <definedName name="CNO" localSheetId="28">'[13]해외 기술훈련비 (합계)'!#REF!</definedName>
    <definedName name="CNO" localSheetId="29">'[13]해외 기술훈련비 (합계)'!#REF!</definedName>
    <definedName name="CNO" localSheetId="66">'[13]해외 기술훈련비 (합계)'!#REF!</definedName>
    <definedName name="CNO">'[13]해외 기술훈련비 (합계)'!#REF!</definedName>
    <definedName name="co" localSheetId="70">#REF!</definedName>
    <definedName name="co" localSheetId="52">#REF!</definedName>
    <definedName name="co" localSheetId="58">#REF!</definedName>
    <definedName name="co" localSheetId="56">#REF!</definedName>
    <definedName name="co" localSheetId="57">#REF!</definedName>
    <definedName name="co" localSheetId="64">#REF!</definedName>
    <definedName name="co" localSheetId="67">#REF!</definedName>
    <definedName name="co" localSheetId="65">#REF!</definedName>
    <definedName name="co" localSheetId="68">#REF!</definedName>
    <definedName name="co" localSheetId="71">#REF!</definedName>
    <definedName name="co" localSheetId="44">#REF!</definedName>
    <definedName name="co" localSheetId="45">#REF!</definedName>
    <definedName name="co" localSheetId="17">#REF!</definedName>
    <definedName name="co" localSheetId="27">#REF!</definedName>
    <definedName name="co" localSheetId="72">#REF!</definedName>
    <definedName name="co" localSheetId="28">#REF!</definedName>
    <definedName name="co" localSheetId="29">#REF!</definedName>
    <definedName name="co" localSheetId="66">#REF!</definedName>
    <definedName name="co">#REF!</definedName>
    <definedName name="COA_11" localSheetId="70">'[36]COA-17'!#REF!</definedName>
    <definedName name="COA_11" localSheetId="52">'[36]COA-17'!#REF!</definedName>
    <definedName name="COA_11" localSheetId="58">'[36]COA-17'!#REF!</definedName>
    <definedName name="COA_11" localSheetId="56">'[36]COA-17'!#REF!</definedName>
    <definedName name="COA_11" localSheetId="57">'[36]COA-17'!#REF!</definedName>
    <definedName name="COA_11" localSheetId="64">'[36]COA-17'!#REF!</definedName>
    <definedName name="COA_11" localSheetId="67">'[36]COA-17'!#REF!</definedName>
    <definedName name="COA_11" localSheetId="65">'[36]COA-17'!#REF!</definedName>
    <definedName name="COA_11" localSheetId="68">'[36]COA-17'!#REF!</definedName>
    <definedName name="COA_11" localSheetId="71">'[36]COA-17'!#REF!</definedName>
    <definedName name="COA_11" localSheetId="44">'[36]COA-17'!#REF!</definedName>
    <definedName name="COA_11" localSheetId="45">'[36]COA-17'!#REF!</definedName>
    <definedName name="COA_11" localSheetId="17">'[36]COA-17'!#REF!</definedName>
    <definedName name="COA_11" localSheetId="27">'[36]COA-17'!#REF!</definedName>
    <definedName name="COA_11" localSheetId="72">'[36]COA-17'!#REF!</definedName>
    <definedName name="COA_11" localSheetId="28">'[36]COA-17'!#REF!</definedName>
    <definedName name="COA_11" localSheetId="29">'[36]COA-17'!#REF!</definedName>
    <definedName name="COA_11" localSheetId="66">'[36]COA-17'!#REF!</definedName>
    <definedName name="COA_11">'[36]COA-17'!#REF!</definedName>
    <definedName name="COA_12" localSheetId="70">'[36]COA-17'!#REF!</definedName>
    <definedName name="COA_12" localSheetId="52">'[36]COA-17'!#REF!</definedName>
    <definedName name="COA_12" localSheetId="58">'[36]COA-17'!#REF!</definedName>
    <definedName name="COA_12" localSheetId="57">'[36]COA-17'!#REF!</definedName>
    <definedName name="COA_12" localSheetId="64">'[36]COA-17'!#REF!</definedName>
    <definedName name="COA_12" localSheetId="67">'[36]COA-17'!#REF!</definedName>
    <definedName name="COA_12" localSheetId="65">'[36]COA-17'!#REF!</definedName>
    <definedName name="COA_12" localSheetId="68">'[36]COA-17'!#REF!</definedName>
    <definedName name="COA_12" localSheetId="71">'[36]COA-17'!#REF!</definedName>
    <definedName name="COA_12" localSheetId="44">'[36]COA-17'!#REF!</definedName>
    <definedName name="COA_12" localSheetId="45">'[36]COA-17'!#REF!</definedName>
    <definedName name="COA_12" localSheetId="27">'[36]COA-17'!#REF!</definedName>
    <definedName name="COA_12" localSheetId="28">'[36]COA-17'!#REF!</definedName>
    <definedName name="COA_12" localSheetId="29">'[36]COA-17'!#REF!</definedName>
    <definedName name="COA_12" localSheetId="66">'[36]COA-17'!#REF!</definedName>
    <definedName name="COA_12">'[36]COA-17'!#REF!</definedName>
    <definedName name="COA_13" localSheetId="70">'[36]COA-17'!#REF!</definedName>
    <definedName name="COA_13" localSheetId="52">'[36]COA-17'!#REF!</definedName>
    <definedName name="COA_13" localSheetId="58">'[36]COA-17'!#REF!</definedName>
    <definedName name="COA_13" localSheetId="57">'[36]COA-17'!#REF!</definedName>
    <definedName name="COA_13" localSheetId="64">'[36]COA-17'!#REF!</definedName>
    <definedName name="COA_13" localSheetId="67">'[36]COA-17'!#REF!</definedName>
    <definedName name="COA_13" localSheetId="65">'[36]COA-17'!#REF!</definedName>
    <definedName name="COA_13" localSheetId="68">'[36]COA-17'!#REF!</definedName>
    <definedName name="COA_13" localSheetId="71">'[36]COA-17'!#REF!</definedName>
    <definedName name="COA_13" localSheetId="44">'[36]COA-17'!#REF!</definedName>
    <definedName name="COA_13" localSheetId="45">'[36]COA-17'!#REF!</definedName>
    <definedName name="COA_13" localSheetId="27">'[36]COA-17'!#REF!</definedName>
    <definedName name="COA_13" localSheetId="28">'[36]COA-17'!#REF!</definedName>
    <definedName name="COA_13" localSheetId="29">'[36]COA-17'!#REF!</definedName>
    <definedName name="COA_13" localSheetId="66">'[36]COA-17'!#REF!</definedName>
    <definedName name="COA_13">'[36]COA-17'!#REF!</definedName>
    <definedName name="COA_14" localSheetId="70">'[36]COA-17'!#REF!</definedName>
    <definedName name="COA_14" localSheetId="52">'[36]COA-17'!#REF!</definedName>
    <definedName name="COA_14" localSheetId="58">'[36]COA-17'!#REF!</definedName>
    <definedName name="COA_14" localSheetId="57">'[36]COA-17'!#REF!</definedName>
    <definedName name="COA_14" localSheetId="64">'[36]COA-17'!#REF!</definedName>
    <definedName name="COA_14" localSheetId="67">'[36]COA-17'!#REF!</definedName>
    <definedName name="COA_14" localSheetId="65">'[36]COA-17'!#REF!</definedName>
    <definedName name="COA_14" localSheetId="68">'[36]COA-17'!#REF!</definedName>
    <definedName name="COA_14" localSheetId="71">'[36]COA-17'!#REF!</definedName>
    <definedName name="COA_14" localSheetId="44">'[36]COA-17'!#REF!</definedName>
    <definedName name="COA_14" localSheetId="45">'[36]COA-17'!#REF!</definedName>
    <definedName name="COA_14" localSheetId="27">'[36]COA-17'!#REF!</definedName>
    <definedName name="COA_14" localSheetId="28">'[36]COA-17'!#REF!</definedName>
    <definedName name="COA_14" localSheetId="29">'[36]COA-17'!#REF!</definedName>
    <definedName name="COA_14" localSheetId="66">'[36]COA-17'!#REF!</definedName>
    <definedName name="COA_14">'[36]COA-17'!#REF!</definedName>
    <definedName name="COA_15" localSheetId="70">'[36]COA-17'!#REF!</definedName>
    <definedName name="COA_15" localSheetId="52">'[36]COA-17'!#REF!</definedName>
    <definedName name="COA_15" localSheetId="58">'[36]COA-17'!#REF!</definedName>
    <definedName name="COA_15" localSheetId="57">'[36]COA-17'!#REF!</definedName>
    <definedName name="COA_15" localSheetId="64">'[36]COA-17'!#REF!</definedName>
    <definedName name="COA_15" localSheetId="67">'[36]COA-17'!#REF!</definedName>
    <definedName name="COA_15" localSheetId="65">'[36]COA-17'!#REF!</definedName>
    <definedName name="COA_15" localSheetId="68">'[36]COA-17'!#REF!</definedName>
    <definedName name="COA_15" localSheetId="71">'[36]COA-17'!#REF!</definedName>
    <definedName name="COA_15" localSheetId="44">'[36]COA-17'!#REF!</definedName>
    <definedName name="COA_15" localSheetId="45">'[36]COA-17'!#REF!</definedName>
    <definedName name="COA_15" localSheetId="27">'[36]COA-17'!#REF!</definedName>
    <definedName name="COA_15" localSheetId="28">'[36]COA-17'!#REF!</definedName>
    <definedName name="COA_15" localSheetId="29">'[36]COA-17'!#REF!</definedName>
    <definedName name="COA_15" localSheetId="66">'[36]COA-17'!#REF!</definedName>
    <definedName name="COA_15">'[36]COA-17'!#REF!</definedName>
    <definedName name="COA_16" localSheetId="70">'[36]COA-17'!#REF!</definedName>
    <definedName name="COA_16" localSheetId="52">'[36]COA-17'!#REF!</definedName>
    <definedName name="COA_16" localSheetId="58">'[36]COA-17'!#REF!</definedName>
    <definedName name="COA_16" localSheetId="57">'[36]COA-17'!#REF!</definedName>
    <definedName name="COA_16" localSheetId="64">'[36]COA-17'!#REF!</definedName>
    <definedName name="COA_16" localSheetId="67">'[36]COA-17'!#REF!</definedName>
    <definedName name="COA_16" localSheetId="65">'[36]COA-17'!#REF!</definedName>
    <definedName name="COA_16" localSheetId="68">'[36]COA-17'!#REF!</definedName>
    <definedName name="COA_16" localSheetId="71">'[36]COA-17'!#REF!</definedName>
    <definedName name="COA_16" localSheetId="44">'[36]COA-17'!#REF!</definedName>
    <definedName name="COA_16" localSheetId="45">'[36]COA-17'!#REF!</definedName>
    <definedName name="COA_16" localSheetId="27">'[36]COA-17'!#REF!</definedName>
    <definedName name="COA_16" localSheetId="28">'[36]COA-17'!#REF!</definedName>
    <definedName name="COA_16" localSheetId="29">'[36]COA-17'!#REF!</definedName>
    <definedName name="COA_16" localSheetId="66">'[36]COA-17'!#REF!</definedName>
    <definedName name="COA_16">'[36]COA-17'!#REF!</definedName>
    <definedName name="COA_17" localSheetId="70">'[36]COA-17'!#REF!</definedName>
    <definedName name="COA_17" localSheetId="52">'[36]COA-17'!#REF!</definedName>
    <definedName name="COA_17" localSheetId="58">'[36]COA-17'!#REF!</definedName>
    <definedName name="COA_17" localSheetId="57">'[36]COA-17'!#REF!</definedName>
    <definedName name="COA_17" localSheetId="64">'[36]COA-17'!#REF!</definedName>
    <definedName name="COA_17" localSheetId="67">'[36]COA-17'!#REF!</definedName>
    <definedName name="COA_17" localSheetId="65">'[36]COA-17'!#REF!</definedName>
    <definedName name="COA_17" localSheetId="68">'[36]COA-17'!#REF!</definedName>
    <definedName name="COA_17" localSheetId="71">'[36]COA-17'!#REF!</definedName>
    <definedName name="COA_17" localSheetId="44">'[36]COA-17'!#REF!</definedName>
    <definedName name="COA_17" localSheetId="45">'[36]COA-17'!#REF!</definedName>
    <definedName name="COA_17" localSheetId="27">'[36]COA-17'!#REF!</definedName>
    <definedName name="COA_17" localSheetId="28">'[36]COA-17'!#REF!</definedName>
    <definedName name="COA_17" localSheetId="29">'[36]COA-17'!#REF!</definedName>
    <definedName name="COA_17" localSheetId="66">'[36]COA-17'!#REF!</definedName>
    <definedName name="COA_17">'[36]COA-17'!#REF!</definedName>
    <definedName name="COA_18" localSheetId="70">'[36]COA-17'!#REF!</definedName>
    <definedName name="COA_18" localSheetId="52">'[36]COA-17'!#REF!</definedName>
    <definedName name="COA_18" localSheetId="58">'[36]COA-17'!#REF!</definedName>
    <definedName name="COA_18" localSheetId="57">'[36]COA-17'!#REF!</definedName>
    <definedName name="COA_18" localSheetId="64">'[36]COA-17'!#REF!</definedName>
    <definedName name="COA_18" localSheetId="67">'[36]COA-17'!#REF!</definedName>
    <definedName name="COA_18" localSheetId="65">'[36]COA-17'!#REF!</definedName>
    <definedName name="COA_18" localSheetId="68">'[36]COA-17'!#REF!</definedName>
    <definedName name="COA_18" localSheetId="71">'[36]COA-17'!#REF!</definedName>
    <definedName name="COA_18" localSheetId="44">'[36]COA-17'!#REF!</definedName>
    <definedName name="COA_18" localSheetId="45">'[36]COA-17'!#REF!</definedName>
    <definedName name="COA_18" localSheetId="27">'[36]COA-17'!#REF!</definedName>
    <definedName name="COA_18" localSheetId="28">'[36]COA-17'!#REF!</definedName>
    <definedName name="COA_18" localSheetId="29">'[36]COA-17'!#REF!</definedName>
    <definedName name="COA_18" localSheetId="66">'[36]COA-17'!#REF!</definedName>
    <definedName name="COA_18">'[36]COA-17'!#REF!</definedName>
    <definedName name="COA_19" localSheetId="70">'[36]COA-17'!#REF!</definedName>
    <definedName name="COA_19" localSheetId="52">'[36]COA-17'!#REF!</definedName>
    <definedName name="COA_19" localSheetId="58">'[36]COA-17'!#REF!</definedName>
    <definedName name="COA_19" localSheetId="57">'[36]COA-17'!#REF!</definedName>
    <definedName name="COA_19" localSheetId="64">'[36]COA-17'!#REF!</definedName>
    <definedName name="COA_19" localSheetId="67">'[36]COA-17'!#REF!</definedName>
    <definedName name="COA_19" localSheetId="65">'[36]COA-17'!#REF!</definedName>
    <definedName name="COA_19" localSheetId="68">'[36]COA-17'!#REF!</definedName>
    <definedName name="COA_19" localSheetId="71">'[36]COA-17'!#REF!</definedName>
    <definedName name="COA_19" localSheetId="44">'[36]COA-17'!#REF!</definedName>
    <definedName name="COA_19" localSheetId="45">'[36]COA-17'!#REF!</definedName>
    <definedName name="COA_19" localSheetId="27">'[36]COA-17'!#REF!</definedName>
    <definedName name="COA_19" localSheetId="28">'[36]COA-17'!#REF!</definedName>
    <definedName name="COA_19" localSheetId="29">'[36]COA-17'!#REF!</definedName>
    <definedName name="COA_19" localSheetId="66">'[36]COA-17'!#REF!</definedName>
    <definedName name="COA_19">'[36]COA-17'!#REF!</definedName>
    <definedName name="COA_51" localSheetId="70">#REF!</definedName>
    <definedName name="COA_51" localSheetId="52">#REF!</definedName>
    <definedName name="COA_51" localSheetId="58">#REF!</definedName>
    <definedName name="COA_51" localSheetId="56">#REF!</definedName>
    <definedName name="COA_51" localSheetId="57">#REF!</definedName>
    <definedName name="COA_51" localSheetId="64">#REF!</definedName>
    <definedName name="COA_51" localSheetId="67">#REF!</definedName>
    <definedName name="COA_51" localSheetId="65">#REF!</definedName>
    <definedName name="COA_51" localSheetId="68">#REF!</definedName>
    <definedName name="COA_51" localSheetId="71">#REF!</definedName>
    <definedName name="COA_51" localSheetId="44">#REF!</definedName>
    <definedName name="COA_51" localSheetId="45">#REF!</definedName>
    <definedName name="COA_51" localSheetId="17">#REF!</definedName>
    <definedName name="COA_51" localSheetId="27">#REF!</definedName>
    <definedName name="COA_51" localSheetId="72">#REF!</definedName>
    <definedName name="COA_51" localSheetId="28">#REF!</definedName>
    <definedName name="COA_51" localSheetId="29">#REF!</definedName>
    <definedName name="COA_51" localSheetId="66">#REF!</definedName>
    <definedName name="COA_51">#REF!</definedName>
    <definedName name="COA_52" localSheetId="70">#REF!</definedName>
    <definedName name="COA_52" localSheetId="52">#REF!</definedName>
    <definedName name="COA_52" localSheetId="58">#REF!</definedName>
    <definedName name="COA_52" localSheetId="57">#REF!</definedName>
    <definedName name="COA_52" localSheetId="64">#REF!</definedName>
    <definedName name="COA_52" localSheetId="67">#REF!</definedName>
    <definedName name="COA_52" localSheetId="65">#REF!</definedName>
    <definedName name="COA_52" localSheetId="68">#REF!</definedName>
    <definedName name="COA_52" localSheetId="71">#REF!</definedName>
    <definedName name="COA_52" localSheetId="44">#REF!</definedName>
    <definedName name="COA_52" localSheetId="45">#REF!</definedName>
    <definedName name="COA_52" localSheetId="17">#REF!</definedName>
    <definedName name="COA_52" localSheetId="27">#REF!</definedName>
    <definedName name="COA_52" localSheetId="72">#REF!</definedName>
    <definedName name="COA_52" localSheetId="28">#REF!</definedName>
    <definedName name="COA_52" localSheetId="29">#REF!</definedName>
    <definedName name="COA_52" localSheetId="66">#REF!</definedName>
    <definedName name="COA_52">#REF!</definedName>
    <definedName name="COA_53" localSheetId="70">#REF!</definedName>
    <definedName name="COA_53" localSheetId="52">#REF!</definedName>
    <definedName name="COA_53" localSheetId="58">#REF!</definedName>
    <definedName name="COA_53" localSheetId="57">#REF!</definedName>
    <definedName name="COA_53" localSheetId="64">#REF!</definedName>
    <definedName name="COA_53" localSheetId="67">#REF!</definedName>
    <definedName name="COA_53" localSheetId="65">#REF!</definedName>
    <definedName name="COA_53" localSheetId="68">#REF!</definedName>
    <definedName name="COA_53" localSheetId="71">#REF!</definedName>
    <definedName name="COA_53" localSheetId="44">#REF!</definedName>
    <definedName name="COA_53" localSheetId="45">#REF!</definedName>
    <definedName name="COA_53" localSheetId="17">#REF!</definedName>
    <definedName name="COA_53" localSheetId="27">#REF!</definedName>
    <definedName name="COA_53" localSheetId="72">#REF!</definedName>
    <definedName name="COA_53" localSheetId="28">#REF!</definedName>
    <definedName name="COA_53" localSheetId="29">#REF!</definedName>
    <definedName name="COA_53" localSheetId="66">#REF!</definedName>
    <definedName name="COA_53">#REF!</definedName>
    <definedName name="COA_54" localSheetId="70">#REF!</definedName>
    <definedName name="COA_54" localSheetId="52">#REF!</definedName>
    <definedName name="COA_54" localSheetId="58">#REF!</definedName>
    <definedName name="COA_54" localSheetId="57">#REF!</definedName>
    <definedName name="COA_54" localSheetId="64">#REF!</definedName>
    <definedName name="COA_54" localSheetId="67">#REF!</definedName>
    <definedName name="COA_54" localSheetId="65">#REF!</definedName>
    <definedName name="COA_54" localSheetId="68">#REF!</definedName>
    <definedName name="COA_54" localSheetId="71">#REF!</definedName>
    <definedName name="COA_54" localSheetId="44">#REF!</definedName>
    <definedName name="COA_54" localSheetId="45">#REF!</definedName>
    <definedName name="COA_54" localSheetId="27">#REF!</definedName>
    <definedName name="COA_54" localSheetId="28">#REF!</definedName>
    <definedName name="COA_54" localSheetId="29">#REF!</definedName>
    <definedName name="COA_54" localSheetId="66">#REF!</definedName>
    <definedName name="COA_54">#REF!</definedName>
    <definedName name="COA_55" localSheetId="70">#REF!</definedName>
    <definedName name="COA_55" localSheetId="52">#REF!</definedName>
    <definedName name="COA_55" localSheetId="58">#REF!</definedName>
    <definedName name="COA_55" localSheetId="57">#REF!</definedName>
    <definedName name="COA_55" localSheetId="64">#REF!</definedName>
    <definedName name="COA_55" localSheetId="67">#REF!</definedName>
    <definedName name="COA_55" localSheetId="65">#REF!</definedName>
    <definedName name="COA_55" localSheetId="68">#REF!</definedName>
    <definedName name="COA_55" localSheetId="71">#REF!</definedName>
    <definedName name="COA_55" localSheetId="44">#REF!</definedName>
    <definedName name="COA_55" localSheetId="45">#REF!</definedName>
    <definedName name="COA_55" localSheetId="27">#REF!</definedName>
    <definedName name="COA_55" localSheetId="28">#REF!</definedName>
    <definedName name="COA_55" localSheetId="29">#REF!</definedName>
    <definedName name="COA_55" localSheetId="66">#REF!</definedName>
    <definedName name="COA_55">#REF!</definedName>
    <definedName name="COA_60" localSheetId="70">#REF!</definedName>
    <definedName name="COA_60" localSheetId="52">#REF!</definedName>
    <definedName name="COA_60" localSheetId="58">#REF!</definedName>
    <definedName name="COA_60" localSheetId="57">#REF!</definedName>
    <definedName name="COA_60" localSheetId="64">#REF!</definedName>
    <definedName name="COA_60" localSheetId="67">#REF!</definedName>
    <definedName name="COA_60" localSheetId="65">#REF!</definedName>
    <definedName name="COA_60" localSheetId="68">#REF!</definedName>
    <definedName name="COA_60" localSheetId="71">#REF!</definedName>
    <definedName name="COA_60" localSheetId="44">#REF!</definedName>
    <definedName name="COA_60" localSheetId="45">#REF!</definedName>
    <definedName name="COA_60" localSheetId="27">#REF!</definedName>
    <definedName name="COA_60" localSheetId="28">#REF!</definedName>
    <definedName name="COA_60" localSheetId="29">#REF!</definedName>
    <definedName name="COA_60" localSheetId="66">#REF!</definedName>
    <definedName name="COA_60">#REF!</definedName>
    <definedName name="COA_70" localSheetId="70">#REF!</definedName>
    <definedName name="COA_70" localSheetId="52">#REF!</definedName>
    <definedName name="COA_70" localSheetId="58">#REF!</definedName>
    <definedName name="COA_70" localSheetId="57">#REF!</definedName>
    <definedName name="COA_70" localSheetId="64">#REF!</definedName>
    <definedName name="COA_70" localSheetId="67">#REF!</definedName>
    <definedName name="COA_70" localSheetId="65">#REF!</definedName>
    <definedName name="COA_70" localSheetId="68">#REF!</definedName>
    <definedName name="COA_70" localSheetId="71">#REF!</definedName>
    <definedName name="COA_70" localSheetId="44">#REF!</definedName>
    <definedName name="COA_70" localSheetId="45">#REF!</definedName>
    <definedName name="COA_70" localSheetId="27">#REF!</definedName>
    <definedName name="COA_70" localSheetId="28">#REF!</definedName>
    <definedName name="COA_70" localSheetId="29">#REF!</definedName>
    <definedName name="COA_70" localSheetId="66">#REF!</definedName>
    <definedName name="COA_70">#REF!</definedName>
    <definedName name="COA_80" localSheetId="70">#REF!</definedName>
    <definedName name="COA_80" localSheetId="52">#REF!</definedName>
    <definedName name="COA_80" localSheetId="58">#REF!</definedName>
    <definedName name="COA_80" localSheetId="57">#REF!</definedName>
    <definedName name="COA_80" localSheetId="64">#REF!</definedName>
    <definedName name="COA_80" localSheetId="67">#REF!</definedName>
    <definedName name="COA_80" localSheetId="65">#REF!</definedName>
    <definedName name="COA_80" localSheetId="68">#REF!</definedName>
    <definedName name="COA_80" localSheetId="71">#REF!</definedName>
    <definedName name="COA_80" localSheetId="44">#REF!</definedName>
    <definedName name="COA_80" localSheetId="45">#REF!</definedName>
    <definedName name="COA_80" localSheetId="27">#REF!</definedName>
    <definedName name="COA_80" localSheetId="28">#REF!</definedName>
    <definedName name="COA_80" localSheetId="29">#REF!</definedName>
    <definedName name="COA_80" localSheetId="66">#REF!</definedName>
    <definedName name="COA_80">#REF!</definedName>
    <definedName name="COA_90" localSheetId="70">#REF!</definedName>
    <definedName name="COA_90" localSheetId="52">#REF!</definedName>
    <definedName name="COA_90" localSheetId="58">#REF!</definedName>
    <definedName name="COA_90" localSheetId="57">#REF!</definedName>
    <definedName name="COA_90" localSheetId="64">#REF!</definedName>
    <definedName name="COA_90" localSheetId="67">#REF!</definedName>
    <definedName name="COA_90" localSheetId="65">#REF!</definedName>
    <definedName name="COA_90" localSheetId="68">#REF!</definedName>
    <definedName name="COA_90" localSheetId="71">#REF!</definedName>
    <definedName name="COA_90" localSheetId="44">#REF!</definedName>
    <definedName name="COA_90" localSheetId="45">#REF!</definedName>
    <definedName name="COA_90" localSheetId="27">#REF!</definedName>
    <definedName name="COA_90" localSheetId="28">#REF!</definedName>
    <definedName name="COA_90" localSheetId="29">#REF!</definedName>
    <definedName name="COA_90" localSheetId="66">#REF!</definedName>
    <definedName name="COA_90">#REF!</definedName>
    <definedName name="COA50A" localSheetId="70">#REF!</definedName>
    <definedName name="COA50A" localSheetId="52">#REF!</definedName>
    <definedName name="COA50A" localSheetId="58">#REF!</definedName>
    <definedName name="COA50A" localSheetId="57">#REF!</definedName>
    <definedName name="COA50A" localSheetId="64">#REF!</definedName>
    <definedName name="COA50A" localSheetId="67">#REF!</definedName>
    <definedName name="COA50A" localSheetId="65">#REF!</definedName>
    <definedName name="COA50A" localSheetId="68">#REF!</definedName>
    <definedName name="COA50A" localSheetId="71">#REF!</definedName>
    <definedName name="COA50A" localSheetId="44">#REF!</definedName>
    <definedName name="COA50A" localSheetId="45">#REF!</definedName>
    <definedName name="COA50A" localSheetId="27">#REF!</definedName>
    <definedName name="COA50A" localSheetId="28">#REF!</definedName>
    <definedName name="COA50A" localSheetId="29">#REF!</definedName>
    <definedName name="COA50A" localSheetId="66">#REF!</definedName>
    <definedName name="COA50A">#REF!</definedName>
    <definedName name="COA50B" localSheetId="70">#REF!</definedName>
    <definedName name="COA50B" localSheetId="52">#REF!</definedName>
    <definedName name="COA50B" localSheetId="58">#REF!</definedName>
    <definedName name="COA50B" localSheetId="57">#REF!</definedName>
    <definedName name="COA50B" localSheetId="64">#REF!</definedName>
    <definedName name="COA50B" localSheetId="67">#REF!</definedName>
    <definedName name="COA50B" localSheetId="65">#REF!</definedName>
    <definedName name="COA50B" localSheetId="68">#REF!</definedName>
    <definedName name="COA50B" localSheetId="71">#REF!</definedName>
    <definedName name="COA50B" localSheetId="44">#REF!</definedName>
    <definedName name="COA50B" localSheetId="45">#REF!</definedName>
    <definedName name="COA50B" localSheetId="27">#REF!</definedName>
    <definedName name="COA50B" localSheetId="28">#REF!</definedName>
    <definedName name="COA50B" localSheetId="29">#REF!</definedName>
    <definedName name="COA50B" localSheetId="66">#REF!</definedName>
    <definedName name="COA50B">#REF!</definedName>
    <definedName name="CODE_TYPE" localSheetId="70">#REF!</definedName>
    <definedName name="CODE_TYPE" localSheetId="52">#REF!</definedName>
    <definedName name="CODE_TYPE" localSheetId="58">#REF!</definedName>
    <definedName name="CODE_TYPE" localSheetId="57">#REF!</definedName>
    <definedName name="CODE_TYPE" localSheetId="64">#REF!</definedName>
    <definedName name="CODE_TYPE" localSheetId="67">#REF!</definedName>
    <definedName name="CODE_TYPE" localSheetId="65">#REF!</definedName>
    <definedName name="CODE_TYPE" localSheetId="68">#REF!</definedName>
    <definedName name="CODE_TYPE" localSheetId="71">#REF!</definedName>
    <definedName name="CODE_TYPE" localSheetId="44">#REF!</definedName>
    <definedName name="CODE_TYPE" localSheetId="45">#REF!</definedName>
    <definedName name="CODE_TYPE" localSheetId="27">#REF!</definedName>
    <definedName name="CODE_TYPE" localSheetId="28">#REF!</definedName>
    <definedName name="CODE_TYPE" localSheetId="29">#REF!</definedName>
    <definedName name="CODE_TYPE" localSheetId="66">#REF!</definedName>
    <definedName name="CODE_TYPE">#REF!</definedName>
    <definedName name="COM" localSheetId="70">#REF!</definedName>
    <definedName name="COM" localSheetId="52">#REF!</definedName>
    <definedName name="COM" localSheetId="58">#REF!</definedName>
    <definedName name="COM" localSheetId="57">#REF!</definedName>
    <definedName name="COM" localSheetId="64">#REF!</definedName>
    <definedName name="COM" localSheetId="67">#REF!</definedName>
    <definedName name="COM" localSheetId="65">#REF!</definedName>
    <definedName name="COM" localSheetId="68">#REF!</definedName>
    <definedName name="COM" localSheetId="71">#REF!</definedName>
    <definedName name="COM" localSheetId="44">#REF!</definedName>
    <definedName name="COM" localSheetId="45">#REF!</definedName>
    <definedName name="COM" localSheetId="27">#REF!</definedName>
    <definedName name="COM" localSheetId="28">#REF!</definedName>
    <definedName name="COM" localSheetId="29">#REF!</definedName>
    <definedName name="COM" localSheetId="66">#REF!</definedName>
    <definedName name="COM">#REF!</definedName>
    <definedName name="Commission" localSheetId="70">#REF!</definedName>
    <definedName name="Commission" localSheetId="52">#REF!</definedName>
    <definedName name="Commission" localSheetId="58">#REF!</definedName>
    <definedName name="Commission" localSheetId="57">#REF!</definedName>
    <definedName name="Commission" localSheetId="64">#REF!</definedName>
    <definedName name="Commission" localSheetId="67">#REF!</definedName>
    <definedName name="Commission" localSheetId="65">#REF!</definedName>
    <definedName name="Commission" localSheetId="68">#REF!</definedName>
    <definedName name="Commission" localSheetId="71">#REF!</definedName>
    <definedName name="Commission" localSheetId="44">#REF!</definedName>
    <definedName name="Commission" localSheetId="45">#REF!</definedName>
    <definedName name="Commission" localSheetId="27">#REF!</definedName>
    <definedName name="Commission" localSheetId="28">#REF!</definedName>
    <definedName name="Commission" localSheetId="29">#REF!</definedName>
    <definedName name="Commission" localSheetId="66">#REF!</definedName>
    <definedName name="Commission">#REF!</definedName>
    <definedName name="COMP" localSheetId="70">#REF!</definedName>
    <definedName name="COMP" localSheetId="52">#REF!</definedName>
    <definedName name="COMP" localSheetId="58">#REF!</definedName>
    <definedName name="COMP" localSheetId="57">#REF!</definedName>
    <definedName name="COMP" localSheetId="64">#REF!</definedName>
    <definedName name="COMP" localSheetId="67">#REF!</definedName>
    <definedName name="COMP" localSheetId="65">#REF!</definedName>
    <definedName name="COMP" localSheetId="68">#REF!</definedName>
    <definedName name="COMP" localSheetId="71">#REF!</definedName>
    <definedName name="COMP" localSheetId="44">#REF!</definedName>
    <definedName name="COMP" localSheetId="45">#REF!</definedName>
    <definedName name="COMP" localSheetId="27">#REF!</definedName>
    <definedName name="COMP" localSheetId="28">#REF!</definedName>
    <definedName name="COMP" localSheetId="29">#REF!</definedName>
    <definedName name="COMP" localSheetId="66">#REF!</definedName>
    <definedName name="COMP">#REF!</definedName>
    <definedName name="COMP_TR" localSheetId="70">#REF!</definedName>
    <definedName name="COMP_TR" localSheetId="52">#REF!</definedName>
    <definedName name="COMP_TR" localSheetId="58">#REF!</definedName>
    <definedName name="COMP_TR" localSheetId="57">#REF!</definedName>
    <definedName name="COMP_TR" localSheetId="64">#REF!</definedName>
    <definedName name="COMP_TR" localSheetId="67">#REF!</definedName>
    <definedName name="COMP_TR" localSheetId="65">#REF!</definedName>
    <definedName name="COMP_TR" localSheetId="68">#REF!</definedName>
    <definedName name="COMP_TR" localSheetId="71">#REF!</definedName>
    <definedName name="COMP_TR" localSheetId="44">#REF!</definedName>
    <definedName name="COMP_TR" localSheetId="45">#REF!</definedName>
    <definedName name="COMP_TR" localSheetId="27">#REF!</definedName>
    <definedName name="COMP_TR" localSheetId="28">#REF!</definedName>
    <definedName name="COMP_TR" localSheetId="29">#REF!</definedName>
    <definedName name="COMP_TR" localSheetId="66">#REF!</definedName>
    <definedName name="COMP_TR">#REF!</definedName>
    <definedName name="COMP_선택" localSheetId="70">#REF!</definedName>
    <definedName name="COMP_선택" localSheetId="52">#REF!</definedName>
    <definedName name="COMP_선택" localSheetId="58">#REF!</definedName>
    <definedName name="COMP_선택" localSheetId="57">#REF!</definedName>
    <definedName name="COMP_선택" localSheetId="64">#REF!</definedName>
    <definedName name="COMP_선택" localSheetId="67">#REF!</definedName>
    <definedName name="COMP_선택" localSheetId="65">#REF!</definedName>
    <definedName name="COMP_선택" localSheetId="68">#REF!</definedName>
    <definedName name="COMP_선택" localSheetId="71">#REF!</definedName>
    <definedName name="COMP_선택" localSheetId="44">#REF!</definedName>
    <definedName name="COMP_선택" localSheetId="45">#REF!</definedName>
    <definedName name="COMP_선택" localSheetId="27">#REF!</definedName>
    <definedName name="COMP_선택" localSheetId="28">#REF!</definedName>
    <definedName name="COMP_선택" localSheetId="29">#REF!</definedName>
    <definedName name="COMP_선택" localSheetId="66">#REF!</definedName>
    <definedName name="COMP_선택">#REF!</definedName>
    <definedName name="COMP_선택1" localSheetId="70">#REF!</definedName>
    <definedName name="COMP_선택1" localSheetId="52">#REF!</definedName>
    <definedName name="COMP_선택1" localSheetId="58">#REF!</definedName>
    <definedName name="COMP_선택1" localSheetId="57">#REF!</definedName>
    <definedName name="COMP_선택1" localSheetId="64">#REF!</definedName>
    <definedName name="COMP_선택1" localSheetId="67">#REF!</definedName>
    <definedName name="COMP_선택1" localSheetId="65">#REF!</definedName>
    <definedName name="COMP_선택1" localSheetId="68">#REF!</definedName>
    <definedName name="COMP_선택1" localSheetId="71">#REF!</definedName>
    <definedName name="COMP_선택1" localSheetId="44">#REF!</definedName>
    <definedName name="COMP_선택1" localSheetId="45">#REF!</definedName>
    <definedName name="COMP_선택1" localSheetId="27">#REF!</definedName>
    <definedName name="COMP_선택1" localSheetId="28">#REF!</definedName>
    <definedName name="COMP_선택1" localSheetId="29">#REF!</definedName>
    <definedName name="COMP_선택1" localSheetId="66">#REF!</definedName>
    <definedName name="COMP_선택1">#REF!</definedName>
    <definedName name="CON">#N/A</definedName>
    <definedName name="CONCEPT" localSheetId="70">'[13]해외 연수비용 계산-삭제'!#REF!</definedName>
    <definedName name="CONCEPT" localSheetId="52">'[13]해외 연수비용 계산-삭제'!#REF!</definedName>
    <definedName name="CONCEPT" localSheetId="58">'[13]해외 연수비용 계산-삭제'!#REF!</definedName>
    <definedName name="CONCEPT" localSheetId="57">'[13]해외 연수비용 계산-삭제'!#REF!</definedName>
    <definedName name="CONCEPT" localSheetId="64">'[13]해외 연수비용 계산-삭제'!#REF!</definedName>
    <definedName name="CONCEPT" localSheetId="67">'[13]해외 연수비용 계산-삭제'!#REF!</definedName>
    <definedName name="CONCEPT" localSheetId="65">'[13]해외 연수비용 계산-삭제'!#REF!</definedName>
    <definedName name="CONCEPT" localSheetId="68">'[13]해외 연수비용 계산-삭제'!#REF!</definedName>
    <definedName name="CONCEPT" localSheetId="71">'[13]해외 연수비용 계산-삭제'!#REF!</definedName>
    <definedName name="CONCEPT" localSheetId="44">'[13]해외 연수비용 계산-삭제'!#REF!</definedName>
    <definedName name="CONCEPT" localSheetId="45">'[13]해외 연수비용 계산-삭제'!#REF!</definedName>
    <definedName name="CONCEPT" localSheetId="27">'[13]해외 연수비용 계산-삭제'!#REF!</definedName>
    <definedName name="CONCEPT" localSheetId="28">'[13]해외 연수비용 계산-삭제'!#REF!</definedName>
    <definedName name="CONCEPT" localSheetId="29">'[13]해외 연수비용 계산-삭제'!#REF!</definedName>
    <definedName name="CONCEPT" localSheetId="66">'[13]해외 연수비용 계산-삭제'!#REF!</definedName>
    <definedName name="CONCEPT">'[13]해외 연수비용 계산-삭제'!#REF!</definedName>
    <definedName name="CONSTANTS">'[5]Financial Estimates'!$A$271:$D$342</definedName>
    <definedName name="CONSUM" localSheetId="70">#REF!</definedName>
    <definedName name="CONSUM" localSheetId="52">#REF!</definedName>
    <definedName name="CONSUM" localSheetId="58">#REF!</definedName>
    <definedName name="CONSUM" localSheetId="56">#REF!</definedName>
    <definedName name="CONSUM" localSheetId="57">#REF!</definedName>
    <definedName name="CONSUM" localSheetId="64">#REF!</definedName>
    <definedName name="CONSUM" localSheetId="67">#REF!</definedName>
    <definedName name="CONSUM" localSheetId="65">#REF!</definedName>
    <definedName name="CONSUM" localSheetId="68">#REF!</definedName>
    <definedName name="CONSUM" localSheetId="71">#REF!</definedName>
    <definedName name="CONSUM" localSheetId="44">#REF!</definedName>
    <definedName name="CONSUM" localSheetId="45">#REF!</definedName>
    <definedName name="CONSUM" localSheetId="17">#REF!</definedName>
    <definedName name="CONSUM" localSheetId="27">#REF!</definedName>
    <definedName name="CONSUM" localSheetId="72">#REF!</definedName>
    <definedName name="CONSUM" localSheetId="28">#REF!</definedName>
    <definedName name="CONSUM" localSheetId="29">#REF!</definedName>
    <definedName name="CONSUM" localSheetId="66">#REF!</definedName>
    <definedName name="CONSUM">#REF!</definedName>
    <definedName name="CONT_NO">#N/A</definedName>
    <definedName name="COVER50" localSheetId="70">[37]CAT_5!#REF!</definedName>
    <definedName name="COVER50" localSheetId="52">[37]CAT_5!#REF!</definedName>
    <definedName name="COVER50" localSheetId="58">[37]CAT_5!#REF!</definedName>
    <definedName name="COVER50" localSheetId="56">[37]CAT_5!#REF!</definedName>
    <definedName name="COVER50" localSheetId="57">[37]CAT_5!#REF!</definedName>
    <definedName name="COVER50" localSheetId="64">[37]CAT_5!#REF!</definedName>
    <definedName name="COVER50" localSheetId="67">[37]CAT_5!#REF!</definedName>
    <definedName name="COVER50" localSheetId="65">[37]CAT_5!#REF!</definedName>
    <definedName name="COVER50" localSheetId="68">[37]CAT_5!#REF!</definedName>
    <definedName name="COVER50" localSheetId="71">[37]CAT_5!#REF!</definedName>
    <definedName name="COVER50" localSheetId="44">[37]CAT_5!#REF!</definedName>
    <definedName name="COVER50" localSheetId="45">[37]CAT_5!#REF!</definedName>
    <definedName name="COVER50" localSheetId="17">[37]CAT_5!#REF!</definedName>
    <definedName name="COVER50" localSheetId="27">[37]CAT_5!#REF!</definedName>
    <definedName name="COVER50" localSheetId="72">[37]CAT_5!#REF!</definedName>
    <definedName name="COVER50" localSheetId="28">[37]CAT_5!#REF!</definedName>
    <definedName name="COVER50" localSheetId="29">[37]CAT_5!#REF!</definedName>
    <definedName name="COVER50" localSheetId="66">[37]CAT_5!#REF!</definedName>
    <definedName name="COVER50">[37]CAT_5!#REF!</definedName>
    <definedName name="CP1_">#N/A</definedName>
    <definedName name="CP2_">#N/A</definedName>
    <definedName name="CP3_" localSheetId="70">'[13]해외 연수비용 계산-삭제'!#REF!</definedName>
    <definedName name="CP3_" localSheetId="52">'[13]해외 연수비용 계산-삭제'!#REF!</definedName>
    <definedName name="CP3_" localSheetId="58">'[13]해외 연수비용 계산-삭제'!#REF!</definedName>
    <definedName name="CP3_" localSheetId="57">'[13]해외 연수비용 계산-삭제'!#REF!</definedName>
    <definedName name="CP3_" localSheetId="64">'[13]해외 연수비용 계산-삭제'!#REF!</definedName>
    <definedName name="CP3_" localSheetId="67">'[13]해외 연수비용 계산-삭제'!#REF!</definedName>
    <definedName name="CP3_" localSheetId="65">'[13]해외 연수비용 계산-삭제'!#REF!</definedName>
    <definedName name="CP3_" localSheetId="68">'[13]해외 연수비용 계산-삭제'!#REF!</definedName>
    <definedName name="CP3_" localSheetId="71">'[13]해외 연수비용 계산-삭제'!#REF!</definedName>
    <definedName name="CP3_" localSheetId="44">'[13]해외 연수비용 계산-삭제'!#REF!</definedName>
    <definedName name="CP3_" localSheetId="45">'[13]해외 연수비용 계산-삭제'!#REF!</definedName>
    <definedName name="CP3_" localSheetId="17">'[13]해외 연수비용 계산-삭제'!#REF!</definedName>
    <definedName name="CP3_" localSheetId="27">'[13]해외 연수비용 계산-삭제'!#REF!</definedName>
    <definedName name="CP3_" localSheetId="28">'[13]해외 연수비용 계산-삭제'!#REF!</definedName>
    <definedName name="CP3_" localSheetId="29">'[13]해외 연수비용 계산-삭제'!#REF!</definedName>
    <definedName name="CP3_" localSheetId="66">'[13]해외 연수비용 계산-삭제'!#REF!</definedName>
    <definedName name="CP3_">'[13]해외 연수비용 계산-삭제'!#REF!</definedName>
    <definedName name="CPLG" localSheetId="70">#REF!</definedName>
    <definedName name="CPLG" localSheetId="52">#REF!</definedName>
    <definedName name="CPLG" localSheetId="58">#REF!</definedName>
    <definedName name="CPLG" localSheetId="56">#REF!</definedName>
    <definedName name="CPLG" localSheetId="57">#REF!</definedName>
    <definedName name="CPLG" localSheetId="64">#REF!</definedName>
    <definedName name="CPLG" localSheetId="67">#REF!</definedName>
    <definedName name="CPLG" localSheetId="65">#REF!</definedName>
    <definedName name="CPLG" localSheetId="68">#REF!</definedName>
    <definedName name="CPLG" localSheetId="71">#REF!</definedName>
    <definedName name="CPLG" localSheetId="44">#REF!</definedName>
    <definedName name="CPLG" localSheetId="45">#REF!</definedName>
    <definedName name="CPLG" localSheetId="17">#REF!</definedName>
    <definedName name="CPLG" localSheetId="27">#REF!</definedName>
    <definedName name="CPLG" localSheetId="72">#REF!</definedName>
    <definedName name="CPLG" localSheetId="28">#REF!</definedName>
    <definedName name="CPLG" localSheetId="29">#REF!</definedName>
    <definedName name="CPLG" localSheetId="66">#REF!</definedName>
    <definedName name="CPLG">#REF!</definedName>
    <definedName name="cprrr" localSheetId="70">'[34]License Area'!#REF!</definedName>
    <definedName name="cprrr" localSheetId="52">'[34]License Area'!#REF!</definedName>
    <definedName name="cprrr" localSheetId="58">'[34]License Area'!#REF!</definedName>
    <definedName name="cprrr" localSheetId="56">'[34]License Area'!#REF!</definedName>
    <definedName name="cprrr" localSheetId="57">'[34]License Area'!#REF!</definedName>
    <definedName name="cprrr" localSheetId="64">'[34]License Area'!#REF!</definedName>
    <definedName name="cprrr" localSheetId="67">'[34]License Area'!#REF!</definedName>
    <definedName name="cprrr" localSheetId="65">'[34]License Area'!#REF!</definedName>
    <definedName name="cprrr" localSheetId="68">'[34]License Area'!#REF!</definedName>
    <definedName name="cprrr" localSheetId="71">'[34]License Area'!#REF!</definedName>
    <definedName name="cprrr" localSheetId="44">'[34]License Area'!#REF!</definedName>
    <definedName name="cprrr" localSheetId="45">'[34]License Area'!#REF!</definedName>
    <definedName name="cprrr" localSheetId="17">'[34]License Area'!#REF!</definedName>
    <definedName name="cprrr" localSheetId="27">'[34]License Area'!#REF!</definedName>
    <definedName name="cprrr" localSheetId="72">'[34]License Area'!#REF!</definedName>
    <definedName name="cprrr" localSheetId="28">'[34]License Area'!#REF!</definedName>
    <definedName name="cprrr" localSheetId="29">'[34]License Area'!#REF!</definedName>
    <definedName name="cprrr" localSheetId="66">'[34]License Area'!#REF!</definedName>
    <definedName name="cprrr">'[34]License Area'!#REF!</definedName>
    <definedName name="cqwfe" localSheetId="70">[12]BEST_17112006!#REF!</definedName>
    <definedName name="cqwfe" localSheetId="143">[12]BEST_17112006!#REF!</definedName>
    <definedName name="cqwfe" localSheetId="52">[12]BEST_17112006!#REF!</definedName>
    <definedName name="cqwfe" localSheetId="58">[12]BEST_17112006!#REF!</definedName>
    <definedName name="cqwfe" localSheetId="57">[12]BEST_17112006!#REF!</definedName>
    <definedName name="cqwfe" localSheetId="64">[12]BEST_17112006!#REF!</definedName>
    <definedName name="cqwfe" localSheetId="67">[12]BEST_17112006!#REF!</definedName>
    <definedName name="cqwfe" localSheetId="65">[12]BEST_17112006!#REF!</definedName>
    <definedName name="cqwfe" localSheetId="68">[12]BEST_17112006!#REF!</definedName>
    <definedName name="cqwfe" localSheetId="71">[12]BEST_17112006!#REF!</definedName>
    <definedName name="cqwfe" localSheetId="44">[12]BEST_17112006!#REF!</definedName>
    <definedName name="cqwfe" localSheetId="45">[12]BEST_17112006!#REF!</definedName>
    <definedName name="cqwfe" localSheetId="17">[12]BEST_17112006!#REF!</definedName>
    <definedName name="cqwfe" localSheetId="27">[12]BEST_17112006!#REF!</definedName>
    <definedName name="cqwfe" localSheetId="28">[12]BEST_17112006!#REF!</definedName>
    <definedName name="cqwfe" localSheetId="29">[12]BEST_17112006!#REF!</definedName>
    <definedName name="cqwfe" localSheetId="66">[12]BEST_17112006!#REF!</definedName>
    <definedName name="cqwfe">[12]BEST_17112006!#REF!</definedName>
    <definedName name="CREATOR" localSheetId="70">#REF!</definedName>
    <definedName name="CREATOR" localSheetId="52">#REF!</definedName>
    <definedName name="CREATOR" localSheetId="58">#REF!</definedName>
    <definedName name="CREATOR" localSheetId="56">#REF!</definedName>
    <definedName name="CREATOR" localSheetId="57">#REF!</definedName>
    <definedName name="CREATOR" localSheetId="64">#REF!</definedName>
    <definedName name="CREATOR" localSheetId="67">#REF!</definedName>
    <definedName name="CREATOR" localSheetId="65">#REF!</definedName>
    <definedName name="CREATOR" localSheetId="68">#REF!</definedName>
    <definedName name="CREATOR" localSheetId="71">#REF!</definedName>
    <definedName name="CREATOR" localSheetId="44">#REF!</definedName>
    <definedName name="CREATOR" localSheetId="45">#REF!</definedName>
    <definedName name="CREATOR" localSheetId="17">#REF!</definedName>
    <definedName name="CREATOR" localSheetId="27">#REF!</definedName>
    <definedName name="CREATOR" localSheetId="72">#REF!</definedName>
    <definedName name="CREATOR" localSheetId="28">#REF!</definedName>
    <definedName name="CREATOR" localSheetId="29">#REF!</definedName>
    <definedName name="CREATOR" localSheetId="66">#REF!</definedName>
    <definedName name="CREATOR">#REF!</definedName>
    <definedName name="_xlnm.Criteria" localSheetId="70">#REF!</definedName>
    <definedName name="_xlnm.Criteria" localSheetId="52">#REF!</definedName>
    <definedName name="_xlnm.Criteria" localSheetId="58">#REF!</definedName>
    <definedName name="_xlnm.Criteria" localSheetId="57">#REF!</definedName>
    <definedName name="_xlnm.Criteria" localSheetId="64">#REF!</definedName>
    <definedName name="_xlnm.Criteria" localSheetId="67">#REF!</definedName>
    <definedName name="_xlnm.Criteria" localSheetId="65">#REF!</definedName>
    <definedName name="_xlnm.Criteria" localSheetId="68">#REF!</definedName>
    <definedName name="_xlnm.Criteria" localSheetId="71">#REF!</definedName>
    <definedName name="_xlnm.Criteria" localSheetId="44">#REF!</definedName>
    <definedName name="_xlnm.Criteria" localSheetId="45">#REF!</definedName>
    <definedName name="_xlnm.Criteria" localSheetId="17">#REF!</definedName>
    <definedName name="_xlnm.Criteria" localSheetId="27">#REF!</definedName>
    <definedName name="_xlnm.Criteria" localSheetId="72">#REF!</definedName>
    <definedName name="_xlnm.Criteria" localSheetId="28">#REF!</definedName>
    <definedName name="_xlnm.Criteria" localSheetId="29">#REF!</definedName>
    <definedName name="_xlnm.Criteria" localSheetId="66">#REF!</definedName>
    <definedName name="_xlnm.Criteria">#REF!</definedName>
    <definedName name="Criteria_MI" localSheetId="70">#REF!</definedName>
    <definedName name="Criteria_MI" localSheetId="52">#REF!</definedName>
    <definedName name="Criteria_MI" localSheetId="58">#REF!</definedName>
    <definedName name="Criteria_MI" localSheetId="57">#REF!</definedName>
    <definedName name="Criteria_MI" localSheetId="64">#REF!</definedName>
    <definedName name="Criteria_MI" localSheetId="67">#REF!</definedName>
    <definedName name="Criteria_MI" localSheetId="65">#REF!</definedName>
    <definedName name="Criteria_MI" localSheetId="68">#REF!</definedName>
    <definedName name="Criteria_MI" localSheetId="71">#REF!</definedName>
    <definedName name="Criteria_MI" localSheetId="44">#REF!</definedName>
    <definedName name="Criteria_MI" localSheetId="45">#REF!</definedName>
    <definedName name="Criteria_MI" localSheetId="17">#REF!</definedName>
    <definedName name="Criteria_MI" localSheetId="27">#REF!</definedName>
    <definedName name="Criteria_MI" localSheetId="72">#REF!</definedName>
    <definedName name="Criteria_MI" localSheetId="28">#REF!</definedName>
    <definedName name="Criteria_MI" localSheetId="29">#REF!</definedName>
    <definedName name="Criteria_MI" localSheetId="66">#REF!</definedName>
    <definedName name="Criteria_MI">#REF!</definedName>
    <definedName name="CT">#N/A</definedName>
    <definedName name="CTTRV">#N/A</definedName>
    <definedName name="CUSTOM">#N/A</definedName>
    <definedName name="CV_1" localSheetId="70">'[36]C-18'!#REF!</definedName>
    <definedName name="CV_1" localSheetId="52">'[36]C-18'!#REF!</definedName>
    <definedName name="CV_1" localSheetId="58">'[36]C-18'!#REF!</definedName>
    <definedName name="CV_1" localSheetId="57">'[36]C-18'!#REF!</definedName>
    <definedName name="CV_1" localSheetId="64">'[36]C-18'!#REF!</definedName>
    <definedName name="CV_1" localSheetId="67">'[36]C-18'!#REF!</definedName>
    <definedName name="CV_1" localSheetId="65">'[36]C-18'!#REF!</definedName>
    <definedName name="CV_1" localSheetId="68">'[36]C-18'!#REF!</definedName>
    <definedName name="CV_1" localSheetId="71">'[36]C-18'!#REF!</definedName>
    <definedName name="CV_1" localSheetId="44">'[36]C-18'!#REF!</definedName>
    <definedName name="CV_1" localSheetId="45">'[36]C-18'!#REF!</definedName>
    <definedName name="CV_1" localSheetId="17">'[36]C-18'!#REF!</definedName>
    <definedName name="CV_1" localSheetId="27">'[36]C-18'!#REF!</definedName>
    <definedName name="CV_1" localSheetId="72">'[36]C-18'!#REF!</definedName>
    <definedName name="CV_1" localSheetId="28">'[36]C-18'!#REF!</definedName>
    <definedName name="CV_1" localSheetId="29">'[36]C-18'!#REF!</definedName>
    <definedName name="CV_1" localSheetId="66">'[36]C-18'!#REF!</definedName>
    <definedName name="CV_1">'[36]C-18'!#REF!</definedName>
    <definedName name="CV_11" localSheetId="70">'[36]C-18'!#REF!</definedName>
    <definedName name="CV_11" localSheetId="52">'[36]C-18'!#REF!</definedName>
    <definedName name="CV_11" localSheetId="58">'[36]C-18'!#REF!</definedName>
    <definedName name="CV_11" localSheetId="57">'[36]C-18'!#REF!</definedName>
    <definedName name="CV_11" localSheetId="64">'[36]C-18'!#REF!</definedName>
    <definedName name="CV_11" localSheetId="67">'[36]C-18'!#REF!</definedName>
    <definedName name="CV_11" localSheetId="65">'[36]C-18'!#REF!</definedName>
    <definedName name="CV_11" localSheetId="68">'[36]C-18'!#REF!</definedName>
    <definedName name="CV_11" localSheetId="71">'[36]C-18'!#REF!</definedName>
    <definedName name="CV_11" localSheetId="44">'[36]C-18'!#REF!</definedName>
    <definedName name="CV_11" localSheetId="45">'[36]C-18'!#REF!</definedName>
    <definedName name="CV_11" localSheetId="17">'[36]C-18'!#REF!</definedName>
    <definedName name="CV_11" localSheetId="27">'[36]C-18'!#REF!</definedName>
    <definedName name="CV_11" localSheetId="72">'[36]C-18'!#REF!</definedName>
    <definedName name="CV_11" localSheetId="28">'[36]C-18'!#REF!</definedName>
    <definedName name="CV_11" localSheetId="29">'[36]C-18'!#REF!</definedName>
    <definedName name="CV_11" localSheetId="66">'[36]C-18'!#REF!</definedName>
    <definedName name="CV_11">'[36]C-18'!#REF!</definedName>
    <definedName name="CV_12" localSheetId="70">'[36]C-18'!#REF!</definedName>
    <definedName name="CV_12" localSheetId="52">'[36]C-18'!#REF!</definedName>
    <definedName name="CV_12" localSheetId="58">'[36]C-18'!#REF!</definedName>
    <definedName name="CV_12" localSheetId="57">'[36]C-18'!#REF!</definedName>
    <definedName name="CV_12" localSheetId="64">'[36]C-18'!#REF!</definedName>
    <definedName name="CV_12" localSheetId="67">'[36]C-18'!#REF!</definedName>
    <definedName name="CV_12" localSheetId="65">'[36]C-18'!#REF!</definedName>
    <definedName name="CV_12" localSheetId="68">'[36]C-18'!#REF!</definedName>
    <definedName name="CV_12" localSheetId="71">'[36]C-18'!#REF!</definedName>
    <definedName name="CV_12" localSheetId="44">'[36]C-18'!#REF!</definedName>
    <definedName name="CV_12" localSheetId="45">'[36]C-18'!#REF!</definedName>
    <definedName name="CV_12" localSheetId="17">'[36]C-18'!#REF!</definedName>
    <definedName name="CV_12" localSheetId="27">'[36]C-18'!#REF!</definedName>
    <definedName name="CV_12" localSheetId="72">'[36]C-18'!#REF!</definedName>
    <definedName name="CV_12" localSheetId="28">'[36]C-18'!#REF!</definedName>
    <definedName name="CV_12" localSheetId="29">'[36]C-18'!#REF!</definedName>
    <definedName name="CV_12" localSheetId="66">'[36]C-18'!#REF!</definedName>
    <definedName name="CV_12">'[36]C-18'!#REF!</definedName>
    <definedName name="CV_13" localSheetId="70">'[36]C-18'!#REF!</definedName>
    <definedName name="CV_13" localSheetId="52">'[36]C-18'!#REF!</definedName>
    <definedName name="CV_13" localSheetId="58">'[36]C-18'!#REF!</definedName>
    <definedName name="CV_13" localSheetId="57">'[36]C-18'!#REF!</definedName>
    <definedName name="CV_13" localSheetId="64">'[36]C-18'!#REF!</definedName>
    <definedName name="CV_13" localSheetId="67">'[36]C-18'!#REF!</definedName>
    <definedName name="CV_13" localSheetId="65">'[36]C-18'!#REF!</definedName>
    <definedName name="CV_13" localSheetId="68">'[36]C-18'!#REF!</definedName>
    <definedName name="CV_13" localSheetId="71">'[36]C-18'!#REF!</definedName>
    <definedName name="CV_13" localSheetId="44">'[36]C-18'!#REF!</definedName>
    <definedName name="CV_13" localSheetId="45">'[36]C-18'!#REF!</definedName>
    <definedName name="CV_13" localSheetId="17">'[36]C-18'!#REF!</definedName>
    <definedName name="CV_13" localSheetId="27">'[36]C-18'!#REF!</definedName>
    <definedName name="CV_13" localSheetId="72">'[36]C-18'!#REF!</definedName>
    <definedName name="CV_13" localSheetId="28">'[36]C-18'!#REF!</definedName>
    <definedName name="CV_13" localSheetId="29">'[36]C-18'!#REF!</definedName>
    <definedName name="CV_13" localSheetId="66">'[36]C-18'!#REF!</definedName>
    <definedName name="CV_13">'[36]C-18'!#REF!</definedName>
    <definedName name="CV_14" localSheetId="70">'[36]C-18'!#REF!</definedName>
    <definedName name="CV_14" localSheetId="52">'[36]C-18'!#REF!</definedName>
    <definedName name="CV_14" localSheetId="58">'[36]C-18'!#REF!</definedName>
    <definedName name="CV_14" localSheetId="57">'[36]C-18'!#REF!</definedName>
    <definedName name="CV_14" localSheetId="64">'[36]C-18'!#REF!</definedName>
    <definedName name="CV_14" localSheetId="67">'[36]C-18'!#REF!</definedName>
    <definedName name="CV_14" localSheetId="65">'[36]C-18'!#REF!</definedName>
    <definedName name="CV_14" localSheetId="68">'[36]C-18'!#REF!</definedName>
    <definedName name="CV_14" localSheetId="71">'[36]C-18'!#REF!</definedName>
    <definedName name="CV_14" localSheetId="44">'[36]C-18'!#REF!</definedName>
    <definedName name="CV_14" localSheetId="45">'[36]C-18'!#REF!</definedName>
    <definedName name="CV_14" localSheetId="27">'[36]C-18'!#REF!</definedName>
    <definedName name="CV_14" localSheetId="28">'[36]C-18'!#REF!</definedName>
    <definedName name="CV_14" localSheetId="29">'[36]C-18'!#REF!</definedName>
    <definedName name="CV_14" localSheetId="66">'[36]C-18'!#REF!</definedName>
    <definedName name="CV_14">'[36]C-18'!#REF!</definedName>
    <definedName name="CV_15" localSheetId="70">'[36]C-18'!#REF!</definedName>
    <definedName name="CV_15" localSheetId="52">'[36]C-18'!#REF!</definedName>
    <definedName name="CV_15" localSheetId="58">'[36]C-18'!#REF!</definedName>
    <definedName name="CV_15" localSheetId="57">'[36]C-18'!#REF!</definedName>
    <definedName name="CV_15" localSheetId="64">'[36]C-18'!#REF!</definedName>
    <definedName name="CV_15" localSheetId="67">'[36]C-18'!#REF!</definedName>
    <definedName name="CV_15" localSheetId="65">'[36]C-18'!#REF!</definedName>
    <definedName name="CV_15" localSheetId="68">'[36]C-18'!#REF!</definedName>
    <definedName name="CV_15" localSheetId="71">'[36]C-18'!#REF!</definedName>
    <definedName name="CV_15" localSheetId="44">'[36]C-18'!#REF!</definedName>
    <definedName name="CV_15" localSheetId="45">'[36]C-18'!#REF!</definedName>
    <definedName name="CV_15" localSheetId="27">'[36]C-18'!#REF!</definedName>
    <definedName name="CV_15" localSheetId="28">'[36]C-18'!#REF!</definedName>
    <definedName name="CV_15" localSheetId="29">'[36]C-18'!#REF!</definedName>
    <definedName name="CV_15" localSheetId="66">'[36]C-18'!#REF!</definedName>
    <definedName name="CV_15">'[36]C-18'!#REF!</definedName>
    <definedName name="CV_16" localSheetId="70">'[36]C-18'!#REF!</definedName>
    <definedName name="CV_16" localSheetId="52">'[36]C-18'!#REF!</definedName>
    <definedName name="CV_16" localSheetId="58">'[36]C-18'!#REF!</definedName>
    <definedName name="CV_16" localSheetId="57">'[36]C-18'!#REF!</definedName>
    <definedName name="CV_16" localSheetId="64">'[36]C-18'!#REF!</definedName>
    <definedName name="CV_16" localSheetId="67">'[36]C-18'!#REF!</definedName>
    <definedName name="CV_16" localSheetId="65">'[36]C-18'!#REF!</definedName>
    <definedName name="CV_16" localSheetId="68">'[36]C-18'!#REF!</definedName>
    <definedName name="CV_16" localSheetId="71">'[36]C-18'!#REF!</definedName>
    <definedName name="CV_16" localSheetId="44">'[36]C-18'!#REF!</definedName>
    <definedName name="CV_16" localSheetId="45">'[36]C-18'!#REF!</definedName>
    <definedName name="CV_16" localSheetId="27">'[36]C-18'!#REF!</definedName>
    <definedName name="CV_16" localSheetId="28">'[36]C-18'!#REF!</definedName>
    <definedName name="CV_16" localSheetId="29">'[36]C-18'!#REF!</definedName>
    <definedName name="CV_16" localSheetId="66">'[36]C-18'!#REF!</definedName>
    <definedName name="CV_16">'[36]C-18'!#REF!</definedName>
    <definedName name="CV_17" localSheetId="70">'[36]C-18'!#REF!</definedName>
    <definedName name="CV_17" localSheetId="52">'[36]C-18'!#REF!</definedName>
    <definedName name="CV_17" localSheetId="58">'[36]C-18'!#REF!</definedName>
    <definedName name="CV_17" localSheetId="57">'[36]C-18'!#REF!</definedName>
    <definedName name="CV_17" localSheetId="64">'[36]C-18'!#REF!</definedName>
    <definedName name="CV_17" localSheetId="67">'[36]C-18'!#REF!</definedName>
    <definedName name="CV_17" localSheetId="65">'[36]C-18'!#REF!</definedName>
    <definedName name="CV_17" localSheetId="68">'[36]C-18'!#REF!</definedName>
    <definedName name="CV_17" localSheetId="71">'[36]C-18'!#REF!</definedName>
    <definedName name="CV_17" localSheetId="44">'[36]C-18'!#REF!</definedName>
    <definedName name="CV_17" localSheetId="45">'[36]C-18'!#REF!</definedName>
    <definedName name="CV_17" localSheetId="27">'[36]C-18'!#REF!</definedName>
    <definedName name="CV_17" localSheetId="28">'[36]C-18'!#REF!</definedName>
    <definedName name="CV_17" localSheetId="29">'[36]C-18'!#REF!</definedName>
    <definedName name="CV_17" localSheetId="66">'[36]C-18'!#REF!</definedName>
    <definedName name="CV_17">'[36]C-18'!#REF!</definedName>
    <definedName name="CV_19" localSheetId="70">'[36]C-18'!#REF!</definedName>
    <definedName name="CV_19" localSheetId="52">'[36]C-18'!#REF!</definedName>
    <definedName name="CV_19" localSheetId="58">'[36]C-18'!#REF!</definedName>
    <definedName name="CV_19" localSheetId="57">'[36]C-18'!#REF!</definedName>
    <definedName name="CV_19" localSheetId="64">'[36]C-18'!#REF!</definedName>
    <definedName name="CV_19" localSheetId="67">'[36]C-18'!#REF!</definedName>
    <definedName name="CV_19" localSheetId="65">'[36]C-18'!#REF!</definedName>
    <definedName name="CV_19" localSheetId="68">'[36]C-18'!#REF!</definedName>
    <definedName name="CV_19" localSheetId="71">'[36]C-18'!#REF!</definedName>
    <definedName name="CV_19" localSheetId="44">'[36]C-18'!#REF!</definedName>
    <definedName name="CV_19" localSheetId="45">'[36]C-18'!#REF!</definedName>
    <definedName name="CV_19" localSheetId="27">'[36]C-18'!#REF!</definedName>
    <definedName name="CV_19" localSheetId="28">'[36]C-18'!#REF!</definedName>
    <definedName name="CV_19" localSheetId="29">'[36]C-18'!#REF!</definedName>
    <definedName name="CV_19" localSheetId="66">'[36]C-18'!#REF!</definedName>
    <definedName name="CV_19">'[36]C-18'!#REF!</definedName>
    <definedName name="CV_20" localSheetId="70">'[36]C-18'!#REF!</definedName>
    <definedName name="CV_20" localSheetId="52">'[36]C-18'!#REF!</definedName>
    <definedName name="CV_20" localSheetId="58">'[36]C-18'!#REF!</definedName>
    <definedName name="CV_20" localSheetId="57">'[36]C-18'!#REF!</definedName>
    <definedName name="CV_20" localSheetId="64">'[36]C-18'!#REF!</definedName>
    <definedName name="CV_20" localSheetId="67">'[36]C-18'!#REF!</definedName>
    <definedName name="CV_20" localSheetId="65">'[36]C-18'!#REF!</definedName>
    <definedName name="CV_20" localSheetId="68">'[36]C-18'!#REF!</definedName>
    <definedName name="CV_20" localSheetId="71">'[36]C-18'!#REF!</definedName>
    <definedName name="CV_20" localSheetId="44">'[36]C-18'!#REF!</definedName>
    <definedName name="CV_20" localSheetId="45">'[36]C-18'!#REF!</definedName>
    <definedName name="CV_20" localSheetId="27">'[36]C-18'!#REF!</definedName>
    <definedName name="CV_20" localSheetId="28">'[36]C-18'!#REF!</definedName>
    <definedName name="CV_20" localSheetId="29">'[36]C-18'!#REF!</definedName>
    <definedName name="CV_20" localSheetId="66">'[36]C-18'!#REF!</definedName>
    <definedName name="CV_20">'[36]C-18'!#REF!</definedName>
    <definedName name="CV_30" localSheetId="70">'[36]C-18'!#REF!</definedName>
    <definedName name="CV_30" localSheetId="52">'[36]C-18'!#REF!</definedName>
    <definedName name="CV_30" localSheetId="58">'[36]C-18'!#REF!</definedName>
    <definedName name="CV_30" localSheetId="57">'[36]C-18'!#REF!</definedName>
    <definedName name="CV_30" localSheetId="64">'[36]C-18'!#REF!</definedName>
    <definedName name="CV_30" localSheetId="67">'[36]C-18'!#REF!</definedName>
    <definedName name="CV_30" localSheetId="65">'[36]C-18'!#REF!</definedName>
    <definedName name="CV_30" localSheetId="68">'[36]C-18'!#REF!</definedName>
    <definedName name="CV_30" localSheetId="71">'[36]C-18'!#REF!</definedName>
    <definedName name="CV_30" localSheetId="44">'[36]C-18'!#REF!</definedName>
    <definedName name="CV_30" localSheetId="45">'[36]C-18'!#REF!</definedName>
    <definedName name="CV_30" localSheetId="27">'[36]C-18'!#REF!</definedName>
    <definedName name="CV_30" localSheetId="28">'[36]C-18'!#REF!</definedName>
    <definedName name="CV_30" localSheetId="29">'[36]C-18'!#REF!</definedName>
    <definedName name="CV_30" localSheetId="66">'[36]C-18'!#REF!</definedName>
    <definedName name="CV_30">'[36]C-18'!#REF!</definedName>
    <definedName name="CV_40" localSheetId="70">'[36]C-18'!#REF!</definedName>
    <definedName name="CV_40" localSheetId="52">'[36]C-18'!#REF!</definedName>
    <definedName name="CV_40" localSheetId="58">'[36]C-18'!#REF!</definedName>
    <definedName name="CV_40" localSheetId="57">'[36]C-18'!#REF!</definedName>
    <definedName name="CV_40" localSheetId="64">'[36]C-18'!#REF!</definedName>
    <definedName name="CV_40" localSheetId="67">'[36]C-18'!#REF!</definedName>
    <definedName name="CV_40" localSheetId="65">'[36]C-18'!#REF!</definedName>
    <definedName name="CV_40" localSheetId="68">'[36]C-18'!#REF!</definedName>
    <definedName name="CV_40" localSheetId="71">'[36]C-18'!#REF!</definedName>
    <definedName name="CV_40" localSheetId="44">'[36]C-18'!#REF!</definedName>
    <definedName name="CV_40" localSheetId="45">'[36]C-18'!#REF!</definedName>
    <definedName name="CV_40" localSheetId="27">'[36]C-18'!#REF!</definedName>
    <definedName name="CV_40" localSheetId="28">'[36]C-18'!#REF!</definedName>
    <definedName name="CV_40" localSheetId="29">'[36]C-18'!#REF!</definedName>
    <definedName name="CV_40" localSheetId="66">'[36]C-18'!#REF!</definedName>
    <definedName name="CV_40">'[36]C-18'!#REF!</definedName>
    <definedName name="CV_50" localSheetId="70">'[36]C-18'!#REF!</definedName>
    <definedName name="CV_50" localSheetId="52">'[36]C-18'!#REF!</definedName>
    <definedName name="CV_50" localSheetId="58">'[36]C-18'!#REF!</definedName>
    <definedName name="CV_50" localSheetId="57">'[36]C-18'!#REF!</definedName>
    <definedName name="CV_50" localSheetId="64">'[36]C-18'!#REF!</definedName>
    <definedName name="CV_50" localSheetId="67">'[36]C-18'!#REF!</definedName>
    <definedName name="CV_50" localSheetId="65">'[36]C-18'!#REF!</definedName>
    <definedName name="CV_50" localSheetId="68">'[36]C-18'!#REF!</definedName>
    <definedName name="CV_50" localSheetId="71">'[36]C-18'!#REF!</definedName>
    <definedName name="CV_50" localSheetId="44">'[36]C-18'!#REF!</definedName>
    <definedName name="CV_50" localSheetId="45">'[36]C-18'!#REF!</definedName>
    <definedName name="CV_50" localSheetId="27">'[36]C-18'!#REF!</definedName>
    <definedName name="CV_50" localSheetId="28">'[36]C-18'!#REF!</definedName>
    <definedName name="CV_50" localSheetId="29">'[36]C-18'!#REF!</definedName>
    <definedName name="CV_50" localSheetId="66">'[36]C-18'!#REF!</definedName>
    <definedName name="CV_50">'[36]C-18'!#REF!</definedName>
    <definedName name="CV_60" localSheetId="70">'[36]C-18'!#REF!</definedName>
    <definedName name="CV_60" localSheetId="52">'[36]C-18'!#REF!</definedName>
    <definedName name="CV_60" localSheetId="58">'[36]C-18'!#REF!</definedName>
    <definedName name="CV_60" localSheetId="57">'[36]C-18'!#REF!</definedName>
    <definedName name="CV_60" localSheetId="64">'[36]C-18'!#REF!</definedName>
    <definedName name="CV_60" localSheetId="67">'[36]C-18'!#REF!</definedName>
    <definedName name="CV_60" localSheetId="65">'[36]C-18'!#REF!</definedName>
    <definedName name="CV_60" localSheetId="68">'[36]C-18'!#REF!</definedName>
    <definedName name="CV_60" localSheetId="71">'[36]C-18'!#REF!</definedName>
    <definedName name="CV_60" localSheetId="44">'[36]C-18'!#REF!</definedName>
    <definedName name="CV_60" localSheetId="45">'[36]C-18'!#REF!</definedName>
    <definedName name="CV_60" localSheetId="27">'[36]C-18'!#REF!</definedName>
    <definedName name="CV_60" localSheetId="28">'[36]C-18'!#REF!</definedName>
    <definedName name="CV_60" localSheetId="29">'[36]C-18'!#REF!</definedName>
    <definedName name="CV_60" localSheetId="66">'[36]C-18'!#REF!</definedName>
    <definedName name="CV_60">'[36]C-18'!#REF!</definedName>
    <definedName name="CV_70" localSheetId="70">'[36]C-18'!#REF!</definedName>
    <definedName name="CV_70" localSheetId="52">'[36]C-18'!#REF!</definedName>
    <definedName name="CV_70" localSheetId="58">'[36]C-18'!#REF!</definedName>
    <definedName name="CV_70" localSheetId="57">'[36]C-18'!#REF!</definedName>
    <definedName name="CV_70" localSheetId="64">'[36]C-18'!#REF!</definedName>
    <definedName name="CV_70" localSheetId="67">'[36]C-18'!#REF!</definedName>
    <definedName name="CV_70" localSheetId="65">'[36]C-18'!#REF!</definedName>
    <definedName name="CV_70" localSheetId="68">'[36]C-18'!#REF!</definedName>
    <definedName name="CV_70" localSheetId="71">'[36]C-18'!#REF!</definedName>
    <definedName name="CV_70" localSheetId="44">'[36]C-18'!#REF!</definedName>
    <definedName name="CV_70" localSheetId="45">'[36]C-18'!#REF!</definedName>
    <definedName name="CV_70" localSheetId="27">'[36]C-18'!#REF!</definedName>
    <definedName name="CV_70" localSheetId="28">'[36]C-18'!#REF!</definedName>
    <definedName name="CV_70" localSheetId="29">'[36]C-18'!#REF!</definedName>
    <definedName name="CV_70" localSheetId="66">'[36]C-18'!#REF!</definedName>
    <definedName name="CV_70">'[36]C-18'!#REF!</definedName>
    <definedName name="CV_80" localSheetId="70">'[36]C-18'!#REF!</definedName>
    <definedName name="CV_80" localSheetId="52">'[36]C-18'!#REF!</definedName>
    <definedName name="CV_80" localSheetId="58">'[36]C-18'!#REF!</definedName>
    <definedName name="CV_80" localSheetId="57">'[36]C-18'!#REF!</definedName>
    <definedName name="CV_80" localSheetId="64">'[36]C-18'!#REF!</definedName>
    <definedName name="CV_80" localSheetId="67">'[36]C-18'!#REF!</definedName>
    <definedName name="CV_80" localSheetId="65">'[36]C-18'!#REF!</definedName>
    <definedName name="CV_80" localSheetId="68">'[36]C-18'!#REF!</definedName>
    <definedName name="CV_80" localSheetId="71">'[36]C-18'!#REF!</definedName>
    <definedName name="CV_80" localSheetId="44">'[36]C-18'!#REF!</definedName>
    <definedName name="CV_80" localSheetId="45">'[36]C-18'!#REF!</definedName>
    <definedName name="CV_80" localSheetId="27">'[36]C-18'!#REF!</definedName>
    <definedName name="CV_80" localSheetId="28">'[36]C-18'!#REF!</definedName>
    <definedName name="CV_80" localSheetId="29">'[36]C-18'!#REF!</definedName>
    <definedName name="CV_80" localSheetId="66">'[36]C-18'!#REF!</definedName>
    <definedName name="CV_80">'[36]C-18'!#REF!</definedName>
    <definedName name="cwefcve">[12]BEST_17112006!$A$128</definedName>
    <definedName name="cwfvewrg">[12]BEST_17112006!$A$111</definedName>
    <definedName name="cwfvw">[12]BEST_17112006!$A$165</definedName>
    <definedName name="cwgfweg">'[12]P&amp;L Group'!$F$24</definedName>
    <definedName name="cwip" localSheetId="70">#REF!</definedName>
    <definedName name="cwip" localSheetId="52">#REF!</definedName>
    <definedName name="cwip" localSheetId="58">#REF!</definedName>
    <definedName name="cwip" localSheetId="56">#REF!</definedName>
    <definedName name="cwip" localSheetId="57">#REF!</definedName>
    <definedName name="cwip" localSheetId="64">#REF!</definedName>
    <definedName name="cwip" localSheetId="67">#REF!</definedName>
    <definedName name="cwip" localSheetId="65">#REF!</definedName>
    <definedName name="cwip" localSheetId="68">#REF!</definedName>
    <definedName name="cwip" localSheetId="71">#REF!</definedName>
    <definedName name="cwip" localSheetId="44">#REF!</definedName>
    <definedName name="cwip" localSheetId="45">#REF!</definedName>
    <definedName name="cwip" localSheetId="17">#REF!</definedName>
    <definedName name="cwip" localSheetId="27">#REF!</definedName>
    <definedName name="cwip" localSheetId="72">#REF!</definedName>
    <definedName name="cwip" localSheetId="28">#REF!</definedName>
    <definedName name="cwip" localSheetId="29">#REF!</definedName>
    <definedName name="cwip" localSheetId="66">#REF!</definedName>
    <definedName name="cwip">#REF!</definedName>
    <definedName name="cwwfvw" localSheetId="70">[12]BEST_17112006!#REF!</definedName>
    <definedName name="cwwfvw" localSheetId="143">[12]BEST_17112006!#REF!</definedName>
    <definedName name="cwwfvw" localSheetId="52">[12]BEST_17112006!#REF!</definedName>
    <definedName name="cwwfvw" localSheetId="58">[12]BEST_17112006!#REF!</definedName>
    <definedName name="cwwfvw" localSheetId="56">[12]BEST_17112006!#REF!</definedName>
    <definedName name="cwwfvw" localSheetId="57">[12]BEST_17112006!#REF!</definedName>
    <definedName name="cwwfvw" localSheetId="64">[12]BEST_17112006!#REF!</definedName>
    <definedName name="cwwfvw" localSheetId="67">[12]BEST_17112006!#REF!</definedName>
    <definedName name="cwwfvw" localSheetId="65">[12]BEST_17112006!#REF!</definedName>
    <definedName name="cwwfvw" localSheetId="68">[12]BEST_17112006!#REF!</definedName>
    <definedName name="cwwfvw" localSheetId="71">[12]BEST_17112006!#REF!</definedName>
    <definedName name="cwwfvw" localSheetId="44">[12]BEST_17112006!#REF!</definedName>
    <definedName name="cwwfvw" localSheetId="45">[12]BEST_17112006!#REF!</definedName>
    <definedName name="cwwfvw" localSheetId="17">[12]BEST_17112006!#REF!</definedName>
    <definedName name="cwwfvw" localSheetId="27">[12]BEST_17112006!#REF!</definedName>
    <definedName name="cwwfvw" localSheetId="72">[12]BEST_17112006!#REF!</definedName>
    <definedName name="cwwfvw" localSheetId="28">[12]BEST_17112006!#REF!</definedName>
    <definedName name="cwwfvw" localSheetId="29">[12]BEST_17112006!#REF!</definedName>
    <definedName name="cwwfvw" localSheetId="66">[12]BEST_17112006!#REF!</definedName>
    <definedName name="cwwfvw">[12]BEST_17112006!#REF!</definedName>
    <definedName name="cwwr" localSheetId="70">[12]BEST_17112006!#REF!</definedName>
    <definedName name="cwwr" localSheetId="143">[12]BEST_17112006!#REF!</definedName>
    <definedName name="cwwr" localSheetId="52">[12]BEST_17112006!#REF!</definedName>
    <definedName name="cwwr" localSheetId="58">[12]BEST_17112006!#REF!</definedName>
    <definedName name="cwwr" localSheetId="57">[12]BEST_17112006!#REF!</definedName>
    <definedName name="cwwr" localSheetId="64">[12]BEST_17112006!#REF!</definedName>
    <definedName name="cwwr" localSheetId="67">[12]BEST_17112006!#REF!</definedName>
    <definedName name="cwwr" localSheetId="65">[12]BEST_17112006!#REF!</definedName>
    <definedName name="cwwr" localSheetId="68">[12]BEST_17112006!#REF!</definedName>
    <definedName name="cwwr" localSheetId="71">[12]BEST_17112006!#REF!</definedName>
    <definedName name="cwwr" localSheetId="44">[12]BEST_17112006!#REF!</definedName>
    <definedName name="cwwr" localSheetId="45">[12]BEST_17112006!#REF!</definedName>
    <definedName name="cwwr" localSheetId="27">[12]BEST_17112006!#REF!</definedName>
    <definedName name="cwwr" localSheetId="28">[12]BEST_17112006!#REF!</definedName>
    <definedName name="cwwr" localSheetId="29">[12]BEST_17112006!#REF!</definedName>
    <definedName name="cwwr" localSheetId="66">[12]BEST_17112006!#REF!</definedName>
    <definedName name="cwwr">[12]BEST_17112006!#REF!</definedName>
    <definedName name="CYMACHINE_GEN_TA" localSheetId="70">#REF!</definedName>
    <definedName name="CYMACHINE_GEN_TA" localSheetId="143">#REF!</definedName>
    <definedName name="CYMACHINE_GEN_TA" localSheetId="52">#REF!</definedName>
    <definedName name="CYMACHINE_GEN_TA" localSheetId="58">#REF!</definedName>
    <definedName name="CYMACHINE_GEN_TA" localSheetId="57">#REF!</definedName>
    <definedName name="CYMACHINE_GEN_TA" localSheetId="64">#REF!</definedName>
    <definedName name="CYMACHINE_GEN_TA" localSheetId="67">#REF!</definedName>
    <definedName name="CYMACHINE_GEN_TA" localSheetId="65">#REF!</definedName>
    <definedName name="CYMACHINE_GEN_TA" localSheetId="68">#REF!</definedName>
    <definedName name="CYMACHINE_GEN_TA" localSheetId="71">#REF!</definedName>
    <definedName name="CYMACHINE_GEN_TA" localSheetId="44">#REF!</definedName>
    <definedName name="CYMACHINE_GEN_TA" localSheetId="45">#REF!</definedName>
    <definedName name="CYMACHINE_GEN_TA" localSheetId="17">#REF!</definedName>
    <definedName name="CYMACHINE_GEN_TA" localSheetId="27">#REF!</definedName>
    <definedName name="CYMACHINE_GEN_TA" localSheetId="72">#REF!</definedName>
    <definedName name="CYMACHINE_GEN_TA" localSheetId="28">#REF!</definedName>
    <definedName name="CYMACHINE_GEN_TA" localSheetId="29">#REF!</definedName>
    <definedName name="CYMACHINE_GEN_TA" localSheetId="66">#REF!</definedName>
    <definedName name="CYMACHINE_GEN_TA">#REF!</definedName>
    <definedName name="CYMACHINE_GEN_TD" localSheetId="70">#REF!</definedName>
    <definedName name="CYMACHINE_GEN_TD" localSheetId="143">#REF!</definedName>
    <definedName name="CYMACHINE_GEN_TD" localSheetId="52">#REF!</definedName>
    <definedName name="CYMACHINE_GEN_TD" localSheetId="58">#REF!</definedName>
    <definedName name="CYMACHINE_GEN_TD" localSheetId="56">#REF!</definedName>
    <definedName name="CYMACHINE_GEN_TD" localSheetId="57">#REF!</definedName>
    <definedName name="CYMACHINE_GEN_TD" localSheetId="64">#REF!</definedName>
    <definedName name="CYMACHINE_GEN_TD" localSheetId="67">#REF!</definedName>
    <definedName name="CYMACHINE_GEN_TD" localSheetId="65">#REF!</definedName>
    <definedName name="CYMACHINE_GEN_TD" localSheetId="68">#REF!</definedName>
    <definedName name="CYMACHINE_GEN_TD" localSheetId="71">#REF!</definedName>
    <definedName name="CYMACHINE_GEN_TD" localSheetId="44">#REF!</definedName>
    <definedName name="CYMACHINE_GEN_TD" localSheetId="45">#REF!</definedName>
    <definedName name="CYMACHINE_GEN_TD" localSheetId="17">#REF!</definedName>
    <definedName name="CYMACHINE_GEN_TD" localSheetId="27">#REF!</definedName>
    <definedName name="CYMACHINE_GEN_TD" localSheetId="72">#REF!</definedName>
    <definedName name="CYMACHINE_GEN_TD" localSheetId="128">'[26]90% Write off'!#REF!</definedName>
    <definedName name="CYMACHINE_GEN_TD" localSheetId="28">#REF!</definedName>
    <definedName name="CYMACHINE_GEN_TD" localSheetId="29">#REF!</definedName>
    <definedName name="CYMACHINE_GEN_TD" localSheetId="66">#REF!</definedName>
    <definedName name="CYMACHINE_GEN_TD">#REF!</definedName>
    <definedName name="d" localSheetId="126">[12]Notes!$A$29</definedName>
    <definedName name="d" localSheetId="143">[12]Notes!$A$29</definedName>
    <definedName name="d" localSheetId="116">[12]Notes!$A$29</definedName>
    <definedName name="d" localSheetId="128">[12]Notes!$A$29</definedName>
    <definedName name="d" localSheetId="127">[12]Notes!$A$29</definedName>
    <definedName name="D">#N/A</definedName>
    <definedName name="dadfsdf" localSheetId="70">#REF!</definedName>
    <definedName name="dadfsdf" localSheetId="52">#REF!</definedName>
    <definedName name="dadfsdf" localSheetId="58">#REF!</definedName>
    <definedName name="dadfsdf" localSheetId="57">#REF!</definedName>
    <definedName name="dadfsdf" localSheetId="64">#REF!</definedName>
    <definedName name="dadfsdf" localSheetId="67">#REF!</definedName>
    <definedName name="dadfsdf" localSheetId="65">#REF!</definedName>
    <definedName name="dadfsdf" localSheetId="68">#REF!</definedName>
    <definedName name="dadfsdf" localSheetId="71">#REF!</definedName>
    <definedName name="dadfsdf" localSheetId="44">#REF!</definedName>
    <definedName name="dadfsdf" localSheetId="45">#REF!</definedName>
    <definedName name="dadfsdf" localSheetId="48">#REF!</definedName>
    <definedName name="dadfsdf" localSheetId="17">#REF!</definedName>
    <definedName name="dadfsdf" localSheetId="27">#REF!</definedName>
    <definedName name="dadfsdf" localSheetId="72">#REF!</definedName>
    <definedName name="dadfsdf" localSheetId="28">#REF!</definedName>
    <definedName name="dadfsdf" localSheetId="29">#REF!</definedName>
    <definedName name="dadfsdf" localSheetId="66">#REF!</definedName>
    <definedName name="dadfsdf">#REF!</definedName>
    <definedName name="dafsff" localSheetId="70">#REF!</definedName>
    <definedName name="dafsff" localSheetId="52">#REF!</definedName>
    <definedName name="dafsff" localSheetId="58">#REF!</definedName>
    <definedName name="dafsff" localSheetId="57">#REF!</definedName>
    <definedName name="dafsff" localSheetId="64">#REF!</definedName>
    <definedName name="dafsff" localSheetId="67">#REF!</definedName>
    <definedName name="dafsff" localSheetId="65">#REF!</definedName>
    <definedName name="dafsff" localSheetId="68">#REF!</definedName>
    <definedName name="dafsff" localSheetId="71">#REF!</definedName>
    <definedName name="dafsff" localSheetId="44">#REF!</definedName>
    <definedName name="dafsff" localSheetId="45">#REF!</definedName>
    <definedName name="dafsff" localSheetId="48">#REF!</definedName>
    <definedName name="dafsff" localSheetId="27">#REF!</definedName>
    <definedName name="dafsff" localSheetId="28">#REF!</definedName>
    <definedName name="dafsff" localSheetId="29">#REF!</definedName>
    <definedName name="dafsff" localSheetId="66">#REF!</definedName>
    <definedName name="dafsff">#REF!</definedName>
    <definedName name="DAM">#N/A</definedName>
    <definedName name="DAN">#N/A</definedName>
    <definedName name="dargad" localSheetId="70">#REF!,#REF!</definedName>
    <definedName name="dargad" localSheetId="52">#REF!,#REF!</definedName>
    <definedName name="dargad" localSheetId="58">#REF!,#REF!</definedName>
    <definedName name="dargad" localSheetId="57">#REF!,#REF!</definedName>
    <definedName name="dargad" localSheetId="64">#REF!,#REF!</definedName>
    <definedName name="dargad" localSheetId="67">#REF!,#REF!</definedName>
    <definedName name="dargad" localSheetId="65">#REF!,#REF!</definedName>
    <definedName name="dargad" localSheetId="68">#REF!,#REF!</definedName>
    <definedName name="dargad" localSheetId="71">#REF!,#REF!</definedName>
    <definedName name="dargad" localSheetId="44">#REF!,#REF!</definedName>
    <definedName name="dargad" localSheetId="45">#REF!,#REF!</definedName>
    <definedName name="dargad" localSheetId="48">#REF!,#REF!</definedName>
    <definedName name="dargad" localSheetId="17">#REF!,#REF!</definedName>
    <definedName name="dargad" localSheetId="27">#REF!,#REF!</definedName>
    <definedName name="dargad" localSheetId="72">#REF!,#REF!</definedName>
    <definedName name="dargad" localSheetId="28">#REF!,#REF!</definedName>
    <definedName name="dargad" localSheetId="29">#REF!,#REF!</definedName>
    <definedName name="dargad" localSheetId="66">#REF!,#REF!</definedName>
    <definedName name="dargad">#REF!,#REF!</definedName>
    <definedName name="DaRWk1" localSheetId="70">#REF!</definedName>
    <definedName name="DaRWk1" localSheetId="52">#REF!</definedName>
    <definedName name="DaRWk1" localSheetId="58">#REF!</definedName>
    <definedName name="DaRWk1" localSheetId="56">#REF!</definedName>
    <definedName name="DaRWk1" localSheetId="57">#REF!</definedName>
    <definedName name="DaRWk1" localSheetId="64">#REF!</definedName>
    <definedName name="DaRWk1" localSheetId="67">#REF!</definedName>
    <definedName name="DaRWk1" localSheetId="65">#REF!</definedName>
    <definedName name="DaRWk1" localSheetId="68">#REF!</definedName>
    <definedName name="DaRWk1" localSheetId="71">#REF!</definedName>
    <definedName name="DaRWk1" localSheetId="44">#REF!</definedName>
    <definedName name="DaRWk1" localSheetId="45">#REF!</definedName>
    <definedName name="DaRWk1" localSheetId="17">#REF!</definedName>
    <definedName name="DaRWk1" localSheetId="27">#REF!</definedName>
    <definedName name="DaRWk1" localSheetId="72">#REF!</definedName>
    <definedName name="DaRWk1" localSheetId="28">#REF!</definedName>
    <definedName name="DaRWk1" localSheetId="29">#REF!</definedName>
    <definedName name="DaRWk1" localSheetId="66">#REF!</definedName>
    <definedName name="DaRWk1">#REF!</definedName>
    <definedName name="DaRWk10" localSheetId="70">#REF!</definedName>
    <definedName name="DaRWk10" localSheetId="52">#REF!</definedName>
    <definedName name="DaRWk10" localSheetId="58">#REF!</definedName>
    <definedName name="DaRWk10" localSheetId="57">#REF!</definedName>
    <definedName name="DaRWk10" localSheetId="64">#REF!</definedName>
    <definedName name="DaRWk10" localSheetId="67">#REF!</definedName>
    <definedName name="DaRWk10" localSheetId="65">#REF!</definedName>
    <definedName name="DaRWk10" localSheetId="68">#REF!</definedName>
    <definedName name="DaRWk10" localSheetId="71">#REF!</definedName>
    <definedName name="DaRWk10" localSheetId="44">#REF!</definedName>
    <definedName name="DaRWk10" localSheetId="45">#REF!</definedName>
    <definedName name="DaRWk10" localSheetId="17">#REF!</definedName>
    <definedName name="DaRWk10" localSheetId="27">#REF!</definedName>
    <definedName name="DaRWk10" localSheetId="72">#REF!</definedName>
    <definedName name="DaRWk10" localSheetId="28">#REF!</definedName>
    <definedName name="DaRWk10" localSheetId="29">#REF!</definedName>
    <definedName name="DaRWk10" localSheetId="66">#REF!</definedName>
    <definedName name="DaRWk10">#REF!</definedName>
    <definedName name="DaRWk11" localSheetId="70">#REF!</definedName>
    <definedName name="DaRWk11" localSheetId="52">#REF!</definedName>
    <definedName name="DaRWk11" localSheetId="58">#REF!</definedName>
    <definedName name="DaRWk11" localSheetId="57">#REF!</definedName>
    <definedName name="DaRWk11" localSheetId="64">#REF!</definedName>
    <definedName name="DaRWk11" localSheetId="67">#REF!</definedName>
    <definedName name="DaRWk11" localSheetId="65">#REF!</definedName>
    <definedName name="DaRWk11" localSheetId="68">#REF!</definedName>
    <definedName name="DaRWk11" localSheetId="71">#REF!</definedName>
    <definedName name="DaRWk11" localSheetId="44">#REF!</definedName>
    <definedName name="DaRWk11" localSheetId="45">#REF!</definedName>
    <definedName name="DaRWk11" localSheetId="17">#REF!</definedName>
    <definedName name="DaRWk11" localSheetId="27">#REF!</definedName>
    <definedName name="DaRWk11" localSheetId="72">#REF!</definedName>
    <definedName name="DaRWk11" localSheetId="28">#REF!</definedName>
    <definedName name="DaRWk11" localSheetId="29">#REF!</definedName>
    <definedName name="DaRWk11" localSheetId="66">#REF!</definedName>
    <definedName name="DaRWk11">#REF!</definedName>
    <definedName name="DaRWk12" localSheetId="70">#REF!</definedName>
    <definedName name="DaRWk12" localSheetId="52">#REF!</definedName>
    <definedName name="DaRWk12" localSheetId="58">#REF!</definedName>
    <definedName name="DaRWk12" localSheetId="57">#REF!</definedName>
    <definedName name="DaRWk12" localSheetId="64">#REF!</definedName>
    <definedName name="DaRWk12" localSheetId="67">#REF!</definedName>
    <definedName name="DaRWk12" localSheetId="65">#REF!</definedName>
    <definedName name="DaRWk12" localSheetId="68">#REF!</definedName>
    <definedName name="DaRWk12" localSheetId="71">#REF!</definedName>
    <definedName name="DaRWk12" localSheetId="44">#REF!</definedName>
    <definedName name="DaRWk12" localSheetId="45">#REF!</definedName>
    <definedName name="DaRWk12" localSheetId="27">#REF!</definedName>
    <definedName name="DaRWk12" localSheetId="28">#REF!</definedName>
    <definedName name="DaRWk12" localSheetId="29">#REF!</definedName>
    <definedName name="DaRWk12" localSheetId="66">#REF!</definedName>
    <definedName name="DaRWk12">#REF!</definedName>
    <definedName name="DaRWk2" localSheetId="70">#REF!</definedName>
    <definedName name="DaRWk2" localSheetId="52">#REF!</definedName>
    <definedName name="DaRWk2" localSheetId="58">#REF!</definedName>
    <definedName name="DaRWk2" localSheetId="57">#REF!</definedName>
    <definedName name="DaRWk2" localSheetId="64">#REF!</definedName>
    <definedName name="DaRWk2" localSheetId="67">#REF!</definedName>
    <definedName name="DaRWk2" localSheetId="65">#REF!</definedName>
    <definedName name="DaRWk2" localSheetId="68">#REF!</definedName>
    <definedName name="DaRWk2" localSheetId="71">#REF!</definedName>
    <definedName name="DaRWk2" localSheetId="44">#REF!</definedName>
    <definedName name="DaRWk2" localSheetId="45">#REF!</definedName>
    <definedName name="DaRWk2" localSheetId="27">#REF!</definedName>
    <definedName name="DaRWk2" localSheetId="28">#REF!</definedName>
    <definedName name="DaRWk2" localSheetId="29">#REF!</definedName>
    <definedName name="DaRWk2" localSheetId="66">#REF!</definedName>
    <definedName name="DaRWk2">#REF!</definedName>
    <definedName name="DaRWk3" localSheetId="70">#REF!</definedName>
    <definedName name="DaRWk3" localSheetId="52">#REF!</definedName>
    <definedName name="DaRWk3" localSheetId="58">#REF!</definedName>
    <definedName name="DaRWk3" localSheetId="57">#REF!</definedName>
    <definedName name="DaRWk3" localSheetId="64">#REF!</definedName>
    <definedName name="DaRWk3" localSheetId="67">#REF!</definedName>
    <definedName name="DaRWk3" localSheetId="65">#REF!</definedName>
    <definedName name="DaRWk3" localSheetId="68">#REF!</definedName>
    <definedName name="DaRWk3" localSheetId="71">#REF!</definedName>
    <definedName name="DaRWk3" localSheetId="44">#REF!</definedName>
    <definedName name="DaRWk3" localSheetId="45">#REF!</definedName>
    <definedName name="DaRWk3" localSheetId="27">#REF!</definedName>
    <definedName name="DaRWk3" localSheetId="28">#REF!</definedName>
    <definedName name="DaRWk3" localSheetId="29">#REF!</definedName>
    <definedName name="DaRWk3" localSheetId="66">#REF!</definedName>
    <definedName name="DaRWk3">#REF!</definedName>
    <definedName name="DaRWk4" localSheetId="70">#REF!</definedName>
    <definedName name="DaRWk4" localSheetId="52">#REF!</definedName>
    <definedName name="DaRWk4" localSheetId="58">#REF!</definedName>
    <definedName name="DaRWk4" localSheetId="57">#REF!</definedName>
    <definedName name="DaRWk4" localSheetId="64">#REF!</definedName>
    <definedName name="DaRWk4" localSheetId="67">#REF!</definedName>
    <definedName name="DaRWk4" localSheetId="65">#REF!</definedName>
    <definedName name="DaRWk4" localSheetId="68">#REF!</definedName>
    <definedName name="DaRWk4" localSheetId="71">#REF!</definedName>
    <definedName name="DaRWk4" localSheetId="44">#REF!</definedName>
    <definedName name="DaRWk4" localSheetId="45">#REF!</definedName>
    <definedName name="DaRWk4" localSheetId="27">#REF!</definedName>
    <definedName name="DaRWk4" localSheetId="28">#REF!</definedName>
    <definedName name="DaRWk4" localSheetId="29">#REF!</definedName>
    <definedName name="DaRWk4" localSheetId="66">#REF!</definedName>
    <definedName name="DaRWk4">#REF!</definedName>
    <definedName name="DaRWk5" localSheetId="70">#REF!</definedName>
    <definedName name="DaRWk5" localSheetId="52">#REF!</definedName>
    <definedName name="DaRWk5" localSheetId="58">#REF!</definedName>
    <definedName name="DaRWk5" localSheetId="57">#REF!</definedName>
    <definedName name="DaRWk5" localSheetId="64">#REF!</definedName>
    <definedName name="DaRWk5" localSheetId="67">#REF!</definedName>
    <definedName name="DaRWk5" localSheetId="65">#REF!</definedName>
    <definedName name="DaRWk5" localSheetId="68">#REF!</definedName>
    <definedName name="DaRWk5" localSheetId="71">#REF!</definedName>
    <definedName name="DaRWk5" localSheetId="44">#REF!</definedName>
    <definedName name="DaRWk5" localSheetId="45">#REF!</definedName>
    <definedName name="DaRWk5" localSheetId="27">#REF!</definedName>
    <definedName name="DaRWk5" localSheetId="28">#REF!</definedName>
    <definedName name="DaRWk5" localSheetId="29">#REF!</definedName>
    <definedName name="DaRWk5" localSheetId="66">#REF!</definedName>
    <definedName name="DaRWk5">#REF!</definedName>
    <definedName name="DaRWk6" localSheetId="70">#REF!</definedName>
    <definedName name="DaRWk6" localSheetId="52">#REF!</definedName>
    <definedName name="DaRWk6" localSheetId="58">#REF!</definedName>
    <definedName name="DaRWk6" localSheetId="57">#REF!</definedName>
    <definedName name="DaRWk6" localSheetId="64">#REF!</definedName>
    <definedName name="DaRWk6" localSheetId="67">#REF!</definedName>
    <definedName name="DaRWk6" localSheetId="65">#REF!</definedName>
    <definedName name="DaRWk6" localSheetId="68">#REF!</definedName>
    <definedName name="DaRWk6" localSheetId="71">#REF!</definedName>
    <definedName name="DaRWk6" localSheetId="44">#REF!</definedName>
    <definedName name="DaRWk6" localSheetId="45">#REF!</definedName>
    <definedName name="DaRWk6" localSheetId="27">#REF!</definedName>
    <definedName name="DaRWk6" localSheetId="28">#REF!</definedName>
    <definedName name="DaRWk6" localSheetId="29">#REF!</definedName>
    <definedName name="DaRWk6" localSheetId="66">#REF!</definedName>
    <definedName name="DaRWk6">#REF!</definedName>
    <definedName name="DaRWk8" localSheetId="70">#REF!</definedName>
    <definedName name="DaRWk8" localSheetId="52">#REF!</definedName>
    <definedName name="DaRWk8" localSheetId="58">#REF!</definedName>
    <definedName name="DaRWk8" localSheetId="57">#REF!</definedName>
    <definedName name="DaRWk8" localSheetId="64">#REF!</definedName>
    <definedName name="DaRWk8" localSheetId="67">#REF!</definedName>
    <definedName name="DaRWk8" localSheetId="65">#REF!</definedName>
    <definedName name="DaRWk8" localSheetId="68">#REF!</definedName>
    <definedName name="DaRWk8" localSheetId="71">#REF!</definedName>
    <definedName name="DaRWk8" localSheetId="44">#REF!</definedName>
    <definedName name="DaRWk8" localSheetId="45">#REF!</definedName>
    <definedName name="DaRWk8" localSheetId="27">#REF!</definedName>
    <definedName name="DaRWk8" localSheetId="28">#REF!</definedName>
    <definedName name="DaRWk8" localSheetId="29">#REF!</definedName>
    <definedName name="DaRWk8" localSheetId="66">#REF!</definedName>
    <definedName name="DaRWk8">#REF!</definedName>
    <definedName name="DaRwk9" localSheetId="70">#REF!</definedName>
    <definedName name="DaRwk9" localSheetId="52">#REF!</definedName>
    <definedName name="DaRwk9" localSheetId="58">#REF!</definedName>
    <definedName name="DaRwk9" localSheetId="57">#REF!</definedName>
    <definedName name="DaRwk9" localSheetId="64">#REF!</definedName>
    <definedName name="DaRwk9" localSheetId="67">#REF!</definedName>
    <definedName name="DaRwk9" localSheetId="65">#REF!</definedName>
    <definedName name="DaRwk9" localSheetId="68">#REF!</definedName>
    <definedName name="DaRwk9" localSheetId="71">#REF!</definedName>
    <definedName name="DaRwk9" localSheetId="44">#REF!</definedName>
    <definedName name="DaRwk9" localSheetId="45">#REF!</definedName>
    <definedName name="DaRwk9" localSheetId="27">#REF!</definedName>
    <definedName name="DaRwk9" localSheetId="28">#REF!</definedName>
    <definedName name="DaRwk9" localSheetId="29">#REF!</definedName>
    <definedName name="DaRwk9" localSheetId="66">#REF!</definedName>
    <definedName name="DaRwk9">#REF!</definedName>
    <definedName name="data">[38]Dailysource!$B$2:$H$169</definedName>
    <definedName name="_xlnm.Database" localSheetId="70">#REF!</definedName>
    <definedName name="_xlnm.Database" localSheetId="52">#REF!</definedName>
    <definedName name="_xlnm.Database" localSheetId="58">#REF!</definedName>
    <definedName name="_xlnm.Database" localSheetId="56">#REF!</definedName>
    <definedName name="_xlnm.Database" localSheetId="57">#REF!</definedName>
    <definedName name="_xlnm.Database" localSheetId="64">#REF!</definedName>
    <definedName name="_xlnm.Database" localSheetId="67">#REF!</definedName>
    <definedName name="_xlnm.Database" localSheetId="65">#REF!</definedName>
    <definedName name="_xlnm.Database" localSheetId="68">#REF!</definedName>
    <definedName name="_xlnm.Database" localSheetId="71">#REF!</definedName>
    <definedName name="_xlnm.Database" localSheetId="44">#REF!</definedName>
    <definedName name="_xlnm.Database" localSheetId="45">#REF!</definedName>
    <definedName name="_xlnm.Database" localSheetId="17">#REF!</definedName>
    <definedName name="_xlnm.Database" localSheetId="27">#REF!</definedName>
    <definedName name="_xlnm.Database" localSheetId="72">#REF!</definedName>
    <definedName name="_xlnm.Database" localSheetId="28">#REF!</definedName>
    <definedName name="_xlnm.Database" localSheetId="29">#REF!</definedName>
    <definedName name="_xlnm.Database" localSheetId="66">#REF!</definedName>
    <definedName name="_xlnm.Database">#REF!</definedName>
    <definedName name="Database_MI" localSheetId="70">#REF!</definedName>
    <definedName name="Database_MI" localSheetId="52">#REF!</definedName>
    <definedName name="Database_MI" localSheetId="58">#REF!</definedName>
    <definedName name="Database_MI" localSheetId="57">#REF!</definedName>
    <definedName name="Database_MI" localSheetId="64">#REF!</definedName>
    <definedName name="Database_MI" localSheetId="67">#REF!</definedName>
    <definedName name="Database_MI" localSheetId="65">#REF!</definedName>
    <definedName name="Database_MI" localSheetId="68">#REF!</definedName>
    <definedName name="Database_MI" localSheetId="71">#REF!</definedName>
    <definedName name="Database_MI" localSheetId="44">#REF!</definedName>
    <definedName name="Database_MI" localSheetId="45">#REF!</definedName>
    <definedName name="Database_MI" localSheetId="17">#REF!</definedName>
    <definedName name="Database_MI" localSheetId="27">#REF!</definedName>
    <definedName name="Database_MI" localSheetId="72">#REF!</definedName>
    <definedName name="Database_MI" localSheetId="28">#REF!</definedName>
    <definedName name="Database_MI" localSheetId="29">#REF!</definedName>
    <definedName name="Database_MI" localSheetId="66">#REF!</definedName>
    <definedName name="Database_MI">#REF!</definedName>
    <definedName name="DATABASE_VERSION" localSheetId="70">#REF!</definedName>
    <definedName name="DATABASE_VERSION" localSheetId="52">#REF!</definedName>
    <definedName name="DATABASE_VERSION" localSheetId="58">#REF!</definedName>
    <definedName name="DATABASE_VERSION" localSheetId="57">#REF!</definedName>
    <definedName name="DATABASE_VERSION" localSheetId="64">#REF!</definedName>
    <definedName name="DATABASE_VERSION" localSheetId="67">#REF!</definedName>
    <definedName name="DATABASE_VERSION" localSheetId="65">#REF!</definedName>
    <definedName name="DATABASE_VERSION" localSheetId="68">#REF!</definedName>
    <definedName name="DATABASE_VERSION" localSheetId="71">#REF!</definedName>
    <definedName name="DATABASE_VERSION" localSheetId="44">#REF!</definedName>
    <definedName name="DATABASE_VERSION" localSheetId="45">#REF!</definedName>
    <definedName name="DATABASE_VERSION" localSheetId="17">#REF!</definedName>
    <definedName name="DATABASE_VERSION" localSheetId="27">#REF!</definedName>
    <definedName name="DATABASE_VERSION" localSheetId="72">#REF!</definedName>
    <definedName name="DATABASE_VERSION" localSheetId="28">#REF!</definedName>
    <definedName name="DATABASE_VERSION" localSheetId="29">#REF!</definedName>
    <definedName name="DATABASE_VERSION" localSheetId="66">#REF!</definedName>
    <definedName name="DATABASE_VERSION">#REF!</definedName>
    <definedName name="DataFilter">#N/A</definedName>
    <definedName name="DataSort">#N/A</definedName>
    <definedName name="DATA영역">[39]INPUT!$E$4:$H$11,[39]INPUT!$E$12:$E$62,[39]INPUT!$G$12:$G$62,[39]INPUT!$E$63:$E$91,[39]INPUT!$G$63:$G$91,[39]INPUT!$E$92:$H$99,[39]INPUT!$D$92:$D$99</definedName>
    <definedName name="DATE_TIME" localSheetId="70">#REF!</definedName>
    <definedName name="DATE_TIME" localSheetId="52">#REF!</definedName>
    <definedName name="DATE_TIME" localSheetId="58">#REF!</definedName>
    <definedName name="DATE_TIME" localSheetId="56">#REF!</definedName>
    <definedName name="DATE_TIME" localSheetId="57">#REF!</definedName>
    <definedName name="DATE_TIME" localSheetId="64">#REF!</definedName>
    <definedName name="DATE_TIME" localSheetId="67">#REF!</definedName>
    <definedName name="DATE_TIME" localSheetId="65">#REF!</definedName>
    <definedName name="DATE_TIME" localSheetId="68">#REF!</definedName>
    <definedName name="DATE_TIME" localSheetId="71">#REF!</definedName>
    <definedName name="DATE_TIME" localSheetId="44">#REF!</definedName>
    <definedName name="DATE_TIME" localSheetId="45">#REF!</definedName>
    <definedName name="DATE_TIME" localSheetId="17">#REF!</definedName>
    <definedName name="DATE_TIME" localSheetId="27">#REF!</definedName>
    <definedName name="DATE_TIME" localSheetId="72">#REF!</definedName>
    <definedName name="DATE_TIME" localSheetId="28">#REF!</definedName>
    <definedName name="DATE_TIME" localSheetId="29">#REF!</definedName>
    <definedName name="DATE_TIME" localSheetId="66">#REF!</definedName>
    <definedName name="DATE_TIME">#REF!</definedName>
    <definedName name="DaWk7" localSheetId="70">#REF!</definedName>
    <definedName name="DaWk7" localSheetId="52">#REF!</definedName>
    <definedName name="DaWk7" localSheetId="58">#REF!</definedName>
    <definedName name="DaWk7" localSheetId="57">#REF!</definedName>
    <definedName name="DaWk7" localSheetId="64">#REF!</definedName>
    <definedName name="DaWk7" localSheetId="67">#REF!</definedName>
    <definedName name="DaWk7" localSheetId="65">#REF!</definedName>
    <definedName name="DaWk7" localSheetId="68">#REF!</definedName>
    <definedName name="DaWk7" localSheetId="71">#REF!</definedName>
    <definedName name="DaWk7" localSheetId="44">#REF!</definedName>
    <definedName name="DaWk7" localSheetId="45">#REF!</definedName>
    <definedName name="DaWk7" localSheetId="17">#REF!</definedName>
    <definedName name="DaWk7" localSheetId="27">#REF!</definedName>
    <definedName name="DaWk7" localSheetId="72">#REF!</definedName>
    <definedName name="DaWk7" localSheetId="28">#REF!</definedName>
    <definedName name="DaWk7" localSheetId="29">#REF!</definedName>
    <definedName name="DaWk7" localSheetId="66">#REF!</definedName>
    <definedName name="DaWk7">#REF!</definedName>
    <definedName name="dbrwk1" localSheetId="70">#REF!</definedName>
    <definedName name="dbrwk1" localSheetId="52">#REF!</definedName>
    <definedName name="dbrwk1" localSheetId="58">#REF!</definedName>
    <definedName name="dbrwk1" localSheetId="57">#REF!</definedName>
    <definedName name="dbrwk1" localSheetId="64">#REF!</definedName>
    <definedName name="dbrwk1" localSheetId="67">#REF!</definedName>
    <definedName name="dbrwk1" localSheetId="65">#REF!</definedName>
    <definedName name="dbrwk1" localSheetId="68">#REF!</definedName>
    <definedName name="dbrwk1" localSheetId="71">#REF!</definedName>
    <definedName name="dbrwk1" localSheetId="44">#REF!</definedName>
    <definedName name="dbrwk1" localSheetId="45">#REF!</definedName>
    <definedName name="dbrwk1" localSheetId="17">#REF!</definedName>
    <definedName name="dbrwk1" localSheetId="27">#REF!</definedName>
    <definedName name="dbrwk1" localSheetId="72">#REF!</definedName>
    <definedName name="dbrwk1" localSheetId="28">#REF!</definedName>
    <definedName name="dbrwk1" localSheetId="29">#REF!</definedName>
    <definedName name="dbrwk1" localSheetId="66">#REF!</definedName>
    <definedName name="dbrwk1">#REF!</definedName>
    <definedName name="dbrwk10" localSheetId="70">#REF!</definedName>
    <definedName name="dbrwk10" localSheetId="52">#REF!</definedName>
    <definedName name="dbrwk10" localSheetId="58">#REF!</definedName>
    <definedName name="dbrwk10" localSheetId="57">#REF!</definedName>
    <definedName name="dbrwk10" localSheetId="64">#REF!</definedName>
    <definedName name="dbrwk10" localSheetId="67">#REF!</definedName>
    <definedName name="dbrwk10" localSheetId="65">#REF!</definedName>
    <definedName name="dbrwk10" localSheetId="68">#REF!</definedName>
    <definedName name="dbrwk10" localSheetId="71">#REF!</definedName>
    <definedName name="dbrwk10" localSheetId="44">#REF!</definedName>
    <definedName name="dbrwk10" localSheetId="45">#REF!</definedName>
    <definedName name="dbrwk10" localSheetId="27">#REF!</definedName>
    <definedName name="dbrwk10" localSheetId="28">#REF!</definedName>
    <definedName name="dbrwk10" localSheetId="29">#REF!</definedName>
    <definedName name="dbrwk10" localSheetId="66">#REF!</definedName>
    <definedName name="dbrwk10">#REF!</definedName>
    <definedName name="dbrwk11" localSheetId="70">#REF!</definedName>
    <definedName name="dbrwk11" localSheetId="52">#REF!</definedName>
    <definedName name="dbrwk11" localSheetId="58">#REF!</definedName>
    <definedName name="dbrwk11" localSheetId="57">#REF!</definedName>
    <definedName name="dbrwk11" localSheetId="64">#REF!</definedName>
    <definedName name="dbrwk11" localSheetId="67">#REF!</definedName>
    <definedName name="dbrwk11" localSheetId="65">#REF!</definedName>
    <definedName name="dbrwk11" localSheetId="68">#REF!</definedName>
    <definedName name="dbrwk11" localSheetId="71">#REF!</definedName>
    <definedName name="dbrwk11" localSheetId="44">#REF!</definedName>
    <definedName name="dbrwk11" localSheetId="45">#REF!</definedName>
    <definedName name="dbrwk11" localSheetId="27">#REF!</definedName>
    <definedName name="dbrwk11" localSheetId="28">#REF!</definedName>
    <definedName name="dbrwk11" localSheetId="29">#REF!</definedName>
    <definedName name="dbrwk11" localSheetId="66">#REF!</definedName>
    <definedName name="dbrwk11">#REF!</definedName>
    <definedName name="dbrwk12" localSheetId="70">#REF!</definedName>
    <definedName name="dbrwk12" localSheetId="52">#REF!</definedName>
    <definedName name="dbrwk12" localSheetId="58">#REF!</definedName>
    <definedName name="dbrwk12" localSheetId="57">#REF!</definedName>
    <definedName name="dbrwk12" localSheetId="64">#REF!</definedName>
    <definedName name="dbrwk12" localSheetId="67">#REF!</definedName>
    <definedName name="dbrwk12" localSheetId="65">#REF!</definedName>
    <definedName name="dbrwk12" localSheetId="68">#REF!</definedName>
    <definedName name="dbrwk12" localSheetId="71">#REF!</definedName>
    <definedName name="dbrwk12" localSheetId="44">#REF!</definedName>
    <definedName name="dbrwk12" localSheetId="45">#REF!</definedName>
    <definedName name="dbrwk12" localSheetId="27">#REF!</definedName>
    <definedName name="dbrwk12" localSheetId="28">#REF!</definedName>
    <definedName name="dbrwk12" localSheetId="29">#REF!</definedName>
    <definedName name="dbrwk12" localSheetId="66">#REF!</definedName>
    <definedName name="dbrwk12">#REF!</definedName>
    <definedName name="dbrwk2" localSheetId="70">#REF!</definedName>
    <definedName name="dbrwk2" localSheetId="52">#REF!</definedName>
    <definedName name="dbrwk2" localSheetId="58">#REF!</definedName>
    <definedName name="dbrwk2" localSheetId="57">#REF!</definedName>
    <definedName name="dbrwk2" localSheetId="64">#REF!</definedName>
    <definedName name="dbrwk2" localSheetId="67">#REF!</definedName>
    <definedName name="dbrwk2" localSheetId="65">#REF!</definedName>
    <definedName name="dbrwk2" localSheetId="68">#REF!</definedName>
    <definedName name="dbrwk2" localSheetId="71">#REF!</definedName>
    <definedName name="dbrwk2" localSheetId="44">#REF!</definedName>
    <definedName name="dbrwk2" localSheetId="45">#REF!</definedName>
    <definedName name="dbrwk2" localSheetId="27">#REF!</definedName>
    <definedName name="dbrwk2" localSheetId="28">#REF!</definedName>
    <definedName name="dbrwk2" localSheetId="29">#REF!</definedName>
    <definedName name="dbrwk2" localSheetId="66">#REF!</definedName>
    <definedName name="dbrwk2">#REF!</definedName>
    <definedName name="dbrwk3" localSheetId="70">#REF!</definedName>
    <definedName name="dbrwk3" localSheetId="52">#REF!</definedName>
    <definedName name="dbrwk3" localSheetId="58">#REF!</definedName>
    <definedName name="dbrwk3" localSheetId="57">#REF!</definedName>
    <definedName name="dbrwk3" localSheetId="64">#REF!</definedName>
    <definedName name="dbrwk3" localSheetId="67">#REF!</definedName>
    <definedName name="dbrwk3" localSheetId="65">#REF!</definedName>
    <definedName name="dbrwk3" localSheetId="68">#REF!</definedName>
    <definedName name="dbrwk3" localSheetId="71">#REF!</definedName>
    <definedName name="dbrwk3" localSheetId="44">#REF!</definedName>
    <definedName name="dbrwk3" localSheetId="45">#REF!</definedName>
    <definedName name="dbrwk3" localSheetId="27">#REF!</definedName>
    <definedName name="dbrwk3" localSheetId="28">#REF!</definedName>
    <definedName name="dbrwk3" localSheetId="29">#REF!</definedName>
    <definedName name="dbrwk3" localSheetId="66">#REF!</definedName>
    <definedName name="dbrwk3">#REF!</definedName>
    <definedName name="dbrwk4" localSheetId="70">#REF!</definedName>
    <definedName name="dbrwk4" localSheetId="52">#REF!</definedName>
    <definedName name="dbrwk4" localSheetId="58">#REF!</definedName>
    <definedName name="dbrwk4" localSheetId="57">#REF!</definedName>
    <definedName name="dbrwk4" localSheetId="64">#REF!</definedName>
    <definedName name="dbrwk4" localSheetId="67">#REF!</definedName>
    <definedName name="dbrwk4" localSheetId="65">#REF!</definedName>
    <definedName name="dbrwk4" localSheetId="68">#REF!</definedName>
    <definedName name="dbrwk4" localSheetId="71">#REF!</definedName>
    <definedName name="dbrwk4" localSheetId="44">#REF!</definedName>
    <definedName name="dbrwk4" localSheetId="45">#REF!</definedName>
    <definedName name="dbrwk4" localSheetId="27">#REF!</definedName>
    <definedName name="dbrwk4" localSheetId="28">#REF!</definedName>
    <definedName name="dbrwk4" localSheetId="29">#REF!</definedName>
    <definedName name="dbrwk4" localSheetId="66">#REF!</definedName>
    <definedName name="dbrwk4">#REF!</definedName>
    <definedName name="dbrwk5" localSheetId="70">#REF!</definedName>
    <definedName name="dbrwk5" localSheetId="52">#REF!</definedName>
    <definedName name="dbrwk5" localSheetId="58">#REF!</definedName>
    <definedName name="dbrwk5" localSheetId="57">#REF!</definedName>
    <definedName name="dbrwk5" localSheetId="64">#REF!</definedName>
    <definedName name="dbrwk5" localSheetId="67">#REF!</definedName>
    <definedName name="dbrwk5" localSheetId="65">#REF!</definedName>
    <definedName name="dbrwk5" localSheetId="68">#REF!</definedName>
    <definedName name="dbrwk5" localSheetId="71">#REF!</definedName>
    <definedName name="dbrwk5" localSheetId="44">#REF!</definedName>
    <definedName name="dbrwk5" localSheetId="45">#REF!</definedName>
    <definedName name="dbrwk5" localSheetId="27">#REF!</definedName>
    <definedName name="dbrwk5" localSheetId="28">#REF!</definedName>
    <definedName name="dbrwk5" localSheetId="29">#REF!</definedName>
    <definedName name="dbrwk5" localSheetId="66">#REF!</definedName>
    <definedName name="dbrwk5">#REF!</definedName>
    <definedName name="dbrwk6" localSheetId="70">#REF!</definedName>
    <definedName name="dbrwk6" localSheetId="52">#REF!</definedName>
    <definedName name="dbrwk6" localSheetId="58">#REF!</definedName>
    <definedName name="dbrwk6" localSheetId="57">#REF!</definedName>
    <definedName name="dbrwk6" localSheetId="64">#REF!</definedName>
    <definedName name="dbrwk6" localSheetId="67">#REF!</definedName>
    <definedName name="dbrwk6" localSheetId="65">#REF!</definedName>
    <definedName name="dbrwk6" localSheetId="68">#REF!</definedName>
    <definedName name="dbrwk6" localSheetId="71">#REF!</definedName>
    <definedName name="dbrwk6" localSheetId="44">#REF!</definedName>
    <definedName name="dbrwk6" localSheetId="45">#REF!</definedName>
    <definedName name="dbrwk6" localSheetId="27">#REF!</definedName>
    <definedName name="dbrwk6" localSheetId="28">#REF!</definedName>
    <definedName name="dbrwk6" localSheetId="29">#REF!</definedName>
    <definedName name="dbrwk6" localSheetId="66">#REF!</definedName>
    <definedName name="dbrwk6">#REF!</definedName>
    <definedName name="dbrwk7" localSheetId="70">#REF!</definedName>
    <definedName name="dbrwk7" localSheetId="52">#REF!</definedName>
    <definedName name="dbrwk7" localSheetId="58">#REF!</definedName>
    <definedName name="dbrwk7" localSheetId="57">#REF!</definedName>
    <definedName name="dbrwk7" localSheetId="64">#REF!</definedName>
    <definedName name="dbrwk7" localSheetId="67">#REF!</definedName>
    <definedName name="dbrwk7" localSheetId="65">#REF!</definedName>
    <definedName name="dbrwk7" localSheetId="68">#REF!</definedName>
    <definedName name="dbrwk7" localSheetId="71">#REF!</definedName>
    <definedName name="dbrwk7" localSheetId="44">#REF!</definedName>
    <definedName name="dbrwk7" localSheetId="45">#REF!</definedName>
    <definedName name="dbrwk7" localSheetId="27">#REF!</definedName>
    <definedName name="dbrwk7" localSheetId="28">#REF!</definedName>
    <definedName name="dbrwk7" localSheetId="29">#REF!</definedName>
    <definedName name="dbrwk7" localSheetId="66">#REF!</definedName>
    <definedName name="dbrwk7">#REF!</definedName>
    <definedName name="dbrwk8" localSheetId="70">#REF!</definedName>
    <definedName name="dbrwk8" localSheetId="52">#REF!</definedName>
    <definedName name="dbrwk8" localSheetId="58">#REF!</definedName>
    <definedName name="dbrwk8" localSheetId="57">#REF!</definedName>
    <definedName name="dbrwk8" localSheetId="64">#REF!</definedName>
    <definedName name="dbrwk8" localSheetId="67">#REF!</definedName>
    <definedName name="dbrwk8" localSheetId="65">#REF!</definedName>
    <definedName name="dbrwk8" localSheetId="68">#REF!</definedName>
    <definedName name="dbrwk8" localSheetId="71">#REF!</definedName>
    <definedName name="dbrwk8" localSheetId="44">#REF!</definedName>
    <definedName name="dbrwk8" localSheetId="45">#REF!</definedName>
    <definedName name="dbrwk8" localSheetId="27">#REF!</definedName>
    <definedName name="dbrwk8" localSheetId="28">#REF!</definedName>
    <definedName name="dbrwk8" localSheetId="29">#REF!</definedName>
    <definedName name="dbrwk8" localSheetId="66">#REF!</definedName>
    <definedName name="dbrwk8">#REF!</definedName>
    <definedName name="dbrwk9" localSheetId="70">#REF!</definedName>
    <definedName name="dbrwk9" localSheetId="52">#REF!</definedName>
    <definedName name="dbrwk9" localSheetId="58">#REF!</definedName>
    <definedName name="dbrwk9" localSheetId="57">#REF!</definedName>
    <definedName name="dbrwk9" localSheetId="64">#REF!</definedName>
    <definedName name="dbrwk9" localSheetId="67">#REF!</definedName>
    <definedName name="dbrwk9" localSheetId="65">#REF!</definedName>
    <definedName name="dbrwk9" localSheetId="68">#REF!</definedName>
    <definedName name="dbrwk9" localSheetId="71">#REF!</definedName>
    <definedName name="dbrwk9" localSheetId="44">#REF!</definedName>
    <definedName name="dbrwk9" localSheetId="45">#REF!</definedName>
    <definedName name="dbrwk9" localSheetId="27">#REF!</definedName>
    <definedName name="dbrwk9" localSheetId="28">#REF!</definedName>
    <definedName name="dbrwk9" localSheetId="29">#REF!</definedName>
    <definedName name="dbrwk9" localSheetId="66">#REF!</definedName>
    <definedName name="dbrwk9">#REF!</definedName>
    <definedName name="dcrwk1" localSheetId="70">#REF!</definedName>
    <definedName name="dcrwk1" localSheetId="52">#REF!</definedName>
    <definedName name="dcrwk1" localSheetId="58">#REF!</definedName>
    <definedName name="dcrwk1" localSheetId="57">#REF!</definedName>
    <definedName name="dcrwk1" localSheetId="64">#REF!</definedName>
    <definedName name="dcrwk1" localSheetId="67">#REF!</definedName>
    <definedName name="dcrwk1" localSheetId="65">#REF!</definedName>
    <definedName name="dcrwk1" localSheetId="68">#REF!</definedName>
    <definedName name="dcrwk1" localSheetId="71">#REF!</definedName>
    <definedName name="dcrwk1" localSheetId="44">#REF!</definedName>
    <definedName name="dcrwk1" localSheetId="45">#REF!</definedName>
    <definedName name="dcrwk1" localSheetId="27">#REF!</definedName>
    <definedName name="dcrwk1" localSheetId="28">#REF!</definedName>
    <definedName name="dcrwk1" localSheetId="29">#REF!</definedName>
    <definedName name="dcrwk1" localSheetId="66">#REF!</definedName>
    <definedName name="dcrwk1">#REF!</definedName>
    <definedName name="dcrwk10" localSheetId="70">#REF!</definedName>
    <definedName name="dcrwk10" localSheetId="52">#REF!</definedName>
    <definedName name="dcrwk10" localSheetId="58">#REF!</definedName>
    <definedName name="dcrwk10" localSheetId="57">#REF!</definedName>
    <definedName name="dcrwk10" localSheetId="64">#REF!</definedName>
    <definedName name="dcrwk10" localSheetId="67">#REF!</definedName>
    <definedName name="dcrwk10" localSheetId="65">#REF!</definedName>
    <definedName name="dcrwk10" localSheetId="68">#REF!</definedName>
    <definedName name="dcrwk10" localSheetId="71">#REF!</definedName>
    <definedName name="dcrwk10" localSheetId="44">#REF!</definedName>
    <definedName name="dcrwk10" localSheetId="45">#REF!</definedName>
    <definedName name="dcrwk10" localSheetId="27">#REF!</definedName>
    <definedName name="dcrwk10" localSheetId="28">#REF!</definedName>
    <definedName name="dcrwk10" localSheetId="29">#REF!</definedName>
    <definedName name="dcrwk10" localSheetId="66">#REF!</definedName>
    <definedName name="dcrwk10">#REF!</definedName>
    <definedName name="dcrwk11" localSheetId="70">#REF!</definedName>
    <definedName name="dcrwk11" localSheetId="52">#REF!</definedName>
    <definedName name="dcrwk11" localSheetId="58">#REF!</definedName>
    <definedName name="dcrwk11" localSheetId="57">#REF!</definedName>
    <definedName name="dcrwk11" localSheetId="64">#REF!</definedName>
    <definedName name="dcrwk11" localSheetId="67">#REF!</definedName>
    <definedName name="dcrwk11" localSheetId="65">#REF!</definedName>
    <definedName name="dcrwk11" localSheetId="68">#REF!</definedName>
    <definedName name="dcrwk11" localSheetId="71">#REF!</definedName>
    <definedName name="dcrwk11" localSheetId="44">#REF!</definedName>
    <definedName name="dcrwk11" localSheetId="45">#REF!</definedName>
    <definedName name="dcrwk11" localSheetId="27">#REF!</definedName>
    <definedName name="dcrwk11" localSheetId="28">#REF!</definedName>
    <definedName name="dcrwk11" localSheetId="29">#REF!</definedName>
    <definedName name="dcrwk11" localSheetId="66">#REF!</definedName>
    <definedName name="dcrwk11">#REF!</definedName>
    <definedName name="dcrwk12" localSheetId="70">#REF!</definedName>
    <definedName name="dcrwk12" localSheetId="52">#REF!</definedName>
    <definedName name="dcrwk12" localSheetId="58">#REF!</definedName>
    <definedName name="dcrwk12" localSheetId="57">#REF!</definedName>
    <definedName name="dcrwk12" localSheetId="64">#REF!</definedName>
    <definedName name="dcrwk12" localSheetId="67">#REF!</definedName>
    <definedName name="dcrwk12" localSheetId="65">#REF!</definedName>
    <definedName name="dcrwk12" localSheetId="68">#REF!</definedName>
    <definedName name="dcrwk12" localSheetId="71">#REF!</definedName>
    <definedName name="dcrwk12" localSheetId="44">#REF!</definedName>
    <definedName name="dcrwk12" localSheetId="45">#REF!</definedName>
    <definedName name="dcrwk12" localSheetId="27">#REF!</definedName>
    <definedName name="dcrwk12" localSheetId="28">#REF!</definedName>
    <definedName name="dcrwk12" localSheetId="29">#REF!</definedName>
    <definedName name="dcrwk12" localSheetId="66">#REF!</definedName>
    <definedName name="dcrwk12">#REF!</definedName>
    <definedName name="dcrwk2" localSheetId="70">#REF!</definedName>
    <definedName name="dcrwk2" localSheetId="52">#REF!</definedName>
    <definedName name="dcrwk2" localSheetId="58">#REF!</definedName>
    <definedName name="dcrwk2" localSheetId="57">#REF!</definedName>
    <definedName name="dcrwk2" localSheetId="64">#REF!</definedName>
    <definedName name="dcrwk2" localSheetId="67">#REF!</definedName>
    <definedName name="dcrwk2" localSheetId="65">#REF!</definedName>
    <definedName name="dcrwk2" localSheetId="68">#REF!</definedName>
    <definedName name="dcrwk2" localSheetId="71">#REF!</definedName>
    <definedName name="dcrwk2" localSheetId="44">#REF!</definedName>
    <definedName name="dcrwk2" localSheetId="45">#REF!</definedName>
    <definedName name="dcrwk2" localSheetId="27">#REF!</definedName>
    <definedName name="dcrwk2" localSheetId="28">#REF!</definedName>
    <definedName name="dcrwk2" localSheetId="29">#REF!</definedName>
    <definedName name="dcrwk2" localSheetId="66">#REF!</definedName>
    <definedName name="dcrwk2">#REF!</definedName>
    <definedName name="dcrwk3" localSheetId="70">#REF!</definedName>
    <definedName name="dcrwk3" localSheetId="52">#REF!</definedName>
    <definedName name="dcrwk3" localSheetId="58">#REF!</definedName>
    <definedName name="dcrwk3" localSheetId="57">#REF!</definedName>
    <definedName name="dcrwk3" localSheetId="64">#REF!</definedName>
    <definedName name="dcrwk3" localSheetId="67">#REF!</definedName>
    <definedName name="dcrwk3" localSheetId="65">#REF!</definedName>
    <definedName name="dcrwk3" localSheetId="68">#REF!</definedName>
    <definedName name="dcrwk3" localSheetId="71">#REF!</definedName>
    <definedName name="dcrwk3" localSheetId="44">#REF!</definedName>
    <definedName name="dcrwk3" localSheetId="45">#REF!</definedName>
    <definedName name="dcrwk3" localSheetId="27">#REF!</definedName>
    <definedName name="dcrwk3" localSheetId="28">#REF!</definedName>
    <definedName name="dcrwk3" localSheetId="29">#REF!</definedName>
    <definedName name="dcrwk3" localSheetId="66">#REF!</definedName>
    <definedName name="dcrwk3">#REF!</definedName>
    <definedName name="dcrwk4" localSheetId="70">#REF!</definedName>
    <definedName name="dcrwk4" localSheetId="52">#REF!</definedName>
    <definedName name="dcrwk4" localSheetId="58">#REF!</definedName>
    <definedName name="dcrwk4" localSheetId="57">#REF!</definedName>
    <definedName name="dcrwk4" localSheetId="64">#REF!</definedName>
    <definedName name="dcrwk4" localSheetId="67">#REF!</definedName>
    <definedName name="dcrwk4" localSheetId="65">#REF!</definedName>
    <definedName name="dcrwk4" localSheetId="68">#REF!</definedName>
    <definedName name="dcrwk4" localSheetId="71">#REF!</definedName>
    <definedName name="dcrwk4" localSheetId="44">#REF!</definedName>
    <definedName name="dcrwk4" localSheetId="45">#REF!</definedName>
    <definedName name="dcrwk4" localSheetId="27">#REF!</definedName>
    <definedName name="dcrwk4" localSheetId="28">#REF!</definedName>
    <definedName name="dcrwk4" localSheetId="29">#REF!</definedName>
    <definedName name="dcrwk4" localSheetId="66">#REF!</definedName>
    <definedName name="dcrwk4">#REF!</definedName>
    <definedName name="dcrwk5" localSheetId="70">#REF!</definedName>
    <definedName name="dcrwk5" localSheetId="52">#REF!</definedName>
    <definedName name="dcrwk5" localSheetId="58">#REF!</definedName>
    <definedName name="dcrwk5" localSheetId="57">#REF!</definedName>
    <definedName name="dcrwk5" localSheetId="64">#REF!</definedName>
    <definedName name="dcrwk5" localSheetId="67">#REF!</definedName>
    <definedName name="dcrwk5" localSheetId="65">#REF!</definedName>
    <definedName name="dcrwk5" localSheetId="68">#REF!</definedName>
    <definedName name="dcrwk5" localSheetId="71">#REF!</definedName>
    <definedName name="dcrwk5" localSheetId="44">#REF!</definedName>
    <definedName name="dcrwk5" localSheetId="45">#REF!</definedName>
    <definedName name="dcrwk5" localSheetId="27">#REF!</definedName>
    <definedName name="dcrwk5" localSheetId="28">#REF!</definedName>
    <definedName name="dcrwk5" localSheetId="29">#REF!</definedName>
    <definedName name="dcrwk5" localSheetId="66">#REF!</definedName>
    <definedName name="dcrwk5">#REF!</definedName>
    <definedName name="dcrwk6" localSheetId="70">#REF!</definedName>
    <definedName name="dcrwk6" localSheetId="52">#REF!</definedName>
    <definedName name="dcrwk6" localSheetId="58">#REF!</definedName>
    <definedName name="dcrwk6" localSheetId="57">#REF!</definedName>
    <definedName name="dcrwk6" localSheetId="64">#REF!</definedName>
    <definedName name="dcrwk6" localSheetId="67">#REF!</definedName>
    <definedName name="dcrwk6" localSheetId="65">#REF!</definedName>
    <definedName name="dcrwk6" localSheetId="68">#REF!</definedName>
    <definedName name="dcrwk6" localSheetId="71">#REF!</definedName>
    <definedName name="dcrwk6" localSheetId="44">#REF!</definedName>
    <definedName name="dcrwk6" localSheetId="45">#REF!</definedName>
    <definedName name="dcrwk6" localSheetId="27">#REF!</definedName>
    <definedName name="dcrwk6" localSheetId="28">#REF!</definedName>
    <definedName name="dcrwk6" localSheetId="29">#REF!</definedName>
    <definedName name="dcrwk6" localSheetId="66">#REF!</definedName>
    <definedName name="dcrwk6">#REF!</definedName>
    <definedName name="dcrwk7" localSheetId="70">#REF!</definedName>
    <definedName name="dcrwk7" localSheetId="52">#REF!</definedName>
    <definedName name="dcrwk7" localSheetId="58">#REF!</definedName>
    <definedName name="dcrwk7" localSheetId="57">#REF!</definedName>
    <definedName name="dcrwk7" localSheetId="64">#REF!</definedName>
    <definedName name="dcrwk7" localSheetId="67">#REF!</definedName>
    <definedName name="dcrwk7" localSheetId="65">#REF!</definedName>
    <definedName name="dcrwk7" localSheetId="68">#REF!</definedName>
    <definedName name="dcrwk7" localSheetId="71">#REF!</definedName>
    <definedName name="dcrwk7" localSheetId="44">#REF!</definedName>
    <definedName name="dcrwk7" localSheetId="45">#REF!</definedName>
    <definedName name="dcrwk7" localSheetId="27">#REF!</definedName>
    <definedName name="dcrwk7" localSheetId="28">#REF!</definedName>
    <definedName name="dcrwk7" localSheetId="29">#REF!</definedName>
    <definedName name="dcrwk7" localSheetId="66">#REF!</definedName>
    <definedName name="dcrwk7">#REF!</definedName>
    <definedName name="dcrwk8" localSheetId="70">#REF!</definedName>
    <definedName name="dcrwk8" localSheetId="52">#REF!</definedName>
    <definedName name="dcrwk8" localSheetId="58">#REF!</definedName>
    <definedName name="dcrwk8" localSheetId="57">#REF!</definedName>
    <definedName name="dcrwk8" localSheetId="64">#REF!</definedName>
    <definedName name="dcrwk8" localSheetId="67">#REF!</definedName>
    <definedName name="dcrwk8" localSheetId="65">#REF!</definedName>
    <definedName name="dcrwk8" localSheetId="68">#REF!</definedName>
    <definedName name="dcrwk8" localSheetId="71">#REF!</definedName>
    <definedName name="dcrwk8" localSheetId="44">#REF!</definedName>
    <definedName name="dcrwk8" localSheetId="45">#REF!</definedName>
    <definedName name="dcrwk8" localSheetId="27">#REF!</definedName>
    <definedName name="dcrwk8" localSheetId="28">#REF!</definedName>
    <definedName name="dcrwk8" localSheetId="29">#REF!</definedName>
    <definedName name="dcrwk8" localSheetId="66">#REF!</definedName>
    <definedName name="dcrwk8">#REF!</definedName>
    <definedName name="dcrwk9" localSheetId="70">#REF!</definedName>
    <definedName name="dcrwk9" localSheetId="52">#REF!</definedName>
    <definedName name="dcrwk9" localSheetId="58">#REF!</definedName>
    <definedName name="dcrwk9" localSheetId="57">#REF!</definedName>
    <definedName name="dcrwk9" localSheetId="64">#REF!</definedName>
    <definedName name="dcrwk9" localSheetId="67">#REF!</definedName>
    <definedName name="dcrwk9" localSheetId="65">#REF!</definedName>
    <definedName name="dcrwk9" localSheetId="68">#REF!</definedName>
    <definedName name="dcrwk9" localSheetId="71">#REF!</definedName>
    <definedName name="dcrwk9" localSheetId="44">#REF!</definedName>
    <definedName name="dcrwk9" localSheetId="45">#REF!</definedName>
    <definedName name="dcrwk9" localSheetId="27">#REF!</definedName>
    <definedName name="dcrwk9" localSheetId="28">#REF!</definedName>
    <definedName name="dcrwk9" localSheetId="29">#REF!</definedName>
    <definedName name="dcrwk9" localSheetId="66">#REF!</definedName>
    <definedName name="dcrwk9">#REF!</definedName>
    <definedName name="dd" localSheetId="140">#REF!</definedName>
    <definedName name="dd" localSheetId="142">#REF!</definedName>
    <definedName name="dd">[12]Notes!$A$3</definedName>
    <definedName name="ddd" localSheetId="70">'[25]04REL'!#REF!</definedName>
    <definedName name="ddd" localSheetId="126">[12]Notes!$A$45</definedName>
    <definedName name="ddd" localSheetId="143">[12]Notes!$A$45</definedName>
    <definedName name="ddd" localSheetId="140">'[40]License Area'!#REF!</definedName>
    <definedName name="ddd" localSheetId="142">'[40]License Area'!#REF!</definedName>
    <definedName name="ddd" localSheetId="52">'[25]04REL'!#REF!</definedName>
    <definedName name="ddd" localSheetId="58">'[25]04REL'!#REF!</definedName>
    <definedName name="ddd" localSheetId="57">'[25]04REL'!#REF!</definedName>
    <definedName name="ddd" localSheetId="64">'[25]04REL'!#REF!</definedName>
    <definedName name="ddd" localSheetId="67">'[25]04REL'!#REF!</definedName>
    <definedName name="ddd" localSheetId="65">'[25]04REL'!#REF!</definedName>
    <definedName name="ddd" localSheetId="68">'[25]04REL'!#REF!</definedName>
    <definedName name="ddd" localSheetId="71">'[25]04REL'!#REF!</definedName>
    <definedName name="ddd" localSheetId="44">'[25]04REL'!#REF!</definedName>
    <definedName name="ddd" localSheetId="45">'[25]04REL'!#REF!</definedName>
    <definedName name="ddd" localSheetId="48">'[25]04REL'!#REF!</definedName>
    <definedName name="ddd" localSheetId="116">[12]Notes!$A$45</definedName>
    <definedName name="ddd" localSheetId="27">'[25]04REL'!#REF!</definedName>
    <definedName name="ddd" localSheetId="128">[12]Notes!$A$45</definedName>
    <definedName name="ddd" localSheetId="127">[12]Notes!$A$45</definedName>
    <definedName name="ddd" localSheetId="28">'[25]04REL'!#REF!</definedName>
    <definedName name="ddd" localSheetId="29">'[25]04REL'!#REF!</definedName>
    <definedName name="ddd" localSheetId="66">'[25]04REL'!#REF!</definedName>
    <definedName name="ddd">'[25]04REL'!#REF!</definedName>
    <definedName name="ddhgnekv">'[12]B_S Group'!$H$46</definedName>
    <definedName name="DEAHIRE__ES_TA" localSheetId="70">#REF!</definedName>
    <definedName name="DEAHIRE__ES_TA" localSheetId="143">#REF!</definedName>
    <definedName name="DEAHIRE__ES_TA" localSheetId="52">#REF!</definedName>
    <definedName name="DEAHIRE__ES_TA" localSheetId="58">#REF!</definedName>
    <definedName name="DEAHIRE__ES_TA" localSheetId="57">#REF!</definedName>
    <definedName name="DEAHIRE__ES_TA" localSheetId="64">#REF!</definedName>
    <definedName name="DEAHIRE__ES_TA" localSheetId="67">#REF!</definedName>
    <definedName name="DEAHIRE__ES_TA" localSheetId="65">#REF!</definedName>
    <definedName name="DEAHIRE__ES_TA" localSheetId="68">#REF!</definedName>
    <definedName name="DEAHIRE__ES_TA" localSheetId="71">#REF!</definedName>
    <definedName name="DEAHIRE__ES_TA" localSheetId="44">#REF!</definedName>
    <definedName name="DEAHIRE__ES_TA" localSheetId="45">#REF!</definedName>
    <definedName name="DEAHIRE__ES_TA" localSheetId="17">#REF!</definedName>
    <definedName name="DEAHIRE__ES_TA" localSheetId="27">#REF!</definedName>
    <definedName name="DEAHIRE__ES_TA" localSheetId="72">#REF!</definedName>
    <definedName name="DEAHIRE__ES_TA" localSheetId="28">#REF!</definedName>
    <definedName name="DEAHIRE__ES_TA" localSheetId="29">#REF!</definedName>
    <definedName name="DEAHIRE__ES_TA" localSheetId="66">#REF!</definedName>
    <definedName name="DEAHIRE__ES_TA">#REF!</definedName>
    <definedName name="DEAHIRE_ES_TD" localSheetId="70">#REF!</definedName>
    <definedName name="DEAHIRE_ES_TD" localSheetId="143">#REF!</definedName>
    <definedName name="DEAHIRE_ES_TD" localSheetId="52">#REF!</definedName>
    <definedName name="DEAHIRE_ES_TD" localSheetId="58">#REF!</definedName>
    <definedName name="DEAHIRE_ES_TD" localSheetId="56">#REF!</definedName>
    <definedName name="DEAHIRE_ES_TD" localSheetId="57">#REF!</definedName>
    <definedName name="DEAHIRE_ES_TD" localSheetId="64">#REF!</definedName>
    <definedName name="DEAHIRE_ES_TD" localSheetId="67">#REF!</definedName>
    <definedName name="DEAHIRE_ES_TD" localSheetId="65">#REF!</definedName>
    <definedName name="DEAHIRE_ES_TD" localSheetId="68">#REF!</definedName>
    <definedName name="DEAHIRE_ES_TD" localSheetId="71">#REF!</definedName>
    <definedName name="DEAHIRE_ES_TD" localSheetId="44">#REF!</definedName>
    <definedName name="DEAHIRE_ES_TD" localSheetId="45">#REF!</definedName>
    <definedName name="DEAHIRE_ES_TD" localSheetId="17">#REF!</definedName>
    <definedName name="DEAHIRE_ES_TD" localSheetId="27">#REF!</definedName>
    <definedName name="DEAHIRE_ES_TD" localSheetId="72">#REF!</definedName>
    <definedName name="DEAHIRE_ES_TD" localSheetId="128">'[26]90% Write off'!#REF!</definedName>
    <definedName name="DEAHIRE_ES_TD" localSheetId="28">#REF!</definedName>
    <definedName name="DEAHIRE_ES_TD" localSheetId="29">#REF!</definedName>
    <definedName name="DEAHIRE_ES_TD" localSheetId="66">#REF!</definedName>
    <definedName name="DEAHIRE_ES_TD">#REF!</definedName>
    <definedName name="DEF" localSheetId="70" hidden="1">#REF!</definedName>
    <definedName name="DEF" localSheetId="52" hidden="1">#REF!</definedName>
    <definedName name="DEF" localSheetId="58" hidden="1">#REF!</definedName>
    <definedName name="DEF" localSheetId="57" hidden="1">#REF!</definedName>
    <definedName name="DEF" localSheetId="64" hidden="1">#REF!</definedName>
    <definedName name="DEF" localSheetId="67" hidden="1">#REF!</definedName>
    <definedName name="DEF" localSheetId="65" hidden="1">#REF!</definedName>
    <definedName name="DEF" localSheetId="68" hidden="1">#REF!</definedName>
    <definedName name="DEF" localSheetId="71" hidden="1">#REF!</definedName>
    <definedName name="DEF" localSheetId="44" hidden="1">#REF!</definedName>
    <definedName name="DEF" localSheetId="45" hidden="1">#REF!</definedName>
    <definedName name="DEF" localSheetId="17" hidden="1">#REF!</definedName>
    <definedName name="DEF" localSheetId="27" hidden="1">#REF!</definedName>
    <definedName name="DEF" localSheetId="72" hidden="1">#REF!</definedName>
    <definedName name="DEF" localSheetId="28" hidden="1">#REF!</definedName>
    <definedName name="DEF" localSheetId="29" hidden="1">#REF!</definedName>
    <definedName name="DEF" localSheetId="66" hidden="1">#REF!</definedName>
    <definedName name="DEF" hidden="1">#REF!</definedName>
    <definedName name="DEL_CHK">#N/A</definedName>
    <definedName name="DelDC" localSheetId="70">#REF!</definedName>
    <definedName name="DelDC" localSheetId="52">#REF!</definedName>
    <definedName name="DelDC" localSheetId="58">#REF!</definedName>
    <definedName name="DelDC" localSheetId="56">#REF!</definedName>
    <definedName name="DelDC" localSheetId="57">#REF!</definedName>
    <definedName name="DelDC" localSheetId="64">#REF!</definedName>
    <definedName name="DelDC" localSheetId="67">#REF!</definedName>
    <definedName name="DelDC" localSheetId="65">#REF!</definedName>
    <definedName name="DelDC" localSheetId="68">#REF!</definedName>
    <definedName name="DelDC" localSheetId="71">#REF!</definedName>
    <definedName name="DelDC" localSheetId="44">#REF!</definedName>
    <definedName name="DelDC" localSheetId="45">#REF!</definedName>
    <definedName name="DelDC" localSheetId="17">#REF!</definedName>
    <definedName name="DelDC" localSheetId="27">#REF!</definedName>
    <definedName name="DelDC" localSheetId="72">#REF!</definedName>
    <definedName name="DelDC" localSheetId="28">#REF!</definedName>
    <definedName name="DelDC" localSheetId="29">#REF!</definedName>
    <definedName name="DelDC" localSheetId="66">#REF!</definedName>
    <definedName name="DelDC">#REF!</definedName>
    <definedName name="DelDm" localSheetId="70">#REF!</definedName>
    <definedName name="DelDm" localSheetId="52">#REF!</definedName>
    <definedName name="DelDm" localSheetId="58">#REF!</definedName>
    <definedName name="DelDm" localSheetId="57">#REF!</definedName>
    <definedName name="DelDm" localSheetId="64">#REF!</definedName>
    <definedName name="DelDm" localSheetId="67">#REF!</definedName>
    <definedName name="DelDm" localSheetId="65">#REF!</definedName>
    <definedName name="DelDm" localSheetId="68">#REF!</definedName>
    <definedName name="DelDm" localSheetId="71">#REF!</definedName>
    <definedName name="DelDm" localSheetId="44">#REF!</definedName>
    <definedName name="DelDm" localSheetId="45">#REF!</definedName>
    <definedName name="DelDm" localSheetId="17">#REF!</definedName>
    <definedName name="DelDm" localSheetId="27">#REF!</definedName>
    <definedName name="DelDm" localSheetId="72">#REF!</definedName>
    <definedName name="DelDm" localSheetId="28">#REF!</definedName>
    <definedName name="DelDm" localSheetId="29">#REF!</definedName>
    <definedName name="DelDm" localSheetId="66">#REF!</definedName>
    <definedName name="DelDm">#REF!</definedName>
    <definedName name="DELI">#N/A</definedName>
    <definedName name="Delivery" localSheetId="70">#REF!</definedName>
    <definedName name="Delivery" localSheetId="52">#REF!</definedName>
    <definedName name="Delivery" localSheetId="58">#REF!</definedName>
    <definedName name="Delivery" localSheetId="56">#REF!</definedName>
    <definedName name="Delivery" localSheetId="57">#REF!</definedName>
    <definedName name="Delivery" localSheetId="64">#REF!</definedName>
    <definedName name="Delivery" localSheetId="67">#REF!</definedName>
    <definedName name="Delivery" localSheetId="65">#REF!</definedName>
    <definedName name="Delivery" localSheetId="68">#REF!</definedName>
    <definedName name="Delivery" localSheetId="71">#REF!</definedName>
    <definedName name="Delivery" localSheetId="44">#REF!</definedName>
    <definedName name="Delivery" localSheetId="45">#REF!</definedName>
    <definedName name="Delivery" localSheetId="17">#REF!</definedName>
    <definedName name="Delivery" localSheetId="27">#REF!</definedName>
    <definedName name="Delivery" localSheetId="72">#REF!</definedName>
    <definedName name="Delivery" localSheetId="28">#REF!</definedName>
    <definedName name="Delivery" localSheetId="29">#REF!</definedName>
    <definedName name="Delivery" localSheetId="66">#REF!</definedName>
    <definedName name="Delivery">#REF!</definedName>
    <definedName name="DelType" localSheetId="70">#REF!</definedName>
    <definedName name="DelType" localSheetId="52">#REF!</definedName>
    <definedName name="DelType" localSheetId="58">#REF!</definedName>
    <definedName name="DelType" localSheetId="57">#REF!</definedName>
    <definedName name="DelType" localSheetId="64">#REF!</definedName>
    <definedName name="DelType" localSheetId="67">#REF!</definedName>
    <definedName name="DelType" localSheetId="65">#REF!</definedName>
    <definedName name="DelType" localSheetId="68">#REF!</definedName>
    <definedName name="DelType" localSheetId="71">#REF!</definedName>
    <definedName name="DelType" localSheetId="44">#REF!</definedName>
    <definedName name="DelType" localSheetId="45">#REF!</definedName>
    <definedName name="DelType" localSheetId="17">#REF!</definedName>
    <definedName name="DelType" localSheetId="27">#REF!</definedName>
    <definedName name="DelType" localSheetId="72">#REF!</definedName>
    <definedName name="DelType" localSheetId="28">#REF!</definedName>
    <definedName name="DelType" localSheetId="29">#REF!</definedName>
    <definedName name="DelType" localSheetId="66">#REF!</definedName>
    <definedName name="DelType">#REF!</definedName>
    <definedName name="deptLookup" localSheetId="70">#REF!</definedName>
    <definedName name="deptLookup" localSheetId="52">#REF!</definedName>
    <definedName name="deptLookup" localSheetId="58">#REF!</definedName>
    <definedName name="deptLookup" localSheetId="57">#REF!</definedName>
    <definedName name="deptLookup" localSheetId="64">#REF!</definedName>
    <definedName name="deptLookup" localSheetId="67">#REF!</definedName>
    <definedName name="deptLookup" localSheetId="65">#REF!</definedName>
    <definedName name="deptLookup" localSheetId="68">#REF!</definedName>
    <definedName name="deptLookup" localSheetId="71">#REF!</definedName>
    <definedName name="deptLookup" localSheetId="44">#REF!</definedName>
    <definedName name="deptLookup" localSheetId="45">#REF!</definedName>
    <definedName name="deptLookup" localSheetId="17">#REF!</definedName>
    <definedName name="deptLookup" localSheetId="27">#REF!</definedName>
    <definedName name="deptLookup" localSheetId="72">#REF!</definedName>
    <definedName name="deptLookup" localSheetId="28">#REF!</definedName>
    <definedName name="deptLookup" localSheetId="29">#REF!</definedName>
    <definedName name="deptLookup" localSheetId="66">#REF!</definedName>
    <definedName name="deptLookup">#REF!</definedName>
    <definedName name="DESC">#N/A</definedName>
    <definedName name="DESCRIPT">#N/A</definedName>
    <definedName name="DF">#N/A</definedName>
    <definedName name="dfaf" localSheetId="140" hidden="1">{"'장비'!$A$3:$M$12"}</definedName>
    <definedName name="dfaf" localSheetId="58" hidden="1">{"'장비'!$A$3:$M$12"}</definedName>
    <definedName name="dfaf" localSheetId="56" hidden="1">{"'장비'!$A$3:$M$12"}</definedName>
    <definedName name="dfaf" localSheetId="57" hidden="1">{"'장비'!$A$3:$M$12"}</definedName>
    <definedName name="dfaf" localSheetId="67" hidden="1">{"'장비'!$A$3:$M$12"}</definedName>
    <definedName name="dfaf" localSheetId="65" hidden="1">{"'장비'!$A$3:$M$12"}</definedName>
    <definedName name="dfaf" localSheetId="68" hidden="1">{"'장비'!$A$3:$M$12"}</definedName>
    <definedName name="dfaf" localSheetId="71" hidden="1">{"'장비'!$A$3:$M$12"}</definedName>
    <definedName name="dfaf" localSheetId="17" hidden="1">{"'장비'!$A$3:$M$12"}</definedName>
    <definedName name="dfaf" localSheetId="27" hidden="1">{"'장비'!$A$3:$M$12"}</definedName>
    <definedName name="dfaf" localSheetId="72" hidden="1">{"'장비'!$A$3:$M$12"}</definedName>
    <definedName name="dfaf" localSheetId="28" hidden="1">{"'장비'!$A$3:$M$12"}</definedName>
    <definedName name="dfaf" localSheetId="29" hidden="1">{"'장비'!$A$3:$M$12"}</definedName>
    <definedName name="dfaf" hidden="1">{"'장비'!$A$3:$M$12"}</definedName>
    <definedName name="dfbdff">'[12]B_S Group'!$H$199</definedName>
    <definedName name="dfdfkdf">'[12]B_S Group'!$H$213</definedName>
    <definedName name="dfdhflk">'[12]B_S Group'!$H$258</definedName>
    <definedName name="dftrt" localSheetId="70">[12]BEST_17112006!#REF!</definedName>
    <definedName name="dftrt" localSheetId="143">[12]BEST_17112006!#REF!</definedName>
    <definedName name="dftrt" localSheetId="52">[12]BEST_17112006!#REF!</definedName>
    <definedName name="dftrt" localSheetId="58">[12]BEST_17112006!#REF!</definedName>
    <definedName name="dftrt" localSheetId="56">[12]BEST_17112006!#REF!</definedName>
    <definedName name="dftrt" localSheetId="57">[12]BEST_17112006!#REF!</definedName>
    <definedName name="dftrt" localSheetId="64">[12]BEST_17112006!#REF!</definedName>
    <definedName name="dftrt" localSheetId="67">[12]BEST_17112006!#REF!</definedName>
    <definedName name="dftrt" localSheetId="65">[12]BEST_17112006!#REF!</definedName>
    <definedName name="dftrt" localSheetId="68">[12]BEST_17112006!#REF!</definedName>
    <definedName name="dftrt" localSheetId="71">[12]BEST_17112006!#REF!</definedName>
    <definedName name="dftrt" localSheetId="44">[12]BEST_17112006!#REF!</definedName>
    <definedName name="dftrt" localSheetId="45">[12]BEST_17112006!#REF!</definedName>
    <definedName name="dftrt" localSheetId="17">[12]BEST_17112006!#REF!</definedName>
    <definedName name="dftrt" localSheetId="27">[12]BEST_17112006!#REF!</definedName>
    <definedName name="dftrt" localSheetId="72">[12]BEST_17112006!#REF!</definedName>
    <definedName name="dftrt" localSheetId="28">[12]BEST_17112006!#REF!</definedName>
    <definedName name="dftrt" localSheetId="29">[12]BEST_17112006!#REF!</definedName>
    <definedName name="dftrt" localSheetId="66">[12]BEST_17112006!#REF!</definedName>
    <definedName name="dftrt">[12]BEST_17112006!#REF!</definedName>
    <definedName name="dgxgfzdg" localSheetId="70">#REF!,#REF!</definedName>
    <definedName name="dgxgfzdg" localSheetId="52">#REF!,#REF!</definedName>
    <definedName name="dgxgfzdg" localSheetId="58">#REF!,#REF!</definedName>
    <definedName name="dgxgfzdg" localSheetId="57">#REF!,#REF!</definedName>
    <definedName name="dgxgfzdg" localSheetId="64">#REF!,#REF!</definedName>
    <definedName name="dgxgfzdg" localSheetId="67">#REF!,#REF!</definedName>
    <definedName name="dgxgfzdg" localSheetId="65">#REF!,#REF!</definedName>
    <definedName name="dgxgfzdg" localSheetId="68">#REF!,#REF!</definedName>
    <definedName name="dgxgfzdg" localSheetId="71">#REF!,#REF!</definedName>
    <definedName name="dgxgfzdg" localSheetId="44">#REF!,#REF!</definedName>
    <definedName name="dgxgfzdg" localSheetId="45">#REF!,#REF!</definedName>
    <definedName name="dgxgfzdg" localSheetId="48">#REF!,#REF!</definedName>
    <definedName name="dgxgfzdg" localSheetId="17">#REF!,#REF!</definedName>
    <definedName name="dgxgfzdg" localSheetId="27">#REF!,#REF!</definedName>
    <definedName name="dgxgfzdg" localSheetId="72">#REF!,#REF!</definedName>
    <definedName name="dgxgfzdg" localSheetId="28">#REF!,#REF!</definedName>
    <definedName name="dgxgfzdg" localSheetId="29">#REF!,#REF!</definedName>
    <definedName name="dgxgfzdg" localSheetId="66">#REF!,#REF!</definedName>
    <definedName name="dgxgfzdg">#REF!,#REF!</definedName>
    <definedName name="diameter" localSheetId="70">#REF!</definedName>
    <definedName name="diameter" localSheetId="52">#REF!</definedName>
    <definedName name="diameter" localSheetId="58">#REF!</definedName>
    <definedName name="diameter" localSheetId="56">#REF!</definedName>
    <definedName name="diameter" localSheetId="57">#REF!</definedName>
    <definedName name="diameter" localSheetId="64">#REF!</definedName>
    <definedName name="diameter" localSheetId="67">#REF!</definedName>
    <definedName name="diameter" localSheetId="65">#REF!</definedName>
    <definedName name="diameter" localSheetId="68">#REF!</definedName>
    <definedName name="diameter" localSheetId="71">#REF!</definedName>
    <definedName name="diameter" localSheetId="44">#REF!</definedName>
    <definedName name="diameter" localSheetId="45">#REF!</definedName>
    <definedName name="diameter" localSheetId="17">#REF!</definedName>
    <definedName name="diameter" localSheetId="27">#REF!</definedName>
    <definedName name="diameter" localSheetId="72">#REF!</definedName>
    <definedName name="diameter" localSheetId="28">#REF!</definedName>
    <definedName name="diameter" localSheetId="29">#REF!</definedName>
    <definedName name="diameter" localSheetId="66">#REF!</definedName>
    <definedName name="diameter">#REF!</definedName>
    <definedName name="diaphragm" localSheetId="70">#REF!</definedName>
    <definedName name="diaphragm" localSheetId="52">#REF!</definedName>
    <definedName name="diaphragm" localSheetId="58">#REF!</definedName>
    <definedName name="diaphragm" localSheetId="57">#REF!</definedName>
    <definedName name="diaphragm" localSheetId="64">#REF!</definedName>
    <definedName name="diaphragm" localSheetId="67">#REF!</definedName>
    <definedName name="diaphragm" localSheetId="65">#REF!</definedName>
    <definedName name="diaphragm" localSheetId="68">#REF!</definedName>
    <definedName name="diaphragm" localSheetId="71">#REF!</definedName>
    <definedName name="diaphragm" localSheetId="44">#REF!</definedName>
    <definedName name="diaphragm" localSheetId="45">#REF!</definedName>
    <definedName name="diaphragm" localSheetId="17">#REF!</definedName>
    <definedName name="diaphragm" localSheetId="27">#REF!</definedName>
    <definedName name="diaphragm" localSheetId="72">#REF!</definedName>
    <definedName name="diaphragm" localSheetId="28">#REF!</definedName>
    <definedName name="diaphragm" localSheetId="29">#REF!</definedName>
    <definedName name="diaphragm" localSheetId="66">#REF!</definedName>
    <definedName name="diaphragm">#REF!</definedName>
    <definedName name="disc" localSheetId="70">#REF!</definedName>
    <definedName name="disc" localSheetId="52">#REF!</definedName>
    <definedName name="disc" localSheetId="58">#REF!</definedName>
    <definedName name="disc" localSheetId="57">#REF!</definedName>
    <definedName name="disc" localSheetId="64">#REF!</definedName>
    <definedName name="disc" localSheetId="67">#REF!</definedName>
    <definedName name="disc" localSheetId="65">#REF!</definedName>
    <definedName name="disc" localSheetId="68">#REF!</definedName>
    <definedName name="disc" localSheetId="71">#REF!</definedName>
    <definedName name="disc" localSheetId="44">#REF!</definedName>
    <definedName name="disc" localSheetId="45">#REF!</definedName>
    <definedName name="disc" localSheetId="17">#REF!</definedName>
    <definedName name="disc" localSheetId="27">#REF!</definedName>
    <definedName name="disc" localSheetId="72">#REF!</definedName>
    <definedName name="disc" localSheetId="28">#REF!</definedName>
    <definedName name="disc" localSheetId="29">#REF!</definedName>
    <definedName name="disc" localSheetId="66">#REF!</definedName>
    <definedName name="disc">#REF!</definedName>
    <definedName name="DPC" localSheetId="140">#REF!</definedName>
    <definedName name="DPC" localSheetId="142">#REF!</definedName>
    <definedName name="dpc">'[41]dpc cost'!$D$1</definedName>
    <definedName name="DPCHDG" localSheetId="70">#REF!</definedName>
    <definedName name="DPCHDG" localSheetId="52">#REF!</definedName>
    <definedName name="DPCHDG" localSheetId="58">#REF!</definedName>
    <definedName name="DPCHDG" localSheetId="56">#REF!</definedName>
    <definedName name="DPCHDG" localSheetId="57">#REF!</definedName>
    <definedName name="DPCHDG" localSheetId="64">#REF!</definedName>
    <definedName name="DPCHDG" localSheetId="67">#REF!</definedName>
    <definedName name="DPCHDG" localSheetId="65">#REF!</definedName>
    <definedName name="DPCHDG" localSheetId="68">#REF!</definedName>
    <definedName name="DPCHDG" localSheetId="71">#REF!</definedName>
    <definedName name="DPCHDG" localSheetId="44">#REF!</definedName>
    <definedName name="DPCHDG" localSheetId="45">#REF!</definedName>
    <definedName name="DPCHDG" localSheetId="17">#REF!</definedName>
    <definedName name="DPCHDG" localSheetId="27">#REF!</definedName>
    <definedName name="DPCHDG" localSheetId="72">#REF!</definedName>
    <definedName name="DPCHDG" localSheetId="28">#REF!</definedName>
    <definedName name="DPCHDG" localSheetId="29">#REF!</definedName>
    <definedName name="DPCHDG" localSheetId="66">#REF!</definedName>
    <definedName name="DPCHDG">#REF!</definedName>
    <definedName name="DR" localSheetId="70" hidden="1">#REF!</definedName>
    <definedName name="DR" localSheetId="52" hidden="1">#REF!</definedName>
    <definedName name="DR" localSheetId="58" hidden="1">#REF!</definedName>
    <definedName name="DR" localSheetId="57" hidden="1">#REF!</definedName>
    <definedName name="DR" localSheetId="64" hidden="1">#REF!</definedName>
    <definedName name="DR" localSheetId="67" hidden="1">#REF!</definedName>
    <definedName name="DR" localSheetId="65" hidden="1">#REF!</definedName>
    <definedName name="DR" localSheetId="68" hidden="1">#REF!</definedName>
    <definedName name="DR" localSheetId="71" hidden="1">#REF!</definedName>
    <definedName name="DR" localSheetId="44" hidden="1">#REF!</definedName>
    <definedName name="DR" localSheetId="45" hidden="1">#REF!</definedName>
    <definedName name="DR" localSheetId="17" hidden="1">#REF!</definedName>
    <definedName name="DR" localSheetId="27" hidden="1">#REF!</definedName>
    <definedName name="DR" localSheetId="72" hidden="1">#REF!</definedName>
    <definedName name="DR" localSheetId="28" hidden="1">#REF!</definedName>
    <definedName name="DR" localSheetId="29" hidden="1">#REF!</definedName>
    <definedName name="DR" localSheetId="66" hidden="1">#REF!</definedName>
    <definedName name="DR" hidden="1">#REF!</definedName>
    <definedName name="drain_trap" localSheetId="70">#REF!</definedName>
    <definedName name="drain_trap" localSheetId="52">#REF!</definedName>
    <definedName name="drain_trap" localSheetId="58">#REF!</definedName>
    <definedName name="drain_trap" localSheetId="57">#REF!</definedName>
    <definedName name="drain_trap" localSheetId="64">#REF!</definedName>
    <definedName name="drain_trap" localSheetId="67">#REF!</definedName>
    <definedName name="drain_trap" localSheetId="65">#REF!</definedName>
    <definedName name="drain_trap" localSheetId="68">#REF!</definedName>
    <definedName name="drain_trap" localSheetId="71">#REF!</definedName>
    <definedName name="drain_trap" localSheetId="44">#REF!</definedName>
    <definedName name="drain_trap" localSheetId="45">#REF!</definedName>
    <definedName name="drain_trap" localSheetId="17">#REF!</definedName>
    <definedName name="drain_trap" localSheetId="27">#REF!</definedName>
    <definedName name="drain_trap" localSheetId="72">#REF!</definedName>
    <definedName name="drain_trap" localSheetId="28">#REF!</definedName>
    <definedName name="drain_trap" localSheetId="29">#REF!</definedName>
    <definedName name="drain_trap" localSheetId="66">#REF!</definedName>
    <definedName name="drain_trap">#REF!</definedName>
    <definedName name="DRAW" localSheetId="70">#REF!</definedName>
    <definedName name="DRAW" localSheetId="52">#REF!</definedName>
    <definedName name="DRAW" localSheetId="58">#REF!</definedName>
    <definedName name="DRAW" localSheetId="57">#REF!</definedName>
    <definedName name="DRAW" localSheetId="64">#REF!</definedName>
    <definedName name="DRAW" localSheetId="67">#REF!</definedName>
    <definedName name="DRAW" localSheetId="65">#REF!</definedName>
    <definedName name="DRAW" localSheetId="68">#REF!</definedName>
    <definedName name="DRAW" localSheetId="71">#REF!</definedName>
    <definedName name="DRAW" localSheetId="44">#REF!</definedName>
    <definedName name="DRAW" localSheetId="45">#REF!</definedName>
    <definedName name="DRAW" localSheetId="27">#REF!</definedName>
    <definedName name="DRAW" localSheetId="28">#REF!</definedName>
    <definedName name="DRAW" localSheetId="29">#REF!</definedName>
    <definedName name="DRAW" localSheetId="66">#REF!</definedName>
    <definedName name="DRAW">#REF!</definedName>
    <definedName name="dsfdfADF" localSheetId="70">#REF!</definedName>
    <definedName name="dsfdfADF" localSheetId="52">#REF!</definedName>
    <definedName name="dsfdfADF" localSheetId="58">#REF!</definedName>
    <definedName name="dsfdfADF" localSheetId="57">#REF!</definedName>
    <definedName name="dsfdfADF" localSheetId="64">#REF!</definedName>
    <definedName name="dsfdfADF" localSheetId="67">#REF!</definedName>
    <definedName name="dsfdfADF" localSheetId="65">#REF!</definedName>
    <definedName name="dsfdfADF" localSheetId="68">#REF!</definedName>
    <definedName name="dsfdfADF" localSheetId="71">#REF!</definedName>
    <definedName name="dsfdfADF" localSheetId="44">#REF!</definedName>
    <definedName name="dsfdfADF" localSheetId="45">#REF!</definedName>
    <definedName name="dsfdfADF" localSheetId="48">#REF!</definedName>
    <definedName name="dsfdfADF" localSheetId="27">#REF!</definedName>
    <definedName name="dsfdfADF" localSheetId="28">#REF!</definedName>
    <definedName name="dsfdfADF" localSheetId="29">#REF!</definedName>
    <definedName name="dsfdfADF" localSheetId="66">#REF!</definedName>
    <definedName name="dsfdfADF">#REF!</definedName>
    <definedName name="dual_plate_check" localSheetId="70">#REF!</definedName>
    <definedName name="dual_plate_check" localSheetId="52">#REF!</definedName>
    <definedName name="dual_plate_check" localSheetId="58">#REF!</definedName>
    <definedName name="dual_plate_check" localSheetId="57">#REF!</definedName>
    <definedName name="dual_plate_check" localSheetId="64">#REF!</definedName>
    <definedName name="dual_plate_check" localSheetId="67">#REF!</definedName>
    <definedName name="dual_plate_check" localSheetId="65">#REF!</definedName>
    <definedName name="dual_plate_check" localSheetId="68">#REF!</definedName>
    <definedName name="dual_plate_check" localSheetId="71">#REF!</definedName>
    <definedName name="dual_plate_check" localSheetId="44">#REF!</definedName>
    <definedName name="dual_plate_check" localSheetId="45">#REF!</definedName>
    <definedName name="dual_plate_check" localSheetId="27">#REF!</definedName>
    <definedName name="dual_plate_check" localSheetId="28">#REF!</definedName>
    <definedName name="dual_plate_check" localSheetId="29">#REF!</definedName>
    <definedName name="dual_plate_check" localSheetId="66">#REF!</definedName>
    <definedName name="dual_plate_check">#REF!</definedName>
    <definedName name="dumppr" localSheetId="70">#REF!</definedName>
    <definedName name="dumppr" localSheetId="52">#REF!</definedName>
    <definedName name="dumppr" localSheetId="58">#REF!</definedName>
    <definedName name="dumppr" localSheetId="57">#REF!</definedName>
    <definedName name="dumppr" localSheetId="64">#REF!</definedName>
    <definedName name="dumppr" localSheetId="67">#REF!</definedName>
    <definedName name="dumppr" localSheetId="65">#REF!</definedName>
    <definedName name="dumppr" localSheetId="68">#REF!</definedName>
    <definedName name="dumppr" localSheetId="71">#REF!</definedName>
    <definedName name="dumppr" localSheetId="44">#REF!</definedName>
    <definedName name="dumppr" localSheetId="45">#REF!</definedName>
    <definedName name="dumppr" localSheetId="27">#REF!</definedName>
    <definedName name="dumppr" localSheetId="28">#REF!</definedName>
    <definedName name="dumppr" localSheetId="29">#REF!</definedName>
    <definedName name="dumppr" localSheetId="66">#REF!</definedName>
    <definedName name="dumppr">#REF!</definedName>
    <definedName name="duplex_strainer" localSheetId="70">#REF!</definedName>
    <definedName name="duplex_strainer" localSheetId="52">#REF!</definedName>
    <definedName name="duplex_strainer" localSheetId="58">#REF!</definedName>
    <definedName name="duplex_strainer" localSheetId="57">#REF!</definedName>
    <definedName name="duplex_strainer" localSheetId="64">#REF!</definedName>
    <definedName name="duplex_strainer" localSheetId="67">#REF!</definedName>
    <definedName name="duplex_strainer" localSheetId="65">#REF!</definedName>
    <definedName name="duplex_strainer" localSheetId="68">#REF!</definedName>
    <definedName name="duplex_strainer" localSheetId="71">#REF!</definedName>
    <definedName name="duplex_strainer" localSheetId="44">#REF!</definedName>
    <definedName name="duplex_strainer" localSheetId="45">#REF!</definedName>
    <definedName name="duplex_strainer" localSheetId="27">#REF!</definedName>
    <definedName name="duplex_strainer" localSheetId="28">#REF!</definedName>
    <definedName name="duplex_strainer" localSheetId="29">#REF!</definedName>
    <definedName name="duplex_strainer" localSheetId="66">#REF!</definedName>
    <definedName name="duplex_strainer">#REF!</definedName>
    <definedName name="dw" localSheetId="140" hidden="1">{"'Sheet1'!$L$16"}</definedName>
    <definedName name="dw" localSheetId="58" hidden="1">{"'Sheet1'!$L$16"}</definedName>
    <definedName name="dw" localSheetId="56" hidden="1">{"'Sheet1'!$L$16"}</definedName>
    <definedName name="dw" localSheetId="57" hidden="1">{"'Sheet1'!$L$16"}</definedName>
    <definedName name="dw" localSheetId="67" hidden="1">{"'Sheet1'!$L$16"}</definedName>
    <definedName name="dw" localSheetId="65" hidden="1">{"'Sheet1'!$L$16"}</definedName>
    <definedName name="dw" localSheetId="68" hidden="1">{"'Sheet1'!$L$16"}</definedName>
    <definedName name="dw" localSheetId="71" hidden="1">{"'Sheet1'!$L$16"}</definedName>
    <definedName name="dw" localSheetId="17" hidden="1">{"'Sheet1'!$L$16"}</definedName>
    <definedName name="dw" localSheetId="27" hidden="1">{"'Sheet1'!$L$16"}</definedName>
    <definedName name="dw" localSheetId="72" hidden="1">{"'Sheet1'!$L$16"}</definedName>
    <definedName name="dw" localSheetId="28" hidden="1">{"'Sheet1'!$L$16"}</definedName>
    <definedName name="dw" localSheetId="29" hidden="1">{"'Sheet1'!$L$16"}</definedName>
    <definedName name="dw" hidden="1">{"'Sheet1'!$L$16"}</definedName>
    <definedName name="DWG_NO" localSheetId="70">'[13]해외 기술훈련비 (합계)'!#REF!</definedName>
    <definedName name="DWG_NO" localSheetId="52">'[13]해외 기술훈련비 (합계)'!#REF!</definedName>
    <definedName name="DWG_NO" localSheetId="58">'[13]해외 기술훈련비 (합계)'!#REF!</definedName>
    <definedName name="DWG_NO" localSheetId="57">'[13]해외 기술훈련비 (합계)'!#REF!</definedName>
    <definedName name="DWG_NO" localSheetId="64">'[13]해외 기술훈련비 (합계)'!#REF!</definedName>
    <definedName name="DWG_NO" localSheetId="67">'[13]해외 기술훈련비 (합계)'!#REF!</definedName>
    <definedName name="DWG_NO" localSheetId="65">'[13]해외 기술훈련비 (합계)'!#REF!</definedName>
    <definedName name="DWG_NO" localSheetId="68">'[13]해외 기술훈련비 (합계)'!#REF!</definedName>
    <definedName name="DWG_NO" localSheetId="71">'[13]해외 기술훈련비 (합계)'!#REF!</definedName>
    <definedName name="DWG_NO" localSheetId="44">'[13]해외 기술훈련비 (합계)'!#REF!</definedName>
    <definedName name="DWG_NO" localSheetId="45">'[13]해외 기술훈련비 (합계)'!#REF!</definedName>
    <definedName name="DWG_NO" localSheetId="27">'[13]해외 기술훈련비 (합계)'!#REF!</definedName>
    <definedName name="DWG_NO" localSheetId="28">'[13]해외 기술훈련비 (합계)'!#REF!</definedName>
    <definedName name="DWG_NO" localSheetId="29">'[13]해외 기술훈련비 (합계)'!#REF!</definedName>
    <definedName name="DWG_NO" localSheetId="66">'[13]해외 기술훈련비 (합계)'!#REF!</definedName>
    <definedName name="DWG_NO">'[13]해외 기술훈련비 (합계)'!#REF!</definedName>
    <definedName name="DWGNO" localSheetId="70">'[13]해외 기술훈련비 (합계)'!#REF!</definedName>
    <definedName name="DWGNO" localSheetId="52">'[13]해외 기술훈련비 (합계)'!#REF!</definedName>
    <definedName name="DWGNO" localSheetId="58">'[13]해외 기술훈련비 (합계)'!#REF!</definedName>
    <definedName name="DWGNO" localSheetId="57">'[13]해외 기술훈련비 (합계)'!#REF!</definedName>
    <definedName name="DWGNO" localSheetId="64">'[13]해외 기술훈련비 (합계)'!#REF!</definedName>
    <definedName name="DWGNO" localSheetId="67">'[13]해외 기술훈련비 (합계)'!#REF!</definedName>
    <definedName name="DWGNO" localSheetId="65">'[13]해외 기술훈련비 (합계)'!#REF!</definedName>
    <definedName name="DWGNO" localSheetId="68">'[13]해외 기술훈련비 (합계)'!#REF!</definedName>
    <definedName name="DWGNO" localSheetId="71">'[13]해외 기술훈련비 (합계)'!#REF!</definedName>
    <definedName name="DWGNO" localSheetId="44">'[13]해외 기술훈련비 (합계)'!#REF!</definedName>
    <definedName name="DWGNO" localSheetId="45">'[13]해외 기술훈련비 (합계)'!#REF!</definedName>
    <definedName name="DWGNO" localSheetId="27">'[13]해외 기술훈련비 (합계)'!#REF!</definedName>
    <definedName name="DWGNO" localSheetId="28">'[13]해외 기술훈련비 (합계)'!#REF!</definedName>
    <definedName name="DWGNO" localSheetId="29">'[13]해외 기술훈련비 (합계)'!#REF!</definedName>
    <definedName name="DWGNO" localSheetId="66">'[13]해외 기술훈련비 (합계)'!#REF!</definedName>
    <definedName name="DWGNO">'[13]해외 기술훈련비 (합계)'!#REF!</definedName>
    <definedName name="DWG대장_DWG_대장__2__List" localSheetId="70">#REF!</definedName>
    <definedName name="DWG대장_DWG_대장__2__List" localSheetId="52">#REF!</definedName>
    <definedName name="DWG대장_DWG_대장__2__List" localSheetId="58">#REF!</definedName>
    <definedName name="DWG대장_DWG_대장__2__List" localSheetId="56">#REF!</definedName>
    <definedName name="DWG대장_DWG_대장__2__List" localSheetId="57">#REF!</definedName>
    <definedName name="DWG대장_DWG_대장__2__List" localSheetId="64">#REF!</definedName>
    <definedName name="DWG대장_DWG_대장__2__List" localSheetId="67">#REF!</definedName>
    <definedName name="DWG대장_DWG_대장__2__List" localSheetId="65">#REF!</definedName>
    <definedName name="DWG대장_DWG_대장__2__List" localSheetId="68">#REF!</definedName>
    <definedName name="DWG대장_DWG_대장__2__List" localSheetId="71">#REF!</definedName>
    <definedName name="DWG대장_DWG_대장__2__List" localSheetId="44">#REF!</definedName>
    <definedName name="DWG대장_DWG_대장__2__List" localSheetId="45">#REF!</definedName>
    <definedName name="DWG대장_DWG_대장__2__List" localSheetId="17">#REF!</definedName>
    <definedName name="DWG대장_DWG_대장__2__List" localSheetId="27">#REF!</definedName>
    <definedName name="DWG대장_DWG_대장__2__List" localSheetId="72">#REF!</definedName>
    <definedName name="DWG대장_DWG_대장__2__List" localSheetId="28">#REF!</definedName>
    <definedName name="DWG대장_DWG_대장__2__List" localSheetId="29">#REF!</definedName>
    <definedName name="DWG대장_DWG_대장__2__List" localSheetId="66">#REF!</definedName>
    <definedName name="DWG대장_DWG_대장__2__List">#REF!</definedName>
    <definedName name="DXXX">[21]현장지지물물량!$A$1:$IV$8</definedName>
    <definedName name="dxzxxx" localSheetId="70">#REF!,#REF!</definedName>
    <definedName name="dxzxxx" localSheetId="52">#REF!,#REF!</definedName>
    <definedName name="dxzxxx" localSheetId="58">#REF!,#REF!</definedName>
    <definedName name="dxzxxx" localSheetId="57">#REF!,#REF!</definedName>
    <definedName name="dxzxxx" localSheetId="64">#REF!,#REF!</definedName>
    <definedName name="dxzxxx" localSheetId="67">#REF!,#REF!</definedName>
    <definedName name="dxzxxx" localSheetId="65">#REF!,#REF!</definedName>
    <definedName name="dxzxxx" localSheetId="68">#REF!,#REF!</definedName>
    <definedName name="dxzxxx" localSheetId="71">#REF!,#REF!</definedName>
    <definedName name="dxzxxx" localSheetId="44">#REF!,#REF!</definedName>
    <definedName name="dxzxxx" localSheetId="45">#REF!,#REF!</definedName>
    <definedName name="dxzxxx" localSheetId="48">#REF!,#REF!</definedName>
    <definedName name="dxzxxx" localSheetId="17">#REF!,#REF!</definedName>
    <definedName name="dxzxxx" localSheetId="27">#REF!,#REF!</definedName>
    <definedName name="dxzxxx" localSheetId="72">#REF!,#REF!</definedName>
    <definedName name="dxzxxx" localSheetId="28">#REF!,#REF!</definedName>
    <definedName name="dxzxxx" localSheetId="29">#REF!,#REF!</definedName>
    <definedName name="dxzxxx" localSheetId="66">#REF!,#REF!</definedName>
    <definedName name="dxzxxx">#REF!,#REF!</definedName>
    <definedName name="e" localSheetId="140">#N/A</definedName>
    <definedName name="e" localSheetId="142">#N/A</definedName>
    <definedName name="e">[12]Notes!$A$31</definedName>
    <definedName name="E_315MVA_Addl_Page1" localSheetId="70">#REF!</definedName>
    <definedName name="E_315MVA_Addl_Page1" localSheetId="20">#REF!</definedName>
    <definedName name="E_315MVA_Addl_Page1" localSheetId="15">#REF!</definedName>
    <definedName name="E_315MVA_Addl_Page1" localSheetId="52">#REF!</definedName>
    <definedName name="E_315MVA_Addl_Page1" localSheetId="58">#REF!</definedName>
    <definedName name="E_315MVA_Addl_Page1" localSheetId="57">#REF!</definedName>
    <definedName name="E_315MVA_Addl_Page1" localSheetId="64">#REF!</definedName>
    <definedName name="E_315MVA_Addl_Page1" localSheetId="67">#REF!</definedName>
    <definedName name="E_315MVA_Addl_Page1" localSheetId="65">#REF!</definedName>
    <definedName name="E_315MVA_Addl_Page1" localSheetId="30">#REF!</definedName>
    <definedName name="E_315MVA_Addl_Page1" localSheetId="68">#REF!</definedName>
    <definedName name="E_315MVA_Addl_Page1" localSheetId="71">#REF!</definedName>
    <definedName name="E_315MVA_Addl_Page1" localSheetId="44">#REF!</definedName>
    <definedName name="E_315MVA_Addl_Page1" localSheetId="45">#REF!</definedName>
    <definedName name="E_315MVA_Addl_Page1" localSheetId="48">#REF!</definedName>
    <definedName name="E_315MVA_Addl_Page1" localSheetId="17">#REF!</definedName>
    <definedName name="E_315MVA_Addl_Page1" localSheetId="27">#REF!</definedName>
    <definedName name="E_315MVA_Addl_Page1" localSheetId="72">#REF!</definedName>
    <definedName name="E_315MVA_Addl_Page1" localSheetId="28">#REF!</definedName>
    <definedName name="E_315MVA_Addl_Page1" localSheetId="29">#REF!</definedName>
    <definedName name="E_315MVA_Addl_Page1" localSheetId="66">#REF!</definedName>
    <definedName name="E_315MVA_Addl_Page1">#REF!</definedName>
    <definedName name="E_315MVA_Addl_Page2" localSheetId="70">#REF!</definedName>
    <definedName name="E_315MVA_Addl_Page2" localSheetId="20">#REF!</definedName>
    <definedName name="E_315MVA_Addl_Page2" localSheetId="15">#REF!</definedName>
    <definedName name="E_315MVA_Addl_Page2" localSheetId="52">#REF!</definedName>
    <definedName name="E_315MVA_Addl_Page2" localSheetId="58">#REF!</definedName>
    <definedName name="E_315MVA_Addl_Page2" localSheetId="57">#REF!</definedName>
    <definedName name="E_315MVA_Addl_Page2" localSheetId="64">#REF!</definedName>
    <definedName name="E_315MVA_Addl_Page2" localSheetId="67">#REF!</definedName>
    <definedName name="E_315MVA_Addl_Page2" localSheetId="65">#REF!</definedName>
    <definedName name="E_315MVA_Addl_Page2" localSheetId="30">#REF!</definedName>
    <definedName name="E_315MVA_Addl_Page2" localSheetId="68">#REF!</definedName>
    <definedName name="E_315MVA_Addl_Page2" localSheetId="71">#REF!</definedName>
    <definedName name="E_315MVA_Addl_Page2" localSheetId="44">#REF!</definedName>
    <definedName name="E_315MVA_Addl_Page2" localSheetId="45">#REF!</definedName>
    <definedName name="E_315MVA_Addl_Page2" localSheetId="48">#REF!</definedName>
    <definedName name="E_315MVA_Addl_Page2" localSheetId="27">#REF!</definedName>
    <definedName name="E_315MVA_Addl_Page2" localSheetId="28">#REF!</definedName>
    <definedName name="E_315MVA_Addl_Page2" localSheetId="29">#REF!</definedName>
    <definedName name="E_315MVA_Addl_Page2" localSheetId="66">#REF!</definedName>
    <definedName name="E_315MVA_Addl_Page2">#REF!</definedName>
    <definedName name="eCIiIiÞA_Iª">#N/A</definedName>
    <definedName name="EE" localSheetId="70">#REF!</definedName>
    <definedName name="EE" localSheetId="52">#REF!</definedName>
    <definedName name="EE" localSheetId="58">#REF!</definedName>
    <definedName name="EE" localSheetId="56">#REF!</definedName>
    <definedName name="EE" localSheetId="57">#REF!</definedName>
    <definedName name="EE" localSheetId="64">#REF!</definedName>
    <definedName name="EE" localSheetId="67">#REF!</definedName>
    <definedName name="EE" localSheetId="65">#REF!</definedName>
    <definedName name="EE" localSheetId="68">#REF!</definedName>
    <definedName name="EE" localSheetId="71">#REF!</definedName>
    <definedName name="EE" localSheetId="44">#REF!</definedName>
    <definedName name="EE" localSheetId="45">#REF!</definedName>
    <definedName name="EE" localSheetId="17">#REF!</definedName>
    <definedName name="EE" localSheetId="27">#REF!</definedName>
    <definedName name="EE" localSheetId="72">#REF!</definedName>
    <definedName name="EE" localSheetId="28">#REF!</definedName>
    <definedName name="EE" localSheetId="29">#REF!</definedName>
    <definedName name="EE" localSheetId="66">#REF!</definedName>
    <definedName name="EE">#REF!</definedName>
    <definedName name="EEE" localSheetId="70">#REF!</definedName>
    <definedName name="EEE" localSheetId="52">#REF!</definedName>
    <definedName name="EEE" localSheetId="58">#REF!</definedName>
    <definedName name="EEE" localSheetId="57">#REF!</definedName>
    <definedName name="EEE" localSheetId="64">#REF!</definedName>
    <definedName name="EEE" localSheetId="67">#REF!</definedName>
    <definedName name="EEE" localSheetId="65">#REF!</definedName>
    <definedName name="EEE" localSheetId="68">#REF!</definedName>
    <definedName name="EEE" localSheetId="71">#REF!</definedName>
    <definedName name="EEE" localSheetId="44">#REF!</definedName>
    <definedName name="EEE" localSheetId="45">#REF!</definedName>
    <definedName name="EEE" localSheetId="17">#REF!</definedName>
    <definedName name="EEE" localSheetId="27">#REF!</definedName>
    <definedName name="EEE" localSheetId="72">#REF!</definedName>
    <definedName name="EEE" localSheetId="28">#REF!</definedName>
    <definedName name="EEE" localSheetId="29">#REF!</definedName>
    <definedName name="EEE" localSheetId="66">#REF!</definedName>
    <definedName name="EEE">#REF!</definedName>
    <definedName name="eeee">#N/A</definedName>
    <definedName name="efgvfdv" localSheetId="70">[12]BEST_17112006!#REF!</definedName>
    <definedName name="efgvfdv" localSheetId="143">[12]BEST_17112006!#REF!</definedName>
    <definedName name="efgvfdv" localSheetId="52">[12]BEST_17112006!#REF!</definedName>
    <definedName name="efgvfdv" localSheetId="58">[12]BEST_17112006!#REF!</definedName>
    <definedName name="efgvfdv" localSheetId="57">[12]BEST_17112006!#REF!</definedName>
    <definedName name="efgvfdv" localSheetId="64">[12]BEST_17112006!#REF!</definedName>
    <definedName name="efgvfdv" localSheetId="67">[12]BEST_17112006!#REF!</definedName>
    <definedName name="efgvfdv" localSheetId="65">[12]BEST_17112006!#REF!</definedName>
    <definedName name="efgvfdv" localSheetId="68">[12]BEST_17112006!#REF!</definedName>
    <definedName name="efgvfdv" localSheetId="71">[12]BEST_17112006!#REF!</definedName>
    <definedName name="efgvfdv" localSheetId="44">[12]BEST_17112006!#REF!</definedName>
    <definedName name="efgvfdv" localSheetId="45">[12]BEST_17112006!#REF!</definedName>
    <definedName name="efgvfdv" localSheetId="17">[12]BEST_17112006!#REF!</definedName>
    <definedName name="efgvfdv" localSheetId="27">[12]BEST_17112006!#REF!</definedName>
    <definedName name="efgvfdv" localSheetId="72">[12]BEST_17112006!#REF!</definedName>
    <definedName name="efgvfdv" localSheetId="28">[12]BEST_17112006!#REF!</definedName>
    <definedName name="efgvfdv" localSheetId="29">[12]BEST_17112006!#REF!</definedName>
    <definedName name="efgvfdv" localSheetId="66">[12]BEST_17112006!#REF!</definedName>
    <definedName name="efgvfdv">[12]BEST_17112006!#REF!</definedName>
    <definedName name="egtdgtgxdg" localSheetId="70">#REF!</definedName>
    <definedName name="egtdgtgxdg" localSheetId="52">#REF!</definedName>
    <definedName name="egtdgtgxdg" localSheetId="58">#REF!</definedName>
    <definedName name="egtdgtgxdg" localSheetId="57">#REF!</definedName>
    <definedName name="egtdgtgxdg" localSheetId="64">#REF!</definedName>
    <definedName name="egtdgtgxdg" localSheetId="67">#REF!</definedName>
    <definedName name="egtdgtgxdg" localSheetId="65">#REF!</definedName>
    <definedName name="egtdgtgxdg" localSheetId="68">#REF!</definedName>
    <definedName name="egtdgtgxdg" localSheetId="71">#REF!</definedName>
    <definedName name="egtdgtgxdg" localSheetId="44">#REF!</definedName>
    <definedName name="egtdgtgxdg" localSheetId="45">#REF!</definedName>
    <definedName name="egtdgtgxdg" localSheetId="48">#REF!</definedName>
    <definedName name="egtdgtgxdg" localSheetId="17">#REF!</definedName>
    <definedName name="egtdgtgxdg" localSheetId="27">#REF!</definedName>
    <definedName name="egtdgtgxdg" localSheetId="72">#REF!</definedName>
    <definedName name="egtdgtgxdg" localSheetId="28">#REF!</definedName>
    <definedName name="egtdgtgxdg" localSheetId="29">#REF!</definedName>
    <definedName name="egtdgtgxdg" localSheetId="66">#REF!</definedName>
    <definedName name="egtdgtgxdg">#REF!</definedName>
    <definedName name="ELE.EQUIP_ES_TA" localSheetId="70">#REF!</definedName>
    <definedName name="ELE.EQUIP_ES_TA" localSheetId="143">#REF!</definedName>
    <definedName name="ELE.EQUIP_ES_TA" localSheetId="52">#REF!</definedName>
    <definedName name="ELE.EQUIP_ES_TA" localSheetId="58">#REF!</definedName>
    <definedName name="ELE.EQUIP_ES_TA" localSheetId="57">#REF!</definedName>
    <definedName name="ELE.EQUIP_ES_TA" localSheetId="64">#REF!</definedName>
    <definedName name="ELE.EQUIP_ES_TA" localSheetId="67">#REF!</definedName>
    <definedName name="ELE.EQUIP_ES_TA" localSheetId="65">#REF!</definedName>
    <definedName name="ELE.EQUIP_ES_TA" localSheetId="68">#REF!</definedName>
    <definedName name="ELE.EQUIP_ES_TA" localSheetId="71">#REF!</definedName>
    <definedName name="ELE.EQUIP_ES_TA" localSheetId="44">#REF!</definedName>
    <definedName name="ELE.EQUIP_ES_TA" localSheetId="45">#REF!</definedName>
    <definedName name="ELE.EQUIP_ES_TA" localSheetId="27">#REF!</definedName>
    <definedName name="ELE.EQUIP_ES_TA" localSheetId="28">#REF!</definedName>
    <definedName name="ELE.EQUIP_ES_TA" localSheetId="29">#REF!</definedName>
    <definedName name="ELE.EQUIP_ES_TA" localSheetId="66">#REF!</definedName>
    <definedName name="ELE.EQUIP_ES_TA">#REF!</definedName>
    <definedName name="ELEC.EQUIP_ES_TD" localSheetId="70">#REF!</definedName>
    <definedName name="ELEC.EQUIP_ES_TD" localSheetId="143">#REF!</definedName>
    <definedName name="ELEC.EQUIP_ES_TD" localSheetId="52">#REF!</definedName>
    <definedName name="ELEC.EQUIP_ES_TD" localSheetId="58">#REF!</definedName>
    <definedName name="ELEC.EQUIP_ES_TD" localSheetId="56">#REF!</definedName>
    <definedName name="ELEC.EQUIP_ES_TD" localSheetId="57">#REF!</definedName>
    <definedName name="ELEC.EQUIP_ES_TD" localSheetId="64">#REF!</definedName>
    <definedName name="ELEC.EQUIP_ES_TD" localSheetId="67">#REF!</definedName>
    <definedName name="ELEC.EQUIP_ES_TD" localSheetId="65">#REF!</definedName>
    <definedName name="ELEC.EQUIP_ES_TD" localSheetId="68">#REF!</definedName>
    <definedName name="ELEC.EQUIP_ES_TD" localSheetId="71">#REF!</definedName>
    <definedName name="ELEC.EQUIP_ES_TD" localSheetId="44">#REF!</definedName>
    <definedName name="ELEC.EQUIP_ES_TD" localSheetId="45">#REF!</definedName>
    <definedName name="ELEC.EQUIP_ES_TD" localSheetId="17">#REF!</definedName>
    <definedName name="ELEC.EQUIP_ES_TD" localSheetId="27">#REF!</definedName>
    <definedName name="ELEC.EQUIP_ES_TD" localSheetId="128">'[26]90% Write off'!#REF!</definedName>
    <definedName name="ELEC.EQUIP_ES_TD" localSheetId="28">#REF!</definedName>
    <definedName name="ELEC.EQUIP_ES_TD" localSheetId="29">#REF!</definedName>
    <definedName name="ELEC.EQUIP_ES_TD" localSheetId="66">#REF!</definedName>
    <definedName name="ELEC.EQUIP_ES_TD">#REF!</definedName>
    <definedName name="ENR_BEST_BEF" localSheetId="70">#REF!</definedName>
    <definedName name="ENR_BEST_BEF" localSheetId="52">#REF!</definedName>
    <definedName name="ENR_BEST_BEF" localSheetId="58">#REF!</definedName>
    <definedName name="ENR_BEST_BEF" localSheetId="57">#REF!</definedName>
    <definedName name="ENR_BEST_BEF" localSheetId="64">#REF!</definedName>
    <definedName name="ENR_BEST_BEF" localSheetId="67">#REF!</definedName>
    <definedName name="ENR_BEST_BEF" localSheetId="65">#REF!</definedName>
    <definedName name="ENR_BEST_BEF" localSheetId="68">#REF!</definedName>
    <definedName name="ENR_BEST_BEF" localSheetId="71">#REF!</definedName>
    <definedName name="ENR_BEST_BEF" localSheetId="44">#REF!</definedName>
    <definedName name="ENR_BEST_BEF" localSheetId="45">#REF!</definedName>
    <definedName name="ENR_BEST_BEF" localSheetId="17">#REF!</definedName>
    <definedName name="ENR_BEST_BEF" localSheetId="27">#REF!</definedName>
    <definedName name="ENR_BEST_BEF" localSheetId="72">#REF!</definedName>
    <definedName name="ENR_BEST_BEF" localSheetId="28">#REF!</definedName>
    <definedName name="ENR_BEST_BEF" localSheetId="29">#REF!</definedName>
    <definedName name="ENR_BEST_BEF" localSheetId="66">#REF!</definedName>
    <definedName name="ENR_BEST_BEF">#REF!</definedName>
    <definedName name="ENR_BSES_AFT" localSheetId="70">#REF!</definedName>
    <definedName name="ENR_BSES_AFT" localSheetId="52">#REF!</definedName>
    <definedName name="ENR_BSES_AFT" localSheetId="58">#REF!</definedName>
    <definedName name="ENR_BSES_AFT" localSheetId="57">#REF!</definedName>
    <definedName name="ENR_BSES_AFT" localSheetId="64">#REF!</definedName>
    <definedName name="ENR_BSES_AFT" localSheetId="67">#REF!</definedName>
    <definedName name="ENR_BSES_AFT" localSheetId="65">#REF!</definedName>
    <definedName name="ENR_BSES_AFT" localSheetId="68">#REF!</definedName>
    <definedName name="ENR_BSES_AFT" localSheetId="71">#REF!</definedName>
    <definedName name="ENR_BSES_AFT" localSheetId="44">#REF!</definedName>
    <definedName name="ENR_BSES_AFT" localSheetId="45">#REF!</definedName>
    <definedName name="ENR_BSES_AFT" localSheetId="17">#REF!</definedName>
    <definedName name="ENR_BSES_AFT" localSheetId="27">#REF!</definedName>
    <definedName name="ENR_BSES_AFT" localSheetId="72">#REF!</definedName>
    <definedName name="ENR_BSES_AFT" localSheetId="28">#REF!</definedName>
    <definedName name="ENR_BSES_AFT" localSheetId="29">#REF!</definedName>
    <definedName name="ENR_BSES_AFT" localSheetId="66">#REF!</definedName>
    <definedName name="ENR_BSES_AFT">#REF!</definedName>
    <definedName name="ENR_BSES_BEF" localSheetId="70">#REF!</definedName>
    <definedName name="ENR_BSES_BEF" localSheetId="52">#REF!</definedName>
    <definedName name="ENR_BSES_BEF" localSheetId="58">#REF!</definedName>
    <definedName name="ENR_BSES_BEF" localSheetId="57">#REF!</definedName>
    <definedName name="ENR_BSES_BEF" localSheetId="64">#REF!</definedName>
    <definedName name="ENR_BSES_BEF" localSheetId="67">#REF!</definedName>
    <definedName name="ENR_BSES_BEF" localSheetId="65">#REF!</definedName>
    <definedName name="ENR_BSES_BEF" localSheetId="68">#REF!</definedName>
    <definedName name="ENR_BSES_BEF" localSheetId="71">#REF!</definedName>
    <definedName name="ENR_BSES_BEF" localSheetId="44">#REF!</definedName>
    <definedName name="ENR_BSES_BEF" localSheetId="45">#REF!</definedName>
    <definedName name="ENR_BSES_BEF" localSheetId="27">#REF!</definedName>
    <definedName name="ENR_BSES_BEF" localSheetId="28">#REF!</definedName>
    <definedName name="ENR_BSES_BEF" localSheetId="29">#REF!</definedName>
    <definedName name="ENR_BSES_BEF" localSheetId="66">#REF!</definedName>
    <definedName name="ENR_BSES_BEF">#REF!</definedName>
    <definedName name="ENR_BSES220_BEF" localSheetId="70">#REF!</definedName>
    <definedName name="ENR_BSES220_BEF" localSheetId="52">#REF!</definedName>
    <definedName name="ENR_BSES220_BEF" localSheetId="58">#REF!</definedName>
    <definedName name="ENR_BSES220_BEF" localSheetId="57">#REF!</definedName>
    <definedName name="ENR_BSES220_BEF" localSheetId="64">#REF!</definedName>
    <definedName name="ENR_BSES220_BEF" localSheetId="67">#REF!</definedName>
    <definedName name="ENR_BSES220_BEF" localSheetId="65">#REF!</definedName>
    <definedName name="ENR_BSES220_BEF" localSheetId="68">#REF!</definedName>
    <definedName name="ENR_BSES220_BEF" localSheetId="71">#REF!</definedName>
    <definedName name="ENR_BSES220_BEF" localSheetId="44">#REF!</definedName>
    <definedName name="ENR_BSES220_BEF" localSheetId="45">#REF!</definedName>
    <definedName name="ENR_BSES220_BEF" localSheetId="27">#REF!</definedName>
    <definedName name="ENR_BSES220_BEF" localSheetId="28">#REF!</definedName>
    <definedName name="ENR_BSES220_BEF" localSheetId="29">#REF!</definedName>
    <definedName name="ENR_BSES220_BEF" localSheetId="66">#REF!</definedName>
    <definedName name="ENR_BSES220_BEF">#REF!</definedName>
    <definedName name="ENR_TIR_BEF" localSheetId="70">#REF!</definedName>
    <definedName name="ENR_TIR_BEF" localSheetId="52">#REF!</definedName>
    <definedName name="ENR_TIR_BEF" localSheetId="58">#REF!</definedName>
    <definedName name="ENR_TIR_BEF" localSheetId="57">#REF!</definedName>
    <definedName name="ENR_TIR_BEF" localSheetId="64">#REF!</definedName>
    <definedName name="ENR_TIR_BEF" localSheetId="67">#REF!</definedName>
    <definedName name="ENR_TIR_BEF" localSheetId="65">#REF!</definedName>
    <definedName name="ENR_TIR_BEF" localSheetId="68">#REF!</definedName>
    <definedName name="ENR_TIR_BEF" localSheetId="71">#REF!</definedName>
    <definedName name="ENR_TIR_BEF" localSheetId="44">#REF!</definedName>
    <definedName name="ENR_TIR_BEF" localSheetId="45">#REF!</definedName>
    <definedName name="ENR_TIR_BEF" localSheetId="27">#REF!</definedName>
    <definedName name="ENR_TIR_BEF" localSheetId="28">#REF!</definedName>
    <definedName name="ENR_TIR_BEF" localSheetId="29">#REF!</definedName>
    <definedName name="ENR_TIR_BEF" localSheetId="66">#REF!</definedName>
    <definedName name="ENR_TIR_BEF">#REF!</definedName>
    <definedName name="EOL" localSheetId="70">#REF!</definedName>
    <definedName name="EOL" localSheetId="52">#REF!</definedName>
    <definedName name="EOL" localSheetId="58">#REF!</definedName>
    <definedName name="EOL" localSheetId="57">#REF!</definedName>
    <definedName name="EOL" localSheetId="64">#REF!</definedName>
    <definedName name="EOL" localSheetId="67">#REF!</definedName>
    <definedName name="EOL" localSheetId="65">#REF!</definedName>
    <definedName name="EOL" localSheetId="68">#REF!</definedName>
    <definedName name="EOL" localSheetId="71">#REF!</definedName>
    <definedName name="EOL" localSheetId="44">#REF!</definedName>
    <definedName name="EOL" localSheetId="45">#REF!</definedName>
    <definedName name="EOL" localSheetId="27">#REF!</definedName>
    <definedName name="EOL" localSheetId="28">#REF!</definedName>
    <definedName name="EOL" localSheetId="29">#REF!</definedName>
    <definedName name="EOL" localSheetId="66">#REF!</definedName>
    <definedName name="EOL">#REF!</definedName>
    <definedName name="ER" localSheetId="70">[33]!GUESTPNT</definedName>
    <definedName name="ER" localSheetId="52">[33]!GUESTPNT</definedName>
    <definedName name="ER" localSheetId="58">[33]!GUESTPNT</definedName>
    <definedName name="ER" localSheetId="57">[33]!GUESTPNT</definedName>
    <definedName name="ER" localSheetId="64">[33]!GUESTPNT</definedName>
    <definedName name="ER" localSheetId="67">[33]!GUESTPNT</definedName>
    <definedName name="ER" localSheetId="65">[33]!GUESTPNT</definedName>
    <definedName name="ER" localSheetId="68">[33]!GUESTPNT</definedName>
    <definedName name="ER" localSheetId="71">[33]!GUESTPNT</definedName>
    <definedName name="ER" localSheetId="44">[33]!GUESTPNT</definedName>
    <definedName name="ER" localSheetId="45">[33]!GUESTPNT</definedName>
    <definedName name="ER" localSheetId="27">[33]!GUESTPNT</definedName>
    <definedName name="ER" localSheetId="28">[33]!GUESTPNT</definedName>
    <definedName name="ER" localSheetId="29">[33]!GUESTPNT</definedName>
    <definedName name="ER" localSheetId="66">[33]!GUESTPNT</definedName>
    <definedName name="ER">[33]!GUESTPNT</definedName>
    <definedName name="ere" localSheetId="70">#REF!</definedName>
    <definedName name="ere" localSheetId="52">#REF!</definedName>
    <definedName name="ere" localSheetId="58">#REF!</definedName>
    <definedName name="ere" localSheetId="56">#REF!</definedName>
    <definedName name="ere" localSheetId="57">#REF!</definedName>
    <definedName name="ere" localSheetId="64">#REF!</definedName>
    <definedName name="ere" localSheetId="67">#REF!</definedName>
    <definedName name="ere" localSheetId="65">#REF!</definedName>
    <definedName name="ere" localSheetId="68">#REF!</definedName>
    <definedName name="ere" localSheetId="71">#REF!</definedName>
    <definedName name="ere" localSheetId="44">#REF!</definedName>
    <definedName name="ere" localSheetId="45">#REF!</definedName>
    <definedName name="ere" localSheetId="17">#REF!</definedName>
    <definedName name="ere" localSheetId="27">#REF!</definedName>
    <definedName name="ere" localSheetId="72">#REF!</definedName>
    <definedName name="ere" localSheetId="28">#REF!</definedName>
    <definedName name="ere" localSheetId="29">#REF!</definedName>
    <definedName name="ere" localSheetId="66">#REF!</definedName>
    <definedName name="ere">#REF!</definedName>
    <definedName name="es" localSheetId="140" hidden="1">{"'Sheet1'!$L$16"}</definedName>
    <definedName name="es" localSheetId="58" hidden="1">{"'Sheet1'!$L$16"}</definedName>
    <definedName name="es" localSheetId="56" hidden="1">{"'Sheet1'!$L$16"}</definedName>
    <definedName name="es" localSheetId="57" hidden="1">{"'Sheet1'!$L$16"}</definedName>
    <definedName name="es" localSheetId="67" hidden="1">{"'Sheet1'!$L$16"}</definedName>
    <definedName name="es" localSheetId="65" hidden="1">{"'Sheet1'!$L$16"}</definedName>
    <definedName name="es" localSheetId="68" hidden="1">{"'Sheet1'!$L$16"}</definedName>
    <definedName name="es" localSheetId="71" hidden="1">{"'Sheet1'!$L$16"}</definedName>
    <definedName name="es" localSheetId="17" hidden="1">{"'Sheet1'!$L$16"}</definedName>
    <definedName name="es" localSheetId="27" hidden="1">{"'Sheet1'!$L$16"}</definedName>
    <definedName name="es" localSheetId="72" hidden="1">{"'Sheet1'!$L$16"}</definedName>
    <definedName name="es" localSheetId="28" hidden="1">{"'Sheet1'!$L$16"}</definedName>
    <definedName name="es" localSheetId="29" hidden="1">{"'Sheet1'!$L$16"}</definedName>
    <definedName name="es" hidden="1">{"'Sheet1'!$L$16"}</definedName>
    <definedName name="ese">[12]BEST_17112006!$C$20</definedName>
    <definedName name="et" localSheetId="140" hidden="1">{"'Sheet1'!$L$16"}</definedName>
    <definedName name="et" localSheetId="58" hidden="1">{"'Sheet1'!$L$16"}</definedName>
    <definedName name="et" localSheetId="56" hidden="1">{"'Sheet1'!$L$16"}</definedName>
    <definedName name="et" localSheetId="57" hidden="1">{"'Sheet1'!$L$16"}</definedName>
    <definedName name="et" localSheetId="67" hidden="1">{"'Sheet1'!$L$16"}</definedName>
    <definedName name="et" localSheetId="65" hidden="1">{"'Sheet1'!$L$16"}</definedName>
    <definedName name="et" localSheetId="68" hidden="1">{"'Sheet1'!$L$16"}</definedName>
    <definedName name="et" localSheetId="71" hidden="1">{"'Sheet1'!$L$16"}</definedName>
    <definedName name="et" localSheetId="17" hidden="1">{"'Sheet1'!$L$16"}</definedName>
    <definedName name="et" localSheetId="27" hidden="1">{"'Sheet1'!$L$16"}</definedName>
    <definedName name="et" localSheetId="72" hidden="1">{"'Sheet1'!$L$16"}</definedName>
    <definedName name="et" localSheetId="28" hidden="1">{"'Sheet1'!$L$16"}</definedName>
    <definedName name="et" localSheetId="29" hidden="1">{"'Sheet1'!$L$16"}</definedName>
    <definedName name="et" hidden="1">{"'Sheet1'!$L$16"}</definedName>
    <definedName name="EW" localSheetId="70">[33]!RTPNT</definedName>
    <definedName name="EW" localSheetId="52">[33]!RTPNT</definedName>
    <definedName name="EW" localSheetId="58">[33]!RTPNT</definedName>
    <definedName name="EW" localSheetId="57">[33]!RTPNT</definedName>
    <definedName name="EW" localSheetId="64">[33]!RTPNT</definedName>
    <definedName name="EW" localSheetId="67">[33]!RTPNT</definedName>
    <definedName name="EW" localSheetId="65">[33]!RTPNT</definedName>
    <definedName name="EW" localSheetId="68">[33]!RTPNT</definedName>
    <definedName name="EW" localSheetId="71">[33]!RTPNT</definedName>
    <definedName name="EW" localSheetId="44">[33]!RTPNT</definedName>
    <definedName name="EW" localSheetId="45">[33]!RTPNT</definedName>
    <definedName name="EW" localSheetId="27">[33]!RTPNT</definedName>
    <definedName name="EW" localSheetId="28">[33]!RTPNT</definedName>
    <definedName name="EW" localSheetId="29">[33]!RTPNT</definedName>
    <definedName name="EW" localSheetId="66">[33]!RTPNT</definedName>
    <definedName name="EW">[33]!RTPNT</definedName>
    <definedName name="ewrefc">[12]BEST_17112006!$A$381</definedName>
    <definedName name="ex_joint" localSheetId="70">#REF!</definedName>
    <definedName name="ex_joint" localSheetId="52">#REF!</definedName>
    <definedName name="ex_joint" localSheetId="58">#REF!</definedName>
    <definedName name="ex_joint" localSheetId="56">#REF!</definedName>
    <definedName name="ex_joint" localSheetId="57">#REF!</definedName>
    <definedName name="ex_joint" localSheetId="64">#REF!</definedName>
    <definedName name="ex_joint" localSheetId="67">#REF!</definedName>
    <definedName name="ex_joint" localSheetId="65">#REF!</definedName>
    <definedName name="ex_joint" localSheetId="68">#REF!</definedName>
    <definedName name="ex_joint" localSheetId="71">#REF!</definedName>
    <definedName name="ex_joint" localSheetId="44">#REF!</definedName>
    <definedName name="ex_joint" localSheetId="45">#REF!</definedName>
    <definedName name="ex_joint" localSheetId="17">#REF!</definedName>
    <definedName name="ex_joint" localSheetId="27">#REF!</definedName>
    <definedName name="ex_joint" localSheetId="72">#REF!</definedName>
    <definedName name="ex_joint" localSheetId="28">#REF!</definedName>
    <definedName name="ex_joint" localSheetId="29">#REF!</definedName>
    <definedName name="ex_joint" localSheetId="66">#REF!</definedName>
    <definedName name="ex_joint">#REF!</definedName>
    <definedName name="Excel_BuiltIn_Print_Area_10" localSheetId="146">#REF!</definedName>
    <definedName name="Excel_BuiltIn_Print_Area_10" localSheetId="89">[42]Investment1!#REF!</definedName>
    <definedName name="Excel_BuiltIn_Print_Area_10" localSheetId="70">#REF!</definedName>
    <definedName name="Excel_BuiltIn_Print_Area_10" localSheetId="81">[43]Sheet5!#REF!</definedName>
    <definedName name="Excel_BuiltIn_Print_Area_10" localSheetId="52">#REF!</definedName>
    <definedName name="Excel_BuiltIn_Print_Area_10" localSheetId="58">#REF!</definedName>
    <definedName name="Excel_BuiltIn_Print_Area_10" localSheetId="56">#REF!</definedName>
    <definedName name="Excel_BuiltIn_Print_Area_10" localSheetId="57">#REF!</definedName>
    <definedName name="Excel_BuiltIn_Print_Area_10" localSheetId="64">#REF!</definedName>
    <definedName name="Excel_BuiltIn_Print_Area_10" localSheetId="67">#REF!</definedName>
    <definedName name="Excel_BuiltIn_Print_Area_10" localSheetId="65">#REF!</definedName>
    <definedName name="Excel_BuiltIn_Print_Area_10" localSheetId="68">#REF!</definedName>
    <definedName name="Excel_BuiltIn_Print_Area_10" localSheetId="71">#REF!</definedName>
    <definedName name="Excel_BuiltIn_Print_Area_10" localSheetId="44">#REF!</definedName>
    <definedName name="Excel_BuiltIn_Print_Area_10" localSheetId="45">#REF!</definedName>
    <definedName name="Excel_BuiltIn_Print_Area_10" localSheetId="110">[43]Sheet5!#REF!</definedName>
    <definedName name="Excel_BuiltIn_Print_Area_10" localSheetId="145">#REF!</definedName>
    <definedName name="Excel_BuiltIn_Print_Area_10" localSheetId="80">#REF!</definedName>
    <definedName name="Excel_BuiltIn_Print_Area_10" localSheetId="114">#REF!</definedName>
    <definedName name="Excel_BuiltIn_Print_Area_10" localSheetId="78">#REF!</definedName>
    <definedName name="Excel_BuiltIn_Print_Area_10" localSheetId="17">#REF!</definedName>
    <definedName name="Excel_BuiltIn_Print_Area_10" localSheetId="109">[43]Sheet5!#REF!</definedName>
    <definedName name="Excel_BuiltIn_Print_Area_10" localSheetId="27">#REF!</definedName>
    <definedName name="Excel_BuiltIn_Print_Area_10" localSheetId="91">#REF!</definedName>
    <definedName name="Excel_BuiltIn_Print_Area_10" localSheetId="72">#REF!</definedName>
    <definedName name="Excel_BuiltIn_Print_Area_10" localSheetId="28">#REF!</definedName>
    <definedName name="Excel_BuiltIn_Print_Area_10" localSheetId="29">#REF!</definedName>
    <definedName name="Excel_BuiltIn_Print_Area_10" localSheetId="66">#REF!</definedName>
    <definedName name="Excel_BuiltIn_Print_Area_10" localSheetId="133">[44]Investments!#REF!</definedName>
    <definedName name="Excel_BuiltIn_Print_Area_10">#REF!</definedName>
    <definedName name="Excel_BuiltIn_Print_Area_11" localSheetId="146">#REF!</definedName>
    <definedName name="Excel_BuiltIn_Print_Area_11" localSheetId="89">[42]Investment!#REF!</definedName>
    <definedName name="Excel_BuiltIn_Print_Area_11" localSheetId="70">#REF!</definedName>
    <definedName name="Excel_BuiltIn_Print_Area_11" localSheetId="81">[43]Sheet6!#REF!</definedName>
    <definedName name="Excel_BuiltIn_Print_Area_11" localSheetId="52">#REF!</definedName>
    <definedName name="Excel_BuiltIn_Print_Area_11" localSheetId="58">#REF!</definedName>
    <definedName name="Excel_BuiltIn_Print_Area_11" localSheetId="56">#REF!</definedName>
    <definedName name="Excel_BuiltIn_Print_Area_11" localSheetId="57">#REF!</definedName>
    <definedName name="Excel_BuiltIn_Print_Area_11" localSheetId="64">#REF!</definedName>
    <definedName name="Excel_BuiltIn_Print_Area_11" localSheetId="67">#REF!</definedName>
    <definedName name="Excel_BuiltIn_Print_Area_11" localSheetId="65">#REF!</definedName>
    <definedName name="Excel_BuiltIn_Print_Area_11" localSheetId="68">#REF!</definedName>
    <definedName name="Excel_BuiltIn_Print_Area_11" localSheetId="71">#REF!</definedName>
    <definedName name="Excel_BuiltIn_Print_Area_11" localSheetId="44">#REF!</definedName>
    <definedName name="Excel_BuiltIn_Print_Area_11" localSheetId="45">#REF!</definedName>
    <definedName name="Excel_BuiltIn_Print_Area_11" localSheetId="110">[43]Sheet6!#REF!</definedName>
    <definedName name="Excel_BuiltIn_Print_Area_11" localSheetId="145">#REF!</definedName>
    <definedName name="Excel_BuiltIn_Print_Area_11" localSheetId="80">#REF!</definedName>
    <definedName name="Excel_BuiltIn_Print_Area_11" localSheetId="114">#REF!</definedName>
    <definedName name="Excel_BuiltIn_Print_Area_11" localSheetId="78">#REF!</definedName>
    <definedName name="Excel_BuiltIn_Print_Area_11" localSheetId="17">#REF!</definedName>
    <definedName name="Excel_BuiltIn_Print_Area_11" localSheetId="109">[43]Sheet6!#REF!</definedName>
    <definedName name="Excel_BuiltIn_Print_Area_11" localSheetId="27">#REF!</definedName>
    <definedName name="Excel_BuiltIn_Print_Area_11" localSheetId="91">#REF!</definedName>
    <definedName name="Excel_BuiltIn_Print_Area_11" localSheetId="72">#REF!</definedName>
    <definedName name="Excel_BuiltIn_Print_Area_11" localSheetId="28">#REF!</definedName>
    <definedName name="Excel_BuiltIn_Print_Area_11" localSheetId="29">#REF!</definedName>
    <definedName name="Excel_BuiltIn_Print_Area_11" localSheetId="66">#REF!</definedName>
    <definedName name="Excel_BuiltIn_Print_Area_11" localSheetId="133">[44]Investments2!#REF!</definedName>
    <definedName name="Excel_BuiltIn_Print_Area_11">#REF!</definedName>
    <definedName name="Excel_BuiltIn_Print_Area_12" localSheetId="146">#REF!</definedName>
    <definedName name="Excel_BuiltIn_Print_Area_12" localSheetId="89">'[42]Current Asset'!#REF!</definedName>
    <definedName name="Excel_BuiltIn_Print_Area_12" localSheetId="70">#REF!</definedName>
    <definedName name="Excel_BuiltIn_Print_Area_12" localSheetId="81">[43]Sheet7!#REF!</definedName>
    <definedName name="Excel_BuiltIn_Print_Area_12" localSheetId="52">#REF!</definedName>
    <definedName name="Excel_BuiltIn_Print_Area_12" localSheetId="58">#REF!</definedName>
    <definedName name="Excel_BuiltIn_Print_Area_12" localSheetId="56">#REF!</definedName>
    <definedName name="Excel_BuiltIn_Print_Area_12" localSheetId="57">#REF!</definedName>
    <definedName name="Excel_BuiltIn_Print_Area_12" localSheetId="64">#REF!</definedName>
    <definedName name="Excel_BuiltIn_Print_Area_12" localSheetId="67">#REF!</definedName>
    <definedName name="Excel_BuiltIn_Print_Area_12" localSheetId="65">#REF!</definedName>
    <definedName name="Excel_BuiltIn_Print_Area_12" localSheetId="68">#REF!</definedName>
    <definedName name="Excel_BuiltIn_Print_Area_12" localSheetId="71">#REF!</definedName>
    <definedName name="Excel_BuiltIn_Print_Area_12" localSheetId="44">#REF!</definedName>
    <definedName name="Excel_BuiltIn_Print_Area_12" localSheetId="45">#REF!</definedName>
    <definedName name="Excel_BuiltIn_Print_Area_12" localSheetId="110">[43]Sheet7!#REF!</definedName>
    <definedName name="Excel_BuiltIn_Print_Area_12" localSheetId="145">#REF!</definedName>
    <definedName name="Excel_BuiltIn_Print_Area_12" localSheetId="80">#REF!</definedName>
    <definedName name="Excel_BuiltIn_Print_Area_12" localSheetId="114">#REF!</definedName>
    <definedName name="Excel_BuiltIn_Print_Area_12" localSheetId="78">#REF!</definedName>
    <definedName name="Excel_BuiltIn_Print_Area_12" localSheetId="17">#REF!</definedName>
    <definedName name="Excel_BuiltIn_Print_Area_12" localSheetId="109">[43]Sheet7!#REF!</definedName>
    <definedName name="Excel_BuiltIn_Print_Area_12" localSheetId="27">#REF!</definedName>
    <definedName name="Excel_BuiltIn_Print_Area_12" localSheetId="91">#REF!</definedName>
    <definedName name="Excel_BuiltIn_Print_Area_12" localSheetId="72">#REF!</definedName>
    <definedName name="Excel_BuiltIn_Print_Area_12" localSheetId="28">#REF!</definedName>
    <definedName name="Excel_BuiltIn_Print_Area_12" localSheetId="29">#REF!</definedName>
    <definedName name="Excel_BuiltIn_Print_Area_12" localSheetId="66">#REF!</definedName>
    <definedName name="Excel_BuiltIn_Print_Area_12" localSheetId="133">'[44]Current Assets'!#REF!</definedName>
    <definedName name="Excel_BuiltIn_Print_Area_12">#REF!</definedName>
    <definedName name="Excel_BuiltIn_Print_Area_15" localSheetId="146">#REF!</definedName>
    <definedName name="Excel_BuiltIn_Print_Area_15" localSheetId="89">[42]CostOfPowerPurchase!#REF!</definedName>
    <definedName name="Excel_BuiltIn_Print_Area_15" localSheetId="70">#REF!</definedName>
    <definedName name="Excel_BuiltIn_Print_Area_15" localSheetId="81">[43]Sheet9A!#REF!</definedName>
    <definedName name="Excel_BuiltIn_Print_Area_15" localSheetId="52">#REF!</definedName>
    <definedName name="Excel_BuiltIn_Print_Area_15" localSheetId="58">#REF!</definedName>
    <definedName name="Excel_BuiltIn_Print_Area_15" localSheetId="56">#REF!</definedName>
    <definedName name="Excel_BuiltIn_Print_Area_15" localSheetId="57">#REF!</definedName>
    <definedName name="Excel_BuiltIn_Print_Area_15" localSheetId="64">#REF!</definedName>
    <definedName name="Excel_BuiltIn_Print_Area_15" localSheetId="67">#REF!</definedName>
    <definedName name="Excel_BuiltIn_Print_Area_15" localSheetId="65">#REF!</definedName>
    <definedName name="Excel_BuiltIn_Print_Area_15" localSheetId="68">#REF!</definedName>
    <definedName name="Excel_BuiltIn_Print_Area_15" localSheetId="71">#REF!</definedName>
    <definedName name="Excel_BuiltIn_Print_Area_15" localSheetId="44">#REF!</definedName>
    <definedName name="Excel_BuiltIn_Print_Area_15" localSheetId="45">#REF!</definedName>
    <definedName name="Excel_BuiltIn_Print_Area_15" localSheetId="110">[43]Sheet9A!#REF!</definedName>
    <definedName name="Excel_BuiltIn_Print_Area_15" localSheetId="145">#REF!</definedName>
    <definedName name="Excel_BuiltIn_Print_Area_15" localSheetId="80">#REF!</definedName>
    <definedName name="Excel_BuiltIn_Print_Area_15" localSheetId="114">#REF!</definedName>
    <definedName name="Excel_BuiltIn_Print_Area_15" localSheetId="78">#REF!</definedName>
    <definedName name="Excel_BuiltIn_Print_Area_15" localSheetId="17">#REF!</definedName>
    <definedName name="Excel_BuiltIn_Print_Area_15" localSheetId="109">[43]Sheet9A!#REF!</definedName>
    <definedName name="Excel_BuiltIn_Print_Area_15" localSheetId="27">#REF!</definedName>
    <definedName name="Excel_BuiltIn_Print_Area_15" localSheetId="91">#REF!</definedName>
    <definedName name="Excel_BuiltIn_Print_Area_15" localSheetId="72">#REF!</definedName>
    <definedName name="Excel_BuiltIn_Print_Area_15" localSheetId="28">#REF!</definedName>
    <definedName name="Excel_BuiltIn_Print_Area_15" localSheetId="29">#REF!</definedName>
    <definedName name="Excel_BuiltIn_Print_Area_15" localSheetId="66">#REF!</definedName>
    <definedName name="Excel_BuiltIn_Print_Area_15" localSheetId="133">'[44]Power Purchase'!#REF!</definedName>
    <definedName name="Excel_BuiltIn_Print_Area_15">#REF!</definedName>
    <definedName name="Excel_BuiltIn_Print_Area_3" localSheetId="146">#REF!</definedName>
    <definedName name="Excel_BuiltIn_Print_Area_3" localSheetId="89">'[42]Interest Charges'!#REF!</definedName>
    <definedName name="Excel_BuiltIn_Print_Area_3" localSheetId="70">#REF!</definedName>
    <definedName name="Excel_BuiltIn_Print_Area_3" localSheetId="81">[43]Sheet11!#REF!</definedName>
    <definedName name="Excel_BuiltIn_Print_Area_3" localSheetId="52">#REF!</definedName>
    <definedName name="Excel_BuiltIn_Print_Area_3" localSheetId="58">#REF!</definedName>
    <definedName name="Excel_BuiltIn_Print_Area_3" localSheetId="56">#REF!</definedName>
    <definedName name="Excel_BuiltIn_Print_Area_3" localSheetId="57">#REF!</definedName>
    <definedName name="Excel_BuiltIn_Print_Area_3" localSheetId="64">#REF!</definedName>
    <definedName name="Excel_BuiltIn_Print_Area_3" localSheetId="67">#REF!</definedName>
    <definedName name="Excel_BuiltIn_Print_Area_3" localSheetId="65">#REF!</definedName>
    <definedName name="Excel_BuiltIn_Print_Area_3" localSheetId="68">#REF!</definedName>
    <definedName name="Excel_BuiltIn_Print_Area_3" localSheetId="71">#REF!</definedName>
    <definedName name="Excel_BuiltIn_Print_Area_3" localSheetId="44">#REF!</definedName>
    <definedName name="Excel_BuiltIn_Print_Area_3" localSheetId="45">#REF!</definedName>
    <definedName name="Excel_BuiltIn_Print_Area_3" localSheetId="110">[43]Sheet11!#REF!</definedName>
    <definedName name="Excel_BuiltIn_Print_Area_3" localSheetId="145">#REF!</definedName>
    <definedName name="Excel_BuiltIn_Print_Area_3" localSheetId="80">'Interest Charges_2012-13'!#REF!</definedName>
    <definedName name="Excel_BuiltIn_Print_Area_3" localSheetId="114">#REF!</definedName>
    <definedName name="Excel_BuiltIn_Print_Area_3" localSheetId="78">#REF!</definedName>
    <definedName name="Excel_BuiltIn_Print_Area_3" localSheetId="17">#REF!</definedName>
    <definedName name="Excel_BuiltIn_Print_Area_3" localSheetId="109">[43]Sheet11!#REF!</definedName>
    <definedName name="Excel_BuiltIn_Print_Area_3" localSheetId="27">#REF!</definedName>
    <definedName name="Excel_BuiltIn_Print_Area_3" localSheetId="91">#REF!</definedName>
    <definedName name="Excel_BuiltIn_Print_Area_3" localSheetId="72">#REF!</definedName>
    <definedName name="Excel_BuiltIn_Print_Area_3" localSheetId="28">#REF!</definedName>
    <definedName name="Excel_BuiltIn_Print_Area_3" localSheetId="29">#REF!</definedName>
    <definedName name="Excel_BuiltIn_Print_Area_3" localSheetId="66">#REF!</definedName>
    <definedName name="Excel_BuiltIn_Print_Area_3" localSheetId="133">'[44]Interest Loan'!#REF!</definedName>
    <definedName name="Excel_BuiltIn_Print_Area_3">#REF!</definedName>
    <definedName name="Excel_BuiltIn_Print_Area_4" localSheetId="146">#REF!</definedName>
    <definedName name="Excel_BuiltIn_Print_Area_4" localSheetId="89">[42]ROE!#REF!</definedName>
    <definedName name="Excel_BuiltIn_Print_Area_4" localSheetId="70">#REF!</definedName>
    <definedName name="Excel_BuiltIn_Print_Area_4" localSheetId="81">[43]Sheet13!#REF!</definedName>
    <definedName name="Excel_BuiltIn_Print_Area_4" localSheetId="52">#REF!</definedName>
    <definedName name="Excel_BuiltIn_Print_Area_4" localSheetId="58">#REF!</definedName>
    <definedName name="Excel_BuiltIn_Print_Area_4" localSheetId="56">#REF!</definedName>
    <definedName name="Excel_BuiltIn_Print_Area_4" localSheetId="57">#REF!</definedName>
    <definedName name="Excel_BuiltIn_Print_Area_4" localSheetId="64">#REF!</definedName>
    <definedName name="Excel_BuiltIn_Print_Area_4" localSheetId="67">#REF!</definedName>
    <definedName name="Excel_BuiltIn_Print_Area_4" localSheetId="65">#REF!</definedName>
    <definedName name="Excel_BuiltIn_Print_Area_4" localSheetId="68">#REF!</definedName>
    <definedName name="Excel_BuiltIn_Print_Area_4" localSheetId="71">#REF!</definedName>
    <definedName name="Excel_BuiltIn_Print_Area_4" localSheetId="44">#REF!</definedName>
    <definedName name="Excel_BuiltIn_Print_Area_4" localSheetId="45">#REF!</definedName>
    <definedName name="Excel_BuiltIn_Print_Area_4" localSheetId="110">[43]Sheet13!#REF!</definedName>
    <definedName name="Excel_BuiltIn_Print_Area_4" localSheetId="145">#REF!</definedName>
    <definedName name="Excel_BuiltIn_Print_Area_4" localSheetId="80">#REF!</definedName>
    <definedName name="Excel_BuiltIn_Print_Area_4" localSheetId="114">#REF!</definedName>
    <definedName name="Excel_BuiltIn_Print_Area_4" localSheetId="78">#REF!</definedName>
    <definedName name="Excel_BuiltIn_Print_Area_4" localSheetId="17">#REF!</definedName>
    <definedName name="Excel_BuiltIn_Print_Area_4" localSheetId="109">[43]Sheet13!#REF!</definedName>
    <definedName name="Excel_BuiltIn_Print_Area_4" localSheetId="27">#REF!</definedName>
    <definedName name="Excel_BuiltIn_Print_Area_4" localSheetId="91">ROE!#REF!</definedName>
    <definedName name="Excel_BuiltIn_Print_Area_4" localSheetId="72">#REF!</definedName>
    <definedName name="Excel_BuiltIn_Print_Area_4" localSheetId="28">#REF!</definedName>
    <definedName name="Excel_BuiltIn_Print_Area_4" localSheetId="29">#REF!</definedName>
    <definedName name="Excel_BuiltIn_Print_Area_4" localSheetId="66">#REF!</definedName>
    <definedName name="Excel_BuiltIn_Print_Area_4" localSheetId="133">[44]RoE!#REF!</definedName>
    <definedName name="Excel_BuiltIn_Print_Area_4">#REF!</definedName>
    <definedName name="Excel_BuiltIn_Print_Area_5" localSheetId="146">[43]Sheet14!#REF!</definedName>
    <definedName name="Excel_BuiltIn_Print_Area_5" localSheetId="89">'[42]Cash Flow Statement'!#REF!</definedName>
    <definedName name="Excel_BuiltIn_Print_Area_5" localSheetId="70">[43]Sheet14!#REF!</definedName>
    <definedName name="Excel_BuiltIn_Print_Area_5" localSheetId="81">[43]Sheet14!#REF!</definedName>
    <definedName name="Excel_BuiltIn_Print_Area_5" localSheetId="52">[43]Sheet14!#REF!</definedName>
    <definedName name="Excel_BuiltIn_Print_Area_5" localSheetId="58">[43]Sheet14!#REF!</definedName>
    <definedName name="Excel_BuiltIn_Print_Area_5" localSheetId="57">[43]Sheet14!#REF!</definedName>
    <definedName name="Excel_BuiltIn_Print_Area_5" localSheetId="64">[43]Sheet14!#REF!</definedName>
    <definedName name="Excel_BuiltIn_Print_Area_5" localSheetId="67">[43]Sheet14!#REF!</definedName>
    <definedName name="Excel_BuiltIn_Print_Area_5" localSheetId="65">[43]Sheet14!#REF!</definedName>
    <definedName name="Excel_BuiltIn_Print_Area_5" localSheetId="68">[43]Sheet14!#REF!</definedName>
    <definedName name="Excel_BuiltIn_Print_Area_5" localSheetId="71">[43]Sheet14!#REF!</definedName>
    <definedName name="Excel_BuiltIn_Print_Area_5" localSheetId="44">[43]Sheet14!#REF!</definedName>
    <definedName name="Excel_BuiltIn_Print_Area_5" localSheetId="45">[43]Sheet14!#REF!</definedName>
    <definedName name="Excel_BuiltIn_Print_Area_5" localSheetId="110">[43]Sheet14!#REF!</definedName>
    <definedName name="Excel_BuiltIn_Print_Area_5" localSheetId="145">[43]Sheet14!#REF!</definedName>
    <definedName name="Excel_BuiltIn_Print_Area_5" localSheetId="80">[43]Sheet14!#REF!</definedName>
    <definedName name="Excel_BuiltIn_Print_Area_5" localSheetId="114">[43]Sheet14!#REF!</definedName>
    <definedName name="Excel_BuiltIn_Print_Area_5" localSheetId="78">[43]Sheet14!#REF!</definedName>
    <definedName name="Excel_BuiltIn_Print_Area_5" localSheetId="109">[43]Sheet14!#REF!</definedName>
    <definedName name="Excel_BuiltIn_Print_Area_5" localSheetId="27">[43]Sheet14!#REF!</definedName>
    <definedName name="Excel_BuiltIn_Print_Area_5" localSheetId="91">[43]Sheet14!#REF!</definedName>
    <definedName name="Excel_BuiltIn_Print_Area_5" localSheetId="28">[43]Sheet14!#REF!</definedName>
    <definedName name="Excel_BuiltIn_Print_Area_5" localSheetId="29">[43]Sheet14!#REF!</definedName>
    <definedName name="Excel_BuiltIn_Print_Area_5" localSheetId="66">[43]Sheet14!#REF!</definedName>
    <definedName name="Excel_BuiltIn_Print_Area_5" localSheetId="133">'[44]Cash Flow'!#REF!</definedName>
    <definedName name="Excel_BuiltIn_Print_Area_5">[43]Sheet14!#REF!</definedName>
    <definedName name="Excel_BuiltIn_Print_Area_7" localSheetId="146">#REF!</definedName>
    <definedName name="Excel_BuiltIn_Print_Area_7" localSheetId="89">[42]GFA!#REF!</definedName>
    <definedName name="Excel_BuiltIn_Print_Area_7" localSheetId="70">#REF!</definedName>
    <definedName name="Excel_BuiltIn_Print_Area_7" localSheetId="81">[43]Sheet2!#REF!</definedName>
    <definedName name="Excel_BuiltIn_Print_Area_7" localSheetId="52">#REF!</definedName>
    <definedName name="Excel_BuiltIn_Print_Area_7" localSheetId="58">#REF!</definedName>
    <definedName name="Excel_BuiltIn_Print_Area_7" localSheetId="56">#REF!</definedName>
    <definedName name="Excel_BuiltIn_Print_Area_7" localSheetId="57">#REF!</definedName>
    <definedName name="Excel_BuiltIn_Print_Area_7" localSheetId="64">#REF!</definedName>
    <definedName name="Excel_BuiltIn_Print_Area_7" localSheetId="67">#REF!</definedName>
    <definedName name="Excel_BuiltIn_Print_Area_7" localSheetId="65">#REF!</definedName>
    <definedName name="Excel_BuiltIn_Print_Area_7" localSheetId="68">#REF!</definedName>
    <definedName name="Excel_BuiltIn_Print_Area_7" localSheetId="71">#REF!</definedName>
    <definedName name="Excel_BuiltIn_Print_Area_7" localSheetId="44">#REF!</definedName>
    <definedName name="Excel_BuiltIn_Print_Area_7" localSheetId="45">#REF!</definedName>
    <definedName name="Excel_BuiltIn_Print_Area_7" localSheetId="110">[43]Sheet2!#REF!</definedName>
    <definedName name="Excel_BuiltIn_Print_Area_7" localSheetId="145">'GFA2'!#REF!</definedName>
    <definedName name="Excel_BuiltIn_Print_Area_7" localSheetId="80">#REF!</definedName>
    <definedName name="Excel_BuiltIn_Print_Area_7" localSheetId="114">#REF!</definedName>
    <definedName name="Excel_BuiltIn_Print_Area_7" localSheetId="78">#REF!</definedName>
    <definedName name="Excel_BuiltIn_Print_Area_7" localSheetId="17">#REF!</definedName>
    <definedName name="Excel_BuiltIn_Print_Area_7" localSheetId="109">[43]Sheet2!#REF!</definedName>
    <definedName name="Excel_BuiltIn_Print_Area_7" localSheetId="27">#REF!</definedName>
    <definedName name="Excel_BuiltIn_Print_Area_7" localSheetId="91">#REF!</definedName>
    <definedName name="Excel_BuiltIn_Print_Area_7" localSheetId="72">#REF!</definedName>
    <definedName name="Excel_BuiltIn_Print_Area_7" localSheetId="28">#REF!</definedName>
    <definedName name="Excel_BuiltIn_Print_Area_7" localSheetId="29">#REF!</definedName>
    <definedName name="Excel_BuiltIn_Print_Area_7" localSheetId="66">#REF!</definedName>
    <definedName name="Excel_BuiltIn_Print_Area_7" localSheetId="133">[44]GFA2!#REF!</definedName>
    <definedName name="Excel_BuiltIn_Print_Area_7">#REF!</definedName>
    <definedName name="Excel_BuiltIn_Print_Area_8" localSheetId="146">#REF!</definedName>
    <definedName name="Excel_BuiltIn_Print_Area_8" localSheetId="89">'[42]Accumulated Depreciation1'!#REF!</definedName>
    <definedName name="Excel_BuiltIn_Print_Area_8" localSheetId="70">#REF!</definedName>
    <definedName name="Excel_BuiltIn_Print_Area_8" localSheetId="81">[43]Sheet3!#REF!</definedName>
    <definedName name="Excel_BuiltIn_Print_Area_8" localSheetId="52">#REF!</definedName>
    <definedName name="Excel_BuiltIn_Print_Area_8" localSheetId="58">#REF!</definedName>
    <definedName name="Excel_BuiltIn_Print_Area_8" localSheetId="56">#REF!</definedName>
    <definedName name="Excel_BuiltIn_Print_Area_8" localSheetId="57">#REF!</definedName>
    <definedName name="Excel_BuiltIn_Print_Area_8" localSheetId="64">#REF!</definedName>
    <definedName name="Excel_BuiltIn_Print_Area_8" localSheetId="67">#REF!</definedName>
    <definedName name="Excel_BuiltIn_Print_Area_8" localSheetId="65">#REF!</definedName>
    <definedName name="Excel_BuiltIn_Print_Area_8" localSheetId="68">#REF!</definedName>
    <definedName name="Excel_BuiltIn_Print_Area_8" localSheetId="71">#REF!</definedName>
    <definedName name="Excel_BuiltIn_Print_Area_8" localSheetId="44">#REF!</definedName>
    <definedName name="Excel_BuiltIn_Print_Area_8" localSheetId="45">#REF!</definedName>
    <definedName name="Excel_BuiltIn_Print_Area_8" localSheetId="110">[43]Sheet3!#REF!</definedName>
    <definedName name="Excel_BuiltIn_Print_Area_8" localSheetId="145">#REF!</definedName>
    <definedName name="Excel_BuiltIn_Print_Area_8" localSheetId="80">#REF!</definedName>
    <definedName name="Excel_BuiltIn_Print_Area_8" localSheetId="114">#REF!</definedName>
    <definedName name="Excel_BuiltIn_Print_Area_8" localSheetId="78">#REF!</definedName>
    <definedName name="Excel_BuiltIn_Print_Area_8" localSheetId="17">#REF!</definedName>
    <definedName name="Excel_BuiltIn_Print_Area_8" localSheetId="109">[43]Sheet3!#REF!</definedName>
    <definedName name="Excel_BuiltIn_Print_Area_8" localSheetId="27">#REF!</definedName>
    <definedName name="Excel_BuiltIn_Print_Area_8" localSheetId="91">#REF!</definedName>
    <definedName name="Excel_BuiltIn_Print_Area_8" localSheetId="72">#REF!</definedName>
    <definedName name="Excel_BuiltIn_Print_Area_8" localSheetId="28">#REF!</definedName>
    <definedName name="Excel_BuiltIn_Print_Area_8" localSheetId="29">#REF!</definedName>
    <definedName name="Excel_BuiltIn_Print_Area_8" localSheetId="66">#REF!</definedName>
    <definedName name="Excel_BuiltIn_Print_Area_8" localSheetId="133">[44]DEP!#REF!</definedName>
    <definedName name="Excel_BuiltIn_Print_Area_8">#REF!</definedName>
    <definedName name="Excel_BuiltIn_Print_Area_9" localSheetId="146">'Accumulated Depreciation '!#REF!</definedName>
    <definedName name="Excel_BuiltIn_Print_Area_9" localSheetId="89">'[42]Accumulated Depreciation '!#REF!</definedName>
    <definedName name="Excel_BuiltIn_Print_Area_9" localSheetId="70">#REF!</definedName>
    <definedName name="Excel_BuiltIn_Print_Area_9" localSheetId="81">[43]Sheet4!#REF!</definedName>
    <definedName name="Excel_BuiltIn_Print_Area_9" localSheetId="52">#REF!</definedName>
    <definedName name="Excel_BuiltIn_Print_Area_9" localSheetId="58">#REF!</definedName>
    <definedName name="Excel_BuiltIn_Print_Area_9" localSheetId="56">#REF!</definedName>
    <definedName name="Excel_BuiltIn_Print_Area_9" localSheetId="57">#REF!</definedName>
    <definedName name="Excel_BuiltIn_Print_Area_9" localSheetId="64">#REF!</definedName>
    <definedName name="Excel_BuiltIn_Print_Area_9" localSheetId="67">#REF!</definedName>
    <definedName name="Excel_BuiltIn_Print_Area_9" localSheetId="65">#REF!</definedName>
    <definedName name="Excel_BuiltIn_Print_Area_9" localSheetId="68">#REF!</definedName>
    <definedName name="Excel_BuiltIn_Print_Area_9" localSheetId="71">#REF!</definedName>
    <definedName name="Excel_BuiltIn_Print_Area_9" localSheetId="44">#REF!</definedName>
    <definedName name="Excel_BuiltIn_Print_Area_9" localSheetId="45">#REF!</definedName>
    <definedName name="Excel_BuiltIn_Print_Area_9" localSheetId="110">[43]Sheet4!#REF!</definedName>
    <definedName name="Excel_BuiltIn_Print_Area_9" localSheetId="145">#REF!</definedName>
    <definedName name="Excel_BuiltIn_Print_Area_9" localSheetId="80">#REF!</definedName>
    <definedName name="Excel_BuiltIn_Print_Area_9" localSheetId="114">#REF!</definedName>
    <definedName name="Excel_BuiltIn_Print_Area_9" localSheetId="78">#REF!</definedName>
    <definedName name="Excel_BuiltIn_Print_Area_9" localSheetId="17">#REF!</definedName>
    <definedName name="Excel_BuiltIn_Print_Area_9" localSheetId="109">[43]Sheet4!#REF!</definedName>
    <definedName name="Excel_BuiltIn_Print_Area_9" localSheetId="27">#REF!</definedName>
    <definedName name="Excel_BuiltIn_Print_Area_9" localSheetId="91">#REF!</definedName>
    <definedName name="Excel_BuiltIn_Print_Area_9" localSheetId="72">#REF!</definedName>
    <definedName name="Excel_BuiltIn_Print_Area_9" localSheetId="28">#REF!</definedName>
    <definedName name="Excel_BuiltIn_Print_Area_9" localSheetId="29">#REF!</definedName>
    <definedName name="Excel_BuiltIn_Print_Area_9" localSheetId="66">#REF!</definedName>
    <definedName name="Excel_BuiltIn_Print_Area_9" localSheetId="133">[44]DEP2!#REF!</definedName>
    <definedName name="Excel_BuiltIn_Print_Area_9">#REF!</definedName>
    <definedName name="EXTEN" localSheetId="70">#REF!</definedName>
    <definedName name="EXTEN" localSheetId="52">#REF!</definedName>
    <definedName name="EXTEN" localSheetId="58">#REF!</definedName>
    <definedName name="EXTEN" localSheetId="57">#REF!</definedName>
    <definedName name="EXTEN" localSheetId="64">#REF!</definedName>
    <definedName name="EXTEN" localSheetId="67">#REF!</definedName>
    <definedName name="EXTEN" localSheetId="65">#REF!</definedName>
    <definedName name="EXTEN" localSheetId="68">#REF!</definedName>
    <definedName name="EXTEN" localSheetId="71">#REF!</definedName>
    <definedName name="EXTEN" localSheetId="44">#REF!</definedName>
    <definedName name="EXTEN" localSheetId="45">#REF!</definedName>
    <definedName name="EXTEN" localSheetId="17">#REF!</definedName>
    <definedName name="EXTEN" localSheetId="27">#REF!</definedName>
    <definedName name="EXTEN" localSheetId="72">#REF!</definedName>
    <definedName name="EXTEN" localSheetId="28">#REF!</definedName>
    <definedName name="EXTEN" localSheetId="29">#REF!</definedName>
    <definedName name="EXTEN" localSheetId="66">#REF!</definedName>
    <definedName name="EXTEN">#REF!</definedName>
    <definedName name="_xlnm.Extract" localSheetId="70">#REF!</definedName>
    <definedName name="_xlnm.Extract" localSheetId="52">#REF!</definedName>
    <definedName name="_xlnm.Extract" localSheetId="58">#REF!</definedName>
    <definedName name="_xlnm.Extract" localSheetId="57">#REF!</definedName>
    <definedName name="_xlnm.Extract" localSheetId="64">#REF!</definedName>
    <definedName name="_xlnm.Extract" localSheetId="67">#REF!</definedName>
    <definedName name="_xlnm.Extract" localSheetId="65">#REF!</definedName>
    <definedName name="_xlnm.Extract" localSheetId="68">#REF!</definedName>
    <definedName name="_xlnm.Extract" localSheetId="71">#REF!</definedName>
    <definedName name="_xlnm.Extract" localSheetId="44">#REF!</definedName>
    <definedName name="_xlnm.Extract" localSheetId="45">#REF!</definedName>
    <definedName name="_xlnm.Extract" localSheetId="27">#REF!</definedName>
    <definedName name="_xlnm.Extract" localSheetId="28">#REF!</definedName>
    <definedName name="_xlnm.Extract" localSheetId="29">#REF!</definedName>
    <definedName name="_xlnm.Extract" localSheetId="66">#REF!</definedName>
    <definedName name="_xlnm.Extract">#REF!</definedName>
    <definedName name="Extract_MI" localSheetId="70">#REF!</definedName>
    <definedName name="Extract_MI" localSheetId="52">#REF!</definedName>
    <definedName name="Extract_MI" localSheetId="58">#REF!</definedName>
    <definedName name="Extract_MI" localSheetId="57">#REF!</definedName>
    <definedName name="Extract_MI" localSheetId="64">#REF!</definedName>
    <definedName name="Extract_MI" localSheetId="67">#REF!</definedName>
    <definedName name="Extract_MI" localSheetId="65">#REF!</definedName>
    <definedName name="Extract_MI" localSheetId="68">#REF!</definedName>
    <definedName name="Extract_MI" localSheetId="71">#REF!</definedName>
    <definedName name="Extract_MI" localSheetId="44">#REF!</definedName>
    <definedName name="Extract_MI" localSheetId="45">#REF!</definedName>
    <definedName name="Extract_MI" localSheetId="27">#REF!</definedName>
    <definedName name="Extract_MI" localSheetId="28">#REF!</definedName>
    <definedName name="Extract_MI" localSheetId="29">#REF!</definedName>
    <definedName name="Extract_MI" localSheetId="66">#REF!</definedName>
    <definedName name="Extract_MI">#REF!</definedName>
    <definedName name="f" localSheetId="140">#REF!</definedName>
    <definedName name="f" localSheetId="142">#REF!</definedName>
    <definedName name="f">[12]Notes!$A$33</definedName>
    <definedName name="fcwge">'[12]B_S Group'!$H$15</definedName>
    <definedName name="fd" localSheetId="140" hidden="1">{"'Sheet1'!$L$16"}</definedName>
    <definedName name="fd" localSheetId="58" hidden="1">{"'Sheet1'!$L$16"}</definedName>
    <definedName name="fd" localSheetId="56" hidden="1">{"'Sheet1'!$L$16"}</definedName>
    <definedName name="fd" localSheetId="57" hidden="1">{"'Sheet1'!$L$16"}</definedName>
    <definedName name="fd" localSheetId="67" hidden="1">{"'Sheet1'!$L$16"}</definedName>
    <definedName name="fd" localSheetId="65" hidden="1">{"'Sheet1'!$L$16"}</definedName>
    <definedName name="fd" localSheetId="68" hidden="1">{"'Sheet1'!$L$16"}</definedName>
    <definedName name="fd" localSheetId="71" hidden="1">{"'Sheet1'!$L$16"}</definedName>
    <definedName name="fd" localSheetId="17" hidden="1">{"'Sheet1'!$L$16"}</definedName>
    <definedName name="fd" localSheetId="27" hidden="1">{"'Sheet1'!$L$16"}</definedName>
    <definedName name="fd" localSheetId="72" hidden="1">{"'Sheet1'!$L$16"}</definedName>
    <definedName name="fd" localSheetId="28" hidden="1">{"'Sheet1'!$L$16"}</definedName>
    <definedName name="fd" localSheetId="29" hidden="1">{"'Sheet1'!$L$16"}</definedName>
    <definedName name="fd" hidden="1">{"'Sheet1'!$L$16"}</definedName>
    <definedName name="fdgk" localSheetId="140" hidden="1">{"'Sheet1'!$L$16"}</definedName>
    <definedName name="fdgk" localSheetId="58" hidden="1">{"'Sheet1'!$L$16"}</definedName>
    <definedName name="fdgk" localSheetId="56" hidden="1">{"'Sheet1'!$L$16"}</definedName>
    <definedName name="fdgk" localSheetId="57" hidden="1">{"'Sheet1'!$L$16"}</definedName>
    <definedName name="fdgk" localSheetId="67" hidden="1">{"'Sheet1'!$L$16"}</definedName>
    <definedName name="fdgk" localSheetId="65" hidden="1">{"'Sheet1'!$L$16"}</definedName>
    <definedName name="fdgk" localSheetId="68" hidden="1">{"'Sheet1'!$L$16"}</definedName>
    <definedName name="fdgk" localSheetId="71" hidden="1">{"'Sheet1'!$L$16"}</definedName>
    <definedName name="fdgk" localSheetId="17" hidden="1">{"'Sheet1'!$L$16"}</definedName>
    <definedName name="fdgk" localSheetId="27" hidden="1">{"'Sheet1'!$L$16"}</definedName>
    <definedName name="fdgk" localSheetId="72" hidden="1">{"'Sheet1'!$L$16"}</definedName>
    <definedName name="fdgk" localSheetId="28" hidden="1">{"'Sheet1'!$L$16"}</definedName>
    <definedName name="fdgk" localSheetId="29" hidden="1">{"'Sheet1'!$L$16"}</definedName>
    <definedName name="fdgk" hidden="1">{"'Sheet1'!$L$16"}</definedName>
    <definedName name="fdxfds" localSheetId="70">#REF!</definedName>
    <definedName name="fdxfds" localSheetId="52">#REF!</definedName>
    <definedName name="fdxfds" localSheetId="58">#REF!</definedName>
    <definedName name="fdxfds" localSheetId="57">#REF!</definedName>
    <definedName name="fdxfds" localSheetId="64">#REF!</definedName>
    <definedName name="fdxfds" localSheetId="67">#REF!</definedName>
    <definedName name="fdxfds" localSheetId="65">#REF!</definedName>
    <definedName name="fdxfds" localSheetId="68">#REF!</definedName>
    <definedName name="fdxfds" localSheetId="71">#REF!</definedName>
    <definedName name="fdxfds" localSheetId="44">#REF!</definedName>
    <definedName name="fdxfds" localSheetId="45">#REF!</definedName>
    <definedName name="fdxfds" localSheetId="48">#REF!</definedName>
    <definedName name="fdxfds" localSheetId="27">#REF!</definedName>
    <definedName name="fdxfds" localSheetId="28">#REF!</definedName>
    <definedName name="fdxfds" localSheetId="29">#REF!</definedName>
    <definedName name="fdxfds" localSheetId="66">#REF!</definedName>
    <definedName name="fdxfds">#REF!</definedName>
    <definedName name="fe" localSheetId="140" hidden="1">{"'Sheet1'!$L$16"}</definedName>
    <definedName name="fe" localSheetId="58" hidden="1">{"'Sheet1'!$L$16"}</definedName>
    <definedName name="fe" localSheetId="56" hidden="1">{"'Sheet1'!$L$16"}</definedName>
    <definedName name="fe" localSheetId="57" hidden="1">{"'Sheet1'!$L$16"}</definedName>
    <definedName name="fe" localSheetId="67" hidden="1">{"'Sheet1'!$L$16"}</definedName>
    <definedName name="fe" localSheetId="65" hidden="1">{"'Sheet1'!$L$16"}</definedName>
    <definedName name="fe" localSheetId="68" hidden="1">{"'Sheet1'!$L$16"}</definedName>
    <definedName name="fe" localSheetId="71" hidden="1">{"'Sheet1'!$L$16"}</definedName>
    <definedName name="fe" localSheetId="17" hidden="1">{"'Sheet1'!$L$16"}</definedName>
    <definedName name="fe" localSheetId="27" hidden="1">{"'Sheet1'!$L$16"}</definedName>
    <definedName name="fe" localSheetId="72" hidden="1">{"'Sheet1'!$L$16"}</definedName>
    <definedName name="fe" localSheetId="28" hidden="1">{"'Sheet1'!$L$16"}</definedName>
    <definedName name="fe" localSheetId="29" hidden="1">{"'Sheet1'!$L$16"}</definedName>
    <definedName name="fe" hidden="1">{"'Sheet1'!$L$16"}</definedName>
    <definedName name="fefcdf">[12]BEST_17112006!$B$503:$M$504</definedName>
    <definedName name="feftgvrg">[12]BEST_17112006!$A$428</definedName>
    <definedName name="ferdwer" localSheetId="70" hidden="1">#REF!</definedName>
    <definedName name="ferdwer" localSheetId="57" hidden="1">#REF!</definedName>
    <definedName name="ferdwer" localSheetId="67" hidden="1">#REF!</definedName>
    <definedName name="ferdwer" localSheetId="65" hidden="1">#REF!</definedName>
    <definedName name="ferdwer" localSheetId="68" hidden="1">#REF!</definedName>
    <definedName name="ferdwer" localSheetId="44" hidden="1">#REF!</definedName>
    <definedName name="ferdwer" localSheetId="45" hidden="1">#REF!</definedName>
    <definedName name="ferdwer" localSheetId="28" hidden="1">#REF!</definedName>
    <definedName name="ferdwer" localSheetId="29" hidden="1">#REF!</definedName>
    <definedName name="ferdwer" localSheetId="66" hidden="1">#REF!</definedName>
    <definedName name="ferdwer" hidden="1">#REF!</definedName>
    <definedName name="fertgfr">[12]BEST_17112006!$A$391</definedName>
    <definedName name="ff" localSheetId="70">#REF!</definedName>
    <definedName name="ff" localSheetId="52">#REF!</definedName>
    <definedName name="ff" localSheetId="58">#REF!</definedName>
    <definedName name="ff" localSheetId="56">#REF!</definedName>
    <definedName name="ff" localSheetId="57">#REF!</definedName>
    <definedName name="ff" localSheetId="64">#REF!</definedName>
    <definedName name="ff" localSheetId="67">#REF!</definedName>
    <definedName name="ff" localSheetId="65">#REF!</definedName>
    <definedName name="ff" localSheetId="68">#REF!</definedName>
    <definedName name="ff" localSheetId="71">#REF!</definedName>
    <definedName name="ff" localSheetId="44">#REF!</definedName>
    <definedName name="ff" localSheetId="45">#REF!</definedName>
    <definedName name="ff" localSheetId="17">#REF!</definedName>
    <definedName name="ff" localSheetId="27">#REF!</definedName>
    <definedName name="ff" localSheetId="72">#REF!</definedName>
    <definedName name="ff" localSheetId="28">#REF!</definedName>
    <definedName name="ff" localSheetId="29">#REF!</definedName>
    <definedName name="ff" localSheetId="66">#REF!</definedName>
    <definedName name="ff">#REF!</definedName>
    <definedName name="FFF">'[45]MOB-MAN1'!$D$40:$BW$49</definedName>
    <definedName name="FFr">'[13]#REF'!$H$24</definedName>
    <definedName name="FFr00">'[13]#REF'!$H$29</definedName>
    <definedName name="fgdgchjgd" localSheetId="70">#REF!</definedName>
    <definedName name="fgdgchjgd" localSheetId="52">#REF!</definedName>
    <definedName name="fgdgchjgd" localSheetId="58">#REF!</definedName>
    <definedName name="fgdgchjgd" localSheetId="57">#REF!</definedName>
    <definedName name="fgdgchjgd" localSheetId="64">#REF!</definedName>
    <definedName name="fgdgchjgd" localSheetId="67">#REF!</definedName>
    <definedName name="fgdgchjgd" localSheetId="65">#REF!</definedName>
    <definedName name="fgdgchjgd" localSheetId="68">#REF!</definedName>
    <definedName name="fgdgchjgd" localSheetId="71">#REF!</definedName>
    <definedName name="fgdgchjgd" localSheetId="44">#REF!</definedName>
    <definedName name="fgdgchjgd" localSheetId="45">#REF!</definedName>
    <definedName name="fgdgchjgd" localSheetId="48">#REF!</definedName>
    <definedName name="fgdgchjgd" localSheetId="17">#REF!</definedName>
    <definedName name="fgdgchjgd" localSheetId="27">#REF!</definedName>
    <definedName name="fgdgchjgd" localSheetId="72">#REF!</definedName>
    <definedName name="fgdgchjgd" localSheetId="28">#REF!</definedName>
    <definedName name="fgdgchjgd" localSheetId="29">#REF!</definedName>
    <definedName name="fgdgchjgd" localSheetId="66">#REF!</definedName>
    <definedName name="fgdgchjgd">#REF!</definedName>
    <definedName name="fgsdfds">'[12]B_S Group'!$H$23</definedName>
    <definedName name="FITTING">#N/A</definedName>
    <definedName name="Fixed_Asset_BS" localSheetId="70">#REF!</definedName>
    <definedName name="Fixed_Asset_BS" localSheetId="126">'BEST final'!$C$23</definedName>
    <definedName name="Fixed_Asset_BS" localSheetId="52">#REF!</definedName>
    <definedName name="Fixed_Asset_BS" localSheetId="58">#REF!</definedName>
    <definedName name="Fixed_Asset_BS" localSheetId="56">#REF!</definedName>
    <definedName name="Fixed_Asset_BS" localSheetId="57">#REF!</definedName>
    <definedName name="Fixed_Asset_BS" localSheetId="64">#REF!</definedName>
    <definedName name="Fixed_Asset_BS" localSheetId="67">#REF!</definedName>
    <definedName name="Fixed_Asset_BS" localSheetId="65">#REF!</definedName>
    <definedName name="Fixed_Asset_BS" localSheetId="68">#REF!</definedName>
    <definedName name="Fixed_Asset_BS" localSheetId="71">#REF!</definedName>
    <definedName name="Fixed_Asset_BS" localSheetId="44">#REF!</definedName>
    <definedName name="Fixed_Asset_BS" localSheetId="45">#REF!</definedName>
    <definedName name="Fixed_Asset_BS" localSheetId="17">#REF!</definedName>
    <definedName name="Fixed_Asset_BS" localSheetId="27">#REF!</definedName>
    <definedName name="Fixed_Asset_BS" localSheetId="72">#REF!</definedName>
    <definedName name="Fixed_Asset_BS" localSheetId="28">#REF!</definedName>
    <definedName name="Fixed_Asset_BS" localSheetId="29">#REF!</definedName>
    <definedName name="Fixed_Asset_BS" localSheetId="66">#REF!</definedName>
    <definedName name="Fixed_Asset_BS">#REF!</definedName>
    <definedName name="Fixed_Assets" localSheetId="70">#REF!</definedName>
    <definedName name="Fixed_Assets" localSheetId="126">'BEST final'!$C$23</definedName>
    <definedName name="Fixed_Assets" localSheetId="52">#REF!</definedName>
    <definedName name="Fixed_Assets" localSheetId="58">#REF!</definedName>
    <definedName name="Fixed_Assets" localSheetId="56">#REF!</definedName>
    <definedName name="Fixed_Assets" localSheetId="57">#REF!</definedName>
    <definedName name="Fixed_Assets" localSheetId="64">#REF!</definedName>
    <definedName name="Fixed_Assets" localSheetId="67">#REF!</definedName>
    <definedName name="Fixed_Assets" localSheetId="65">#REF!</definedName>
    <definedName name="Fixed_Assets" localSheetId="68">#REF!</definedName>
    <definedName name="Fixed_Assets" localSheetId="71">#REF!</definedName>
    <definedName name="Fixed_Assets" localSheetId="44">#REF!</definedName>
    <definedName name="Fixed_Assets" localSheetId="45">#REF!</definedName>
    <definedName name="Fixed_Assets" localSheetId="17">#REF!</definedName>
    <definedName name="Fixed_Assets" localSheetId="27">#REF!</definedName>
    <definedName name="Fixed_Assets" localSheetId="72">#REF!</definedName>
    <definedName name="Fixed_Assets" localSheetId="28">#REF!</definedName>
    <definedName name="Fixed_Assets" localSheetId="29">#REF!</definedName>
    <definedName name="Fixed_Assets" localSheetId="66">#REF!</definedName>
    <definedName name="Fixed_Assets">#REF!</definedName>
    <definedName name="Fixed_Assets_Schedule" localSheetId="70">#REF!</definedName>
    <definedName name="Fixed_Assets_Schedule" localSheetId="126">'BEST final'!$B$559</definedName>
    <definedName name="Fixed_Assets_Schedule" localSheetId="52">#REF!</definedName>
    <definedName name="Fixed_Assets_Schedule" localSheetId="58">#REF!</definedName>
    <definedName name="Fixed_Assets_Schedule" localSheetId="56">#REF!</definedName>
    <definedName name="Fixed_Assets_Schedule" localSheetId="57">#REF!</definedName>
    <definedName name="Fixed_Assets_Schedule" localSheetId="64">#REF!</definedName>
    <definedName name="Fixed_Assets_Schedule" localSheetId="67">#REF!</definedName>
    <definedName name="Fixed_Assets_Schedule" localSheetId="65">#REF!</definedName>
    <definedName name="Fixed_Assets_Schedule" localSheetId="68">#REF!</definedName>
    <definedName name="Fixed_Assets_Schedule" localSheetId="71">#REF!</definedName>
    <definedName name="Fixed_Assets_Schedule" localSheetId="44">#REF!</definedName>
    <definedName name="Fixed_Assets_Schedule" localSheetId="45">#REF!</definedName>
    <definedName name="Fixed_Assets_Schedule" localSheetId="17">#REF!</definedName>
    <definedName name="Fixed_Assets_Schedule" localSheetId="27">#REF!</definedName>
    <definedName name="Fixed_Assets_Schedule" localSheetId="72">#REF!</definedName>
    <definedName name="Fixed_Assets_Schedule" localSheetId="28">#REF!</definedName>
    <definedName name="Fixed_Assets_Schedule" localSheetId="29">#REF!</definedName>
    <definedName name="Fixed_Assets_Schedule" localSheetId="66">#REF!</definedName>
    <definedName name="Fixed_Assets_Schedule">#REF!</definedName>
    <definedName name="FLG" localSheetId="70">#REF!</definedName>
    <definedName name="FLG" localSheetId="52">#REF!</definedName>
    <definedName name="FLG" localSheetId="58">#REF!</definedName>
    <definedName name="FLG" localSheetId="57">#REF!</definedName>
    <definedName name="FLG" localSheetId="64">#REF!</definedName>
    <definedName name="FLG" localSheetId="67">#REF!</definedName>
    <definedName name="FLG" localSheetId="65">#REF!</definedName>
    <definedName name="FLG" localSheetId="68">#REF!</definedName>
    <definedName name="FLG" localSheetId="71">#REF!</definedName>
    <definedName name="FLG" localSheetId="44">#REF!</definedName>
    <definedName name="FLG" localSheetId="45">#REF!</definedName>
    <definedName name="FLG" localSheetId="17">#REF!</definedName>
    <definedName name="FLG" localSheetId="27">#REF!</definedName>
    <definedName name="FLG" localSheetId="72">#REF!</definedName>
    <definedName name="FLG" localSheetId="28">#REF!</definedName>
    <definedName name="FLG" localSheetId="29">#REF!</definedName>
    <definedName name="FLG" localSheetId="66">#REF!</definedName>
    <definedName name="FLG">#REF!</definedName>
    <definedName name="FLG_Orifice" localSheetId="70">#REF!</definedName>
    <definedName name="FLG_Orifice" localSheetId="52">#REF!</definedName>
    <definedName name="FLG_Orifice" localSheetId="58">#REF!</definedName>
    <definedName name="FLG_Orifice" localSheetId="57">#REF!</definedName>
    <definedName name="FLG_Orifice" localSheetId="64">#REF!</definedName>
    <definedName name="FLG_Orifice" localSheetId="67">#REF!</definedName>
    <definedName name="FLG_Orifice" localSheetId="65">#REF!</definedName>
    <definedName name="FLG_Orifice" localSheetId="68">#REF!</definedName>
    <definedName name="FLG_Orifice" localSheetId="71">#REF!</definedName>
    <definedName name="FLG_Orifice" localSheetId="44">#REF!</definedName>
    <definedName name="FLG_Orifice" localSheetId="45">#REF!</definedName>
    <definedName name="FLG_Orifice" localSheetId="17">#REF!</definedName>
    <definedName name="FLG_Orifice" localSheetId="27">#REF!</definedName>
    <definedName name="FLG_Orifice" localSheetId="72">#REF!</definedName>
    <definedName name="FLG_Orifice" localSheetId="28">#REF!</definedName>
    <definedName name="FLG_Orifice" localSheetId="29">#REF!</definedName>
    <definedName name="FLG_Orifice" localSheetId="66">#REF!</definedName>
    <definedName name="FLG_Orifice">#REF!</definedName>
    <definedName name="FR" localSheetId="70">'[33]해외 연수비용 계산-삭제'!#REF!</definedName>
    <definedName name="FR" localSheetId="52">'[33]해외 연수비용 계산-삭제'!#REF!</definedName>
    <definedName name="FR" localSheetId="58">'[33]해외 연수비용 계산-삭제'!#REF!</definedName>
    <definedName name="FR" localSheetId="57">'[33]해외 연수비용 계산-삭제'!#REF!</definedName>
    <definedName name="FR" localSheetId="64">'[33]해외 연수비용 계산-삭제'!#REF!</definedName>
    <definedName name="FR" localSheetId="67">'[33]해외 연수비용 계산-삭제'!#REF!</definedName>
    <definedName name="FR" localSheetId="65">'[33]해외 연수비용 계산-삭제'!#REF!</definedName>
    <definedName name="FR" localSheetId="68">'[33]해외 연수비용 계산-삭제'!#REF!</definedName>
    <definedName name="FR" localSheetId="71">'[33]해외 연수비용 계산-삭제'!#REF!</definedName>
    <definedName name="FR" localSheetId="44">'[33]해외 연수비용 계산-삭제'!#REF!</definedName>
    <definedName name="FR" localSheetId="45">'[33]해외 연수비용 계산-삭제'!#REF!</definedName>
    <definedName name="FR" localSheetId="17">'[33]해외 연수비용 계산-삭제'!#REF!</definedName>
    <definedName name="FR" localSheetId="27">'[33]해외 연수비용 계산-삭제'!#REF!</definedName>
    <definedName name="FR" localSheetId="72">'[33]해외 연수비용 계산-삭제'!#REF!</definedName>
    <definedName name="FR" localSheetId="28">'[33]해외 연수비용 계산-삭제'!#REF!</definedName>
    <definedName name="FR" localSheetId="29">'[33]해외 연수비용 계산-삭제'!#REF!</definedName>
    <definedName name="FR" localSheetId="66">'[33]해외 연수비용 계산-삭제'!#REF!</definedName>
    <definedName name="FR">'[33]해외 연수비용 계산-삭제'!#REF!</definedName>
    <definedName name="fs" localSheetId="140" hidden="1">{"'Sheet1'!$L$16"}</definedName>
    <definedName name="fs" localSheetId="58" hidden="1">{"'Sheet1'!$L$16"}</definedName>
    <definedName name="fs" localSheetId="56" hidden="1">{"'Sheet1'!$L$16"}</definedName>
    <definedName name="fs" localSheetId="57" hidden="1">{"'Sheet1'!$L$16"}</definedName>
    <definedName name="fs" localSheetId="67" hidden="1">{"'Sheet1'!$L$16"}</definedName>
    <definedName name="fs" localSheetId="65" hidden="1">{"'Sheet1'!$L$16"}</definedName>
    <definedName name="fs" localSheetId="68" hidden="1">{"'Sheet1'!$L$16"}</definedName>
    <definedName name="fs" localSheetId="71" hidden="1">{"'Sheet1'!$L$16"}</definedName>
    <definedName name="fs" localSheetId="17" hidden="1">{"'Sheet1'!$L$16"}</definedName>
    <definedName name="fs" localSheetId="27" hidden="1">{"'Sheet1'!$L$16"}</definedName>
    <definedName name="fs" localSheetId="72" hidden="1">{"'Sheet1'!$L$16"}</definedName>
    <definedName name="fs" localSheetId="28" hidden="1">{"'Sheet1'!$L$16"}</definedName>
    <definedName name="fs" localSheetId="29" hidden="1">{"'Sheet1'!$L$16"}</definedName>
    <definedName name="fs" hidden="1">{"'Sheet1'!$L$16"}</definedName>
    <definedName name="fsfsgfs">'[12]B_S Group'!$H$229</definedName>
    <definedName name="fssdzfzsdffzsdf" localSheetId="70">#REF!</definedName>
    <definedName name="fssdzfzsdffzsdf" localSheetId="52">#REF!</definedName>
    <definedName name="fssdzfzsdffzsdf" localSheetId="58">#REF!</definedName>
    <definedName name="fssdzfzsdffzsdf" localSheetId="57">#REF!</definedName>
    <definedName name="fssdzfzsdffzsdf" localSheetId="64">#REF!</definedName>
    <definedName name="fssdzfzsdffzsdf" localSheetId="67">#REF!</definedName>
    <definedName name="fssdzfzsdffzsdf" localSheetId="65">#REF!</definedName>
    <definedName name="fssdzfzsdffzsdf" localSheetId="68">#REF!</definedName>
    <definedName name="fssdzfzsdffzsdf" localSheetId="71">#REF!</definedName>
    <definedName name="fssdzfzsdffzsdf" localSheetId="44">#REF!</definedName>
    <definedName name="fssdzfzsdffzsdf" localSheetId="45">#REF!</definedName>
    <definedName name="fssdzfzsdffzsdf" localSheetId="48">#REF!</definedName>
    <definedName name="fssdzfzsdffzsdf" localSheetId="17">#REF!</definedName>
    <definedName name="fssdzfzsdffzsdf" localSheetId="27">#REF!</definedName>
    <definedName name="fssdzfzsdffzsdf" localSheetId="72">#REF!</definedName>
    <definedName name="fssdzfzsdffzsdf" localSheetId="28">#REF!</definedName>
    <definedName name="fssdzfzsdffzsdf" localSheetId="29">#REF!</definedName>
    <definedName name="fssdzfzsdffzsdf" localSheetId="66">#REF!</definedName>
    <definedName name="fssdzfzsdffzsdf">#REF!</definedName>
    <definedName name="Fuel_Exp_CY" localSheetId="70">#REF!</definedName>
    <definedName name="Fuel_Exp_CY" localSheetId="20">#REF!</definedName>
    <definedName name="Fuel_Exp_CY" localSheetId="15">#REF!</definedName>
    <definedName name="Fuel_Exp_CY" localSheetId="52">#REF!</definedName>
    <definedName name="Fuel_Exp_CY" localSheetId="58">#REF!</definedName>
    <definedName name="Fuel_Exp_CY" localSheetId="57">#REF!</definedName>
    <definedName name="Fuel_Exp_CY" localSheetId="64">#REF!</definedName>
    <definedName name="Fuel_Exp_CY" localSheetId="67">#REF!</definedName>
    <definedName name="Fuel_Exp_CY" localSheetId="65">#REF!</definedName>
    <definedName name="Fuel_Exp_CY" localSheetId="30">#REF!</definedName>
    <definedName name="Fuel_Exp_CY" localSheetId="68">#REF!</definedName>
    <definedName name="Fuel_Exp_CY" localSheetId="71">#REF!</definedName>
    <definedName name="Fuel_Exp_CY" localSheetId="44">#REF!</definedName>
    <definedName name="Fuel_Exp_CY" localSheetId="45">#REF!</definedName>
    <definedName name="Fuel_Exp_CY" localSheetId="48">#REF!</definedName>
    <definedName name="Fuel_Exp_CY" localSheetId="27">#REF!</definedName>
    <definedName name="Fuel_Exp_CY" localSheetId="28">#REF!</definedName>
    <definedName name="Fuel_Exp_CY" localSheetId="29">#REF!</definedName>
    <definedName name="Fuel_Exp_CY" localSheetId="66">#REF!</definedName>
    <definedName name="Fuel_Exp_CY">#REF!</definedName>
    <definedName name="Fuel_Exp_EY" localSheetId="70">#REF!</definedName>
    <definedName name="Fuel_Exp_EY" localSheetId="20">#REF!</definedName>
    <definedName name="Fuel_Exp_EY" localSheetId="15">#REF!</definedName>
    <definedName name="Fuel_Exp_EY" localSheetId="52">#REF!</definedName>
    <definedName name="Fuel_Exp_EY" localSheetId="58">#REF!</definedName>
    <definedName name="Fuel_Exp_EY" localSheetId="57">#REF!</definedName>
    <definedName name="Fuel_Exp_EY" localSheetId="64">#REF!</definedName>
    <definedName name="Fuel_Exp_EY" localSheetId="67">#REF!</definedName>
    <definedName name="Fuel_Exp_EY" localSheetId="65">#REF!</definedName>
    <definedName name="Fuel_Exp_EY" localSheetId="30">#REF!</definedName>
    <definedName name="Fuel_Exp_EY" localSheetId="68">#REF!</definedName>
    <definedName name="Fuel_Exp_EY" localSheetId="71">#REF!</definedName>
    <definedName name="Fuel_Exp_EY" localSheetId="44">#REF!</definedName>
    <definedName name="Fuel_Exp_EY" localSheetId="45">#REF!</definedName>
    <definedName name="Fuel_Exp_EY" localSheetId="48">#REF!</definedName>
    <definedName name="Fuel_Exp_EY" localSheetId="27">#REF!</definedName>
    <definedName name="Fuel_Exp_EY" localSheetId="28">#REF!</definedName>
    <definedName name="Fuel_Exp_EY" localSheetId="29">#REF!</definedName>
    <definedName name="Fuel_Exp_EY" localSheetId="66">#REF!</definedName>
    <definedName name="Fuel_Exp_EY">#REF!</definedName>
    <definedName name="Fuel_Exp_PY" localSheetId="70">#REF!</definedName>
    <definedName name="Fuel_Exp_PY" localSheetId="20">#REF!</definedName>
    <definedName name="Fuel_Exp_PY" localSheetId="15">#REF!</definedName>
    <definedName name="Fuel_Exp_PY" localSheetId="52">#REF!</definedName>
    <definedName name="Fuel_Exp_PY" localSheetId="58">#REF!</definedName>
    <definedName name="Fuel_Exp_PY" localSheetId="57">#REF!</definedName>
    <definedName name="Fuel_Exp_PY" localSheetId="64">#REF!</definedName>
    <definedName name="Fuel_Exp_PY" localSheetId="67">#REF!</definedName>
    <definedName name="Fuel_Exp_PY" localSheetId="65">#REF!</definedName>
    <definedName name="Fuel_Exp_PY" localSheetId="30">#REF!</definedName>
    <definedName name="Fuel_Exp_PY" localSheetId="68">#REF!</definedName>
    <definedName name="Fuel_Exp_PY" localSheetId="71">#REF!</definedName>
    <definedName name="Fuel_Exp_PY" localSheetId="44">#REF!</definedName>
    <definedName name="Fuel_Exp_PY" localSheetId="45">#REF!</definedName>
    <definedName name="Fuel_Exp_PY" localSheetId="48">#REF!</definedName>
    <definedName name="Fuel_Exp_PY" localSheetId="27">#REF!</definedName>
    <definedName name="Fuel_Exp_PY" localSheetId="28">#REF!</definedName>
    <definedName name="Fuel_Exp_PY" localSheetId="29">#REF!</definedName>
    <definedName name="Fuel_Exp_PY" localSheetId="66">#REF!</definedName>
    <definedName name="Fuel_Exp_PY">#REF!</definedName>
    <definedName name="FUEL_TYPE" localSheetId="70">#REF!</definedName>
    <definedName name="FUEL_TYPE" localSheetId="52">#REF!</definedName>
    <definedName name="FUEL_TYPE" localSheetId="58">#REF!</definedName>
    <definedName name="FUEL_TYPE" localSheetId="57">#REF!</definedName>
    <definedName name="FUEL_TYPE" localSheetId="64">#REF!</definedName>
    <definedName name="FUEL_TYPE" localSheetId="67">#REF!</definedName>
    <definedName name="FUEL_TYPE" localSheetId="65">#REF!</definedName>
    <definedName name="FUEL_TYPE" localSheetId="68">#REF!</definedName>
    <definedName name="FUEL_TYPE" localSheetId="71">#REF!</definedName>
    <definedName name="FUEL_TYPE" localSheetId="44">#REF!</definedName>
    <definedName name="FUEL_TYPE" localSheetId="45">#REF!</definedName>
    <definedName name="FUEL_TYPE" localSheetId="27">#REF!</definedName>
    <definedName name="FUEL_TYPE" localSheetId="28">#REF!</definedName>
    <definedName name="FUEL_TYPE" localSheetId="29">#REF!</definedName>
    <definedName name="FUEL_TYPE" localSheetId="66">#REF!</definedName>
    <definedName name="FUEL_TYPE">#REF!</definedName>
    <definedName name="FUELCOST" localSheetId="70">'[5]Financial Estimates'!#REF!</definedName>
    <definedName name="FUELCOST" localSheetId="52">'[5]Financial Estimates'!#REF!</definedName>
    <definedName name="FUELCOST" localSheetId="58">'[5]Financial Estimates'!#REF!</definedName>
    <definedName name="FUELCOST" localSheetId="57">'[5]Financial Estimates'!#REF!</definedName>
    <definedName name="FUELCOST" localSheetId="64">'[5]Financial Estimates'!#REF!</definedName>
    <definedName name="FUELCOST" localSheetId="67">'[5]Financial Estimates'!#REF!</definedName>
    <definedName name="FUELCOST" localSheetId="65">'[5]Financial Estimates'!#REF!</definedName>
    <definedName name="FUELCOST" localSheetId="68">'[5]Financial Estimates'!#REF!</definedName>
    <definedName name="FUELCOST" localSheetId="71">'[5]Financial Estimates'!#REF!</definedName>
    <definedName name="FUELCOST" localSheetId="44">'[5]Financial Estimates'!#REF!</definedName>
    <definedName name="FUELCOST" localSheetId="45">'[5]Financial Estimates'!#REF!</definedName>
    <definedName name="FUELCOST" localSheetId="27">'[5]Financial Estimates'!#REF!</definedName>
    <definedName name="FUELCOST" localSheetId="28">'[5]Financial Estimates'!#REF!</definedName>
    <definedName name="FUELCOST" localSheetId="29">'[5]Financial Estimates'!#REF!</definedName>
    <definedName name="FUELCOST" localSheetId="66">'[5]Financial Estimates'!#REF!</definedName>
    <definedName name="FUELCOST">'[5]Financial Estimates'!#REF!</definedName>
    <definedName name="FULL">'[5]Financial Estimates'!$A$8:$B$342</definedName>
    <definedName name="FULL_PG1">'[5]Financial Estimates'!$A$7:$D$95</definedName>
    <definedName name="FULL_PRINT" localSheetId="70">#REF!</definedName>
    <definedName name="FULL_PRINT" localSheetId="52">#REF!</definedName>
    <definedName name="FULL_PRINT" localSheetId="58">#REF!</definedName>
    <definedName name="FULL_PRINT" localSheetId="56">#REF!</definedName>
    <definedName name="FULL_PRINT" localSheetId="57">#REF!</definedName>
    <definedName name="FULL_PRINT" localSheetId="64">#REF!</definedName>
    <definedName name="FULL_PRINT" localSheetId="67">#REF!</definedName>
    <definedName name="FULL_PRINT" localSheetId="65">#REF!</definedName>
    <definedName name="FULL_PRINT" localSheetId="68">#REF!</definedName>
    <definedName name="FULL_PRINT" localSheetId="71">#REF!</definedName>
    <definedName name="FULL_PRINT" localSheetId="44">#REF!</definedName>
    <definedName name="FULL_PRINT" localSheetId="45">#REF!</definedName>
    <definedName name="FULL_PRINT" localSheetId="17">#REF!</definedName>
    <definedName name="FULL_PRINT" localSheetId="27">#REF!</definedName>
    <definedName name="FULL_PRINT" localSheetId="72">#REF!</definedName>
    <definedName name="FULL_PRINT" localSheetId="28">#REF!</definedName>
    <definedName name="FULL_PRINT" localSheetId="29">#REF!</definedName>
    <definedName name="FULL_PRINT" localSheetId="66">#REF!</definedName>
    <definedName name="FULL_PRINT">#REF!</definedName>
    <definedName name="FULL_REPORT" localSheetId="70">#REF!</definedName>
    <definedName name="FULL_REPORT" localSheetId="52">#REF!</definedName>
    <definedName name="FULL_REPORT" localSheetId="58">#REF!</definedName>
    <definedName name="FULL_REPORT" localSheetId="57">#REF!</definedName>
    <definedName name="FULL_REPORT" localSheetId="64">#REF!</definedName>
    <definedName name="FULL_REPORT" localSheetId="67">#REF!</definedName>
    <definedName name="FULL_REPORT" localSheetId="65">#REF!</definedName>
    <definedName name="FULL_REPORT" localSheetId="68">#REF!</definedName>
    <definedName name="FULL_REPORT" localSheetId="71">#REF!</definedName>
    <definedName name="FULL_REPORT" localSheetId="44">#REF!</definedName>
    <definedName name="FULL_REPORT" localSheetId="45">#REF!</definedName>
    <definedName name="FULL_REPORT" localSheetId="17">#REF!</definedName>
    <definedName name="FULL_REPORT" localSheetId="27">#REF!</definedName>
    <definedName name="FULL_REPORT" localSheetId="72">#REF!</definedName>
    <definedName name="FULL_REPORT" localSheetId="28">#REF!</definedName>
    <definedName name="FULL_REPORT" localSheetId="29">#REF!</definedName>
    <definedName name="FULL_REPORT" localSheetId="66">#REF!</definedName>
    <definedName name="FULL_REPORT">#REF!</definedName>
    <definedName name="FULL2001">'[5]Financial Estimates'!$A$8:$D$342</definedName>
    <definedName name="FUND">[46]rough!$BJ$44</definedName>
    <definedName name="FURNITURE_ES_TA" localSheetId="70">#REF!</definedName>
    <definedName name="FURNITURE_ES_TA" localSheetId="143">#REF!</definedName>
    <definedName name="FURNITURE_ES_TA" localSheetId="52">#REF!</definedName>
    <definedName name="FURNITURE_ES_TA" localSheetId="58">#REF!</definedName>
    <definedName name="FURNITURE_ES_TA" localSheetId="57">#REF!</definedName>
    <definedName name="FURNITURE_ES_TA" localSheetId="64">#REF!</definedName>
    <definedName name="FURNITURE_ES_TA" localSheetId="67">#REF!</definedName>
    <definedName name="FURNITURE_ES_TA" localSheetId="65">#REF!</definedName>
    <definedName name="FURNITURE_ES_TA" localSheetId="68">#REF!</definedName>
    <definedName name="FURNITURE_ES_TA" localSheetId="71">#REF!</definedName>
    <definedName name="FURNITURE_ES_TA" localSheetId="44">#REF!</definedName>
    <definedName name="FURNITURE_ES_TA" localSheetId="45">#REF!</definedName>
    <definedName name="FURNITURE_ES_TA" localSheetId="17">#REF!</definedName>
    <definedName name="FURNITURE_ES_TA" localSheetId="27">#REF!</definedName>
    <definedName name="FURNITURE_ES_TA" localSheetId="72">#REF!</definedName>
    <definedName name="FURNITURE_ES_TA" localSheetId="28">#REF!</definedName>
    <definedName name="FURNITURE_ES_TA" localSheetId="29">#REF!</definedName>
    <definedName name="FURNITURE_ES_TA" localSheetId="66">#REF!</definedName>
    <definedName name="FURNITURE_ES_TA">#REF!</definedName>
    <definedName name="FURNITURE_ES_TD" localSheetId="70">#REF!</definedName>
    <definedName name="FURNITURE_ES_TD" localSheetId="143">#REF!</definedName>
    <definedName name="FURNITURE_ES_TD" localSheetId="52">#REF!</definedName>
    <definedName name="FURNITURE_ES_TD" localSheetId="58">#REF!</definedName>
    <definedName name="FURNITURE_ES_TD" localSheetId="56">#REF!</definedName>
    <definedName name="FURNITURE_ES_TD" localSheetId="57">#REF!</definedName>
    <definedName name="FURNITURE_ES_TD" localSheetId="64">#REF!</definedName>
    <definedName name="FURNITURE_ES_TD" localSheetId="67">#REF!</definedName>
    <definedName name="FURNITURE_ES_TD" localSheetId="65">#REF!</definedName>
    <definedName name="FURNITURE_ES_TD" localSheetId="68">#REF!</definedName>
    <definedName name="FURNITURE_ES_TD" localSheetId="71">#REF!</definedName>
    <definedName name="FURNITURE_ES_TD" localSheetId="44">#REF!</definedName>
    <definedName name="FURNITURE_ES_TD" localSheetId="45">#REF!</definedName>
    <definedName name="FURNITURE_ES_TD" localSheetId="17">#REF!</definedName>
    <definedName name="FURNITURE_ES_TD" localSheetId="27">#REF!</definedName>
    <definedName name="FURNITURE_ES_TD" localSheetId="72">#REF!</definedName>
    <definedName name="FURNITURE_ES_TD" localSheetId="128">'[26]90% Write off'!#REF!</definedName>
    <definedName name="FURNITURE_ES_TD" localSheetId="28">#REF!</definedName>
    <definedName name="FURNITURE_ES_TD" localSheetId="29">#REF!</definedName>
    <definedName name="FURNITURE_ES_TD" localSheetId="66">#REF!</definedName>
    <definedName name="FURNITURE_ES_TD">#REF!</definedName>
    <definedName name="FURNITURE_GEN_TA" localSheetId="70">#REF!</definedName>
    <definedName name="FURNITURE_GEN_TA" localSheetId="143">#REF!</definedName>
    <definedName name="FURNITURE_GEN_TA" localSheetId="52">#REF!</definedName>
    <definedName name="FURNITURE_GEN_TA" localSheetId="58">#REF!</definedName>
    <definedName name="FURNITURE_GEN_TA" localSheetId="57">#REF!</definedName>
    <definedName name="FURNITURE_GEN_TA" localSheetId="64">#REF!</definedName>
    <definedName name="FURNITURE_GEN_TA" localSheetId="67">#REF!</definedName>
    <definedName name="FURNITURE_GEN_TA" localSheetId="65">#REF!</definedName>
    <definedName name="FURNITURE_GEN_TA" localSheetId="68">#REF!</definedName>
    <definedName name="FURNITURE_GEN_TA" localSheetId="71">#REF!</definedName>
    <definedName name="FURNITURE_GEN_TA" localSheetId="44">#REF!</definedName>
    <definedName name="FURNITURE_GEN_TA" localSheetId="45">#REF!</definedName>
    <definedName name="FURNITURE_GEN_TA" localSheetId="17">#REF!</definedName>
    <definedName name="FURNITURE_GEN_TA" localSheetId="27">#REF!</definedName>
    <definedName name="FURNITURE_GEN_TA" localSheetId="72">#REF!</definedName>
    <definedName name="FURNITURE_GEN_TA" localSheetId="28">#REF!</definedName>
    <definedName name="FURNITURE_GEN_TA" localSheetId="29">#REF!</definedName>
    <definedName name="FURNITURE_GEN_TA" localSheetId="66">#REF!</definedName>
    <definedName name="FURNITURE_GEN_TA">#REF!</definedName>
    <definedName name="FURNITURE_GEN_TD" localSheetId="70">#REF!</definedName>
    <definedName name="FURNITURE_GEN_TD" localSheetId="143">#REF!</definedName>
    <definedName name="FURNITURE_GEN_TD" localSheetId="52">#REF!</definedName>
    <definedName name="FURNITURE_GEN_TD" localSheetId="58">#REF!</definedName>
    <definedName name="FURNITURE_GEN_TD" localSheetId="56">#REF!</definedName>
    <definedName name="FURNITURE_GEN_TD" localSheetId="57">#REF!</definedName>
    <definedName name="FURNITURE_GEN_TD" localSheetId="64">#REF!</definedName>
    <definedName name="FURNITURE_GEN_TD" localSheetId="67">#REF!</definedName>
    <definedName name="FURNITURE_GEN_TD" localSheetId="65">#REF!</definedName>
    <definedName name="FURNITURE_GEN_TD" localSheetId="68">#REF!</definedName>
    <definedName name="FURNITURE_GEN_TD" localSheetId="71">#REF!</definedName>
    <definedName name="FURNITURE_GEN_TD" localSheetId="44">#REF!</definedName>
    <definedName name="FURNITURE_GEN_TD" localSheetId="45">#REF!</definedName>
    <definedName name="FURNITURE_GEN_TD" localSheetId="17">#REF!</definedName>
    <definedName name="FURNITURE_GEN_TD" localSheetId="27">#REF!</definedName>
    <definedName name="FURNITURE_GEN_TD" localSheetId="128">'[26]90% Write off'!#REF!</definedName>
    <definedName name="FURNITURE_GEN_TD" localSheetId="28">#REF!</definedName>
    <definedName name="FURNITURE_GEN_TD" localSheetId="29">#REF!</definedName>
    <definedName name="FURNITURE_GEN_TD" localSheetId="66">#REF!</definedName>
    <definedName name="FURNITURE_GEN_TD">#REF!</definedName>
    <definedName name="fweferg">[12]BEST_17112006!$A$174</definedName>
    <definedName name="fy" localSheetId="70">#REF!</definedName>
    <definedName name="fy" localSheetId="52">#REF!</definedName>
    <definedName name="fy" localSheetId="58">#REF!</definedName>
    <definedName name="fy" localSheetId="57">#REF!</definedName>
    <definedName name="fy" localSheetId="64">#REF!</definedName>
    <definedName name="fy" localSheetId="67">#REF!</definedName>
    <definedName name="fy" localSheetId="65">#REF!</definedName>
    <definedName name="fy" localSheetId="68">#REF!</definedName>
    <definedName name="fy" localSheetId="71">#REF!</definedName>
    <definedName name="fy" localSheetId="44">#REF!</definedName>
    <definedName name="fy" localSheetId="45">#REF!</definedName>
    <definedName name="fy" localSheetId="48">#REF!</definedName>
    <definedName name="fy" localSheetId="17">#REF!</definedName>
    <definedName name="fy" localSheetId="27">#REF!</definedName>
    <definedName name="fy" localSheetId="72">#REF!</definedName>
    <definedName name="fy" localSheetId="28">#REF!</definedName>
    <definedName name="fy" localSheetId="29">#REF!</definedName>
    <definedName name="fy" localSheetId="66">#REF!</definedName>
    <definedName name="fy">#REF!</definedName>
    <definedName name="G" localSheetId="140">#N/A</definedName>
    <definedName name="G" localSheetId="142">#N/A</definedName>
    <definedName name="g">[12]Notes!$A$35</definedName>
    <definedName name="G_P_P">#N/A</definedName>
    <definedName name="G083BAAN1" localSheetId="70">#REF!</definedName>
    <definedName name="G083BAAN1" localSheetId="52">#REF!</definedName>
    <definedName name="G083BAAN1" localSheetId="58">#REF!</definedName>
    <definedName name="G083BAAN1" localSheetId="56">#REF!</definedName>
    <definedName name="G083BAAN1" localSheetId="57">#REF!</definedName>
    <definedName name="G083BAAN1" localSheetId="64">#REF!</definedName>
    <definedName name="G083BAAN1" localSheetId="67">#REF!</definedName>
    <definedName name="G083BAAN1" localSheetId="65">#REF!</definedName>
    <definedName name="G083BAAN1" localSheetId="68">#REF!</definedName>
    <definedName name="G083BAAN1" localSheetId="71">#REF!</definedName>
    <definedName name="G083BAAN1" localSheetId="44">#REF!</definedName>
    <definedName name="G083BAAN1" localSheetId="45">#REF!</definedName>
    <definedName name="G083BAAN1" localSheetId="17">#REF!</definedName>
    <definedName name="G083BAAN1" localSheetId="27">#REF!</definedName>
    <definedName name="G083BAAN1" localSheetId="72">#REF!</definedName>
    <definedName name="G083BAAN1" localSheetId="28">#REF!</definedName>
    <definedName name="G083BAAN1" localSheetId="29">#REF!</definedName>
    <definedName name="G083BAAN1" localSheetId="66">#REF!</definedName>
    <definedName name="G083BAAN1">#REF!</definedName>
    <definedName name="gaga" localSheetId="70">#REF!</definedName>
    <definedName name="gaga" localSheetId="52">#REF!</definedName>
    <definedName name="gaga" localSheetId="58">#REF!</definedName>
    <definedName name="gaga" localSheetId="57">#REF!</definedName>
    <definedName name="gaga" localSheetId="64">#REF!</definedName>
    <definedName name="gaga" localSheetId="67">#REF!</definedName>
    <definedName name="gaga" localSheetId="65">#REF!</definedName>
    <definedName name="gaga" localSheetId="68">#REF!</definedName>
    <definedName name="gaga" localSheetId="71">#REF!</definedName>
    <definedName name="gaga" localSheetId="44">#REF!</definedName>
    <definedName name="gaga" localSheetId="45">#REF!</definedName>
    <definedName name="gaga" localSheetId="48">#REF!</definedName>
    <definedName name="gaga" localSheetId="17">#REF!</definedName>
    <definedName name="gaga" localSheetId="27">#REF!</definedName>
    <definedName name="gaga" localSheetId="72">#REF!</definedName>
    <definedName name="gaga" localSheetId="28">#REF!</definedName>
    <definedName name="gaga" localSheetId="29">#REF!</definedName>
    <definedName name="gaga" localSheetId="66">#REF!</definedName>
    <definedName name="gaga">#REF!</definedName>
    <definedName name="gahZh" localSheetId="70">#REF!</definedName>
    <definedName name="gahZh" localSheetId="52">#REF!</definedName>
    <definedName name="gahZh" localSheetId="58">#REF!</definedName>
    <definedName name="gahZh" localSheetId="57">#REF!</definedName>
    <definedName name="gahZh" localSheetId="64">#REF!</definedName>
    <definedName name="gahZh" localSheetId="67">#REF!</definedName>
    <definedName name="gahZh" localSheetId="65">#REF!</definedName>
    <definedName name="gahZh" localSheetId="68">#REF!</definedName>
    <definedName name="gahZh" localSheetId="71">#REF!</definedName>
    <definedName name="gahZh" localSheetId="44">#REF!</definedName>
    <definedName name="gahZh" localSheetId="45">#REF!</definedName>
    <definedName name="gahZh" localSheetId="48">#REF!</definedName>
    <definedName name="gahZh" localSheetId="27">#REF!</definedName>
    <definedName name="gahZh" localSheetId="28">#REF!</definedName>
    <definedName name="gahZh" localSheetId="29">#REF!</definedName>
    <definedName name="gahZh" localSheetId="66">#REF!</definedName>
    <definedName name="gahZh">#REF!</definedName>
    <definedName name="gajkahuah" localSheetId="70">#REF!</definedName>
    <definedName name="gajkahuah" localSheetId="52">#REF!</definedName>
    <definedName name="gajkahuah" localSheetId="58">#REF!</definedName>
    <definedName name="gajkahuah" localSheetId="57">#REF!</definedName>
    <definedName name="gajkahuah" localSheetId="64">#REF!</definedName>
    <definedName name="gajkahuah" localSheetId="67">#REF!</definedName>
    <definedName name="gajkahuah" localSheetId="65">#REF!</definedName>
    <definedName name="gajkahuah" localSheetId="68">#REF!</definedName>
    <definedName name="gajkahuah" localSheetId="71">#REF!</definedName>
    <definedName name="gajkahuah" localSheetId="44">#REF!</definedName>
    <definedName name="gajkahuah" localSheetId="45">#REF!</definedName>
    <definedName name="gajkahuah" localSheetId="48">#REF!</definedName>
    <definedName name="gajkahuah" localSheetId="27">#REF!</definedName>
    <definedName name="gajkahuah" localSheetId="28">#REF!</definedName>
    <definedName name="gajkahuah" localSheetId="29">#REF!</definedName>
    <definedName name="gajkahuah" localSheetId="66">#REF!</definedName>
    <definedName name="gajkahuah">#REF!</definedName>
    <definedName name="gasgdskhdu" localSheetId="70">#REF!,#REF!</definedName>
    <definedName name="gasgdskhdu" localSheetId="52">#REF!,#REF!</definedName>
    <definedName name="gasgdskhdu" localSheetId="58">#REF!,#REF!</definedName>
    <definedName name="gasgdskhdu" localSheetId="57">#REF!,#REF!</definedName>
    <definedName name="gasgdskhdu" localSheetId="64">#REF!,#REF!</definedName>
    <definedName name="gasgdskhdu" localSheetId="67">#REF!,#REF!</definedName>
    <definedName name="gasgdskhdu" localSheetId="65">#REF!,#REF!</definedName>
    <definedName name="gasgdskhdu" localSheetId="68">#REF!,#REF!</definedName>
    <definedName name="gasgdskhdu" localSheetId="71">#REF!,#REF!</definedName>
    <definedName name="gasgdskhdu" localSheetId="44">#REF!,#REF!</definedName>
    <definedName name="gasgdskhdu" localSheetId="45">#REF!,#REF!</definedName>
    <definedName name="gasgdskhdu" localSheetId="48">#REF!,#REF!</definedName>
    <definedName name="gasgdskhdu" localSheetId="17">#REF!,#REF!</definedName>
    <definedName name="gasgdskhdu" localSheetId="27">#REF!,#REF!</definedName>
    <definedName name="gasgdskhdu" localSheetId="72">#REF!,#REF!</definedName>
    <definedName name="gasgdskhdu" localSheetId="28">#REF!,#REF!</definedName>
    <definedName name="gasgdskhdu" localSheetId="29">#REF!,#REF!</definedName>
    <definedName name="gasgdskhdu" localSheetId="66">#REF!,#REF!</definedName>
    <definedName name="gasgdskhdu">#REF!,#REF!</definedName>
    <definedName name="gate" localSheetId="70">#REF!</definedName>
    <definedName name="gate" localSheetId="52">#REF!</definedName>
    <definedName name="gate" localSheetId="58">#REF!</definedName>
    <definedName name="gate" localSheetId="56">#REF!</definedName>
    <definedName name="gate" localSheetId="57">#REF!</definedName>
    <definedName name="gate" localSheetId="64">#REF!</definedName>
    <definedName name="gate" localSheetId="67">#REF!</definedName>
    <definedName name="gate" localSheetId="65">#REF!</definedName>
    <definedName name="gate" localSheetId="68">#REF!</definedName>
    <definedName name="gate" localSheetId="71">#REF!</definedName>
    <definedName name="gate" localSheetId="44">#REF!</definedName>
    <definedName name="gate" localSheetId="45">#REF!</definedName>
    <definedName name="gate" localSheetId="17">#REF!</definedName>
    <definedName name="gate" localSheetId="27">#REF!</definedName>
    <definedName name="gate" localSheetId="72">#REF!</definedName>
    <definedName name="gate" localSheetId="28">#REF!</definedName>
    <definedName name="gate" localSheetId="29">#REF!</definedName>
    <definedName name="gate" localSheetId="66">#REF!</definedName>
    <definedName name="gate">#REF!</definedName>
    <definedName name="gdgfg" localSheetId="70">#REF!,#REF!</definedName>
    <definedName name="gdgfg" localSheetId="52">#REF!,#REF!</definedName>
    <definedName name="gdgfg" localSheetId="58">#REF!,#REF!</definedName>
    <definedName name="gdgfg" localSheetId="57">#REF!,#REF!</definedName>
    <definedName name="gdgfg" localSheetId="64">#REF!,#REF!</definedName>
    <definedName name="gdgfg" localSheetId="67">#REF!,#REF!</definedName>
    <definedName name="gdgfg" localSheetId="65">#REF!,#REF!</definedName>
    <definedName name="gdgfg" localSheetId="68">#REF!,#REF!</definedName>
    <definedName name="gdgfg" localSheetId="71">#REF!,#REF!</definedName>
    <definedName name="gdgfg" localSheetId="44">#REF!,#REF!</definedName>
    <definedName name="gdgfg" localSheetId="45">#REF!,#REF!</definedName>
    <definedName name="gdgfg" localSheetId="48">#REF!,#REF!</definedName>
    <definedName name="gdgfg" localSheetId="17">#REF!,#REF!</definedName>
    <definedName name="gdgfg" localSheetId="27">#REF!,#REF!</definedName>
    <definedName name="gdgfg" localSheetId="72">#REF!,#REF!</definedName>
    <definedName name="gdgfg" localSheetId="28">#REF!,#REF!</definedName>
    <definedName name="gdgfg" localSheetId="29">#REF!,#REF!</definedName>
    <definedName name="gdgfg" localSheetId="66">#REF!,#REF!</definedName>
    <definedName name="gdgfg">#REF!,#REF!</definedName>
    <definedName name="GENERATION" localSheetId="70">'[5]Financial Estimates'!#REF!</definedName>
    <definedName name="GENERATION" localSheetId="52">'[5]Financial Estimates'!#REF!</definedName>
    <definedName name="GENERATION" localSheetId="58">'[5]Financial Estimates'!#REF!</definedName>
    <definedName name="GENERATION" localSheetId="56">'[5]Financial Estimates'!#REF!</definedName>
    <definedName name="GENERATION" localSheetId="57">'[5]Financial Estimates'!#REF!</definedName>
    <definedName name="GENERATION" localSheetId="64">'[5]Financial Estimates'!#REF!</definedName>
    <definedName name="GENERATION" localSheetId="67">'[5]Financial Estimates'!#REF!</definedName>
    <definedName name="GENERATION" localSheetId="65">'[5]Financial Estimates'!#REF!</definedName>
    <definedName name="GENERATION" localSheetId="68">'[5]Financial Estimates'!#REF!</definedName>
    <definedName name="GENERATION" localSheetId="71">'[5]Financial Estimates'!#REF!</definedName>
    <definedName name="GENERATION" localSheetId="44">'[5]Financial Estimates'!#REF!</definedName>
    <definedName name="GENERATION" localSheetId="45">'[5]Financial Estimates'!#REF!</definedName>
    <definedName name="GENERATION" localSheetId="17">'[5]Financial Estimates'!#REF!</definedName>
    <definedName name="GENERATION" localSheetId="27">'[5]Financial Estimates'!#REF!</definedName>
    <definedName name="GENERATION" localSheetId="72">'[5]Financial Estimates'!#REF!</definedName>
    <definedName name="GENERATION" localSheetId="28">'[5]Financial Estimates'!#REF!</definedName>
    <definedName name="GENERATION" localSheetId="29">'[5]Financial Estimates'!#REF!</definedName>
    <definedName name="GENERATION" localSheetId="66">'[5]Financial Estimates'!#REF!</definedName>
    <definedName name="GENERATION">'[5]Financial Estimates'!#REF!</definedName>
    <definedName name="gg" localSheetId="70">#REF!</definedName>
    <definedName name="gg" localSheetId="52">#REF!</definedName>
    <definedName name="gg" localSheetId="58">#REF!</definedName>
    <definedName name="gg" localSheetId="56">#REF!</definedName>
    <definedName name="gg" localSheetId="57">#REF!</definedName>
    <definedName name="gg" localSheetId="64">#REF!</definedName>
    <definedName name="gg" localSheetId="67">#REF!</definedName>
    <definedName name="gg" localSheetId="65">#REF!</definedName>
    <definedName name="gg" localSheetId="68">#REF!</definedName>
    <definedName name="gg" localSheetId="71">#REF!</definedName>
    <definedName name="gg" localSheetId="44">#REF!</definedName>
    <definedName name="gg" localSheetId="45">#REF!</definedName>
    <definedName name="gg" localSheetId="17">#REF!</definedName>
    <definedName name="gg" localSheetId="27">#REF!</definedName>
    <definedName name="gg" localSheetId="72">#REF!</definedName>
    <definedName name="gg" localSheetId="28">#REF!</definedName>
    <definedName name="gg" localSheetId="29">#REF!</definedName>
    <definedName name="gg" localSheetId="66">#REF!</definedName>
    <definedName name="gg">#REF!</definedName>
    <definedName name="ggg">#N/A</definedName>
    <definedName name="ghdfhfg">'[12]B_S Group'!$H$107</definedName>
    <definedName name="ghhfh" localSheetId="70">#REF!</definedName>
    <definedName name="ghhfh" localSheetId="52">#REF!</definedName>
    <definedName name="ghhfh" localSheetId="58">#REF!</definedName>
    <definedName name="ghhfh" localSheetId="57">#REF!</definedName>
    <definedName name="ghhfh" localSheetId="64">#REF!</definedName>
    <definedName name="ghhfh" localSheetId="67">#REF!</definedName>
    <definedName name="ghhfh" localSheetId="65">#REF!</definedName>
    <definedName name="ghhfh" localSheetId="68">#REF!</definedName>
    <definedName name="ghhfh" localSheetId="71">#REF!</definedName>
    <definedName name="ghhfh" localSheetId="44">#REF!</definedName>
    <definedName name="ghhfh" localSheetId="45">#REF!</definedName>
    <definedName name="ghhfh" localSheetId="48">#REF!</definedName>
    <definedName name="ghhfh" localSheetId="17">#REF!</definedName>
    <definedName name="ghhfh" localSheetId="27">#REF!</definedName>
    <definedName name="ghhfh" localSheetId="72">#REF!</definedName>
    <definedName name="ghhfh" localSheetId="28">#REF!</definedName>
    <definedName name="ghhfh" localSheetId="29">#REF!</definedName>
    <definedName name="ghhfh" localSheetId="66">#REF!</definedName>
    <definedName name="ghhfh">#REF!</definedName>
    <definedName name="gid" localSheetId="140" hidden="1">{"'Sheet1'!$L$16"}</definedName>
    <definedName name="gid" localSheetId="58" hidden="1">{"'Sheet1'!$L$16"}</definedName>
    <definedName name="gid" localSheetId="56" hidden="1">{"'Sheet1'!$L$16"}</definedName>
    <definedName name="gid" localSheetId="57" hidden="1">{"'Sheet1'!$L$16"}</definedName>
    <definedName name="gid" localSheetId="67" hidden="1">{"'Sheet1'!$L$16"}</definedName>
    <definedName name="gid" localSheetId="65" hidden="1">{"'Sheet1'!$L$16"}</definedName>
    <definedName name="gid" localSheetId="68" hidden="1">{"'Sheet1'!$L$16"}</definedName>
    <definedName name="gid" localSheetId="71" hidden="1">{"'Sheet1'!$L$16"}</definedName>
    <definedName name="gid" localSheetId="17" hidden="1">{"'Sheet1'!$L$16"}</definedName>
    <definedName name="gid" localSheetId="27" hidden="1">{"'Sheet1'!$L$16"}</definedName>
    <definedName name="gid" localSheetId="72" hidden="1">{"'Sheet1'!$L$16"}</definedName>
    <definedName name="gid" localSheetId="28" hidden="1">{"'Sheet1'!$L$16"}</definedName>
    <definedName name="gid" localSheetId="29" hidden="1">{"'Sheet1'!$L$16"}</definedName>
    <definedName name="gid" hidden="1">{"'Sheet1'!$L$16"}</definedName>
    <definedName name="gj" localSheetId="140" hidden="1">{"'Sheet1'!$L$16"}</definedName>
    <definedName name="gj" localSheetId="58" hidden="1">{"'Sheet1'!$L$16"}</definedName>
    <definedName name="gj" localSheetId="56" hidden="1">{"'Sheet1'!$L$16"}</definedName>
    <definedName name="gj" localSheetId="57" hidden="1">{"'Sheet1'!$L$16"}</definedName>
    <definedName name="gj" localSheetId="67" hidden="1">{"'Sheet1'!$L$16"}</definedName>
    <definedName name="gj" localSheetId="65" hidden="1">{"'Sheet1'!$L$16"}</definedName>
    <definedName name="gj" localSheetId="68" hidden="1">{"'Sheet1'!$L$16"}</definedName>
    <definedName name="gj" localSheetId="71" hidden="1">{"'Sheet1'!$L$16"}</definedName>
    <definedName name="gj" localSheetId="17" hidden="1">{"'Sheet1'!$L$16"}</definedName>
    <definedName name="gj" localSheetId="27" hidden="1">{"'Sheet1'!$L$16"}</definedName>
    <definedName name="gj" localSheetId="72" hidden="1">{"'Sheet1'!$L$16"}</definedName>
    <definedName name="gj" localSheetId="28" hidden="1">{"'Sheet1'!$L$16"}</definedName>
    <definedName name="gj" localSheetId="29" hidden="1">{"'Sheet1'!$L$16"}</definedName>
    <definedName name="gj" hidden="1">{"'Sheet1'!$L$16"}</definedName>
    <definedName name="gkd" localSheetId="140" hidden="1">{"'Sheet1'!$L$16"}</definedName>
    <definedName name="gkd" localSheetId="58" hidden="1">{"'Sheet1'!$L$16"}</definedName>
    <definedName name="gkd" localSheetId="56" hidden="1">{"'Sheet1'!$L$16"}</definedName>
    <definedName name="gkd" localSheetId="57" hidden="1">{"'Sheet1'!$L$16"}</definedName>
    <definedName name="gkd" localSheetId="67" hidden="1">{"'Sheet1'!$L$16"}</definedName>
    <definedName name="gkd" localSheetId="65" hidden="1">{"'Sheet1'!$L$16"}</definedName>
    <definedName name="gkd" localSheetId="68" hidden="1">{"'Sheet1'!$L$16"}</definedName>
    <definedName name="gkd" localSheetId="71" hidden="1">{"'Sheet1'!$L$16"}</definedName>
    <definedName name="gkd" localSheetId="17" hidden="1">{"'Sheet1'!$L$16"}</definedName>
    <definedName name="gkd" localSheetId="27" hidden="1">{"'Sheet1'!$L$16"}</definedName>
    <definedName name="gkd" localSheetId="72" hidden="1">{"'Sheet1'!$L$16"}</definedName>
    <definedName name="gkd" localSheetId="28" hidden="1">{"'Sheet1'!$L$16"}</definedName>
    <definedName name="gkd" localSheetId="29" hidden="1">{"'Sheet1'!$L$16"}</definedName>
    <definedName name="gkd" hidden="1">{"'Sheet1'!$L$16"}</definedName>
    <definedName name="globe" localSheetId="70">#REF!</definedName>
    <definedName name="globe" localSheetId="52">#REF!</definedName>
    <definedName name="globe" localSheetId="58">#REF!</definedName>
    <definedName name="globe" localSheetId="57">#REF!</definedName>
    <definedName name="globe" localSheetId="64">#REF!</definedName>
    <definedName name="globe" localSheetId="67">#REF!</definedName>
    <definedName name="globe" localSheetId="65">#REF!</definedName>
    <definedName name="globe" localSheetId="68">#REF!</definedName>
    <definedName name="globe" localSheetId="71">#REF!</definedName>
    <definedName name="globe" localSheetId="44">#REF!</definedName>
    <definedName name="globe" localSheetId="45">#REF!</definedName>
    <definedName name="globe" localSheetId="27">#REF!</definedName>
    <definedName name="globe" localSheetId="28">#REF!</definedName>
    <definedName name="globe" localSheetId="29">#REF!</definedName>
    <definedName name="globe" localSheetId="66">#REF!</definedName>
    <definedName name="globe">#REF!</definedName>
    <definedName name="GoBack">#N/A</definedName>
    <definedName name="GP" localSheetId="70">#REF!</definedName>
    <definedName name="GP" localSheetId="52">#REF!</definedName>
    <definedName name="GP" localSheetId="58">#REF!</definedName>
    <definedName name="GP" localSheetId="56">#REF!</definedName>
    <definedName name="GP" localSheetId="57">#REF!</definedName>
    <definedName name="GP" localSheetId="64">#REF!</definedName>
    <definedName name="GP" localSheetId="67">#REF!</definedName>
    <definedName name="GP" localSheetId="65">#REF!</definedName>
    <definedName name="GP" localSheetId="68">#REF!</definedName>
    <definedName name="GP" localSheetId="71">#REF!</definedName>
    <definedName name="GP" localSheetId="44">#REF!</definedName>
    <definedName name="GP" localSheetId="45">#REF!</definedName>
    <definedName name="GP" localSheetId="17">#REF!</definedName>
    <definedName name="GP" localSheetId="27">#REF!</definedName>
    <definedName name="GP" localSheetId="72">#REF!</definedName>
    <definedName name="GP" localSheetId="28">#REF!</definedName>
    <definedName name="GP" localSheetId="29">#REF!</definedName>
    <definedName name="GP" localSheetId="66">#REF!</definedName>
    <definedName name="GP">#REF!</definedName>
    <definedName name="GR_NO">#N/A</definedName>
    <definedName name="GRNO" localSheetId="70">'[13]해외 기술훈련비 (합계)'!#REF!</definedName>
    <definedName name="GRNO" localSheetId="52">'[13]해외 기술훈련비 (합계)'!#REF!</definedName>
    <definedName name="GRNO" localSheetId="58">'[13]해외 기술훈련비 (합계)'!#REF!</definedName>
    <definedName name="GRNO" localSheetId="56">'[13]해외 기술훈련비 (합계)'!#REF!</definedName>
    <definedName name="GRNO" localSheetId="57">'[13]해외 기술훈련비 (합계)'!#REF!</definedName>
    <definedName name="GRNO" localSheetId="64">'[13]해외 기술훈련비 (합계)'!#REF!</definedName>
    <definedName name="GRNO" localSheetId="67">'[13]해외 기술훈련비 (합계)'!#REF!</definedName>
    <definedName name="GRNO" localSheetId="65">'[13]해외 기술훈련비 (합계)'!#REF!</definedName>
    <definedName name="GRNO" localSheetId="68">'[13]해외 기술훈련비 (합계)'!#REF!</definedName>
    <definedName name="GRNO" localSheetId="71">'[13]해외 기술훈련비 (합계)'!#REF!</definedName>
    <definedName name="GRNO" localSheetId="44">'[13]해외 기술훈련비 (합계)'!#REF!</definedName>
    <definedName name="GRNO" localSheetId="45">'[13]해외 기술훈련비 (합계)'!#REF!</definedName>
    <definedName name="GRNO" localSheetId="17">'[13]해외 기술훈련비 (합계)'!#REF!</definedName>
    <definedName name="GRNO" localSheetId="27">'[13]해외 기술훈련비 (합계)'!#REF!</definedName>
    <definedName name="GRNO" localSheetId="72">'[13]해외 기술훈련비 (합계)'!#REF!</definedName>
    <definedName name="GRNO" localSheetId="28">'[13]해외 기술훈련비 (합계)'!#REF!</definedName>
    <definedName name="GRNO" localSheetId="29">'[13]해외 기술훈련비 (합계)'!#REF!</definedName>
    <definedName name="GRNO" localSheetId="66">'[13]해외 기술훈련비 (합계)'!#REF!</definedName>
    <definedName name="GRNO">'[13]해외 기술훈련비 (합계)'!#REF!</definedName>
    <definedName name="GROUP1">#N/A</definedName>
    <definedName name="GROUP10" localSheetId="70">'[31]ITEM-LIST'!#REF!</definedName>
    <definedName name="GROUP10" localSheetId="52">'[31]ITEM-LIST'!#REF!</definedName>
    <definedName name="GROUP10" localSheetId="58">'[31]ITEM-LIST'!#REF!</definedName>
    <definedName name="GROUP10" localSheetId="57">'[31]ITEM-LIST'!#REF!</definedName>
    <definedName name="GROUP10" localSheetId="64">'[31]ITEM-LIST'!#REF!</definedName>
    <definedName name="GROUP10" localSheetId="67">'[31]ITEM-LIST'!#REF!</definedName>
    <definedName name="GROUP10" localSheetId="65">'[31]ITEM-LIST'!#REF!</definedName>
    <definedName name="GROUP10" localSheetId="68">'[31]ITEM-LIST'!#REF!</definedName>
    <definedName name="GROUP10" localSheetId="71">'[31]ITEM-LIST'!#REF!</definedName>
    <definedName name="GROUP10" localSheetId="44">'[31]ITEM-LIST'!#REF!</definedName>
    <definedName name="GROUP10" localSheetId="45">'[31]ITEM-LIST'!#REF!</definedName>
    <definedName name="GROUP10" localSheetId="27">'[31]ITEM-LIST'!#REF!</definedName>
    <definedName name="GROUP10" localSheetId="28">'[31]ITEM-LIST'!#REF!</definedName>
    <definedName name="GROUP10" localSheetId="29">'[31]ITEM-LIST'!#REF!</definedName>
    <definedName name="GROUP10" localSheetId="66">'[31]ITEM-LIST'!#REF!</definedName>
    <definedName name="GROUP10">'[31]ITEM-LIST'!#REF!</definedName>
    <definedName name="GROUP11" localSheetId="70">'[31]ITEM-LIST'!#REF!</definedName>
    <definedName name="GROUP11" localSheetId="52">'[31]ITEM-LIST'!#REF!</definedName>
    <definedName name="GROUP11" localSheetId="58">'[31]ITEM-LIST'!#REF!</definedName>
    <definedName name="GROUP11" localSheetId="57">'[31]ITEM-LIST'!#REF!</definedName>
    <definedName name="GROUP11" localSheetId="64">'[31]ITEM-LIST'!#REF!</definedName>
    <definedName name="GROUP11" localSheetId="67">'[31]ITEM-LIST'!#REF!</definedName>
    <definedName name="GROUP11" localSheetId="65">'[31]ITEM-LIST'!#REF!</definedName>
    <definedName name="GROUP11" localSheetId="68">'[31]ITEM-LIST'!#REF!</definedName>
    <definedName name="GROUP11" localSheetId="71">'[31]ITEM-LIST'!#REF!</definedName>
    <definedName name="GROUP11" localSheetId="44">'[31]ITEM-LIST'!#REF!</definedName>
    <definedName name="GROUP11" localSheetId="45">'[31]ITEM-LIST'!#REF!</definedName>
    <definedName name="GROUP11" localSheetId="27">'[31]ITEM-LIST'!#REF!</definedName>
    <definedName name="GROUP11" localSheetId="28">'[31]ITEM-LIST'!#REF!</definedName>
    <definedName name="GROUP11" localSheetId="29">'[31]ITEM-LIST'!#REF!</definedName>
    <definedName name="GROUP11" localSheetId="66">'[31]ITEM-LIST'!#REF!</definedName>
    <definedName name="GROUP11">'[31]ITEM-LIST'!#REF!</definedName>
    <definedName name="GROUP12" localSheetId="70">'[31]ITEM-LIST'!#REF!</definedName>
    <definedName name="GROUP12" localSheetId="52">'[31]ITEM-LIST'!#REF!</definedName>
    <definedName name="GROUP12" localSheetId="58">'[31]ITEM-LIST'!#REF!</definedName>
    <definedName name="GROUP12" localSheetId="57">'[31]ITEM-LIST'!#REF!</definedName>
    <definedName name="GROUP12" localSheetId="64">'[31]ITEM-LIST'!#REF!</definedName>
    <definedName name="GROUP12" localSheetId="67">'[31]ITEM-LIST'!#REF!</definedName>
    <definedName name="GROUP12" localSheetId="65">'[31]ITEM-LIST'!#REF!</definedName>
    <definedName name="GROUP12" localSheetId="68">'[31]ITEM-LIST'!#REF!</definedName>
    <definedName name="GROUP12" localSheetId="71">'[31]ITEM-LIST'!#REF!</definedName>
    <definedName name="GROUP12" localSheetId="44">'[31]ITEM-LIST'!#REF!</definedName>
    <definedName name="GROUP12" localSheetId="45">'[31]ITEM-LIST'!#REF!</definedName>
    <definedName name="GROUP12" localSheetId="27">'[31]ITEM-LIST'!#REF!</definedName>
    <definedName name="GROUP12" localSheetId="28">'[31]ITEM-LIST'!#REF!</definedName>
    <definedName name="GROUP12" localSheetId="29">'[31]ITEM-LIST'!#REF!</definedName>
    <definedName name="GROUP12" localSheetId="66">'[31]ITEM-LIST'!#REF!</definedName>
    <definedName name="GROUP12">'[31]ITEM-LIST'!#REF!</definedName>
    <definedName name="GROUP13" localSheetId="70">'[31]ITEM-LIST'!#REF!</definedName>
    <definedName name="GROUP13" localSheetId="52">'[31]ITEM-LIST'!#REF!</definedName>
    <definedName name="GROUP13" localSheetId="58">'[31]ITEM-LIST'!#REF!</definedName>
    <definedName name="GROUP13" localSheetId="57">'[31]ITEM-LIST'!#REF!</definedName>
    <definedName name="GROUP13" localSheetId="64">'[31]ITEM-LIST'!#REF!</definedName>
    <definedName name="GROUP13" localSheetId="67">'[31]ITEM-LIST'!#REF!</definedName>
    <definedName name="GROUP13" localSheetId="65">'[31]ITEM-LIST'!#REF!</definedName>
    <definedName name="GROUP13" localSheetId="68">'[31]ITEM-LIST'!#REF!</definedName>
    <definedName name="GROUP13" localSheetId="71">'[31]ITEM-LIST'!#REF!</definedName>
    <definedName name="GROUP13" localSheetId="44">'[31]ITEM-LIST'!#REF!</definedName>
    <definedName name="GROUP13" localSheetId="45">'[31]ITEM-LIST'!#REF!</definedName>
    <definedName name="GROUP13" localSheetId="27">'[31]ITEM-LIST'!#REF!</definedName>
    <definedName name="GROUP13" localSheetId="28">'[31]ITEM-LIST'!#REF!</definedName>
    <definedName name="GROUP13" localSheetId="29">'[31]ITEM-LIST'!#REF!</definedName>
    <definedName name="GROUP13" localSheetId="66">'[31]ITEM-LIST'!#REF!</definedName>
    <definedName name="GROUP13">'[31]ITEM-LIST'!#REF!</definedName>
    <definedName name="GROUP14" localSheetId="70">'[31]ITEM-LIST'!#REF!</definedName>
    <definedName name="GROUP14" localSheetId="52">'[31]ITEM-LIST'!#REF!</definedName>
    <definedName name="GROUP14" localSheetId="58">'[31]ITEM-LIST'!#REF!</definedName>
    <definedName name="GROUP14" localSheetId="57">'[31]ITEM-LIST'!#REF!</definedName>
    <definedName name="GROUP14" localSheetId="64">'[31]ITEM-LIST'!#REF!</definedName>
    <definedName name="GROUP14" localSheetId="67">'[31]ITEM-LIST'!#REF!</definedName>
    <definedName name="GROUP14" localSheetId="65">'[31]ITEM-LIST'!#REF!</definedName>
    <definedName name="GROUP14" localSheetId="68">'[31]ITEM-LIST'!#REF!</definedName>
    <definedName name="GROUP14" localSheetId="71">'[31]ITEM-LIST'!#REF!</definedName>
    <definedName name="GROUP14" localSheetId="44">'[31]ITEM-LIST'!#REF!</definedName>
    <definedName name="GROUP14" localSheetId="45">'[31]ITEM-LIST'!#REF!</definedName>
    <definedName name="GROUP14" localSheetId="27">'[31]ITEM-LIST'!#REF!</definedName>
    <definedName name="GROUP14" localSheetId="28">'[31]ITEM-LIST'!#REF!</definedName>
    <definedName name="GROUP14" localSheetId="29">'[31]ITEM-LIST'!#REF!</definedName>
    <definedName name="GROUP14" localSheetId="66">'[31]ITEM-LIST'!#REF!</definedName>
    <definedName name="GROUP14">'[31]ITEM-LIST'!#REF!</definedName>
    <definedName name="GROUP15" localSheetId="70">'[31]ITEM-LIST'!#REF!</definedName>
    <definedName name="GROUP15" localSheetId="52">'[31]ITEM-LIST'!#REF!</definedName>
    <definedName name="GROUP15" localSheetId="58">'[31]ITEM-LIST'!#REF!</definedName>
    <definedName name="GROUP15" localSheetId="57">'[31]ITEM-LIST'!#REF!</definedName>
    <definedName name="GROUP15" localSheetId="64">'[31]ITEM-LIST'!#REF!</definedName>
    <definedName name="GROUP15" localSheetId="67">'[31]ITEM-LIST'!#REF!</definedName>
    <definedName name="GROUP15" localSheetId="65">'[31]ITEM-LIST'!#REF!</definedName>
    <definedName name="GROUP15" localSheetId="68">'[31]ITEM-LIST'!#REF!</definedName>
    <definedName name="GROUP15" localSheetId="71">'[31]ITEM-LIST'!#REF!</definedName>
    <definedName name="GROUP15" localSheetId="44">'[31]ITEM-LIST'!#REF!</definedName>
    <definedName name="GROUP15" localSheetId="45">'[31]ITEM-LIST'!#REF!</definedName>
    <definedName name="GROUP15" localSheetId="27">'[31]ITEM-LIST'!#REF!</definedName>
    <definedName name="GROUP15" localSheetId="28">'[31]ITEM-LIST'!#REF!</definedName>
    <definedName name="GROUP15" localSheetId="29">'[31]ITEM-LIST'!#REF!</definedName>
    <definedName name="GROUP15" localSheetId="66">'[31]ITEM-LIST'!#REF!</definedName>
    <definedName name="GROUP15">'[31]ITEM-LIST'!#REF!</definedName>
    <definedName name="GROUP2">#N/A</definedName>
    <definedName name="GROUP3">#N/A</definedName>
    <definedName name="GROUP4">#N/A</definedName>
    <definedName name="GROUP5">#N/A</definedName>
    <definedName name="GROUP6">#N/A</definedName>
    <definedName name="GROUP7">#N/A</definedName>
    <definedName name="GROUP8">#N/A</definedName>
    <definedName name="GROUP9" localSheetId="70">'[31]ITEM-LIST'!#REF!</definedName>
    <definedName name="GROUP9" localSheetId="52">'[31]ITEM-LIST'!#REF!</definedName>
    <definedName name="GROUP9" localSheetId="58">'[31]ITEM-LIST'!#REF!</definedName>
    <definedName name="GROUP9" localSheetId="57">'[31]ITEM-LIST'!#REF!</definedName>
    <definedName name="GROUP9" localSheetId="64">'[31]ITEM-LIST'!#REF!</definedName>
    <definedName name="GROUP9" localSheetId="67">'[31]ITEM-LIST'!#REF!</definedName>
    <definedName name="GROUP9" localSheetId="65">'[31]ITEM-LIST'!#REF!</definedName>
    <definedName name="GROUP9" localSheetId="68">'[31]ITEM-LIST'!#REF!</definedName>
    <definedName name="GROUP9" localSheetId="71">'[31]ITEM-LIST'!#REF!</definedName>
    <definedName name="GROUP9" localSheetId="44">'[31]ITEM-LIST'!#REF!</definedName>
    <definedName name="GROUP9" localSheetId="45">'[31]ITEM-LIST'!#REF!</definedName>
    <definedName name="GROUP9" localSheetId="27">'[31]ITEM-LIST'!#REF!</definedName>
    <definedName name="GROUP9" localSheetId="28">'[31]ITEM-LIST'!#REF!</definedName>
    <definedName name="GROUP9" localSheetId="29">'[31]ITEM-LIST'!#REF!</definedName>
    <definedName name="GROUP9" localSheetId="66">'[31]ITEM-LIST'!#REF!</definedName>
    <definedName name="GROUP9">'[31]ITEM-LIST'!#REF!</definedName>
    <definedName name="GrphActSales" localSheetId="70">#REF!</definedName>
    <definedName name="GrphActSales" localSheetId="52">#REF!</definedName>
    <definedName name="GrphActSales" localSheetId="58">#REF!</definedName>
    <definedName name="GrphActSales" localSheetId="56">#REF!</definedName>
    <definedName name="GrphActSales" localSheetId="57">#REF!</definedName>
    <definedName name="GrphActSales" localSheetId="64">#REF!</definedName>
    <definedName name="GrphActSales" localSheetId="67">#REF!</definedName>
    <definedName name="GrphActSales" localSheetId="65">#REF!</definedName>
    <definedName name="GrphActSales" localSheetId="68">#REF!</definedName>
    <definedName name="GrphActSales" localSheetId="71">#REF!</definedName>
    <definedName name="GrphActSales" localSheetId="44">#REF!</definedName>
    <definedName name="GrphActSales" localSheetId="45">#REF!</definedName>
    <definedName name="GrphActSales" localSheetId="17">#REF!</definedName>
    <definedName name="GrphActSales" localSheetId="27">#REF!</definedName>
    <definedName name="GrphActSales" localSheetId="72">#REF!</definedName>
    <definedName name="GrphActSales" localSheetId="28">#REF!</definedName>
    <definedName name="GrphActSales" localSheetId="29">#REF!</definedName>
    <definedName name="GrphActSales" localSheetId="66">#REF!</definedName>
    <definedName name="GrphActSales">#REF!</definedName>
    <definedName name="GrphActStk" localSheetId="70">#REF!</definedName>
    <definedName name="GrphActStk" localSheetId="52">#REF!</definedName>
    <definedName name="GrphActStk" localSheetId="58">#REF!</definedName>
    <definedName name="GrphActStk" localSheetId="57">#REF!</definedName>
    <definedName name="GrphActStk" localSheetId="64">#REF!</definedName>
    <definedName name="GrphActStk" localSheetId="67">#REF!</definedName>
    <definedName name="GrphActStk" localSheetId="65">#REF!</definedName>
    <definedName name="GrphActStk" localSheetId="68">#REF!</definedName>
    <definedName name="GrphActStk" localSheetId="71">#REF!</definedName>
    <definedName name="GrphActStk" localSheetId="44">#REF!</definedName>
    <definedName name="GrphActStk" localSheetId="45">#REF!</definedName>
    <definedName name="GrphActStk" localSheetId="17">#REF!</definedName>
    <definedName name="GrphActStk" localSheetId="27">#REF!</definedName>
    <definedName name="GrphActStk" localSheetId="72">#REF!</definedName>
    <definedName name="GrphActStk" localSheetId="28">#REF!</definedName>
    <definedName name="GrphActStk" localSheetId="29">#REF!</definedName>
    <definedName name="GrphActStk" localSheetId="66">#REF!</definedName>
    <definedName name="GrphActStk">#REF!</definedName>
    <definedName name="GrphPlanSales" localSheetId="70">#REF!</definedName>
    <definedName name="GrphPlanSales" localSheetId="52">#REF!</definedName>
    <definedName name="GrphPlanSales" localSheetId="58">#REF!</definedName>
    <definedName name="GrphPlanSales" localSheetId="57">#REF!</definedName>
    <definedName name="GrphPlanSales" localSheetId="64">#REF!</definedName>
    <definedName name="GrphPlanSales" localSheetId="67">#REF!</definedName>
    <definedName name="GrphPlanSales" localSheetId="65">#REF!</definedName>
    <definedName name="GrphPlanSales" localSheetId="68">#REF!</definedName>
    <definedName name="GrphPlanSales" localSheetId="71">#REF!</definedName>
    <definedName name="GrphPlanSales" localSheetId="44">#REF!</definedName>
    <definedName name="GrphPlanSales" localSheetId="45">#REF!</definedName>
    <definedName name="GrphPlanSales" localSheetId="17">#REF!</definedName>
    <definedName name="GrphPlanSales" localSheetId="27">#REF!</definedName>
    <definedName name="GrphPlanSales" localSheetId="72">#REF!</definedName>
    <definedName name="GrphPlanSales" localSheetId="28">#REF!</definedName>
    <definedName name="GrphPlanSales" localSheetId="29">#REF!</definedName>
    <definedName name="GrphPlanSales" localSheetId="66">#REF!</definedName>
    <definedName name="GrphPlanSales">#REF!</definedName>
    <definedName name="GrphTgtStk" localSheetId="70">#REF!</definedName>
    <definedName name="GrphTgtStk" localSheetId="52">#REF!</definedName>
    <definedName name="GrphTgtStk" localSheetId="58">#REF!</definedName>
    <definedName name="GrphTgtStk" localSheetId="57">#REF!</definedName>
    <definedName name="GrphTgtStk" localSheetId="64">#REF!</definedName>
    <definedName name="GrphTgtStk" localSheetId="67">#REF!</definedName>
    <definedName name="GrphTgtStk" localSheetId="65">#REF!</definedName>
    <definedName name="GrphTgtStk" localSheetId="68">#REF!</definedName>
    <definedName name="GrphTgtStk" localSheetId="71">#REF!</definedName>
    <definedName name="GrphTgtStk" localSheetId="44">#REF!</definedName>
    <definedName name="GrphTgtStk" localSheetId="45">#REF!</definedName>
    <definedName name="GrphTgtStk" localSheetId="27">#REF!</definedName>
    <definedName name="GrphTgtStk" localSheetId="28">#REF!</definedName>
    <definedName name="GrphTgtStk" localSheetId="29">#REF!</definedName>
    <definedName name="GrphTgtStk" localSheetId="66">#REF!</definedName>
    <definedName name="GrphTgtStk">#REF!</definedName>
    <definedName name="gshjgshgs" localSheetId="70">#REF!</definedName>
    <definedName name="gshjgshgs" localSheetId="52">#REF!</definedName>
    <definedName name="gshjgshgs" localSheetId="58">#REF!</definedName>
    <definedName name="gshjgshgs" localSheetId="57">#REF!</definedName>
    <definedName name="gshjgshgs" localSheetId="64">#REF!</definedName>
    <definedName name="gshjgshgs" localSheetId="67">#REF!</definedName>
    <definedName name="gshjgshgs" localSheetId="65">#REF!</definedName>
    <definedName name="gshjgshgs" localSheetId="68">#REF!</definedName>
    <definedName name="gshjgshgs" localSheetId="71">#REF!</definedName>
    <definedName name="gshjgshgs" localSheetId="44">#REF!</definedName>
    <definedName name="gshjgshgs" localSheetId="45">#REF!</definedName>
    <definedName name="gshjgshgs" localSheetId="48">#REF!</definedName>
    <definedName name="gshjgshgs" localSheetId="27">#REF!</definedName>
    <definedName name="gshjgshgs" localSheetId="28">#REF!</definedName>
    <definedName name="gshjgshgs" localSheetId="29">#REF!</definedName>
    <definedName name="gshjgshgs" localSheetId="66">#REF!</definedName>
    <definedName name="gshjgshgs">#REF!</definedName>
    <definedName name="GT_TYPE" localSheetId="70">#REF!</definedName>
    <definedName name="GT_TYPE" localSheetId="52">#REF!</definedName>
    <definedName name="GT_TYPE" localSheetId="58">#REF!</definedName>
    <definedName name="GT_TYPE" localSheetId="57">#REF!</definedName>
    <definedName name="GT_TYPE" localSheetId="64">#REF!</definedName>
    <definedName name="GT_TYPE" localSheetId="67">#REF!</definedName>
    <definedName name="GT_TYPE" localSheetId="65">#REF!</definedName>
    <definedName name="GT_TYPE" localSheetId="68">#REF!</definedName>
    <definedName name="GT_TYPE" localSheetId="71">#REF!</definedName>
    <definedName name="GT_TYPE" localSheetId="44">#REF!</definedName>
    <definedName name="GT_TYPE" localSheetId="45">#REF!</definedName>
    <definedName name="GT_TYPE" localSheetId="27">#REF!</definedName>
    <definedName name="GT_TYPE" localSheetId="28">#REF!</definedName>
    <definedName name="GT_TYPE" localSheetId="29">#REF!</definedName>
    <definedName name="GT_TYPE" localSheetId="66">#REF!</definedName>
    <definedName name="GT_TYPE">#REF!</definedName>
    <definedName name="GUESTPNT" localSheetId="70">[13]!GUESTPNT</definedName>
    <definedName name="GUESTPNT" localSheetId="52">[13]!GUESTPNT</definedName>
    <definedName name="GUESTPNT" localSheetId="58">[13]!GUESTPNT</definedName>
    <definedName name="GUESTPNT" localSheetId="57">[13]!GUESTPNT</definedName>
    <definedName name="GUESTPNT" localSheetId="64">[13]!GUESTPNT</definedName>
    <definedName name="GUESTPNT" localSheetId="67">[13]!GUESTPNT</definedName>
    <definedName name="GUESTPNT" localSheetId="65">[13]!GUESTPNT</definedName>
    <definedName name="GUESTPNT" localSheetId="68">[13]!GUESTPNT</definedName>
    <definedName name="GUESTPNT" localSheetId="71">[13]!GUESTPNT</definedName>
    <definedName name="GUESTPNT" localSheetId="44">[13]!GUESTPNT</definedName>
    <definedName name="GUESTPNT" localSheetId="45">[13]!GUESTPNT</definedName>
    <definedName name="GUESTPNT" localSheetId="27">[13]!GUESTPNT</definedName>
    <definedName name="GUESTPNT" localSheetId="28">[13]!GUESTPNT</definedName>
    <definedName name="GUESTPNT" localSheetId="29">[13]!GUESTPNT</definedName>
    <definedName name="GUESTPNT" localSheetId="66">[13]!GUESTPNT</definedName>
    <definedName name="GUESTPNT">[13]!GUESTPNT</definedName>
    <definedName name="gydgdg" localSheetId="70">#REF!,#REF!</definedName>
    <definedName name="gydgdg" localSheetId="52">#REF!,#REF!</definedName>
    <definedName name="gydgdg" localSheetId="58">#REF!,#REF!</definedName>
    <definedName name="gydgdg" localSheetId="57">#REF!,#REF!</definedName>
    <definedName name="gydgdg" localSheetId="64">#REF!,#REF!</definedName>
    <definedName name="gydgdg" localSheetId="67">#REF!,#REF!</definedName>
    <definedName name="gydgdg" localSheetId="65">#REF!,#REF!</definedName>
    <definedName name="gydgdg" localSheetId="68">#REF!,#REF!</definedName>
    <definedName name="gydgdg" localSheetId="71">#REF!,#REF!</definedName>
    <definedName name="gydgdg" localSheetId="44">#REF!,#REF!</definedName>
    <definedName name="gydgdg" localSheetId="45">#REF!,#REF!</definedName>
    <definedName name="gydgdg" localSheetId="48">#REF!,#REF!</definedName>
    <definedName name="gydgdg" localSheetId="17">#REF!,#REF!</definedName>
    <definedName name="gydgdg" localSheetId="27">#REF!,#REF!</definedName>
    <definedName name="gydgdg" localSheetId="72">#REF!,#REF!</definedName>
    <definedName name="gydgdg" localSheetId="28">#REF!,#REF!</definedName>
    <definedName name="gydgdg" localSheetId="29">#REF!,#REF!</definedName>
    <definedName name="gydgdg" localSheetId="66">#REF!,#REF!</definedName>
    <definedName name="gydgdg">#REF!,#REF!</definedName>
    <definedName name="h" localSheetId="70">'[47]04REL'!#REF!</definedName>
    <definedName name="h" localSheetId="126">[12]Notes!$A$37</definedName>
    <definedName name="h" localSheetId="143">[12]Notes!$A$37</definedName>
    <definedName name="H" localSheetId="140">#N/A</definedName>
    <definedName name="H" localSheetId="142">#N/A</definedName>
    <definedName name="h" localSheetId="52">'[47]04REL'!#REF!</definedName>
    <definedName name="h" localSheetId="58">'[47]04REL'!#REF!</definedName>
    <definedName name="h" localSheetId="56">'[47]04REL'!#REF!</definedName>
    <definedName name="h" localSheetId="57">'[47]04REL'!#REF!</definedName>
    <definedName name="h" localSheetId="64">'[47]04REL'!#REF!</definedName>
    <definedName name="h" localSheetId="67">'[47]04REL'!#REF!</definedName>
    <definedName name="h" localSheetId="65">'[47]04REL'!#REF!</definedName>
    <definedName name="h" localSheetId="68">'[47]04REL'!#REF!</definedName>
    <definedName name="h" localSheetId="71">'[47]04REL'!#REF!</definedName>
    <definedName name="h" localSheetId="44">'[47]04REL'!#REF!</definedName>
    <definedName name="h" localSheetId="45">'[47]04REL'!#REF!</definedName>
    <definedName name="h" localSheetId="48">'[47]04REL'!#REF!</definedName>
    <definedName name="h" localSheetId="17">'[47]04REL'!#REF!</definedName>
    <definedName name="h" localSheetId="116">[12]Notes!$A$37</definedName>
    <definedName name="h" localSheetId="27">'[47]04REL'!#REF!</definedName>
    <definedName name="h" localSheetId="128">[12]Notes!$A$37</definedName>
    <definedName name="h" localSheetId="127">[12]Notes!$A$37</definedName>
    <definedName name="h" localSheetId="28">'[47]04REL'!#REF!</definedName>
    <definedName name="h" localSheetId="29">'[47]04REL'!#REF!</definedName>
    <definedName name="h" localSheetId="66">'[47]04REL'!#REF!</definedName>
    <definedName name="h">'[47]04REL'!#REF!</definedName>
    <definedName name="H1_">#N/A</definedName>
    <definedName name="H10_">#N/A</definedName>
    <definedName name="H11_">#N/A</definedName>
    <definedName name="H12_">#N/A</definedName>
    <definedName name="H13_">#N/A</definedName>
    <definedName name="H14_">#N/A</definedName>
    <definedName name="H15_">#N/A</definedName>
    <definedName name="H16_">#N/A</definedName>
    <definedName name="H17_">#N/A</definedName>
    <definedName name="H2_">#N/A</definedName>
    <definedName name="H3_">#N/A</definedName>
    <definedName name="H4_">#N/A</definedName>
    <definedName name="H5_">#N/A</definedName>
    <definedName name="H6_">#N/A</definedName>
    <definedName name="H7_">#N/A</definedName>
    <definedName name="H8_">#N/A</definedName>
    <definedName name="H9_">#N/A</definedName>
    <definedName name="hahshuis" localSheetId="70">#REF!</definedName>
    <definedName name="hahshuis" localSheetId="52">#REF!</definedName>
    <definedName name="hahshuis" localSheetId="58">#REF!</definedName>
    <definedName name="hahshuis" localSheetId="57">#REF!</definedName>
    <definedName name="hahshuis" localSheetId="64">#REF!</definedName>
    <definedName name="hahshuis" localSheetId="67">#REF!</definedName>
    <definedName name="hahshuis" localSheetId="65">#REF!</definedName>
    <definedName name="hahshuis" localSheetId="68">#REF!</definedName>
    <definedName name="hahshuis" localSheetId="71">#REF!</definedName>
    <definedName name="hahshuis" localSheetId="44">#REF!</definedName>
    <definedName name="hahshuis" localSheetId="45">#REF!</definedName>
    <definedName name="hahshuis" localSheetId="48">#REF!</definedName>
    <definedName name="hahshuis" localSheetId="17">#REF!</definedName>
    <definedName name="hahshuis" localSheetId="27">#REF!</definedName>
    <definedName name="hahshuis" localSheetId="72">#REF!</definedName>
    <definedName name="hahshuis" localSheetId="28">#REF!</definedName>
    <definedName name="hahshuis" localSheetId="29">#REF!</definedName>
    <definedName name="hahshuis" localSheetId="66">#REF!</definedName>
    <definedName name="hahshuis">#REF!</definedName>
    <definedName name="hasnain" localSheetId="70">#REF!</definedName>
    <definedName name="hasnain" localSheetId="52">#REF!</definedName>
    <definedName name="hasnain" localSheetId="58">#REF!</definedName>
    <definedName name="hasnain" localSheetId="57">#REF!</definedName>
    <definedName name="hasnain" localSheetId="64">#REF!</definedName>
    <definedName name="hasnain" localSheetId="67">#REF!</definedName>
    <definedName name="hasnain" localSheetId="65">#REF!</definedName>
    <definedName name="hasnain" localSheetId="68">#REF!</definedName>
    <definedName name="hasnain" localSheetId="71">#REF!</definedName>
    <definedName name="hasnain" localSheetId="44">#REF!</definedName>
    <definedName name="hasnain" localSheetId="45">#REF!</definedName>
    <definedName name="hasnain" localSheetId="48">#REF!</definedName>
    <definedName name="hasnain" localSheetId="27">#REF!</definedName>
    <definedName name="hasnain" localSheetId="28">#REF!</definedName>
    <definedName name="hasnain" localSheetId="29">#REF!</definedName>
    <definedName name="hasnain" localSheetId="66">#REF!</definedName>
    <definedName name="hasnain">#REF!</definedName>
    <definedName name="hdhdjh" localSheetId="70">#REF!</definedName>
    <definedName name="hdhdjh" localSheetId="52">#REF!</definedName>
    <definedName name="hdhdjh" localSheetId="58">#REF!</definedName>
    <definedName name="hdhdjh" localSheetId="57">#REF!</definedName>
    <definedName name="hdhdjh" localSheetId="64">#REF!</definedName>
    <definedName name="hdhdjh" localSheetId="67">#REF!</definedName>
    <definedName name="hdhdjh" localSheetId="65">#REF!</definedName>
    <definedName name="hdhdjh" localSheetId="68">#REF!</definedName>
    <definedName name="hdhdjh" localSheetId="71">#REF!</definedName>
    <definedName name="hdhdjh" localSheetId="44">#REF!</definedName>
    <definedName name="hdhdjh" localSheetId="45">#REF!</definedName>
    <definedName name="hdhdjh" localSheetId="48">#REF!</definedName>
    <definedName name="hdhdjh" localSheetId="27">#REF!</definedName>
    <definedName name="hdhdjh" localSheetId="28">#REF!</definedName>
    <definedName name="hdhdjh" localSheetId="29">#REF!</definedName>
    <definedName name="hdhdjh" localSheetId="66">#REF!</definedName>
    <definedName name="hdhdjh">#REF!</definedName>
    <definedName name="HEADER_KFP_ORIGIN_KEY" localSheetId="70">#REF!</definedName>
    <definedName name="HEADER_KFP_ORIGIN_KEY" localSheetId="52">#REF!</definedName>
    <definedName name="HEADER_KFP_ORIGIN_KEY" localSheetId="58">#REF!</definedName>
    <definedName name="HEADER_KFP_ORIGIN_KEY" localSheetId="57">#REF!</definedName>
    <definedName name="HEADER_KFP_ORIGIN_KEY" localSheetId="64">#REF!</definedName>
    <definedName name="HEADER_KFP_ORIGIN_KEY" localSheetId="67">#REF!</definedName>
    <definedName name="HEADER_KFP_ORIGIN_KEY" localSheetId="65">#REF!</definedName>
    <definedName name="HEADER_KFP_ORIGIN_KEY" localSheetId="68">#REF!</definedName>
    <definedName name="HEADER_KFP_ORIGIN_KEY" localSheetId="71">#REF!</definedName>
    <definedName name="HEADER_KFP_ORIGIN_KEY" localSheetId="44">#REF!</definedName>
    <definedName name="HEADER_KFP_ORIGIN_KEY" localSheetId="45">#REF!</definedName>
    <definedName name="HEADER_KFP_ORIGIN_KEY" localSheetId="27">#REF!</definedName>
    <definedName name="HEADER_KFP_ORIGIN_KEY" localSheetId="28">#REF!</definedName>
    <definedName name="HEADER_KFP_ORIGIN_KEY" localSheetId="29">#REF!</definedName>
    <definedName name="HEADER_KFP_ORIGIN_KEY" localSheetId="66">#REF!</definedName>
    <definedName name="HEADER_KFP_ORIGIN_KEY">#REF!</definedName>
    <definedName name="HF" localSheetId="70">'[33]해외 연수비용 계산-삭제'!#REF!</definedName>
    <definedName name="HF" localSheetId="52">'[33]해외 연수비용 계산-삭제'!#REF!</definedName>
    <definedName name="HF" localSheetId="58">'[33]해외 연수비용 계산-삭제'!#REF!</definedName>
    <definedName name="HF" localSheetId="57">'[33]해외 연수비용 계산-삭제'!#REF!</definedName>
    <definedName name="HF" localSheetId="64">'[33]해외 연수비용 계산-삭제'!#REF!</definedName>
    <definedName name="HF" localSheetId="67">'[33]해외 연수비용 계산-삭제'!#REF!</definedName>
    <definedName name="HF" localSheetId="65">'[33]해외 연수비용 계산-삭제'!#REF!</definedName>
    <definedName name="HF" localSheetId="68">'[33]해외 연수비용 계산-삭제'!#REF!</definedName>
    <definedName name="HF" localSheetId="71">'[33]해외 연수비용 계산-삭제'!#REF!</definedName>
    <definedName name="HF" localSheetId="44">'[33]해외 연수비용 계산-삭제'!#REF!</definedName>
    <definedName name="HF" localSheetId="45">'[33]해외 연수비용 계산-삭제'!#REF!</definedName>
    <definedName name="HF" localSheetId="27">'[33]해외 연수비용 계산-삭제'!#REF!</definedName>
    <definedName name="HF" localSheetId="28">'[33]해외 연수비용 계산-삭제'!#REF!</definedName>
    <definedName name="HF" localSheetId="29">'[33]해외 연수비용 계산-삭제'!#REF!</definedName>
    <definedName name="HF" localSheetId="66">'[33]해외 연수비용 계산-삭제'!#REF!</definedName>
    <definedName name="HF">'[33]해외 연수비용 계산-삭제'!#REF!</definedName>
    <definedName name="hfh">[12]BEST_17112006!$C$13</definedName>
    <definedName name="hgtfhdh" localSheetId="70">'[25]04REL'!#REF!</definedName>
    <definedName name="hgtfhdh" localSheetId="52">'[25]04REL'!#REF!</definedName>
    <definedName name="hgtfhdh" localSheetId="58">'[25]04REL'!#REF!</definedName>
    <definedName name="hgtfhdh" localSheetId="56">'[25]04REL'!#REF!</definedName>
    <definedName name="hgtfhdh" localSheetId="57">'[25]04REL'!#REF!</definedName>
    <definedName name="hgtfhdh" localSheetId="64">'[25]04REL'!#REF!</definedName>
    <definedName name="hgtfhdh" localSheetId="67">'[25]04REL'!#REF!</definedName>
    <definedName name="hgtfhdh" localSheetId="65">'[25]04REL'!#REF!</definedName>
    <definedName name="hgtfhdh" localSheetId="68">'[25]04REL'!#REF!</definedName>
    <definedName name="hgtfhdh" localSheetId="71">'[25]04REL'!#REF!</definedName>
    <definedName name="hgtfhdh" localSheetId="44">'[25]04REL'!#REF!</definedName>
    <definedName name="hgtfhdh" localSheetId="45">'[25]04REL'!#REF!</definedName>
    <definedName name="hgtfhdh" localSheetId="48">'[25]04REL'!#REF!</definedName>
    <definedName name="hgtfhdh" localSheetId="17">'[25]04REL'!#REF!</definedName>
    <definedName name="hgtfhdh" localSheetId="27">'[25]04REL'!#REF!</definedName>
    <definedName name="hgtfhdh" localSheetId="72">'[25]04REL'!#REF!</definedName>
    <definedName name="hgtfhdh" localSheetId="28">'[25]04REL'!#REF!</definedName>
    <definedName name="hgtfhdh" localSheetId="29">'[25]04REL'!#REF!</definedName>
    <definedName name="hgtfhdh" localSheetId="66">'[25]04REL'!#REF!</definedName>
    <definedName name="hgtfhdh">'[25]04REL'!#REF!</definedName>
    <definedName name="HH">#N/A</definedName>
    <definedName name="hhhuh" localSheetId="70">#REF!</definedName>
    <definedName name="hhhuh" localSheetId="52">#REF!</definedName>
    <definedName name="hhhuh" localSheetId="58">#REF!</definedName>
    <definedName name="hhhuh" localSheetId="57">#REF!</definedName>
    <definedName name="hhhuh" localSheetId="64">#REF!</definedName>
    <definedName name="hhhuh" localSheetId="67">#REF!</definedName>
    <definedName name="hhhuh" localSheetId="65">#REF!</definedName>
    <definedName name="hhhuh" localSheetId="68">#REF!</definedName>
    <definedName name="hhhuh" localSheetId="71">#REF!</definedName>
    <definedName name="hhhuh" localSheetId="44">#REF!</definedName>
    <definedName name="hhhuh" localSheetId="45">#REF!</definedName>
    <definedName name="hhhuh" localSheetId="48">#REF!</definedName>
    <definedName name="hhhuh" localSheetId="17">#REF!</definedName>
    <definedName name="hhhuh" localSheetId="27">#REF!</definedName>
    <definedName name="hhhuh" localSheetId="72">#REF!</definedName>
    <definedName name="hhhuh" localSheetId="28">#REF!</definedName>
    <definedName name="hhhuh" localSheetId="29">#REF!</definedName>
    <definedName name="hhhuh" localSheetId="66">#REF!</definedName>
    <definedName name="hhhuh">#REF!</definedName>
    <definedName name="hHzhzh" localSheetId="70">#REF!</definedName>
    <definedName name="hHzhzh" localSheetId="52">#REF!</definedName>
    <definedName name="hHzhzh" localSheetId="58">#REF!</definedName>
    <definedName name="hHzhzh" localSheetId="57">#REF!</definedName>
    <definedName name="hHzhzh" localSheetId="64">#REF!</definedName>
    <definedName name="hHzhzh" localSheetId="67">#REF!</definedName>
    <definedName name="hHzhzh" localSheetId="65">#REF!</definedName>
    <definedName name="hHzhzh" localSheetId="68">#REF!</definedName>
    <definedName name="hHzhzh" localSheetId="71">#REF!</definedName>
    <definedName name="hHzhzh" localSheetId="44">#REF!</definedName>
    <definedName name="hHzhzh" localSheetId="45">#REF!</definedName>
    <definedName name="hHzhzh" localSheetId="48">#REF!</definedName>
    <definedName name="hHzhzh" localSheetId="27">#REF!</definedName>
    <definedName name="hHzhzh" localSheetId="28">#REF!</definedName>
    <definedName name="hHzhzh" localSheetId="29">#REF!</definedName>
    <definedName name="hHzhzh" localSheetId="66">#REF!</definedName>
    <definedName name="hHzhzh">#REF!</definedName>
    <definedName name="HJ" localSheetId="70">[33]카메라!#REF!</definedName>
    <definedName name="HJ" localSheetId="52">[33]카메라!#REF!</definedName>
    <definedName name="HJ" localSheetId="58">[33]카메라!#REF!</definedName>
    <definedName name="HJ" localSheetId="57">[33]카메라!#REF!</definedName>
    <definedName name="HJ" localSheetId="64">[33]카메라!#REF!</definedName>
    <definedName name="HJ" localSheetId="67">[33]카메라!#REF!</definedName>
    <definedName name="HJ" localSheetId="65">[33]카메라!#REF!</definedName>
    <definedName name="HJ" localSheetId="68">[33]카메라!#REF!</definedName>
    <definedName name="HJ" localSheetId="71">[33]카메라!#REF!</definedName>
    <definedName name="HJ" localSheetId="44">[33]카메라!#REF!</definedName>
    <definedName name="HJ" localSheetId="45">[33]카메라!#REF!</definedName>
    <definedName name="HJ" localSheetId="27">[33]카메라!#REF!</definedName>
    <definedName name="HJ" localSheetId="28">[33]카메라!#REF!</definedName>
    <definedName name="HJ" localSheetId="29">[33]카메라!#REF!</definedName>
    <definedName name="HJ" localSheetId="66">[33]카메라!#REF!</definedName>
    <definedName name="HJ">[33]카메라!#REF!</definedName>
    <definedName name="hjergbciutybvt">'[12]B_S Group'!$H$349</definedName>
    <definedName name="HPINRCSG" localSheetId="70">#REF!</definedName>
    <definedName name="HPINRCSG" localSheetId="52">#REF!</definedName>
    <definedName name="HPINRCSG" localSheetId="58">#REF!</definedName>
    <definedName name="HPINRCSG" localSheetId="56">#REF!</definedName>
    <definedName name="HPINRCSG" localSheetId="57">#REF!</definedName>
    <definedName name="HPINRCSG" localSheetId="64">#REF!</definedName>
    <definedName name="HPINRCSG" localSheetId="67">#REF!</definedName>
    <definedName name="HPINRCSG" localSheetId="65">#REF!</definedName>
    <definedName name="HPINRCSG" localSheetId="68">#REF!</definedName>
    <definedName name="HPINRCSG" localSheetId="71">#REF!</definedName>
    <definedName name="HPINRCSG" localSheetId="44">#REF!</definedName>
    <definedName name="HPINRCSG" localSheetId="45">#REF!</definedName>
    <definedName name="HPINRCSG" localSheetId="17">#REF!</definedName>
    <definedName name="HPINRCSG" localSheetId="27">#REF!</definedName>
    <definedName name="HPINRCSG" localSheetId="72">#REF!</definedName>
    <definedName name="HPINRCSG" localSheetId="28">#REF!</definedName>
    <definedName name="HPINRCSG" localSheetId="29">#REF!</definedName>
    <definedName name="HPINRCSG" localSheetId="66">#REF!</definedName>
    <definedName name="HPINRCSG">#REF!</definedName>
    <definedName name="hr_u4" localSheetId="70">#REF!</definedName>
    <definedName name="hr_u4" localSheetId="52">#REF!</definedName>
    <definedName name="hr_u4" localSheetId="58">#REF!</definedName>
    <definedName name="hr_u4" localSheetId="57">#REF!</definedName>
    <definedName name="hr_u4" localSheetId="64">#REF!</definedName>
    <definedName name="hr_u4" localSheetId="67">#REF!</definedName>
    <definedName name="hr_u4" localSheetId="65">#REF!</definedName>
    <definedName name="hr_u4" localSheetId="68">#REF!</definedName>
    <definedName name="hr_u4" localSheetId="71">#REF!</definedName>
    <definedName name="hr_u4" localSheetId="44">#REF!</definedName>
    <definedName name="hr_u4" localSheetId="45">#REF!</definedName>
    <definedName name="hr_u4" localSheetId="17">#REF!</definedName>
    <definedName name="hr_u4" localSheetId="27">#REF!</definedName>
    <definedName name="hr_u4" localSheetId="72">#REF!</definedName>
    <definedName name="hr_u4" localSheetId="28">#REF!</definedName>
    <definedName name="hr_u4" localSheetId="29">#REF!</definedName>
    <definedName name="hr_u4" localSheetId="66">#REF!</definedName>
    <definedName name="hr_u4">#REF!</definedName>
    <definedName name="hr_u5" localSheetId="70">#REF!</definedName>
    <definedName name="hr_u5" localSheetId="52">#REF!</definedName>
    <definedName name="hr_u5" localSheetId="58">#REF!</definedName>
    <definedName name="hr_u5" localSheetId="57">#REF!</definedName>
    <definedName name="hr_u5" localSheetId="64">#REF!</definedName>
    <definedName name="hr_u5" localSheetId="67">#REF!</definedName>
    <definedName name="hr_u5" localSheetId="65">#REF!</definedName>
    <definedName name="hr_u5" localSheetId="68">#REF!</definedName>
    <definedName name="hr_u5" localSheetId="71">#REF!</definedName>
    <definedName name="hr_u5" localSheetId="44">#REF!</definedName>
    <definedName name="hr_u5" localSheetId="45">#REF!</definedName>
    <definedName name="hr_u5" localSheetId="17">#REF!</definedName>
    <definedName name="hr_u5" localSheetId="27">#REF!</definedName>
    <definedName name="hr_u5" localSheetId="72">#REF!</definedName>
    <definedName name="hr_u5" localSheetId="28">#REF!</definedName>
    <definedName name="hr_u5" localSheetId="29">#REF!</definedName>
    <definedName name="hr_u5" localSheetId="66">#REF!</definedName>
    <definedName name="hr_u5">#REF!</definedName>
    <definedName name="hr_u6" localSheetId="70">#REF!</definedName>
    <definedName name="hr_u6" localSheetId="52">#REF!</definedName>
    <definedName name="hr_u6" localSheetId="58">#REF!</definedName>
    <definedName name="hr_u6" localSheetId="57">#REF!</definedName>
    <definedName name="hr_u6" localSheetId="64">#REF!</definedName>
    <definedName name="hr_u6" localSheetId="67">#REF!</definedName>
    <definedName name="hr_u6" localSheetId="65">#REF!</definedName>
    <definedName name="hr_u6" localSheetId="68">#REF!</definedName>
    <definedName name="hr_u6" localSheetId="71">#REF!</definedName>
    <definedName name="hr_u6" localSheetId="44">#REF!</definedName>
    <definedName name="hr_u6" localSheetId="45">#REF!</definedName>
    <definedName name="hr_u6" localSheetId="27">#REF!</definedName>
    <definedName name="hr_u6" localSheetId="28">#REF!</definedName>
    <definedName name="hr_u6" localSheetId="29">#REF!</definedName>
    <definedName name="hr_u6" localSheetId="66">#REF!</definedName>
    <definedName name="hr_u6">#REF!</definedName>
    <definedName name="hr_u7" localSheetId="70">#REF!</definedName>
    <definedName name="hr_u7" localSheetId="52">#REF!</definedName>
    <definedName name="hr_u7" localSheetId="58">#REF!</definedName>
    <definedName name="hr_u7" localSheetId="57">#REF!</definedName>
    <definedName name="hr_u7" localSheetId="64">#REF!</definedName>
    <definedName name="hr_u7" localSheetId="67">#REF!</definedName>
    <definedName name="hr_u7" localSheetId="65">#REF!</definedName>
    <definedName name="hr_u7" localSheetId="68">#REF!</definedName>
    <definedName name="hr_u7" localSheetId="71">#REF!</definedName>
    <definedName name="hr_u7" localSheetId="44">#REF!</definedName>
    <definedName name="hr_u7" localSheetId="45">#REF!</definedName>
    <definedName name="hr_u7" localSheetId="27">#REF!</definedName>
    <definedName name="hr_u7" localSheetId="28">#REF!</definedName>
    <definedName name="hr_u7" localSheetId="29">#REF!</definedName>
    <definedName name="hr_u7" localSheetId="66">#REF!</definedName>
    <definedName name="hr_u7">#REF!</definedName>
    <definedName name="hrd" localSheetId="70" hidden="1">#REF!</definedName>
    <definedName name="hrd" localSheetId="57" hidden="1">#REF!</definedName>
    <definedName name="hrd" localSheetId="67" hidden="1">#REF!</definedName>
    <definedName name="hrd" localSheetId="65" hidden="1">#REF!</definedName>
    <definedName name="hrd" localSheetId="68" hidden="1">#REF!</definedName>
    <definedName name="hrd" localSheetId="44" hidden="1">#REF!</definedName>
    <definedName name="hrd" localSheetId="45" hidden="1">#REF!</definedName>
    <definedName name="hrd" localSheetId="28" hidden="1">#REF!</definedName>
    <definedName name="hrd" localSheetId="29" hidden="1">#REF!</definedName>
    <definedName name="hrd" localSheetId="66" hidden="1">#REF!</definedName>
    <definedName name="hrd" hidden="1">#REF!</definedName>
    <definedName name="hsdfhfdsk">'[12]B_S Group'!$H$161</definedName>
    <definedName name="hsgtrheir">'[12]B_S Group'!$H$20</definedName>
    <definedName name="hshhxuhxu" localSheetId="70">#REF!</definedName>
    <definedName name="hshhxuhxu" localSheetId="52">#REF!</definedName>
    <definedName name="hshhxuhxu" localSheetId="58">#REF!</definedName>
    <definedName name="hshhxuhxu" localSheetId="57">#REF!</definedName>
    <definedName name="hshhxuhxu" localSheetId="64">#REF!</definedName>
    <definedName name="hshhxuhxu" localSheetId="67">#REF!</definedName>
    <definedName name="hshhxuhxu" localSheetId="65">#REF!</definedName>
    <definedName name="hshhxuhxu" localSheetId="68">#REF!</definedName>
    <definedName name="hshhxuhxu" localSheetId="71">#REF!</definedName>
    <definedName name="hshhxuhxu" localSheetId="44">#REF!</definedName>
    <definedName name="hshhxuhxu" localSheetId="45">#REF!</definedName>
    <definedName name="hshhxuhxu" localSheetId="48">#REF!</definedName>
    <definedName name="hshhxuhxu" localSheetId="17">#REF!</definedName>
    <definedName name="hshhxuhxu" localSheetId="27">#REF!</definedName>
    <definedName name="hshhxuhxu" localSheetId="72">#REF!</definedName>
    <definedName name="hshhxuhxu" localSheetId="28">#REF!</definedName>
    <definedName name="hshhxuhxu" localSheetId="29">#REF!</definedName>
    <definedName name="hshhxuhxu" localSheetId="66">#REF!</definedName>
    <definedName name="hshhxuhxu">#REF!</definedName>
    <definedName name="HTML" localSheetId="140" hidden="1">{"'장비'!$A$3:$M$12"}</definedName>
    <definedName name="HTML" localSheetId="58" hidden="1">{"'장비'!$A$3:$M$12"}</definedName>
    <definedName name="HTML" localSheetId="56" hidden="1">{"'장비'!$A$3:$M$12"}</definedName>
    <definedName name="HTML" localSheetId="57" hidden="1">{"'장비'!$A$3:$M$12"}</definedName>
    <definedName name="HTML" localSheetId="67" hidden="1">{"'장비'!$A$3:$M$12"}</definedName>
    <definedName name="HTML" localSheetId="65" hidden="1">{"'장비'!$A$3:$M$12"}</definedName>
    <definedName name="HTML" localSheetId="68" hidden="1">{"'장비'!$A$3:$M$12"}</definedName>
    <definedName name="HTML" localSheetId="71" hidden="1">{"'장비'!$A$3:$M$12"}</definedName>
    <definedName name="HTML" localSheetId="17" hidden="1">{"'장비'!$A$3:$M$12"}</definedName>
    <definedName name="HTML" localSheetId="27" hidden="1">{"'장비'!$A$3:$M$12"}</definedName>
    <definedName name="HTML" localSheetId="72" hidden="1">{"'장비'!$A$3:$M$12"}</definedName>
    <definedName name="HTML" localSheetId="28" hidden="1">{"'장비'!$A$3:$M$12"}</definedName>
    <definedName name="HTML" localSheetId="29" hidden="1">{"'장비'!$A$3:$M$12"}</definedName>
    <definedName name="HTML" hidden="1">{"'장비'!$A$3:$M$12"}</definedName>
    <definedName name="HTML_Control" localSheetId="140" hidden="1">{"'장비'!$A$3:$M$12"}</definedName>
    <definedName name="HTML_Control" localSheetId="58" hidden="1">{"'장비'!$A$3:$M$12"}</definedName>
    <definedName name="HTML_Control" localSheetId="56" hidden="1">{"'장비'!$A$3:$M$12"}</definedName>
    <definedName name="HTML_Control" localSheetId="57" hidden="1">{"'장비'!$A$3:$M$12"}</definedName>
    <definedName name="HTML_Control" localSheetId="67" hidden="1">{"'장비'!$A$3:$M$12"}</definedName>
    <definedName name="HTML_Control" localSheetId="65" hidden="1">{"'장비'!$A$3:$M$12"}</definedName>
    <definedName name="HTML_Control" localSheetId="68" hidden="1">{"'장비'!$A$3:$M$12"}</definedName>
    <definedName name="HTML_Control" localSheetId="71" hidden="1">{"'장비'!$A$3:$M$12"}</definedName>
    <definedName name="HTML_Control" localSheetId="17" hidden="1">{"'장비'!$A$3:$M$12"}</definedName>
    <definedName name="HTML_Control" localSheetId="27" hidden="1">{"'장비'!$A$3:$M$12"}</definedName>
    <definedName name="HTML_Control" localSheetId="72" hidden="1">{"'장비'!$A$3:$M$12"}</definedName>
    <definedName name="HTML_Control" localSheetId="28" hidden="1">{"'장비'!$A$3:$M$12"}</definedName>
    <definedName name="HTML_Control" localSheetId="29" hidden="1">{"'장비'!$A$3:$M$12"}</definedName>
    <definedName name="HTML_Control" hidden="1">{"'장비'!$A$3:$M$12"}</definedName>
    <definedName name="i" localSheetId="140">#N/A</definedName>
    <definedName name="i" localSheetId="142">#N/A</definedName>
    <definedName name="i">[12]Notes!$A$39</definedName>
    <definedName name="IDT">#N/A</definedName>
    <definedName name="ie" localSheetId="140" hidden="1">{"'Sheet1'!$L$16"}</definedName>
    <definedName name="ie" localSheetId="58" hidden="1">{"'Sheet1'!$L$16"}</definedName>
    <definedName name="ie" localSheetId="56" hidden="1">{"'Sheet1'!$L$16"}</definedName>
    <definedName name="ie" localSheetId="57" hidden="1">{"'Sheet1'!$L$16"}</definedName>
    <definedName name="ie" localSheetId="67" hidden="1">{"'Sheet1'!$L$16"}</definedName>
    <definedName name="ie" localSheetId="65" hidden="1">{"'Sheet1'!$L$16"}</definedName>
    <definedName name="ie" localSheetId="68" hidden="1">{"'Sheet1'!$L$16"}</definedName>
    <definedName name="ie" localSheetId="71" hidden="1">{"'Sheet1'!$L$16"}</definedName>
    <definedName name="ie" localSheetId="17" hidden="1">{"'Sheet1'!$L$16"}</definedName>
    <definedName name="ie" localSheetId="27" hidden="1">{"'Sheet1'!$L$16"}</definedName>
    <definedName name="ie" localSheetId="72" hidden="1">{"'Sheet1'!$L$16"}</definedName>
    <definedName name="ie" localSheetId="28" hidden="1">{"'Sheet1'!$L$16"}</definedName>
    <definedName name="ie" localSheetId="29" hidden="1">{"'Sheet1'!$L$16"}</definedName>
    <definedName name="ie" hidden="1">{"'Sheet1'!$L$16"}</definedName>
    <definedName name="IELWSALES" localSheetId="70">#REF!</definedName>
    <definedName name="IELWSALES" localSheetId="52">#REF!</definedName>
    <definedName name="IELWSALES" localSheetId="58">#REF!</definedName>
    <definedName name="IELWSALES" localSheetId="57">#REF!</definedName>
    <definedName name="IELWSALES" localSheetId="64">#REF!</definedName>
    <definedName name="IELWSALES" localSheetId="67">#REF!</definedName>
    <definedName name="IELWSALES" localSheetId="65">#REF!</definedName>
    <definedName name="IELWSALES" localSheetId="68">#REF!</definedName>
    <definedName name="IELWSALES" localSheetId="71">#REF!</definedName>
    <definedName name="IELWSALES" localSheetId="44">#REF!</definedName>
    <definedName name="IELWSALES" localSheetId="45">#REF!</definedName>
    <definedName name="IELWSALES" localSheetId="27">#REF!</definedName>
    <definedName name="IELWSALES" localSheetId="28">#REF!</definedName>
    <definedName name="IELWSALES" localSheetId="29">#REF!</definedName>
    <definedName name="IELWSALES" localSheetId="66">#REF!</definedName>
    <definedName name="IELWSALES">#REF!</definedName>
    <definedName name="IELYSALES" localSheetId="70">#REF!</definedName>
    <definedName name="IELYSALES" localSheetId="52">#REF!</definedName>
    <definedName name="IELYSALES" localSheetId="58">#REF!</definedName>
    <definedName name="IELYSALES" localSheetId="57">#REF!</definedName>
    <definedName name="IELYSALES" localSheetId="64">#REF!</definedName>
    <definedName name="IELYSALES" localSheetId="67">#REF!</definedName>
    <definedName name="IELYSALES" localSheetId="65">#REF!</definedName>
    <definedName name="IELYSALES" localSheetId="68">#REF!</definedName>
    <definedName name="IELYSALES" localSheetId="71">#REF!</definedName>
    <definedName name="IELYSALES" localSheetId="44">#REF!</definedName>
    <definedName name="IELYSALES" localSheetId="45">#REF!</definedName>
    <definedName name="IELYSALES" localSheetId="27">#REF!</definedName>
    <definedName name="IELYSALES" localSheetId="28">#REF!</definedName>
    <definedName name="IELYSALES" localSheetId="29">#REF!</definedName>
    <definedName name="IELYSALES" localSheetId="66">#REF!</definedName>
    <definedName name="IELYSALES">#REF!</definedName>
    <definedName name="IEPLANSALES" localSheetId="70">#REF!</definedName>
    <definedName name="IEPLANSALES" localSheetId="52">#REF!</definedName>
    <definedName name="IEPLANSALES" localSheetId="58">#REF!</definedName>
    <definedName name="IEPLANSALES" localSheetId="57">#REF!</definedName>
    <definedName name="IEPLANSALES" localSheetId="64">#REF!</definedName>
    <definedName name="IEPLANSALES" localSheetId="67">#REF!</definedName>
    <definedName name="IEPLANSALES" localSheetId="65">#REF!</definedName>
    <definedName name="IEPLANSALES" localSheetId="68">#REF!</definedName>
    <definedName name="IEPLANSALES" localSheetId="71">#REF!</definedName>
    <definedName name="IEPLANSALES" localSheetId="44">#REF!</definedName>
    <definedName name="IEPLANSALES" localSheetId="45">#REF!</definedName>
    <definedName name="IEPLANSALES" localSheetId="27">#REF!</definedName>
    <definedName name="IEPLANSALES" localSheetId="28">#REF!</definedName>
    <definedName name="IEPLANSALES" localSheetId="29">#REF!</definedName>
    <definedName name="IEPLANSALES" localSheetId="66">#REF!</definedName>
    <definedName name="IEPLANSALES">#REF!</definedName>
    <definedName name="IESP" localSheetId="70">#REF!</definedName>
    <definedName name="IESP" localSheetId="52">#REF!</definedName>
    <definedName name="IESP" localSheetId="58">#REF!</definedName>
    <definedName name="IESP" localSheetId="57">#REF!</definedName>
    <definedName name="IESP" localSheetId="64">#REF!</definedName>
    <definedName name="IESP" localSheetId="67">#REF!</definedName>
    <definedName name="IESP" localSheetId="65">#REF!</definedName>
    <definedName name="IESP" localSheetId="68">#REF!</definedName>
    <definedName name="IESP" localSheetId="71">#REF!</definedName>
    <definedName name="IESP" localSheetId="44">#REF!</definedName>
    <definedName name="IESP" localSheetId="45">#REF!</definedName>
    <definedName name="IESP" localSheetId="27">#REF!</definedName>
    <definedName name="IESP" localSheetId="28">#REF!</definedName>
    <definedName name="IESP" localSheetId="29">#REF!</definedName>
    <definedName name="IESP" localSheetId="66">#REF!</definedName>
    <definedName name="IESP">#REF!</definedName>
    <definedName name="II">#N/A</definedName>
    <definedName name="iiiiiierygclwmhru">'[12]B_S Group'!$H$348</definedName>
    <definedName name="inc" localSheetId="70">'[48]per unit'!#REF!</definedName>
    <definedName name="inc" localSheetId="52">'[48]per unit'!#REF!</definedName>
    <definedName name="inc" localSheetId="58">'[48]per unit'!#REF!</definedName>
    <definedName name="inc" localSheetId="56">'[48]per unit'!#REF!</definedName>
    <definedName name="inc" localSheetId="57">'[48]per unit'!#REF!</definedName>
    <definedName name="inc" localSheetId="64">'[48]per unit'!#REF!</definedName>
    <definedName name="inc" localSheetId="67">'[48]per unit'!#REF!</definedName>
    <definedName name="inc" localSheetId="65">'[48]per unit'!#REF!</definedName>
    <definedName name="inc" localSheetId="68">'[48]per unit'!#REF!</definedName>
    <definedName name="inc" localSheetId="71">'[48]per unit'!#REF!</definedName>
    <definedName name="inc" localSheetId="44">'[48]per unit'!#REF!</definedName>
    <definedName name="inc" localSheetId="45">'[48]per unit'!#REF!</definedName>
    <definedName name="inc" localSheetId="17">'[48]per unit'!#REF!</definedName>
    <definedName name="inc" localSheetId="27">'[48]per unit'!#REF!</definedName>
    <definedName name="inc" localSheetId="72">'[48]per unit'!#REF!</definedName>
    <definedName name="inc" localSheetId="28">'[48]per unit'!#REF!</definedName>
    <definedName name="inc" localSheetId="29">'[48]per unit'!#REF!</definedName>
    <definedName name="inc" localSheetId="66">'[48]per unit'!#REF!</definedName>
    <definedName name="inc">'[48]per unit'!#REF!</definedName>
    <definedName name="INCM">'[5]Financial Estimates'!$E$293:$J$339</definedName>
    <definedName name="INDE">#N/A</definedName>
    <definedName name="Inland2" localSheetId="70">#REF!</definedName>
    <definedName name="Inland2" localSheetId="52">#REF!</definedName>
    <definedName name="Inland2" localSheetId="58">#REF!</definedName>
    <definedName name="Inland2" localSheetId="56">#REF!</definedName>
    <definedName name="Inland2" localSheetId="57">#REF!</definedName>
    <definedName name="Inland2" localSheetId="64">#REF!</definedName>
    <definedName name="Inland2" localSheetId="67">#REF!</definedName>
    <definedName name="Inland2" localSheetId="65">#REF!</definedName>
    <definedName name="Inland2" localSheetId="68">#REF!</definedName>
    <definedName name="Inland2" localSheetId="71">#REF!</definedName>
    <definedName name="Inland2" localSheetId="44">#REF!</definedName>
    <definedName name="Inland2" localSheetId="45">#REF!</definedName>
    <definedName name="Inland2" localSheetId="17">#REF!</definedName>
    <definedName name="Inland2" localSheetId="27">#REF!</definedName>
    <definedName name="Inland2" localSheetId="72">#REF!</definedName>
    <definedName name="Inland2" localSheetId="28">#REF!</definedName>
    <definedName name="Inland2" localSheetId="29">#REF!</definedName>
    <definedName name="Inland2" localSheetId="66">#REF!</definedName>
    <definedName name="Inland2">#REF!</definedName>
    <definedName name="interest_and_finance_charges_bs" localSheetId="70">#REF!</definedName>
    <definedName name="interest_and_finance_charges_bs" localSheetId="126">'BEST final'!$C$87</definedName>
    <definedName name="interest_and_finance_charges_bs" localSheetId="52">#REF!</definedName>
    <definedName name="interest_and_finance_charges_bs" localSheetId="58">#REF!</definedName>
    <definedName name="interest_and_finance_charges_bs" localSheetId="56">#REF!</definedName>
    <definedName name="interest_and_finance_charges_bs" localSheetId="57">#REF!</definedName>
    <definedName name="interest_and_finance_charges_bs" localSheetId="64">#REF!</definedName>
    <definedName name="interest_and_finance_charges_bs" localSheetId="67">#REF!</definedName>
    <definedName name="interest_and_finance_charges_bs" localSheetId="65">#REF!</definedName>
    <definedName name="interest_and_finance_charges_bs" localSheetId="68">#REF!</definedName>
    <definedName name="interest_and_finance_charges_bs" localSheetId="71">#REF!</definedName>
    <definedName name="interest_and_finance_charges_bs" localSheetId="44">#REF!</definedName>
    <definedName name="interest_and_finance_charges_bs" localSheetId="45">#REF!</definedName>
    <definedName name="interest_and_finance_charges_bs" localSheetId="17">#REF!</definedName>
    <definedName name="interest_and_finance_charges_bs" localSheetId="27">#REF!</definedName>
    <definedName name="interest_and_finance_charges_bs" localSheetId="72">#REF!</definedName>
    <definedName name="interest_and_finance_charges_bs" localSheetId="28">#REF!</definedName>
    <definedName name="interest_and_finance_charges_bs" localSheetId="29">#REF!</definedName>
    <definedName name="interest_and_finance_charges_bs" localSheetId="66">#REF!</definedName>
    <definedName name="interest_and_finance_charges_bs">#REF!</definedName>
    <definedName name="interest_finance_charges_schedule" localSheetId="70">#REF!</definedName>
    <definedName name="interest_finance_charges_schedule" localSheetId="126">'BEST final'!$A$505</definedName>
    <definedName name="interest_finance_charges_schedule" localSheetId="52">#REF!</definedName>
    <definedName name="interest_finance_charges_schedule" localSheetId="58">#REF!</definedName>
    <definedName name="interest_finance_charges_schedule" localSheetId="56">#REF!</definedName>
    <definedName name="interest_finance_charges_schedule" localSheetId="57">#REF!</definedName>
    <definedName name="interest_finance_charges_schedule" localSheetId="64">#REF!</definedName>
    <definedName name="interest_finance_charges_schedule" localSheetId="67">#REF!</definedName>
    <definedName name="interest_finance_charges_schedule" localSheetId="65">#REF!</definedName>
    <definedName name="interest_finance_charges_schedule" localSheetId="68">#REF!</definedName>
    <definedName name="interest_finance_charges_schedule" localSheetId="71">#REF!</definedName>
    <definedName name="interest_finance_charges_schedule" localSheetId="44">#REF!</definedName>
    <definedName name="interest_finance_charges_schedule" localSheetId="45">#REF!</definedName>
    <definedName name="interest_finance_charges_schedule" localSheetId="17">#REF!</definedName>
    <definedName name="interest_finance_charges_schedule" localSheetId="27">#REF!</definedName>
    <definedName name="interest_finance_charges_schedule" localSheetId="72">#REF!</definedName>
    <definedName name="interest_finance_charges_schedule" localSheetId="28">#REF!</definedName>
    <definedName name="interest_finance_charges_schedule" localSheetId="29">#REF!</definedName>
    <definedName name="interest_finance_charges_schedule" localSheetId="66">#REF!</definedName>
    <definedName name="interest_finance_charges_schedule">#REF!</definedName>
    <definedName name="INTERFACE_FORMAT_VERSION" localSheetId="70">#REF!</definedName>
    <definedName name="INTERFACE_FORMAT_VERSION" localSheetId="52">#REF!</definedName>
    <definedName name="INTERFACE_FORMAT_VERSION" localSheetId="58">#REF!</definedName>
    <definedName name="INTERFACE_FORMAT_VERSION" localSheetId="57">#REF!</definedName>
    <definedName name="INTERFACE_FORMAT_VERSION" localSheetId="64">#REF!</definedName>
    <definedName name="INTERFACE_FORMAT_VERSION" localSheetId="67">#REF!</definedName>
    <definedName name="INTERFACE_FORMAT_VERSION" localSheetId="65">#REF!</definedName>
    <definedName name="INTERFACE_FORMAT_VERSION" localSheetId="68">#REF!</definedName>
    <definedName name="INTERFACE_FORMAT_VERSION" localSheetId="71">#REF!</definedName>
    <definedName name="INTERFACE_FORMAT_VERSION" localSheetId="44">#REF!</definedName>
    <definedName name="INTERFACE_FORMAT_VERSION" localSheetId="45">#REF!</definedName>
    <definedName name="INTERFACE_FORMAT_VERSION" localSheetId="17">#REF!</definedName>
    <definedName name="INTERFACE_FORMAT_VERSION" localSheetId="27">#REF!</definedName>
    <definedName name="INTERFACE_FORMAT_VERSION" localSheetId="72">#REF!</definedName>
    <definedName name="INTERFACE_FORMAT_VERSION" localSheetId="28">#REF!</definedName>
    <definedName name="INTERFACE_FORMAT_VERSION" localSheetId="29">#REF!</definedName>
    <definedName name="INTERFACE_FORMAT_VERSION" localSheetId="66">#REF!</definedName>
    <definedName name="INTERFACE_FORMAT_VERSION">#REF!</definedName>
    <definedName name="INTERFACE_NAME" localSheetId="70">#REF!</definedName>
    <definedName name="INTERFACE_NAME" localSheetId="52">#REF!</definedName>
    <definedName name="INTERFACE_NAME" localSheetId="58">#REF!</definedName>
    <definedName name="INTERFACE_NAME" localSheetId="57">#REF!</definedName>
    <definedName name="INTERFACE_NAME" localSheetId="64">#REF!</definedName>
    <definedName name="INTERFACE_NAME" localSheetId="67">#REF!</definedName>
    <definedName name="INTERFACE_NAME" localSheetId="65">#REF!</definedName>
    <definedName name="INTERFACE_NAME" localSheetId="68">#REF!</definedName>
    <definedName name="INTERFACE_NAME" localSheetId="71">#REF!</definedName>
    <definedName name="INTERFACE_NAME" localSheetId="44">#REF!</definedName>
    <definedName name="INTERFACE_NAME" localSheetId="45">#REF!</definedName>
    <definedName name="INTERFACE_NAME" localSheetId="17">#REF!</definedName>
    <definedName name="INTERFACE_NAME" localSheetId="27">#REF!</definedName>
    <definedName name="INTERFACE_NAME" localSheetId="72">#REF!</definedName>
    <definedName name="INTERFACE_NAME" localSheetId="28">#REF!</definedName>
    <definedName name="INTERFACE_NAME" localSheetId="29">#REF!</definedName>
    <definedName name="INTERFACE_NAME" localSheetId="66">#REF!</definedName>
    <definedName name="INTERFACE_NAME">#REF!</definedName>
    <definedName name="IntFreeCred" localSheetId="70">#REF!</definedName>
    <definedName name="IntFreeCred" localSheetId="52">#REF!</definedName>
    <definedName name="IntFreeCred" localSheetId="58">#REF!</definedName>
    <definedName name="IntFreeCred" localSheetId="57">#REF!</definedName>
    <definedName name="IntFreeCred" localSheetId="64">#REF!</definedName>
    <definedName name="IntFreeCred" localSheetId="67">#REF!</definedName>
    <definedName name="IntFreeCred" localSheetId="65">#REF!</definedName>
    <definedName name="IntFreeCred" localSheetId="68">#REF!</definedName>
    <definedName name="IntFreeCred" localSheetId="71">#REF!</definedName>
    <definedName name="IntFreeCred" localSheetId="44">#REF!</definedName>
    <definedName name="IntFreeCred" localSheetId="45">#REF!</definedName>
    <definedName name="IntFreeCred" localSheetId="27">#REF!</definedName>
    <definedName name="IntFreeCred" localSheetId="28">#REF!</definedName>
    <definedName name="IntFreeCred" localSheetId="29">#REF!</definedName>
    <definedName name="IntFreeCred" localSheetId="66">#REF!</definedName>
    <definedName name="IntFreeCred">#REF!</definedName>
    <definedName name="Intt_Charge_cY" localSheetId="70">#REF!,#REF!</definedName>
    <definedName name="Intt_Charge_cY" localSheetId="20">#REF!,#REF!</definedName>
    <definedName name="Intt_Charge_cY" localSheetId="15">#REF!,#REF!</definedName>
    <definedName name="Intt_Charge_cY" localSheetId="52">#REF!,#REF!</definedName>
    <definedName name="Intt_Charge_cY" localSheetId="58">#REF!,#REF!</definedName>
    <definedName name="Intt_Charge_cY" localSheetId="57">#REF!,#REF!</definedName>
    <definedName name="Intt_Charge_cY" localSheetId="64">#REF!,#REF!</definedName>
    <definedName name="Intt_Charge_cY" localSheetId="67">#REF!,#REF!</definedName>
    <definedName name="Intt_Charge_cY" localSheetId="65">#REF!,#REF!</definedName>
    <definedName name="Intt_Charge_cY" localSheetId="30">#REF!,#REF!</definedName>
    <definedName name="Intt_Charge_cY" localSheetId="68">#REF!,#REF!</definedName>
    <definedName name="Intt_Charge_cY" localSheetId="71">#REF!,#REF!</definedName>
    <definedName name="Intt_Charge_cY" localSheetId="44">#REF!,#REF!</definedName>
    <definedName name="Intt_Charge_cY" localSheetId="45">#REF!,#REF!</definedName>
    <definedName name="Intt_Charge_cY" localSheetId="48">#REF!,#REF!</definedName>
    <definedName name="Intt_Charge_cY" localSheetId="17">#REF!,#REF!</definedName>
    <definedName name="Intt_Charge_cY" localSheetId="27">#REF!,#REF!</definedName>
    <definedName name="Intt_Charge_cY" localSheetId="72">#REF!,#REF!</definedName>
    <definedName name="Intt_Charge_cY" localSheetId="28">#REF!,#REF!</definedName>
    <definedName name="Intt_Charge_cY" localSheetId="29">#REF!,#REF!</definedName>
    <definedName name="Intt_Charge_cY" localSheetId="66">#REF!,#REF!</definedName>
    <definedName name="Intt_Charge_cY">#REF!,#REF!</definedName>
    <definedName name="Intt_Charge_cy_1" localSheetId="20">'[49]A 3.7'!$H$35,'[49]A 3.7'!$H$44</definedName>
    <definedName name="Intt_Charge_cy_1" localSheetId="15">'[49]A 3.7'!$H$35,'[49]A 3.7'!$H$44</definedName>
    <definedName name="Intt_Charge_cy_1" localSheetId="30">'[49]A 3.7'!$H$35,'[49]A 3.7'!$H$44</definedName>
    <definedName name="Intt_Charge_cy_1">'[50]A 3.7'!$H$35,'[50]A 3.7'!$H$44</definedName>
    <definedName name="Intt_Charge_eY" localSheetId="70">#REF!,#REF!</definedName>
    <definedName name="Intt_Charge_eY" localSheetId="20">#REF!,#REF!</definedName>
    <definedName name="Intt_Charge_eY" localSheetId="15">#REF!,#REF!</definedName>
    <definedName name="Intt_Charge_eY" localSheetId="52">#REF!,#REF!</definedName>
    <definedName name="Intt_Charge_eY" localSheetId="58">#REF!,#REF!</definedName>
    <definedName name="Intt_Charge_eY" localSheetId="57">#REF!,#REF!</definedName>
    <definedName name="Intt_Charge_eY" localSheetId="64">#REF!,#REF!</definedName>
    <definedName name="Intt_Charge_eY" localSheetId="67">#REF!,#REF!</definedName>
    <definedName name="Intt_Charge_eY" localSheetId="65">#REF!,#REF!</definedName>
    <definedName name="Intt_Charge_eY" localSheetId="30">#REF!,#REF!</definedName>
    <definedName name="Intt_Charge_eY" localSheetId="68">#REF!,#REF!</definedName>
    <definedName name="Intt_Charge_eY" localSheetId="71">#REF!,#REF!</definedName>
    <definedName name="Intt_Charge_eY" localSheetId="44">#REF!,#REF!</definedName>
    <definedName name="Intt_Charge_eY" localSheetId="45">#REF!,#REF!</definedName>
    <definedName name="Intt_Charge_eY" localSheetId="48">#REF!,#REF!</definedName>
    <definedName name="Intt_Charge_eY" localSheetId="17">#REF!,#REF!</definedName>
    <definedName name="Intt_Charge_eY" localSheetId="27">#REF!,#REF!</definedName>
    <definedName name="Intt_Charge_eY" localSheetId="72">#REF!,#REF!</definedName>
    <definedName name="Intt_Charge_eY" localSheetId="28">#REF!,#REF!</definedName>
    <definedName name="Intt_Charge_eY" localSheetId="29">#REF!,#REF!</definedName>
    <definedName name="Intt_Charge_eY" localSheetId="66">#REF!,#REF!</definedName>
    <definedName name="Intt_Charge_eY">#REF!,#REF!</definedName>
    <definedName name="Intt_Charge_ey_1" localSheetId="20">'[49]A 3.7'!$I$35,'[49]A 3.7'!$I$44</definedName>
    <definedName name="Intt_Charge_ey_1" localSheetId="15">'[49]A 3.7'!$I$35,'[49]A 3.7'!$I$44</definedName>
    <definedName name="Intt_Charge_ey_1" localSheetId="30">'[49]A 3.7'!$I$35,'[49]A 3.7'!$I$44</definedName>
    <definedName name="Intt_Charge_ey_1">'[50]A 3.7'!$I$35,'[50]A 3.7'!$I$44</definedName>
    <definedName name="Intt_Charge_PY" localSheetId="70">#REF!,#REF!</definedName>
    <definedName name="Intt_Charge_PY" localSheetId="20">#REF!,#REF!</definedName>
    <definedName name="Intt_Charge_PY" localSheetId="15">#REF!,#REF!</definedName>
    <definedName name="Intt_Charge_PY" localSheetId="52">#REF!,#REF!</definedName>
    <definedName name="Intt_Charge_PY" localSheetId="58">#REF!,#REF!</definedName>
    <definedName name="Intt_Charge_PY" localSheetId="57">#REF!,#REF!</definedName>
    <definedName name="Intt_Charge_PY" localSheetId="64">#REF!,#REF!</definedName>
    <definedName name="Intt_Charge_PY" localSheetId="67">#REF!,#REF!</definedName>
    <definedName name="Intt_Charge_PY" localSheetId="65">#REF!,#REF!</definedName>
    <definedName name="Intt_Charge_PY" localSheetId="30">#REF!,#REF!</definedName>
    <definedName name="Intt_Charge_PY" localSheetId="68">#REF!,#REF!</definedName>
    <definedName name="Intt_Charge_PY" localSheetId="71">#REF!,#REF!</definedName>
    <definedName name="Intt_Charge_PY" localSheetId="44">#REF!,#REF!</definedName>
    <definedName name="Intt_Charge_PY" localSheetId="45">#REF!,#REF!</definedName>
    <definedName name="Intt_Charge_PY" localSheetId="48">#REF!,#REF!</definedName>
    <definedName name="Intt_Charge_PY" localSheetId="17">#REF!,#REF!</definedName>
    <definedName name="Intt_Charge_PY" localSheetId="27">#REF!,#REF!</definedName>
    <definedName name="Intt_Charge_PY" localSheetId="72">#REF!,#REF!</definedName>
    <definedName name="Intt_Charge_PY" localSheetId="28">#REF!,#REF!</definedName>
    <definedName name="Intt_Charge_PY" localSheetId="29">#REF!,#REF!</definedName>
    <definedName name="Intt_Charge_PY" localSheetId="66">#REF!,#REF!</definedName>
    <definedName name="Intt_Charge_PY">#REF!,#REF!</definedName>
    <definedName name="Intt_Charge_py_1" localSheetId="20">'[49]A 3.7'!$G$35,'[49]A 3.7'!$G$44</definedName>
    <definedName name="Intt_Charge_py_1" localSheetId="15">'[49]A 3.7'!$G$35,'[49]A 3.7'!$G$44</definedName>
    <definedName name="Intt_Charge_py_1" localSheetId="30">'[49]A 3.7'!$G$35,'[49]A 3.7'!$G$44</definedName>
    <definedName name="Intt_Charge_py_1">'[50]A 3.7'!$G$35,'[50]A 3.7'!$G$44</definedName>
    <definedName name="iop" localSheetId="140" hidden="1">{"'Sheet1'!$L$16"}</definedName>
    <definedName name="iop" localSheetId="58" hidden="1">{"'Sheet1'!$L$16"}</definedName>
    <definedName name="iop" localSheetId="56" hidden="1">{"'Sheet1'!$L$16"}</definedName>
    <definedName name="iop" localSheetId="57" hidden="1">{"'Sheet1'!$L$16"}</definedName>
    <definedName name="iop" localSheetId="67" hidden="1">{"'Sheet1'!$L$16"}</definedName>
    <definedName name="iop" localSheetId="65" hidden="1">{"'Sheet1'!$L$16"}</definedName>
    <definedName name="iop" localSheetId="68" hidden="1">{"'Sheet1'!$L$16"}</definedName>
    <definedName name="iop" localSheetId="71" hidden="1">{"'Sheet1'!$L$16"}</definedName>
    <definedName name="iop" localSheetId="17" hidden="1">{"'Sheet1'!$L$16"}</definedName>
    <definedName name="iop" localSheetId="27" hidden="1">{"'Sheet1'!$L$16"}</definedName>
    <definedName name="iop" localSheetId="72" hidden="1">{"'Sheet1'!$L$16"}</definedName>
    <definedName name="iop" localSheetId="28" hidden="1">{"'Sheet1'!$L$16"}</definedName>
    <definedName name="iop" localSheetId="29" hidden="1">{"'Sheet1'!$L$16"}</definedName>
    <definedName name="iop" hidden="1">{"'Sheet1'!$L$16"}</definedName>
    <definedName name="IPT" localSheetId="70">#REF!</definedName>
    <definedName name="IPT" localSheetId="52">#REF!</definedName>
    <definedName name="IPT" localSheetId="58">#REF!</definedName>
    <definedName name="IPT" localSheetId="57">#REF!</definedName>
    <definedName name="IPT" localSheetId="64">#REF!</definedName>
    <definedName name="IPT" localSheetId="67">#REF!</definedName>
    <definedName name="IPT" localSheetId="65">#REF!</definedName>
    <definedName name="IPT" localSheetId="68">#REF!</definedName>
    <definedName name="IPT" localSheetId="71">#REF!</definedName>
    <definedName name="IPT" localSheetId="44">#REF!</definedName>
    <definedName name="IPT" localSheetId="45">#REF!</definedName>
    <definedName name="IPT" localSheetId="27">#REF!</definedName>
    <definedName name="IPT" localSheetId="28">#REF!</definedName>
    <definedName name="IPT" localSheetId="29">#REF!</definedName>
    <definedName name="IPT" localSheetId="66">#REF!</definedName>
    <definedName name="IPT">#REF!</definedName>
    <definedName name="IRANFARS_최종_3차분" localSheetId="70">#REF!</definedName>
    <definedName name="IRANFARS_최종_3차분" localSheetId="52">#REF!</definedName>
    <definedName name="IRANFARS_최종_3차분" localSheetId="58">#REF!</definedName>
    <definedName name="IRANFARS_최종_3차분" localSheetId="57">#REF!</definedName>
    <definedName name="IRANFARS_최종_3차분" localSheetId="64">#REF!</definedName>
    <definedName name="IRANFARS_최종_3차분" localSheetId="67">#REF!</definedName>
    <definedName name="IRANFARS_최종_3차분" localSheetId="65">#REF!</definedName>
    <definedName name="IRANFARS_최종_3차분" localSheetId="68">#REF!</definedName>
    <definedName name="IRANFARS_최종_3차분" localSheetId="71">#REF!</definedName>
    <definedName name="IRANFARS_최종_3차분" localSheetId="44">#REF!</definedName>
    <definedName name="IRANFARS_최종_3차분" localSheetId="45">#REF!</definedName>
    <definedName name="IRANFARS_최종_3차분" localSheetId="27">#REF!</definedName>
    <definedName name="IRANFARS_최종_3차분" localSheetId="28">#REF!</definedName>
    <definedName name="IRANFARS_최종_3차분" localSheetId="29">#REF!</definedName>
    <definedName name="IRANFARS_최종_3차분" localSheetId="66">#REF!</definedName>
    <definedName name="IRANFARS_최종_3차분">#REF!</definedName>
    <definedName name="IRANFARS2차분_REV_" localSheetId="70">#REF!</definedName>
    <definedName name="IRANFARS2차분_REV_" localSheetId="52">#REF!</definedName>
    <definedName name="IRANFARS2차분_REV_" localSheetId="58">#REF!</definedName>
    <definedName name="IRANFARS2차분_REV_" localSheetId="57">#REF!</definedName>
    <definedName name="IRANFARS2차분_REV_" localSheetId="64">#REF!</definedName>
    <definedName name="IRANFARS2차분_REV_" localSheetId="67">#REF!</definedName>
    <definedName name="IRANFARS2차분_REV_" localSheetId="65">#REF!</definedName>
    <definedName name="IRANFARS2차분_REV_" localSheetId="68">#REF!</definedName>
    <definedName name="IRANFARS2차분_REV_" localSheetId="71">#REF!</definedName>
    <definedName name="IRANFARS2차분_REV_" localSheetId="44">#REF!</definedName>
    <definedName name="IRANFARS2차분_REV_" localSheetId="45">#REF!</definedName>
    <definedName name="IRANFARS2차분_REV_" localSheetId="27">#REF!</definedName>
    <definedName name="IRANFARS2차분_REV_" localSheetId="28">#REF!</definedName>
    <definedName name="IRANFARS2차분_REV_" localSheetId="29">#REF!</definedName>
    <definedName name="IRANFARS2차분_REV_" localSheetId="66">#REF!</definedName>
    <definedName name="IRANFARS2차분_REV_">#REF!</definedName>
    <definedName name="is" localSheetId="140" hidden="1">{"'Sheet1'!$L$16"}</definedName>
    <definedName name="is" localSheetId="58" hidden="1">{"'Sheet1'!$L$16"}</definedName>
    <definedName name="is" localSheetId="56" hidden="1">{"'Sheet1'!$L$16"}</definedName>
    <definedName name="is" localSheetId="57" hidden="1">{"'Sheet1'!$L$16"}</definedName>
    <definedName name="is" localSheetId="67" hidden="1">{"'Sheet1'!$L$16"}</definedName>
    <definedName name="is" localSheetId="65" hidden="1">{"'Sheet1'!$L$16"}</definedName>
    <definedName name="is" localSheetId="68" hidden="1">{"'Sheet1'!$L$16"}</definedName>
    <definedName name="is" localSheetId="71" hidden="1">{"'Sheet1'!$L$16"}</definedName>
    <definedName name="is" localSheetId="17" hidden="1">{"'Sheet1'!$L$16"}</definedName>
    <definedName name="is" localSheetId="27" hidden="1">{"'Sheet1'!$L$16"}</definedName>
    <definedName name="is" localSheetId="72" hidden="1">{"'Sheet1'!$L$16"}</definedName>
    <definedName name="is" localSheetId="28" hidden="1">{"'Sheet1'!$L$16"}</definedName>
    <definedName name="is" localSheetId="29" hidden="1">{"'Sheet1'!$L$16"}</definedName>
    <definedName name="is" hidden="1">{"'Sheet1'!$L$16"}</definedName>
    <definedName name="ISODWG">#N/A</definedName>
    <definedName name="it" localSheetId="140" hidden="1">{"'Sheet1'!$L$16"}</definedName>
    <definedName name="it" localSheetId="58" hidden="1">{"'Sheet1'!$L$16"}</definedName>
    <definedName name="it" localSheetId="56" hidden="1">{"'Sheet1'!$L$16"}</definedName>
    <definedName name="it" localSheetId="57" hidden="1">{"'Sheet1'!$L$16"}</definedName>
    <definedName name="it" localSheetId="67" hidden="1">{"'Sheet1'!$L$16"}</definedName>
    <definedName name="it" localSheetId="65" hidden="1">{"'Sheet1'!$L$16"}</definedName>
    <definedName name="it" localSheetId="68" hidden="1">{"'Sheet1'!$L$16"}</definedName>
    <definedName name="it" localSheetId="71" hidden="1">{"'Sheet1'!$L$16"}</definedName>
    <definedName name="it" localSheetId="17" hidden="1">{"'Sheet1'!$L$16"}</definedName>
    <definedName name="it" localSheetId="27" hidden="1">{"'Sheet1'!$L$16"}</definedName>
    <definedName name="it" localSheetId="72" hidden="1">{"'Sheet1'!$L$16"}</definedName>
    <definedName name="it" localSheetId="28" hidden="1">{"'Sheet1'!$L$16"}</definedName>
    <definedName name="it" localSheetId="29" hidden="1">{"'Sheet1'!$L$16"}</definedName>
    <definedName name="it" hidden="1">{"'Sheet1'!$L$16"}</definedName>
    <definedName name="ITEM">#N/A</definedName>
    <definedName name="ITEM_CODE" localSheetId="70">'[31]ITEM-LIST'!#REF!</definedName>
    <definedName name="ITEM_CODE" localSheetId="52">'[31]ITEM-LIST'!#REF!</definedName>
    <definedName name="ITEM_CODE" localSheetId="58">'[31]ITEM-LIST'!#REF!</definedName>
    <definedName name="ITEM_CODE" localSheetId="57">'[31]ITEM-LIST'!#REF!</definedName>
    <definedName name="ITEM_CODE" localSheetId="64">'[31]ITEM-LIST'!#REF!</definedName>
    <definedName name="ITEM_CODE" localSheetId="67">'[31]ITEM-LIST'!#REF!</definedName>
    <definedName name="ITEM_CODE" localSheetId="65">'[31]ITEM-LIST'!#REF!</definedName>
    <definedName name="ITEM_CODE" localSheetId="68">'[31]ITEM-LIST'!#REF!</definedName>
    <definedName name="ITEM_CODE" localSheetId="71">'[31]ITEM-LIST'!#REF!</definedName>
    <definedName name="ITEM_CODE" localSheetId="44">'[31]ITEM-LIST'!#REF!</definedName>
    <definedName name="ITEM_CODE" localSheetId="45">'[31]ITEM-LIST'!#REF!</definedName>
    <definedName name="ITEM_CODE" localSheetId="27">'[31]ITEM-LIST'!#REF!</definedName>
    <definedName name="ITEM_CODE" localSheetId="28">'[31]ITEM-LIST'!#REF!</definedName>
    <definedName name="ITEM_CODE" localSheetId="29">'[31]ITEM-LIST'!#REF!</definedName>
    <definedName name="ITEM_CODE" localSheetId="66">'[31]ITEM-LIST'!#REF!</definedName>
    <definedName name="ITEM_CODE">'[31]ITEM-LIST'!#REF!</definedName>
    <definedName name="ITEM_NAME">#N/A</definedName>
    <definedName name="ITNO">#N/A</definedName>
    <definedName name="iv2dt" localSheetId="70" hidden="1">'[22]Eq. Mobilization'!#REF!</definedName>
    <definedName name="iv2dt" localSheetId="52" hidden="1">'[22]Eq. Mobilization'!#REF!</definedName>
    <definedName name="iv2dt" localSheetId="58" hidden="1">'[22]Eq. Mobilization'!#REF!</definedName>
    <definedName name="iv2dt" localSheetId="57" hidden="1">'[22]Eq. Mobilization'!#REF!</definedName>
    <definedName name="iv2dt" localSheetId="64" hidden="1">'[22]Eq. Mobilization'!#REF!</definedName>
    <definedName name="iv2dt" localSheetId="67" hidden="1">'[22]Eq. Mobilization'!#REF!</definedName>
    <definedName name="iv2dt" localSheetId="65" hidden="1">'[22]Eq. Mobilization'!#REF!</definedName>
    <definedName name="iv2dt" localSheetId="68" hidden="1">'[22]Eq. Mobilization'!#REF!</definedName>
    <definedName name="iv2dt" localSheetId="71" hidden="1">'[22]Eq. Mobilization'!#REF!</definedName>
    <definedName name="iv2dt" localSheetId="44" hidden="1">'[22]Eq. Mobilization'!#REF!</definedName>
    <definedName name="iv2dt" localSheetId="45" hidden="1">'[22]Eq. Mobilization'!#REF!</definedName>
    <definedName name="iv2dt" localSheetId="27" hidden="1">'[22]Eq. Mobilization'!#REF!</definedName>
    <definedName name="iv2dt" localSheetId="28" hidden="1">'[22]Eq. Mobilization'!#REF!</definedName>
    <definedName name="iv2dt" localSheetId="29" hidden="1">'[22]Eq. Mobilization'!#REF!</definedName>
    <definedName name="iv2dt" localSheetId="66" hidden="1">'[22]Eq. Mobilization'!#REF!</definedName>
    <definedName name="iv2dt" hidden="1">'[22]Eq. Mobilization'!#REF!</definedName>
    <definedName name="ivdt" localSheetId="70" hidden="1">'[22]Eq. Mobilization'!#REF!</definedName>
    <definedName name="ivdt" localSheetId="52" hidden="1">'[22]Eq. Mobilization'!#REF!</definedName>
    <definedName name="ivdt" localSheetId="58" hidden="1">'[22]Eq. Mobilization'!#REF!</definedName>
    <definedName name="ivdt" localSheetId="57" hidden="1">'[22]Eq. Mobilization'!#REF!</definedName>
    <definedName name="ivdt" localSheetId="64" hidden="1">'[22]Eq. Mobilization'!#REF!</definedName>
    <definedName name="ivdt" localSheetId="67" hidden="1">'[22]Eq. Mobilization'!#REF!</definedName>
    <definedName name="ivdt" localSheetId="65" hidden="1">'[22]Eq. Mobilization'!#REF!</definedName>
    <definedName name="ivdt" localSheetId="68" hidden="1">'[22]Eq. Mobilization'!#REF!</definedName>
    <definedName name="ivdt" localSheetId="71" hidden="1">'[22]Eq. Mobilization'!#REF!</definedName>
    <definedName name="ivdt" localSheetId="44" hidden="1">'[22]Eq. Mobilization'!#REF!</definedName>
    <definedName name="ivdt" localSheetId="45" hidden="1">'[22]Eq. Mobilization'!#REF!</definedName>
    <definedName name="ivdt" localSheetId="27" hidden="1">'[22]Eq. Mobilization'!#REF!</definedName>
    <definedName name="ivdt" localSheetId="28" hidden="1">'[22]Eq. Mobilization'!#REF!</definedName>
    <definedName name="ivdt" localSheetId="29" hidden="1">'[22]Eq. Mobilization'!#REF!</definedName>
    <definedName name="ivdt" localSheetId="66" hidden="1">'[22]Eq. Mobilization'!#REF!</definedName>
    <definedName name="ivdt" hidden="1">'[22]Eq. Mobilization'!#REF!</definedName>
    <definedName name="J" localSheetId="70">#REF!</definedName>
    <definedName name="J" localSheetId="52">#REF!</definedName>
    <definedName name="J" localSheetId="58">#REF!</definedName>
    <definedName name="J" localSheetId="56">#REF!</definedName>
    <definedName name="J" localSheetId="57">#REF!</definedName>
    <definedName name="J" localSheetId="64">#REF!</definedName>
    <definedName name="J" localSheetId="67">#REF!</definedName>
    <definedName name="J" localSheetId="65">#REF!</definedName>
    <definedName name="J" localSheetId="68">#REF!</definedName>
    <definedName name="J" localSheetId="71">#REF!</definedName>
    <definedName name="J" localSheetId="44">#REF!</definedName>
    <definedName name="J" localSheetId="45">#REF!</definedName>
    <definedName name="J" localSheetId="17">#REF!</definedName>
    <definedName name="J" localSheetId="27">#REF!</definedName>
    <definedName name="J" localSheetId="72">#REF!</definedName>
    <definedName name="J" localSheetId="28">#REF!</definedName>
    <definedName name="J" localSheetId="29">#REF!</definedName>
    <definedName name="J" localSheetId="66">#REF!</definedName>
    <definedName name="J">#REF!</definedName>
    <definedName name="J_CODE">#N/A</definedName>
    <definedName name="J_DATE">#N/A</definedName>
    <definedName name="J_DEL">#N/A</definedName>
    <definedName name="J_DESC">#N/A</definedName>
    <definedName name="J_NAME">#N/A</definedName>
    <definedName name="J_P_MH">#N/A</definedName>
    <definedName name="J_PROG">#N/A</definedName>
    <definedName name="J_REMAINMH">#N/A</definedName>
    <definedName name="J_TEL" localSheetId="70">'[31]ITEM-LIST'!#REF!</definedName>
    <definedName name="J_TEL" localSheetId="52">'[31]ITEM-LIST'!#REF!</definedName>
    <definedName name="J_TEL" localSheetId="58">'[31]ITEM-LIST'!#REF!</definedName>
    <definedName name="J_TEL" localSheetId="56">'[31]ITEM-LIST'!#REF!</definedName>
    <definedName name="J_TEL" localSheetId="57">'[31]ITEM-LIST'!#REF!</definedName>
    <definedName name="J_TEL" localSheetId="64">'[31]ITEM-LIST'!#REF!</definedName>
    <definedName name="J_TEL" localSheetId="67">'[31]ITEM-LIST'!#REF!</definedName>
    <definedName name="J_TEL" localSheetId="65">'[31]ITEM-LIST'!#REF!</definedName>
    <definedName name="J_TEL" localSheetId="68">'[31]ITEM-LIST'!#REF!</definedName>
    <definedName name="J_TEL" localSheetId="71">'[31]ITEM-LIST'!#REF!</definedName>
    <definedName name="J_TEL" localSheetId="44">'[31]ITEM-LIST'!#REF!</definedName>
    <definedName name="J_TEL" localSheetId="45">'[31]ITEM-LIST'!#REF!</definedName>
    <definedName name="J_TEL" localSheetId="17">'[31]ITEM-LIST'!#REF!</definedName>
    <definedName name="J_TEL" localSheetId="27">'[31]ITEM-LIST'!#REF!</definedName>
    <definedName name="J_TEL" localSheetId="72">'[31]ITEM-LIST'!#REF!</definedName>
    <definedName name="J_TEL" localSheetId="28">'[31]ITEM-LIST'!#REF!</definedName>
    <definedName name="J_TEL" localSheetId="29">'[31]ITEM-LIST'!#REF!</definedName>
    <definedName name="J_TEL" localSheetId="66">'[31]ITEM-LIST'!#REF!</definedName>
    <definedName name="J_TEL">'[31]ITEM-LIST'!#REF!</definedName>
    <definedName name="JE">#N/A</definedName>
    <definedName name="JEJAK">#N/A</definedName>
    <definedName name="jfgf">[12]BEST_17112006!$A$206</definedName>
    <definedName name="JJ">'[45]MOB-MAN1'!$D$40:$BW$49</definedName>
    <definedName name="JJJ" localSheetId="70" hidden="1">[51]DJ1!#REF!</definedName>
    <definedName name="JJJ" localSheetId="52" hidden="1">[51]DJ1!#REF!</definedName>
    <definedName name="JJJ" localSheetId="58" hidden="1">[51]DJ1!#REF!</definedName>
    <definedName name="JJJ" localSheetId="56" hidden="1">[51]DJ1!#REF!</definedName>
    <definedName name="JJJ" localSheetId="57" hidden="1">[51]DJ1!#REF!</definedName>
    <definedName name="JJJ" localSheetId="64" hidden="1">[51]DJ1!#REF!</definedName>
    <definedName name="JJJ" localSheetId="67" hidden="1">[51]DJ1!#REF!</definedName>
    <definedName name="JJJ" localSheetId="65" hidden="1">[51]DJ1!#REF!</definedName>
    <definedName name="JJJ" localSheetId="68" hidden="1">[51]DJ1!#REF!</definedName>
    <definedName name="JJJ" localSheetId="71" hidden="1">[51]DJ1!#REF!</definedName>
    <definedName name="JJJ" localSheetId="44" hidden="1">[51]DJ1!#REF!</definedName>
    <definedName name="JJJ" localSheetId="45" hidden="1">[51]DJ1!#REF!</definedName>
    <definedName name="JJJ" localSheetId="17" hidden="1">[51]DJ1!#REF!</definedName>
    <definedName name="JJJ" localSheetId="27" hidden="1">[51]DJ1!#REF!</definedName>
    <definedName name="JJJ" localSheetId="72" hidden="1">[51]DJ1!#REF!</definedName>
    <definedName name="JJJ" localSheetId="28" hidden="1">[51]DJ1!#REF!</definedName>
    <definedName name="JJJ" localSheetId="29" hidden="1">[51]DJ1!#REF!</definedName>
    <definedName name="JJJ" localSheetId="66" hidden="1">[51]DJ1!#REF!</definedName>
    <definedName name="JJJ" hidden="1">[51]DJ1!#REF!</definedName>
    <definedName name="jjkjklj" localSheetId="70">#REF!,#REF!</definedName>
    <definedName name="jjkjklj" localSheetId="52">#REF!,#REF!</definedName>
    <definedName name="jjkjklj" localSheetId="58">#REF!,#REF!</definedName>
    <definedName name="jjkjklj" localSheetId="57">#REF!,#REF!</definedName>
    <definedName name="jjkjklj" localSheetId="64">#REF!,#REF!</definedName>
    <definedName name="jjkjklj" localSheetId="67">#REF!,#REF!</definedName>
    <definedName name="jjkjklj" localSheetId="65">#REF!,#REF!</definedName>
    <definedName name="jjkjklj" localSheetId="68">#REF!,#REF!</definedName>
    <definedName name="jjkjklj" localSheetId="71">#REF!,#REF!</definedName>
    <definedName name="jjkjklj" localSheetId="44">#REF!,#REF!</definedName>
    <definedName name="jjkjklj" localSheetId="45">#REF!,#REF!</definedName>
    <definedName name="jjkjklj" localSheetId="48">#REF!,#REF!</definedName>
    <definedName name="jjkjklj" localSheetId="17">#REF!,#REF!</definedName>
    <definedName name="jjkjklj" localSheetId="27">#REF!,#REF!</definedName>
    <definedName name="jjkjklj" localSheetId="72">#REF!,#REF!</definedName>
    <definedName name="jjkjklj" localSheetId="28">#REF!,#REF!</definedName>
    <definedName name="jjkjklj" localSheetId="29">#REF!,#REF!</definedName>
    <definedName name="jjkjklj" localSheetId="66">#REF!,#REF!</definedName>
    <definedName name="jjkjklj">#REF!,#REF!</definedName>
    <definedName name="jjskjsklj" localSheetId="70">#REF!</definedName>
    <definedName name="jjskjsklj" localSheetId="52">#REF!</definedName>
    <definedName name="jjskjsklj" localSheetId="58">#REF!</definedName>
    <definedName name="jjskjsklj" localSheetId="57">#REF!</definedName>
    <definedName name="jjskjsklj" localSheetId="64">#REF!</definedName>
    <definedName name="jjskjsklj" localSheetId="67">#REF!</definedName>
    <definedName name="jjskjsklj" localSheetId="65">#REF!</definedName>
    <definedName name="jjskjsklj" localSheetId="68">#REF!</definedName>
    <definedName name="jjskjsklj" localSheetId="71">#REF!</definedName>
    <definedName name="jjskjsklj" localSheetId="44">#REF!</definedName>
    <definedName name="jjskjsklj" localSheetId="45">#REF!</definedName>
    <definedName name="jjskjsklj" localSheetId="48">#REF!</definedName>
    <definedName name="jjskjsklj" localSheetId="17">#REF!</definedName>
    <definedName name="jjskjsklj" localSheetId="27">#REF!</definedName>
    <definedName name="jjskjsklj" localSheetId="72">#REF!</definedName>
    <definedName name="jjskjsklj" localSheetId="28">#REF!</definedName>
    <definedName name="jjskjsklj" localSheetId="29">#REF!</definedName>
    <definedName name="jjskjsklj" localSheetId="66">#REF!</definedName>
    <definedName name="jjskjsklj">#REF!</definedName>
    <definedName name="jsjssij" localSheetId="70">#REF!</definedName>
    <definedName name="jsjssij" localSheetId="52">#REF!</definedName>
    <definedName name="jsjssij" localSheetId="58">#REF!</definedName>
    <definedName name="jsjssij" localSheetId="57">#REF!</definedName>
    <definedName name="jsjssij" localSheetId="64">#REF!</definedName>
    <definedName name="jsjssij" localSheetId="67">#REF!</definedName>
    <definedName name="jsjssij" localSheetId="65">#REF!</definedName>
    <definedName name="jsjssij" localSheetId="68">#REF!</definedName>
    <definedName name="jsjssij" localSheetId="71">#REF!</definedName>
    <definedName name="jsjssij" localSheetId="44">#REF!</definedName>
    <definedName name="jsjssij" localSheetId="45">#REF!</definedName>
    <definedName name="jsjssij" localSheetId="48">#REF!</definedName>
    <definedName name="jsjssij" localSheetId="27">#REF!</definedName>
    <definedName name="jsjssij" localSheetId="28">#REF!</definedName>
    <definedName name="jsjssij" localSheetId="29">#REF!</definedName>
    <definedName name="jsjssij" localSheetId="66">#REF!</definedName>
    <definedName name="jsjssij">#REF!</definedName>
    <definedName name="JU" localSheetId="70">'[33]해외 기술훈련비 (합계)'!#REF!</definedName>
    <definedName name="JU" localSheetId="52">'[33]해외 기술훈련비 (합계)'!#REF!</definedName>
    <definedName name="JU" localSheetId="58">'[33]해외 기술훈련비 (합계)'!#REF!</definedName>
    <definedName name="JU" localSheetId="57">'[33]해외 기술훈련비 (합계)'!#REF!</definedName>
    <definedName name="JU" localSheetId="64">'[33]해외 기술훈련비 (합계)'!#REF!</definedName>
    <definedName name="JU" localSheetId="67">'[33]해외 기술훈련비 (합계)'!#REF!</definedName>
    <definedName name="JU" localSheetId="65">'[33]해외 기술훈련비 (합계)'!#REF!</definedName>
    <definedName name="JU" localSheetId="68">'[33]해외 기술훈련비 (합계)'!#REF!</definedName>
    <definedName name="JU" localSheetId="71">'[33]해외 기술훈련비 (합계)'!#REF!</definedName>
    <definedName name="JU" localSheetId="44">'[33]해외 기술훈련비 (합계)'!#REF!</definedName>
    <definedName name="JU" localSheetId="45">'[33]해외 기술훈련비 (합계)'!#REF!</definedName>
    <definedName name="JU" localSheetId="27">'[33]해외 기술훈련비 (합계)'!#REF!</definedName>
    <definedName name="JU" localSheetId="28">'[33]해외 기술훈련비 (합계)'!#REF!</definedName>
    <definedName name="JU" localSheetId="29">'[33]해외 기술훈련비 (합계)'!#REF!</definedName>
    <definedName name="JU" localSheetId="66">'[33]해외 기술훈련비 (합계)'!#REF!</definedName>
    <definedName name="JU">'[33]해외 기술훈련비 (합계)'!#REF!</definedName>
    <definedName name="K">[27]현장지지물물량!$A$8:$N$196</definedName>
    <definedName name="K2000_">#N/A</definedName>
    <definedName name="KABOLINE" localSheetId="70" hidden="1">'[22]Eq. Mobilization'!#REF!</definedName>
    <definedName name="KABOLINE" localSheetId="52" hidden="1">'[22]Eq. Mobilization'!#REF!</definedName>
    <definedName name="KABOLINE" localSheetId="58" hidden="1">'[22]Eq. Mobilization'!#REF!</definedName>
    <definedName name="KABOLINE" localSheetId="56" hidden="1">'[22]Eq. Mobilization'!#REF!</definedName>
    <definedName name="KABOLINE" localSheetId="57" hidden="1">'[22]Eq. Mobilization'!#REF!</definedName>
    <definedName name="KABOLINE" localSheetId="64" hidden="1">'[22]Eq. Mobilization'!#REF!</definedName>
    <definedName name="KABOLINE" localSheetId="67" hidden="1">'[22]Eq. Mobilization'!#REF!</definedName>
    <definedName name="KABOLINE" localSheetId="65" hidden="1">'[22]Eq. Mobilization'!#REF!</definedName>
    <definedName name="KABOLINE" localSheetId="68" hidden="1">'[22]Eq. Mobilization'!#REF!</definedName>
    <definedName name="KABOLINE" localSheetId="71" hidden="1">'[22]Eq. Mobilization'!#REF!</definedName>
    <definedName name="KABOLINE" localSheetId="44" hidden="1">'[22]Eq. Mobilization'!#REF!</definedName>
    <definedName name="KABOLINE" localSheetId="45" hidden="1">'[22]Eq. Mobilization'!#REF!</definedName>
    <definedName name="KABOLINE" localSheetId="17" hidden="1">'[22]Eq. Mobilization'!#REF!</definedName>
    <definedName name="KABOLINE" localSheetId="27" hidden="1">'[22]Eq. Mobilization'!#REF!</definedName>
    <definedName name="KABOLINE" localSheetId="72" hidden="1">'[22]Eq. Mobilization'!#REF!</definedName>
    <definedName name="KABOLINE" localSheetId="28" hidden="1">'[22]Eq. Mobilization'!#REF!</definedName>
    <definedName name="KABOLINE" localSheetId="29" hidden="1">'[22]Eq. Mobilization'!#REF!</definedName>
    <definedName name="KABOLINE" localSheetId="66" hidden="1">'[22]Eq. Mobilization'!#REF!</definedName>
    <definedName name="KABOLINE" hidden="1">'[22]Eq. Mobilization'!#REF!</definedName>
    <definedName name="ket" localSheetId="70">[3]소화실적!#REF!</definedName>
    <definedName name="ket" localSheetId="57">[3]소화실적!#REF!</definedName>
    <definedName name="ket" localSheetId="64">[3]소화실적!#REF!</definedName>
    <definedName name="ket" localSheetId="67">[3]소화실적!#REF!</definedName>
    <definedName name="ket" localSheetId="65">[3]소화실적!#REF!</definedName>
    <definedName name="ket" localSheetId="68">[3]소화실적!#REF!</definedName>
    <definedName name="ket" localSheetId="71">[3]소화실적!#REF!</definedName>
    <definedName name="ket" localSheetId="44">[3]소화실적!#REF!</definedName>
    <definedName name="ket" localSheetId="45">[3]소화실적!#REF!</definedName>
    <definedName name="ket" localSheetId="28">[3]소화실적!#REF!</definedName>
    <definedName name="ket" localSheetId="29">[3]소화실적!#REF!</definedName>
    <definedName name="ket" localSheetId="66">[3]소화실적!#REF!</definedName>
    <definedName name="ket">[3]소화실적!#REF!</definedName>
    <definedName name="Keta" localSheetId="70">#REF!</definedName>
    <definedName name="Keta" localSheetId="57">#REF!</definedName>
    <definedName name="Keta" localSheetId="64">#REF!</definedName>
    <definedName name="Keta" localSheetId="67">#REF!</definedName>
    <definedName name="Keta" localSheetId="65">#REF!</definedName>
    <definedName name="Keta" localSheetId="68">#REF!</definedName>
    <definedName name="Keta" localSheetId="71">#REF!</definedName>
    <definedName name="Keta" localSheetId="44">#REF!</definedName>
    <definedName name="Keta" localSheetId="45">#REF!</definedName>
    <definedName name="Keta" localSheetId="28">#REF!</definedName>
    <definedName name="Keta" localSheetId="29">#REF!</definedName>
    <definedName name="Keta" localSheetId="66">#REF!</definedName>
    <definedName name="Keta">#REF!</definedName>
    <definedName name="Ketan" localSheetId="70">#REF!</definedName>
    <definedName name="Ketan" localSheetId="57">#REF!</definedName>
    <definedName name="Ketan" localSheetId="64">#REF!</definedName>
    <definedName name="Ketan" localSheetId="67">#REF!</definedName>
    <definedName name="Ketan" localSheetId="65">#REF!</definedName>
    <definedName name="Ketan" localSheetId="68">#REF!</definedName>
    <definedName name="Ketan" localSheetId="71">#REF!</definedName>
    <definedName name="Ketan" localSheetId="44">#REF!</definedName>
    <definedName name="Ketan" localSheetId="45">#REF!</definedName>
    <definedName name="Ketan" localSheetId="28">#REF!</definedName>
    <definedName name="Ketan" localSheetId="29">#REF!</definedName>
    <definedName name="Ketan" localSheetId="66">#REF!</definedName>
    <definedName name="Ketan">#REF!</definedName>
    <definedName name="KG" localSheetId="70">'[52]P-LIST'!#REF!</definedName>
    <definedName name="KG" localSheetId="52">'[52]P-LIST'!#REF!</definedName>
    <definedName name="KG" localSheetId="58">'[52]P-LIST'!#REF!</definedName>
    <definedName name="KG" localSheetId="57">'[52]P-LIST'!#REF!</definedName>
    <definedName name="KG" localSheetId="64">'[52]P-LIST'!#REF!</definedName>
    <definedName name="KG" localSheetId="67">'[52]P-LIST'!#REF!</definedName>
    <definedName name="KG" localSheetId="65">'[52]P-LIST'!#REF!</definedName>
    <definedName name="KG" localSheetId="68">'[52]P-LIST'!#REF!</definedName>
    <definedName name="KG" localSheetId="71">'[52]P-LIST'!#REF!</definedName>
    <definedName name="KG" localSheetId="44">'[52]P-LIST'!#REF!</definedName>
    <definedName name="KG" localSheetId="45">'[52]P-LIST'!#REF!</definedName>
    <definedName name="KG" localSheetId="17">'[52]P-LIST'!#REF!</definedName>
    <definedName name="KG" localSheetId="27">'[52]P-LIST'!#REF!</definedName>
    <definedName name="KG" localSheetId="72">'[52]P-LIST'!#REF!</definedName>
    <definedName name="KG" localSheetId="28">'[52]P-LIST'!#REF!</definedName>
    <definedName name="KG" localSheetId="29">'[52]P-LIST'!#REF!</definedName>
    <definedName name="KG" localSheetId="66">'[52]P-LIST'!#REF!</definedName>
    <definedName name="KG">'[52]P-LIST'!#REF!</definedName>
    <definedName name="KI" localSheetId="70">'[33]해외 연수비용 계산-삭제'!#REF!</definedName>
    <definedName name="KI" localSheetId="52">'[33]해외 연수비용 계산-삭제'!#REF!</definedName>
    <definedName name="KI" localSheetId="58">'[33]해외 연수비용 계산-삭제'!#REF!</definedName>
    <definedName name="KI" localSheetId="57">'[33]해외 연수비용 계산-삭제'!#REF!</definedName>
    <definedName name="KI" localSheetId="64">'[33]해외 연수비용 계산-삭제'!#REF!</definedName>
    <definedName name="KI" localSheetId="67">'[33]해외 연수비용 계산-삭제'!#REF!</definedName>
    <definedName name="KI" localSheetId="65">'[33]해외 연수비용 계산-삭제'!#REF!</definedName>
    <definedName name="KI" localSheetId="68">'[33]해외 연수비용 계산-삭제'!#REF!</definedName>
    <definedName name="KI" localSheetId="71">'[33]해외 연수비용 계산-삭제'!#REF!</definedName>
    <definedName name="KI" localSheetId="44">'[33]해외 연수비용 계산-삭제'!#REF!</definedName>
    <definedName name="KI" localSheetId="45">'[33]해외 연수비용 계산-삭제'!#REF!</definedName>
    <definedName name="KI" localSheetId="17">'[33]해외 연수비용 계산-삭제'!#REF!</definedName>
    <definedName name="KI" localSheetId="27">'[33]해외 연수비용 계산-삭제'!#REF!</definedName>
    <definedName name="KI" localSheetId="72">'[33]해외 연수비용 계산-삭제'!#REF!</definedName>
    <definedName name="KI" localSheetId="28">'[33]해외 연수비용 계산-삭제'!#REF!</definedName>
    <definedName name="KI" localSheetId="29">'[33]해외 연수비용 계산-삭제'!#REF!</definedName>
    <definedName name="KI" localSheetId="66">'[33]해외 연수비용 계산-삭제'!#REF!</definedName>
    <definedName name="KI">'[33]해외 연수비용 계산-삭제'!#REF!</definedName>
    <definedName name="kishor" localSheetId="70">#REF!</definedName>
    <definedName name="kishor" localSheetId="52">#REF!</definedName>
    <definedName name="kishor" localSheetId="58">#REF!</definedName>
    <definedName name="kishor" localSheetId="57">#REF!</definedName>
    <definedName name="kishor" localSheetId="64">#REF!</definedName>
    <definedName name="kishor" localSheetId="67">#REF!</definedName>
    <definedName name="kishor" localSheetId="65">#REF!</definedName>
    <definedName name="kishor" localSheetId="68">#REF!</definedName>
    <definedName name="kishor" localSheetId="71">#REF!</definedName>
    <definedName name="kishor" localSheetId="44">#REF!</definedName>
    <definedName name="kishor" localSheetId="45">#REF!</definedName>
    <definedName name="kishor" localSheetId="48">#REF!</definedName>
    <definedName name="kishor" localSheetId="17">#REF!</definedName>
    <definedName name="kishor" localSheetId="27">#REF!</definedName>
    <definedName name="kishor" localSheetId="72">#REF!</definedName>
    <definedName name="kishor" localSheetId="28">#REF!</definedName>
    <definedName name="kishor" localSheetId="29">#REF!</definedName>
    <definedName name="kishor" localSheetId="66">#REF!</definedName>
    <definedName name="kishor">#REF!</definedName>
    <definedName name="KISS" localSheetId="70">'[13]해외 기술훈련비 (합계)'!#REF!</definedName>
    <definedName name="KISS" localSheetId="52">'[13]해외 기술훈련비 (합계)'!#REF!</definedName>
    <definedName name="KISS" localSheetId="58">'[13]해외 기술훈련비 (합계)'!#REF!</definedName>
    <definedName name="KISS" localSheetId="57">'[13]해외 기술훈련비 (합계)'!#REF!</definedName>
    <definedName name="KISS" localSheetId="64">'[13]해외 기술훈련비 (합계)'!#REF!</definedName>
    <definedName name="KISS" localSheetId="67">'[13]해외 기술훈련비 (합계)'!#REF!</definedName>
    <definedName name="KISS" localSheetId="65">'[13]해외 기술훈련비 (합계)'!#REF!</definedName>
    <definedName name="KISS" localSheetId="68">'[13]해외 기술훈련비 (합계)'!#REF!</definedName>
    <definedName name="KISS" localSheetId="71">'[13]해외 기술훈련비 (합계)'!#REF!</definedName>
    <definedName name="KISS" localSheetId="44">'[13]해외 기술훈련비 (합계)'!#REF!</definedName>
    <definedName name="KISS" localSheetId="45">'[13]해외 기술훈련비 (합계)'!#REF!</definedName>
    <definedName name="KISS" localSheetId="17">'[13]해외 기술훈련비 (합계)'!#REF!</definedName>
    <definedName name="KISS" localSheetId="27">'[13]해외 기술훈련비 (합계)'!#REF!</definedName>
    <definedName name="KISS" localSheetId="72">'[13]해외 기술훈련비 (합계)'!#REF!</definedName>
    <definedName name="KISS" localSheetId="28">'[13]해외 기술훈련비 (합계)'!#REF!</definedName>
    <definedName name="KISS" localSheetId="29">'[13]해외 기술훈련비 (합계)'!#REF!</definedName>
    <definedName name="KISS" localSheetId="66">'[13]해외 기술훈련비 (합계)'!#REF!</definedName>
    <definedName name="KISS">'[13]해외 기술훈련비 (합계)'!#REF!</definedName>
    <definedName name="KK">[27]현장지지물물량!$A$1:$IV$7</definedName>
    <definedName name="kkJJ" localSheetId="70">#REF!</definedName>
    <definedName name="kkJJ" localSheetId="52">#REF!</definedName>
    <definedName name="kkJJ" localSheetId="58">#REF!</definedName>
    <definedName name="kkJJ" localSheetId="57">#REF!</definedName>
    <definedName name="kkJJ" localSheetId="64">#REF!</definedName>
    <definedName name="kkJJ" localSheetId="67">#REF!</definedName>
    <definedName name="kkJJ" localSheetId="65">#REF!</definedName>
    <definedName name="kkJJ" localSheetId="68">#REF!</definedName>
    <definedName name="kkJJ" localSheetId="71">#REF!</definedName>
    <definedName name="kkJJ" localSheetId="44">#REF!</definedName>
    <definedName name="kkJJ" localSheetId="45">#REF!</definedName>
    <definedName name="kkJJ" localSheetId="48">#REF!</definedName>
    <definedName name="kkJJ" localSheetId="17">#REF!</definedName>
    <definedName name="kkJJ" localSheetId="27">#REF!</definedName>
    <definedName name="kkJJ" localSheetId="72">#REF!</definedName>
    <definedName name="kkJJ" localSheetId="28">#REF!</definedName>
    <definedName name="kkJJ" localSheetId="29">#REF!</definedName>
    <definedName name="kkJJ" localSheetId="66">#REF!</definedName>
    <definedName name="kkJJ">#REF!</definedName>
    <definedName name="KKK" localSheetId="70" hidden="1">[51]DJ1!#REF!</definedName>
    <definedName name="KKK" localSheetId="52" hidden="1">[51]DJ1!#REF!</definedName>
    <definedName name="KKK" localSheetId="58" hidden="1">[51]DJ1!#REF!</definedName>
    <definedName name="KKK" localSheetId="57" hidden="1">[51]DJ1!#REF!</definedName>
    <definedName name="KKK" localSheetId="64" hidden="1">[51]DJ1!#REF!</definedName>
    <definedName name="KKK" localSheetId="67" hidden="1">[51]DJ1!#REF!</definedName>
    <definedName name="KKK" localSheetId="65" hidden="1">[51]DJ1!#REF!</definedName>
    <definedName name="KKK" localSheetId="68" hidden="1">[51]DJ1!#REF!</definedName>
    <definedName name="KKK" localSheetId="71" hidden="1">[51]DJ1!#REF!</definedName>
    <definedName name="KKK" localSheetId="44" hidden="1">[51]DJ1!#REF!</definedName>
    <definedName name="KKK" localSheetId="45" hidden="1">[51]DJ1!#REF!</definedName>
    <definedName name="KKK" localSheetId="17" hidden="1">[51]DJ1!#REF!</definedName>
    <definedName name="KKK" localSheetId="27" hidden="1">[51]DJ1!#REF!</definedName>
    <definedName name="KKK" localSheetId="72" hidden="1">[51]DJ1!#REF!</definedName>
    <definedName name="KKK" localSheetId="28" hidden="1">[51]DJ1!#REF!</definedName>
    <definedName name="KKK" localSheetId="29" hidden="1">[51]DJ1!#REF!</definedName>
    <definedName name="KKK" localSheetId="66" hidden="1">[51]DJ1!#REF!</definedName>
    <definedName name="KKK" hidden="1">[51]DJ1!#REF!</definedName>
    <definedName name="KL" localSheetId="70">'[33]해외 연수비용 계산-삭제'!#REF!</definedName>
    <definedName name="KL" localSheetId="52">'[33]해외 연수비용 계산-삭제'!#REF!</definedName>
    <definedName name="KL" localSheetId="58">'[33]해외 연수비용 계산-삭제'!#REF!</definedName>
    <definedName name="KL" localSheetId="57">'[33]해외 연수비용 계산-삭제'!#REF!</definedName>
    <definedName name="KL" localSheetId="64">'[33]해외 연수비용 계산-삭제'!#REF!</definedName>
    <definedName name="KL" localSheetId="67">'[33]해외 연수비용 계산-삭제'!#REF!</definedName>
    <definedName name="KL" localSheetId="65">'[33]해외 연수비용 계산-삭제'!#REF!</definedName>
    <definedName name="KL" localSheetId="68">'[33]해외 연수비용 계산-삭제'!#REF!</definedName>
    <definedName name="KL" localSheetId="71">'[33]해외 연수비용 계산-삭제'!#REF!</definedName>
    <definedName name="KL" localSheetId="44">'[33]해외 연수비용 계산-삭제'!#REF!</definedName>
    <definedName name="KL" localSheetId="45">'[33]해외 연수비용 계산-삭제'!#REF!</definedName>
    <definedName name="KL" localSheetId="17">'[33]해외 연수비용 계산-삭제'!#REF!</definedName>
    <definedName name="KL" localSheetId="27">'[33]해외 연수비용 계산-삭제'!#REF!</definedName>
    <definedName name="KL" localSheetId="28">'[33]해외 연수비용 계산-삭제'!#REF!</definedName>
    <definedName name="KL" localSheetId="29">'[33]해외 연수비용 계산-삭제'!#REF!</definedName>
    <definedName name="KL" localSheetId="66">'[33]해외 연수비용 계산-삭제'!#REF!</definedName>
    <definedName name="KL">'[33]해외 연수비용 계산-삭제'!#REF!</definedName>
    <definedName name="ksokskosk" localSheetId="70">#REF!</definedName>
    <definedName name="ksokskosk" localSheetId="52">#REF!</definedName>
    <definedName name="ksokskosk" localSheetId="58">#REF!</definedName>
    <definedName name="ksokskosk" localSheetId="57">#REF!</definedName>
    <definedName name="ksokskosk" localSheetId="64">#REF!</definedName>
    <definedName name="ksokskosk" localSheetId="67">#REF!</definedName>
    <definedName name="ksokskosk" localSheetId="65">#REF!</definedName>
    <definedName name="ksokskosk" localSheetId="68">#REF!</definedName>
    <definedName name="ksokskosk" localSheetId="71">#REF!</definedName>
    <definedName name="ksokskosk" localSheetId="44">#REF!</definedName>
    <definedName name="ksokskosk" localSheetId="45">#REF!</definedName>
    <definedName name="ksokskosk" localSheetId="48">#REF!</definedName>
    <definedName name="ksokskosk" localSheetId="17">#REF!</definedName>
    <definedName name="ksokskosk" localSheetId="27">#REF!</definedName>
    <definedName name="ksokskosk" localSheetId="72">#REF!</definedName>
    <definedName name="ksokskosk" localSheetId="28">#REF!</definedName>
    <definedName name="ksokskosk" localSheetId="29">#REF!</definedName>
    <definedName name="ksokskosk" localSheetId="66">#REF!</definedName>
    <definedName name="ksokskosk">#REF!</definedName>
    <definedName name="L" localSheetId="70">#REF!</definedName>
    <definedName name="L" localSheetId="52">#REF!</definedName>
    <definedName name="L" localSheetId="58">#REF!</definedName>
    <definedName name="L" localSheetId="57">#REF!</definedName>
    <definedName name="L" localSheetId="64">#REF!</definedName>
    <definedName name="L" localSheetId="67">#REF!</definedName>
    <definedName name="L" localSheetId="65">#REF!</definedName>
    <definedName name="L" localSheetId="68">#REF!</definedName>
    <definedName name="L" localSheetId="71">#REF!</definedName>
    <definedName name="L" localSheetId="44">#REF!</definedName>
    <definedName name="L" localSheetId="45">#REF!</definedName>
    <definedName name="L" localSheetId="17">#REF!</definedName>
    <definedName name="L" localSheetId="27">#REF!</definedName>
    <definedName name="L" localSheetId="72">#REF!</definedName>
    <definedName name="L" localSheetId="28">#REF!</definedName>
    <definedName name="L" localSheetId="29">#REF!</definedName>
    <definedName name="L" localSheetId="66">#REF!</definedName>
    <definedName name="L">#REF!</definedName>
    <definedName name="Landing_Cost" localSheetId="70">#REF!</definedName>
    <definedName name="Landing_Cost" localSheetId="52">#REF!</definedName>
    <definedName name="Landing_Cost" localSheetId="58">#REF!</definedName>
    <definedName name="Landing_Cost" localSheetId="57">#REF!</definedName>
    <definedName name="Landing_Cost" localSheetId="64">#REF!</definedName>
    <definedName name="Landing_Cost" localSheetId="67">#REF!</definedName>
    <definedName name="Landing_Cost" localSheetId="65">#REF!</definedName>
    <definedName name="Landing_Cost" localSheetId="68">#REF!</definedName>
    <definedName name="Landing_Cost" localSheetId="71">#REF!</definedName>
    <definedName name="Landing_Cost" localSheetId="44">#REF!</definedName>
    <definedName name="Landing_Cost" localSheetId="45">#REF!</definedName>
    <definedName name="Landing_Cost" localSheetId="27">#REF!</definedName>
    <definedName name="Landing_Cost" localSheetId="28">#REF!</definedName>
    <definedName name="Landing_Cost" localSheetId="29">#REF!</definedName>
    <definedName name="Landing_Cost" localSheetId="66">#REF!</definedName>
    <definedName name="Landing_Cost">#REF!</definedName>
    <definedName name="LANGUAGE_VERSION" localSheetId="70">#REF!</definedName>
    <definedName name="LANGUAGE_VERSION" localSheetId="52">#REF!</definedName>
    <definedName name="LANGUAGE_VERSION" localSheetId="58">#REF!</definedName>
    <definedName name="LANGUAGE_VERSION" localSheetId="57">#REF!</definedName>
    <definedName name="LANGUAGE_VERSION" localSheetId="64">#REF!</definedName>
    <definedName name="LANGUAGE_VERSION" localSheetId="67">#REF!</definedName>
    <definedName name="LANGUAGE_VERSION" localSheetId="65">#REF!</definedName>
    <definedName name="LANGUAGE_VERSION" localSheetId="68">#REF!</definedName>
    <definedName name="LANGUAGE_VERSION" localSheetId="71">#REF!</definedName>
    <definedName name="LANGUAGE_VERSION" localSheetId="44">#REF!</definedName>
    <definedName name="LANGUAGE_VERSION" localSheetId="45">#REF!</definedName>
    <definedName name="LANGUAGE_VERSION" localSheetId="27">#REF!</definedName>
    <definedName name="LANGUAGE_VERSION" localSheetId="28">#REF!</definedName>
    <definedName name="LANGUAGE_VERSION" localSheetId="29">#REF!</definedName>
    <definedName name="LANGUAGE_VERSION" localSheetId="66">#REF!</definedName>
    <definedName name="LANGUAGE_VERSION">#REF!</definedName>
    <definedName name="LC" localSheetId="70">#REF!</definedName>
    <definedName name="LC" localSheetId="52">#REF!</definedName>
    <definedName name="LC" localSheetId="58">#REF!</definedName>
    <definedName name="LC" localSheetId="57">#REF!</definedName>
    <definedName name="LC" localSheetId="64">#REF!</definedName>
    <definedName name="LC" localSheetId="67">#REF!</definedName>
    <definedName name="LC" localSheetId="65">#REF!</definedName>
    <definedName name="LC" localSheetId="68">#REF!</definedName>
    <definedName name="LC" localSheetId="71">#REF!</definedName>
    <definedName name="LC" localSheetId="44">#REF!</definedName>
    <definedName name="LC" localSheetId="45">#REF!</definedName>
    <definedName name="LC" localSheetId="27">#REF!</definedName>
    <definedName name="LC" localSheetId="28">#REF!</definedName>
    <definedName name="LC" localSheetId="29">#REF!</definedName>
    <definedName name="LC" localSheetId="66">#REF!</definedName>
    <definedName name="LC">#REF!</definedName>
    <definedName name="LE">#N/A</definedName>
    <definedName name="LJ" localSheetId="70">'[33]해외 기술훈련비 (합계)'!#REF!</definedName>
    <definedName name="LJ" localSheetId="52">'[33]해외 기술훈련비 (합계)'!#REF!</definedName>
    <definedName name="LJ" localSheetId="58">'[33]해외 기술훈련비 (합계)'!#REF!</definedName>
    <definedName name="LJ" localSheetId="57">'[33]해외 기술훈련비 (합계)'!#REF!</definedName>
    <definedName name="LJ" localSheetId="64">'[33]해외 기술훈련비 (합계)'!#REF!</definedName>
    <definedName name="LJ" localSheetId="67">'[33]해외 기술훈련비 (합계)'!#REF!</definedName>
    <definedName name="LJ" localSheetId="65">'[33]해외 기술훈련비 (합계)'!#REF!</definedName>
    <definedName name="LJ" localSheetId="68">'[33]해외 기술훈련비 (합계)'!#REF!</definedName>
    <definedName name="LJ" localSheetId="71">'[33]해외 기술훈련비 (합계)'!#REF!</definedName>
    <definedName name="LJ" localSheetId="44">'[33]해외 기술훈련비 (합계)'!#REF!</definedName>
    <definedName name="LJ" localSheetId="45">'[33]해외 기술훈련비 (합계)'!#REF!</definedName>
    <definedName name="LJ" localSheetId="27">'[33]해외 기술훈련비 (합계)'!#REF!</definedName>
    <definedName name="LJ" localSheetId="28">'[33]해외 기술훈련비 (합계)'!#REF!</definedName>
    <definedName name="LJ" localSheetId="29">'[33]해외 기술훈련비 (합계)'!#REF!</definedName>
    <definedName name="LJ" localSheetId="66">'[33]해외 기술훈련비 (합계)'!#REF!</definedName>
    <definedName name="LJ">'[33]해외 기술훈련비 (합계)'!#REF!</definedName>
    <definedName name="llJkljl" localSheetId="70">#REF!</definedName>
    <definedName name="llJkljl" localSheetId="52">#REF!</definedName>
    <definedName name="llJkljl" localSheetId="58">#REF!</definedName>
    <definedName name="llJkljl" localSheetId="57">#REF!</definedName>
    <definedName name="llJkljl" localSheetId="64">#REF!</definedName>
    <definedName name="llJkljl" localSheetId="67">#REF!</definedName>
    <definedName name="llJkljl" localSheetId="65">#REF!</definedName>
    <definedName name="llJkljl" localSheetId="68">#REF!</definedName>
    <definedName name="llJkljl" localSheetId="71">#REF!</definedName>
    <definedName name="llJkljl" localSheetId="44">#REF!</definedName>
    <definedName name="llJkljl" localSheetId="45">#REF!</definedName>
    <definedName name="llJkljl" localSheetId="48">#REF!</definedName>
    <definedName name="llJkljl" localSheetId="17">#REF!</definedName>
    <definedName name="llJkljl" localSheetId="27">#REF!</definedName>
    <definedName name="llJkljl" localSheetId="72">#REF!</definedName>
    <definedName name="llJkljl" localSheetId="28">#REF!</definedName>
    <definedName name="llJkljl" localSheetId="29">#REF!</definedName>
    <definedName name="llJkljl" localSheetId="66">#REF!</definedName>
    <definedName name="llJkljl">#REF!</definedName>
    <definedName name="LLL" localSheetId="70" hidden="1">[51]DJ1!#REF!</definedName>
    <definedName name="LLL" localSheetId="52" hidden="1">[51]DJ1!#REF!</definedName>
    <definedName name="LLL" localSheetId="58" hidden="1">[51]DJ1!#REF!</definedName>
    <definedName name="LLL" localSheetId="57" hidden="1">[51]DJ1!#REF!</definedName>
    <definedName name="LLL" localSheetId="64" hidden="1">[51]DJ1!#REF!</definedName>
    <definedName name="LLL" localSheetId="67" hidden="1">[51]DJ1!#REF!</definedName>
    <definedName name="LLL" localSheetId="65" hidden="1">[51]DJ1!#REF!</definedName>
    <definedName name="LLL" localSheetId="68" hidden="1">[51]DJ1!#REF!</definedName>
    <definedName name="LLL" localSheetId="71" hidden="1">[51]DJ1!#REF!</definedName>
    <definedName name="LLL" localSheetId="44" hidden="1">[51]DJ1!#REF!</definedName>
    <definedName name="LLL" localSheetId="45" hidden="1">[51]DJ1!#REF!</definedName>
    <definedName name="LLL" localSheetId="17" hidden="1">[51]DJ1!#REF!</definedName>
    <definedName name="LLL" localSheetId="27" hidden="1">[51]DJ1!#REF!</definedName>
    <definedName name="LLL" localSheetId="72" hidden="1">[51]DJ1!#REF!</definedName>
    <definedName name="LLL" localSheetId="28" hidden="1">[51]DJ1!#REF!</definedName>
    <definedName name="LLL" localSheetId="29" hidden="1">[51]DJ1!#REF!</definedName>
    <definedName name="LLL" localSheetId="66" hidden="1">[51]DJ1!#REF!</definedName>
    <definedName name="LLL" hidden="1">[51]DJ1!#REF!</definedName>
    <definedName name="LO" localSheetId="70">'[33]해외 연수비용 계산-삭제'!#REF!</definedName>
    <definedName name="LO" localSheetId="52">'[33]해외 연수비용 계산-삭제'!#REF!</definedName>
    <definedName name="LO" localSheetId="58">'[33]해외 연수비용 계산-삭제'!#REF!</definedName>
    <definedName name="LO" localSheetId="57">'[33]해외 연수비용 계산-삭제'!#REF!</definedName>
    <definedName name="LO" localSheetId="64">'[33]해외 연수비용 계산-삭제'!#REF!</definedName>
    <definedName name="LO" localSheetId="67">'[33]해외 연수비용 계산-삭제'!#REF!</definedName>
    <definedName name="LO" localSheetId="65">'[33]해외 연수비용 계산-삭제'!#REF!</definedName>
    <definedName name="LO" localSheetId="68">'[33]해외 연수비용 계산-삭제'!#REF!</definedName>
    <definedName name="LO" localSheetId="71">'[33]해외 연수비용 계산-삭제'!#REF!</definedName>
    <definedName name="LO" localSheetId="44">'[33]해외 연수비용 계산-삭제'!#REF!</definedName>
    <definedName name="LO" localSheetId="45">'[33]해외 연수비용 계산-삭제'!#REF!</definedName>
    <definedName name="LO" localSheetId="17">'[33]해외 연수비용 계산-삭제'!#REF!</definedName>
    <definedName name="LO" localSheetId="27">'[33]해외 연수비용 계산-삭제'!#REF!</definedName>
    <definedName name="LO" localSheetId="72">'[33]해외 연수비용 계산-삭제'!#REF!</definedName>
    <definedName name="LO" localSheetId="28">'[33]해외 연수비용 계산-삭제'!#REF!</definedName>
    <definedName name="LO" localSheetId="29">'[33]해외 연수비용 계산-삭제'!#REF!</definedName>
    <definedName name="LO" localSheetId="66">'[33]해외 연수비용 계산-삭제'!#REF!</definedName>
    <definedName name="LO">'[33]해외 연수비용 계산-삭제'!#REF!</definedName>
    <definedName name="LOANRATE" localSheetId="70">'[13]해외 연수비용 계산-삭제'!#REF!</definedName>
    <definedName name="LOANRATE" localSheetId="52">'[13]해외 연수비용 계산-삭제'!#REF!</definedName>
    <definedName name="LOANRATE" localSheetId="58">'[13]해외 연수비용 계산-삭제'!#REF!</definedName>
    <definedName name="LOANRATE" localSheetId="57">'[13]해외 연수비용 계산-삭제'!#REF!</definedName>
    <definedName name="LOANRATE" localSheetId="64">'[13]해외 연수비용 계산-삭제'!#REF!</definedName>
    <definedName name="LOANRATE" localSheetId="67">'[13]해외 연수비용 계산-삭제'!#REF!</definedName>
    <definedName name="LOANRATE" localSheetId="65">'[13]해외 연수비용 계산-삭제'!#REF!</definedName>
    <definedName name="LOANRATE" localSheetId="68">'[13]해외 연수비용 계산-삭제'!#REF!</definedName>
    <definedName name="LOANRATE" localSheetId="71">'[13]해외 연수비용 계산-삭제'!#REF!</definedName>
    <definedName name="LOANRATE" localSheetId="44">'[13]해외 연수비용 계산-삭제'!#REF!</definedName>
    <definedName name="LOANRATE" localSheetId="45">'[13]해외 연수비용 계산-삭제'!#REF!</definedName>
    <definedName name="LOANRATE" localSheetId="27">'[13]해외 연수비용 계산-삭제'!#REF!</definedName>
    <definedName name="LOANRATE" localSheetId="28">'[13]해외 연수비용 계산-삭제'!#REF!</definedName>
    <definedName name="LOANRATE" localSheetId="29">'[13]해외 연수비용 계산-삭제'!#REF!</definedName>
    <definedName name="LOANRATE" localSheetId="66">'[13]해외 연수비용 계산-삭제'!#REF!</definedName>
    <definedName name="LOANRATE">'[13]해외 연수비용 계산-삭제'!#REF!</definedName>
    <definedName name="LOANTO" localSheetId="70">'[13]해외 연수비용 계산-삭제'!#REF!</definedName>
    <definedName name="LOANTO" localSheetId="52">'[13]해외 연수비용 계산-삭제'!#REF!</definedName>
    <definedName name="LOANTO" localSheetId="58">'[13]해외 연수비용 계산-삭제'!#REF!</definedName>
    <definedName name="LOANTO" localSheetId="57">'[13]해외 연수비용 계산-삭제'!#REF!</definedName>
    <definedName name="LOANTO" localSheetId="64">'[13]해외 연수비용 계산-삭제'!#REF!</definedName>
    <definedName name="LOANTO" localSheetId="67">'[13]해외 연수비용 계산-삭제'!#REF!</definedName>
    <definedName name="LOANTO" localSheetId="65">'[13]해외 연수비용 계산-삭제'!#REF!</definedName>
    <definedName name="LOANTO" localSheetId="68">'[13]해외 연수비용 계산-삭제'!#REF!</definedName>
    <definedName name="LOANTO" localSheetId="71">'[13]해외 연수비용 계산-삭제'!#REF!</definedName>
    <definedName name="LOANTO" localSheetId="44">'[13]해외 연수비용 계산-삭제'!#REF!</definedName>
    <definedName name="LOANTO" localSheetId="45">'[13]해외 연수비용 계산-삭제'!#REF!</definedName>
    <definedName name="LOANTO" localSheetId="27">'[13]해외 연수비용 계산-삭제'!#REF!</definedName>
    <definedName name="LOANTO" localSheetId="28">'[13]해외 연수비용 계산-삭제'!#REF!</definedName>
    <definedName name="LOANTO" localSheetId="29">'[13]해외 연수비용 계산-삭제'!#REF!</definedName>
    <definedName name="LOANTO" localSheetId="66">'[13]해외 연수비용 계산-삭제'!#REF!</definedName>
    <definedName name="LOANTO">'[13]해외 연수비용 계산-삭제'!#REF!</definedName>
    <definedName name="LOOSETOOLS_ES_TA" localSheetId="70">#REF!</definedName>
    <definedName name="LOOSETOOLS_ES_TA" localSheetId="143">#REF!</definedName>
    <definedName name="LOOSETOOLS_ES_TA" localSheetId="52">#REF!</definedName>
    <definedName name="LOOSETOOLS_ES_TA" localSheetId="58">#REF!</definedName>
    <definedName name="LOOSETOOLS_ES_TA" localSheetId="57">#REF!</definedName>
    <definedName name="LOOSETOOLS_ES_TA" localSheetId="64">#REF!</definedName>
    <definedName name="LOOSETOOLS_ES_TA" localSheetId="67">#REF!</definedName>
    <definedName name="LOOSETOOLS_ES_TA" localSheetId="65">#REF!</definedName>
    <definedName name="LOOSETOOLS_ES_TA" localSheetId="68">#REF!</definedName>
    <definedName name="LOOSETOOLS_ES_TA" localSheetId="71">#REF!</definedName>
    <definedName name="LOOSETOOLS_ES_TA" localSheetId="44">#REF!</definedName>
    <definedName name="LOOSETOOLS_ES_TA" localSheetId="45">#REF!</definedName>
    <definedName name="LOOSETOOLS_ES_TA" localSheetId="17">#REF!</definedName>
    <definedName name="LOOSETOOLS_ES_TA" localSheetId="27">#REF!</definedName>
    <definedName name="LOOSETOOLS_ES_TA" localSheetId="72">#REF!</definedName>
    <definedName name="LOOSETOOLS_ES_TA" localSheetId="28">#REF!</definedName>
    <definedName name="LOOSETOOLS_ES_TA" localSheetId="29">#REF!</definedName>
    <definedName name="LOOSETOOLS_ES_TA" localSheetId="66">#REF!</definedName>
    <definedName name="LOOSETOOLS_ES_TA">#REF!</definedName>
    <definedName name="LOOSETOOLS_ES_TD" localSheetId="70">#REF!</definedName>
    <definedName name="LOOSETOOLS_ES_TD" localSheetId="143">#REF!</definedName>
    <definedName name="LOOSETOOLS_ES_TD" localSheetId="52">#REF!</definedName>
    <definedName name="LOOSETOOLS_ES_TD" localSheetId="58">#REF!</definedName>
    <definedName name="LOOSETOOLS_ES_TD" localSheetId="56">#REF!</definedName>
    <definedName name="LOOSETOOLS_ES_TD" localSheetId="57">#REF!</definedName>
    <definedName name="LOOSETOOLS_ES_TD" localSheetId="64">#REF!</definedName>
    <definedName name="LOOSETOOLS_ES_TD" localSheetId="67">#REF!</definedName>
    <definedName name="LOOSETOOLS_ES_TD" localSheetId="65">#REF!</definedName>
    <definedName name="LOOSETOOLS_ES_TD" localSheetId="68">#REF!</definedName>
    <definedName name="LOOSETOOLS_ES_TD" localSheetId="71">#REF!</definedName>
    <definedName name="LOOSETOOLS_ES_TD" localSheetId="44">#REF!</definedName>
    <definedName name="LOOSETOOLS_ES_TD" localSheetId="45">#REF!</definedName>
    <definedName name="LOOSETOOLS_ES_TD" localSheetId="17">#REF!</definedName>
    <definedName name="LOOSETOOLS_ES_TD" localSheetId="27">#REF!</definedName>
    <definedName name="LOOSETOOLS_ES_TD" localSheetId="72">#REF!</definedName>
    <definedName name="LOOSETOOLS_ES_TD" localSheetId="128">'[26]90% Write off'!#REF!</definedName>
    <definedName name="LOOSETOOLS_ES_TD" localSheetId="28">#REF!</definedName>
    <definedName name="LOOSETOOLS_ES_TD" localSheetId="29">#REF!</definedName>
    <definedName name="LOOSETOOLS_ES_TD" localSheetId="66">#REF!</definedName>
    <definedName name="LOOSETOOLS_ES_TD">#REF!</definedName>
    <definedName name="LWSALES" localSheetId="70">#REF!</definedName>
    <definedName name="LWSALES" localSheetId="52">#REF!</definedName>
    <definedName name="LWSALES" localSheetId="58">#REF!</definedName>
    <definedName name="LWSALES" localSheetId="57">#REF!</definedName>
    <definedName name="LWSALES" localSheetId="64">#REF!</definedName>
    <definedName name="LWSALES" localSheetId="67">#REF!</definedName>
    <definedName name="LWSALES" localSheetId="65">#REF!</definedName>
    <definedName name="LWSALES" localSheetId="68">#REF!</definedName>
    <definedName name="LWSALES" localSheetId="71">#REF!</definedName>
    <definedName name="LWSALES" localSheetId="44">#REF!</definedName>
    <definedName name="LWSALES" localSheetId="45">#REF!</definedName>
    <definedName name="LWSALES" localSheetId="17">#REF!</definedName>
    <definedName name="LWSALES" localSheetId="27">#REF!</definedName>
    <definedName name="LWSALES" localSheetId="72">#REF!</definedName>
    <definedName name="LWSALES" localSheetId="28">#REF!</definedName>
    <definedName name="LWSALES" localSheetId="29">#REF!</definedName>
    <definedName name="LWSALES" localSheetId="66">#REF!</definedName>
    <definedName name="LWSALES">#REF!</definedName>
    <definedName name="LYBin" localSheetId="70">#REF!</definedName>
    <definedName name="LYBin" localSheetId="52">#REF!</definedName>
    <definedName name="LYBin" localSheetId="58">#REF!</definedName>
    <definedName name="LYBin" localSheetId="57">#REF!</definedName>
    <definedName name="LYBin" localSheetId="64">#REF!</definedName>
    <definedName name="LYBin" localSheetId="67">#REF!</definedName>
    <definedName name="LYBin" localSheetId="65">#REF!</definedName>
    <definedName name="LYBin" localSheetId="68">#REF!</definedName>
    <definedName name="LYBin" localSheetId="71">#REF!</definedName>
    <definedName name="LYBin" localSheetId="44">#REF!</definedName>
    <definedName name="LYBin" localSheetId="45">#REF!</definedName>
    <definedName name="LYBin" localSheetId="17">#REF!</definedName>
    <definedName name="LYBin" localSheetId="27">#REF!</definedName>
    <definedName name="LYBin" localSheetId="72">#REF!</definedName>
    <definedName name="LYBin" localSheetId="28">#REF!</definedName>
    <definedName name="LYBin" localSheetId="29">#REF!</definedName>
    <definedName name="LYBin" localSheetId="66">#REF!</definedName>
    <definedName name="LYBin">#REF!</definedName>
    <definedName name="LYHolds" localSheetId="70">#REF!</definedName>
    <definedName name="LYHolds" localSheetId="52">#REF!</definedName>
    <definedName name="LYHolds" localSheetId="58">#REF!</definedName>
    <definedName name="LYHolds" localSheetId="57">#REF!</definedName>
    <definedName name="LYHolds" localSheetId="64">#REF!</definedName>
    <definedName name="LYHolds" localSheetId="67">#REF!</definedName>
    <definedName name="LYHolds" localSheetId="65">#REF!</definedName>
    <definedName name="LYHolds" localSheetId="68">#REF!</definedName>
    <definedName name="LYHolds" localSheetId="71">#REF!</definedName>
    <definedName name="LYHolds" localSheetId="44">#REF!</definedName>
    <definedName name="LYHolds" localSheetId="45">#REF!</definedName>
    <definedName name="LYHolds" localSheetId="27">#REF!</definedName>
    <definedName name="LYHolds" localSheetId="28">#REF!</definedName>
    <definedName name="LYHolds" localSheetId="29">#REF!</definedName>
    <definedName name="LYHolds" localSheetId="66">#REF!</definedName>
    <definedName name="LYHolds">#REF!</definedName>
    <definedName name="LYNet" localSheetId="70">#REF!</definedName>
    <definedName name="LYNet" localSheetId="52">#REF!</definedName>
    <definedName name="LYNet" localSheetId="58">#REF!</definedName>
    <definedName name="LYNet" localSheetId="57">#REF!</definedName>
    <definedName name="LYNet" localSheetId="64">#REF!</definedName>
    <definedName name="LYNet" localSheetId="67">#REF!</definedName>
    <definedName name="LYNet" localSheetId="65">#REF!</definedName>
    <definedName name="LYNet" localSheetId="68">#REF!</definedName>
    <definedName name="LYNet" localSheetId="71">#REF!</definedName>
    <definedName name="LYNet" localSheetId="44">#REF!</definedName>
    <definedName name="LYNet" localSheetId="45">#REF!</definedName>
    <definedName name="LYNet" localSheetId="27">#REF!</definedName>
    <definedName name="LYNet" localSheetId="28">#REF!</definedName>
    <definedName name="LYNet" localSheetId="29">#REF!</definedName>
    <definedName name="LYNet" localSheetId="66">#REF!</definedName>
    <definedName name="LYNet">#REF!</definedName>
    <definedName name="LYoos" localSheetId="70">#REF!</definedName>
    <definedName name="LYoos" localSheetId="52">#REF!</definedName>
    <definedName name="LYoos" localSheetId="58">#REF!</definedName>
    <definedName name="LYoos" localSheetId="57">#REF!</definedName>
    <definedName name="LYoos" localSheetId="64">#REF!</definedName>
    <definedName name="LYoos" localSheetId="67">#REF!</definedName>
    <definedName name="LYoos" localSheetId="65">#REF!</definedName>
    <definedName name="LYoos" localSheetId="68">#REF!</definedName>
    <definedName name="LYoos" localSheetId="71">#REF!</definedName>
    <definedName name="LYoos" localSheetId="44">#REF!</definedName>
    <definedName name="LYoos" localSheetId="45">#REF!</definedName>
    <definedName name="LYoos" localSheetId="27">#REF!</definedName>
    <definedName name="LYoos" localSheetId="28">#REF!</definedName>
    <definedName name="LYoos" localSheetId="29">#REF!</definedName>
    <definedName name="LYoos" localSheetId="66">#REF!</definedName>
    <definedName name="LYoos">#REF!</definedName>
    <definedName name="LYReselects" localSheetId="70">#REF!</definedName>
    <definedName name="LYReselects" localSheetId="52">#REF!</definedName>
    <definedName name="LYReselects" localSheetId="58">#REF!</definedName>
    <definedName name="LYReselects" localSheetId="57">#REF!</definedName>
    <definedName name="LYReselects" localSheetId="64">#REF!</definedName>
    <definedName name="LYReselects" localSheetId="67">#REF!</definedName>
    <definedName name="LYReselects" localSheetId="65">#REF!</definedName>
    <definedName name="LYReselects" localSheetId="68">#REF!</definedName>
    <definedName name="LYReselects" localSheetId="71">#REF!</definedName>
    <definedName name="LYReselects" localSheetId="44">#REF!</definedName>
    <definedName name="LYReselects" localSheetId="45">#REF!</definedName>
    <definedName name="LYReselects" localSheetId="27">#REF!</definedName>
    <definedName name="LYReselects" localSheetId="28">#REF!</definedName>
    <definedName name="LYReselects" localSheetId="29">#REF!</definedName>
    <definedName name="LYReselects" localSheetId="66">#REF!</definedName>
    <definedName name="LYReselects">#REF!</definedName>
    <definedName name="LYReturns" localSheetId="70">#REF!</definedName>
    <definedName name="LYReturns" localSheetId="52">#REF!</definedName>
    <definedName name="LYReturns" localSheetId="58">#REF!</definedName>
    <definedName name="LYReturns" localSheetId="57">#REF!</definedName>
    <definedName name="LYReturns" localSheetId="64">#REF!</definedName>
    <definedName name="LYReturns" localSheetId="67">#REF!</definedName>
    <definedName name="LYReturns" localSheetId="65">#REF!</definedName>
    <definedName name="LYReturns" localSheetId="68">#REF!</definedName>
    <definedName name="LYReturns" localSheetId="71">#REF!</definedName>
    <definedName name="LYReturns" localSheetId="44">#REF!</definedName>
    <definedName name="LYReturns" localSheetId="45">#REF!</definedName>
    <definedName name="LYReturns" localSheetId="27">#REF!</definedName>
    <definedName name="LYReturns" localSheetId="28">#REF!</definedName>
    <definedName name="LYReturns" localSheetId="29">#REF!</definedName>
    <definedName name="LYReturns" localSheetId="66">#REF!</definedName>
    <definedName name="LYReturns">#REF!</definedName>
    <definedName name="LYSales" localSheetId="70">#REF!</definedName>
    <definedName name="LYSales" localSheetId="52">#REF!</definedName>
    <definedName name="LYSales" localSheetId="58">#REF!</definedName>
    <definedName name="LYSales" localSheetId="57">#REF!</definedName>
    <definedName name="LYSales" localSheetId="64">#REF!</definedName>
    <definedName name="LYSales" localSheetId="67">#REF!</definedName>
    <definedName name="LYSales" localSheetId="65">#REF!</definedName>
    <definedName name="LYSales" localSheetId="68">#REF!</definedName>
    <definedName name="LYSales" localSheetId="71">#REF!</definedName>
    <definedName name="LYSales" localSheetId="44">#REF!</definedName>
    <definedName name="LYSales" localSheetId="45">#REF!</definedName>
    <definedName name="LYSales" localSheetId="27">#REF!</definedName>
    <definedName name="LYSales" localSheetId="28">#REF!</definedName>
    <definedName name="LYSales" localSheetId="29">#REF!</definedName>
    <definedName name="LYSales" localSheetId="66">#REF!</definedName>
    <definedName name="LYSales">#REF!</definedName>
    <definedName name="LYTotal" localSheetId="70">#REF!</definedName>
    <definedName name="LYTotal" localSheetId="52">#REF!</definedName>
    <definedName name="LYTotal" localSheetId="58">#REF!</definedName>
    <definedName name="LYTotal" localSheetId="57">#REF!</definedName>
    <definedName name="LYTotal" localSheetId="64">#REF!</definedName>
    <definedName name="LYTotal" localSheetId="67">#REF!</definedName>
    <definedName name="LYTotal" localSheetId="65">#REF!</definedName>
    <definedName name="LYTotal" localSheetId="68">#REF!</definedName>
    <definedName name="LYTotal" localSheetId="71">#REF!</definedName>
    <definedName name="LYTotal" localSheetId="44">#REF!</definedName>
    <definedName name="LYTotal" localSheetId="45">#REF!</definedName>
    <definedName name="LYTotal" localSheetId="27">#REF!</definedName>
    <definedName name="LYTotal" localSheetId="28">#REF!</definedName>
    <definedName name="LYTotal" localSheetId="29">#REF!</definedName>
    <definedName name="LYTotal" localSheetId="66">#REF!</definedName>
    <definedName name="LYTotal">#REF!</definedName>
    <definedName name="M" localSheetId="70">#REF!</definedName>
    <definedName name="M" localSheetId="52">#REF!</definedName>
    <definedName name="M" localSheetId="58">#REF!</definedName>
    <definedName name="M" localSheetId="57">#REF!</definedName>
    <definedName name="M" localSheetId="64">#REF!</definedName>
    <definedName name="M" localSheetId="67">#REF!</definedName>
    <definedName name="M" localSheetId="65">#REF!</definedName>
    <definedName name="M" localSheetId="68">#REF!</definedName>
    <definedName name="M" localSheetId="71">#REF!</definedName>
    <definedName name="M" localSheetId="44">#REF!</definedName>
    <definedName name="M" localSheetId="45">#REF!</definedName>
    <definedName name="M" localSheetId="27">#REF!</definedName>
    <definedName name="M" localSheetId="28">#REF!</definedName>
    <definedName name="M" localSheetId="29">#REF!</definedName>
    <definedName name="M" localSheetId="66">#REF!</definedName>
    <definedName name="M">#REF!</definedName>
    <definedName name="M_A_L_G_A">#N/A</definedName>
    <definedName name="M_L_N_G">#N/A</definedName>
    <definedName name="M_P_D_P">#N/A</definedName>
    <definedName name="M1_" localSheetId="70">#REF!</definedName>
    <definedName name="M1_" localSheetId="52">#REF!</definedName>
    <definedName name="M1_" localSheetId="58">#REF!</definedName>
    <definedName name="M1_" localSheetId="56">#REF!</definedName>
    <definedName name="M1_" localSheetId="57">#REF!</definedName>
    <definedName name="M1_" localSheetId="64">#REF!</definedName>
    <definedName name="M1_" localSheetId="67">#REF!</definedName>
    <definedName name="M1_" localSheetId="65">#REF!</definedName>
    <definedName name="M1_" localSheetId="68">#REF!</definedName>
    <definedName name="M1_" localSheetId="71">#REF!</definedName>
    <definedName name="M1_" localSheetId="44">#REF!</definedName>
    <definedName name="M1_" localSheetId="45">#REF!</definedName>
    <definedName name="M1_" localSheetId="17">#REF!</definedName>
    <definedName name="M1_" localSheetId="27">#REF!</definedName>
    <definedName name="M1_" localSheetId="72">#REF!</definedName>
    <definedName name="M1_" localSheetId="28">#REF!</definedName>
    <definedName name="M1_" localSheetId="29">#REF!</definedName>
    <definedName name="M1_" localSheetId="66">#REF!</definedName>
    <definedName name="M1_">#REF!</definedName>
    <definedName name="M2_" localSheetId="70">#REF!</definedName>
    <definedName name="M2_" localSheetId="52">#REF!</definedName>
    <definedName name="M2_" localSheetId="58">#REF!</definedName>
    <definedName name="M2_" localSheetId="57">#REF!</definedName>
    <definedName name="M2_" localSheetId="64">#REF!</definedName>
    <definedName name="M2_" localSheetId="67">#REF!</definedName>
    <definedName name="M2_" localSheetId="65">#REF!</definedName>
    <definedName name="M2_" localSheetId="68">#REF!</definedName>
    <definedName name="M2_" localSheetId="71">#REF!</definedName>
    <definedName name="M2_" localSheetId="44">#REF!</definedName>
    <definedName name="M2_" localSheetId="45">#REF!</definedName>
    <definedName name="M2_" localSheetId="17">#REF!</definedName>
    <definedName name="M2_" localSheetId="27">#REF!</definedName>
    <definedName name="M2_" localSheetId="72">#REF!</definedName>
    <definedName name="M2_" localSheetId="28">#REF!</definedName>
    <definedName name="M2_" localSheetId="29">#REF!</definedName>
    <definedName name="M2_" localSheetId="66">#REF!</definedName>
    <definedName name="M2_">#REF!</definedName>
    <definedName name="MACHINETOOLS_ES_TA" localSheetId="70">#REF!</definedName>
    <definedName name="MACHINETOOLS_ES_TA" localSheetId="143">#REF!</definedName>
    <definedName name="MACHINETOOLS_ES_TA" localSheetId="52">#REF!</definedName>
    <definedName name="MACHINETOOLS_ES_TA" localSheetId="58">#REF!</definedName>
    <definedName name="MACHINETOOLS_ES_TA" localSheetId="57">#REF!</definedName>
    <definedName name="MACHINETOOLS_ES_TA" localSheetId="64">#REF!</definedName>
    <definedName name="MACHINETOOLS_ES_TA" localSheetId="67">#REF!</definedName>
    <definedName name="MACHINETOOLS_ES_TA" localSheetId="65">#REF!</definedName>
    <definedName name="MACHINETOOLS_ES_TA" localSheetId="68">#REF!</definedName>
    <definedName name="MACHINETOOLS_ES_TA" localSheetId="71">#REF!</definedName>
    <definedName name="MACHINETOOLS_ES_TA" localSheetId="44">#REF!</definedName>
    <definedName name="MACHINETOOLS_ES_TA" localSheetId="45">#REF!</definedName>
    <definedName name="MACHINETOOLS_ES_TA" localSheetId="27">#REF!</definedName>
    <definedName name="MACHINETOOLS_ES_TA" localSheetId="28">#REF!</definedName>
    <definedName name="MACHINETOOLS_ES_TA" localSheetId="29">#REF!</definedName>
    <definedName name="MACHINETOOLS_ES_TA" localSheetId="66">#REF!</definedName>
    <definedName name="MACHINETOOLS_ES_TA">#REF!</definedName>
    <definedName name="MACHINETOOLS_ES_TD" localSheetId="70">#REF!</definedName>
    <definedName name="MACHINETOOLS_ES_TD" localSheetId="143">#REF!</definedName>
    <definedName name="MACHINETOOLS_ES_TD" localSheetId="52">#REF!</definedName>
    <definedName name="MACHINETOOLS_ES_TD" localSheetId="58">#REF!</definedName>
    <definedName name="MACHINETOOLS_ES_TD" localSheetId="56">#REF!</definedName>
    <definedName name="MACHINETOOLS_ES_TD" localSheetId="57">#REF!</definedName>
    <definedName name="MACHINETOOLS_ES_TD" localSheetId="64">#REF!</definedName>
    <definedName name="MACHINETOOLS_ES_TD" localSheetId="67">#REF!</definedName>
    <definedName name="MACHINETOOLS_ES_TD" localSheetId="65">#REF!</definedName>
    <definedName name="MACHINETOOLS_ES_TD" localSheetId="68">#REF!</definedName>
    <definedName name="MACHINETOOLS_ES_TD" localSheetId="71">#REF!</definedName>
    <definedName name="MACHINETOOLS_ES_TD" localSheetId="44">#REF!</definedName>
    <definedName name="MACHINETOOLS_ES_TD" localSheetId="45">#REF!</definedName>
    <definedName name="MACHINETOOLS_ES_TD" localSheetId="17">#REF!</definedName>
    <definedName name="MACHINETOOLS_ES_TD" localSheetId="27">#REF!</definedName>
    <definedName name="MACHINETOOLS_ES_TD" localSheetId="128">'[26]90% Write off'!#REF!</definedName>
    <definedName name="MACHINETOOLS_ES_TD" localSheetId="28">#REF!</definedName>
    <definedName name="MACHINETOOLS_ES_TD" localSheetId="29">#REF!</definedName>
    <definedName name="MACHINETOOLS_ES_TD" localSheetId="66">#REF!</definedName>
    <definedName name="MACHINETOOLS_ES_TD">#REF!</definedName>
    <definedName name="MAKEQTY">#N/A</definedName>
    <definedName name="MAKEQTYNU">#N/A</definedName>
    <definedName name="MAKETWT">#N/A</definedName>
    <definedName name="MAKETWTNU">#N/A</definedName>
    <definedName name="MARGINPLAN" localSheetId="70">#REF!</definedName>
    <definedName name="MARGINPLAN" localSheetId="52">#REF!</definedName>
    <definedName name="MARGINPLAN" localSheetId="58">#REF!</definedName>
    <definedName name="MARGINPLAN" localSheetId="56">#REF!</definedName>
    <definedName name="MARGINPLAN" localSheetId="57">#REF!</definedName>
    <definedName name="MARGINPLAN" localSheetId="64">#REF!</definedName>
    <definedName name="MARGINPLAN" localSheetId="67">#REF!</definedName>
    <definedName name="MARGINPLAN" localSheetId="65">#REF!</definedName>
    <definedName name="MARGINPLAN" localSheetId="68">#REF!</definedName>
    <definedName name="MARGINPLAN" localSheetId="71">#REF!</definedName>
    <definedName name="MARGINPLAN" localSheetId="44">#REF!</definedName>
    <definedName name="MARGINPLAN" localSheetId="45">#REF!</definedName>
    <definedName name="MARGINPLAN" localSheetId="17">#REF!</definedName>
    <definedName name="MARGINPLAN" localSheetId="27">#REF!</definedName>
    <definedName name="MARGINPLAN" localSheetId="72">#REF!</definedName>
    <definedName name="MARGINPLAN" localSheetId="28">#REF!</definedName>
    <definedName name="MARGINPLAN" localSheetId="29">#REF!</definedName>
    <definedName name="MARGINPLAN" localSheetId="66">#REF!</definedName>
    <definedName name="MARGINPLAN">#REF!</definedName>
    <definedName name="MARGINPROJ" localSheetId="70">#REF!</definedName>
    <definedName name="MARGINPROJ" localSheetId="52">#REF!</definedName>
    <definedName name="MARGINPROJ" localSheetId="58">#REF!</definedName>
    <definedName name="MARGINPROJ" localSheetId="57">#REF!</definedName>
    <definedName name="MARGINPROJ" localSheetId="64">#REF!</definedName>
    <definedName name="MARGINPROJ" localSheetId="67">#REF!</definedName>
    <definedName name="MARGINPROJ" localSheetId="65">#REF!</definedName>
    <definedName name="MARGINPROJ" localSheetId="68">#REF!</definedName>
    <definedName name="MARGINPROJ" localSheetId="71">#REF!</definedName>
    <definedName name="MARGINPROJ" localSheetId="44">#REF!</definedName>
    <definedName name="MARGINPROJ" localSheetId="45">#REF!</definedName>
    <definedName name="MARGINPROJ" localSheetId="17">#REF!</definedName>
    <definedName name="MARGINPROJ" localSheetId="27">#REF!</definedName>
    <definedName name="MARGINPROJ" localSheetId="72">#REF!</definedName>
    <definedName name="MARGINPROJ" localSheetId="28">#REF!</definedName>
    <definedName name="MARGINPROJ" localSheetId="29">#REF!</definedName>
    <definedName name="MARGINPROJ" localSheetId="66">#REF!</definedName>
    <definedName name="MARGINPROJ">#REF!</definedName>
    <definedName name="MAT">#N/A</definedName>
    <definedName name="MAT_NO">#N/A</definedName>
    <definedName name="MAT_SIZE">#N/A</definedName>
    <definedName name="MATERIAL">#N/A</definedName>
    <definedName name="MATL">#N/A</definedName>
    <definedName name="MDR_BEST_BEF" localSheetId="70">#REF!</definedName>
    <definedName name="MDR_BEST_BEF" localSheetId="52">#REF!</definedName>
    <definedName name="MDR_BEST_BEF" localSheetId="58">#REF!</definedName>
    <definedName name="MDR_BEST_BEF" localSheetId="56">#REF!</definedName>
    <definedName name="MDR_BEST_BEF" localSheetId="57">#REF!</definedName>
    <definedName name="MDR_BEST_BEF" localSheetId="64">#REF!</definedName>
    <definedName name="MDR_BEST_BEF" localSheetId="67">#REF!</definedName>
    <definedName name="MDR_BEST_BEF" localSheetId="65">#REF!</definedName>
    <definedName name="MDR_BEST_BEF" localSheetId="68">#REF!</definedName>
    <definedName name="MDR_BEST_BEF" localSheetId="71">#REF!</definedName>
    <definedName name="MDR_BEST_BEF" localSheetId="44">#REF!</definedName>
    <definedName name="MDR_BEST_BEF" localSheetId="45">#REF!</definedName>
    <definedName name="MDR_BEST_BEF" localSheetId="17">#REF!</definedName>
    <definedName name="MDR_BEST_BEF" localSheetId="27">#REF!</definedName>
    <definedName name="MDR_BEST_BEF" localSheetId="72">#REF!</definedName>
    <definedName name="MDR_BEST_BEF" localSheetId="28">#REF!</definedName>
    <definedName name="MDR_BEST_BEF" localSheetId="29">#REF!</definedName>
    <definedName name="MDR_BEST_BEF" localSheetId="66">#REF!</definedName>
    <definedName name="MDR_BEST_BEF">#REF!</definedName>
    <definedName name="MDR_BSES_BEF" localSheetId="70">#REF!</definedName>
    <definedName name="MDR_BSES_BEF" localSheetId="52">#REF!</definedName>
    <definedName name="MDR_BSES_BEF" localSheetId="58">#REF!</definedName>
    <definedName name="MDR_BSES_BEF" localSheetId="57">#REF!</definedName>
    <definedName name="MDR_BSES_BEF" localSheetId="64">#REF!</definedName>
    <definedName name="MDR_BSES_BEF" localSheetId="67">#REF!</definedName>
    <definedName name="MDR_BSES_BEF" localSheetId="65">#REF!</definedName>
    <definedName name="MDR_BSES_BEF" localSheetId="68">#REF!</definedName>
    <definedName name="MDR_BSES_BEF" localSheetId="71">#REF!</definedName>
    <definedName name="MDR_BSES_BEF" localSheetId="44">#REF!</definedName>
    <definedName name="MDR_BSES_BEF" localSheetId="45">#REF!</definedName>
    <definedName name="MDR_BSES_BEF" localSheetId="17">#REF!</definedName>
    <definedName name="MDR_BSES_BEF" localSheetId="27">#REF!</definedName>
    <definedName name="MDR_BSES_BEF" localSheetId="72">#REF!</definedName>
    <definedName name="MDR_BSES_BEF" localSheetId="28">#REF!</definedName>
    <definedName name="MDR_BSES_BEF" localSheetId="29">#REF!</definedName>
    <definedName name="MDR_BSES_BEF" localSheetId="66">#REF!</definedName>
    <definedName name="MDR_BSES_BEF">#REF!</definedName>
    <definedName name="MDR_HTCOMM_AFT">'[5]Financial Estimates'!$C$300</definedName>
    <definedName name="MDR_HTCOMM_BEF" localSheetId="70">#REF!</definedName>
    <definedName name="MDR_HTCOMM_BEF" localSheetId="52">#REF!</definedName>
    <definedName name="MDR_HTCOMM_BEF" localSheetId="58">#REF!</definedName>
    <definedName name="MDR_HTCOMM_BEF" localSheetId="56">#REF!</definedName>
    <definedName name="MDR_HTCOMM_BEF" localSheetId="57">#REF!</definedName>
    <definedName name="MDR_HTCOMM_BEF" localSheetId="64">#REF!</definedName>
    <definedName name="MDR_HTCOMM_BEF" localSheetId="67">#REF!</definedName>
    <definedName name="MDR_HTCOMM_BEF" localSheetId="65">#REF!</definedName>
    <definedName name="MDR_HTCOMM_BEF" localSheetId="68">#REF!</definedName>
    <definedName name="MDR_HTCOMM_BEF" localSheetId="71">#REF!</definedName>
    <definedName name="MDR_HTCOMM_BEF" localSheetId="44">#REF!</definedName>
    <definedName name="MDR_HTCOMM_BEF" localSheetId="45">#REF!</definedName>
    <definedName name="MDR_HTCOMM_BEF" localSheetId="17">#REF!</definedName>
    <definedName name="MDR_HTCOMM_BEF" localSheetId="27">#REF!</definedName>
    <definedName name="MDR_HTCOMM_BEF" localSheetId="72">#REF!</definedName>
    <definedName name="MDR_HTCOMM_BEF" localSheetId="28">#REF!</definedName>
    <definedName name="MDR_HTCOMM_BEF" localSheetId="29">#REF!</definedName>
    <definedName name="MDR_HTCOMM_BEF" localSheetId="66">#REF!</definedName>
    <definedName name="MDR_HTCOMM_BEF">#REF!</definedName>
    <definedName name="MDR_HTIND_AFT">'[5]Financial Estimates'!$C$299</definedName>
    <definedName name="MDR_HTIND_BEF" localSheetId="70">#REF!</definedName>
    <definedName name="MDR_HTIND_BEF" localSheetId="52">#REF!</definedName>
    <definedName name="MDR_HTIND_BEF" localSheetId="58">#REF!</definedName>
    <definedName name="MDR_HTIND_BEF" localSheetId="56">#REF!</definedName>
    <definedName name="MDR_HTIND_BEF" localSheetId="57">#REF!</definedName>
    <definedName name="MDR_HTIND_BEF" localSheetId="64">#REF!</definedName>
    <definedName name="MDR_HTIND_BEF" localSheetId="67">#REF!</definedName>
    <definedName name="MDR_HTIND_BEF" localSheetId="65">#REF!</definedName>
    <definedName name="MDR_HTIND_BEF" localSheetId="68">#REF!</definedName>
    <definedName name="MDR_HTIND_BEF" localSheetId="71">#REF!</definedName>
    <definedName name="MDR_HTIND_BEF" localSheetId="44">#REF!</definedName>
    <definedName name="MDR_HTIND_BEF" localSheetId="45">#REF!</definedName>
    <definedName name="MDR_HTIND_BEF" localSheetId="17">#REF!</definedName>
    <definedName name="MDR_HTIND_BEF" localSheetId="27">#REF!</definedName>
    <definedName name="MDR_HTIND_BEF" localSheetId="72">#REF!</definedName>
    <definedName name="MDR_HTIND_BEF" localSheetId="28">#REF!</definedName>
    <definedName name="MDR_HTIND_BEF" localSheetId="29">#REF!</definedName>
    <definedName name="MDR_HTIND_BEF" localSheetId="66">#REF!</definedName>
    <definedName name="MDR_HTIND_BEF">#REF!</definedName>
    <definedName name="MDR_LTCOMM_AFT">'[5]Financial Estimates'!$C$302</definedName>
    <definedName name="MDR_LTCOMM_BEF" localSheetId="70">#REF!</definedName>
    <definedName name="MDR_LTCOMM_BEF" localSheetId="52">#REF!</definedName>
    <definedName name="MDR_LTCOMM_BEF" localSheetId="58">#REF!</definedName>
    <definedName name="MDR_LTCOMM_BEF" localSheetId="56">#REF!</definedName>
    <definedName name="MDR_LTCOMM_BEF" localSheetId="57">#REF!</definedName>
    <definedName name="MDR_LTCOMM_BEF" localSheetId="64">#REF!</definedName>
    <definedName name="MDR_LTCOMM_BEF" localSheetId="67">#REF!</definedName>
    <definedName name="MDR_LTCOMM_BEF" localSheetId="65">#REF!</definedName>
    <definedName name="MDR_LTCOMM_BEF" localSheetId="68">#REF!</definedName>
    <definedName name="MDR_LTCOMM_BEF" localSheetId="71">#REF!</definedName>
    <definedName name="MDR_LTCOMM_BEF" localSheetId="44">#REF!</definedName>
    <definedName name="MDR_LTCOMM_BEF" localSheetId="45">#REF!</definedName>
    <definedName name="MDR_LTCOMM_BEF" localSheetId="17">#REF!</definedName>
    <definedName name="MDR_LTCOMM_BEF" localSheetId="27">#REF!</definedName>
    <definedName name="MDR_LTCOMM_BEF" localSheetId="72">#REF!</definedName>
    <definedName name="MDR_LTCOMM_BEF" localSheetId="28">#REF!</definedName>
    <definedName name="MDR_LTCOMM_BEF" localSheetId="29">#REF!</definedName>
    <definedName name="MDR_LTCOMM_BEF" localSheetId="66">#REF!</definedName>
    <definedName name="MDR_LTCOMM_BEF">#REF!</definedName>
    <definedName name="MDR_LTIND_AFT">'[5]Financial Estimates'!$C$301</definedName>
    <definedName name="MDR_LTIND_BEF" localSheetId="70">#REF!</definedName>
    <definedName name="MDR_LTIND_BEF" localSheetId="52">#REF!</definedName>
    <definedName name="MDR_LTIND_BEF" localSheetId="58">#REF!</definedName>
    <definedName name="MDR_LTIND_BEF" localSheetId="56">#REF!</definedName>
    <definedName name="MDR_LTIND_BEF" localSheetId="57">#REF!</definedName>
    <definedName name="MDR_LTIND_BEF" localSheetId="64">#REF!</definedName>
    <definedName name="MDR_LTIND_BEF" localSheetId="67">#REF!</definedName>
    <definedName name="MDR_LTIND_BEF" localSheetId="65">#REF!</definedName>
    <definedName name="MDR_LTIND_BEF" localSheetId="68">#REF!</definedName>
    <definedName name="MDR_LTIND_BEF" localSheetId="71">#REF!</definedName>
    <definedName name="MDR_LTIND_BEF" localSheetId="44">#REF!</definedName>
    <definedName name="MDR_LTIND_BEF" localSheetId="45">#REF!</definedName>
    <definedName name="MDR_LTIND_BEF" localSheetId="17">#REF!</definedName>
    <definedName name="MDR_LTIND_BEF" localSheetId="27">#REF!</definedName>
    <definedName name="MDR_LTIND_BEF" localSheetId="72">#REF!</definedName>
    <definedName name="MDR_LTIND_BEF" localSheetId="28">#REF!</definedName>
    <definedName name="MDR_LTIND_BEF" localSheetId="29">#REF!</definedName>
    <definedName name="MDR_LTIND_BEF" localSheetId="66">#REF!</definedName>
    <definedName name="MDR_LTIND_BEF">#REF!</definedName>
    <definedName name="MDR_RLY_AFT">'[5]Financial Estimates'!$C$303</definedName>
    <definedName name="MDR_RLY_BEF" localSheetId="70">#REF!</definedName>
    <definedName name="MDR_RLY_BEF" localSheetId="52">#REF!</definedName>
    <definedName name="MDR_RLY_BEF" localSheetId="58">#REF!</definedName>
    <definedName name="MDR_RLY_BEF" localSheetId="56">#REF!</definedName>
    <definedName name="MDR_RLY_BEF" localSheetId="57">#REF!</definedName>
    <definedName name="MDR_RLY_BEF" localSheetId="64">#REF!</definedName>
    <definedName name="MDR_RLY_BEF" localSheetId="67">#REF!</definedName>
    <definedName name="MDR_RLY_BEF" localSheetId="65">#REF!</definedName>
    <definedName name="MDR_RLY_BEF" localSheetId="68">#REF!</definedName>
    <definedName name="MDR_RLY_BEF" localSheetId="71">#REF!</definedName>
    <definedName name="MDR_RLY_BEF" localSheetId="44">#REF!</definedName>
    <definedName name="MDR_RLY_BEF" localSheetId="45">#REF!</definedName>
    <definedName name="MDR_RLY_BEF" localSheetId="17">#REF!</definedName>
    <definedName name="MDR_RLY_BEF" localSheetId="27">#REF!</definedName>
    <definedName name="MDR_RLY_BEF" localSheetId="72">#REF!</definedName>
    <definedName name="MDR_RLY_BEF" localSheetId="28">#REF!</definedName>
    <definedName name="MDR_RLY_BEF" localSheetId="29">#REF!</definedName>
    <definedName name="MDR_RLY_BEF" localSheetId="66">#REF!</definedName>
    <definedName name="MDR_RLY_BEF">#REF!</definedName>
    <definedName name="MDR_TIR_BEF" localSheetId="70">#REF!</definedName>
    <definedName name="MDR_TIR_BEF" localSheetId="52">#REF!</definedName>
    <definedName name="MDR_TIR_BEF" localSheetId="58">#REF!</definedName>
    <definedName name="MDR_TIR_BEF" localSheetId="57">#REF!</definedName>
    <definedName name="MDR_TIR_BEF" localSheetId="64">#REF!</definedName>
    <definedName name="MDR_TIR_BEF" localSheetId="67">#REF!</definedName>
    <definedName name="MDR_TIR_BEF" localSheetId="65">#REF!</definedName>
    <definedName name="MDR_TIR_BEF" localSheetId="68">#REF!</definedName>
    <definedName name="MDR_TIR_BEF" localSheetId="71">#REF!</definedName>
    <definedName name="MDR_TIR_BEF" localSheetId="44">#REF!</definedName>
    <definedName name="MDR_TIR_BEF" localSheetId="45">#REF!</definedName>
    <definedName name="MDR_TIR_BEF" localSheetId="17">#REF!</definedName>
    <definedName name="MDR_TIR_BEF" localSheetId="27">#REF!</definedName>
    <definedName name="MDR_TIR_BEF" localSheetId="72">#REF!</definedName>
    <definedName name="MDR_TIR_BEF" localSheetId="28">#REF!</definedName>
    <definedName name="MDR_TIR_BEF" localSheetId="29">#REF!</definedName>
    <definedName name="MDR_TIR_BEF" localSheetId="66">#REF!</definedName>
    <definedName name="MDR_TIR_BEF">#REF!</definedName>
    <definedName name="MDR_TXT_AFT">'[5]Financial Estimates'!$C$298</definedName>
    <definedName name="MDR_TXT_BEF" localSheetId="70">#REF!</definedName>
    <definedName name="MDR_TXT_BEF" localSheetId="52">#REF!</definedName>
    <definedName name="MDR_TXT_BEF" localSheetId="58">#REF!</definedName>
    <definedName name="MDR_TXT_BEF" localSheetId="56">#REF!</definedName>
    <definedName name="MDR_TXT_BEF" localSheetId="57">#REF!</definedName>
    <definedName name="MDR_TXT_BEF" localSheetId="64">#REF!</definedName>
    <definedName name="MDR_TXT_BEF" localSheetId="67">#REF!</definedName>
    <definedName name="MDR_TXT_BEF" localSheetId="65">#REF!</definedName>
    <definedName name="MDR_TXT_BEF" localSheetId="68">#REF!</definedName>
    <definedName name="MDR_TXT_BEF" localSheetId="71">#REF!</definedName>
    <definedName name="MDR_TXT_BEF" localSheetId="44">#REF!</definedName>
    <definedName name="MDR_TXT_BEF" localSheetId="45">#REF!</definedName>
    <definedName name="MDR_TXT_BEF" localSheetId="17">#REF!</definedName>
    <definedName name="MDR_TXT_BEF" localSheetId="27">#REF!</definedName>
    <definedName name="MDR_TXT_BEF" localSheetId="72">#REF!</definedName>
    <definedName name="MDR_TXT_BEF" localSheetId="28">#REF!</definedName>
    <definedName name="MDR_TXT_BEF" localSheetId="29">#REF!</definedName>
    <definedName name="MDR_TXT_BEF" localSheetId="66">#REF!</definedName>
    <definedName name="MDR_TXT_BEF">#REF!</definedName>
    <definedName name="METERS_ES_TA" localSheetId="70">#REF!</definedName>
    <definedName name="METERS_ES_TA" localSheetId="143">#REF!</definedName>
    <definedName name="METERS_ES_TA" localSheetId="52">#REF!</definedName>
    <definedName name="METERS_ES_TA" localSheetId="58">#REF!</definedName>
    <definedName name="METERS_ES_TA" localSheetId="57">#REF!</definedName>
    <definedName name="METERS_ES_TA" localSheetId="64">#REF!</definedName>
    <definedName name="METERS_ES_TA" localSheetId="67">#REF!</definedName>
    <definedName name="METERS_ES_TA" localSheetId="65">#REF!</definedName>
    <definedName name="METERS_ES_TA" localSheetId="68">#REF!</definedName>
    <definedName name="METERS_ES_TA" localSheetId="71">#REF!</definedName>
    <definedName name="METERS_ES_TA" localSheetId="44">#REF!</definedName>
    <definedName name="METERS_ES_TA" localSheetId="45">#REF!</definedName>
    <definedName name="METERS_ES_TA" localSheetId="17">#REF!</definedName>
    <definedName name="METERS_ES_TA" localSheetId="27">#REF!</definedName>
    <definedName name="METERS_ES_TA" localSheetId="72">#REF!</definedName>
    <definedName name="METERS_ES_TA" localSheetId="28">#REF!</definedName>
    <definedName name="METERS_ES_TA" localSheetId="29">#REF!</definedName>
    <definedName name="METERS_ES_TA" localSheetId="66">#REF!</definedName>
    <definedName name="METERS_ES_TA">#REF!</definedName>
    <definedName name="METERS_ES_TD" localSheetId="70">#REF!</definedName>
    <definedName name="METERS_ES_TD" localSheetId="143">#REF!</definedName>
    <definedName name="METERS_ES_TD" localSheetId="52">#REF!</definedName>
    <definedName name="METERS_ES_TD" localSheetId="58">#REF!</definedName>
    <definedName name="METERS_ES_TD" localSheetId="56">#REF!</definedName>
    <definedName name="METERS_ES_TD" localSheetId="57">#REF!</definedName>
    <definedName name="METERS_ES_TD" localSheetId="64">#REF!</definedName>
    <definedName name="METERS_ES_TD" localSheetId="67">#REF!</definedName>
    <definedName name="METERS_ES_TD" localSheetId="65">#REF!</definedName>
    <definedName name="METERS_ES_TD" localSheetId="68">#REF!</definedName>
    <definedName name="METERS_ES_TD" localSheetId="71">#REF!</definedName>
    <definedName name="METERS_ES_TD" localSheetId="44">#REF!</definedName>
    <definedName name="METERS_ES_TD" localSheetId="45">#REF!</definedName>
    <definedName name="METERS_ES_TD" localSheetId="17">#REF!</definedName>
    <definedName name="METERS_ES_TD" localSheetId="27">#REF!</definedName>
    <definedName name="METERS_ES_TD" localSheetId="128">'[26]90% Write off'!#REF!</definedName>
    <definedName name="METERS_ES_TD" localSheetId="28">#REF!</definedName>
    <definedName name="METERS_ES_TD" localSheetId="29">#REF!</definedName>
    <definedName name="METERS_ES_TD" localSheetId="66">#REF!</definedName>
    <definedName name="METERS_ES_TD">#REF!</definedName>
    <definedName name="METHOD" localSheetId="70">'[13]해외 연수비용 계산-삭제'!#REF!</definedName>
    <definedName name="METHOD" localSheetId="52">'[13]해외 연수비용 계산-삭제'!#REF!</definedName>
    <definedName name="METHOD" localSheetId="58">'[13]해외 연수비용 계산-삭제'!#REF!</definedName>
    <definedName name="METHOD" localSheetId="57">'[13]해외 연수비용 계산-삭제'!#REF!</definedName>
    <definedName name="METHOD" localSheetId="64">'[13]해외 연수비용 계산-삭제'!#REF!</definedName>
    <definedName name="METHOD" localSheetId="67">'[13]해외 연수비용 계산-삭제'!#REF!</definedName>
    <definedName name="METHOD" localSheetId="65">'[13]해외 연수비용 계산-삭제'!#REF!</definedName>
    <definedName name="METHOD" localSheetId="68">'[13]해외 연수비용 계산-삭제'!#REF!</definedName>
    <definedName name="METHOD" localSheetId="71">'[13]해외 연수비용 계산-삭제'!#REF!</definedName>
    <definedName name="METHOD" localSheetId="44">'[13]해외 연수비용 계산-삭제'!#REF!</definedName>
    <definedName name="METHOD" localSheetId="45">'[13]해외 연수비용 계산-삭제'!#REF!</definedName>
    <definedName name="METHOD" localSheetId="27">'[13]해외 연수비용 계산-삭제'!#REF!</definedName>
    <definedName name="METHOD" localSheetId="28">'[13]해외 연수비용 계산-삭제'!#REF!</definedName>
    <definedName name="METHOD" localSheetId="29">'[13]해외 연수비용 계산-삭제'!#REF!</definedName>
    <definedName name="METHOD" localSheetId="66">'[13]해외 연수비용 계산-삭제'!#REF!</definedName>
    <definedName name="METHOD">'[13]해외 연수비용 계산-삭제'!#REF!</definedName>
    <definedName name="MID">#N/A</definedName>
    <definedName name="MIN" localSheetId="70">[53]Input_Sheet!#REF!</definedName>
    <definedName name="MIN" localSheetId="52">[53]Input_Sheet!#REF!</definedName>
    <definedName name="MIN" localSheetId="58">[53]Input_Sheet!#REF!</definedName>
    <definedName name="MIN" localSheetId="57">[53]Input_Sheet!#REF!</definedName>
    <definedName name="MIN" localSheetId="64">[53]Input_Sheet!#REF!</definedName>
    <definedName name="MIN" localSheetId="67">[53]Input_Sheet!#REF!</definedName>
    <definedName name="MIN" localSheetId="65">[53]Input_Sheet!#REF!</definedName>
    <definedName name="MIN" localSheetId="68">[53]Input_Sheet!#REF!</definedName>
    <definedName name="MIN" localSheetId="71">[53]Input_Sheet!#REF!</definedName>
    <definedName name="MIN" localSheetId="44">[53]Input_Sheet!#REF!</definedName>
    <definedName name="MIN" localSheetId="45">[53]Input_Sheet!#REF!</definedName>
    <definedName name="MIN" localSheetId="27">[53]Input_Sheet!#REF!</definedName>
    <definedName name="MIN" localSheetId="28">[53]Input_Sheet!#REF!</definedName>
    <definedName name="MIN" localSheetId="29">[53]Input_Sheet!#REF!</definedName>
    <definedName name="MIN" localSheetId="66">[53]Input_Sheet!#REF!</definedName>
    <definedName name="MIN">[53]Input_Sheet!#REF!</definedName>
    <definedName name="Miscelleneous_Expenditure" localSheetId="70">#REF!</definedName>
    <definedName name="Miscelleneous_Expenditure" localSheetId="126">'BEST final'!$A$375</definedName>
    <definedName name="Miscelleneous_Expenditure" localSheetId="52">#REF!</definedName>
    <definedName name="Miscelleneous_Expenditure" localSheetId="58">#REF!</definedName>
    <definedName name="Miscelleneous_Expenditure" localSheetId="56">#REF!</definedName>
    <definedName name="Miscelleneous_Expenditure" localSheetId="57">#REF!</definedName>
    <definedName name="Miscelleneous_Expenditure" localSheetId="64">#REF!</definedName>
    <definedName name="Miscelleneous_Expenditure" localSheetId="67">#REF!</definedName>
    <definedName name="Miscelleneous_Expenditure" localSheetId="65">#REF!</definedName>
    <definedName name="Miscelleneous_Expenditure" localSheetId="68">#REF!</definedName>
    <definedName name="Miscelleneous_Expenditure" localSheetId="71">#REF!</definedName>
    <definedName name="Miscelleneous_Expenditure" localSheetId="44">#REF!</definedName>
    <definedName name="Miscelleneous_Expenditure" localSheetId="45">#REF!</definedName>
    <definedName name="Miscelleneous_Expenditure" localSheetId="17">#REF!</definedName>
    <definedName name="Miscelleneous_Expenditure" localSheetId="27">#REF!</definedName>
    <definedName name="Miscelleneous_Expenditure" localSheetId="72">#REF!</definedName>
    <definedName name="Miscelleneous_Expenditure" localSheetId="28">#REF!</definedName>
    <definedName name="Miscelleneous_Expenditure" localSheetId="29">#REF!</definedName>
    <definedName name="Miscelleneous_Expenditure" localSheetId="66">#REF!</definedName>
    <definedName name="Miscelleneous_Expenditure">#REF!</definedName>
    <definedName name="ML">#N/A</definedName>
    <definedName name="mn" localSheetId="140" hidden="1">{"'Sheet1'!$L$16"}</definedName>
    <definedName name="mn" localSheetId="58" hidden="1">{"'Sheet1'!$L$16"}</definedName>
    <definedName name="mn" localSheetId="56" hidden="1">{"'Sheet1'!$L$16"}</definedName>
    <definedName name="mn" localSheetId="57" hidden="1">{"'Sheet1'!$L$16"}</definedName>
    <definedName name="mn" localSheetId="67" hidden="1">{"'Sheet1'!$L$16"}</definedName>
    <definedName name="mn" localSheetId="65" hidden="1">{"'Sheet1'!$L$16"}</definedName>
    <definedName name="mn" localSheetId="68" hidden="1">{"'Sheet1'!$L$16"}</definedName>
    <definedName name="mn" localSheetId="71" hidden="1">{"'Sheet1'!$L$16"}</definedName>
    <definedName name="mn" localSheetId="17" hidden="1">{"'Sheet1'!$L$16"}</definedName>
    <definedName name="mn" localSheetId="27" hidden="1">{"'Sheet1'!$L$16"}</definedName>
    <definedName name="mn" localSheetId="72" hidden="1">{"'Sheet1'!$L$16"}</definedName>
    <definedName name="mn" localSheetId="28" hidden="1">{"'Sheet1'!$L$16"}</definedName>
    <definedName name="mn" localSheetId="29" hidden="1">{"'Sheet1'!$L$16"}</definedName>
    <definedName name="mn" hidden="1">{"'Sheet1'!$L$16"}</definedName>
    <definedName name="mo" localSheetId="70">#REF!</definedName>
    <definedName name="mo" localSheetId="52">#REF!</definedName>
    <definedName name="mo" localSheetId="58">#REF!</definedName>
    <definedName name="mo" localSheetId="57">#REF!</definedName>
    <definedName name="mo" localSheetId="64">#REF!</definedName>
    <definedName name="mo" localSheetId="67">#REF!</definedName>
    <definedName name="mo" localSheetId="65">#REF!</definedName>
    <definedName name="mo" localSheetId="68">#REF!</definedName>
    <definedName name="mo" localSheetId="71">#REF!</definedName>
    <definedName name="mo" localSheetId="44">#REF!</definedName>
    <definedName name="mo" localSheetId="45">#REF!</definedName>
    <definedName name="mo" localSheetId="27">#REF!</definedName>
    <definedName name="mo" localSheetId="28">#REF!</definedName>
    <definedName name="mo" localSheetId="29">#REF!</definedName>
    <definedName name="mo" localSheetId="66">#REF!</definedName>
    <definedName name="mo">#REF!</definedName>
    <definedName name="MO_DES">#N/A</definedName>
    <definedName name="MO_NO">#N/A</definedName>
    <definedName name="MODEL">#N/A</definedName>
    <definedName name="MODES">#N/A</definedName>
    <definedName name="MODESC">#N/A</definedName>
    <definedName name="MOITEM">#N/A</definedName>
    <definedName name="MONITORPNT" localSheetId="70">[13]!MONITORPNT</definedName>
    <definedName name="MONITORPNT" localSheetId="52">[13]!MONITORPNT</definedName>
    <definedName name="MONITORPNT" localSheetId="58">[13]!MONITORPNT</definedName>
    <definedName name="MONITORPNT" localSheetId="57">[13]!MONITORPNT</definedName>
    <definedName name="MONITORPNT" localSheetId="64">[13]!MONITORPNT</definedName>
    <definedName name="MONITORPNT" localSheetId="67">[13]!MONITORPNT</definedName>
    <definedName name="MONITORPNT" localSheetId="65">[13]!MONITORPNT</definedName>
    <definedName name="MONITORPNT" localSheetId="68">[13]!MONITORPNT</definedName>
    <definedName name="MONITORPNT" localSheetId="71">[13]!MONITORPNT</definedName>
    <definedName name="MONITORPNT" localSheetId="44">[13]!MONITORPNT</definedName>
    <definedName name="MONITORPNT" localSheetId="45">[13]!MONITORPNT</definedName>
    <definedName name="MONITORPNT" localSheetId="27">[13]!MONITORPNT</definedName>
    <definedName name="MONITORPNT" localSheetId="28">[13]!MONITORPNT</definedName>
    <definedName name="MONITORPNT" localSheetId="29">[13]!MONITORPNT</definedName>
    <definedName name="MONITORPNT" localSheetId="66">[13]!MONITORPNT</definedName>
    <definedName name="MONITORPNT">[13]!MONITORPNT</definedName>
    <definedName name="MONO">#N/A</definedName>
    <definedName name="month" localSheetId="70">#REF!</definedName>
    <definedName name="month" localSheetId="52">#REF!</definedName>
    <definedName name="month" localSheetId="58">#REF!</definedName>
    <definedName name="month" localSheetId="56">#REF!</definedName>
    <definedName name="month" localSheetId="57">#REF!</definedName>
    <definedName name="month" localSheetId="64">#REF!</definedName>
    <definedName name="month" localSheetId="67">#REF!</definedName>
    <definedName name="month" localSheetId="65">#REF!</definedName>
    <definedName name="month" localSheetId="68">#REF!</definedName>
    <definedName name="month" localSheetId="71">#REF!</definedName>
    <definedName name="month" localSheetId="44">#REF!</definedName>
    <definedName name="month" localSheetId="45">#REF!</definedName>
    <definedName name="month" localSheetId="17">#REF!</definedName>
    <definedName name="month" localSheetId="27">#REF!</definedName>
    <definedName name="month" localSheetId="72">#REF!</definedName>
    <definedName name="month" localSheetId="28">#REF!</definedName>
    <definedName name="month" localSheetId="29">#REF!</definedName>
    <definedName name="month" localSheetId="66">#REF!</definedName>
    <definedName name="month">#REF!</definedName>
    <definedName name="MOTORVEHICLE_ES_TA" localSheetId="70">#REF!</definedName>
    <definedName name="MOTORVEHICLE_ES_TA" localSheetId="143">#REF!</definedName>
    <definedName name="MOTORVEHICLE_ES_TA" localSheetId="52">#REF!</definedName>
    <definedName name="MOTORVEHICLE_ES_TA" localSheetId="58">#REF!</definedName>
    <definedName name="MOTORVEHICLE_ES_TA" localSheetId="57">#REF!</definedName>
    <definedName name="MOTORVEHICLE_ES_TA" localSheetId="64">#REF!</definedName>
    <definedName name="MOTORVEHICLE_ES_TA" localSheetId="67">#REF!</definedName>
    <definedName name="MOTORVEHICLE_ES_TA" localSheetId="65">#REF!</definedName>
    <definedName name="MOTORVEHICLE_ES_TA" localSheetId="68">#REF!</definedName>
    <definedName name="MOTORVEHICLE_ES_TA" localSheetId="71">#REF!</definedName>
    <definedName name="MOTORVEHICLE_ES_TA" localSheetId="44">#REF!</definedName>
    <definedName name="MOTORVEHICLE_ES_TA" localSheetId="45">#REF!</definedName>
    <definedName name="MOTORVEHICLE_ES_TA" localSheetId="17">#REF!</definedName>
    <definedName name="MOTORVEHICLE_ES_TA" localSheetId="27">#REF!</definedName>
    <definedName name="MOTORVEHICLE_ES_TA" localSheetId="72">#REF!</definedName>
    <definedName name="MOTORVEHICLE_ES_TA" localSheetId="28">#REF!</definedName>
    <definedName name="MOTORVEHICLE_ES_TA" localSheetId="29">#REF!</definedName>
    <definedName name="MOTORVEHICLE_ES_TA" localSheetId="66">#REF!</definedName>
    <definedName name="MOTORVEHICLE_ES_TA">#REF!</definedName>
    <definedName name="MOTORVEHICLE_ES_TD" localSheetId="70">#REF!</definedName>
    <definedName name="MOTORVEHICLE_ES_TD" localSheetId="143">#REF!</definedName>
    <definedName name="MOTORVEHICLE_ES_TD" localSheetId="52">#REF!</definedName>
    <definedName name="MOTORVEHICLE_ES_TD" localSheetId="58">#REF!</definedName>
    <definedName name="MOTORVEHICLE_ES_TD" localSheetId="56">#REF!</definedName>
    <definedName name="MOTORVEHICLE_ES_TD" localSheetId="57">#REF!</definedName>
    <definedName name="MOTORVEHICLE_ES_TD" localSheetId="64">#REF!</definedName>
    <definedName name="MOTORVEHICLE_ES_TD" localSheetId="67">#REF!</definedName>
    <definedName name="MOTORVEHICLE_ES_TD" localSheetId="65">#REF!</definedName>
    <definedName name="MOTORVEHICLE_ES_TD" localSheetId="68">#REF!</definedName>
    <definedName name="MOTORVEHICLE_ES_TD" localSheetId="71">#REF!</definedName>
    <definedName name="MOTORVEHICLE_ES_TD" localSheetId="44">#REF!</definedName>
    <definedName name="MOTORVEHICLE_ES_TD" localSheetId="45">#REF!</definedName>
    <definedName name="MOTORVEHICLE_ES_TD" localSheetId="17">#REF!</definedName>
    <definedName name="MOTORVEHICLE_ES_TD" localSheetId="27">#REF!</definedName>
    <definedName name="MOTORVEHICLE_ES_TD" localSheetId="128">'[26]90% Write off'!#REF!</definedName>
    <definedName name="MOTORVEHICLE_ES_TD" localSheetId="28">#REF!</definedName>
    <definedName name="MOTORVEHICLE_ES_TD" localSheetId="29">#REF!</definedName>
    <definedName name="MOTORVEHICLE_ES_TD" localSheetId="66">#REF!</definedName>
    <definedName name="MOTORVEHICLE_ES_TD">#REF!</definedName>
    <definedName name="moved" localSheetId="14">#REF!</definedName>
    <definedName name="mth" localSheetId="70">'[54]per unit'!#REF!</definedName>
    <definedName name="mth" localSheetId="52">'[54]per unit'!#REF!</definedName>
    <definedName name="mth" localSheetId="58">'[54]per unit'!#REF!</definedName>
    <definedName name="mth" localSheetId="57">'[54]per unit'!#REF!</definedName>
    <definedName name="mth" localSheetId="64">'[54]per unit'!#REF!</definedName>
    <definedName name="mth" localSheetId="67">'[54]per unit'!#REF!</definedName>
    <definedName name="mth" localSheetId="65">'[54]per unit'!#REF!</definedName>
    <definedName name="mth" localSheetId="68">'[54]per unit'!#REF!</definedName>
    <definedName name="mth" localSheetId="71">'[54]per unit'!#REF!</definedName>
    <definedName name="mth" localSheetId="44">'[54]per unit'!#REF!</definedName>
    <definedName name="mth" localSheetId="45">'[54]per unit'!#REF!</definedName>
    <definedName name="mth" localSheetId="27">'[54]per unit'!#REF!</definedName>
    <definedName name="mth" localSheetId="28">'[54]per unit'!#REF!</definedName>
    <definedName name="mth" localSheetId="29">'[54]per unit'!#REF!</definedName>
    <definedName name="mth" localSheetId="66">'[54]per unit'!#REF!</definedName>
    <definedName name="mth">'[54]per unit'!#REF!</definedName>
    <definedName name="MTL">#N/A</definedName>
    <definedName name="MVEHICLE_GEN_TA" localSheetId="70">#REF!</definedName>
    <definedName name="MVEHICLE_GEN_TA" localSheetId="143">#REF!</definedName>
    <definedName name="MVEHICLE_GEN_TA" localSheetId="52">#REF!</definedName>
    <definedName name="MVEHICLE_GEN_TA" localSheetId="58">#REF!</definedName>
    <definedName name="MVEHICLE_GEN_TA" localSheetId="57">#REF!</definedName>
    <definedName name="MVEHICLE_GEN_TA" localSheetId="64">#REF!</definedName>
    <definedName name="MVEHICLE_GEN_TA" localSheetId="67">#REF!</definedName>
    <definedName name="MVEHICLE_GEN_TA" localSheetId="65">#REF!</definedName>
    <definedName name="MVEHICLE_GEN_TA" localSheetId="68">#REF!</definedName>
    <definedName name="MVEHICLE_GEN_TA" localSheetId="71">#REF!</definedName>
    <definedName name="MVEHICLE_GEN_TA" localSheetId="44">#REF!</definedName>
    <definedName name="MVEHICLE_GEN_TA" localSheetId="45">#REF!</definedName>
    <definedName name="MVEHICLE_GEN_TA" localSheetId="17">#REF!</definedName>
    <definedName name="MVEHICLE_GEN_TA" localSheetId="27">#REF!</definedName>
    <definedName name="MVEHICLE_GEN_TA" localSheetId="72">#REF!</definedName>
    <definedName name="MVEHICLE_GEN_TA" localSheetId="28">#REF!</definedName>
    <definedName name="MVEHICLE_GEN_TA" localSheetId="29">#REF!</definedName>
    <definedName name="MVEHICLE_GEN_TA" localSheetId="66">#REF!</definedName>
    <definedName name="MVEHICLE_GEN_TA">#REF!</definedName>
    <definedName name="MVEHICLE_GEN_TD" localSheetId="70">#REF!</definedName>
    <definedName name="MVEHICLE_GEN_TD" localSheetId="143">#REF!</definedName>
    <definedName name="MVEHICLE_GEN_TD" localSheetId="52">#REF!</definedName>
    <definedName name="MVEHICLE_GEN_TD" localSheetId="58">#REF!</definedName>
    <definedName name="MVEHICLE_GEN_TD" localSheetId="56">#REF!</definedName>
    <definedName name="MVEHICLE_GEN_TD" localSheetId="57">#REF!</definedName>
    <definedName name="MVEHICLE_GEN_TD" localSheetId="64">#REF!</definedName>
    <definedName name="MVEHICLE_GEN_TD" localSheetId="67">#REF!</definedName>
    <definedName name="MVEHICLE_GEN_TD" localSheetId="65">#REF!</definedName>
    <definedName name="MVEHICLE_GEN_TD" localSheetId="68">#REF!</definedName>
    <definedName name="MVEHICLE_GEN_TD" localSheetId="71">#REF!</definedName>
    <definedName name="MVEHICLE_GEN_TD" localSheetId="44">#REF!</definedName>
    <definedName name="MVEHICLE_GEN_TD" localSheetId="45">#REF!</definedName>
    <definedName name="MVEHICLE_GEN_TD" localSheetId="17">#REF!</definedName>
    <definedName name="MVEHICLE_GEN_TD" localSheetId="27">#REF!</definedName>
    <definedName name="MVEHICLE_GEN_TD" localSheetId="72">#REF!</definedName>
    <definedName name="MVEHICLE_GEN_TD" localSheetId="128">'[26]90% Write off'!#REF!</definedName>
    <definedName name="MVEHICLE_GEN_TD" localSheetId="28">#REF!</definedName>
    <definedName name="MVEHICLE_GEN_TD" localSheetId="29">#REF!</definedName>
    <definedName name="MVEHICLE_GEN_TD" localSheetId="66">#REF!</definedName>
    <definedName name="MVEHICLE_GEN_TD">#REF!</definedName>
    <definedName name="MYCAP" localSheetId="70">'[13]해외 연수비용 계산-삭제'!#REF!</definedName>
    <definedName name="MYCAP" localSheetId="52">'[13]해외 연수비용 계산-삭제'!#REF!</definedName>
    <definedName name="MYCAP" localSheetId="58">'[13]해외 연수비용 계산-삭제'!#REF!</definedName>
    <definedName name="MYCAP" localSheetId="57">'[13]해외 연수비용 계산-삭제'!#REF!</definedName>
    <definedName name="MYCAP" localSheetId="64">'[13]해외 연수비용 계산-삭제'!#REF!</definedName>
    <definedName name="MYCAP" localSheetId="67">'[13]해외 연수비용 계산-삭제'!#REF!</definedName>
    <definedName name="MYCAP" localSheetId="65">'[13]해외 연수비용 계산-삭제'!#REF!</definedName>
    <definedName name="MYCAP" localSheetId="68">'[13]해외 연수비용 계산-삭제'!#REF!</definedName>
    <definedName name="MYCAP" localSheetId="71">'[13]해외 연수비용 계산-삭제'!#REF!</definedName>
    <definedName name="MYCAP" localSheetId="44">'[13]해외 연수비용 계산-삭제'!#REF!</definedName>
    <definedName name="MYCAP" localSheetId="45">'[13]해외 연수비용 계산-삭제'!#REF!</definedName>
    <definedName name="MYCAP" localSheetId="17">'[13]해외 연수비용 계산-삭제'!#REF!</definedName>
    <definedName name="MYCAP" localSheetId="27">'[13]해외 연수비용 계산-삭제'!#REF!</definedName>
    <definedName name="MYCAP" localSheetId="72">'[13]해외 연수비용 계산-삭제'!#REF!</definedName>
    <definedName name="MYCAP" localSheetId="28">'[13]해외 연수비용 계산-삭제'!#REF!</definedName>
    <definedName name="MYCAP" localSheetId="29">'[13]해외 연수비용 계산-삭제'!#REF!</definedName>
    <definedName name="MYCAP" localSheetId="66">'[13]해외 연수비용 계산-삭제'!#REF!</definedName>
    <definedName name="MYCAP">'[13]해외 연수비용 계산-삭제'!#REF!</definedName>
    <definedName name="MYLOAN" localSheetId="70">'[13]해외 연수비용 계산-삭제'!#REF!</definedName>
    <definedName name="MYLOAN" localSheetId="52">'[13]해외 연수비용 계산-삭제'!#REF!</definedName>
    <definedName name="MYLOAN" localSheetId="58">'[13]해외 연수비용 계산-삭제'!#REF!</definedName>
    <definedName name="MYLOAN" localSheetId="57">'[13]해외 연수비용 계산-삭제'!#REF!</definedName>
    <definedName name="MYLOAN" localSheetId="64">'[13]해외 연수비용 계산-삭제'!#REF!</definedName>
    <definedName name="MYLOAN" localSheetId="67">'[13]해외 연수비용 계산-삭제'!#REF!</definedName>
    <definedName name="MYLOAN" localSheetId="65">'[13]해외 연수비용 계산-삭제'!#REF!</definedName>
    <definedName name="MYLOAN" localSheetId="68">'[13]해외 연수비용 계산-삭제'!#REF!</definedName>
    <definedName name="MYLOAN" localSheetId="71">'[13]해외 연수비용 계산-삭제'!#REF!</definedName>
    <definedName name="MYLOAN" localSheetId="44">'[13]해외 연수비용 계산-삭제'!#REF!</definedName>
    <definedName name="MYLOAN" localSheetId="45">'[13]해외 연수비용 계산-삭제'!#REF!</definedName>
    <definedName name="MYLOAN" localSheetId="17">'[13]해외 연수비용 계산-삭제'!#REF!</definedName>
    <definedName name="MYLOAN" localSheetId="27">'[13]해외 연수비용 계산-삭제'!#REF!</definedName>
    <definedName name="MYLOAN" localSheetId="72">'[13]해외 연수비용 계산-삭제'!#REF!</definedName>
    <definedName name="MYLOAN" localSheetId="28">'[13]해외 연수비용 계산-삭제'!#REF!</definedName>
    <definedName name="MYLOAN" localSheetId="29">'[13]해외 연수비용 계산-삭제'!#REF!</definedName>
    <definedName name="MYLOAN" localSheetId="66">'[13]해외 연수비용 계산-삭제'!#REF!</definedName>
    <definedName name="MYLOAN">'[13]해외 연수비용 계산-삭제'!#REF!</definedName>
    <definedName name="MYRATE" localSheetId="70">'[13]해외 연수비용 계산-삭제'!#REF!</definedName>
    <definedName name="MYRATE" localSheetId="52">'[13]해외 연수비용 계산-삭제'!#REF!</definedName>
    <definedName name="MYRATE" localSheetId="58">'[13]해외 연수비용 계산-삭제'!#REF!</definedName>
    <definedName name="MYRATE" localSheetId="57">'[13]해외 연수비용 계산-삭제'!#REF!</definedName>
    <definedName name="MYRATE" localSheetId="64">'[13]해외 연수비용 계산-삭제'!#REF!</definedName>
    <definedName name="MYRATE" localSheetId="67">'[13]해외 연수비용 계산-삭제'!#REF!</definedName>
    <definedName name="MYRATE" localSheetId="65">'[13]해외 연수비용 계산-삭제'!#REF!</definedName>
    <definedName name="MYRATE" localSheetId="68">'[13]해외 연수비용 계산-삭제'!#REF!</definedName>
    <definedName name="MYRATE" localSheetId="71">'[13]해외 연수비용 계산-삭제'!#REF!</definedName>
    <definedName name="MYRATE" localSheetId="44">'[13]해외 연수비용 계산-삭제'!#REF!</definedName>
    <definedName name="MYRATE" localSheetId="45">'[13]해외 연수비용 계산-삭제'!#REF!</definedName>
    <definedName name="MYRATE" localSheetId="17">'[13]해외 연수비용 계산-삭제'!#REF!</definedName>
    <definedName name="MYRATE" localSheetId="27">'[13]해외 연수비용 계산-삭제'!#REF!</definedName>
    <definedName name="MYRATE" localSheetId="72">'[13]해외 연수비용 계산-삭제'!#REF!</definedName>
    <definedName name="MYRATE" localSheetId="28">'[13]해외 연수비용 계산-삭제'!#REF!</definedName>
    <definedName name="MYRATE" localSheetId="29">'[13]해외 연수비용 계산-삭제'!#REF!</definedName>
    <definedName name="MYRATE" localSheetId="66">'[13]해외 연수비용 계산-삭제'!#REF!</definedName>
    <definedName name="MYRATE">'[13]해외 연수비용 계산-삭제'!#REF!</definedName>
    <definedName name="MYTO" localSheetId="70">'[13]해외 연수비용 계산-삭제'!#REF!</definedName>
    <definedName name="MYTO" localSheetId="52">'[13]해외 연수비용 계산-삭제'!#REF!</definedName>
    <definedName name="MYTO" localSheetId="58">'[13]해외 연수비용 계산-삭제'!#REF!</definedName>
    <definedName name="MYTO" localSheetId="57">'[13]해외 연수비용 계산-삭제'!#REF!</definedName>
    <definedName name="MYTO" localSheetId="64">'[13]해외 연수비용 계산-삭제'!#REF!</definedName>
    <definedName name="MYTO" localSheetId="67">'[13]해외 연수비용 계산-삭제'!#REF!</definedName>
    <definedName name="MYTO" localSheetId="65">'[13]해외 연수비용 계산-삭제'!#REF!</definedName>
    <definedName name="MYTO" localSheetId="68">'[13]해외 연수비용 계산-삭제'!#REF!</definedName>
    <definedName name="MYTO" localSheetId="71">'[13]해외 연수비용 계산-삭제'!#REF!</definedName>
    <definedName name="MYTO" localSheetId="44">'[13]해외 연수비용 계산-삭제'!#REF!</definedName>
    <definedName name="MYTO" localSheetId="45">'[13]해외 연수비용 계산-삭제'!#REF!</definedName>
    <definedName name="MYTO" localSheetId="17">'[13]해외 연수비용 계산-삭제'!#REF!</definedName>
    <definedName name="MYTO" localSheetId="27">'[13]해외 연수비용 계산-삭제'!#REF!</definedName>
    <definedName name="MYTO" localSheetId="72">'[13]해외 연수비용 계산-삭제'!#REF!</definedName>
    <definedName name="MYTO" localSheetId="28">'[13]해외 연수비용 계산-삭제'!#REF!</definedName>
    <definedName name="MYTO" localSheetId="29">'[13]해외 연수비용 계산-삭제'!#REF!</definedName>
    <definedName name="MYTO" localSheetId="66">'[13]해외 연수비용 계산-삭제'!#REF!</definedName>
    <definedName name="MYTO">'[13]해외 연수비용 계산-삭제'!#REF!</definedName>
    <definedName name="N" localSheetId="70">#REF!</definedName>
    <definedName name="N" localSheetId="52">#REF!</definedName>
    <definedName name="N" localSheetId="58">#REF!</definedName>
    <definedName name="N" localSheetId="56">#REF!</definedName>
    <definedName name="N" localSheetId="57">#REF!</definedName>
    <definedName name="N" localSheetId="64">#REF!</definedName>
    <definedName name="N" localSheetId="67">#REF!</definedName>
    <definedName name="N" localSheetId="65">#REF!</definedName>
    <definedName name="N" localSheetId="68">#REF!</definedName>
    <definedName name="N" localSheetId="71">#REF!</definedName>
    <definedName name="N" localSheetId="44">#REF!</definedName>
    <definedName name="N" localSheetId="45">#REF!</definedName>
    <definedName name="N" localSheetId="17">#REF!</definedName>
    <definedName name="N" localSheetId="27">#REF!</definedName>
    <definedName name="N" localSheetId="72">#REF!</definedName>
    <definedName name="N" localSheetId="28">#REF!</definedName>
    <definedName name="N" localSheetId="29">#REF!</definedName>
    <definedName name="N" localSheetId="66">#REF!</definedName>
    <definedName name="N">#REF!</definedName>
    <definedName name="NAM_1">#N/A</definedName>
    <definedName name="NATION" localSheetId="70">'[13]해외 연수비용 계산-삭제'!#REF!</definedName>
    <definedName name="NATION" localSheetId="52">'[13]해외 연수비용 계산-삭제'!#REF!</definedName>
    <definedName name="NATION" localSheetId="58">'[13]해외 연수비용 계산-삭제'!#REF!</definedName>
    <definedName name="NATION" localSheetId="56">'[13]해외 연수비용 계산-삭제'!#REF!</definedName>
    <definedName name="NATION" localSheetId="57">'[13]해외 연수비용 계산-삭제'!#REF!</definedName>
    <definedName name="NATION" localSheetId="64">'[13]해외 연수비용 계산-삭제'!#REF!</definedName>
    <definedName name="NATION" localSheetId="67">'[13]해외 연수비용 계산-삭제'!#REF!</definedName>
    <definedName name="NATION" localSheetId="65">'[13]해외 연수비용 계산-삭제'!#REF!</definedName>
    <definedName name="NATION" localSheetId="68">'[13]해외 연수비용 계산-삭제'!#REF!</definedName>
    <definedName name="NATION" localSheetId="71">'[13]해외 연수비용 계산-삭제'!#REF!</definedName>
    <definedName name="NATION" localSheetId="44">'[13]해외 연수비용 계산-삭제'!#REF!</definedName>
    <definedName name="NATION" localSheetId="45">'[13]해외 연수비용 계산-삭제'!#REF!</definedName>
    <definedName name="NATION" localSheetId="17">'[13]해외 연수비용 계산-삭제'!#REF!</definedName>
    <definedName name="NATION" localSheetId="27">'[13]해외 연수비용 계산-삭제'!#REF!</definedName>
    <definedName name="NATION" localSheetId="72">'[13]해외 연수비용 계산-삭제'!#REF!</definedName>
    <definedName name="NATION" localSheetId="28">'[13]해외 연수비용 계산-삭제'!#REF!</definedName>
    <definedName name="NATION" localSheetId="29">'[13]해외 연수비용 계산-삭제'!#REF!</definedName>
    <definedName name="NATION" localSheetId="66">'[13]해외 연수비용 계산-삭제'!#REF!</definedName>
    <definedName name="NATION">'[13]해외 연수비용 계산-삭제'!#REF!</definedName>
    <definedName name="needle" localSheetId="70">#REF!</definedName>
    <definedName name="needle" localSheetId="52">#REF!</definedName>
    <definedName name="needle" localSheetId="58">#REF!</definedName>
    <definedName name="needle" localSheetId="56">#REF!</definedName>
    <definedName name="needle" localSheetId="57">#REF!</definedName>
    <definedName name="needle" localSheetId="64">#REF!</definedName>
    <definedName name="needle" localSheetId="67">#REF!</definedName>
    <definedName name="needle" localSheetId="65">#REF!</definedName>
    <definedName name="needle" localSheetId="68">#REF!</definedName>
    <definedName name="needle" localSheetId="71">#REF!</definedName>
    <definedName name="needle" localSheetId="44">#REF!</definedName>
    <definedName name="needle" localSheetId="45">#REF!</definedName>
    <definedName name="needle" localSheetId="17">#REF!</definedName>
    <definedName name="needle" localSheetId="27">#REF!</definedName>
    <definedName name="needle" localSheetId="72">#REF!</definedName>
    <definedName name="needle" localSheetId="28">#REF!</definedName>
    <definedName name="needle" localSheetId="29">#REF!</definedName>
    <definedName name="needle" localSheetId="66">#REF!</definedName>
    <definedName name="needle">#REF!</definedName>
    <definedName name="new" localSheetId="70">#REF!</definedName>
    <definedName name="new" localSheetId="52">#REF!</definedName>
    <definedName name="new" localSheetId="58">#REF!</definedName>
    <definedName name="new" localSheetId="57">#REF!</definedName>
    <definedName name="new" localSheetId="64">#REF!</definedName>
    <definedName name="new" localSheetId="67">#REF!</definedName>
    <definedName name="new" localSheetId="65">#REF!</definedName>
    <definedName name="new" localSheetId="68">#REF!</definedName>
    <definedName name="new" localSheetId="71">#REF!</definedName>
    <definedName name="new" localSheetId="44">#REF!</definedName>
    <definedName name="new" localSheetId="45">#REF!</definedName>
    <definedName name="new" localSheetId="17">#REF!</definedName>
    <definedName name="new" localSheetId="27">#REF!</definedName>
    <definedName name="new" localSheetId="72">#REF!</definedName>
    <definedName name="new" localSheetId="28">#REF!</definedName>
    <definedName name="new" localSheetId="29">#REF!</definedName>
    <definedName name="new" localSheetId="66">#REF!</definedName>
    <definedName name="new">#REF!</definedName>
    <definedName name="NG" localSheetId="70">'[33]해외 연수비용 계산-삭제'!#REF!</definedName>
    <definedName name="NG" localSheetId="52">'[33]해외 연수비용 계산-삭제'!#REF!</definedName>
    <definedName name="NG" localSheetId="58">'[33]해외 연수비용 계산-삭제'!#REF!</definedName>
    <definedName name="NG" localSheetId="57">'[33]해외 연수비용 계산-삭제'!#REF!</definedName>
    <definedName name="NG" localSheetId="64">'[33]해외 연수비용 계산-삭제'!#REF!</definedName>
    <definedName name="NG" localSheetId="67">'[33]해외 연수비용 계산-삭제'!#REF!</definedName>
    <definedName name="NG" localSheetId="65">'[33]해외 연수비용 계산-삭제'!#REF!</definedName>
    <definedName name="NG" localSheetId="68">'[33]해외 연수비용 계산-삭제'!#REF!</definedName>
    <definedName name="NG" localSheetId="71">'[33]해외 연수비용 계산-삭제'!#REF!</definedName>
    <definedName name="NG" localSheetId="44">'[33]해외 연수비용 계산-삭제'!#REF!</definedName>
    <definedName name="NG" localSheetId="45">'[33]해외 연수비용 계산-삭제'!#REF!</definedName>
    <definedName name="NG" localSheetId="17">'[33]해외 연수비용 계산-삭제'!#REF!</definedName>
    <definedName name="NG" localSheetId="27">'[33]해외 연수비용 계산-삭제'!#REF!</definedName>
    <definedName name="NG" localSheetId="72">'[33]해외 연수비용 계산-삭제'!#REF!</definedName>
    <definedName name="NG" localSheetId="28">'[33]해외 연수비용 계산-삭제'!#REF!</definedName>
    <definedName name="NG" localSheetId="29">'[33]해외 연수비용 계산-삭제'!#REF!</definedName>
    <definedName name="NG" localSheetId="66">'[33]해외 연수비용 계산-삭제'!#REF!</definedName>
    <definedName name="NG">'[33]해외 연수비용 계산-삭제'!#REF!</definedName>
    <definedName name="NIPP" localSheetId="70">#REF!</definedName>
    <definedName name="NIPP" localSheetId="52">#REF!</definedName>
    <definedName name="NIPP" localSheetId="58">#REF!</definedName>
    <definedName name="NIPP" localSheetId="56">#REF!</definedName>
    <definedName name="NIPP" localSheetId="57">#REF!</definedName>
    <definedName name="NIPP" localSheetId="64">#REF!</definedName>
    <definedName name="NIPP" localSheetId="67">#REF!</definedName>
    <definedName name="NIPP" localSheetId="65">#REF!</definedName>
    <definedName name="NIPP" localSheetId="68">#REF!</definedName>
    <definedName name="NIPP" localSheetId="71">#REF!</definedName>
    <definedName name="NIPP" localSheetId="44">#REF!</definedName>
    <definedName name="NIPP" localSheetId="45">#REF!</definedName>
    <definedName name="NIPP" localSheetId="17">#REF!</definedName>
    <definedName name="NIPP" localSheetId="27">#REF!</definedName>
    <definedName name="NIPP" localSheetId="72">#REF!</definedName>
    <definedName name="NIPP" localSheetId="28">#REF!</definedName>
    <definedName name="NIPP" localSheetId="29">#REF!</definedName>
    <definedName name="NIPP" localSheetId="66">#REF!</definedName>
    <definedName name="NIPP">#REF!</definedName>
    <definedName name="nis" localSheetId="70" hidden="1">#REF!</definedName>
    <definedName name="nis" localSheetId="52" hidden="1">#REF!</definedName>
    <definedName name="nis" localSheetId="58" hidden="1">#REF!</definedName>
    <definedName name="nis" localSheetId="57" hidden="1">#REF!</definedName>
    <definedName name="nis" localSheetId="64" hidden="1">#REF!</definedName>
    <definedName name="nis" localSheetId="67" hidden="1">#REF!</definedName>
    <definedName name="nis" localSheetId="65" hidden="1">#REF!</definedName>
    <definedName name="nis" localSheetId="68" hidden="1">#REF!</definedName>
    <definedName name="nis" localSheetId="71" hidden="1">#REF!</definedName>
    <definedName name="nis" localSheetId="44" hidden="1">#REF!</definedName>
    <definedName name="nis" localSheetId="45" hidden="1">#REF!</definedName>
    <definedName name="nis" localSheetId="17" hidden="1">#REF!</definedName>
    <definedName name="nis" localSheetId="27" hidden="1">#REF!</definedName>
    <definedName name="nis" localSheetId="72" hidden="1">#REF!</definedName>
    <definedName name="nis" localSheetId="28" hidden="1">#REF!</definedName>
    <definedName name="nis" localSheetId="29" hidden="1">#REF!</definedName>
    <definedName name="nis" localSheetId="66" hidden="1">#REF!</definedName>
    <definedName name="nis" hidden="1">#REF!</definedName>
    <definedName name="NN" localSheetId="70">'[1]97 사업추정(WEKI)'!#REF!</definedName>
    <definedName name="NN" localSheetId="52">'[1]97 사업추정(WEKI)'!#REF!</definedName>
    <definedName name="NN" localSheetId="58">'[1]97 사업추정(WEKI)'!#REF!</definedName>
    <definedName name="NN" localSheetId="57">'[1]97 사업추정(WEKI)'!#REF!</definedName>
    <definedName name="NN" localSheetId="64">'[1]97 사업추정(WEKI)'!#REF!</definedName>
    <definedName name="NN" localSheetId="67">'[1]97 사업추정(WEKI)'!#REF!</definedName>
    <definedName name="NN" localSheetId="65">'[1]97 사업추정(WEKI)'!#REF!</definedName>
    <definedName name="NN" localSheetId="68">'[1]97 사업추정(WEKI)'!#REF!</definedName>
    <definedName name="NN" localSheetId="71">'[1]97 사업추정(WEKI)'!#REF!</definedName>
    <definedName name="NN" localSheetId="44">'[1]97 사업추정(WEKI)'!#REF!</definedName>
    <definedName name="NN" localSheetId="45">'[1]97 사업추정(WEKI)'!#REF!</definedName>
    <definedName name="NN" localSheetId="17">'[1]97 사업추정(WEKI)'!#REF!</definedName>
    <definedName name="NN" localSheetId="27">'[1]97 사업추정(WEKI)'!#REF!</definedName>
    <definedName name="NN" localSheetId="72">'[1]97 사업추정(WEKI)'!#REF!</definedName>
    <definedName name="NN" localSheetId="28">'[1]97 사업추정(WEKI)'!#REF!</definedName>
    <definedName name="NN" localSheetId="29">'[1]97 사업추정(WEKI)'!#REF!</definedName>
    <definedName name="NN" localSheetId="66">'[1]97 사업추정(WEKI)'!#REF!</definedName>
    <definedName name="NN">'[1]97 사업추정(WEKI)'!#REF!</definedName>
    <definedName name="nnkklj" localSheetId="70">#REF!</definedName>
    <definedName name="nnkklj" localSheetId="52">#REF!</definedName>
    <definedName name="nnkklj" localSheetId="58">#REF!</definedName>
    <definedName name="nnkklj" localSheetId="57">#REF!</definedName>
    <definedName name="nnkklj" localSheetId="64">#REF!</definedName>
    <definedName name="nnkklj" localSheetId="67">#REF!</definedName>
    <definedName name="nnkklj" localSheetId="65">#REF!</definedName>
    <definedName name="nnkklj" localSheetId="68">#REF!</definedName>
    <definedName name="nnkklj" localSheetId="71">#REF!</definedName>
    <definedName name="nnkklj" localSheetId="44">#REF!</definedName>
    <definedName name="nnkklj" localSheetId="45">#REF!</definedName>
    <definedName name="nnkklj" localSheetId="48">#REF!</definedName>
    <definedName name="nnkklj" localSheetId="17">#REF!</definedName>
    <definedName name="nnkklj" localSheetId="27">#REF!</definedName>
    <definedName name="nnkklj" localSheetId="72">#REF!</definedName>
    <definedName name="nnkklj" localSheetId="28">#REF!</definedName>
    <definedName name="nnkklj" localSheetId="29">#REF!</definedName>
    <definedName name="nnkklj" localSheetId="66">#REF!</definedName>
    <definedName name="nnkklj">#REF!</definedName>
    <definedName name="Note_26bs" localSheetId="70">#REF!</definedName>
    <definedName name="Note_26bs" localSheetId="143">#REF!</definedName>
    <definedName name="Note_26bs" localSheetId="52">#REF!</definedName>
    <definedName name="Note_26bs" localSheetId="58">#REF!</definedName>
    <definedName name="Note_26bs" localSheetId="57">#REF!</definedName>
    <definedName name="Note_26bs" localSheetId="64">#REF!</definedName>
    <definedName name="Note_26bs" localSheetId="67">#REF!</definedName>
    <definedName name="Note_26bs" localSheetId="65">#REF!</definedName>
    <definedName name="Note_26bs" localSheetId="68">#REF!</definedName>
    <definedName name="Note_26bs" localSheetId="71">#REF!</definedName>
    <definedName name="Note_26bs" localSheetId="44">#REF!</definedName>
    <definedName name="Note_26bs" localSheetId="45">#REF!</definedName>
    <definedName name="Note_26bs" localSheetId="27">#REF!</definedName>
    <definedName name="Note_26bs" localSheetId="28">#REF!</definedName>
    <definedName name="Note_26bs" localSheetId="29">#REF!</definedName>
    <definedName name="Note_26bs" localSheetId="66">#REF!</definedName>
    <definedName name="Note_26bs">#REF!</definedName>
    <definedName name="Note_3bs." localSheetId="70">#REF!</definedName>
    <definedName name="Note_3bs." localSheetId="143">#REF!</definedName>
    <definedName name="Note_3bs." localSheetId="52">#REF!</definedName>
    <definedName name="Note_3bs." localSheetId="58">#REF!</definedName>
    <definedName name="Note_3bs." localSheetId="57">#REF!</definedName>
    <definedName name="Note_3bs." localSheetId="64">#REF!</definedName>
    <definedName name="Note_3bs." localSheetId="67">#REF!</definedName>
    <definedName name="Note_3bs." localSheetId="65">#REF!</definedName>
    <definedName name="Note_3bs." localSheetId="68">#REF!</definedName>
    <definedName name="Note_3bs." localSheetId="71">#REF!</definedName>
    <definedName name="Note_3bs." localSheetId="44">#REF!</definedName>
    <definedName name="Note_3bs." localSheetId="45">#REF!</definedName>
    <definedName name="Note_3bs." localSheetId="27">#REF!</definedName>
    <definedName name="Note_3bs." localSheetId="28">#REF!</definedName>
    <definedName name="Note_3bs." localSheetId="29">#REF!</definedName>
    <definedName name="Note_3bs." localSheetId="66">#REF!</definedName>
    <definedName name="Note_3bs.">#REF!</definedName>
    <definedName name="Notes__11bs" localSheetId="70">#REF!</definedName>
    <definedName name="Notes__11bs" localSheetId="143">#REF!</definedName>
    <definedName name="Notes__11bs" localSheetId="52">#REF!</definedName>
    <definedName name="Notes__11bs" localSheetId="58">#REF!</definedName>
    <definedName name="Notes__11bs" localSheetId="57">#REF!</definedName>
    <definedName name="Notes__11bs" localSheetId="64">#REF!</definedName>
    <definedName name="Notes__11bs" localSheetId="67">#REF!</definedName>
    <definedName name="Notes__11bs" localSheetId="65">#REF!</definedName>
    <definedName name="Notes__11bs" localSheetId="68">#REF!</definedName>
    <definedName name="Notes__11bs" localSheetId="71">#REF!</definedName>
    <definedName name="Notes__11bs" localSheetId="44">#REF!</definedName>
    <definedName name="Notes__11bs" localSheetId="45">#REF!</definedName>
    <definedName name="Notes__11bs" localSheetId="27">#REF!</definedName>
    <definedName name="Notes__11bs" localSheetId="28">#REF!</definedName>
    <definedName name="Notes__11bs" localSheetId="29">#REF!</definedName>
    <definedName name="Notes__11bs" localSheetId="66">#REF!</definedName>
    <definedName name="Notes__11bs">#REF!</definedName>
    <definedName name="Notes_10bs" localSheetId="70">#REF!</definedName>
    <definedName name="Notes_10bs" localSheetId="143">#REF!</definedName>
    <definedName name="Notes_10bs" localSheetId="52">#REF!</definedName>
    <definedName name="Notes_10bs" localSheetId="58">#REF!</definedName>
    <definedName name="Notes_10bs" localSheetId="57">#REF!</definedName>
    <definedName name="Notes_10bs" localSheetId="64">#REF!</definedName>
    <definedName name="Notes_10bs" localSheetId="67">#REF!</definedName>
    <definedName name="Notes_10bs" localSheetId="65">#REF!</definedName>
    <definedName name="Notes_10bs" localSheetId="68">#REF!</definedName>
    <definedName name="Notes_10bs" localSheetId="71">#REF!</definedName>
    <definedName name="Notes_10bs" localSheetId="44">#REF!</definedName>
    <definedName name="Notes_10bs" localSheetId="45">#REF!</definedName>
    <definedName name="Notes_10bs" localSheetId="27">#REF!</definedName>
    <definedName name="Notes_10bs" localSheetId="28">#REF!</definedName>
    <definedName name="Notes_10bs" localSheetId="29">#REF!</definedName>
    <definedName name="Notes_10bs" localSheetId="66">#REF!</definedName>
    <definedName name="Notes_10bs">#REF!</definedName>
    <definedName name="Notes_12bs" localSheetId="70">#REF!</definedName>
    <definedName name="Notes_12bs" localSheetId="143">#REF!</definedName>
    <definedName name="Notes_12bs" localSheetId="52">#REF!</definedName>
    <definedName name="Notes_12bs" localSheetId="58">#REF!</definedName>
    <definedName name="Notes_12bs" localSheetId="57">#REF!</definedName>
    <definedName name="Notes_12bs" localSheetId="64">#REF!</definedName>
    <definedName name="Notes_12bs" localSheetId="67">#REF!</definedName>
    <definedName name="Notes_12bs" localSheetId="65">#REF!</definedName>
    <definedName name="Notes_12bs" localSheetId="68">#REF!</definedName>
    <definedName name="Notes_12bs" localSheetId="71">#REF!</definedName>
    <definedName name="Notes_12bs" localSheetId="44">#REF!</definedName>
    <definedName name="Notes_12bs" localSheetId="45">#REF!</definedName>
    <definedName name="Notes_12bs" localSheetId="27">#REF!</definedName>
    <definedName name="Notes_12bs" localSheetId="28">#REF!</definedName>
    <definedName name="Notes_12bs" localSheetId="29">#REF!</definedName>
    <definedName name="Notes_12bs" localSheetId="66">#REF!</definedName>
    <definedName name="Notes_12bs">#REF!</definedName>
    <definedName name="Notes_13bs" localSheetId="70">#REF!</definedName>
    <definedName name="Notes_13bs" localSheetId="143">#REF!</definedName>
    <definedName name="Notes_13bs" localSheetId="52">#REF!</definedName>
    <definedName name="Notes_13bs" localSheetId="58">#REF!</definedName>
    <definedName name="Notes_13bs" localSheetId="57">#REF!</definedName>
    <definedName name="Notes_13bs" localSheetId="64">#REF!</definedName>
    <definedName name="Notes_13bs" localSheetId="67">#REF!</definedName>
    <definedName name="Notes_13bs" localSheetId="65">#REF!</definedName>
    <definedName name="Notes_13bs" localSheetId="68">#REF!</definedName>
    <definedName name="Notes_13bs" localSheetId="71">#REF!</definedName>
    <definedName name="Notes_13bs" localSheetId="44">#REF!</definedName>
    <definedName name="Notes_13bs" localSheetId="45">#REF!</definedName>
    <definedName name="Notes_13bs" localSheetId="27">#REF!</definedName>
    <definedName name="Notes_13bs" localSheetId="28">#REF!</definedName>
    <definedName name="Notes_13bs" localSheetId="29">#REF!</definedName>
    <definedName name="Notes_13bs" localSheetId="66">#REF!</definedName>
    <definedName name="Notes_13bs">#REF!</definedName>
    <definedName name="Notes_14bs" localSheetId="70">#REF!</definedName>
    <definedName name="Notes_14bs" localSheetId="143">#REF!</definedName>
    <definedName name="Notes_14bs" localSheetId="52">#REF!</definedName>
    <definedName name="Notes_14bs" localSheetId="58">#REF!</definedName>
    <definedName name="Notes_14bs" localSheetId="57">#REF!</definedName>
    <definedName name="Notes_14bs" localSheetId="64">#REF!</definedName>
    <definedName name="Notes_14bs" localSheetId="67">#REF!</definedName>
    <definedName name="Notes_14bs" localSheetId="65">#REF!</definedName>
    <definedName name="Notes_14bs" localSheetId="68">#REF!</definedName>
    <definedName name="Notes_14bs" localSheetId="71">#REF!</definedName>
    <definedName name="Notes_14bs" localSheetId="44">#REF!</definedName>
    <definedName name="Notes_14bs" localSheetId="45">#REF!</definedName>
    <definedName name="Notes_14bs" localSheetId="27">#REF!</definedName>
    <definedName name="Notes_14bs" localSheetId="28">#REF!</definedName>
    <definedName name="Notes_14bs" localSheetId="29">#REF!</definedName>
    <definedName name="Notes_14bs" localSheetId="66">#REF!</definedName>
    <definedName name="Notes_14bs">#REF!</definedName>
    <definedName name="Notes_15bs" localSheetId="70">#REF!</definedName>
    <definedName name="Notes_15bs" localSheetId="143">#REF!</definedName>
    <definedName name="Notes_15bs" localSheetId="52">#REF!</definedName>
    <definedName name="Notes_15bs" localSheetId="58">#REF!</definedName>
    <definedName name="Notes_15bs" localSheetId="57">#REF!</definedName>
    <definedName name="Notes_15bs" localSheetId="64">#REF!</definedName>
    <definedName name="Notes_15bs" localSheetId="67">#REF!</definedName>
    <definedName name="Notes_15bs" localSheetId="65">#REF!</definedName>
    <definedName name="Notes_15bs" localSheetId="68">#REF!</definedName>
    <definedName name="Notes_15bs" localSheetId="71">#REF!</definedName>
    <definedName name="Notes_15bs" localSheetId="44">#REF!</definedName>
    <definedName name="Notes_15bs" localSheetId="45">#REF!</definedName>
    <definedName name="Notes_15bs" localSheetId="27">#REF!</definedName>
    <definedName name="Notes_15bs" localSheetId="28">#REF!</definedName>
    <definedName name="Notes_15bs" localSheetId="29">#REF!</definedName>
    <definedName name="Notes_15bs" localSheetId="66">#REF!</definedName>
    <definedName name="Notes_15bs">#REF!</definedName>
    <definedName name="Notes_16Bs" localSheetId="70">#REF!</definedName>
    <definedName name="Notes_16Bs" localSheetId="143">#REF!</definedName>
    <definedName name="Notes_16Bs" localSheetId="52">#REF!</definedName>
    <definedName name="Notes_16Bs" localSheetId="58">#REF!</definedName>
    <definedName name="Notes_16Bs" localSheetId="57">#REF!</definedName>
    <definedName name="Notes_16Bs" localSheetId="64">#REF!</definedName>
    <definedName name="Notes_16Bs" localSheetId="67">#REF!</definedName>
    <definedName name="Notes_16Bs" localSheetId="65">#REF!</definedName>
    <definedName name="Notes_16Bs" localSheetId="68">#REF!</definedName>
    <definedName name="Notes_16Bs" localSheetId="71">#REF!</definedName>
    <definedName name="Notes_16Bs" localSheetId="44">#REF!</definedName>
    <definedName name="Notes_16Bs" localSheetId="45">#REF!</definedName>
    <definedName name="Notes_16Bs" localSheetId="27">#REF!</definedName>
    <definedName name="Notes_16Bs" localSheetId="28">#REF!</definedName>
    <definedName name="Notes_16Bs" localSheetId="29">#REF!</definedName>
    <definedName name="Notes_16Bs" localSheetId="66">#REF!</definedName>
    <definedName name="Notes_16Bs">#REF!</definedName>
    <definedName name="Notes_17bs" localSheetId="70">#REF!</definedName>
    <definedName name="Notes_17bs" localSheetId="143">#REF!</definedName>
    <definedName name="Notes_17bs" localSheetId="52">#REF!</definedName>
    <definedName name="Notes_17bs" localSheetId="58">#REF!</definedName>
    <definedName name="Notes_17bs" localSheetId="57">#REF!</definedName>
    <definedName name="Notes_17bs" localSheetId="64">#REF!</definedName>
    <definedName name="Notes_17bs" localSheetId="67">#REF!</definedName>
    <definedName name="Notes_17bs" localSheetId="65">#REF!</definedName>
    <definedName name="Notes_17bs" localSheetId="68">#REF!</definedName>
    <definedName name="Notes_17bs" localSheetId="71">#REF!</definedName>
    <definedName name="Notes_17bs" localSheetId="44">#REF!</definedName>
    <definedName name="Notes_17bs" localSheetId="45">#REF!</definedName>
    <definedName name="Notes_17bs" localSheetId="27">#REF!</definedName>
    <definedName name="Notes_17bs" localSheetId="28">#REF!</definedName>
    <definedName name="Notes_17bs" localSheetId="29">#REF!</definedName>
    <definedName name="Notes_17bs" localSheetId="66">#REF!</definedName>
    <definedName name="Notes_17bs">#REF!</definedName>
    <definedName name="Notes_18Bs" localSheetId="70">#REF!</definedName>
    <definedName name="Notes_18Bs" localSheetId="143">#REF!</definedName>
    <definedName name="Notes_18Bs" localSheetId="52">#REF!</definedName>
    <definedName name="Notes_18Bs" localSheetId="58">#REF!</definedName>
    <definedName name="Notes_18Bs" localSheetId="57">#REF!</definedName>
    <definedName name="Notes_18Bs" localSheetId="64">#REF!</definedName>
    <definedName name="Notes_18Bs" localSheetId="67">#REF!</definedName>
    <definedName name="Notes_18Bs" localSheetId="65">#REF!</definedName>
    <definedName name="Notes_18Bs" localSheetId="68">#REF!</definedName>
    <definedName name="Notes_18Bs" localSheetId="71">#REF!</definedName>
    <definedName name="Notes_18Bs" localSheetId="44">#REF!</definedName>
    <definedName name="Notes_18Bs" localSheetId="45">#REF!</definedName>
    <definedName name="Notes_18Bs" localSheetId="27">#REF!</definedName>
    <definedName name="Notes_18Bs" localSheetId="28">#REF!</definedName>
    <definedName name="Notes_18Bs" localSheetId="29">#REF!</definedName>
    <definedName name="Notes_18Bs" localSheetId="66">#REF!</definedName>
    <definedName name="Notes_18Bs">#REF!</definedName>
    <definedName name="Notes_19bs" localSheetId="70">#REF!</definedName>
    <definedName name="Notes_19bs" localSheetId="143">#REF!</definedName>
    <definedName name="Notes_19bs" localSheetId="52">#REF!</definedName>
    <definedName name="Notes_19bs" localSheetId="58">#REF!</definedName>
    <definedName name="Notes_19bs" localSheetId="57">#REF!</definedName>
    <definedName name="Notes_19bs" localSheetId="64">#REF!</definedName>
    <definedName name="Notes_19bs" localSheetId="67">#REF!</definedName>
    <definedName name="Notes_19bs" localSheetId="65">#REF!</definedName>
    <definedName name="Notes_19bs" localSheetId="68">#REF!</definedName>
    <definedName name="Notes_19bs" localSheetId="71">#REF!</definedName>
    <definedName name="Notes_19bs" localSheetId="44">#REF!</definedName>
    <definedName name="Notes_19bs" localSheetId="45">#REF!</definedName>
    <definedName name="Notes_19bs" localSheetId="27">#REF!</definedName>
    <definedName name="Notes_19bs" localSheetId="28">#REF!</definedName>
    <definedName name="Notes_19bs" localSheetId="29">#REF!</definedName>
    <definedName name="Notes_19bs" localSheetId="66">#REF!</definedName>
    <definedName name="Notes_19bs">#REF!</definedName>
    <definedName name="Notes_20bs" localSheetId="70">#REF!</definedName>
    <definedName name="Notes_20bs" localSheetId="143">#REF!</definedName>
    <definedName name="Notes_20bs" localSheetId="52">#REF!</definedName>
    <definedName name="Notes_20bs" localSheetId="58">#REF!</definedName>
    <definedName name="Notes_20bs" localSheetId="57">#REF!</definedName>
    <definedName name="Notes_20bs" localSheetId="64">#REF!</definedName>
    <definedName name="Notes_20bs" localSheetId="67">#REF!</definedName>
    <definedName name="Notes_20bs" localSheetId="65">#REF!</definedName>
    <definedName name="Notes_20bs" localSheetId="68">#REF!</definedName>
    <definedName name="Notes_20bs" localSheetId="71">#REF!</definedName>
    <definedName name="Notes_20bs" localSheetId="44">#REF!</definedName>
    <definedName name="Notes_20bs" localSheetId="45">#REF!</definedName>
    <definedName name="Notes_20bs" localSheetId="27">#REF!</definedName>
    <definedName name="Notes_20bs" localSheetId="28">#REF!</definedName>
    <definedName name="Notes_20bs" localSheetId="29">#REF!</definedName>
    <definedName name="Notes_20bs" localSheetId="66">#REF!</definedName>
    <definedName name="Notes_20bs">#REF!</definedName>
    <definedName name="Notes_21bs" localSheetId="70">#REF!</definedName>
    <definedName name="Notes_21bs" localSheetId="143">#REF!</definedName>
    <definedName name="Notes_21bs" localSheetId="52">#REF!</definedName>
    <definedName name="Notes_21bs" localSheetId="58">#REF!</definedName>
    <definedName name="Notes_21bs" localSheetId="57">#REF!</definedName>
    <definedName name="Notes_21bs" localSheetId="64">#REF!</definedName>
    <definedName name="Notes_21bs" localSheetId="67">#REF!</definedName>
    <definedName name="Notes_21bs" localSheetId="65">#REF!</definedName>
    <definedName name="Notes_21bs" localSheetId="68">#REF!</definedName>
    <definedName name="Notes_21bs" localSheetId="71">#REF!</definedName>
    <definedName name="Notes_21bs" localSheetId="44">#REF!</definedName>
    <definedName name="Notes_21bs" localSheetId="45">#REF!</definedName>
    <definedName name="Notes_21bs" localSheetId="27">#REF!</definedName>
    <definedName name="Notes_21bs" localSheetId="28">#REF!</definedName>
    <definedName name="Notes_21bs" localSheetId="29">#REF!</definedName>
    <definedName name="Notes_21bs" localSheetId="66">#REF!</definedName>
    <definedName name="Notes_21bs">#REF!</definedName>
    <definedName name="Notes_22bs" localSheetId="70">#REF!</definedName>
    <definedName name="Notes_22bs" localSheetId="143">#REF!</definedName>
    <definedName name="Notes_22bs" localSheetId="52">#REF!</definedName>
    <definedName name="Notes_22bs" localSheetId="58">#REF!</definedName>
    <definedName name="Notes_22bs" localSheetId="57">#REF!</definedName>
    <definedName name="Notes_22bs" localSheetId="64">#REF!</definedName>
    <definedName name="Notes_22bs" localSheetId="67">#REF!</definedName>
    <definedName name="Notes_22bs" localSheetId="65">#REF!</definedName>
    <definedName name="Notes_22bs" localSheetId="68">#REF!</definedName>
    <definedName name="Notes_22bs" localSheetId="71">#REF!</definedName>
    <definedName name="Notes_22bs" localSheetId="44">#REF!</definedName>
    <definedName name="Notes_22bs" localSheetId="45">#REF!</definedName>
    <definedName name="Notes_22bs" localSheetId="27">#REF!</definedName>
    <definedName name="Notes_22bs" localSheetId="28">#REF!</definedName>
    <definedName name="Notes_22bs" localSheetId="29">#REF!</definedName>
    <definedName name="Notes_22bs" localSheetId="66">#REF!</definedName>
    <definedName name="Notes_22bs">#REF!</definedName>
    <definedName name="Notes_23bs" localSheetId="70">#REF!</definedName>
    <definedName name="Notes_23bs" localSheetId="143">#REF!</definedName>
    <definedName name="Notes_23bs" localSheetId="52">#REF!</definedName>
    <definedName name="Notes_23bs" localSheetId="58">#REF!</definedName>
    <definedName name="Notes_23bs" localSheetId="57">#REF!</definedName>
    <definedName name="Notes_23bs" localSheetId="64">#REF!</definedName>
    <definedName name="Notes_23bs" localSheetId="67">#REF!</definedName>
    <definedName name="Notes_23bs" localSheetId="65">#REF!</definedName>
    <definedName name="Notes_23bs" localSheetId="68">#REF!</definedName>
    <definedName name="Notes_23bs" localSheetId="71">#REF!</definedName>
    <definedName name="Notes_23bs" localSheetId="44">#REF!</definedName>
    <definedName name="Notes_23bs" localSheetId="45">#REF!</definedName>
    <definedName name="Notes_23bs" localSheetId="27">#REF!</definedName>
    <definedName name="Notes_23bs" localSheetId="28">#REF!</definedName>
    <definedName name="Notes_23bs" localSheetId="29">#REF!</definedName>
    <definedName name="Notes_23bs" localSheetId="66">#REF!</definedName>
    <definedName name="Notes_23bs">#REF!</definedName>
    <definedName name="Notes_24bs" localSheetId="70">#REF!</definedName>
    <definedName name="Notes_24bs" localSheetId="143">#REF!</definedName>
    <definedName name="Notes_24bs" localSheetId="52">#REF!</definedName>
    <definedName name="Notes_24bs" localSheetId="58">#REF!</definedName>
    <definedName name="Notes_24bs" localSheetId="57">#REF!</definedName>
    <definedName name="Notes_24bs" localSheetId="64">#REF!</definedName>
    <definedName name="Notes_24bs" localSheetId="67">#REF!</definedName>
    <definedName name="Notes_24bs" localSheetId="65">#REF!</definedName>
    <definedName name="Notes_24bs" localSheetId="68">#REF!</definedName>
    <definedName name="Notes_24bs" localSheetId="71">#REF!</definedName>
    <definedName name="Notes_24bs" localSheetId="44">#REF!</definedName>
    <definedName name="Notes_24bs" localSheetId="45">#REF!</definedName>
    <definedName name="Notes_24bs" localSheetId="27">#REF!</definedName>
    <definedName name="Notes_24bs" localSheetId="28">#REF!</definedName>
    <definedName name="Notes_24bs" localSheetId="29">#REF!</definedName>
    <definedName name="Notes_24bs" localSheetId="66">#REF!</definedName>
    <definedName name="Notes_24bs">#REF!</definedName>
    <definedName name="Notes_25Bs" localSheetId="70">#REF!</definedName>
    <definedName name="Notes_25Bs" localSheetId="143">#REF!</definedName>
    <definedName name="Notes_25Bs" localSheetId="52">#REF!</definedName>
    <definedName name="Notes_25Bs" localSheetId="58">#REF!</definedName>
    <definedName name="Notes_25Bs" localSheetId="56">#REF!</definedName>
    <definedName name="Notes_25Bs" localSheetId="57">#REF!</definedName>
    <definedName name="Notes_25Bs" localSheetId="64">#REF!</definedName>
    <definedName name="Notes_25Bs" localSheetId="67">#REF!</definedName>
    <definedName name="Notes_25Bs" localSheetId="65">#REF!</definedName>
    <definedName name="Notes_25Bs" localSheetId="68">#REF!</definedName>
    <definedName name="Notes_25Bs" localSheetId="71">#REF!</definedName>
    <definedName name="Notes_25Bs" localSheetId="44">#REF!</definedName>
    <definedName name="Notes_25Bs" localSheetId="45">#REF!</definedName>
    <definedName name="Notes_25Bs" localSheetId="17">#REF!</definedName>
    <definedName name="Notes_25Bs" localSheetId="27">#REF!</definedName>
    <definedName name="Notes_25Bs" localSheetId="72">#REF!</definedName>
    <definedName name="Notes_25Bs" localSheetId="128">'[26]B&amp;S Group'!#REF!</definedName>
    <definedName name="Notes_25Bs" localSheetId="28">#REF!</definedName>
    <definedName name="Notes_25Bs" localSheetId="29">#REF!</definedName>
    <definedName name="Notes_25Bs" localSheetId="66">#REF!</definedName>
    <definedName name="Notes_25Bs">#REF!</definedName>
    <definedName name="notes_2bs." localSheetId="70">#REF!</definedName>
    <definedName name="notes_2bs." localSheetId="143">#REF!</definedName>
    <definedName name="notes_2bs." localSheetId="52">#REF!</definedName>
    <definedName name="notes_2bs." localSheetId="58">#REF!</definedName>
    <definedName name="notes_2bs." localSheetId="57">#REF!</definedName>
    <definedName name="notes_2bs." localSheetId="64">#REF!</definedName>
    <definedName name="notes_2bs." localSheetId="67">#REF!</definedName>
    <definedName name="notes_2bs." localSheetId="65">#REF!</definedName>
    <definedName name="notes_2bs." localSheetId="68">#REF!</definedName>
    <definedName name="notes_2bs." localSheetId="71">#REF!</definedName>
    <definedName name="notes_2bs." localSheetId="44">#REF!</definedName>
    <definedName name="notes_2bs." localSheetId="45">#REF!</definedName>
    <definedName name="notes_2bs." localSheetId="17">#REF!</definedName>
    <definedName name="notes_2bs." localSheetId="27">#REF!</definedName>
    <definedName name="notes_2bs." localSheetId="72">#REF!</definedName>
    <definedName name="notes_2bs." localSheetId="28">#REF!</definedName>
    <definedName name="notes_2bs." localSheetId="29">#REF!</definedName>
    <definedName name="notes_2bs." localSheetId="66">#REF!</definedName>
    <definedName name="notes_2bs.">#REF!</definedName>
    <definedName name="Notes_3bs" localSheetId="70">#REF!</definedName>
    <definedName name="Notes_3bs" localSheetId="143">#REF!</definedName>
    <definedName name="Notes_3bs" localSheetId="52">#REF!</definedName>
    <definedName name="Notes_3bs" localSheetId="58">#REF!</definedName>
    <definedName name="Notes_3bs" localSheetId="57">#REF!</definedName>
    <definedName name="Notes_3bs" localSheetId="64">#REF!</definedName>
    <definedName name="Notes_3bs" localSheetId="67">#REF!</definedName>
    <definedName name="Notes_3bs" localSheetId="65">#REF!</definedName>
    <definedName name="Notes_3bs" localSheetId="68">#REF!</definedName>
    <definedName name="Notes_3bs" localSheetId="71">#REF!</definedName>
    <definedName name="Notes_3bs" localSheetId="44">#REF!</definedName>
    <definedName name="Notes_3bs" localSheetId="45">#REF!</definedName>
    <definedName name="Notes_3bs" localSheetId="27">#REF!</definedName>
    <definedName name="Notes_3bs" localSheetId="28">#REF!</definedName>
    <definedName name="Notes_3bs" localSheetId="29">#REF!</definedName>
    <definedName name="Notes_3bs" localSheetId="66">#REF!</definedName>
    <definedName name="Notes_3bs">#REF!</definedName>
    <definedName name="Notes_4bs" localSheetId="70">#REF!</definedName>
    <definedName name="Notes_4bs" localSheetId="143">#REF!</definedName>
    <definedName name="Notes_4bs" localSheetId="52">#REF!</definedName>
    <definedName name="Notes_4bs" localSheetId="58">#REF!</definedName>
    <definedName name="Notes_4bs" localSheetId="57">#REF!</definedName>
    <definedName name="Notes_4bs" localSheetId="64">#REF!</definedName>
    <definedName name="Notes_4bs" localSheetId="67">#REF!</definedName>
    <definedName name="Notes_4bs" localSheetId="65">#REF!</definedName>
    <definedName name="Notes_4bs" localSheetId="68">#REF!</definedName>
    <definedName name="Notes_4bs" localSheetId="71">#REF!</definedName>
    <definedName name="Notes_4bs" localSheetId="44">#REF!</definedName>
    <definedName name="Notes_4bs" localSheetId="45">#REF!</definedName>
    <definedName name="Notes_4bs" localSheetId="27">#REF!</definedName>
    <definedName name="Notes_4bs" localSheetId="28">#REF!</definedName>
    <definedName name="Notes_4bs" localSheetId="29">#REF!</definedName>
    <definedName name="Notes_4bs" localSheetId="66">#REF!</definedName>
    <definedName name="Notes_4bs">#REF!</definedName>
    <definedName name="Notes_5bs" localSheetId="70">#REF!</definedName>
    <definedName name="Notes_5bs" localSheetId="143">#REF!</definedName>
    <definedName name="Notes_5bs" localSheetId="52">#REF!</definedName>
    <definedName name="Notes_5bs" localSheetId="58">#REF!</definedName>
    <definedName name="Notes_5bs" localSheetId="57">#REF!</definedName>
    <definedName name="Notes_5bs" localSheetId="64">#REF!</definedName>
    <definedName name="Notes_5bs" localSheetId="67">#REF!</definedName>
    <definedName name="Notes_5bs" localSheetId="65">#REF!</definedName>
    <definedName name="Notes_5bs" localSheetId="68">#REF!</definedName>
    <definedName name="Notes_5bs" localSheetId="71">#REF!</definedName>
    <definedName name="Notes_5bs" localSheetId="44">#REF!</definedName>
    <definedName name="Notes_5bs" localSheetId="45">#REF!</definedName>
    <definedName name="Notes_5bs" localSheetId="27">#REF!</definedName>
    <definedName name="Notes_5bs" localSheetId="28">#REF!</definedName>
    <definedName name="Notes_5bs" localSheetId="29">#REF!</definedName>
    <definedName name="Notes_5bs" localSheetId="66">#REF!</definedName>
    <definedName name="Notes_5bs">#REF!</definedName>
    <definedName name="Notes_6bs" localSheetId="70">#REF!</definedName>
    <definedName name="Notes_6bs" localSheetId="143">#REF!</definedName>
    <definedName name="Notes_6bs" localSheetId="52">#REF!</definedName>
    <definedName name="Notes_6bs" localSheetId="58">#REF!</definedName>
    <definedName name="Notes_6bs" localSheetId="57">#REF!</definedName>
    <definedName name="Notes_6bs" localSheetId="64">#REF!</definedName>
    <definedName name="Notes_6bs" localSheetId="67">#REF!</definedName>
    <definedName name="Notes_6bs" localSheetId="65">#REF!</definedName>
    <definedName name="Notes_6bs" localSheetId="68">#REF!</definedName>
    <definedName name="Notes_6bs" localSheetId="71">#REF!</definedName>
    <definedName name="Notes_6bs" localSheetId="44">#REF!</definedName>
    <definedName name="Notes_6bs" localSheetId="45">#REF!</definedName>
    <definedName name="Notes_6bs" localSheetId="27">#REF!</definedName>
    <definedName name="Notes_6bs" localSheetId="28">#REF!</definedName>
    <definedName name="Notes_6bs" localSheetId="29">#REF!</definedName>
    <definedName name="Notes_6bs" localSheetId="66">#REF!</definedName>
    <definedName name="Notes_6bs">#REF!</definedName>
    <definedName name="Notes_7bs" localSheetId="70">#REF!</definedName>
    <definedName name="Notes_7bs" localSheetId="143">#REF!</definedName>
    <definedName name="Notes_7bs" localSheetId="52">#REF!</definedName>
    <definedName name="Notes_7bs" localSheetId="58">#REF!</definedName>
    <definedName name="Notes_7bs" localSheetId="57">#REF!</definedName>
    <definedName name="Notes_7bs" localSheetId="64">#REF!</definedName>
    <definedName name="Notes_7bs" localSheetId="67">#REF!</definedName>
    <definedName name="Notes_7bs" localSheetId="65">#REF!</definedName>
    <definedName name="Notes_7bs" localSheetId="68">#REF!</definedName>
    <definedName name="Notes_7bs" localSheetId="71">#REF!</definedName>
    <definedName name="Notes_7bs" localSheetId="44">#REF!</definedName>
    <definedName name="Notes_7bs" localSheetId="45">#REF!</definedName>
    <definedName name="Notes_7bs" localSheetId="27">#REF!</definedName>
    <definedName name="Notes_7bs" localSheetId="28">#REF!</definedName>
    <definedName name="Notes_7bs" localSheetId="29">#REF!</definedName>
    <definedName name="Notes_7bs" localSheetId="66">#REF!</definedName>
    <definedName name="Notes_7bs">#REF!</definedName>
    <definedName name="Notes_8bs" localSheetId="70">#REF!</definedName>
    <definedName name="Notes_8bs" localSheetId="143">#REF!</definedName>
    <definedName name="Notes_8bs" localSheetId="52">#REF!</definedName>
    <definedName name="Notes_8bs" localSheetId="58">#REF!</definedName>
    <definedName name="Notes_8bs" localSheetId="57">#REF!</definedName>
    <definedName name="Notes_8bs" localSheetId="64">#REF!</definedName>
    <definedName name="Notes_8bs" localSheetId="67">#REF!</definedName>
    <definedName name="Notes_8bs" localSheetId="65">#REF!</definedName>
    <definedName name="Notes_8bs" localSheetId="68">#REF!</definedName>
    <definedName name="Notes_8bs" localSheetId="71">#REF!</definedName>
    <definedName name="Notes_8bs" localSheetId="44">#REF!</definedName>
    <definedName name="Notes_8bs" localSheetId="45">#REF!</definedName>
    <definedName name="Notes_8bs" localSheetId="27">#REF!</definedName>
    <definedName name="Notes_8bs" localSheetId="28">#REF!</definedName>
    <definedName name="Notes_8bs" localSheetId="29">#REF!</definedName>
    <definedName name="Notes_8bs" localSheetId="66">#REF!</definedName>
    <definedName name="Notes_8bs">#REF!</definedName>
    <definedName name="Notes_9bs" localSheetId="70">#REF!</definedName>
    <definedName name="Notes_9bs" localSheetId="143">#REF!</definedName>
    <definedName name="Notes_9bs" localSheetId="52">#REF!</definedName>
    <definedName name="Notes_9bs" localSheetId="58">#REF!</definedName>
    <definedName name="Notes_9bs" localSheetId="57">#REF!</definedName>
    <definedName name="Notes_9bs" localSheetId="64">#REF!</definedName>
    <definedName name="Notes_9bs" localSheetId="67">#REF!</definedName>
    <definedName name="Notes_9bs" localSheetId="65">#REF!</definedName>
    <definedName name="Notes_9bs" localSheetId="68">#REF!</definedName>
    <definedName name="Notes_9bs" localSheetId="71">#REF!</definedName>
    <definedName name="Notes_9bs" localSheetId="44">#REF!</definedName>
    <definedName name="Notes_9bs" localSheetId="45">#REF!</definedName>
    <definedName name="Notes_9bs" localSheetId="27">#REF!</definedName>
    <definedName name="Notes_9bs" localSheetId="28">#REF!</definedName>
    <definedName name="Notes_9bs" localSheetId="29">#REF!</definedName>
    <definedName name="Notes_9bs" localSheetId="66">#REF!</definedName>
    <definedName name="Notes_9bs">#REF!</definedName>
    <definedName name="Notes2.bs" localSheetId="70">#REF!</definedName>
    <definedName name="Notes2.bs" localSheetId="143">#REF!</definedName>
    <definedName name="Notes2.bs" localSheetId="52">#REF!</definedName>
    <definedName name="Notes2.bs" localSheetId="58">#REF!</definedName>
    <definedName name="Notes2.bs" localSheetId="57">#REF!</definedName>
    <definedName name="Notes2.bs" localSheetId="64">#REF!</definedName>
    <definedName name="Notes2.bs" localSheetId="67">#REF!</definedName>
    <definedName name="Notes2.bs" localSheetId="65">#REF!</definedName>
    <definedName name="Notes2.bs" localSheetId="68">#REF!</definedName>
    <definedName name="Notes2.bs" localSheetId="71">#REF!</definedName>
    <definedName name="Notes2.bs" localSheetId="44">#REF!</definedName>
    <definedName name="Notes2.bs" localSheetId="45">#REF!</definedName>
    <definedName name="Notes2.bs" localSheetId="27">#REF!</definedName>
    <definedName name="Notes2.bs" localSheetId="28">#REF!</definedName>
    <definedName name="Notes2.bs" localSheetId="29">#REF!</definedName>
    <definedName name="Notes2.bs" localSheetId="66">#REF!</definedName>
    <definedName name="Notes2.bs">#REF!</definedName>
    <definedName name="nwjehfi">'[12]B_S Group'!$H$103</definedName>
    <definedName name="o" localSheetId="140" hidden="1">{"'Sheet1'!$L$16"}</definedName>
    <definedName name="o" localSheetId="58" hidden="1">{"'Sheet1'!$L$16"}</definedName>
    <definedName name="o" localSheetId="56" hidden="1">{"'Sheet1'!$L$16"}</definedName>
    <definedName name="o" localSheetId="57" hidden="1">{"'Sheet1'!$L$16"}</definedName>
    <definedName name="o" localSheetId="67" hidden="1">{"'Sheet1'!$L$16"}</definedName>
    <definedName name="o" localSheetId="65" hidden="1">{"'Sheet1'!$L$16"}</definedName>
    <definedName name="o" localSheetId="68" hidden="1">{"'Sheet1'!$L$16"}</definedName>
    <definedName name="o" localSheetId="71" hidden="1">{"'Sheet1'!$L$16"}</definedName>
    <definedName name="o" localSheetId="17" hidden="1">{"'Sheet1'!$L$16"}</definedName>
    <definedName name="o" localSheetId="27" hidden="1">{"'Sheet1'!$L$16"}</definedName>
    <definedName name="o" localSheetId="72" hidden="1">{"'Sheet1'!$L$16"}</definedName>
    <definedName name="o" localSheetId="28" hidden="1">{"'Sheet1'!$L$16"}</definedName>
    <definedName name="o" localSheetId="29" hidden="1">{"'Sheet1'!$L$16"}</definedName>
    <definedName name="o" hidden="1">{"'Sheet1'!$L$16"}</definedName>
    <definedName name="O_SCOPE_DATA" localSheetId="70">#REF!</definedName>
    <definedName name="O_SCOPE_DATA" localSheetId="52">#REF!</definedName>
    <definedName name="O_SCOPE_DATA" localSheetId="58">#REF!</definedName>
    <definedName name="O_SCOPE_DATA" localSheetId="57">#REF!</definedName>
    <definedName name="O_SCOPE_DATA" localSheetId="64">#REF!</definedName>
    <definedName name="O_SCOPE_DATA" localSheetId="67">#REF!</definedName>
    <definedName name="O_SCOPE_DATA" localSheetId="65">#REF!</definedName>
    <definedName name="O_SCOPE_DATA" localSheetId="68">#REF!</definedName>
    <definedName name="O_SCOPE_DATA" localSheetId="71">#REF!</definedName>
    <definedName name="O_SCOPE_DATA" localSheetId="44">#REF!</definedName>
    <definedName name="O_SCOPE_DATA" localSheetId="45">#REF!</definedName>
    <definedName name="O_SCOPE_DATA" localSheetId="27">#REF!</definedName>
    <definedName name="O_SCOPE_DATA" localSheetId="28">#REF!</definedName>
    <definedName name="O_SCOPE_DATA" localSheetId="29">#REF!</definedName>
    <definedName name="O_SCOPE_DATA" localSheetId="66">#REF!</definedName>
    <definedName name="O_SCOPE_DATA">#REF!</definedName>
    <definedName name="OFFICE.EQUIP_ES_TA" localSheetId="70">#REF!</definedName>
    <definedName name="OFFICE.EQUIP_ES_TA" localSheetId="143">#REF!</definedName>
    <definedName name="OFFICE.EQUIP_ES_TA" localSheetId="52">#REF!</definedName>
    <definedName name="OFFICE.EQUIP_ES_TA" localSheetId="58">#REF!</definedName>
    <definedName name="OFFICE.EQUIP_ES_TA" localSheetId="57">#REF!</definedName>
    <definedName name="OFFICE.EQUIP_ES_TA" localSheetId="64">#REF!</definedName>
    <definedName name="OFFICE.EQUIP_ES_TA" localSheetId="67">#REF!</definedName>
    <definedName name="OFFICE.EQUIP_ES_TA" localSheetId="65">#REF!</definedName>
    <definedName name="OFFICE.EQUIP_ES_TA" localSheetId="68">#REF!</definedName>
    <definedName name="OFFICE.EQUIP_ES_TA" localSheetId="71">#REF!</definedName>
    <definedName name="OFFICE.EQUIP_ES_TA" localSheetId="44">#REF!</definedName>
    <definedName name="OFFICE.EQUIP_ES_TA" localSheetId="45">#REF!</definedName>
    <definedName name="OFFICE.EQUIP_ES_TA" localSheetId="27">#REF!</definedName>
    <definedName name="OFFICE.EQUIP_ES_TA" localSheetId="28">#REF!</definedName>
    <definedName name="OFFICE.EQUIP_ES_TA" localSheetId="29">#REF!</definedName>
    <definedName name="OFFICE.EQUIP_ES_TA" localSheetId="66">#REF!</definedName>
    <definedName name="OFFICE.EQUIP_ES_TA">#REF!</definedName>
    <definedName name="OFFICE.EQUIP_ES_TD" localSheetId="70">#REF!</definedName>
    <definedName name="OFFICE.EQUIP_ES_TD" localSheetId="143">#REF!</definedName>
    <definedName name="OFFICE.EQUIP_ES_TD" localSheetId="52">#REF!</definedName>
    <definedName name="OFFICE.EQUIP_ES_TD" localSheetId="58">#REF!</definedName>
    <definedName name="OFFICE.EQUIP_ES_TD" localSheetId="56">#REF!</definedName>
    <definedName name="OFFICE.EQUIP_ES_TD" localSheetId="57">#REF!</definedName>
    <definedName name="OFFICE.EQUIP_ES_TD" localSheetId="64">#REF!</definedName>
    <definedName name="OFFICE.EQUIP_ES_TD" localSheetId="67">#REF!</definedName>
    <definedName name="OFFICE.EQUIP_ES_TD" localSheetId="65">#REF!</definedName>
    <definedName name="OFFICE.EQUIP_ES_TD" localSheetId="68">#REF!</definedName>
    <definedName name="OFFICE.EQUIP_ES_TD" localSheetId="71">#REF!</definedName>
    <definedName name="OFFICE.EQUIP_ES_TD" localSheetId="44">#REF!</definedName>
    <definedName name="OFFICE.EQUIP_ES_TD" localSheetId="45">#REF!</definedName>
    <definedName name="OFFICE.EQUIP_ES_TD" localSheetId="17">#REF!</definedName>
    <definedName name="OFFICE.EQUIP_ES_TD" localSheetId="27">#REF!</definedName>
    <definedName name="OFFICE.EQUIP_ES_TD" localSheetId="128">'[26]90% Write off'!#REF!</definedName>
    <definedName name="OFFICE.EQUIP_ES_TD" localSheetId="28">#REF!</definedName>
    <definedName name="OFFICE.EQUIP_ES_TD" localSheetId="29">#REF!</definedName>
    <definedName name="OFFICE.EQUIP_ES_TD" localSheetId="66">#REF!</definedName>
    <definedName name="OFFICE.EQUIP_ES_TD">#REF!</definedName>
    <definedName name="Olklkk" localSheetId="70">#REF!</definedName>
    <definedName name="Olklkk" localSheetId="52">#REF!</definedName>
    <definedName name="Olklkk" localSheetId="58">#REF!</definedName>
    <definedName name="Olklkk" localSheetId="57">#REF!</definedName>
    <definedName name="Olklkk" localSheetId="64">#REF!</definedName>
    <definedName name="Olklkk" localSheetId="67">#REF!</definedName>
    <definedName name="Olklkk" localSheetId="65">#REF!</definedName>
    <definedName name="Olklkk" localSheetId="68">#REF!</definedName>
    <definedName name="Olklkk" localSheetId="71">#REF!</definedName>
    <definedName name="Olklkk" localSheetId="44">#REF!</definedName>
    <definedName name="Olklkk" localSheetId="45">#REF!</definedName>
    <definedName name="Olklkk" localSheetId="48">#REF!</definedName>
    <definedName name="Olklkk" localSheetId="17">#REF!</definedName>
    <definedName name="Olklkk" localSheetId="27">#REF!</definedName>
    <definedName name="Olklkk" localSheetId="72">#REF!</definedName>
    <definedName name="Olklkk" localSheetId="28">#REF!</definedName>
    <definedName name="Olklkk" localSheetId="29">#REF!</definedName>
    <definedName name="Olklkk" localSheetId="66">#REF!</definedName>
    <definedName name="Olklkk">#REF!</definedName>
    <definedName name="P" localSheetId="70">#REF!</definedName>
    <definedName name="P" localSheetId="52">#REF!</definedName>
    <definedName name="P" localSheetId="58">#REF!</definedName>
    <definedName name="P" localSheetId="57">#REF!</definedName>
    <definedName name="P" localSheetId="64">#REF!</definedName>
    <definedName name="P" localSheetId="67">#REF!</definedName>
    <definedName name="P" localSheetId="65">#REF!</definedName>
    <definedName name="P" localSheetId="68">#REF!</definedName>
    <definedName name="P" localSheetId="71">#REF!</definedName>
    <definedName name="P" localSheetId="44">#REF!</definedName>
    <definedName name="P" localSheetId="45">#REF!</definedName>
    <definedName name="P" localSheetId="27">#REF!</definedName>
    <definedName name="P" localSheetId="28">#REF!</definedName>
    <definedName name="P" localSheetId="29">#REF!</definedName>
    <definedName name="P" localSheetId="66">#REF!</definedName>
    <definedName name="P">#REF!</definedName>
    <definedName name="P.C._ES_TA" localSheetId="70">#REF!</definedName>
    <definedName name="P.C._ES_TA" localSheetId="143">#REF!</definedName>
    <definedName name="P.C._ES_TA" localSheetId="52">#REF!</definedName>
    <definedName name="P.C._ES_TA" localSheetId="58">#REF!</definedName>
    <definedName name="P.C._ES_TA" localSheetId="57">#REF!</definedName>
    <definedName name="P.C._ES_TA" localSheetId="64">#REF!</definedName>
    <definedName name="P.C._ES_TA" localSheetId="67">#REF!</definedName>
    <definedName name="P.C._ES_TA" localSheetId="65">#REF!</definedName>
    <definedName name="P.C._ES_TA" localSheetId="68">#REF!</definedName>
    <definedName name="P.C._ES_TA" localSheetId="71">#REF!</definedName>
    <definedName name="P.C._ES_TA" localSheetId="44">#REF!</definedName>
    <definedName name="P.C._ES_TA" localSheetId="45">#REF!</definedName>
    <definedName name="P.C._ES_TA" localSheetId="27">#REF!</definedName>
    <definedName name="P.C._ES_TA" localSheetId="28">#REF!</definedName>
    <definedName name="P.C._ES_TA" localSheetId="29">#REF!</definedName>
    <definedName name="P.C._ES_TA" localSheetId="66">#REF!</definedName>
    <definedName name="P.C._ES_TA">#REF!</definedName>
    <definedName name="P.C._ES_TD" localSheetId="70">#REF!</definedName>
    <definedName name="P.C._ES_TD" localSheetId="143">#REF!</definedName>
    <definedName name="P.C._ES_TD" localSheetId="52">#REF!</definedName>
    <definedName name="P.C._ES_TD" localSheetId="58">#REF!</definedName>
    <definedName name="P.C._ES_TD" localSheetId="56">#REF!</definedName>
    <definedName name="P.C._ES_TD" localSheetId="57">#REF!</definedName>
    <definedName name="P.C._ES_TD" localSheetId="64">#REF!</definedName>
    <definedName name="P.C._ES_TD" localSheetId="67">#REF!</definedName>
    <definedName name="P.C._ES_TD" localSheetId="65">#REF!</definedName>
    <definedName name="P.C._ES_TD" localSheetId="68">#REF!</definedName>
    <definedName name="P.C._ES_TD" localSheetId="71">#REF!</definedName>
    <definedName name="P.C._ES_TD" localSheetId="44">#REF!</definedName>
    <definedName name="P.C._ES_TD" localSheetId="45">#REF!</definedName>
    <definedName name="P.C._ES_TD" localSheetId="17">#REF!</definedName>
    <definedName name="P.C._ES_TD" localSheetId="27">#REF!</definedName>
    <definedName name="P.C._ES_TD" localSheetId="128">'[26]90% Write off'!#REF!</definedName>
    <definedName name="P.C._ES_TD" localSheetId="28">#REF!</definedName>
    <definedName name="P.C._ES_TD" localSheetId="29">#REF!</definedName>
    <definedName name="P.C._ES_TD" localSheetId="66">#REF!</definedName>
    <definedName name="P.C._ES_TD">#REF!</definedName>
    <definedName name="P1_">#N/A</definedName>
    <definedName name="P10_">#N/A</definedName>
    <definedName name="P11_">#N/A</definedName>
    <definedName name="P12_">#N/A</definedName>
    <definedName name="P13_">#N/A</definedName>
    <definedName name="P14_">#N/A</definedName>
    <definedName name="P15_">#N/A</definedName>
    <definedName name="P16_">#N/A</definedName>
    <definedName name="P17_">#N/A</definedName>
    <definedName name="P2_">#N/A</definedName>
    <definedName name="P3_">#N/A</definedName>
    <definedName name="P4_">#N/A</definedName>
    <definedName name="P5_">#N/A</definedName>
    <definedName name="P6_">#N/A</definedName>
    <definedName name="P7_">#N/A</definedName>
    <definedName name="P8_">#N/A</definedName>
    <definedName name="P9_">#N/A</definedName>
    <definedName name="PAGE_1">NA()</definedName>
    <definedName name="page1" localSheetId="70">#REF!</definedName>
    <definedName name="page1" localSheetId="52">#REF!</definedName>
    <definedName name="page1" localSheetId="58">#REF!</definedName>
    <definedName name="page1" localSheetId="56">#REF!</definedName>
    <definedName name="page1" localSheetId="57">#REF!</definedName>
    <definedName name="page1" localSheetId="64">#REF!</definedName>
    <definedName name="page1" localSheetId="67">#REF!</definedName>
    <definedName name="page1" localSheetId="65">#REF!</definedName>
    <definedName name="page1" localSheetId="68">#REF!</definedName>
    <definedName name="page1" localSheetId="71">#REF!</definedName>
    <definedName name="page1" localSheetId="44">#REF!</definedName>
    <definedName name="page1" localSheetId="45">#REF!</definedName>
    <definedName name="page1" localSheetId="17">#REF!</definedName>
    <definedName name="page1" localSheetId="27">#REF!</definedName>
    <definedName name="page1" localSheetId="72">#REF!</definedName>
    <definedName name="page1" localSheetId="28">#REF!</definedName>
    <definedName name="page1" localSheetId="29">#REF!</definedName>
    <definedName name="page1" localSheetId="66">#REF!</definedName>
    <definedName name="page1">#REF!</definedName>
    <definedName name="PAGE11">#N/A</definedName>
    <definedName name="PAGE12">#N/A</definedName>
    <definedName name="page2" localSheetId="70">#REF!</definedName>
    <definedName name="page2" localSheetId="52">#REF!</definedName>
    <definedName name="page2" localSheetId="58">#REF!</definedName>
    <definedName name="page2" localSheetId="56">#REF!</definedName>
    <definedName name="page2" localSheetId="57">#REF!</definedName>
    <definedName name="page2" localSheetId="64">#REF!</definedName>
    <definedName name="page2" localSheetId="67">#REF!</definedName>
    <definedName name="page2" localSheetId="65">#REF!</definedName>
    <definedName name="page2" localSheetId="68">#REF!</definedName>
    <definedName name="page2" localSheetId="71">#REF!</definedName>
    <definedName name="page2" localSheetId="44">#REF!</definedName>
    <definedName name="page2" localSheetId="45">#REF!</definedName>
    <definedName name="page2" localSheetId="17">#REF!</definedName>
    <definedName name="page2" localSheetId="27">#REF!</definedName>
    <definedName name="page2" localSheetId="72">#REF!</definedName>
    <definedName name="page2" localSheetId="28">#REF!</definedName>
    <definedName name="page2" localSheetId="29">#REF!</definedName>
    <definedName name="page2" localSheetId="66">#REF!</definedName>
    <definedName name="page2">#REF!</definedName>
    <definedName name="PAGE21">#N/A</definedName>
    <definedName name="PAGE22">#N/A</definedName>
    <definedName name="page3" localSheetId="70">#REF!</definedName>
    <definedName name="page3" localSheetId="52">#REF!</definedName>
    <definedName name="page3" localSheetId="58">#REF!</definedName>
    <definedName name="page3" localSheetId="56">#REF!</definedName>
    <definedName name="page3" localSheetId="57">#REF!</definedName>
    <definedName name="page3" localSheetId="64">#REF!</definedName>
    <definedName name="page3" localSheetId="67">#REF!</definedName>
    <definedName name="page3" localSheetId="65">#REF!</definedName>
    <definedName name="page3" localSheetId="68">#REF!</definedName>
    <definedName name="page3" localSheetId="71">#REF!</definedName>
    <definedName name="page3" localSheetId="44">#REF!</definedName>
    <definedName name="page3" localSheetId="45">#REF!</definedName>
    <definedName name="page3" localSheetId="17">#REF!</definedName>
    <definedName name="page3" localSheetId="27">#REF!</definedName>
    <definedName name="page3" localSheetId="72">#REF!</definedName>
    <definedName name="page3" localSheetId="28">#REF!</definedName>
    <definedName name="page3" localSheetId="29">#REF!</definedName>
    <definedName name="page3" localSheetId="66">#REF!</definedName>
    <definedName name="page3">#REF!</definedName>
    <definedName name="PAGE31">#N/A</definedName>
    <definedName name="PAGE32">#N/A</definedName>
    <definedName name="PAGE41">#N/A</definedName>
    <definedName name="PAGE42">#N/A</definedName>
    <definedName name="PART" localSheetId="70">'[13]해외 기술훈련비 (합계)'!#REF!</definedName>
    <definedName name="PART" localSheetId="52">'[13]해외 기술훈련비 (합계)'!#REF!</definedName>
    <definedName name="PART" localSheetId="58">'[13]해외 기술훈련비 (합계)'!#REF!</definedName>
    <definedName name="PART" localSheetId="56">'[13]해외 기술훈련비 (합계)'!#REF!</definedName>
    <definedName name="PART" localSheetId="57">'[13]해외 기술훈련비 (합계)'!#REF!</definedName>
    <definedName name="PART" localSheetId="64">'[13]해외 기술훈련비 (합계)'!#REF!</definedName>
    <definedName name="PART" localSheetId="67">'[13]해외 기술훈련비 (합계)'!#REF!</definedName>
    <definedName name="PART" localSheetId="65">'[13]해외 기술훈련비 (합계)'!#REF!</definedName>
    <definedName name="PART" localSheetId="68">'[13]해외 기술훈련비 (합계)'!#REF!</definedName>
    <definedName name="PART" localSheetId="71">'[13]해외 기술훈련비 (합계)'!#REF!</definedName>
    <definedName name="PART" localSheetId="44">'[13]해외 기술훈련비 (합계)'!#REF!</definedName>
    <definedName name="PART" localSheetId="45">'[13]해외 기술훈련비 (합계)'!#REF!</definedName>
    <definedName name="PART" localSheetId="17">'[13]해외 기술훈련비 (합계)'!#REF!</definedName>
    <definedName name="PART" localSheetId="27">'[13]해외 기술훈련비 (합계)'!#REF!</definedName>
    <definedName name="PART" localSheetId="72">'[13]해외 기술훈련비 (합계)'!#REF!</definedName>
    <definedName name="PART" localSheetId="28">'[13]해외 기술훈련비 (합계)'!#REF!</definedName>
    <definedName name="PART" localSheetId="29">'[13]해외 기술훈련비 (합계)'!#REF!</definedName>
    <definedName name="PART" localSheetId="66">'[13]해외 기술훈련비 (합계)'!#REF!</definedName>
    <definedName name="PART">'[13]해외 기술훈련비 (합계)'!#REF!</definedName>
    <definedName name="PART_NO">#N/A</definedName>
    <definedName name="PC">#N/A</definedName>
    <definedName name="PC_GEN_TA" localSheetId="70">#REF!</definedName>
    <definedName name="PC_GEN_TA" localSheetId="143">#REF!</definedName>
    <definedName name="PC_GEN_TA" localSheetId="52">#REF!</definedName>
    <definedName name="PC_GEN_TA" localSheetId="58">#REF!</definedName>
    <definedName name="PC_GEN_TA" localSheetId="57">#REF!</definedName>
    <definedName name="PC_GEN_TA" localSheetId="64">#REF!</definedName>
    <definedName name="PC_GEN_TA" localSheetId="67">#REF!</definedName>
    <definedName name="PC_GEN_TA" localSheetId="65">#REF!</definedName>
    <definedName name="PC_GEN_TA" localSheetId="68">#REF!</definedName>
    <definedName name="PC_GEN_TA" localSheetId="71">#REF!</definedName>
    <definedName name="PC_GEN_TA" localSheetId="44">#REF!</definedName>
    <definedName name="PC_GEN_TA" localSheetId="45">#REF!</definedName>
    <definedName name="PC_GEN_TA" localSheetId="17">#REF!</definedName>
    <definedName name="PC_GEN_TA" localSheetId="27">#REF!</definedName>
    <definedName name="PC_GEN_TA" localSheetId="72">#REF!</definedName>
    <definedName name="PC_GEN_TA" localSheetId="28">#REF!</definedName>
    <definedName name="PC_GEN_TA" localSheetId="29">#REF!</definedName>
    <definedName name="PC_GEN_TA" localSheetId="66">#REF!</definedName>
    <definedName name="PC_GEN_TA">#REF!</definedName>
    <definedName name="PC_GEN_TD" localSheetId="70">#REF!</definedName>
    <definedName name="PC_GEN_TD" localSheetId="143">#REF!</definedName>
    <definedName name="PC_GEN_TD" localSheetId="52">#REF!</definedName>
    <definedName name="PC_GEN_TD" localSheetId="58">#REF!</definedName>
    <definedName name="PC_GEN_TD" localSheetId="56">#REF!</definedName>
    <definedName name="PC_GEN_TD" localSheetId="57">#REF!</definedName>
    <definedName name="PC_GEN_TD" localSheetId="64">#REF!</definedName>
    <definedName name="PC_GEN_TD" localSheetId="67">#REF!</definedName>
    <definedName name="PC_GEN_TD" localSheetId="65">#REF!</definedName>
    <definedName name="PC_GEN_TD" localSheetId="68">#REF!</definedName>
    <definedName name="PC_GEN_TD" localSheetId="71">#REF!</definedName>
    <definedName name="PC_GEN_TD" localSheetId="44">#REF!</definedName>
    <definedName name="PC_GEN_TD" localSheetId="45">#REF!</definedName>
    <definedName name="PC_GEN_TD" localSheetId="17">#REF!</definedName>
    <definedName name="PC_GEN_TD" localSheetId="27">#REF!</definedName>
    <definedName name="PC_GEN_TD" localSheetId="72">#REF!</definedName>
    <definedName name="PC_GEN_TD" localSheetId="128">'[26]90% Write off'!#REF!</definedName>
    <definedName name="PC_GEN_TD" localSheetId="28">#REF!</definedName>
    <definedName name="PC_GEN_TD" localSheetId="29">#REF!</definedName>
    <definedName name="PC_GEN_TD" localSheetId="66">#REF!</definedName>
    <definedName name="PC_GEN_TD">#REF!</definedName>
    <definedName name="PCL">#N/A</definedName>
    <definedName name="PCN" localSheetId="70">#REF!</definedName>
    <definedName name="PCN" localSheetId="52">#REF!</definedName>
    <definedName name="PCN" localSheetId="58">#REF!</definedName>
    <definedName name="PCN" localSheetId="56">#REF!</definedName>
    <definedName name="PCN" localSheetId="57">#REF!</definedName>
    <definedName name="PCN" localSheetId="64">#REF!</definedName>
    <definedName name="PCN" localSheetId="67">#REF!</definedName>
    <definedName name="PCN" localSheetId="65">#REF!</definedName>
    <definedName name="PCN" localSheetId="68">#REF!</definedName>
    <definedName name="PCN" localSheetId="71">#REF!</definedName>
    <definedName name="PCN" localSheetId="44">#REF!</definedName>
    <definedName name="PCN" localSheetId="45">#REF!</definedName>
    <definedName name="PCN" localSheetId="17">#REF!</definedName>
    <definedName name="PCN" localSheetId="27">#REF!</definedName>
    <definedName name="PCN" localSheetId="72">#REF!</definedName>
    <definedName name="PCN" localSheetId="28">#REF!</definedName>
    <definedName name="PCN" localSheetId="29">#REF!</definedName>
    <definedName name="PCN" localSheetId="66">#REF!</definedName>
    <definedName name="PCN">#REF!</definedName>
    <definedName name="PCNO" localSheetId="70">#REF!</definedName>
    <definedName name="PCNO" localSheetId="52">#REF!</definedName>
    <definedName name="PCNO" localSheetId="58">#REF!</definedName>
    <definedName name="PCNO" localSheetId="57">#REF!</definedName>
    <definedName name="PCNO" localSheetId="64">#REF!</definedName>
    <definedName name="PCNO" localSheetId="67">#REF!</definedName>
    <definedName name="PCNO" localSheetId="65">#REF!</definedName>
    <definedName name="PCNO" localSheetId="68">#REF!</definedName>
    <definedName name="PCNO" localSheetId="71">#REF!</definedName>
    <definedName name="PCNO" localSheetId="44">#REF!</definedName>
    <definedName name="PCNO" localSheetId="45">#REF!</definedName>
    <definedName name="PCNO" localSheetId="17">#REF!</definedName>
    <definedName name="PCNO" localSheetId="27">#REF!</definedName>
    <definedName name="PCNO" localSheetId="72">#REF!</definedName>
    <definedName name="PCNO" localSheetId="28">#REF!</definedName>
    <definedName name="PCNO" localSheetId="29">#REF!</definedName>
    <definedName name="PCNO" localSheetId="66">#REF!</definedName>
    <definedName name="PCNO">#REF!</definedName>
    <definedName name="PCNO1" localSheetId="70">#REF!</definedName>
    <definedName name="PCNO1" localSheetId="52">#REF!</definedName>
    <definedName name="PCNO1" localSheetId="58">#REF!</definedName>
    <definedName name="PCNO1" localSheetId="57">#REF!</definedName>
    <definedName name="PCNO1" localSheetId="64">#REF!</definedName>
    <definedName name="PCNO1" localSheetId="67">#REF!</definedName>
    <definedName name="PCNO1" localSheetId="65">#REF!</definedName>
    <definedName name="PCNO1" localSheetId="68">#REF!</definedName>
    <definedName name="PCNO1" localSheetId="71">#REF!</definedName>
    <definedName name="PCNO1" localSheetId="44">#REF!</definedName>
    <definedName name="PCNO1" localSheetId="45">#REF!</definedName>
    <definedName name="PCNO1" localSheetId="17">#REF!</definedName>
    <definedName name="PCNO1" localSheetId="27">#REF!</definedName>
    <definedName name="PCNO1" localSheetId="72">#REF!</definedName>
    <definedName name="PCNO1" localSheetId="28">#REF!</definedName>
    <definedName name="PCNO1" localSheetId="29">#REF!</definedName>
    <definedName name="PCNO1" localSheetId="66">#REF!</definedName>
    <definedName name="PCNO1">#REF!</definedName>
    <definedName name="pcraig1" localSheetId="70">#REF!</definedName>
    <definedName name="pcraig1" localSheetId="52">#REF!</definedName>
    <definedName name="pcraig1" localSheetId="58">#REF!</definedName>
    <definedName name="pcraig1" localSheetId="57">#REF!</definedName>
    <definedName name="pcraig1" localSheetId="64">#REF!</definedName>
    <definedName name="pcraig1" localSheetId="67">#REF!</definedName>
    <definedName name="pcraig1" localSheetId="65">#REF!</definedName>
    <definedName name="pcraig1" localSheetId="68">#REF!</definedName>
    <definedName name="pcraig1" localSheetId="71">#REF!</definedName>
    <definedName name="pcraig1" localSheetId="44">#REF!</definedName>
    <definedName name="pcraig1" localSheetId="45">#REF!</definedName>
    <definedName name="pcraig1" localSheetId="27">#REF!</definedName>
    <definedName name="pcraig1" localSheetId="28">#REF!</definedName>
    <definedName name="pcraig1" localSheetId="29">#REF!</definedName>
    <definedName name="pcraig1" localSheetId="66">#REF!</definedName>
    <definedName name="pcraig1">#REF!</definedName>
    <definedName name="PIN">#N/A</definedName>
    <definedName name="PIPE" localSheetId="70">#REF!</definedName>
    <definedName name="PIPE" localSheetId="52">#REF!</definedName>
    <definedName name="PIPE" localSheetId="58">#REF!</definedName>
    <definedName name="PIPE" localSheetId="56">#REF!</definedName>
    <definedName name="PIPE" localSheetId="57">#REF!</definedName>
    <definedName name="PIPE" localSheetId="64">#REF!</definedName>
    <definedName name="PIPE" localSheetId="67">#REF!</definedName>
    <definedName name="PIPE" localSheetId="65">#REF!</definedName>
    <definedName name="PIPE" localSheetId="68">#REF!</definedName>
    <definedName name="PIPE" localSheetId="71">#REF!</definedName>
    <definedName name="PIPE" localSheetId="44">#REF!</definedName>
    <definedName name="PIPE" localSheetId="45">#REF!</definedName>
    <definedName name="PIPE" localSheetId="17">#REF!</definedName>
    <definedName name="PIPE" localSheetId="27">#REF!</definedName>
    <definedName name="PIPE" localSheetId="72">#REF!</definedName>
    <definedName name="PIPE" localSheetId="28">#REF!</definedName>
    <definedName name="PIPE" localSheetId="29">#REF!</definedName>
    <definedName name="PIPE" localSheetId="66">#REF!</definedName>
    <definedName name="PIPE">#REF!</definedName>
    <definedName name="PJT">#N/A</definedName>
    <definedName name="PKS" localSheetId="70">#REF!</definedName>
    <definedName name="PKS" localSheetId="52">#REF!</definedName>
    <definedName name="PKS" localSheetId="58">#REF!</definedName>
    <definedName name="PKS" localSheetId="56">#REF!</definedName>
    <definedName name="PKS" localSheetId="57">#REF!</definedName>
    <definedName name="PKS" localSheetId="64">#REF!</definedName>
    <definedName name="PKS" localSheetId="67">#REF!</definedName>
    <definedName name="PKS" localSheetId="65">#REF!</definedName>
    <definedName name="PKS" localSheetId="68">#REF!</definedName>
    <definedName name="PKS" localSheetId="71">#REF!</definedName>
    <definedName name="PKS" localSheetId="44">#REF!</definedName>
    <definedName name="PKS" localSheetId="45">#REF!</definedName>
    <definedName name="PKS" localSheetId="17">#REF!</definedName>
    <definedName name="PKS" localSheetId="27">#REF!</definedName>
    <definedName name="PKS" localSheetId="72">#REF!</definedName>
    <definedName name="PKS" localSheetId="28">#REF!</definedName>
    <definedName name="PKS" localSheetId="29">#REF!</definedName>
    <definedName name="PKS" localSheetId="66">#REF!</definedName>
    <definedName name="PKS">#REF!</definedName>
    <definedName name="PLANT_GEN_TA" localSheetId="70">#REF!</definedName>
    <definedName name="PLANT_GEN_TA" localSheetId="143">#REF!</definedName>
    <definedName name="PLANT_GEN_TA" localSheetId="52">#REF!</definedName>
    <definedName name="PLANT_GEN_TA" localSheetId="58">#REF!</definedName>
    <definedName name="PLANT_GEN_TA" localSheetId="57">#REF!</definedName>
    <definedName name="PLANT_GEN_TA" localSheetId="64">#REF!</definedName>
    <definedName name="PLANT_GEN_TA" localSheetId="67">#REF!</definedName>
    <definedName name="PLANT_GEN_TA" localSheetId="65">#REF!</definedName>
    <definedName name="PLANT_GEN_TA" localSheetId="68">#REF!</definedName>
    <definedName name="PLANT_GEN_TA" localSheetId="71">#REF!</definedName>
    <definedName name="PLANT_GEN_TA" localSheetId="44">#REF!</definedName>
    <definedName name="PLANT_GEN_TA" localSheetId="45">#REF!</definedName>
    <definedName name="PLANT_GEN_TA" localSheetId="17">#REF!</definedName>
    <definedName name="PLANT_GEN_TA" localSheetId="27">#REF!</definedName>
    <definedName name="PLANT_GEN_TA" localSheetId="72">#REF!</definedName>
    <definedName name="PLANT_GEN_TA" localSheetId="28">#REF!</definedName>
    <definedName name="PLANT_GEN_TA" localSheetId="29">#REF!</definedName>
    <definedName name="PLANT_GEN_TA" localSheetId="66">#REF!</definedName>
    <definedName name="PLANT_GEN_TA">#REF!</definedName>
    <definedName name="PLANT_GEN_TD" localSheetId="70">#REF!</definedName>
    <definedName name="PLANT_GEN_TD" localSheetId="143">#REF!</definedName>
    <definedName name="PLANT_GEN_TD" localSheetId="52">#REF!</definedName>
    <definedName name="PLANT_GEN_TD" localSheetId="58">#REF!</definedName>
    <definedName name="PLANT_GEN_TD" localSheetId="56">#REF!</definedName>
    <definedName name="PLANT_GEN_TD" localSheetId="57">#REF!</definedName>
    <definedName name="PLANT_GEN_TD" localSheetId="64">#REF!</definedName>
    <definedName name="PLANT_GEN_TD" localSheetId="67">#REF!</definedName>
    <definedName name="PLANT_GEN_TD" localSheetId="65">#REF!</definedName>
    <definedName name="PLANT_GEN_TD" localSheetId="68">#REF!</definedName>
    <definedName name="PLANT_GEN_TD" localSheetId="71">#REF!</definedName>
    <definedName name="PLANT_GEN_TD" localSheetId="44">#REF!</definedName>
    <definedName name="PLANT_GEN_TD" localSheetId="45">#REF!</definedName>
    <definedName name="PLANT_GEN_TD" localSheetId="17">#REF!</definedName>
    <definedName name="PLANT_GEN_TD" localSheetId="27">#REF!</definedName>
    <definedName name="PLANT_GEN_TD" localSheetId="128">'[26]90% Write off'!#REF!</definedName>
    <definedName name="PLANT_GEN_TD" localSheetId="28">#REF!</definedName>
    <definedName name="PLANT_GEN_TD" localSheetId="29">#REF!</definedName>
    <definedName name="PLANT_GEN_TD" localSheetId="66">#REF!</definedName>
    <definedName name="PLANT_GEN_TD">#REF!</definedName>
    <definedName name="PLF">[55]Sheet1!$C$2</definedName>
    <definedName name="PLUG" localSheetId="70">#REF!</definedName>
    <definedName name="PLUG" localSheetId="52">#REF!</definedName>
    <definedName name="PLUG" localSheetId="58">#REF!</definedName>
    <definedName name="PLUG" localSheetId="56">#REF!</definedName>
    <definedName name="PLUG" localSheetId="57">#REF!</definedName>
    <definedName name="PLUG" localSheetId="64">#REF!</definedName>
    <definedName name="PLUG" localSheetId="67">#REF!</definedName>
    <definedName name="PLUG" localSheetId="65">#REF!</definedName>
    <definedName name="PLUG" localSheetId="68">#REF!</definedName>
    <definedName name="PLUG" localSheetId="71">#REF!</definedName>
    <definedName name="PLUG" localSheetId="44">#REF!</definedName>
    <definedName name="PLUG" localSheetId="45">#REF!</definedName>
    <definedName name="PLUG" localSheetId="17">#REF!</definedName>
    <definedName name="PLUG" localSheetId="27">#REF!</definedName>
    <definedName name="PLUG" localSheetId="72">#REF!</definedName>
    <definedName name="PLUG" localSheetId="28">#REF!</definedName>
    <definedName name="PLUG" localSheetId="29">#REF!</definedName>
    <definedName name="PLUG" localSheetId="66">#REF!</definedName>
    <definedName name="PLUG">#REF!</definedName>
    <definedName name="PONO">#N/A</definedName>
    <definedName name="Pop_Ratio" localSheetId="70">#REF!</definedName>
    <definedName name="Pop_Ratio" localSheetId="20">#REF!</definedName>
    <definedName name="Pop_Ratio" localSheetId="15">#REF!</definedName>
    <definedName name="Pop_Ratio" localSheetId="52">#REF!</definedName>
    <definedName name="Pop_Ratio" localSheetId="58">#REF!</definedName>
    <definedName name="Pop_Ratio" localSheetId="57">#REF!</definedName>
    <definedName name="Pop_Ratio" localSheetId="64">#REF!</definedName>
    <definedName name="Pop_Ratio" localSheetId="67">#REF!</definedName>
    <definedName name="Pop_Ratio" localSheetId="65">#REF!</definedName>
    <definedName name="Pop_Ratio" localSheetId="30">#REF!</definedName>
    <definedName name="Pop_Ratio" localSheetId="68">#REF!</definedName>
    <definedName name="Pop_Ratio" localSheetId="71">#REF!</definedName>
    <definedName name="Pop_Ratio" localSheetId="44">#REF!</definedName>
    <definedName name="Pop_Ratio" localSheetId="45">#REF!</definedName>
    <definedName name="Pop_Ratio" localSheetId="48">#REF!</definedName>
    <definedName name="Pop_Ratio" localSheetId="17">#REF!</definedName>
    <definedName name="Pop_Ratio" localSheetId="27">#REF!</definedName>
    <definedName name="Pop_Ratio" localSheetId="72">#REF!</definedName>
    <definedName name="Pop_Ratio" localSheetId="28">#REF!</definedName>
    <definedName name="Pop_Ratio" localSheetId="29">#REF!</definedName>
    <definedName name="Pop_Ratio" localSheetId="66">#REF!</definedName>
    <definedName name="Pop_Ratio">#REF!</definedName>
    <definedName name="pound" localSheetId="70">#REF!</definedName>
    <definedName name="pound" localSheetId="52">#REF!</definedName>
    <definedName name="pound" localSheetId="58">#REF!</definedName>
    <definedName name="pound" localSheetId="57">#REF!</definedName>
    <definedName name="pound" localSheetId="64">#REF!</definedName>
    <definedName name="pound" localSheetId="67">#REF!</definedName>
    <definedName name="pound" localSheetId="65">#REF!</definedName>
    <definedName name="pound" localSheetId="68">#REF!</definedName>
    <definedName name="pound" localSheetId="71">#REF!</definedName>
    <definedName name="pound" localSheetId="44">#REF!</definedName>
    <definedName name="pound" localSheetId="45">#REF!</definedName>
    <definedName name="pound" localSheetId="17">#REF!</definedName>
    <definedName name="pound" localSheetId="27">#REF!</definedName>
    <definedName name="pound" localSheetId="72">#REF!</definedName>
    <definedName name="pound" localSheetId="28">#REF!</definedName>
    <definedName name="pound" localSheetId="29">#REF!</definedName>
    <definedName name="pound" localSheetId="66">#REF!</definedName>
    <definedName name="pound">#REF!</definedName>
    <definedName name="PR">#N/A</definedName>
    <definedName name="PRDump" localSheetId="70">#REF!</definedName>
    <definedName name="PRDump" localSheetId="52">#REF!</definedName>
    <definedName name="PRDump" localSheetId="58">#REF!</definedName>
    <definedName name="PRDump" localSheetId="56">#REF!</definedName>
    <definedName name="PRDump" localSheetId="57">#REF!</definedName>
    <definedName name="PRDump" localSheetId="64">#REF!</definedName>
    <definedName name="PRDump" localSheetId="67">#REF!</definedName>
    <definedName name="PRDump" localSheetId="65">#REF!</definedName>
    <definedName name="PRDump" localSheetId="68">#REF!</definedName>
    <definedName name="PRDump" localSheetId="71">#REF!</definedName>
    <definedName name="PRDump" localSheetId="44">#REF!</definedName>
    <definedName name="PRDump" localSheetId="45">#REF!</definedName>
    <definedName name="PRDump" localSheetId="17">#REF!</definedName>
    <definedName name="PRDump" localSheetId="27">#REF!</definedName>
    <definedName name="PRDump" localSheetId="72">#REF!</definedName>
    <definedName name="PRDump" localSheetId="28">#REF!</definedName>
    <definedName name="PRDump" localSheetId="29">#REF!</definedName>
    <definedName name="PRDump" localSheetId="66">#REF!</definedName>
    <definedName name="PRDump">#REF!</definedName>
    <definedName name="PREF">#N/A</definedName>
    <definedName name="PREV_NO1" localSheetId="70">'[31]ITEM-LIST'!#REF!</definedName>
    <definedName name="PREV_NO1" localSheetId="52">'[31]ITEM-LIST'!#REF!</definedName>
    <definedName name="PREV_NO1" localSheetId="58">'[31]ITEM-LIST'!#REF!</definedName>
    <definedName name="PREV_NO1" localSheetId="56">'[31]ITEM-LIST'!#REF!</definedName>
    <definedName name="PREV_NO1" localSheetId="57">'[31]ITEM-LIST'!#REF!</definedName>
    <definedName name="PREV_NO1" localSheetId="64">'[31]ITEM-LIST'!#REF!</definedName>
    <definedName name="PREV_NO1" localSheetId="67">'[31]ITEM-LIST'!#REF!</definedName>
    <definedName name="PREV_NO1" localSheetId="65">'[31]ITEM-LIST'!#REF!</definedName>
    <definedName name="PREV_NO1" localSheetId="68">'[31]ITEM-LIST'!#REF!</definedName>
    <definedName name="PREV_NO1" localSheetId="71">'[31]ITEM-LIST'!#REF!</definedName>
    <definedName name="PREV_NO1" localSheetId="44">'[31]ITEM-LIST'!#REF!</definedName>
    <definedName name="PREV_NO1" localSheetId="45">'[31]ITEM-LIST'!#REF!</definedName>
    <definedName name="PREV_NO1" localSheetId="17">'[31]ITEM-LIST'!#REF!</definedName>
    <definedName name="PREV_NO1" localSheetId="27">'[31]ITEM-LIST'!#REF!</definedName>
    <definedName name="PREV_NO1" localSheetId="72">'[31]ITEM-LIST'!#REF!</definedName>
    <definedName name="PREV_NO1" localSheetId="28">'[31]ITEM-LIST'!#REF!</definedName>
    <definedName name="PREV_NO1" localSheetId="29">'[31]ITEM-LIST'!#REF!</definedName>
    <definedName name="PREV_NO1" localSheetId="66">'[31]ITEM-LIST'!#REF!</definedName>
    <definedName name="PREV_NO1">'[31]ITEM-LIST'!#REF!</definedName>
    <definedName name="PREV_NO10" localSheetId="70">'[31]ITEM-LIST'!#REF!</definedName>
    <definedName name="PREV_NO10" localSheetId="52">'[31]ITEM-LIST'!#REF!</definedName>
    <definedName name="PREV_NO10" localSheetId="58">'[31]ITEM-LIST'!#REF!</definedName>
    <definedName name="PREV_NO10" localSheetId="57">'[31]ITEM-LIST'!#REF!</definedName>
    <definedName name="PREV_NO10" localSheetId="64">'[31]ITEM-LIST'!#REF!</definedName>
    <definedName name="PREV_NO10" localSheetId="67">'[31]ITEM-LIST'!#REF!</definedName>
    <definedName name="PREV_NO10" localSheetId="65">'[31]ITEM-LIST'!#REF!</definedName>
    <definedName name="PREV_NO10" localSheetId="68">'[31]ITEM-LIST'!#REF!</definedName>
    <definedName name="PREV_NO10" localSheetId="71">'[31]ITEM-LIST'!#REF!</definedName>
    <definedName name="PREV_NO10" localSheetId="44">'[31]ITEM-LIST'!#REF!</definedName>
    <definedName name="PREV_NO10" localSheetId="45">'[31]ITEM-LIST'!#REF!</definedName>
    <definedName name="PREV_NO10" localSheetId="27">'[31]ITEM-LIST'!#REF!</definedName>
    <definedName name="PREV_NO10" localSheetId="28">'[31]ITEM-LIST'!#REF!</definedName>
    <definedName name="PREV_NO10" localSheetId="29">'[31]ITEM-LIST'!#REF!</definedName>
    <definedName name="PREV_NO10" localSheetId="66">'[31]ITEM-LIST'!#REF!</definedName>
    <definedName name="PREV_NO10">'[31]ITEM-LIST'!#REF!</definedName>
    <definedName name="PREV_NO11" localSheetId="70">'[31]ITEM-LIST'!#REF!</definedName>
    <definedName name="PREV_NO11" localSheetId="52">'[31]ITEM-LIST'!#REF!</definedName>
    <definedName name="PREV_NO11" localSheetId="58">'[31]ITEM-LIST'!#REF!</definedName>
    <definedName name="PREV_NO11" localSheetId="57">'[31]ITEM-LIST'!#REF!</definedName>
    <definedName name="PREV_NO11" localSheetId="64">'[31]ITEM-LIST'!#REF!</definedName>
    <definedName name="PREV_NO11" localSheetId="67">'[31]ITEM-LIST'!#REF!</definedName>
    <definedName name="PREV_NO11" localSheetId="65">'[31]ITEM-LIST'!#REF!</definedName>
    <definedName name="PREV_NO11" localSheetId="68">'[31]ITEM-LIST'!#REF!</definedName>
    <definedName name="PREV_NO11" localSheetId="71">'[31]ITEM-LIST'!#REF!</definedName>
    <definedName name="PREV_NO11" localSheetId="44">'[31]ITEM-LIST'!#REF!</definedName>
    <definedName name="PREV_NO11" localSheetId="45">'[31]ITEM-LIST'!#REF!</definedName>
    <definedName name="PREV_NO11" localSheetId="27">'[31]ITEM-LIST'!#REF!</definedName>
    <definedName name="PREV_NO11" localSheetId="28">'[31]ITEM-LIST'!#REF!</definedName>
    <definedName name="PREV_NO11" localSheetId="29">'[31]ITEM-LIST'!#REF!</definedName>
    <definedName name="PREV_NO11" localSheetId="66">'[31]ITEM-LIST'!#REF!</definedName>
    <definedName name="PREV_NO11">'[31]ITEM-LIST'!#REF!</definedName>
    <definedName name="PREV_NO12" localSheetId="70">'[31]ITEM-LIST'!#REF!</definedName>
    <definedName name="PREV_NO12" localSheetId="52">'[31]ITEM-LIST'!#REF!</definedName>
    <definedName name="PREV_NO12" localSheetId="58">'[31]ITEM-LIST'!#REF!</definedName>
    <definedName name="PREV_NO12" localSheetId="57">'[31]ITEM-LIST'!#REF!</definedName>
    <definedName name="PREV_NO12" localSheetId="64">'[31]ITEM-LIST'!#REF!</definedName>
    <definedName name="PREV_NO12" localSheetId="67">'[31]ITEM-LIST'!#REF!</definedName>
    <definedName name="PREV_NO12" localSheetId="65">'[31]ITEM-LIST'!#REF!</definedName>
    <definedName name="PREV_NO12" localSheetId="68">'[31]ITEM-LIST'!#REF!</definedName>
    <definedName name="PREV_NO12" localSheetId="71">'[31]ITEM-LIST'!#REF!</definedName>
    <definedName name="PREV_NO12" localSheetId="44">'[31]ITEM-LIST'!#REF!</definedName>
    <definedName name="PREV_NO12" localSheetId="45">'[31]ITEM-LIST'!#REF!</definedName>
    <definedName name="PREV_NO12" localSheetId="27">'[31]ITEM-LIST'!#REF!</definedName>
    <definedName name="PREV_NO12" localSheetId="28">'[31]ITEM-LIST'!#REF!</definedName>
    <definedName name="PREV_NO12" localSheetId="29">'[31]ITEM-LIST'!#REF!</definedName>
    <definedName name="PREV_NO12" localSheetId="66">'[31]ITEM-LIST'!#REF!</definedName>
    <definedName name="PREV_NO12">'[31]ITEM-LIST'!#REF!</definedName>
    <definedName name="PREV_NO13" localSheetId="70">'[31]ITEM-LIST'!#REF!</definedName>
    <definedName name="PREV_NO13" localSheetId="52">'[31]ITEM-LIST'!#REF!</definedName>
    <definedName name="PREV_NO13" localSheetId="58">'[31]ITEM-LIST'!#REF!</definedName>
    <definedName name="PREV_NO13" localSheetId="57">'[31]ITEM-LIST'!#REF!</definedName>
    <definedName name="PREV_NO13" localSheetId="64">'[31]ITEM-LIST'!#REF!</definedName>
    <definedName name="PREV_NO13" localSheetId="67">'[31]ITEM-LIST'!#REF!</definedName>
    <definedName name="PREV_NO13" localSheetId="65">'[31]ITEM-LIST'!#REF!</definedName>
    <definedName name="PREV_NO13" localSheetId="68">'[31]ITEM-LIST'!#REF!</definedName>
    <definedName name="PREV_NO13" localSheetId="71">'[31]ITEM-LIST'!#REF!</definedName>
    <definedName name="PREV_NO13" localSheetId="44">'[31]ITEM-LIST'!#REF!</definedName>
    <definedName name="PREV_NO13" localSheetId="45">'[31]ITEM-LIST'!#REF!</definedName>
    <definedName name="PREV_NO13" localSheetId="27">'[31]ITEM-LIST'!#REF!</definedName>
    <definedName name="PREV_NO13" localSheetId="28">'[31]ITEM-LIST'!#REF!</definedName>
    <definedName name="PREV_NO13" localSheetId="29">'[31]ITEM-LIST'!#REF!</definedName>
    <definedName name="PREV_NO13" localSheetId="66">'[31]ITEM-LIST'!#REF!</definedName>
    <definedName name="PREV_NO13">'[31]ITEM-LIST'!#REF!</definedName>
    <definedName name="PREV_NO14" localSheetId="70">'[31]ITEM-LIST'!#REF!</definedName>
    <definedName name="PREV_NO14" localSheetId="52">'[31]ITEM-LIST'!#REF!</definedName>
    <definedName name="PREV_NO14" localSheetId="58">'[31]ITEM-LIST'!#REF!</definedName>
    <definedName name="PREV_NO14" localSheetId="57">'[31]ITEM-LIST'!#REF!</definedName>
    <definedName name="PREV_NO14" localSheetId="64">'[31]ITEM-LIST'!#REF!</definedName>
    <definedName name="PREV_NO14" localSheetId="67">'[31]ITEM-LIST'!#REF!</definedName>
    <definedName name="PREV_NO14" localSheetId="65">'[31]ITEM-LIST'!#REF!</definedName>
    <definedName name="PREV_NO14" localSheetId="68">'[31]ITEM-LIST'!#REF!</definedName>
    <definedName name="PREV_NO14" localSheetId="71">'[31]ITEM-LIST'!#REF!</definedName>
    <definedName name="PREV_NO14" localSheetId="44">'[31]ITEM-LIST'!#REF!</definedName>
    <definedName name="PREV_NO14" localSheetId="45">'[31]ITEM-LIST'!#REF!</definedName>
    <definedName name="PREV_NO14" localSheetId="27">'[31]ITEM-LIST'!#REF!</definedName>
    <definedName name="PREV_NO14" localSheetId="28">'[31]ITEM-LIST'!#REF!</definedName>
    <definedName name="PREV_NO14" localSheetId="29">'[31]ITEM-LIST'!#REF!</definedName>
    <definedName name="PREV_NO14" localSheetId="66">'[31]ITEM-LIST'!#REF!</definedName>
    <definedName name="PREV_NO14">'[31]ITEM-LIST'!#REF!</definedName>
    <definedName name="PREV_NO15" localSheetId="70">'[31]ITEM-LIST'!#REF!</definedName>
    <definedName name="PREV_NO15" localSheetId="52">'[31]ITEM-LIST'!#REF!</definedName>
    <definedName name="PREV_NO15" localSheetId="58">'[31]ITEM-LIST'!#REF!</definedName>
    <definedName name="PREV_NO15" localSheetId="57">'[31]ITEM-LIST'!#REF!</definedName>
    <definedName name="PREV_NO15" localSheetId="64">'[31]ITEM-LIST'!#REF!</definedName>
    <definedName name="PREV_NO15" localSheetId="67">'[31]ITEM-LIST'!#REF!</definedName>
    <definedName name="PREV_NO15" localSheetId="65">'[31]ITEM-LIST'!#REF!</definedName>
    <definedName name="PREV_NO15" localSheetId="68">'[31]ITEM-LIST'!#REF!</definedName>
    <definedName name="PREV_NO15" localSheetId="71">'[31]ITEM-LIST'!#REF!</definedName>
    <definedName name="PREV_NO15" localSheetId="44">'[31]ITEM-LIST'!#REF!</definedName>
    <definedName name="PREV_NO15" localSheetId="45">'[31]ITEM-LIST'!#REF!</definedName>
    <definedName name="PREV_NO15" localSheetId="27">'[31]ITEM-LIST'!#REF!</definedName>
    <definedName name="PREV_NO15" localSheetId="28">'[31]ITEM-LIST'!#REF!</definedName>
    <definedName name="PREV_NO15" localSheetId="29">'[31]ITEM-LIST'!#REF!</definedName>
    <definedName name="PREV_NO15" localSheetId="66">'[31]ITEM-LIST'!#REF!</definedName>
    <definedName name="PREV_NO15">'[31]ITEM-LIST'!#REF!</definedName>
    <definedName name="PREV_NO2" localSheetId="70">'[31]ITEM-LIST'!#REF!</definedName>
    <definedName name="PREV_NO2" localSheetId="52">'[31]ITEM-LIST'!#REF!</definedName>
    <definedName name="PREV_NO2" localSheetId="58">'[31]ITEM-LIST'!#REF!</definedName>
    <definedName name="PREV_NO2" localSheetId="57">'[31]ITEM-LIST'!#REF!</definedName>
    <definedName name="PREV_NO2" localSheetId="64">'[31]ITEM-LIST'!#REF!</definedName>
    <definedName name="PREV_NO2" localSheetId="67">'[31]ITEM-LIST'!#REF!</definedName>
    <definedName name="PREV_NO2" localSheetId="65">'[31]ITEM-LIST'!#REF!</definedName>
    <definedName name="PREV_NO2" localSheetId="68">'[31]ITEM-LIST'!#REF!</definedName>
    <definedName name="PREV_NO2" localSheetId="71">'[31]ITEM-LIST'!#REF!</definedName>
    <definedName name="PREV_NO2" localSheetId="44">'[31]ITEM-LIST'!#REF!</definedName>
    <definedName name="PREV_NO2" localSheetId="45">'[31]ITEM-LIST'!#REF!</definedName>
    <definedName name="PREV_NO2" localSheetId="27">'[31]ITEM-LIST'!#REF!</definedName>
    <definedName name="PREV_NO2" localSheetId="28">'[31]ITEM-LIST'!#REF!</definedName>
    <definedName name="PREV_NO2" localSheetId="29">'[31]ITEM-LIST'!#REF!</definedName>
    <definedName name="PREV_NO2" localSheetId="66">'[31]ITEM-LIST'!#REF!</definedName>
    <definedName name="PREV_NO2">'[31]ITEM-LIST'!#REF!</definedName>
    <definedName name="PREV_NO3" localSheetId="70">'[31]ITEM-LIST'!#REF!</definedName>
    <definedName name="PREV_NO3" localSheetId="52">'[31]ITEM-LIST'!#REF!</definedName>
    <definedName name="PREV_NO3" localSheetId="58">'[31]ITEM-LIST'!#REF!</definedName>
    <definedName name="PREV_NO3" localSheetId="57">'[31]ITEM-LIST'!#REF!</definedName>
    <definedName name="PREV_NO3" localSheetId="64">'[31]ITEM-LIST'!#REF!</definedName>
    <definedName name="PREV_NO3" localSheetId="67">'[31]ITEM-LIST'!#REF!</definedName>
    <definedName name="PREV_NO3" localSheetId="65">'[31]ITEM-LIST'!#REF!</definedName>
    <definedName name="PREV_NO3" localSheetId="68">'[31]ITEM-LIST'!#REF!</definedName>
    <definedName name="PREV_NO3" localSheetId="71">'[31]ITEM-LIST'!#REF!</definedName>
    <definedName name="PREV_NO3" localSheetId="44">'[31]ITEM-LIST'!#REF!</definedName>
    <definedName name="PREV_NO3" localSheetId="45">'[31]ITEM-LIST'!#REF!</definedName>
    <definedName name="PREV_NO3" localSheetId="27">'[31]ITEM-LIST'!#REF!</definedName>
    <definedName name="PREV_NO3" localSheetId="28">'[31]ITEM-LIST'!#REF!</definedName>
    <definedName name="PREV_NO3" localSheetId="29">'[31]ITEM-LIST'!#REF!</definedName>
    <definedName name="PREV_NO3" localSheetId="66">'[31]ITEM-LIST'!#REF!</definedName>
    <definedName name="PREV_NO3">'[31]ITEM-LIST'!#REF!</definedName>
    <definedName name="PREV_NO4" localSheetId="70">'[31]ITEM-LIST'!#REF!</definedName>
    <definedName name="PREV_NO4" localSheetId="52">'[31]ITEM-LIST'!#REF!</definedName>
    <definedName name="PREV_NO4" localSheetId="58">'[31]ITEM-LIST'!#REF!</definedName>
    <definedName name="PREV_NO4" localSheetId="57">'[31]ITEM-LIST'!#REF!</definedName>
    <definedName name="PREV_NO4" localSheetId="64">'[31]ITEM-LIST'!#REF!</definedName>
    <definedName name="PREV_NO4" localSheetId="67">'[31]ITEM-LIST'!#REF!</definedName>
    <definedName name="PREV_NO4" localSheetId="65">'[31]ITEM-LIST'!#REF!</definedName>
    <definedName name="PREV_NO4" localSheetId="68">'[31]ITEM-LIST'!#REF!</definedName>
    <definedName name="PREV_NO4" localSheetId="71">'[31]ITEM-LIST'!#REF!</definedName>
    <definedName name="PREV_NO4" localSheetId="44">'[31]ITEM-LIST'!#REF!</definedName>
    <definedName name="PREV_NO4" localSheetId="45">'[31]ITEM-LIST'!#REF!</definedName>
    <definedName name="PREV_NO4" localSheetId="27">'[31]ITEM-LIST'!#REF!</definedName>
    <definedName name="PREV_NO4" localSheetId="28">'[31]ITEM-LIST'!#REF!</definedName>
    <definedName name="PREV_NO4" localSheetId="29">'[31]ITEM-LIST'!#REF!</definedName>
    <definedName name="PREV_NO4" localSheetId="66">'[31]ITEM-LIST'!#REF!</definedName>
    <definedName name="PREV_NO4">'[31]ITEM-LIST'!#REF!</definedName>
    <definedName name="PREV_NO5" localSheetId="70">'[31]ITEM-LIST'!#REF!</definedName>
    <definedName name="PREV_NO5" localSheetId="52">'[31]ITEM-LIST'!#REF!</definedName>
    <definedName name="PREV_NO5" localSheetId="58">'[31]ITEM-LIST'!#REF!</definedName>
    <definedName name="PREV_NO5" localSheetId="57">'[31]ITEM-LIST'!#REF!</definedName>
    <definedName name="PREV_NO5" localSheetId="64">'[31]ITEM-LIST'!#REF!</definedName>
    <definedName name="PREV_NO5" localSheetId="67">'[31]ITEM-LIST'!#REF!</definedName>
    <definedName name="PREV_NO5" localSheetId="65">'[31]ITEM-LIST'!#REF!</definedName>
    <definedName name="PREV_NO5" localSheetId="68">'[31]ITEM-LIST'!#REF!</definedName>
    <definedName name="PREV_NO5" localSheetId="71">'[31]ITEM-LIST'!#REF!</definedName>
    <definedName name="PREV_NO5" localSheetId="44">'[31]ITEM-LIST'!#REF!</definedName>
    <definedName name="PREV_NO5" localSheetId="45">'[31]ITEM-LIST'!#REF!</definedName>
    <definedName name="PREV_NO5" localSheetId="27">'[31]ITEM-LIST'!#REF!</definedName>
    <definedName name="PREV_NO5" localSheetId="28">'[31]ITEM-LIST'!#REF!</definedName>
    <definedName name="PREV_NO5" localSheetId="29">'[31]ITEM-LIST'!#REF!</definedName>
    <definedName name="PREV_NO5" localSheetId="66">'[31]ITEM-LIST'!#REF!</definedName>
    <definedName name="PREV_NO5">'[31]ITEM-LIST'!#REF!</definedName>
    <definedName name="PREV_NO6" localSheetId="70">'[31]ITEM-LIST'!#REF!</definedName>
    <definedName name="PREV_NO6" localSheetId="52">'[31]ITEM-LIST'!#REF!</definedName>
    <definedName name="PREV_NO6" localSheetId="58">'[31]ITEM-LIST'!#REF!</definedName>
    <definedName name="PREV_NO6" localSheetId="57">'[31]ITEM-LIST'!#REF!</definedName>
    <definedName name="PREV_NO6" localSheetId="64">'[31]ITEM-LIST'!#REF!</definedName>
    <definedName name="PREV_NO6" localSheetId="67">'[31]ITEM-LIST'!#REF!</definedName>
    <definedName name="PREV_NO6" localSheetId="65">'[31]ITEM-LIST'!#REF!</definedName>
    <definedName name="PREV_NO6" localSheetId="68">'[31]ITEM-LIST'!#REF!</definedName>
    <definedName name="PREV_NO6" localSheetId="71">'[31]ITEM-LIST'!#REF!</definedName>
    <definedName name="PREV_NO6" localSheetId="44">'[31]ITEM-LIST'!#REF!</definedName>
    <definedName name="PREV_NO6" localSheetId="45">'[31]ITEM-LIST'!#REF!</definedName>
    <definedName name="PREV_NO6" localSheetId="27">'[31]ITEM-LIST'!#REF!</definedName>
    <definedName name="PREV_NO6" localSheetId="28">'[31]ITEM-LIST'!#REF!</definedName>
    <definedName name="PREV_NO6" localSheetId="29">'[31]ITEM-LIST'!#REF!</definedName>
    <definedName name="PREV_NO6" localSheetId="66">'[31]ITEM-LIST'!#REF!</definedName>
    <definedName name="PREV_NO6">'[31]ITEM-LIST'!#REF!</definedName>
    <definedName name="PREV_NO7" localSheetId="70">'[31]ITEM-LIST'!#REF!</definedName>
    <definedName name="PREV_NO7" localSheetId="52">'[31]ITEM-LIST'!#REF!</definedName>
    <definedName name="PREV_NO7" localSheetId="58">'[31]ITEM-LIST'!#REF!</definedName>
    <definedName name="PREV_NO7" localSheetId="57">'[31]ITEM-LIST'!#REF!</definedName>
    <definedName name="PREV_NO7" localSheetId="64">'[31]ITEM-LIST'!#REF!</definedName>
    <definedName name="PREV_NO7" localSheetId="67">'[31]ITEM-LIST'!#REF!</definedName>
    <definedName name="PREV_NO7" localSheetId="65">'[31]ITEM-LIST'!#REF!</definedName>
    <definedName name="PREV_NO7" localSheetId="68">'[31]ITEM-LIST'!#REF!</definedName>
    <definedName name="PREV_NO7" localSheetId="71">'[31]ITEM-LIST'!#REF!</definedName>
    <definedName name="PREV_NO7" localSheetId="44">'[31]ITEM-LIST'!#REF!</definedName>
    <definedName name="PREV_NO7" localSheetId="45">'[31]ITEM-LIST'!#REF!</definedName>
    <definedName name="PREV_NO7" localSheetId="27">'[31]ITEM-LIST'!#REF!</definedName>
    <definedName name="PREV_NO7" localSheetId="28">'[31]ITEM-LIST'!#REF!</definedName>
    <definedName name="PREV_NO7" localSheetId="29">'[31]ITEM-LIST'!#REF!</definedName>
    <definedName name="PREV_NO7" localSheetId="66">'[31]ITEM-LIST'!#REF!</definedName>
    <definedName name="PREV_NO7">'[31]ITEM-LIST'!#REF!</definedName>
    <definedName name="PREV_NO8" localSheetId="70">'[31]ITEM-LIST'!#REF!</definedName>
    <definedName name="PREV_NO8" localSheetId="52">'[31]ITEM-LIST'!#REF!</definedName>
    <definedName name="PREV_NO8" localSheetId="58">'[31]ITEM-LIST'!#REF!</definedName>
    <definedName name="PREV_NO8" localSheetId="57">'[31]ITEM-LIST'!#REF!</definedName>
    <definedName name="PREV_NO8" localSheetId="64">'[31]ITEM-LIST'!#REF!</definedName>
    <definedName name="PREV_NO8" localSheetId="67">'[31]ITEM-LIST'!#REF!</definedName>
    <definedName name="PREV_NO8" localSheetId="65">'[31]ITEM-LIST'!#REF!</definedName>
    <definedName name="PREV_NO8" localSheetId="68">'[31]ITEM-LIST'!#REF!</definedName>
    <definedName name="PREV_NO8" localSheetId="71">'[31]ITEM-LIST'!#REF!</definedName>
    <definedName name="PREV_NO8" localSheetId="44">'[31]ITEM-LIST'!#REF!</definedName>
    <definedName name="PREV_NO8" localSheetId="45">'[31]ITEM-LIST'!#REF!</definedName>
    <definedName name="PREV_NO8" localSheetId="27">'[31]ITEM-LIST'!#REF!</definedName>
    <definedName name="PREV_NO8" localSheetId="28">'[31]ITEM-LIST'!#REF!</definedName>
    <definedName name="PREV_NO8" localSheetId="29">'[31]ITEM-LIST'!#REF!</definedName>
    <definedName name="PREV_NO8" localSheetId="66">'[31]ITEM-LIST'!#REF!</definedName>
    <definedName name="PREV_NO8">'[31]ITEM-LIST'!#REF!</definedName>
    <definedName name="PREV_NO9" localSheetId="70">'[31]ITEM-LIST'!#REF!</definedName>
    <definedName name="PREV_NO9" localSheetId="52">'[31]ITEM-LIST'!#REF!</definedName>
    <definedName name="PREV_NO9" localSheetId="58">'[31]ITEM-LIST'!#REF!</definedName>
    <definedName name="PREV_NO9" localSheetId="57">'[31]ITEM-LIST'!#REF!</definedName>
    <definedName name="PREV_NO9" localSheetId="64">'[31]ITEM-LIST'!#REF!</definedName>
    <definedName name="PREV_NO9" localSheetId="67">'[31]ITEM-LIST'!#REF!</definedName>
    <definedName name="PREV_NO9" localSheetId="65">'[31]ITEM-LIST'!#REF!</definedName>
    <definedName name="PREV_NO9" localSheetId="68">'[31]ITEM-LIST'!#REF!</definedName>
    <definedName name="PREV_NO9" localSheetId="71">'[31]ITEM-LIST'!#REF!</definedName>
    <definedName name="PREV_NO9" localSheetId="44">'[31]ITEM-LIST'!#REF!</definedName>
    <definedName name="PREV_NO9" localSheetId="45">'[31]ITEM-LIST'!#REF!</definedName>
    <definedName name="PREV_NO9" localSheetId="27">'[31]ITEM-LIST'!#REF!</definedName>
    <definedName name="PREV_NO9" localSheetId="28">'[31]ITEM-LIST'!#REF!</definedName>
    <definedName name="PREV_NO9" localSheetId="29">'[31]ITEM-LIST'!#REF!</definedName>
    <definedName name="PREV_NO9" localSheetId="66">'[31]ITEM-LIST'!#REF!</definedName>
    <definedName name="PREV_NO9">'[31]ITEM-LIST'!#REF!</definedName>
    <definedName name="_xlnm.Print_Area" localSheetId="146">'Accumulated Depreciation '!$A$1:$S$68</definedName>
    <definedName name="_xlnm.Print_Area" localSheetId="129">'Annexture B'!$A$1:$I$88</definedName>
    <definedName name="_xlnm.Print_Area" localSheetId="131">'AnnexureB_2013-14'!$A$1:$H$88</definedName>
    <definedName name="_xlnm.Print_Area" localSheetId="117">ApprovedTariff!$A$1:$L$33</definedName>
    <definedName name="_xlnm.Print_Area" localSheetId="89">ARR!$A$7:$N$56</definedName>
    <definedName name="_xlnm.Print_Area" localSheetId="2">'ARR Summary'!$B$3:$O$40</definedName>
    <definedName name="_xlnm.Print_Area" localSheetId="70">'ARR_Supply and Trans'!$B$3:$O$52</definedName>
    <definedName name="_xlnm.Print_Area" localSheetId="118">'ARR2013-14'!$A$1:$H$45</definedName>
    <definedName name="_xlnm.Print_Area" localSheetId="0">Assumptions!$A$1:$F$144</definedName>
    <definedName name="_xlnm.Print_Area" localSheetId="88">'BadDebt13-14'!$A$1:$G$6</definedName>
    <definedName name="_xlnm.Print_Area" localSheetId="126">'BEST final'!$A$3:$G$553</definedName>
    <definedName name="_xlnm.Print_Area" localSheetId="111">'CapExCapi2013-14'!$A$1:$H$19</definedName>
    <definedName name="_xlnm.Print_Area" localSheetId="147">'Capitalisation 2013-14'!$A$1:$J$34</definedName>
    <definedName name="_xlnm.Print_Area" localSheetId="86">'CD FY 2013-14'!$A$1:$F$13</definedName>
    <definedName name="_xlnm.Print_Area" localSheetId="136" xml:space="preserve">                                                                                                                                                                        CostOfPowerPurchase!$A$1:$S$42</definedName>
    <definedName name="_xlnm.Print_Area" localSheetId="81">'CurrentLiabilities 2012-13'!$A$1:$M$29</definedName>
    <definedName name="_xlnm.Print_Area" localSheetId="143">'Depreciation 2012-13'!$A$1:$G$54</definedName>
    <definedName name="_xlnm.Print_Area" localSheetId="144">'Depreciation 2013-14'!$A$1:$U$66</definedName>
    <definedName name="_xlnm.Print_Area" localSheetId="113">DPR!$A$1:$K$37</definedName>
    <definedName name="_xlnm.Print_Area" localSheetId="119">'E1'!$B$1:$L$85</definedName>
    <definedName name="_xlnm.Print_Area" localSheetId="100">'E13_2013-14'!$A$1:$L$37</definedName>
    <definedName name="_xlnm.Print_Area" localSheetId="125">'E13_F.Y.2012-13'!$A$1:$Y$38</definedName>
    <definedName name="_xlnm.Print_Area" localSheetId="74">'E2 2012-13'!$A$1:$L$41</definedName>
    <definedName name="_xlnm.Print_Area" localSheetId="75">'E2_2013-14'!$A$1:$N$42</definedName>
    <definedName name="_xlnm.Print_Area" localSheetId="101">'E3'!$A$4:$L$41</definedName>
    <definedName name="_xlnm.Print_Area" localSheetId="112">'E5-2011'!$B$2:$N$88</definedName>
    <definedName name="_xlnm.Print_Area" localSheetId="85">'E5-2011 (2)'!$B$2:$N$88</definedName>
    <definedName name="_xlnm.Print_Area" localSheetId="107" xml:space="preserve">                                                                                'E6 Summury_2013-14'!$A$1:$AN$58</definedName>
    <definedName name="_xlnm.Print_Area" localSheetId="108">'E-6 SUPPLYWISE GRUP'!$A$1:$L$49</definedName>
    <definedName name="_xlnm.Print_Area" localSheetId="140">'E6-2011-12'!$B$1:$L$51</definedName>
    <definedName name="_xlnm.Print_Area" localSheetId="142">'E6-2013-14'!$A$1:$AM$58</definedName>
    <definedName name="_xlnm.Print_Area" localSheetId="115">'E9-2001'!$A$1:$K$38</definedName>
    <definedName name="_xlnm.Print_Area" localSheetId="20">'F 1(a)'!$B$1:$P$78</definedName>
    <definedName name="_xlnm.Print_Area" localSheetId="51">'F 11'!$A$1:$E$29</definedName>
    <definedName name="_xlnm.Print_Area" localSheetId="14">'F1'!$B$1:$I$40</definedName>
    <definedName name="_xlnm.Print_Area" localSheetId="15">F1.1!$B$2:$P$37,F1.1!$B$40:$P$71</definedName>
    <definedName name="_xlnm.Print_Area" localSheetId="18">F1.2!$A$1:$P$13</definedName>
    <definedName name="_xlnm.Print_Area" localSheetId="19">F1.3!$A$1:$F$22</definedName>
    <definedName name="_xlnm.Print_Area" localSheetId="49">'F10 '!$A$1:$G$34</definedName>
    <definedName name="_xlnm.Print_Area" localSheetId="52">'F12'!$A$1:$H$92</definedName>
    <definedName name="_xlnm.Print_Area" localSheetId="53">'F13'!$A$1:$H$19</definedName>
    <definedName name="_xlnm.Print_Area" localSheetId="54">'F14'!$B$2:$K$61,'F14'!$B$67:$K$105</definedName>
    <definedName name="_xlnm.Print_Area" localSheetId="58">F14.1!$B$2:$U$41</definedName>
    <definedName name="_xlnm.Print_Area" localSheetId="56">F14.1.1!$A$1:$W$43</definedName>
    <definedName name="_xlnm.Print_Area" localSheetId="57">F14.1.2!$A$1:$W$43</definedName>
    <definedName name="_xlnm.Print_Area" localSheetId="59">'F15'!$A$1:$G$12</definedName>
    <definedName name="_xlnm.Print_Area" localSheetId="63">'F16'!$A$1:$H$84</definedName>
    <definedName name="_xlnm.Print_Area" localSheetId="60">F16.1!$A$1:$F$49</definedName>
    <definedName name="_xlnm.Print_Area" localSheetId="64">'F18'!$A$1:$H$63</definedName>
    <definedName name="_xlnm.Print_Area" localSheetId="67">'F19'!$A$1:$F$17</definedName>
    <definedName name="_xlnm.Print_Area" localSheetId="65">F19.1!$A$1:$X$41</definedName>
    <definedName name="_xlnm.Print_Area" localSheetId="23">'F2'!$A$5:$Q$31</definedName>
    <definedName name="_xlnm.Print_Area" localSheetId="30">F2.1!$A$1:$K$37</definedName>
    <definedName name="_xlnm.Print_Area" localSheetId="31">F2.2!$A$2:$K$58,F2.2!$A$60:$K$186</definedName>
    <definedName name="_xlnm.Print_Area" localSheetId="32">F2.3!$A$1:$P$52</definedName>
    <definedName name="_xlnm.Print_Area" localSheetId="33">F2.4!$A$1:$L$16</definedName>
    <definedName name="_xlnm.Print_Area" localSheetId="68">'F20'!$A$1:$I$38</definedName>
    <definedName name="_xlnm.Print_Area" localSheetId="71">'F22'!$A$1:$X$42</definedName>
    <definedName name="_xlnm.Print_Area" localSheetId="34">'F3'!$B$2:$K$21</definedName>
    <definedName name="_xlnm.Print_Area" localSheetId="35">F3.1!$A$1:$I$30</definedName>
    <definedName name="_xlnm.Print_Area" localSheetId="36">F3.2!$A$1:$I$30</definedName>
    <definedName name="_xlnm.Print_Area" localSheetId="37" xml:space="preserve">    F3.3!$A$1:$L$28</definedName>
    <definedName name="_xlnm.Print_Area" localSheetId="38">F3.4!$A$1:$H$28</definedName>
    <definedName name="_xlnm.Print_Area" localSheetId="39">F3.5!$A$1:$H$22</definedName>
    <definedName name="_xlnm.Print_Area" localSheetId="40">'F4'!$B$3:$O$53,'F4'!$B$56:$O$103</definedName>
    <definedName name="_xlnm.Print_Area" localSheetId="41">'F5'!$A$1:$G$37</definedName>
    <definedName name="_xlnm.Print_Area" localSheetId="42">F5.1!$A$1:$Q$58</definedName>
    <definedName name="_xlnm.Print_Area" localSheetId="44">F5.2!$A$1:$E$19</definedName>
    <definedName name="_xlnm.Print_Area" localSheetId="43">'F6'!$A$1:$H$198</definedName>
    <definedName name="_xlnm.Print_Area" localSheetId="45">'F6 .1'!$A$1:$I$100</definedName>
    <definedName name="_xlnm.Print_Area" localSheetId="46">'F7 '!$A$1:$H$19</definedName>
    <definedName name="_xlnm.Print_Area" localSheetId="47">'F8'!$A$1:$I$18</definedName>
    <definedName name="_xlnm.Print_Area" localSheetId="48">'F9'!$A$1:$H$23</definedName>
    <definedName name="_xlnm.Print_Area" localSheetId="148">'GFA Reconciliation'!$B$2:$H$55</definedName>
    <definedName name="_xlnm.Print_Area" localSheetId="110">'GFA1'!$A$1:$P$72</definedName>
    <definedName name="_xlnm.Print_Area" localSheetId="145">'GFA2'!$A$1:$U$71</definedName>
    <definedName name="_xlnm.Print_Area" localSheetId="120">idc!$A$1:$K$36</definedName>
    <definedName name="_xlnm.Print_Area" localSheetId="73">'IDC13-14'!$A$1:$J$23</definedName>
    <definedName name="_xlnm.Print_Area" localSheetId="1">'Index '!$A$1:$D$44</definedName>
    <definedName name="_xlnm.Print_Area" localSheetId="80">'Interest Charges_2012-13'!$A$1:$M$40</definedName>
    <definedName name="_xlnm.Print_Area" localSheetId="114" xml:space="preserve">                                                                                    'Interest on working capital'!$A$1:$M$20</definedName>
    <definedName name="_xlnm.Print_Area" localSheetId="78" xml:space="preserve">                                                                                    'LoanDetails 2012-13'!$A$1:$Q$94</definedName>
    <definedName name="_xlnm.Print_Area" localSheetId="79">'LoanDetails2013-14'!$A$1:$I$29</definedName>
    <definedName name="_xlnm.Print_Area" localSheetId="17">#REF!</definedName>
    <definedName name="_xlnm.Print_Area" localSheetId="93">'Non Tariff Income_12-13'!$A$1:$G$18</definedName>
    <definedName name="_xlnm.Print_Area" localSheetId="94">'NTI13-14'!$A$1:$H$16</definedName>
    <definedName name="_xlnm.Print_Area" localSheetId="137">'O&amp;M Expenses 2012-13'!$A$1:$L$116</definedName>
    <definedName name="_xlnm.Print_Area" localSheetId="138">'O&amp;M Expenses 2013-14'!$A$2:$I$92</definedName>
    <definedName name="_xlnm.Print_Area" localSheetId="92">'Other Expenses13-14'!$A$1:$H$15</definedName>
    <definedName name="_xlnm.Print_Area" localSheetId="109">'P&amp;L'!$A$3:$N$52</definedName>
    <definedName name="_xlnm.Print_Area" localSheetId="116">'P&amp;L Reconciliation'!$B$285:$E$333</definedName>
    <definedName name="_xlnm.Print_Area" localSheetId="27">'Power Purchase Projections'!#REF!</definedName>
    <definedName name="_xlnm.Print_Area" localSheetId="135">PowerPurchaseComparison!$A$1:$I$28</definedName>
    <definedName name="_xlnm.Print_Area" localSheetId="24">'PP FY 2012-13'!$A$1:$I$24</definedName>
    <definedName name="_xlnm.Print_Area" localSheetId="25" xml:space="preserve">                                                     'PP FY 2013-14 '!$A$1:$I$28</definedName>
    <definedName name="_xlnm.Print_Area" localSheetId="26">'PP FY 2014-15'!$AD$8:$AO$33</definedName>
    <definedName name="_xlnm.Print_Area" localSheetId="61" xml:space="preserve">                                                                                                                         'Reconcilation 2012-13'!$A$1:$K$72</definedName>
    <definedName name="_xlnm.Print_Area" localSheetId="99">'Revenue 2012-13'!$B$2:$K$56</definedName>
    <definedName name="_xlnm.Print_Area" localSheetId="91">ROE!$A$1:$M$26</definedName>
    <definedName name="_xlnm.Print_Area" localSheetId="90">'ROE13-14'!$A$1:$G$19</definedName>
    <definedName name="_xlnm.Print_Area" localSheetId="95">'ROIF13-14'!$A$1:$I$15</definedName>
    <definedName name="_xlnm.Print_Area" localSheetId="16">'SalesProjection Workings'!$A$1:$X$143</definedName>
    <definedName name="_xlnm.Print_Area" localSheetId="72">#REF!</definedName>
    <definedName name="_xlnm.Print_Area" localSheetId="128" xml:space="preserve">                                                                                                                                                                                                                     'Schedule 1'!$A$1:$J$161</definedName>
    <definedName name="_xlnm.Print_Area" localSheetId="127" xml:space="preserve">                                                                                                         'schedule 3'!$A$1:$K$23</definedName>
    <definedName name="_xlnm.Print_Area" localSheetId="22">'Tariff as per MYT Order'!$A$1:$F$26</definedName>
    <definedName name="_xlnm.Print_Area" localSheetId="28">'TPC G'!#REF!</definedName>
    <definedName name="_xlnm.Print_Area" localSheetId="29">'TPC G MTR Petition'!#REF!</definedName>
    <definedName name="_xlnm.Print_Area" localSheetId="66">#REF!</definedName>
    <definedName name="_xlnm.Print_Area" localSheetId="133">'URIM P&amp;L 12-13'!$A$7:$N$56</definedName>
    <definedName name="_xlnm.Print_Area" localSheetId="84">'WC FY 2013-14'!$A$1:$H$50</definedName>
    <definedName name="_xlnm.Print_Area" localSheetId="83">'WC12-13'!$A$1:$J$24</definedName>
    <definedName name="_xlnm.Print_Area" localSheetId="82" xml:space="preserve">                                                                                                                                                                                                                                                            'Working Capital 2013-14'!$A$1:$I$20</definedName>
    <definedName name="_xlnm.Print_Area">#REF!</definedName>
    <definedName name="PRINT_AREA_MI" localSheetId="70">#REF!</definedName>
    <definedName name="PRINT_AREA_MI" localSheetId="101">#REF!</definedName>
    <definedName name="Print_Area_MI" localSheetId="112">'E5-2011'!$B$2:$M$100</definedName>
    <definedName name="Print_Area_MI" localSheetId="85">'E5-2011 (2)'!$B$2:$M$100</definedName>
    <definedName name="PRINT_AREA_MI" localSheetId="140">#REF!</definedName>
    <definedName name="PRINT_AREA_MI" localSheetId="142">#REF!</definedName>
    <definedName name="Print_Area_MI" localSheetId="115">'E9-2001'!$A$2:$K$34</definedName>
    <definedName name="PRINT_AREA_MI" localSheetId="52">#REF!</definedName>
    <definedName name="PRINT_AREA_MI" localSheetId="58">#REF!</definedName>
    <definedName name="PRINT_AREA_MI" localSheetId="57">#REF!</definedName>
    <definedName name="PRINT_AREA_MI" localSheetId="64">#REF!</definedName>
    <definedName name="PRINT_AREA_MI" localSheetId="67">#REF!</definedName>
    <definedName name="PRINT_AREA_MI" localSheetId="65">#REF!</definedName>
    <definedName name="PRINT_AREA_MI" localSheetId="68">#REF!</definedName>
    <definedName name="PRINT_AREA_MI" localSheetId="71">#REF!</definedName>
    <definedName name="PRINT_AREA_MI" localSheetId="44">#REF!</definedName>
    <definedName name="PRINT_AREA_MI" localSheetId="45">#REF!</definedName>
    <definedName name="PRINT_AREA_MI" localSheetId="148">#REF!</definedName>
    <definedName name="PRINT_AREA_MI" localSheetId="17">#REF!</definedName>
    <definedName name="PRINT_AREA_MI" localSheetId="27">#REF!</definedName>
    <definedName name="PRINT_AREA_MI" localSheetId="72">#REF!</definedName>
    <definedName name="PRINT_AREA_MI" localSheetId="28">#REF!</definedName>
    <definedName name="PRINT_AREA_MI" localSheetId="29">#REF!</definedName>
    <definedName name="PRINT_AREA_MI" localSheetId="66">#REF!</definedName>
    <definedName name="PRINT_AREA_MI">#REF!</definedName>
    <definedName name="PRINT_AREA_MI1" localSheetId="70">#REF!</definedName>
    <definedName name="PRINT_AREA_MI1" localSheetId="52">#REF!</definedName>
    <definedName name="PRINT_AREA_MI1" localSheetId="58">#REF!</definedName>
    <definedName name="PRINT_AREA_MI1" localSheetId="57">#REF!</definedName>
    <definedName name="PRINT_AREA_MI1" localSheetId="64">#REF!</definedName>
    <definedName name="PRINT_AREA_MI1" localSheetId="67">#REF!</definedName>
    <definedName name="PRINT_AREA_MI1" localSheetId="65">#REF!</definedName>
    <definedName name="PRINT_AREA_MI1" localSheetId="68">#REF!</definedName>
    <definedName name="PRINT_AREA_MI1" localSheetId="71">#REF!</definedName>
    <definedName name="PRINT_AREA_MI1" localSheetId="44">#REF!</definedName>
    <definedName name="PRINT_AREA_MI1" localSheetId="45">#REF!</definedName>
    <definedName name="PRINT_AREA_MI1" localSheetId="17">#REF!</definedName>
    <definedName name="PRINT_AREA_MI1" localSheetId="27">#REF!</definedName>
    <definedName name="PRINT_AREA_MI1" localSheetId="72">#REF!</definedName>
    <definedName name="PRINT_AREA_MI1" localSheetId="28">#REF!</definedName>
    <definedName name="PRINT_AREA_MI1" localSheetId="29">#REF!</definedName>
    <definedName name="PRINT_AREA_MI1" localSheetId="66">#REF!</definedName>
    <definedName name="PRINT_AREA_MI1">#REF!</definedName>
    <definedName name="PRINT_AREA_MII" localSheetId="70">#REF!</definedName>
    <definedName name="PRINT_AREA_MII" localSheetId="52">#REF!</definedName>
    <definedName name="PRINT_AREA_MII" localSheetId="58">#REF!</definedName>
    <definedName name="PRINT_AREA_MII" localSheetId="57">#REF!</definedName>
    <definedName name="PRINT_AREA_MII" localSheetId="64">#REF!</definedName>
    <definedName name="PRINT_AREA_MII" localSheetId="67">#REF!</definedName>
    <definedName name="PRINT_AREA_MII" localSheetId="65">#REF!</definedName>
    <definedName name="PRINT_AREA_MII" localSheetId="68">#REF!</definedName>
    <definedName name="PRINT_AREA_MII" localSheetId="71">#REF!</definedName>
    <definedName name="PRINT_AREA_MII" localSheetId="44">#REF!</definedName>
    <definedName name="PRINT_AREA_MII" localSheetId="45">#REF!</definedName>
    <definedName name="PRINT_AREA_MII" localSheetId="27">#REF!</definedName>
    <definedName name="PRINT_AREA_MII" localSheetId="28">#REF!</definedName>
    <definedName name="PRINT_AREA_MII" localSheetId="29">#REF!</definedName>
    <definedName name="PRINT_AREA_MII" localSheetId="66">#REF!</definedName>
    <definedName name="PRINT_AREA_MII">#REF!</definedName>
    <definedName name="Print_Area1" localSheetId="70">#REF!</definedName>
    <definedName name="Print_Area1" localSheetId="52">#REF!</definedName>
    <definedName name="Print_Area1" localSheetId="58">#REF!</definedName>
    <definedName name="Print_Area1" localSheetId="57">#REF!</definedName>
    <definedName name="Print_Area1" localSheetId="64">#REF!</definedName>
    <definedName name="Print_Area1" localSheetId="67">#REF!</definedName>
    <definedName name="Print_Area1" localSheetId="65">#REF!</definedName>
    <definedName name="Print_Area1" localSheetId="68">#REF!</definedName>
    <definedName name="Print_Area1" localSheetId="71">#REF!</definedName>
    <definedName name="Print_Area1" localSheetId="44">#REF!</definedName>
    <definedName name="Print_Area1" localSheetId="45">#REF!</definedName>
    <definedName name="Print_Area1" localSheetId="27">#REF!</definedName>
    <definedName name="Print_Area1" localSheetId="28">#REF!</definedName>
    <definedName name="Print_Area1" localSheetId="29">#REF!</definedName>
    <definedName name="Print_Area1" localSheetId="66">#REF!</definedName>
    <definedName name="Print_Area1">#REF!</definedName>
    <definedName name="Print_title" localSheetId="70">#REF!</definedName>
    <definedName name="Print_title" localSheetId="52">#REF!</definedName>
    <definedName name="Print_title" localSheetId="58">#REF!</definedName>
    <definedName name="Print_title" localSheetId="57">#REF!</definedName>
    <definedName name="Print_title" localSheetId="64">#REF!</definedName>
    <definedName name="Print_title" localSheetId="67">#REF!</definedName>
    <definedName name="Print_title" localSheetId="65">#REF!</definedName>
    <definedName name="Print_title" localSheetId="68">#REF!</definedName>
    <definedName name="Print_title" localSheetId="71">#REF!</definedName>
    <definedName name="Print_title" localSheetId="44">#REF!</definedName>
    <definedName name="Print_title" localSheetId="45">#REF!</definedName>
    <definedName name="Print_title" localSheetId="27">#REF!</definedName>
    <definedName name="Print_title" localSheetId="28">#REF!</definedName>
    <definedName name="Print_title" localSheetId="29">#REF!</definedName>
    <definedName name="Print_title" localSheetId="66">#REF!</definedName>
    <definedName name="Print_title">#REF!</definedName>
    <definedName name="_xlnm.Print_Titles" localSheetId="70">#REF!</definedName>
    <definedName name="_xlnm.Print_Titles" localSheetId="0">Assumptions!$4:$4</definedName>
    <definedName name="_xlnm.Print_Titles" localSheetId="20">'F 1(a)'!$2:$5</definedName>
    <definedName name="_xlnm.Print_Titles" localSheetId="14">'F1'!$2:$4</definedName>
    <definedName name="_xlnm.Print_Titles" localSheetId="15">F1.1!$2:$4</definedName>
    <definedName name="_xlnm.Print_Titles" localSheetId="54">'F14'!$2:$4</definedName>
    <definedName name="_xlnm.Print_Titles" localSheetId="57">#REF!</definedName>
    <definedName name="_xlnm.Print_Titles" localSheetId="65">#REF!</definedName>
    <definedName name="_xlnm.Print_Titles" localSheetId="23">'F2'!$A:$B,'F2'!$4:$6</definedName>
    <definedName name="_xlnm.Print_Titles" localSheetId="31">F2.2!$2:$6</definedName>
    <definedName name="_xlnm.Print_Titles" localSheetId="32">F2.3!$1:$3</definedName>
    <definedName name="_xlnm.Print_Titles" localSheetId="68">#REF!</definedName>
    <definedName name="_xlnm.Print_Titles" localSheetId="71">#REF!</definedName>
    <definedName name="_xlnm.Print_Titles" localSheetId="40">'F4'!$3:$5</definedName>
    <definedName name="_xlnm.Print_Titles" localSheetId="45">#REF!</definedName>
    <definedName name="_xlnm.Print_Titles" localSheetId="17">#REF!</definedName>
    <definedName name="_xlnm.Print_Titles" localSheetId="27">#REF!</definedName>
    <definedName name="_xlnm.Print_Titles" localSheetId="26">'PP FY 2014-15'!$A:$B</definedName>
    <definedName name="_xlnm.Print_Titles" localSheetId="72">#REF!</definedName>
    <definedName name="_xlnm.Print_Titles" localSheetId="28">#REF!</definedName>
    <definedName name="_xlnm.Print_Titles" localSheetId="29">#REF!</definedName>
    <definedName name="_xlnm.Print_Titles" localSheetId="66">#REF!</definedName>
    <definedName name="_xlnm.Print_Titles">#REF!</definedName>
    <definedName name="PRINT_TITLES_MI" localSheetId="70">#REF!</definedName>
    <definedName name="PRINT_TITLES_MI" localSheetId="52">#REF!</definedName>
    <definedName name="PRINT_TITLES_MI" localSheetId="58">#REF!</definedName>
    <definedName name="PRINT_TITLES_MI" localSheetId="57">#REF!</definedName>
    <definedName name="PRINT_TITLES_MI" localSheetId="64">#REF!</definedName>
    <definedName name="PRINT_TITLES_MI" localSheetId="67">#REF!</definedName>
    <definedName name="PRINT_TITLES_MI" localSheetId="65">#REF!</definedName>
    <definedName name="PRINT_TITLES_MI" localSheetId="68">#REF!</definedName>
    <definedName name="PRINT_TITLES_MI" localSheetId="71">#REF!</definedName>
    <definedName name="PRINT_TITLES_MI" localSheetId="44">#REF!</definedName>
    <definedName name="PRINT_TITLES_MI" localSheetId="45">#REF!</definedName>
    <definedName name="PRINT_TITLES_MI" localSheetId="17">#REF!</definedName>
    <definedName name="PRINT_TITLES_MI" localSheetId="27">#REF!</definedName>
    <definedName name="PRINT_TITLES_MI" localSheetId="72">#REF!</definedName>
    <definedName name="PRINT_TITLES_MI" localSheetId="28">#REF!</definedName>
    <definedName name="PRINT_TITLES_MI" localSheetId="29">#REF!</definedName>
    <definedName name="PRINT_TITLES_MI" localSheetId="66">#REF!</definedName>
    <definedName name="PRINT_TITLES_MI">#REF!</definedName>
    <definedName name="PRINT_TITLES_MI1" localSheetId="70">#REF!</definedName>
    <definedName name="PRINT_TITLES_MI1" localSheetId="52">#REF!</definedName>
    <definedName name="PRINT_TITLES_MI1" localSheetId="58">#REF!</definedName>
    <definedName name="PRINT_TITLES_MI1" localSheetId="57">#REF!</definedName>
    <definedName name="PRINT_TITLES_MI1" localSheetId="64">#REF!</definedName>
    <definedName name="PRINT_TITLES_MI1" localSheetId="67">#REF!</definedName>
    <definedName name="PRINT_TITLES_MI1" localSheetId="65">#REF!</definedName>
    <definedName name="PRINT_TITLES_MI1" localSheetId="68">#REF!</definedName>
    <definedName name="PRINT_TITLES_MI1" localSheetId="71">#REF!</definedName>
    <definedName name="PRINT_TITLES_MI1" localSheetId="44">#REF!</definedName>
    <definedName name="PRINT_TITLES_MI1" localSheetId="45">#REF!</definedName>
    <definedName name="PRINT_TITLES_MI1" localSheetId="17">#REF!</definedName>
    <definedName name="PRINT_TITLES_MI1" localSheetId="27">#REF!</definedName>
    <definedName name="PRINT_TITLES_MI1" localSheetId="72">#REF!</definedName>
    <definedName name="PRINT_TITLES_MI1" localSheetId="28">#REF!</definedName>
    <definedName name="PRINT_TITLES_MI1" localSheetId="29">#REF!</definedName>
    <definedName name="PRINT_TITLES_MI1" localSheetId="66">#REF!</definedName>
    <definedName name="PRINT_TITLES_MI1">#REF!</definedName>
    <definedName name="Print02">[56]계측!$A$1:$H$749</definedName>
    <definedName name="PROC_NO1">#N/A</definedName>
    <definedName name="PROC_NO10" localSheetId="70">'[31]ITEM-LIST'!#REF!</definedName>
    <definedName name="PROC_NO10" localSheetId="52">'[31]ITEM-LIST'!#REF!</definedName>
    <definedName name="PROC_NO10" localSheetId="58">'[31]ITEM-LIST'!#REF!</definedName>
    <definedName name="PROC_NO10" localSheetId="56">'[31]ITEM-LIST'!#REF!</definedName>
    <definedName name="PROC_NO10" localSheetId="57">'[31]ITEM-LIST'!#REF!</definedName>
    <definedName name="PROC_NO10" localSheetId="64">'[31]ITEM-LIST'!#REF!</definedName>
    <definedName name="PROC_NO10" localSheetId="67">'[31]ITEM-LIST'!#REF!</definedName>
    <definedName name="PROC_NO10" localSheetId="65">'[31]ITEM-LIST'!#REF!</definedName>
    <definedName name="PROC_NO10" localSheetId="68">'[31]ITEM-LIST'!#REF!</definedName>
    <definedName name="PROC_NO10" localSheetId="71">'[31]ITEM-LIST'!#REF!</definedName>
    <definedName name="PROC_NO10" localSheetId="44">'[31]ITEM-LIST'!#REF!</definedName>
    <definedName name="PROC_NO10" localSheetId="45">'[31]ITEM-LIST'!#REF!</definedName>
    <definedName name="PROC_NO10" localSheetId="17">'[31]ITEM-LIST'!#REF!</definedName>
    <definedName name="PROC_NO10" localSheetId="27">'[31]ITEM-LIST'!#REF!</definedName>
    <definedName name="PROC_NO10" localSheetId="72">'[31]ITEM-LIST'!#REF!</definedName>
    <definedName name="PROC_NO10" localSheetId="28">'[31]ITEM-LIST'!#REF!</definedName>
    <definedName name="PROC_NO10" localSheetId="29">'[31]ITEM-LIST'!#REF!</definedName>
    <definedName name="PROC_NO10" localSheetId="66">'[31]ITEM-LIST'!#REF!</definedName>
    <definedName name="PROC_NO10">'[31]ITEM-LIST'!#REF!</definedName>
    <definedName name="PROC_NO11" localSheetId="70">'[31]ITEM-LIST'!#REF!</definedName>
    <definedName name="PROC_NO11" localSheetId="52">'[31]ITEM-LIST'!#REF!</definedName>
    <definedName name="PROC_NO11" localSheetId="58">'[31]ITEM-LIST'!#REF!</definedName>
    <definedName name="PROC_NO11" localSheetId="57">'[31]ITEM-LIST'!#REF!</definedName>
    <definedName name="PROC_NO11" localSheetId="64">'[31]ITEM-LIST'!#REF!</definedName>
    <definedName name="PROC_NO11" localSheetId="67">'[31]ITEM-LIST'!#REF!</definedName>
    <definedName name="PROC_NO11" localSheetId="65">'[31]ITEM-LIST'!#REF!</definedName>
    <definedName name="PROC_NO11" localSheetId="68">'[31]ITEM-LIST'!#REF!</definedName>
    <definedName name="PROC_NO11" localSheetId="71">'[31]ITEM-LIST'!#REF!</definedName>
    <definedName name="PROC_NO11" localSheetId="44">'[31]ITEM-LIST'!#REF!</definedName>
    <definedName name="PROC_NO11" localSheetId="45">'[31]ITEM-LIST'!#REF!</definedName>
    <definedName name="PROC_NO11" localSheetId="17">'[31]ITEM-LIST'!#REF!</definedName>
    <definedName name="PROC_NO11" localSheetId="27">'[31]ITEM-LIST'!#REF!</definedName>
    <definedName name="PROC_NO11" localSheetId="72">'[31]ITEM-LIST'!#REF!</definedName>
    <definedName name="PROC_NO11" localSheetId="28">'[31]ITEM-LIST'!#REF!</definedName>
    <definedName name="PROC_NO11" localSheetId="29">'[31]ITEM-LIST'!#REF!</definedName>
    <definedName name="PROC_NO11" localSheetId="66">'[31]ITEM-LIST'!#REF!</definedName>
    <definedName name="PROC_NO11">'[31]ITEM-LIST'!#REF!</definedName>
    <definedName name="PROC_NO12" localSheetId="70">'[31]ITEM-LIST'!#REF!</definedName>
    <definedName name="PROC_NO12" localSheetId="52">'[31]ITEM-LIST'!#REF!</definedName>
    <definedName name="PROC_NO12" localSheetId="58">'[31]ITEM-LIST'!#REF!</definedName>
    <definedName name="PROC_NO12" localSheetId="57">'[31]ITEM-LIST'!#REF!</definedName>
    <definedName name="PROC_NO12" localSheetId="64">'[31]ITEM-LIST'!#REF!</definedName>
    <definedName name="PROC_NO12" localSheetId="67">'[31]ITEM-LIST'!#REF!</definedName>
    <definedName name="PROC_NO12" localSheetId="65">'[31]ITEM-LIST'!#REF!</definedName>
    <definedName name="PROC_NO12" localSheetId="68">'[31]ITEM-LIST'!#REF!</definedName>
    <definedName name="PROC_NO12" localSheetId="71">'[31]ITEM-LIST'!#REF!</definedName>
    <definedName name="PROC_NO12" localSheetId="44">'[31]ITEM-LIST'!#REF!</definedName>
    <definedName name="PROC_NO12" localSheetId="45">'[31]ITEM-LIST'!#REF!</definedName>
    <definedName name="PROC_NO12" localSheetId="17">'[31]ITEM-LIST'!#REF!</definedName>
    <definedName name="PROC_NO12" localSheetId="27">'[31]ITEM-LIST'!#REF!</definedName>
    <definedName name="PROC_NO12" localSheetId="72">'[31]ITEM-LIST'!#REF!</definedName>
    <definedName name="PROC_NO12" localSheetId="28">'[31]ITEM-LIST'!#REF!</definedName>
    <definedName name="PROC_NO12" localSheetId="29">'[31]ITEM-LIST'!#REF!</definedName>
    <definedName name="PROC_NO12" localSheetId="66">'[31]ITEM-LIST'!#REF!</definedName>
    <definedName name="PROC_NO12">'[31]ITEM-LIST'!#REF!</definedName>
    <definedName name="PROC_NO13" localSheetId="70">'[31]ITEM-LIST'!#REF!</definedName>
    <definedName name="PROC_NO13" localSheetId="52">'[31]ITEM-LIST'!#REF!</definedName>
    <definedName name="PROC_NO13" localSheetId="58">'[31]ITEM-LIST'!#REF!</definedName>
    <definedName name="PROC_NO13" localSheetId="57">'[31]ITEM-LIST'!#REF!</definedName>
    <definedName name="PROC_NO13" localSheetId="64">'[31]ITEM-LIST'!#REF!</definedName>
    <definedName name="PROC_NO13" localSheetId="67">'[31]ITEM-LIST'!#REF!</definedName>
    <definedName name="PROC_NO13" localSheetId="65">'[31]ITEM-LIST'!#REF!</definedName>
    <definedName name="PROC_NO13" localSheetId="68">'[31]ITEM-LIST'!#REF!</definedName>
    <definedName name="PROC_NO13" localSheetId="71">'[31]ITEM-LIST'!#REF!</definedName>
    <definedName name="PROC_NO13" localSheetId="44">'[31]ITEM-LIST'!#REF!</definedName>
    <definedName name="PROC_NO13" localSheetId="45">'[31]ITEM-LIST'!#REF!</definedName>
    <definedName name="PROC_NO13" localSheetId="17">'[31]ITEM-LIST'!#REF!</definedName>
    <definedName name="PROC_NO13" localSheetId="27">'[31]ITEM-LIST'!#REF!</definedName>
    <definedName name="PROC_NO13" localSheetId="72">'[31]ITEM-LIST'!#REF!</definedName>
    <definedName name="PROC_NO13" localSheetId="28">'[31]ITEM-LIST'!#REF!</definedName>
    <definedName name="PROC_NO13" localSheetId="29">'[31]ITEM-LIST'!#REF!</definedName>
    <definedName name="PROC_NO13" localSheetId="66">'[31]ITEM-LIST'!#REF!</definedName>
    <definedName name="PROC_NO13">'[31]ITEM-LIST'!#REF!</definedName>
    <definedName name="PROC_NO14" localSheetId="70">'[31]ITEM-LIST'!#REF!</definedName>
    <definedName name="PROC_NO14" localSheetId="52">'[31]ITEM-LIST'!#REF!</definedName>
    <definedName name="PROC_NO14" localSheetId="58">'[31]ITEM-LIST'!#REF!</definedName>
    <definedName name="PROC_NO14" localSheetId="57">'[31]ITEM-LIST'!#REF!</definedName>
    <definedName name="PROC_NO14" localSheetId="64">'[31]ITEM-LIST'!#REF!</definedName>
    <definedName name="PROC_NO14" localSheetId="67">'[31]ITEM-LIST'!#REF!</definedName>
    <definedName name="PROC_NO14" localSheetId="65">'[31]ITEM-LIST'!#REF!</definedName>
    <definedName name="PROC_NO14" localSheetId="68">'[31]ITEM-LIST'!#REF!</definedName>
    <definedName name="PROC_NO14" localSheetId="71">'[31]ITEM-LIST'!#REF!</definedName>
    <definedName name="PROC_NO14" localSheetId="44">'[31]ITEM-LIST'!#REF!</definedName>
    <definedName name="PROC_NO14" localSheetId="45">'[31]ITEM-LIST'!#REF!</definedName>
    <definedName name="PROC_NO14" localSheetId="17">'[31]ITEM-LIST'!#REF!</definedName>
    <definedName name="PROC_NO14" localSheetId="27">'[31]ITEM-LIST'!#REF!</definedName>
    <definedName name="PROC_NO14" localSheetId="72">'[31]ITEM-LIST'!#REF!</definedName>
    <definedName name="PROC_NO14" localSheetId="28">'[31]ITEM-LIST'!#REF!</definedName>
    <definedName name="PROC_NO14" localSheetId="29">'[31]ITEM-LIST'!#REF!</definedName>
    <definedName name="PROC_NO14" localSheetId="66">'[31]ITEM-LIST'!#REF!</definedName>
    <definedName name="PROC_NO14">'[31]ITEM-LIST'!#REF!</definedName>
    <definedName name="PROC_NO15" localSheetId="70">'[31]ITEM-LIST'!#REF!</definedName>
    <definedName name="PROC_NO15" localSheetId="52">'[31]ITEM-LIST'!#REF!</definedName>
    <definedName name="PROC_NO15" localSheetId="58">'[31]ITEM-LIST'!#REF!</definedName>
    <definedName name="PROC_NO15" localSheetId="57">'[31]ITEM-LIST'!#REF!</definedName>
    <definedName name="PROC_NO15" localSheetId="64">'[31]ITEM-LIST'!#REF!</definedName>
    <definedName name="PROC_NO15" localSheetId="67">'[31]ITEM-LIST'!#REF!</definedName>
    <definedName name="PROC_NO15" localSheetId="65">'[31]ITEM-LIST'!#REF!</definedName>
    <definedName name="PROC_NO15" localSheetId="68">'[31]ITEM-LIST'!#REF!</definedName>
    <definedName name="PROC_NO15" localSheetId="71">'[31]ITEM-LIST'!#REF!</definedName>
    <definedName name="PROC_NO15" localSheetId="44">'[31]ITEM-LIST'!#REF!</definedName>
    <definedName name="PROC_NO15" localSheetId="45">'[31]ITEM-LIST'!#REF!</definedName>
    <definedName name="PROC_NO15" localSheetId="27">'[31]ITEM-LIST'!#REF!</definedName>
    <definedName name="PROC_NO15" localSheetId="28">'[31]ITEM-LIST'!#REF!</definedName>
    <definedName name="PROC_NO15" localSheetId="29">'[31]ITEM-LIST'!#REF!</definedName>
    <definedName name="PROC_NO15" localSheetId="66">'[31]ITEM-LIST'!#REF!</definedName>
    <definedName name="PROC_NO15">'[31]ITEM-LIST'!#REF!</definedName>
    <definedName name="PROC_NO2">#N/A</definedName>
    <definedName name="PROC_NO3">#N/A</definedName>
    <definedName name="PROC_NO4">#N/A</definedName>
    <definedName name="PROC_NO5">#N/A</definedName>
    <definedName name="PROC_NO6">#N/A</definedName>
    <definedName name="PROC_NO7">#N/A</definedName>
    <definedName name="PROC_NO8">#N/A</definedName>
    <definedName name="PROC_NO9" localSheetId="70">'[31]ITEM-LIST'!#REF!</definedName>
    <definedName name="PROC_NO9" localSheetId="52">'[31]ITEM-LIST'!#REF!</definedName>
    <definedName name="PROC_NO9" localSheetId="58">'[31]ITEM-LIST'!#REF!</definedName>
    <definedName name="PROC_NO9" localSheetId="57">'[31]ITEM-LIST'!#REF!</definedName>
    <definedName name="PROC_NO9" localSheetId="64">'[31]ITEM-LIST'!#REF!</definedName>
    <definedName name="PROC_NO9" localSheetId="67">'[31]ITEM-LIST'!#REF!</definedName>
    <definedName name="PROC_NO9" localSheetId="65">'[31]ITEM-LIST'!#REF!</definedName>
    <definedName name="PROC_NO9" localSheetId="68">'[31]ITEM-LIST'!#REF!</definedName>
    <definedName name="PROC_NO9" localSheetId="71">'[31]ITEM-LIST'!#REF!</definedName>
    <definedName name="PROC_NO9" localSheetId="44">'[31]ITEM-LIST'!#REF!</definedName>
    <definedName name="PROC_NO9" localSheetId="45">'[31]ITEM-LIST'!#REF!</definedName>
    <definedName name="PROC_NO9" localSheetId="27">'[31]ITEM-LIST'!#REF!</definedName>
    <definedName name="PROC_NO9" localSheetId="28">'[31]ITEM-LIST'!#REF!</definedName>
    <definedName name="PROC_NO9" localSheetId="29">'[31]ITEM-LIST'!#REF!</definedName>
    <definedName name="PROC_NO9" localSheetId="66">'[31]ITEM-LIST'!#REF!</definedName>
    <definedName name="PROC_NO9">'[31]ITEM-LIST'!#REF!</definedName>
    <definedName name="PROJECT_NAME" localSheetId="70">#REF!</definedName>
    <definedName name="PROJECT_NAME" localSheetId="52">#REF!</definedName>
    <definedName name="PROJECT_NAME" localSheetId="58">#REF!</definedName>
    <definedName name="PROJECT_NAME" localSheetId="56">#REF!</definedName>
    <definedName name="PROJECT_NAME" localSheetId="57">#REF!</definedName>
    <definedName name="PROJECT_NAME" localSheetId="64">#REF!</definedName>
    <definedName name="PROJECT_NAME" localSheetId="67">#REF!</definedName>
    <definedName name="PROJECT_NAME" localSheetId="65">#REF!</definedName>
    <definedName name="PROJECT_NAME" localSheetId="68">#REF!</definedName>
    <definedName name="PROJECT_NAME" localSheetId="71">#REF!</definedName>
    <definedName name="PROJECT_NAME" localSheetId="44">#REF!</definedName>
    <definedName name="PROJECT_NAME" localSheetId="45">#REF!</definedName>
    <definedName name="PROJECT_NAME" localSheetId="17">#REF!</definedName>
    <definedName name="PROJECT_NAME" localSheetId="27">#REF!</definedName>
    <definedName name="PROJECT_NAME" localSheetId="72">#REF!</definedName>
    <definedName name="PROJECT_NAME" localSheetId="28">#REF!</definedName>
    <definedName name="PROJECT_NAME" localSheetId="29">#REF!</definedName>
    <definedName name="PROJECT_NAME" localSheetId="66">#REF!</definedName>
    <definedName name="PROJECT_NAME">#REF!</definedName>
    <definedName name="PURCHASE" localSheetId="70">'[5]Financial Estimates'!#REF!</definedName>
    <definedName name="PURCHASE" localSheetId="52">'[5]Financial Estimates'!#REF!</definedName>
    <definedName name="PURCHASE" localSheetId="58">'[5]Financial Estimates'!#REF!</definedName>
    <definedName name="PURCHASE" localSheetId="56">'[5]Financial Estimates'!#REF!</definedName>
    <definedName name="PURCHASE" localSheetId="57">'[5]Financial Estimates'!#REF!</definedName>
    <definedName name="PURCHASE" localSheetId="64">'[5]Financial Estimates'!#REF!</definedName>
    <definedName name="PURCHASE" localSheetId="67">'[5]Financial Estimates'!#REF!</definedName>
    <definedName name="PURCHASE" localSheetId="65">'[5]Financial Estimates'!#REF!</definedName>
    <definedName name="PURCHASE" localSheetId="68">'[5]Financial Estimates'!#REF!</definedName>
    <definedName name="PURCHASE" localSheetId="71">'[5]Financial Estimates'!#REF!</definedName>
    <definedName name="PURCHASE" localSheetId="44">'[5]Financial Estimates'!#REF!</definedName>
    <definedName name="PURCHASE" localSheetId="45">'[5]Financial Estimates'!#REF!</definedName>
    <definedName name="PURCHASE" localSheetId="17">'[5]Financial Estimates'!#REF!</definedName>
    <definedName name="PURCHASE" localSheetId="27">'[5]Financial Estimates'!#REF!</definedName>
    <definedName name="PURCHASE" localSheetId="72">'[5]Financial Estimates'!#REF!</definedName>
    <definedName name="PURCHASE" localSheetId="28">'[5]Financial Estimates'!#REF!</definedName>
    <definedName name="PURCHASE" localSheetId="29">'[5]Financial Estimates'!#REF!</definedName>
    <definedName name="PURCHASE" localSheetId="66">'[5]Financial Estimates'!#REF!</definedName>
    <definedName name="PURCHASE">'[5]Financial Estimates'!#REF!</definedName>
    <definedName name="PURCOST" localSheetId="70">'[5]Financial Estimates'!#REF!</definedName>
    <definedName name="PURCOST" localSheetId="52">'[5]Financial Estimates'!#REF!</definedName>
    <definedName name="PURCOST" localSheetId="58">'[5]Financial Estimates'!#REF!</definedName>
    <definedName name="PURCOST" localSheetId="57">'[5]Financial Estimates'!#REF!</definedName>
    <definedName name="PURCOST" localSheetId="64">'[5]Financial Estimates'!#REF!</definedName>
    <definedName name="PURCOST" localSheetId="67">'[5]Financial Estimates'!#REF!</definedName>
    <definedName name="PURCOST" localSheetId="65">'[5]Financial Estimates'!#REF!</definedName>
    <definedName name="PURCOST" localSheetId="68">'[5]Financial Estimates'!#REF!</definedName>
    <definedName name="PURCOST" localSheetId="71">'[5]Financial Estimates'!#REF!</definedName>
    <definedName name="PURCOST" localSheetId="44">'[5]Financial Estimates'!#REF!</definedName>
    <definedName name="PURCOST" localSheetId="45">'[5]Financial Estimates'!#REF!</definedName>
    <definedName name="PURCOST" localSheetId="27">'[5]Financial Estimates'!#REF!</definedName>
    <definedName name="PURCOST" localSheetId="28">'[5]Financial Estimates'!#REF!</definedName>
    <definedName name="PURCOST" localSheetId="29">'[5]Financial Estimates'!#REF!</definedName>
    <definedName name="PURCOST" localSheetId="66">'[5]Financial Estimates'!#REF!</definedName>
    <definedName name="PURCOST">'[5]Financial Estimates'!#REF!</definedName>
    <definedName name="Q" localSheetId="70">#REF!</definedName>
    <definedName name="q" localSheetId="20">'[57]A 3.7'!$I$35,'[57]A 3.7'!$I$44</definedName>
    <definedName name="q" localSheetId="15">'[57]A 3.7'!$I$35,'[57]A 3.7'!$I$44</definedName>
    <definedName name="Q" localSheetId="52">#REF!</definedName>
    <definedName name="Q" localSheetId="58">#REF!</definedName>
    <definedName name="Q" localSheetId="56">#REF!</definedName>
    <definedName name="Q" localSheetId="57">#REF!</definedName>
    <definedName name="Q" localSheetId="64">#REF!</definedName>
    <definedName name="Q" localSheetId="67">#REF!</definedName>
    <definedName name="Q" localSheetId="65">#REF!</definedName>
    <definedName name="q" localSheetId="30">'[57]A 3.7'!$I$35,'[57]A 3.7'!$I$44</definedName>
    <definedName name="Q" localSheetId="68">#REF!</definedName>
    <definedName name="Q" localSheetId="71">#REF!</definedName>
    <definedName name="Q" localSheetId="44">#REF!</definedName>
    <definedName name="Q" localSheetId="45">#REF!</definedName>
    <definedName name="Q" localSheetId="17">#REF!</definedName>
    <definedName name="Q" localSheetId="27">#REF!</definedName>
    <definedName name="Q" localSheetId="72">#REF!</definedName>
    <definedName name="Q" localSheetId="28">#REF!</definedName>
    <definedName name="Q" localSheetId="29">#REF!</definedName>
    <definedName name="Q" localSheetId="66">#REF!</definedName>
    <definedName name="Q">#REF!</definedName>
    <definedName name="qq" localSheetId="70">#REF!</definedName>
    <definedName name="qq" localSheetId="52">#REF!</definedName>
    <definedName name="qq" localSheetId="58">#REF!</definedName>
    <definedName name="qq" localSheetId="57">#REF!</definedName>
    <definedName name="qq" localSheetId="64">#REF!</definedName>
    <definedName name="qq" localSheetId="67">#REF!</definedName>
    <definedName name="qq" localSheetId="65">#REF!</definedName>
    <definedName name="qq" localSheetId="68">#REF!</definedName>
    <definedName name="qq" localSheetId="71">#REF!</definedName>
    <definedName name="qq" localSheetId="44">#REF!</definedName>
    <definedName name="qq" localSheetId="45">#REF!</definedName>
    <definedName name="qq" localSheetId="17">#REF!</definedName>
    <definedName name="qq" localSheetId="27">#REF!</definedName>
    <definedName name="qq" localSheetId="72">#REF!</definedName>
    <definedName name="qq" localSheetId="28">#REF!</definedName>
    <definedName name="qq" localSheetId="29">#REF!</definedName>
    <definedName name="qq" localSheetId="66">#REF!</definedName>
    <definedName name="qq">#REF!</definedName>
    <definedName name="QQQ" localSheetId="70">[19]!QQQ</definedName>
    <definedName name="QQQ" localSheetId="52">[19]!QQQ</definedName>
    <definedName name="QQQ" localSheetId="58">[19]!QQQ</definedName>
    <definedName name="QQQ" localSheetId="57">[19]!QQQ</definedName>
    <definedName name="QQQ" localSheetId="64">[19]!QQQ</definedName>
    <definedName name="QQQ" localSheetId="67">[19]!QQQ</definedName>
    <definedName name="QQQ" localSheetId="65">[19]!QQQ</definedName>
    <definedName name="QQQ" localSheetId="68">[19]!QQQ</definedName>
    <definedName name="QQQ" localSheetId="71">[19]!QQQ</definedName>
    <definedName name="QQQ" localSheetId="44">[19]!QQQ</definedName>
    <definedName name="QQQ" localSheetId="45">[19]!QQQ</definedName>
    <definedName name="QQQ" localSheetId="27">[19]!QQQ</definedName>
    <definedName name="QQQ" localSheetId="28">[19]!QQQ</definedName>
    <definedName name="QQQ" localSheetId="29">[19]!QQQ</definedName>
    <definedName name="QQQ" localSheetId="66">[19]!QQQ</definedName>
    <definedName name="QQQ">[19]!QQQ</definedName>
    <definedName name="qqqqqqq3">[12]Notes!$A$6</definedName>
    <definedName name="QTY">#N/A</definedName>
    <definedName name="qwfwf">[12]BEST_17112006!$C$30</definedName>
    <definedName name="r_adj">'[58]FAC (Running FAC)'!$B$21:$P$44</definedName>
    <definedName name="R_I_Q_A_S">#N/A</definedName>
    <definedName name="r_kwh" localSheetId="70">#REF!</definedName>
    <definedName name="r_kwh" localSheetId="52">#REF!</definedName>
    <definedName name="r_kwh" localSheetId="58">#REF!</definedName>
    <definedName name="r_kwh" localSheetId="56">#REF!</definedName>
    <definedName name="r_kwh" localSheetId="57">#REF!</definedName>
    <definedName name="r_kwh" localSheetId="64">#REF!</definedName>
    <definedName name="r_kwh" localSheetId="67">#REF!</definedName>
    <definedName name="r_kwh" localSheetId="65">#REF!</definedName>
    <definedName name="r_kwh" localSheetId="68">#REF!</definedName>
    <definedName name="r_kwh" localSheetId="71">#REF!</definedName>
    <definedName name="r_kwh" localSheetId="44">#REF!</definedName>
    <definedName name="r_kwh" localSheetId="45">#REF!</definedName>
    <definedName name="r_kwh" localSheetId="17">#REF!</definedName>
    <definedName name="r_kwh" localSheetId="27">#REF!</definedName>
    <definedName name="r_kwh" localSheetId="72">#REF!</definedName>
    <definedName name="r_kwh" localSheetId="28">#REF!</definedName>
    <definedName name="r_kwh" localSheetId="29">#REF!</definedName>
    <definedName name="r_kwh" localSheetId="66">#REF!</definedName>
    <definedName name="r_kwh">#REF!</definedName>
    <definedName name="r_met">'[59]Metered Energy'!$B$3:$N$16</definedName>
    <definedName name="range" localSheetId="70">#REF!</definedName>
    <definedName name="range" localSheetId="52">#REF!</definedName>
    <definedName name="range" localSheetId="58">#REF!</definedName>
    <definedName name="range" localSheetId="56">#REF!</definedName>
    <definedName name="range" localSheetId="57">#REF!</definedName>
    <definedName name="range" localSheetId="64">#REF!</definedName>
    <definedName name="range" localSheetId="67">#REF!</definedName>
    <definedName name="range" localSheetId="65">#REF!</definedName>
    <definedName name="range" localSheetId="68">#REF!</definedName>
    <definedName name="range" localSheetId="71">#REF!</definedName>
    <definedName name="range" localSheetId="44">#REF!</definedName>
    <definedName name="range" localSheetId="45">#REF!</definedName>
    <definedName name="range" localSheetId="17">#REF!</definedName>
    <definedName name="range" localSheetId="27">#REF!</definedName>
    <definedName name="range" localSheetId="72">#REF!</definedName>
    <definedName name="range" localSheetId="28">#REF!</definedName>
    <definedName name="range" localSheetId="29">#REF!</definedName>
    <definedName name="range" localSheetId="66">#REF!</definedName>
    <definedName name="range">#REF!</definedName>
    <definedName name="RANGE1" localSheetId="70">#REF!</definedName>
    <definedName name="RANGE1" localSheetId="52">#REF!</definedName>
    <definedName name="RANGE1" localSheetId="58">#REF!</definedName>
    <definedName name="RANGE1" localSheetId="57">#REF!</definedName>
    <definedName name="RANGE1" localSheetId="64">#REF!</definedName>
    <definedName name="RANGE1" localSheetId="67">#REF!</definedName>
    <definedName name="RANGE1" localSheetId="65">#REF!</definedName>
    <definedName name="RANGE1" localSheetId="68">#REF!</definedName>
    <definedName name="RANGE1" localSheetId="71">#REF!</definedName>
    <definedName name="RANGE1" localSheetId="44">#REF!</definedName>
    <definedName name="RANGE1" localSheetId="45">#REF!</definedName>
    <definedName name="RANGE1" localSheetId="17">#REF!</definedName>
    <definedName name="RANGE1" localSheetId="27">#REF!</definedName>
    <definedName name="RANGE1" localSheetId="72">#REF!</definedName>
    <definedName name="RANGE1" localSheetId="28">#REF!</definedName>
    <definedName name="RANGE1" localSheetId="29">#REF!</definedName>
    <definedName name="RANGE1" localSheetId="66">#REF!</definedName>
    <definedName name="RANGE1">#REF!</definedName>
    <definedName name="RANGE2" localSheetId="70">#REF!</definedName>
    <definedName name="RANGE2" localSheetId="52">#REF!</definedName>
    <definedName name="RANGE2" localSheetId="58">#REF!</definedName>
    <definedName name="RANGE2" localSheetId="57">#REF!</definedName>
    <definedName name="RANGE2" localSheetId="64">#REF!</definedName>
    <definedName name="RANGE2" localSheetId="67">#REF!</definedName>
    <definedName name="RANGE2" localSheetId="65">#REF!</definedName>
    <definedName name="RANGE2" localSheetId="68">#REF!</definedName>
    <definedName name="RANGE2" localSheetId="71">#REF!</definedName>
    <definedName name="RANGE2" localSheetId="44">#REF!</definedName>
    <definedName name="RANGE2" localSheetId="45">#REF!</definedName>
    <definedName name="RANGE2" localSheetId="17">#REF!</definedName>
    <definedName name="RANGE2" localSheetId="27">#REF!</definedName>
    <definedName name="RANGE2" localSheetId="72">#REF!</definedName>
    <definedName name="RANGE2" localSheetId="28">#REF!</definedName>
    <definedName name="RANGE2" localSheetId="29">#REF!</definedName>
    <definedName name="RANGE2" localSheetId="66">#REF!</definedName>
    <definedName name="RANGE2">#REF!</definedName>
    <definedName name="RANGE3" localSheetId="70">#REF!</definedName>
    <definedName name="RANGE3" localSheetId="52">#REF!</definedName>
    <definedName name="RANGE3" localSheetId="58">#REF!</definedName>
    <definedName name="RANGE3" localSheetId="57">#REF!</definedName>
    <definedName name="RANGE3" localSheetId="64">#REF!</definedName>
    <definedName name="RANGE3" localSheetId="67">#REF!</definedName>
    <definedName name="RANGE3" localSheetId="65">#REF!</definedName>
    <definedName name="RANGE3" localSheetId="68">#REF!</definedName>
    <definedName name="RANGE3" localSheetId="71">#REF!</definedName>
    <definedName name="RANGE3" localSheetId="44">#REF!</definedName>
    <definedName name="RANGE3" localSheetId="45">#REF!</definedName>
    <definedName name="RANGE3" localSheetId="27">#REF!</definedName>
    <definedName name="RANGE3" localSheetId="28">#REF!</definedName>
    <definedName name="RANGE3" localSheetId="29">#REF!</definedName>
    <definedName name="RANGE3" localSheetId="66">#REF!</definedName>
    <definedName name="RANGE3">#REF!</definedName>
    <definedName name="RASCO__3">#N/A</definedName>
    <definedName name="RASCO__A">#N/A</definedName>
    <definedName name="RATE">#N/A</definedName>
    <definedName name="RawAgencyPrice" localSheetId="70">#REF!</definedName>
    <definedName name="RawAgencyPrice" localSheetId="52">#REF!</definedName>
    <definedName name="RawAgencyPrice" localSheetId="58">#REF!</definedName>
    <definedName name="RawAgencyPrice" localSheetId="56">#REF!</definedName>
    <definedName name="RawAgencyPrice" localSheetId="57">#REF!</definedName>
    <definedName name="RawAgencyPrice" localSheetId="64">#REF!</definedName>
    <definedName name="RawAgencyPrice" localSheetId="67">#REF!</definedName>
    <definedName name="RawAgencyPrice" localSheetId="65">#REF!</definedName>
    <definedName name="RawAgencyPrice" localSheetId="68">#REF!</definedName>
    <definedName name="RawAgencyPrice" localSheetId="71">#REF!</definedName>
    <definedName name="RawAgencyPrice" localSheetId="44">#REF!</definedName>
    <definedName name="RawAgencyPrice" localSheetId="45">#REF!</definedName>
    <definedName name="RawAgencyPrice" localSheetId="17">#REF!</definedName>
    <definedName name="RawAgencyPrice" localSheetId="27">#REF!</definedName>
    <definedName name="RawAgencyPrice" localSheetId="72">#REF!</definedName>
    <definedName name="RawAgencyPrice" localSheetId="28">#REF!</definedName>
    <definedName name="RawAgencyPrice" localSheetId="29">#REF!</definedName>
    <definedName name="RawAgencyPrice" localSheetId="66">#REF!</definedName>
    <definedName name="RawAgencyPrice">#REF!</definedName>
    <definedName name="RBData" localSheetId="70">#REF!</definedName>
    <definedName name="RBData" localSheetId="52">#REF!</definedName>
    <definedName name="RBData" localSheetId="58">#REF!</definedName>
    <definedName name="RBData" localSheetId="57">#REF!</definedName>
    <definedName name="RBData" localSheetId="64">#REF!</definedName>
    <definedName name="RBData" localSheetId="67">#REF!</definedName>
    <definedName name="RBData" localSheetId="65">#REF!</definedName>
    <definedName name="RBData" localSheetId="68">#REF!</definedName>
    <definedName name="RBData" localSheetId="71">#REF!</definedName>
    <definedName name="RBData" localSheetId="44">#REF!</definedName>
    <definedName name="RBData" localSheetId="45">#REF!</definedName>
    <definedName name="RBData" localSheetId="17">#REF!</definedName>
    <definedName name="RBData" localSheetId="27">#REF!</definedName>
    <definedName name="RBData" localSheetId="72">#REF!</definedName>
    <definedName name="RBData" localSheetId="28">#REF!</definedName>
    <definedName name="RBData" localSheetId="29">#REF!</definedName>
    <definedName name="RBData" localSheetId="66">#REF!</definedName>
    <definedName name="RBData">#REF!</definedName>
    <definedName name="rdtgreg">[12]BEST_17112006!$A$358</definedName>
    <definedName name="RE_SIZE" localSheetId="70">#REF!</definedName>
    <definedName name="RE_SIZE" localSheetId="52">#REF!</definedName>
    <definedName name="RE_SIZE" localSheetId="58">#REF!</definedName>
    <definedName name="RE_SIZE" localSheetId="56">#REF!</definedName>
    <definedName name="RE_SIZE" localSheetId="57">#REF!</definedName>
    <definedName name="RE_SIZE" localSheetId="64">#REF!</definedName>
    <definedName name="RE_SIZE" localSheetId="67">#REF!</definedName>
    <definedName name="RE_SIZE" localSheetId="65">#REF!</definedName>
    <definedName name="RE_SIZE" localSheetId="68">#REF!</definedName>
    <definedName name="RE_SIZE" localSheetId="71">#REF!</definedName>
    <definedName name="RE_SIZE" localSheetId="44">#REF!</definedName>
    <definedName name="RE_SIZE" localSheetId="45">#REF!</definedName>
    <definedName name="RE_SIZE" localSheetId="17">#REF!</definedName>
    <definedName name="RE_SIZE" localSheetId="27">#REF!</definedName>
    <definedName name="RE_SIZE" localSheetId="72">#REF!</definedName>
    <definedName name="RE_SIZE" localSheetId="28">#REF!</definedName>
    <definedName name="RE_SIZE" localSheetId="29">#REF!</definedName>
    <definedName name="RE_SIZE" localSheetId="66">#REF!</definedName>
    <definedName name="RE_SIZE">#REF!</definedName>
    <definedName name="RED" localSheetId="70">#REF!</definedName>
    <definedName name="RED" localSheetId="52">#REF!</definedName>
    <definedName name="RED" localSheetId="58">#REF!</definedName>
    <definedName name="RED" localSheetId="57">#REF!</definedName>
    <definedName name="RED" localSheetId="64">#REF!</definedName>
    <definedName name="RED" localSheetId="67">#REF!</definedName>
    <definedName name="RED" localSheetId="65">#REF!</definedName>
    <definedName name="RED" localSheetId="68">#REF!</definedName>
    <definedName name="RED" localSheetId="71">#REF!</definedName>
    <definedName name="RED" localSheetId="44">#REF!</definedName>
    <definedName name="RED" localSheetId="45">#REF!</definedName>
    <definedName name="RED" localSheetId="17">#REF!</definedName>
    <definedName name="RED" localSheetId="27">#REF!</definedName>
    <definedName name="RED" localSheetId="72">#REF!</definedName>
    <definedName name="RED" localSheetId="28">#REF!</definedName>
    <definedName name="RED" localSheetId="29">#REF!</definedName>
    <definedName name="RED" localSheetId="66">#REF!</definedName>
    <definedName name="RED">#REF!</definedName>
    <definedName name="REF_TRV">#N/A</definedName>
    <definedName name="rehigulh">'[12]B_S Group'!$H$94</definedName>
    <definedName name="REMARK">#N/A</definedName>
    <definedName name="Renu" localSheetId="70">'[60]License Area'!#REF!</definedName>
    <definedName name="Renu" localSheetId="52">'[60]License Area'!#REF!</definedName>
    <definedName name="Renu" localSheetId="58">'[60]License Area'!#REF!</definedName>
    <definedName name="Renu" localSheetId="56">'[60]License Area'!#REF!</definedName>
    <definedName name="Renu" localSheetId="57">'[60]License Area'!#REF!</definedName>
    <definedName name="Renu" localSheetId="64">'[60]License Area'!#REF!</definedName>
    <definedName name="Renu" localSheetId="67">'[60]License Area'!#REF!</definedName>
    <definedName name="Renu" localSheetId="65">'[60]License Area'!#REF!</definedName>
    <definedName name="Renu" localSheetId="68">'[60]License Area'!#REF!</definedName>
    <definedName name="Renu" localSheetId="71">'[60]License Area'!#REF!</definedName>
    <definedName name="Renu" localSheetId="44">'[60]License Area'!#REF!</definedName>
    <definedName name="Renu" localSheetId="45">'[60]License Area'!#REF!</definedName>
    <definedName name="Renu" localSheetId="17">'[60]License Area'!#REF!</definedName>
    <definedName name="Renu" localSheetId="27">'[60]License Area'!#REF!</definedName>
    <definedName name="Renu" localSheetId="72">'[60]License Area'!#REF!</definedName>
    <definedName name="Renu" localSheetId="28">'[60]License Area'!#REF!</definedName>
    <definedName name="Renu" localSheetId="29">'[60]License Area'!#REF!</definedName>
    <definedName name="Renu" localSheetId="66">'[60]License Area'!#REF!</definedName>
    <definedName name="Renu">'[60]License Area'!#REF!</definedName>
    <definedName name="Reselects" localSheetId="70">#REF!</definedName>
    <definedName name="Reselects" localSheetId="52">#REF!</definedName>
    <definedName name="Reselects" localSheetId="58">#REF!</definedName>
    <definedName name="Reselects" localSheetId="56">#REF!</definedName>
    <definedName name="Reselects" localSheetId="57">#REF!</definedName>
    <definedName name="Reselects" localSheetId="64">#REF!</definedName>
    <definedName name="Reselects" localSheetId="67">#REF!</definedName>
    <definedName name="Reselects" localSheetId="65">#REF!</definedName>
    <definedName name="Reselects" localSheetId="68">#REF!</definedName>
    <definedName name="Reselects" localSheetId="71">#REF!</definedName>
    <definedName name="Reselects" localSheetId="44">#REF!</definedName>
    <definedName name="Reselects" localSheetId="45">#REF!</definedName>
    <definedName name="Reselects" localSheetId="17">#REF!</definedName>
    <definedName name="Reselects" localSheetId="27">#REF!</definedName>
    <definedName name="Reselects" localSheetId="72">#REF!</definedName>
    <definedName name="Reselects" localSheetId="28">#REF!</definedName>
    <definedName name="Reselects" localSheetId="29">#REF!</definedName>
    <definedName name="Reselects" localSheetId="66">#REF!</definedName>
    <definedName name="Reselects">#REF!</definedName>
    <definedName name="Reserves_and_Surplus" localSheetId="70">#REF!</definedName>
    <definedName name="Reserves_and_Surplus" localSheetId="126">'BEST final'!$C$13</definedName>
    <definedName name="Reserves_and_Surplus" localSheetId="52">#REF!</definedName>
    <definedName name="Reserves_and_Surplus" localSheetId="58">#REF!</definedName>
    <definedName name="Reserves_and_Surplus" localSheetId="56">#REF!</definedName>
    <definedName name="Reserves_and_Surplus" localSheetId="57">#REF!</definedName>
    <definedName name="Reserves_and_Surplus" localSheetId="64">#REF!</definedName>
    <definedName name="Reserves_and_Surplus" localSheetId="67">#REF!</definedName>
    <definedName name="Reserves_and_Surplus" localSheetId="65">#REF!</definedName>
    <definedName name="Reserves_and_Surplus" localSheetId="68">#REF!</definedName>
    <definedName name="Reserves_and_Surplus" localSheetId="71">#REF!</definedName>
    <definedName name="Reserves_and_Surplus" localSheetId="44">#REF!</definedName>
    <definedName name="Reserves_and_Surplus" localSheetId="45">#REF!</definedName>
    <definedName name="Reserves_and_Surplus" localSheetId="17">#REF!</definedName>
    <definedName name="Reserves_and_Surplus" localSheetId="27">#REF!</definedName>
    <definedName name="Reserves_and_Surplus" localSheetId="72">#REF!</definedName>
    <definedName name="Reserves_and_Surplus" localSheetId="28">#REF!</definedName>
    <definedName name="Reserves_and_Surplus" localSheetId="29">#REF!</definedName>
    <definedName name="Reserves_and_Surplus" localSheetId="66">#REF!</definedName>
    <definedName name="Reserves_and_Surplus">#REF!</definedName>
    <definedName name="REV_NO" localSheetId="70">'[31]ITEM-LIST'!#REF!</definedName>
    <definedName name="REV_NO" localSheetId="52">'[31]ITEM-LIST'!#REF!</definedName>
    <definedName name="REV_NO" localSheetId="58">'[31]ITEM-LIST'!#REF!</definedName>
    <definedName name="REV_NO" localSheetId="56">'[31]ITEM-LIST'!#REF!</definedName>
    <definedName name="REV_NO" localSheetId="57">'[31]ITEM-LIST'!#REF!</definedName>
    <definedName name="REV_NO" localSheetId="64">'[31]ITEM-LIST'!#REF!</definedName>
    <definedName name="REV_NO" localSheetId="67">'[31]ITEM-LIST'!#REF!</definedName>
    <definedName name="REV_NO" localSheetId="65">'[31]ITEM-LIST'!#REF!</definedName>
    <definedName name="REV_NO" localSheetId="68">'[31]ITEM-LIST'!#REF!</definedName>
    <definedName name="REV_NO" localSheetId="71">'[31]ITEM-LIST'!#REF!</definedName>
    <definedName name="REV_NO" localSheetId="44">'[31]ITEM-LIST'!#REF!</definedName>
    <definedName name="REV_NO" localSheetId="45">'[31]ITEM-LIST'!#REF!</definedName>
    <definedName name="REV_NO" localSheetId="17">'[31]ITEM-LIST'!#REF!</definedName>
    <definedName name="REV_NO" localSheetId="27">'[31]ITEM-LIST'!#REF!</definedName>
    <definedName name="REV_NO" localSheetId="72">'[31]ITEM-LIST'!#REF!</definedName>
    <definedName name="REV_NO" localSheetId="28">'[31]ITEM-LIST'!#REF!</definedName>
    <definedName name="REV_NO" localSheetId="29">'[31]ITEM-LIST'!#REF!</definedName>
    <definedName name="REV_NO" localSheetId="66">'[31]ITEM-LIST'!#REF!</definedName>
    <definedName name="REV_NO">'[31]ITEM-LIST'!#REF!</definedName>
    <definedName name="REVENUE" localSheetId="70">'[5]Financial Estimates'!#REF!</definedName>
    <definedName name="REVENUE" localSheetId="52">'[5]Financial Estimates'!#REF!</definedName>
    <definedName name="REVENUE" localSheetId="58">'[5]Financial Estimates'!#REF!</definedName>
    <definedName name="REVENUE" localSheetId="57">'[5]Financial Estimates'!#REF!</definedName>
    <definedName name="REVENUE" localSheetId="64">'[5]Financial Estimates'!#REF!</definedName>
    <definedName name="REVENUE" localSheetId="67">'[5]Financial Estimates'!#REF!</definedName>
    <definedName name="REVENUE" localSheetId="65">'[5]Financial Estimates'!#REF!</definedName>
    <definedName name="REVENUE" localSheetId="68">'[5]Financial Estimates'!#REF!</definedName>
    <definedName name="REVENUE" localSheetId="71">'[5]Financial Estimates'!#REF!</definedName>
    <definedName name="REVENUE" localSheetId="44">'[5]Financial Estimates'!#REF!</definedName>
    <definedName name="REVENUE" localSheetId="45">'[5]Financial Estimates'!#REF!</definedName>
    <definedName name="REVENUE" localSheetId="17">'[5]Financial Estimates'!#REF!</definedName>
    <definedName name="REVENUE" localSheetId="27">'[5]Financial Estimates'!#REF!</definedName>
    <definedName name="REVENUE" localSheetId="28">'[5]Financial Estimates'!#REF!</definedName>
    <definedName name="REVENUE" localSheetId="29">'[5]Financial Estimates'!#REF!</definedName>
    <definedName name="REVENUE" localSheetId="66">'[5]Financial Estimates'!#REF!</definedName>
    <definedName name="REVENUE">'[5]Financial Estimates'!#REF!</definedName>
    <definedName name="RFP003A" localSheetId="70">#REF!</definedName>
    <definedName name="RFP003A" localSheetId="52">#REF!</definedName>
    <definedName name="RFP003A" localSheetId="58">#REF!</definedName>
    <definedName name="RFP003A" localSheetId="56">#REF!</definedName>
    <definedName name="RFP003A" localSheetId="57">#REF!</definedName>
    <definedName name="RFP003A" localSheetId="64">#REF!</definedName>
    <definedName name="RFP003A" localSheetId="67">#REF!</definedName>
    <definedName name="RFP003A" localSheetId="65">#REF!</definedName>
    <definedName name="RFP003A" localSheetId="68">#REF!</definedName>
    <definedName name="RFP003A" localSheetId="71">#REF!</definedName>
    <definedName name="RFP003A" localSheetId="44">#REF!</definedName>
    <definedName name="RFP003A" localSheetId="45">#REF!</definedName>
    <definedName name="RFP003A" localSheetId="17">#REF!</definedName>
    <definedName name="RFP003A" localSheetId="27">#REF!</definedName>
    <definedName name="RFP003A" localSheetId="72">#REF!</definedName>
    <definedName name="RFP003A" localSheetId="28">#REF!</definedName>
    <definedName name="RFP003A" localSheetId="29">#REF!</definedName>
    <definedName name="RFP003A" localSheetId="66">#REF!</definedName>
    <definedName name="RFP003A">#REF!</definedName>
    <definedName name="RFP003B" localSheetId="70">#REF!</definedName>
    <definedName name="RFP003B" localSheetId="52">#REF!</definedName>
    <definedName name="RFP003B" localSheetId="58">#REF!</definedName>
    <definedName name="RFP003B" localSheetId="57">#REF!</definedName>
    <definedName name="RFP003B" localSheetId="64">#REF!</definedName>
    <definedName name="RFP003B" localSheetId="67">#REF!</definedName>
    <definedName name="RFP003B" localSheetId="65">#REF!</definedName>
    <definedName name="RFP003B" localSheetId="68">#REF!</definedName>
    <definedName name="RFP003B" localSheetId="71">#REF!</definedName>
    <definedName name="RFP003B" localSheetId="44">#REF!</definedName>
    <definedName name="RFP003B" localSheetId="45">#REF!</definedName>
    <definedName name="RFP003B" localSheetId="17">#REF!</definedName>
    <definedName name="RFP003B" localSheetId="27">#REF!</definedName>
    <definedName name="RFP003B" localSheetId="72">#REF!</definedName>
    <definedName name="RFP003B" localSheetId="28">#REF!</definedName>
    <definedName name="RFP003B" localSheetId="29">#REF!</definedName>
    <definedName name="RFP003B" localSheetId="66">#REF!</definedName>
    <definedName name="RFP003B">#REF!</definedName>
    <definedName name="RFP003C" localSheetId="70">#REF!</definedName>
    <definedName name="RFP003C" localSheetId="52">#REF!</definedName>
    <definedName name="RFP003C" localSheetId="58">#REF!</definedName>
    <definedName name="RFP003C" localSheetId="57">#REF!</definedName>
    <definedName name="RFP003C" localSheetId="64">#REF!</definedName>
    <definedName name="RFP003C" localSheetId="67">#REF!</definedName>
    <definedName name="RFP003C" localSheetId="65">#REF!</definedName>
    <definedName name="RFP003C" localSheetId="68">#REF!</definedName>
    <definedName name="RFP003C" localSheetId="71">#REF!</definedName>
    <definedName name="RFP003C" localSheetId="44">#REF!</definedName>
    <definedName name="RFP003C" localSheetId="45">#REF!</definedName>
    <definedName name="RFP003C" localSheetId="17">#REF!</definedName>
    <definedName name="RFP003C" localSheetId="27">#REF!</definedName>
    <definedName name="RFP003C" localSheetId="72">#REF!</definedName>
    <definedName name="RFP003C" localSheetId="28">#REF!</definedName>
    <definedName name="RFP003C" localSheetId="29">#REF!</definedName>
    <definedName name="RFP003C" localSheetId="66">#REF!</definedName>
    <definedName name="RFP003C">#REF!</definedName>
    <definedName name="RFP003D" localSheetId="70">#REF!</definedName>
    <definedName name="RFP003D" localSheetId="52">#REF!</definedName>
    <definedName name="RFP003D" localSheetId="58">#REF!</definedName>
    <definedName name="RFP003D" localSheetId="57">#REF!</definedName>
    <definedName name="RFP003D" localSheetId="64">#REF!</definedName>
    <definedName name="RFP003D" localSheetId="67">#REF!</definedName>
    <definedName name="RFP003D" localSheetId="65">#REF!</definedName>
    <definedName name="RFP003D" localSheetId="68">#REF!</definedName>
    <definedName name="RFP003D" localSheetId="71">#REF!</definedName>
    <definedName name="RFP003D" localSheetId="44">#REF!</definedName>
    <definedName name="RFP003D" localSheetId="45">#REF!</definedName>
    <definedName name="RFP003D" localSheetId="27">#REF!</definedName>
    <definedName name="RFP003D" localSheetId="28">#REF!</definedName>
    <definedName name="RFP003D" localSheetId="29">#REF!</definedName>
    <definedName name="RFP003D" localSheetId="66">#REF!</definedName>
    <definedName name="RFP003D">#REF!</definedName>
    <definedName name="RFP003E" localSheetId="70">#REF!</definedName>
    <definedName name="RFP003E" localSheetId="52">#REF!</definedName>
    <definedName name="RFP003E" localSheetId="58">#REF!</definedName>
    <definedName name="RFP003E" localSheetId="57">#REF!</definedName>
    <definedName name="RFP003E" localSheetId="64">#REF!</definedName>
    <definedName name="RFP003E" localSheetId="67">#REF!</definedName>
    <definedName name="RFP003E" localSheetId="65">#REF!</definedName>
    <definedName name="RFP003E" localSheetId="68">#REF!</definedName>
    <definedName name="RFP003E" localSheetId="71">#REF!</definedName>
    <definedName name="RFP003E" localSheetId="44">#REF!</definedName>
    <definedName name="RFP003E" localSheetId="45">#REF!</definedName>
    <definedName name="RFP003E" localSheetId="27">#REF!</definedName>
    <definedName name="RFP003E" localSheetId="28">#REF!</definedName>
    <definedName name="RFP003E" localSheetId="29">#REF!</definedName>
    <definedName name="RFP003E" localSheetId="66">#REF!</definedName>
    <definedName name="RFP003E">#REF!</definedName>
    <definedName name="RFP003F" localSheetId="70">#REF!</definedName>
    <definedName name="RFP003F" localSheetId="52">#REF!</definedName>
    <definedName name="RFP003F" localSheetId="58">#REF!</definedName>
    <definedName name="RFP003F" localSheetId="57">#REF!</definedName>
    <definedName name="RFP003F" localSheetId="64">#REF!</definedName>
    <definedName name="RFP003F" localSheetId="67">#REF!</definedName>
    <definedName name="RFP003F" localSheetId="65">#REF!</definedName>
    <definedName name="RFP003F" localSheetId="68">#REF!</definedName>
    <definedName name="RFP003F" localSheetId="71">#REF!</definedName>
    <definedName name="RFP003F" localSheetId="44">#REF!</definedName>
    <definedName name="RFP003F" localSheetId="45">#REF!</definedName>
    <definedName name="RFP003F" localSheetId="27">#REF!</definedName>
    <definedName name="RFP003F" localSheetId="28">#REF!</definedName>
    <definedName name="RFP003F" localSheetId="29">#REF!</definedName>
    <definedName name="RFP003F" localSheetId="66">#REF!</definedName>
    <definedName name="RFP003F">#REF!</definedName>
    <definedName name="rid" localSheetId="140" hidden="1">{"'Sheet1'!$L$16"}</definedName>
    <definedName name="rid" localSheetId="58" hidden="1">{"'Sheet1'!$L$16"}</definedName>
    <definedName name="rid" localSheetId="56" hidden="1">{"'Sheet1'!$L$16"}</definedName>
    <definedName name="rid" localSheetId="57" hidden="1">{"'Sheet1'!$L$16"}</definedName>
    <definedName name="rid" localSheetId="67" hidden="1">{"'Sheet1'!$L$16"}</definedName>
    <definedName name="rid" localSheetId="65" hidden="1">{"'Sheet1'!$L$16"}</definedName>
    <definedName name="rid" localSheetId="68" hidden="1">{"'Sheet1'!$L$16"}</definedName>
    <definedName name="rid" localSheetId="71" hidden="1">{"'Sheet1'!$L$16"}</definedName>
    <definedName name="rid" localSheetId="17" hidden="1">{"'Sheet1'!$L$16"}</definedName>
    <definedName name="rid" localSheetId="27" hidden="1">{"'Sheet1'!$L$16"}</definedName>
    <definedName name="rid" localSheetId="72" hidden="1">{"'Sheet1'!$L$16"}</definedName>
    <definedName name="rid" localSheetId="28" hidden="1">{"'Sheet1'!$L$16"}</definedName>
    <definedName name="rid" localSheetId="29" hidden="1">{"'Sheet1'!$L$16"}</definedName>
    <definedName name="rid" hidden="1">{"'Sheet1'!$L$16"}</definedName>
    <definedName name="RNO">#N/A</definedName>
    <definedName name="ROOMAC_GEN_TA" localSheetId="70">#REF!</definedName>
    <definedName name="ROOMAC_GEN_TA" localSheetId="143">#REF!</definedName>
    <definedName name="ROOMAC_GEN_TA" localSheetId="52">#REF!</definedName>
    <definedName name="ROOMAC_GEN_TA" localSheetId="58">#REF!</definedName>
    <definedName name="ROOMAC_GEN_TA" localSheetId="57">#REF!</definedName>
    <definedName name="ROOMAC_GEN_TA" localSheetId="64">#REF!</definedName>
    <definedName name="ROOMAC_GEN_TA" localSheetId="67">#REF!</definedName>
    <definedName name="ROOMAC_GEN_TA" localSheetId="65">#REF!</definedName>
    <definedName name="ROOMAC_GEN_TA" localSheetId="68">#REF!</definedName>
    <definedName name="ROOMAC_GEN_TA" localSheetId="71">#REF!</definedName>
    <definedName name="ROOMAC_GEN_TA" localSheetId="44">#REF!</definedName>
    <definedName name="ROOMAC_GEN_TA" localSheetId="45">#REF!</definedName>
    <definedName name="ROOMAC_GEN_TA" localSheetId="17">#REF!</definedName>
    <definedName name="ROOMAC_GEN_TA" localSheetId="27">#REF!</definedName>
    <definedName name="ROOMAC_GEN_TA" localSheetId="72">#REF!</definedName>
    <definedName name="ROOMAC_GEN_TA" localSheetId="28">#REF!</definedName>
    <definedName name="ROOMAC_GEN_TA" localSheetId="29">#REF!</definedName>
    <definedName name="ROOMAC_GEN_TA" localSheetId="66">#REF!</definedName>
    <definedName name="ROOMAC_GEN_TA">#REF!</definedName>
    <definedName name="ROOMAC_GEN_TD" localSheetId="70">#REF!</definedName>
    <definedName name="ROOMAC_GEN_TD" localSheetId="143">#REF!</definedName>
    <definedName name="ROOMAC_GEN_TD" localSheetId="52">#REF!</definedName>
    <definedName name="ROOMAC_GEN_TD" localSheetId="58">#REF!</definedName>
    <definedName name="ROOMAC_GEN_TD" localSheetId="56">#REF!</definedName>
    <definedName name="ROOMAC_GEN_TD" localSheetId="57">#REF!</definedName>
    <definedName name="ROOMAC_GEN_TD" localSheetId="64">#REF!</definedName>
    <definedName name="ROOMAC_GEN_TD" localSheetId="67">#REF!</definedName>
    <definedName name="ROOMAC_GEN_TD" localSheetId="65">#REF!</definedName>
    <definedName name="ROOMAC_GEN_TD" localSheetId="68">#REF!</definedName>
    <definedName name="ROOMAC_GEN_TD" localSheetId="71">#REF!</definedName>
    <definedName name="ROOMAC_GEN_TD" localSheetId="44">#REF!</definedName>
    <definedName name="ROOMAC_GEN_TD" localSheetId="45">#REF!</definedName>
    <definedName name="ROOMAC_GEN_TD" localSheetId="17">#REF!</definedName>
    <definedName name="ROOMAC_GEN_TD" localSheetId="27">#REF!</definedName>
    <definedName name="ROOMAC_GEN_TD" localSheetId="72">#REF!</definedName>
    <definedName name="ROOMAC_GEN_TD" localSheetId="128">'[26]90% Write off'!#REF!</definedName>
    <definedName name="ROOMAC_GEN_TD" localSheetId="28">#REF!</definedName>
    <definedName name="ROOMAC_GEN_TD" localSheetId="29">#REF!</definedName>
    <definedName name="ROOMAC_GEN_TD" localSheetId="66">#REF!</definedName>
    <definedName name="ROOMAC_GEN_TD">#REF!</definedName>
    <definedName name="RR">[27]현장지지물물량!$A$1:$IV$7</definedName>
    <definedName name="RRR">[61]현장지지물물량!$A$9:$N$23</definedName>
    <definedName name="RT">#N/A</definedName>
    <definedName name="rtg5rg">[12]BEST_17112006!$A$303</definedName>
    <definedName name="RTPNT" localSheetId="70">[13]!RTPNT</definedName>
    <definedName name="RTPNT" localSheetId="52">[13]!RTPNT</definedName>
    <definedName name="RTPNT" localSheetId="58">[13]!RTPNT</definedName>
    <definedName name="RTPNT" localSheetId="57">[13]!RTPNT</definedName>
    <definedName name="RTPNT" localSheetId="64">[13]!RTPNT</definedName>
    <definedName name="RTPNT" localSheetId="67">[13]!RTPNT</definedName>
    <definedName name="RTPNT" localSheetId="65">[13]!RTPNT</definedName>
    <definedName name="RTPNT" localSheetId="68">[13]!RTPNT</definedName>
    <definedName name="RTPNT" localSheetId="71">[13]!RTPNT</definedName>
    <definedName name="RTPNT" localSheetId="44">[13]!RTPNT</definedName>
    <definedName name="RTPNT" localSheetId="45">[13]!RTPNT</definedName>
    <definedName name="RTPNT" localSheetId="27">[13]!RTPNT</definedName>
    <definedName name="RTPNT" localSheetId="28">[13]!RTPNT</definedName>
    <definedName name="RTPNT" localSheetId="29">[13]!RTPNT</definedName>
    <definedName name="RTPNT" localSheetId="66">[13]!RTPNT</definedName>
    <definedName name="RTPNT">[13]!RTPNT</definedName>
    <definedName name="RTY_선택" localSheetId="70">#REF!</definedName>
    <definedName name="RTY_선택" localSheetId="52">#REF!</definedName>
    <definedName name="RTY_선택" localSheetId="58">#REF!</definedName>
    <definedName name="RTY_선택" localSheetId="56">#REF!</definedName>
    <definedName name="RTY_선택" localSheetId="57">#REF!</definedName>
    <definedName name="RTY_선택" localSheetId="64">#REF!</definedName>
    <definedName name="RTY_선택" localSheetId="67">#REF!</definedName>
    <definedName name="RTY_선택" localSheetId="65">#REF!</definedName>
    <definedName name="RTY_선택" localSheetId="68">#REF!</definedName>
    <definedName name="RTY_선택" localSheetId="71">#REF!</definedName>
    <definedName name="RTY_선택" localSheetId="44">#REF!</definedName>
    <definedName name="RTY_선택" localSheetId="45">#REF!</definedName>
    <definedName name="RTY_선택" localSheetId="17">#REF!</definedName>
    <definedName name="RTY_선택" localSheetId="27">#REF!</definedName>
    <definedName name="RTY_선택" localSheetId="72">#REF!</definedName>
    <definedName name="RTY_선택" localSheetId="28">#REF!</definedName>
    <definedName name="RTY_선택" localSheetId="29">#REF!</definedName>
    <definedName name="RTY_선택" localSheetId="66">#REF!</definedName>
    <definedName name="RTY_선택">#REF!</definedName>
    <definedName name="RVI" localSheetId="70" hidden="1">#REF!</definedName>
    <definedName name="RVI" localSheetId="52" hidden="1">#REF!</definedName>
    <definedName name="RVI" localSheetId="58" hidden="1">#REF!</definedName>
    <definedName name="RVI" localSheetId="57" hidden="1">#REF!</definedName>
    <definedName name="RVI" localSheetId="64" hidden="1">#REF!</definedName>
    <definedName name="RVI" localSheetId="67" hidden="1">#REF!</definedName>
    <definedName name="RVI" localSheetId="65" hidden="1">#REF!</definedName>
    <definedName name="RVI" localSheetId="68" hidden="1">#REF!</definedName>
    <definedName name="RVI" localSheetId="71" hidden="1">#REF!</definedName>
    <definedName name="RVI" localSheetId="44" hidden="1">#REF!</definedName>
    <definedName name="RVI" localSheetId="45" hidden="1">#REF!</definedName>
    <definedName name="RVI" localSheetId="17" hidden="1">#REF!</definedName>
    <definedName name="RVI" localSheetId="27" hidden="1">#REF!</definedName>
    <definedName name="RVI" localSheetId="72" hidden="1">#REF!</definedName>
    <definedName name="RVI" localSheetId="28" hidden="1">#REF!</definedName>
    <definedName name="RVI" localSheetId="29" hidden="1">#REF!</definedName>
    <definedName name="RVI" localSheetId="66" hidden="1">#REF!</definedName>
    <definedName name="RVI" hidden="1">#REF!</definedName>
    <definedName name="rytyh">[12]BEST_17112006!$A$248</definedName>
    <definedName name="s" localSheetId="70">#REF!</definedName>
    <definedName name="s" localSheetId="52">#REF!</definedName>
    <definedName name="s" localSheetId="58">#REF!</definedName>
    <definedName name="s" localSheetId="56">#REF!</definedName>
    <definedName name="s" localSheetId="57">#REF!</definedName>
    <definedName name="s" localSheetId="64">#REF!</definedName>
    <definedName name="s" localSheetId="67">#REF!</definedName>
    <definedName name="s" localSheetId="65">#REF!</definedName>
    <definedName name="s" localSheetId="68">#REF!</definedName>
    <definedName name="s" localSheetId="71">#REF!</definedName>
    <definedName name="s" localSheetId="44">#REF!</definedName>
    <definedName name="s" localSheetId="45">#REF!</definedName>
    <definedName name="s" localSheetId="17">#REF!</definedName>
    <definedName name="s" localSheetId="27">#REF!</definedName>
    <definedName name="s" localSheetId="72">#REF!</definedName>
    <definedName name="s" localSheetId="28">#REF!</definedName>
    <definedName name="s" localSheetId="29">#REF!</definedName>
    <definedName name="s" localSheetId="66">#REF!</definedName>
    <definedName name="s">#REF!</definedName>
    <definedName name="S.1.4.3" localSheetId="140" hidden="1">{"Edition",#N/A,FALSE,"Data"}</definedName>
    <definedName name="S.1.4.3" localSheetId="58" hidden="1">{"Edition",#N/A,FALSE,"Data"}</definedName>
    <definedName name="S.1.4.3" localSheetId="56" hidden="1">{"Edition",#N/A,FALSE,"Data"}</definedName>
    <definedName name="S.1.4.3" localSheetId="57" hidden="1">{"Edition",#N/A,FALSE,"Data"}</definedName>
    <definedName name="S.1.4.3" localSheetId="67" hidden="1">{"Edition",#N/A,FALSE,"Data"}</definedName>
    <definedName name="S.1.4.3" localSheetId="65" hidden="1">{"Edition",#N/A,FALSE,"Data"}</definedName>
    <definedName name="S.1.4.3" localSheetId="68" hidden="1">{"Edition",#N/A,FALSE,"Data"}</definedName>
    <definedName name="S.1.4.3" localSheetId="71" hidden="1">{"Edition",#N/A,FALSE,"Data"}</definedName>
    <definedName name="S.1.4.3" localSheetId="17" hidden="1">{"Edition",#N/A,FALSE,"Data"}</definedName>
    <definedName name="S.1.4.3" localSheetId="27" hidden="1">{"Edition",#N/A,FALSE,"Data"}</definedName>
    <definedName name="S.1.4.3" localSheetId="72" hidden="1">{"Edition",#N/A,FALSE,"Data"}</definedName>
    <definedName name="S.1.4.3" localSheetId="28" hidden="1">{"Edition",#N/A,FALSE,"Data"}</definedName>
    <definedName name="S.1.4.3" localSheetId="29" hidden="1">{"Edition",#N/A,FALSE,"Data"}</definedName>
    <definedName name="S.1.4.3" hidden="1">{"Edition",#N/A,FALSE,"Data"}</definedName>
    <definedName name="S_0" localSheetId="70">#REF!</definedName>
    <definedName name="S_0" localSheetId="52">#REF!</definedName>
    <definedName name="S_0" localSheetId="58">#REF!</definedName>
    <definedName name="S_0" localSheetId="56">#REF!</definedName>
    <definedName name="S_0" localSheetId="57">#REF!</definedName>
    <definedName name="S_0" localSheetId="64">#REF!</definedName>
    <definedName name="S_0" localSheetId="67">#REF!</definedName>
    <definedName name="S_0" localSheetId="65">#REF!</definedName>
    <definedName name="S_0" localSheetId="68">#REF!</definedName>
    <definedName name="S_0" localSheetId="71">#REF!</definedName>
    <definedName name="S_0" localSheetId="44">#REF!</definedName>
    <definedName name="S_0" localSheetId="45">#REF!</definedName>
    <definedName name="S_0" localSheetId="17">#REF!</definedName>
    <definedName name="S_0" localSheetId="27">#REF!</definedName>
    <definedName name="S_0" localSheetId="72">#REF!</definedName>
    <definedName name="S_0" localSheetId="28">#REF!</definedName>
    <definedName name="S_0" localSheetId="29">#REF!</definedName>
    <definedName name="S_0" localSheetId="66">#REF!</definedName>
    <definedName name="S_0">#REF!</definedName>
    <definedName name="S_1" localSheetId="70">#REF!</definedName>
    <definedName name="S_1" localSheetId="52">#REF!</definedName>
    <definedName name="S_1" localSheetId="58">#REF!</definedName>
    <definedName name="S_1" localSheetId="57">#REF!</definedName>
    <definedName name="S_1" localSheetId="64">#REF!</definedName>
    <definedName name="S_1" localSheetId="67">#REF!</definedName>
    <definedName name="S_1" localSheetId="65">#REF!</definedName>
    <definedName name="S_1" localSheetId="68">#REF!</definedName>
    <definedName name="S_1" localSheetId="71">#REF!</definedName>
    <definedName name="S_1" localSheetId="44">#REF!</definedName>
    <definedName name="S_1" localSheetId="45">#REF!</definedName>
    <definedName name="S_1" localSheetId="17">#REF!</definedName>
    <definedName name="S_1" localSheetId="27">#REF!</definedName>
    <definedName name="S_1" localSheetId="72">#REF!</definedName>
    <definedName name="S_1" localSheetId="28">#REF!</definedName>
    <definedName name="S_1" localSheetId="29">#REF!</definedName>
    <definedName name="S_1" localSheetId="66">#REF!</definedName>
    <definedName name="S_1">#REF!</definedName>
    <definedName name="S_10" localSheetId="70">#REF!</definedName>
    <definedName name="S_10" localSheetId="52">#REF!</definedName>
    <definedName name="S_10" localSheetId="58">#REF!</definedName>
    <definedName name="S_10" localSheetId="57">#REF!</definedName>
    <definedName name="S_10" localSheetId="64">#REF!</definedName>
    <definedName name="S_10" localSheetId="67">#REF!</definedName>
    <definedName name="S_10" localSheetId="65">#REF!</definedName>
    <definedName name="S_10" localSheetId="68">#REF!</definedName>
    <definedName name="S_10" localSheetId="71">#REF!</definedName>
    <definedName name="S_10" localSheetId="44">#REF!</definedName>
    <definedName name="S_10" localSheetId="45">#REF!</definedName>
    <definedName name="S_10" localSheetId="17">#REF!</definedName>
    <definedName name="S_10" localSheetId="27">#REF!</definedName>
    <definedName name="S_10" localSheetId="72">#REF!</definedName>
    <definedName name="S_10" localSheetId="28">#REF!</definedName>
    <definedName name="S_10" localSheetId="29">#REF!</definedName>
    <definedName name="S_10" localSheetId="66">#REF!</definedName>
    <definedName name="S_10">#REF!</definedName>
    <definedName name="S_11" localSheetId="70">#REF!</definedName>
    <definedName name="S_11" localSheetId="52">#REF!</definedName>
    <definedName name="S_11" localSheetId="58">#REF!</definedName>
    <definedName name="S_11" localSheetId="57">#REF!</definedName>
    <definedName name="S_11" localSheetId="64">#REF!</definedName>
    <definedName name="S_11" localSheetId="67">#REF!</definedName>
    <definedName name="S_11" localSheetId="65">#REF!</definedName>
    <definedName name="S_11" localSheetId="68">#REF!</definedName>
    <definedName name="S_11" localSheetId="71">#REF!</definedName>
    <definedName name="S_11" localSheetId="44">#REF!</definedName>
    <definedName name="S_11" localSheetId="45">#REF!</definedName>
    <definedName name="S_11" localSheetId="27">#REF!</definedName>
    <definedName name="S_11" localSheetId="28">#REF!</definedName>
    <definedName name="S_11" localSheetId="29">#REF!</definedName>
    <definedName name="S_11" localSheetId="66">#REF!</definedName>
    <definedName name="S_11">#REF!</definedName>
    <definedName name="S_2" localSheetId="70">#REF!</definedName>
    <definedName name="S_2" localSheetId="52">#REF!</definedName>
    <definedName name="S_2" localSheetId="58">#REF!</definedName>
    <definedName name="S_2" localSheetId="57">#REF!</definedName>
    <definedName name="S_2" localSheetId="64">#REF!</definedName>
    <definedName name="S_2" localSheetId="67">#REF!</definedName>
    <definedName name="S_2" localSheetId="65">#REF!</definedName>
    <definedName name="S_2" localSheetId="68">#REF!</definedName>
    <definedName name="S_2" localSheetId="71">#REF!</definedName>
    <definedName name="S_2" localSheetId="44">#REF!</definedName>
    <definedName name="S_2" localSheetId="45">#REF!</definedName>
    <definedName name="S_2" localSheetId="27">#REF!</definedName>
    <definedName name="S_2" localSheetId="28">#REF!</definedName>
    <definedName name="S_2" localSheetId="29">#REF!</definedName>
    <definedName name="S_2" localSheetId="66">#REF!</definedName>
    <definedName name="S_2">#REF!</definedName>
    <definedName name="S_3" localSheetId="70">#REF!</definedName>
    <definedName name="S_3" localSheetId="52">#REF!</definedName>
    <definedName name="S_3" localSheetId="58">#REF!</definedName>
    <definedName name="S_3" localSheetId="57">#REF!</definedName>
    <definedName name="S_3" localSheetId="64">#REF!</definedName>
    <definedName name="S_3" localSheetId="67">#REF!</definedName>
    <definedName name="S_3" localSheetId="65">#REF!</definedName>
    <definedName name="S_3" localSheetId="68">#REF!</definedName>
    <definedName name="S_3" localSheetId="71">#REF!</definedName>
    <definedName name="S_3" localSheetId="44">#REF!</definedName>
    <definedName name="S_3" localSheetId="45">#REF!</definedName>
    <definedName name="S_3" localSheetId="27">#REF!</definedName>
    <definedName name="S_3" localSheetId="28">#REF!</definedName>
    <definedName name="S_3" localSheetId="29">#REF!</definedName>
    <definedName name="S_3" localSheetId="66">#REF!</definedName>
    <definedName name="S_3">#REF!</definedName>
    <definedName name="S_4" localSheetId="70">#REF!</definedName>
    <definedName name="S_4" localSheetId="52">#REF!</definedName>
    <definedName name="S_4" localSheetId="58">#REF!</definedName>
    <definedName name="S_4" localSheetId="57">#REF!</definedName>
    <definedName name="S_4" localSheetId="64">#REF!</definedName>
    <definedName name="S_4" localSheetId="67">#REF!</definedName>
    <definedName name="S_4" localSheetId="65">#REF!</definedName>
    <definedName name="S_4" localSheetId="68">#REF!</definedName>
    <definedName name="S_4" localSheetId="71">#REF!</definedName>
    <definedName name="S_4" localSheetId="44">#REF!</definedName>
    <definedName name="S_4" localSheetId="45">#REF!</definedName>
    <definedName name="S_4" localSheetId="27">#REF!</definedName>
    <definedName name="S_4" localSheetId="28">#REF!</definedName>
    <definedName name="S_4" localSheetId="29">#REF!</definedName>
    <definedName name="S_4" localSheetId="66">#REF!</definedName>
    <definedName name="S_4">#REF!</definedName>
    <definedName name="S_5" localSheetId="70">#REF!</definedName>
    <definedName name="S_5" localSheetId="52">#REF!</definedName>
    <definedName name="S_5" localSheetId="58">#REF!</definedName>
    <definedName name="S_5" localSheetId="57">#REF!</definedName>
    <definedName name="S_5" localSheetId="64">#REF!</definedName>
    <definedName name="S_5" localSheetId="67">#REF!</definedName>
    <definedName name="S_5" localSheetId="65">#REF!</definedName>
    <definedName name="S_5" localSheetId="68">#REF!</definedName>
    <definedName name="S_5" localSheetId="71">#REF!</definedName>
    <definedName name="S_5" localSheetId="44">#REF!</definedName>
    <definedName name="S_5" localSheetId="45">#REF!</definedName>
    <definedName name="S_5" localSheetId="27">#REF!</definedName>
    <definedName name="S_5" localSheetId="28">#REF!</definedName>
    <definedName name="S_5" localSheetId="29">#REF!</definedName>
    <definedName name="S_5" localSheetId="66">#REF!</definedName>
    <definedName name="S_5">#REF!</definedName>
    <definedName name="S_6" localSheetId="70">#REF!</definedName>
    <definedName name="S_6" localSheetId="52">#REF!</definedName>
    <definedName name="S_6" localSheetId="58">#REF!</definedName>
    <definedName name="S_6" localSheetId="57">#REF!</definedName>
    <definedName name="S_6" localSheetId="64">#REF!</definedName>
    <definedName name="S_6" localSheetId="67">#REF!</definedName>
    <definedName name="S_6" localSheetId="65">#REF!</definedName>
    <definedName name="S_6" localSheetId="68">#REF!</definedName>
    <definedName name="S_6" localSheetId="71">#REF!</definedName>
    <definedName name="S_6" localSheetId="44">#REF!</definedName>
    <definedName name="S_6" localSheetId="45">#REF!</definedName>
    <definedName name="S_6" localSheetId="27">#REF!</definedName>
    <definedName name="S_6" localSheetId="28">#REF!</definedName>
    <definedName name="S_6" localSheetId="29">#REF!</definedName>
    <definedName name="S_6" localSheetId="66">#REF!</definedName>
    <definedName name="S_6">#REF!</definedName>
    <definedName name="S_7" localSheetId="70">#REF!</definedName>
    <definedName name="S_7" localSheetId="52">#REF!</definedName>
    <definedName name="S_7" localSheetId="58">#REF!</definedName>
    <definedName name="S_7" localSheetId="57">#REF!</definedName>
    <definedName name="S_7" localSheetId="64">#REF!</definedName>
    <definedName name="S_7" localSheetId="67">#REF!</definedName>
    <definedName name="S_7" localSheetId="65">#REF!</definedName>
    <definedName name="S_7" localSheetId="68">#REF!</definedName>
    <definedName name="S_7" localSheetId="71">#REF!</definedName>
    <definedName name="S_7" localSheetId="44">#REF!</definedName>
    <definedName name="S_7" localSheetId="45">#REF!</definedName>
    <definedName name="S_7" localSheetId="27">#REF!</definedName>
    <definedName name="S_7" localSheetId="28">#REF!</definedName>
    <definedName name="S_7" localSheetId="29">#REF!</definedName>
    <definedName name="S_7" localSheetId="66">#REF!</definedName>
    <definedName name="S_7">#REF!</definedName>
    <definedName name="S_8" localSheetId="70">#REF!</definedName>
    <definedName name="S_8" localSheetId="52">#REF!</definedName>
    <definedName name="S_8" localSheetId="58">#REF!</definedName>
    <definedName name="S_8" localSheetId="57">#REF!</definedName>
    <definedName name="S_8" localSheetId="64">#REF!</definedName>
    <definedName name="S_8" localSheetId="67">#REF!</definedName>
    <definedName name="S_8" localSheetId="65">#REF!</definedName>
    <definedName name="S_8" localSheetId="68">#REF!</definedName>
    <definedName name="S_8" localSheetId="71">#REF!</definedName>
    <definedName name="S_8" localSheetId="44">#REF!</definedName>
    <definedName name="S_8" localSheetId="45">#REF!</definedName>
    <definedName name="S_8" localSheetId="27">#REF!</definedName>
    <definedName name="S_8" localSheetId="28">#REF!</definedName>
    <definedName name="S_8" localSheetId="29">#REF!</definedName>
    <definedName name="S_8" localSheetId="66">#REF!</definedName>
    <definedName name="S_8">#REF!</definedName>
    <definedName name="S_9" localSheetId="70">#REF!</definedName>
    <definedName name="S_9" localSheetId="52">#REF!</definedName>
    <definedName name="S_9" localSheetId="58">#REF!</definedName>
    <definedName name="S_9" localSheetId="57">#REF!</definedName>
    <definedName name="S_9" localSheetId="64">#REF!</definedName>
    <definedName name="S_9" localSheetId="67">#REF!</definedName>
    <definedName name="S_9" localSheetId="65">#REF!</definedName>
    <definedName name="S_9" localSheetId="68">#REF!</definedName>
    <definedName name="S_9" localSheetId="71">#REF!</definedName>
    <definedName name="S_9" localSheetId="44">#REF!</definedName>
    <definedName name="S_9" localSheetId="45">#REF!</definedName>
    <definedName name="S_9" localSheetId="27">#REF!</definedName>
    <definedName name="S_9" localSheetId="28">#REF!</definedName>
    <definedName name="S_9" localSheetId="29">#REF!</definedName>
    <definedName name="S_9" localSheetId="66">#REF!</definedName>
    <definedName name="S_9">#REF!</definedName>
    <definedName name="S_M_D_S">#N/A</definedName>
    <definedName name="S_No" localSheetId="70">#REF!</definedName>
    <definedName name="S_No" localSheetId="52">#REF!</definedName>
    <definedName name="S_No" localSheetId="58">#REF!</definedName>
    <definedName name="S_No" localSheetId="56">#REF!</definedName>
    <definedName name="S_No" localSheetId="57">#REF!</definedName>
    <definedName name="S_No" localSheetId="64">#REF!</definedName>
    <definedName name="S_No" localSheetId="67">#REF!</definedName>
    <definedName name="S_No" localSheetId="65">#REF!</definedName>
    <definedName name="S_No" localSheetId="68">#REF!</definedName>
    <definedName name="S_No" localSheetId="71">#REF!</definedName>
    <definedName name="S_No" localSheetId="44">#REF!</definedName>
    <definedName name="S_No" localSheetId="45">#REF!</definedName>
    <definedName name="S_No" localSheetId="17">#REF!</definedName>
    <definedName name="S_No" localSheetId="27">#REF!</definedName>
    <definedName name="S_No" localSheetId="72">#REF!</definedName>
    <definedName name="S_No" localSheetId="28">#REF!</definedName>
    <definedName name="S_No" localSheetId="29">#REF!</definedName>
    <definedName name="S_No" localSheetId="66">#REF!</definedName>
    <definedName name="S_No">#REF!</definedName>
    <definedName name="S_Tp" localSheetId="70">#REF!</definedName>
    <definedName name="S_Tp" localSheetId="52">#REF!</definedName>
    <definedName name="S_Tp" localSheetId="58">#REF!</definedName>
    <definedName name="S_Tp" localSheetId="57">#REF!</definedName>
    <definedName name="S_Tp" localSheetId="64">#REF!</definedName>
    <definedName name="S_Tp" localSheetId="67">#REF!</definedName>
    <definedName name="S_Tp" localSheetId="65">#REF!</definedName>
    <definedName name="S_Tp" localSheetId="68">#REF!</definedName>
    <definedName name="S_Tp" localSheetId="71">#REF!</definedName>
    <definedName name="S_Tp" localSheetId="44">#REF!</definedName>
    <definedName name="S_Tp" localSheetId="45">#REF!</definedName>
    <definedName name="S_Tp" localSheetId="17">#REF!</definedName>
    <definedName name="S_Tp" localSheetId="27">#REF!</definedName>
    <definedName name="S_Tp" localSheetId="72">#REF!</definedName>
    <definedName name="S_Tp" localSheetId="28">#REF!</definedName>
    <definedName name="S_Tp" localSheetId="29">#REF!</definedName>
    <definedName name="S_Tp" localSheetId="66">#REF!</definedName>
    <definedName name="S_Tp">#REF!</definedName>
    <definedName name="saasawqw">[12]Notes!$A$15</definedName>
    <definedName name="sadqe">'[12]P&amp;L Group'!$A$58</definedName>
    <definedName name="sahshs" localSheetId="70">'[25]04REL'!#REF!</definedName>
    <definedName name="sahshs" localSheetId="52">'[25]04REL'!#REF!</definedName>
    <definedName name="sahshs" localSheetId="58">'[25]04REL'!#REF!</definedName>
    <definedName name="sahshs" localSheetId="57">'[25]04REL'!#REF!</definedName>
    <definedName name="sahshs" localSheetId="64">'[25]04REL'!#REF!</definedName>
    <definedName name="sahshs" localSheetId="67">'[25]04REL'!#REF!</definedName>
    <definedName name="sahshs" localSheetId="65">'[25]04REL'!#REF!</definedName>
    <definedName name="sahshs" localSheetId="68">'[25]04REL'!#REF!</definedName>
    <definedName name="sahshs" localSheetId="71">'[25]04REL'!#REF!</definedName>
    <definedName name="sahshs" localSheetId="44">'[25]04REL'!#REF!</definedName>
    <definedName name="sahshs" localSheetId="45">'[25]04REL'!#REF!</definedName>
    <definedName name="sahshs" localSheetId="48">'[25]04REL'!#REF!</definedName>
    <definedName name="sahshs" localSheetId="27">'[25]04REL'!#REF!</definedName>
    <definedName name="sahshs" localSheetId="28">'[25]04REL'!#REF!</definedName>
    <definedName name="sahshs" localSheetId="29">'[25]04REL'!#REF!</definedName>
    <definedName name="sahshs" localSheetId="66">'[25]04REL'!#REF!</definedName>
    <definedName name="sahshs">'[25]04REL'!#REF!</definedName>
    <definedName name="SALES" localSheetId="70">'[5]Financial Estimates'!#REF!</definedName>
    <definedName name="SALES" localSheetId="52">'[5]Financial Estimates'!#REF!</definedName>
    <definedName name="SALES" localSheetId="58">'[5]Financial Estimates'!#REF!</definedName>
    <definedName name="SALES" localSheetId="57">'[5]Financial Estimates'!#REF!</definedName>
    <definedName name="SALES" localSheetId="64">'[5]Financial Estimates'!#REF!</definedName>
    <definedName name="SALES" localSheetId="67">'[5]Financial Estimates'!#REF!</definedName>
    <definedName name="SALES" localSheetId="65">'[5]Financial Estimates'!#REF!</definedName>
    <definedName name="SALES" localSheetId="68">'[5]Financial Estimates'!#REF!</definedName>
    <definedName name="SALES" localSheetId="71">'[5]Financial Estimates'!#REF!</definedName>
    <definedName name="SALES" localSheetId="44">'[5]Financial Estimates'!#REF!</definedName>
    <definedName name="SALES" localSheetId="45">'[5]Financial Estimates'!#REF!</definedName>
    <definedName name="SALES" localSheetId="27">'[5]Financial Estimates'!#REF!</definedName>
    <definedName name="SALES" localSheetId="28">'[5]Financial Estimates'!#REF!</definedName>
    <definedName name="SALES" localSheetId="29">'[5]Financial Estimates'!#REF!</definedName>
    <definedName name="SALES" localSheetId="66">'[5]Financial Estimates'!#REF!</definedName>
    <definedName name="SALES">'[5]Financial Estimates'!#REF!</definedName>
    <definedName name="SALESPLAN" localSheetId="70">#REF!</definedName>
    <definedName name="SALESPLAN" localSheetId="52">#REF!</definedName>
    <definedName name="SALESPLAN" localSheetId="58">#REF!</definedName>
    <definedName name="SALESPLAN" localSheetId="56">#REF!</definedName>
    <definedName name="SALESPLAN" localSheetId="57">#REF!</definedName>
    <definedName name="SALESPLAN" localSheetId="64">#REF!</definedName>
    <definedName name="SALESPLAN" localSheetId="67">#REF!</definedName>
    <definedName name="SALESPLAN" localSheetId="65">#REF!</definedName>
    <definedName name="SALESPLAN" localSheetId="68">#REF!</definedName>
    <definedName name="SALESPLAN" localSheetId="71">#REF!</definedName>
    <definedName name="SALESPLAN" localSheetId="44">#REF!</definedName>
    <definedName name="SALESPLAN" localSheetId="45">#REF!</definedName>
    <definedName name="SALESPLAN" localSheetId="17">#REF!</definedName>
    <definedName name="SALESPLAN" localSheetId="27">#REF!</definedName>
    <definedName name="SALESPLAN" localSheetId="72">#REF!</definedName>
    <definedName name="SALESPLAN" localSheetId="28">#REF!</definedName>
    <definedName name="SALESPLAN" localSheetId="29">#REF!</definedName>
    <definedName name="SALESPLAN" localSheetId="66">#REF!</definedName>
    <definedName name="SALESPLAN">#REF!</definedName>
    <definedName name="SALESPROJ" localSheetId="70">#REF!</definedName>
    <definedName name="SALESPROJ" localSheetId="52">#REF!</definedName>
    <definedName name="SALESPROJ" localSheetId="58">#REF!</definedName>
    <definedName name="SALESPROJ" localSheetId="57">#REF!</definedName>
    <definedName name="SALESPROJ" localSheetId="64">#REF!</definedName>
    <definedName name="SALESPROJ" localSheetId="67">#REF!</definedName>
    <definedName name="SALESPROJ" localSheetId="65">#REF!</definedName>
    <definedName name="SALESPROJ" localSheetId="68">#REF!</definedName>
    <definedName name="SALESPROJ" localSheetId="71">#REF!</definedName>
    <definedName name="SALESPROJ" localSheetId="44">#REF!</definedName>
    <definedName name="SALESPROJ" localSheetId="45">#REF!</definedName>
    <definedName name="SALESPROJ" localSheetId="17">#REF!</definedName>
    <definedName name="SALESPROJ" localSheetId="27">#REF!</definedName>
    <definedName name="SALESPROJ" localSheetId="72">#REF!</definedName>
    <definedName name="SALESPROJ" localSheetId="28">#REF!</definedName>
    <definedName name="SALESPROJ" localSheetId="29">#REF!</definedName>
    <definedName name="SALESPROJ" localSheetId="66">#REF!</definedName>
    <definedName name="SALESPROJ">#REF!</definedName>
    <definedName name="SAN">#N/A</definedName>
    <definedName name="SAP.003.SPA224_VALVES.KFP_AABBCC_CODE_VALVES" localSheetId="70">#REF!</definedName>
    <definedName name="SAP.003.SPA224_VALVES.KFP_AABBCC_CODE_VALVES" localSheetId="52">#REF!</definedName>
    <definedName name="SAP.003.SPA224_VALVES.KFP_AABBCC_CODE_VALVES" localSheetId="58">#REF!</definedName>
    <definedName name="SAP.003.SPA224_VALVES.KFP_AABBCC_CODE_VALVES" localSheetId="56">#REF!</definedName>
    <definedName name="SAP.003.SPA224_VALVES.KFP_AABBCC_CODE_VALVES" localSheetId="57">#REF!</definedName>
    <definedName name="SAP.003.SPA224_VALVES.KFP_AABBCC_CODE_VALVES" localSheetId="64">#REF!</definedName>
    <definedName name="SAP.003.SPA224_VALVES.KFP_AABBCC_CODE_VALVES" localSheetId="67">#REF!</definedName>
    <definedName name="SAP.003.SPA224_VALVES.KFP_AABBCC_CODE_VALVES" localSheetId="65">#REF!</definedName>
    <definedName name="SAP.003.SPA224_VALVES.KFP_AABBCC_CODE_VALVES" localSheetId="68">#REF!</definedName>
    <definedName name="SAP.003.SPA224_VALVES.KFP_AABBCC_CODE_VALVES" localSheetId="71">#REF!</definedName>
    <definedName name="SAP.003.SPA224_VALVES.KFP_AABBCC_CODE_VALVES" localSheetId="44">#REF!</definedName>
    <definedName name="SAP.003.SPA224_VALVES.KFP_AABBCC_CODE_VALVES" localSheetId="45">#REF!</definedName>
    <definedName name="SAP.003.SPA224_VALVES.KFP_AABBCC_CODE_VALVES" localSheetId="17">#REF!</definedName>
    <definedName name="SAP.003.SPA224_VALVES.KFP_AABBCC_CODE_VALVES" localSheetId="27">#REF!</definedName>
    <definedName name="SAP.003.SPA224_VALVES.KFP_AABBCC_CODE_VALVES" localSheetId="72">#REF!</definedName>
    <definedName name="SAP.003.SPA224_VALVES.KFP_AABBCC_CODE_VALVES" localSheetId="28">#REF!</definedName>
    <definedName name="SAP.003.SPA224_VALVES.KFP_AABBCC_CODE_VALVES" localSheetId="29">#REF!</definedName>
    <definedName name="SAP.003.SPA224_VALVES.KFP_AABBCC_CODE_VALVES" localSheetId="66">#REF!</definedName>
    <definedName name="SAP.003.SPA224_VALVES.KFP_AABBCC_CODE_VALVES">#REF!</definedName>
    <definedName name="SAP.003.SPA224_VALVES.KFP_CASING_MATERIAL" localSheetId="70">#REF!</definedName>
    <definedName name="SAP.003.SPA224_VALVES.KFP_CASING_MATERIAL" localSheetId="52">#REF!</definedName>
    <definedName name="SAP.003.SPA224_VALVES.KFP_CASING_MATERIAL" localSheetId="58">#REF!</definedName>
    <definedName name="SAP.003.SPA224_VALVES.KFP_CASING_MATERIAL" localSheetId="57">#REF!</definedName>
    <definedName name="SAP.003.SPA224_VALVES.KFP_CASING_MATERIAL" localSheetId="64">#REF!</definedName>
    <definedName name="SAP.003.SPA224_VALVES.KFP_CASING_MATERIAL" localSheetId="67">#REF!</definedName>
    <definedName name="SAP.003.SPA224_VALVES.KFP_CASING_MATERIAL" localSheetId="65">#REF!</definedName>
    <definedName name="SAP.003.SPA224_VALVES.KFP_CASING_MATERIAL" localSheetId="68">#REF!</definedName>
    <definedName name="SAP.003.SPA224_VALVES.KFP_CASING_MATERIAL" localSheetId="71">#REF!</definedName>
    <definedName name="SAP.003.SPA224_VALVES.KFP_CASING_MATERIAL" localSheetId="44">#REF!</definedName>
    <definedName name="SAP.003.SPA224_VALVES.KFP_CASING_MATERIAL" localSheetId="45">#REF!</definedName>
    <definedName name="SAP.003.SPA224_VALVES.KFP_CASING_MATERIAL" localSheetId="17">#REF!</definedName>
    <definedName name="SAP.003.SPA224_VALVES.KFP_CASING_MATERIAL" localSheetId="27">#REF!</definedName>
    <definedName name="SAP.003.SPA224_VALVES.KFP_CASING_MATERIAL" localSheetId="72">#REF!</definedName>
    <definedName name="SAP.003.SPA224_VALVES.KFP_CASING_MATERIAL" localSheetId="28">#REF!</definedName>
    <definedName name="SAP.003.SPA224_VALVES.KFP_CASING_MATERIAL" localSheetId="29">#REF!</definedName>
    <definedName name="SAP.003.SPA224_VALVES.KFP_CASING_MATERIAL" localSheetId="66">#REF!</definedName>
    <definedName name="SAP.003.SPA224_VALVES.KFP_CASING_MATERIAL">#REF!</definedName>
    <definedName name="SAP.003.SPA224_VALVES.KFP_DESCRIPTION" localSheetId="70">#REF!</definedName>
    <definedName name="SAP.003.SPA224_VALVES.KFP_DESCRIPTION" localSheetId="52">#REF!</definedName>
    <definedName name="SAP.003.SPA224_VALVES.KFP_DESCRIPTION" localSheetId="58">#REF!</definedName>
    <definedName name="SAP.003.SPA224_VALVES.KFP_DESCRIPTION" localSheetId="57">#REF!</definedName>
    <definedName name="SAP.003.SPA224_VALVES.KFP_DESCRIPTION" localSheetId="64">#REF!</definedName>
    <definedName name="SAP.003.SPA224_VALVES.KFP_DESCRIPTION" localSheetId="67">#REF!</definedName>
    <definedName name="SAP.003.SPA224_VALVES.KFP_DESCRIPTION" localSheetId="65">#REF!</definedName>
    <definedName name="SAP.003.SPA224_VALVES.KFP_DESCRIPTION" localSheetId="68">#REF!</definedName>
    <definedName name="SAP.003.SPA224_VALVES.KFP_DESCRIPTION" localSheetId="71">#REF!</definedName>
    <definedName name="SAP.003.SPA224_VALVES.KFP_DESCRIPTION" localSheetId="44">#REF!</definedName>
    <definedName name="SAP.003.SPA224_VALVES.KFP_DESCRIPTION" localSheetId="45">#REF!</definedName>
    <definedName name="SAP.003.SPA224_VALVES.KFP_DESCRIPTION" localSheetId="17">#REF!</definedName>
    <definedName name="SAP.003.SPA224_VALVES.KFP_DESCRIPTION" localSheetId="27">#REF!</definedName>
    <definedName name="SAP.003.SPA224_VALVES.KFP_DESCRIPTION" localSheetId="72">#REF!</definedName>
    <definedName name="SAP.003.SPA224_VALVES.KFP_DESCRIPTION" localSheetId="28">#REF!</definedName>
    <definedName name="SAP.003.SPA224_VALVES.KFP_DESCRIPTION" localSheetId="29">#REF!</definedName>
    <definedName name="SAP.003.SPA224_VALVES.KFP_DESCRIPTION" localSheetId="66">#REF!</definedName>
    <definedName name="SAP.003.SPA224_VALVES.KFP_DESCRIPTION">#REF!</definedName>
    <definedName name="SAP.003.SPA224_VALVES.KFP_DESCRIPTION_NATIVE" localSheetId="70">#REF!</definedName>
    <definedName name="SAP.003.SPA224_VALVES.KFP_DESCRIPTION_NATIVE" localSheetId="52">#REF!</definedName>
    <definedName name="SAP.003.SPA224_VALVES.KFP_DESCRIPTION_NATIVE" localSheetId="58">#REF!</definedName>
    <definedName name="SAP.003.SPA224_VALVES.KFP_DESCRIPTION_NATIVE" localSheetId="57">#REF!</definedName>
    <definedName name="SAP.003.SPA224_VALVES.KFP_DESCRIPTION_NATIVE" localSheetId="64">#REF!</definedName>
    <definedName name="SAP.003.SPA224_VALVES.KFP_DESCRIPTION_NATIVE" localSheetId="67">#REF!</definedName>
    <definedName name="SAP.003.SPA224_VALVES.KFP_DESCRIPTION_NATIVE" localSheetId="65">#REF!</definedName>
    <definedName name="SAP.003.SPA224_VALVES.KFP_DESCRIPTION_NATIVE" localSheetId="68">#REF!</definedName>
    <definedName name="SAP.003.SPA224_VALVES.KFP_DESCRIPTION_NATIVE" localSheetId="71">#REF!</definedName>
    <definedName name="SAP.003.SPA224_VALVES.KFP_DESCRIPTION_NATIVE" localSheetId="44">#REF!</definedName>
    <definedName name="SAP.003.SPA224_VALVES.KFP_DESCRIPTION_NATIVE" localSheetId="45">#REF!</definedName>
    <definedName name="SAP.003.SPA224_VALVES.KFP_DESCRIPTION_NATIVE" localSheetId="27">#REF!</definedName>
    <definedName name="SAP.003.SPA224_VALVES.KFP_DESCRIPTION_NATIVE" localSheetId="28">#REF!</definedName>
    <definedName name="SAP.003.SPA224_VALVES.KFP_DESCRIPTION_NATIVE" localSheetId="29">#REF!</definedName>
    <definedName name="SAP.003.SPA224_VALVES.KFP_DESCRIPTION_NATIVE" localSheetId="66">#REF!</definedName>
    <definedName name="SAP.003.SPA224_VALVES.KFP_DESCRIPTION_NATIVE">#REF!</definedName>
    <definedName name="SAP.003.SPA224_VALVES.KFP_DIMENSION_CONNECT_INLET" localSheetId="70">#REF!</definedName>
    <definedName name="SAP.003.SPA224_VALVES.KFP_DIMENSION_CONNECT_INLET" localSheetId="52">#REF!</definedName>
    <definedName name="SAP.003.SPA224_VALVES.KFP_DIMENSION_CONNECT_INLET" localSheetId="58">#REF!</definedName>
    <definedName name="SAP.003.SPA224_VALVES.KFP_DIMENSION_CONNECT_INLET" localSheetId="57">#REF!</definedName>
    <definedName name="SAP.003.SPA224_VALVES.KFP_DIMENSION_CONNECT_INLET" localSheetId="64">#REF!</definedName>
    <definedName name="SAP.003.SPA224_VALVES.KFP_DIMENSION_CONNECT_INLET" localSheetId="67">#REF!</definedName>
    <definedName name="SAP.003.SPA224_VALVES.KFP_DIMENSION_CONNECT_INLET" localSheetId="65">#REF!</definedName>
    <definedName name="SAP.003.SPA224_VALVES.KFP_DIMENSION_CONNECT_INLET" localSheetId="68">#REF!</definedName>
    <definedName name="SAP.003.SPA224_VALVES.KFP_DIMENSION_CONNECT_INLET" localSheetId="71">#REF!</definedName>
    <definedName name="SAP.003.SPA224_VALVES.KFP_DIMENSION_CONNECT_INLET" localSheetId="44">#REF!</definedName>
    <definedName name="SAP.003.SPA224_VALVES.KFP_DIMENSION_CONNECT_INLET" localSheetId="45">#REF!</definedName>
    <definedName name="SAP.003.SPA224_VALVES.KFP_DIMENSION_CONNECT_INLET" localSheetId="27">#REF!</definedName>
    <definedName name="SAP.003.SPA224_VALVES.KFP_DIMENSION_CONNECT_INLET" localSheetId="28">#REF!</definedName>
    <definedName name="SAP.003.SPA224_VALVES.KFP_DIMENSION_CONNECT_INLET" localSheetId="29">#REF!</definedName>
    <definedName name="SAP.003.SPA224_VALVES.KFP_DIMENSION_CONNECT_INLET" localSheetId="66">#REF!</definedName>
    <definedName name="SAP.003.SPA224_VALVES.KFP_DIMENSION_CONNECT_INLET">#REF!</definedName>
    <definedName name="SAP.003.SPA224_VALVES.KFP_DIMENSION_CONNECT_OUTLET" localSheetId="70">#REF!</definedName>
    <definedName name="SAP.003.SPA224_VALVES.KFP_DIMENSION_CONNECT_OUTLET" localSheetId="52">#REF!</definedName>
    <definedName name="SAP.003.SPA224_VALVES.KFP_DIMENSION_CONNECT_OUTLET" localSheetId="58">#REF!</definedName>
    <definedName name="SAP.003.SPA224_VALVES.KFP_DIMENSION_CONNECT_OUTLET" localSheetId="57">#REF!</definedName>
    <definedName name="SAP.003.SPA224_VALVES.KFP_DIMENSION_CONNECT_OUTLET" localSheetId="64">#REF!</definedName>
    <definedName name="SAP.003.SPA224_VALVES.KFP_DIMENSION_CONNECT_OUTLET" localSheetId="67">#REF!</definedName>
    <definedName name="SAP.003.SPA224_VALVES.KFP_DIMENSION_CONNECT_OUTLET" localSheetId="65">#REF!</definedName>
    <definedName name="SAP.003.SPA224_VALVES.KFP_DIMENSION_CONNECT_OUTLET" localSheetId="68">#REF!</definedName>
    <definedName name="SAP.003.SPA224_VALVES.KFP_DIMENSION_CONNECT_OUTLET" localSheetId="71">#REF!</definedName>
    <definedName name="SAP.003.SPA224_VALVES.KFP_DIMENSION_CONNECT_OUTLET" localSheetId="44">#REF!</definedName>
    <definedName name="SAP.003.SPA224_VALVES.KFP_DIMENSION_CONNECT_OUTLET" localSheetId="45">#REF!</definedName>
    <definedName name="SAP.003.SPA224_VALVES.KFP_DIMENSION_CONNECT_OUTLET" localSheetId="27">#REF!</definedName>
    <definedName name="SAP.003.SPA224_VALVES.KFP_DIMENSION_CONNECT_OUTLET" localSheetId="28">#REF!</definedName>
    <definedName name="SAP.003.SPA224_VALVES.KFP_DIMENSION_CONNECT_OUTLET" localSheetId="29">#REF!</definedName>
    <definedName name="SAP.003.SPA224_VALVES.KFP_DIMENSION_CONNECT_OUTLET" localSheetId="66">#REF!</definedName>
    <definedName name="SAP.003.SPA224_VALVES.KFP_DIMENSION_CONNECT_OUTLET">#REF!</definedName>
    <definedName name="SAP.003.SPA224_VALVES.KFP_DRAWING_NUMBER" localSheetId="70">#REF!</definedName>
    <definedName name="SAP.003.SPA224_VALVES.KFP_DRAWING_NUMBER" localSheetId="52">#REF!</definedName>
    <definedName name="SAP.003.SPA224_VALVES.KFP_DRAWING_NUMBER" localSheetId="58">#REF!</definedName>
    <definedName name="SAP.003.SPA224_VALVES.KFP_DRAWING_NUMBER" localSheetId="57">#REF!</definedName>
    <definedName name="SAP.003.SPA224_VALVES.KFP_DRAWING_NUMBER" localSheetId="64">#REF!</definedName>
    <definedName name="SAP.003.SPA224_VALVES.KFP_DRAWING_NUMBER" localSheetId="67">#REF!</definedName>
    <definedName name="SAP.003.SPA224_VALVES.KFP_DRAWING_NUMBER" localSheetId="65">#REF!</definedName>
    <definedName name="SAP.003.SPA224_VALVES.KFP_DRAWING_NUMBER" localSheetId="68">#REF!</definedName>
    <definedName name="SAP.003.SPA224_VALVES.KFP_DRAWING_NUMBER" localSheetId="71">#REF!</definedName>
    <definedName name="SAP.003.SPA224_VALVES.KFP_DRAWING_NUMBER" localSheetId="44">#REF!</definedName>
    <definedName name="SAP.003.SPA224_VALVES.KFP_DRAWING_NUMBER" localSheetId="45">#REF!</definedName>
    <definedName name="SAP.003.SPA224_VALVES.KFP_DRAWING_NUMBER" localSheetId="27">#REF!</definedName>
    <definedName name="SAP.003.SPA224_VALVES.KFP_DRAWING_NUMBER" localSheetId="28">#REF!</definedName>
    <definedName name="SAP.003.SPA224_VALVES.KFP_DRAWING_NUMBER" localSheetId="29">#REF!</definedName>
    <definedName name="SAP.003.SPA224_VALVES.KFP_DRAWING_NUMBER" localSheetId="66">#REF!</definedName>
    <definedName name="SAP.003.SPA224_VALVES.KFP_DRAWING_NUMBER">#REF!</definedName>
    <definedName name="SAP.003.SPA224_VALVES.KFP_ENGINEERING_SZENARIO" localSheetId="70">#REF!</definedName>
    <definedName name="SAP.003.SPA224_VALVES.KFP_ENGINEERING_SZENARIO" localSheetId="52">#REF!</definedName>
    <definedName name="SAP.003.SPA224_VALVES.KFP_ENGINEERING_SZENARIO" localSheetId="58">#REF!</definedName>
    <definedName name="SAP.003.SPA224_VALVES.KFP_ENGINEERING_SZENARIO" localSheetId="57">#REF!</definedName>
    <definedName name="SAP.003.SPA224_VALVES.KFP_ENGINEERING_SZENARIO" localSheetId="64">#REF!</definedName>
    <definedName name="SAP.003.SPA224_VALVES.KFP_ENGINEERING_SZENARIO" localSheetId="67">#REF!</definedName>
    <definedName name="SAP.003.SPA224_VALVES.KFP_ENGINEERING_SZENARIO" localSheetId="65">#REF!</definedName>
    <definedName name="SAP.003.SPA224_VALVES.KFP_ENGINEERING_SZENARIO" localSheetId="68">#REF!</definedName>
    <definedName name="SAP.003.SPA224_VALVES.KFP_ENGINEERING_SZENARIO" localSheetId="71">#REF!</definedName>
    <definedName name="SAP.003.SPA224_VALVES.KFP_ENGINEERING_SZENARIO" localSheetId="44">#REF!</definedName>
    <definedName name="SAP.003.SPA224_VALVES.KFP_ENGINEERING_SZENARIO" localSheetId="45">#REF!</definedName>
    <definedName name="SAP.003.SPA224_VALVES.KFP_ENGINEERING_SZENARIO" localSheetId="27">#REF!</definedName>
    <definedName name="SAP.003.SPA224_VALVES.KFP_ENGINEERING_SZENARIO" localSheetId="28">#REF!</definedName>
    <definedName name="SAP.003.SPA224_VALVES.KFP_ENGINEERING_SZENARIO" localSheetId="29">#REF!</definedName>
    <definedName name="SAP.003.SPA224_VALVES.KFP_ENGINEERING_SZENARIO" localSheetId="66">#REF!</definedName>
    <definedName name="SAP.003.SPA224_VALVES.KFP_ENGINEERING_SZENARIO">#REF!</definedName>
    <definedName name="SAP.003.SPA224_VALVES.KFP_KKS" localSheetId="70">#REF!</definedName>
    <definedName name="SAP.003.SPA224_VALVES.KFP_KKS" localSheetId="52">#REF!</definedName>
    <definedName name="SAP.003.SPA224_VALVES.KFP_KKS" localSheetId="58">#REF!</definedName>
    <definedName name="SAP.003.SPA224_VALVES.KFP_KKS" localSheetId="57">#REF!</definedName>
    <definedName name="SAP.003.SPA224_VALVES.KFP_KKS" localSheetId="64">#REF!</definedName>
    <definedName name="SAP.003.SPA224_VALVES.KFP_KKS" localSheetId="67">#REF!</definedName>
    <definedName name="SAP.003.SPA224_VALVES.KFP_KKS" localSheetId="65">#REF!</definedName>
    <definedName name="SAP.003.SPA224_VALVES.KFP_KKS" localSheetId="68">#REF!</definedName>
    <definedName name="SAP.003.SPA224_VALVES.KFP_KKS" localSheetId="71">#REF!</definedName>
    <definedName name="SAP.003.SPA224_VALVES.KFP_KKS" localSheetId="44">#REF!</definedName>
    <definedName name="SAP.003.SPA224_VALVES.KFP_KKS" localSheetId="45">#REF!</definedName>
    <definedName name="SAP.003.SPA224_VALVES.KFP_KKS" localSheetId="27">#REF!</definedName>
    <definedName name="SAP.003.SPA224_VALVES.KFP_KKS" localSheetId="28">#REF!</definedName>
    <definedName name="SAP.003.SPA224_VALVES.KFP_KKS" localSheetId="29">#REF!</definedName>
    <definedName name="SAP.003.SPA224_VALVES.KFP_KKS" localSheetId="66">#REF!</definedName>
    <definedName name="SAP.003.SPA224_VALVES.KFP_KKS">#REF!</definedName>
    <definedName name="SAP.003.SPA224_VALVES.KFP_KWU_VALVE_TYPE_CODE_1" localSheetId="70">#REF!</definedName>
    <definedName name="SAP.003.SPA224_VALVES.KFP_KWU_VALVE_TYPE_CODE_1" localSheetId="52">#REF!</definedName>
    <definedName name="SAP.003.SPA224_VALVES.KFP_KWU_VALVE_TYPE_CODE_1" localSheetId="58">#REF!</definedName>
    <definedName name="SAP.003.SPA224_VALVES.KFP_KWU_VALVE_TYPE_CODE_1" localSheetId="57">#REF!</definedName>
    <definedName name="SAP.003.SPA224_VALVES.KFP_KWU_VALVE_TYPE_CODE_1" localSheetId="64">#REF!</definedName>
    <definedName name="SAP.003.SPA224_VALVES.KFP_KWU_VALVE_TYPE_CODE_1" localSheetId="67">#REF!</definedName>
    <definedName name="SAP.003.SPA224_VALVES.KFP_KWU_VALVE_TYPE_CODE_1" localSheetId="65">#REF!</definedName>
    <definedName name="SAP.003.SPA224_VALVES.KFP_KWU_VALVE_TYPE_CODE_1" localSheetId="68">#REF!</definedName>
    <definedName name="SAP.003.SPA224_VALVES.KFP_KWU_VALVE_TYPE_CODE_1" localSheetId="71">#REF!</definedName>
    <definedName name="SAP.003.SPA224_VALVES.KFP_KWU_VALVE_TYPE_CODE_1" localSheetId="44">#REF!</definedName>
    <definedName name="SAP.003.SPA224_VALVES.KFP_KWU_VALVE_TYPE_CODE_1" localSheetId="45">#REF!</definedName>
    <definedName name="SAP.003.SPA224_VALVES.KFP_KWU_VALVE_TYPE_CODE_1" localSheetId="27">#REF!</definedName>
    <definedName name="SAP.003.SPA224_VALVES.KFP_KWU_VALVE_TYPE_CODE_1" localSheetId="28">#REF!</definedName>
    <definedName name="SAP.003.SPA224_VALVES.KFP_KWU_VALVE_TYPE_CODE_1" localSheetId="29">#REF!</definedName>
    <definedName name="SAP.003.SPA224_VALVES.KFP_KWU_VALVE_TYPE_CODE_1" localSheetId="66">#REF!</definedName>
    <definedName name="SAP.003.SPA224_VALVES.KFP_KWU_VALVE_TYPE_CODE_1">#REF!</definedName>
    <definedName name="SAP.003.SPA224_VALVES.KFP_KWU_VALVE_TYPE_CODE_2" localSheetId="70">#REF!</definedName>
    <definedName name="SAP.003.SPA224_VALVES.KFP_KWU_VALVE_TYPE_CODE_2" localSheetId="52">#REF!</definedName>
    <definedName name="SAP.003.SPA224_VALVES.KFP_KWU_VALVE_TYPE_CODE_2" localSheetId="58">#REF!</definedName>
    <definedName name="SAP.003.SPA224_VALVES.KFP_KWU_VALVE_TYPE_CODE_2" localSheetId="57">#REF!</definedName>
    <definedName name="SAP.003.SPA224_VALVES.KFP_KWU_VALVE_TYPE_CODE_2" localSheetId="64">#REF!</definedName>
    <definedName name="SAP.003.SPA224_VALVES.KFP_KWU_VALVE_TYPE_CODE_2" localSheetId="67">#REF!</definedName>
    <definedName name="SAP.003.SPA224_VALVES.KFP_KWU_VALVE_TYPE_CODE_2" localSheetId="65">#REF!</definedName>
    <definedName name="SAP.003.SPA224_VALVES.KFP_KWU_VALVE_TYPE_CODE_2" localSheetId="68">#REF!</definedName>
    <definedName name="SAP.003.SPA224_VALVES.KFP_KWU_VALVE_TYPE_CODE_2" localSheetId="71">#REF!</definedName>
    <definedName name="SAP.003.SPA224_VALVES.KFP_KWU_VALVE_TYPE_CODE_2" localSheetId="44">#REF!</definedName>
    <definedName name="SAP.003.SPA224_VALVES.KFP_KWU_VALVE_TYPE_CODE_2" localSheetId="45">#REF!</definedName>
    <definedName name="SAP.003.SPA224_VALVES.KFP_KWU_VALVE_TYPE_CODE_2" localSheetId="27">#REF!</definedName>
    <definedName name="SAP.003.SPA224_VALVES.KFP_KWU_VALVE_TYPE_CODE_2" localSheetId="28">#REF!</definedName>
    <definedName name="SAP.003.SPA224_VALVES.KFP_KWU_VALVE_TYPE_CODE_2" localSheetId="29">#REF!</definedName>
    <definedName name="SAP.003.SPA224_VALVES.KFP_KWU_VALVE_TYPE_CODE_2" localSheetId="66">#REF!</definedName>
    <definedName name="SAP.003.SPA224_VALVES.KFP_KWU_VALVE_TYPE_CODE_2">#REF!</definedName>
    <definedName name="SAP.003.SPA224_VALVES.KFP_MANUFACTURER" localSheetId="70">#REF!</definedName>
    <definedName name="SAP.003.SPA224_VALVES.KFP_MANUFACTURER" localSheetId="52">#REF!</definedName>
    <definedName name="SAP.003.SPA224_VALVES.KFP_MANUFACTURER" localSheetId="58">#REF!</definedName>
    <definedName name="SAP.003.SPA224_VALVES.KFP_MANUFACTURER" localSheetId="57">#REF!</definedName>
    <definedName name="SAP.003.SPA224_VALVES.KFP_MANUFACTURER" localSheetId="64">#REF!</definedName>
    <definedName name="SAP.003.SPA224_VALVES.KFP_MANUFACTURER" localSheetId="67">#REF!</definedName>
    <definedName name="SAP.003.SPA224_VALVES.KFP_MANUFACTURER" localSheetId="65">#REF!</definedName>
    <definedName name="SAP.003.SPA224_VALVES.KFP_MANUFACTURER" localSheetId="68">#REF!</definedName>
    <definedName name="SAP.003.SPA224_VALVES.KFP_MANUFACTURER" localSheetId="71">#REF!</definedName>
    <definedName name="SAP.003.SPA224_VALVES.KFP_MANUFACTURER" localSheetId="44">#REF!</definedName>
    <definedName name="SAP.003.SPA224_VALVES.KFP_MANUFACTURER" localSheetId="45">#REF!</definedName>
    <definedName name="SAP.003.SPA224_VALVES.KFP_MANUFACTURER" localSheetId="27">#REF!</definedName>
    <definedName name="SAP.003.SPA224_VALVES.KFP_MANUFACTURER" localSheetId="28">#REF!</definedName>
    <definedName name="SAP.003.SPA224_VALVES.KFP_MANUFACTURER" localSheetId="29">#REF!</definedName>
    <definedName name="SAP.003.SPA224_VALVES.KFP_MANUFACTURER" localSheetId="66">#REF!</definedName>
    <definedName name="SAP.003.SPA224_VALVES.KFP_MANUFACTURER">#REF!</definedName>
    <definedName name="SAP.003.SPA224_VALVES.KFP_MANUFACTURER_TYPE" localSheetId="70">#REF!</definedName>
    <definedName name="SAP.003.SPA224_VALVES.KFP_MANUFACTURER_TYPE" localSheetId="52">#REF!</definedName>
    <definedName name="SAP.003.SPA224_VALVES.KFP_MANUFACTURER_TYPE" localSheetId="58">#REF!</definedName>
    <definedName name="SAP.003.SPA224_VALVES.KFP_MANUFACTURER_TYPE" localSheetId="57">#REF!</definedName>
    <definedName name="SAP.003.SPA224_VALVES.KFP_MANUFACTURER_TYPE" localSheetId="64">#REF!</definedName>
    <definedName name="SAP.003.SPA224_VALVES.KFP_MANUFACTURER_TYPE" localSheetId="67">#REF!</definedName>
    <definedName name="SAP.003.SPA224_VALVES.KFP_MANUFACTURER_TYPE" localSheetId="65">#REF!</definedName>
    <definedName name="SAP.003.SPA224_VALVES.KFP_MANUFACTURER_TYPE" localSheetId="68">#REF!</definedName>
    <definedName name="SAP.003.SPA224_VALVES.KFP_MANUFACTURER_TYPE" localSheetId="71">#REF!</definedName>
    <definedName name="SAP.003.SPA224_VALVES.KFP_MANUFACTURER_TYPE" localSheetId="44">#REF!</definedName>
    <definedName name="SAP.003.SPA224_VALVES.KFP_MANUFACTURER_TYPE" localSheetId="45">#REF!</definedName>
    <definedName name="SAP.003.SPA224_VALVES.KFP_MANUFACTURER_TYPE" localSheetId="27">#REF!</definedName>
    <definedName name="SAP.003.SPA224_VALVES.KFP_MANUFACTURER_TYPE" localSheetId="28">#REF!</definedName>
    <definedName name="SAP.003.SPA224_VALVES.KFP_MANUFACTURER_TYPE" localSheetId="29">#REF!</definedName>
    <definedName name="SAP.003.SPA224_VALVES.KFP_MANUFACTURER_TYPE" localSheetId="66">#REF!</definedName>
    <definedName name="SAP.003.SPA224_VALVES.KFP_MANUFACTURER_TYPE">#REF!</definedName>
    <definedName name="SAP.003.SPA224_VALVES.KFP_MAX_ALLOWED_WORK_PRESSURE" localSheetId="70">#REF!</definedName>
    <definedName name="SAP.003.SPA224_VALVES.KFP_MAX_ALLOWED_WORK_PRESSURE" localSheetId="52">#REF!</definedName>
    <definedName name="SAP.003.SPA224_VALVES.KFP_MAX_ALLOWED_WORK_PRESSURE" localSheetId="58">#REF!</definedName>
    <definedName name="SAP.003.SPA224_VALVES.KFP_MAX_ALLOWED_WORK_PRESSURE" localSheetId="57">#REF!</definedName>
    <definedName name="SAP.003.SPA224_VALVES.KFP_MAX_ALLOWED_WORK_PRESSURE" localSheetId="64">#REF!</definedName>
    <definedName name="SAP.003.SPA224_VALVES.KFP_MAX_ALLOWED_WORK_PRESSURE" localSheetId="67">#REF!</definedName>
    <definedName name="SAP.003.SPA224_VALVES.KFP_MAX_ALLOWED_WORK_PRESSURE" localSheetId="65">#REF!</definedName>
    <definedName name="SAP.003.SPA224_VALVES.KFP_MAX_ALLOWED_WORK_PRESSURE" localSheetId="68">#REF!</definedName>
    <definedName name="SAP.003.SPA224_VALVES.KFP_MAX_ALLOWED_WORK_PRESSURE" localSheetId="71">#REF!</definedName>
    <definedName name="SAP.003.SPA224_VALVES.KFP_MAX_ALLOWED_WORK_PRESSURE" localSheetId="44">#REF!</definedName>
    <definedName name="SAP.003.SPA224_VALVES.KFP_MAX_ALLOWED_WORK_PRESSURE" localSheetId="45">#REF!</definedName>
    <definedName name="SAP.003.SPA224_VALVES.KFP_MAX_ALLOWED_WORK_PRESSURE" localSheetId="27">#REF!</definedName>
    <definedName name="SAP.003.SPA224_VALVES.KFP_MAX_ALLOWED_WORK_PRESSURE" localSheetId="28">#REF!</definedName>
    <definedName name="SAP.003.SPA224_VALVES.KFP_MAX_ALLOWED_WORK_PRESSURE" localSheetId="29">#REF!</definedName>
    <definedName name="SAP.003.SPA224_VALVES.KFP_MAX_ALLOWED_WORK_PRESSURE" localSheetId="66">#REF!</definedName>
    <definedName name="SAP.003.SPA224_VALVES.KFP_MAX_ALLOWED_WORK_PRESSURE">#REF!</definedName>
    <definedName name="SAP.003.SPA224_VALVES.KFP_MAX_ALLOWED_WORK_TEMP" localSheetId="70">#REF!</definedName>
    <definedName name="SAP.003.SPA224_VALVES.KFP_MAX_ALLOWED_WORK_TEMP" localSheetId="52">#REF!</definedName>
    <definedName name="SAP.003.SPA224_VALVES.KFP_MAX_ALLOWED_WORK_TEMP" localSheetId="58">#REF!</definedName>
    <definedName name="SAP.003.SPA224_VALVES.KFP_MAX_ALLOWED_WORK_TEMP" localSheetId="57">#REF!</definedName>
    <definedName name="SAP.003.SPA224_VALVES.KFP_MAX_ALLOWED_WORK_TEMP" localSheetId="64">#REF!</definedName>
    <definedName name="SAP.003.SPA224_VALVES.KFP_MAX_ALLOWED_WORK_TEMP" localSheetId="67">#REF!</definedName>
    <definedName name="SAP.003.SPA224_VALVES.KFP_MAX_ALLOWED_WORK_TEMP" localSheetId="65">#REF!</definedName>
    <definedName name="SAP.003.SPA224_VALVES.KFP_MAX_ALLOWED_WORK_TEMP" localSheetId="68">#REF!</definedName>
    <definedName name="SAP.003.SPA224_VALVES.KFP_MAX_ALLOWED_WORK_TEMP" localSheetId="71">#REF!</definedName>
    <definedName name="SAP.003.SPA224_VALVES.KFP_MAX_ALLOWED_WORK_TEMP" localSheetId="44">#REF!</definedName>
    <definedName name="SAP.003.SPA224_VALVES.KFP_MAX_ALLOWED_WORK_TEMP" localSheetId="45">#REF!</definedName>
    <definedName name="SAP.003.SPA224_VALVES.KFP_MAX_ALLOWED_WORK_TEMP" localSheetId="27">#REF!</definedName>
    <definedName name="SAP.003.SPA224_VALVES.KFP_MAX_ALLOWED_WORK_TEMP" localSheetId="28">#REF!</definedName>
    <definedName name="SAP.003.SPA224_VALVES.KFP_MAX_ALLOWED_WORK_TEMP" localSheetId="29">#REF!</definedName>
    <definedName name="SAP.003.SPA224_VALVES.KFP_MAX_ALLOWED_WORK_TEMP" localSheetId="66">#REF!</definedName>
    <definedName name="SAP.003.SPA224_VALVES.KFP_MAX_ALLOWED_WORK_TEMP">#REF!</definedName>
    <definedName name="SAP.003.SPA224_VALVES.KFP_MEDIUM" localSheetId="70">#REF!</definedName>
    <definedName name="SAP.003.SPA224_VALVES.KFP_MEDIUM" localSheetId="52">#REF!</definedName>
    <definedName name="SAP.003.SPA224_VALVES.KFP_MEDIUM" localSheetId="58">#REF!</definedName>
    <definedName name="SAP.003.SPA224_VALVES.KFP_MEDIUM" localSheetId="57">#REF!</definedName>
    <definedName name="SAP.003.SPA224_VALVES.KFP_MEDIUM" localSheetId="64">#REF!</definedName>
    <definedName name="SAP.003.SPA224_VALVES.KFP_MEDIUM" localSheetId="67">#REF!</definedName>
    <definedName name="SAP.003.SPA224_VALVES.KFP_MEDIUM" localSheetId="65">#REF!</definedName>
    <definedName name="SAP.003.SPA224_VALVES.KFP_MEDIUM" localSheetId="68">#REF!</definedName>
    <definedName name="SAP.003.SPA224_VALVES.KFP_MEDIUM" localSheetId="71">#REF!</definedName>
    <definedName name="SAP.003.SPA224_VALVES.KFP_MEDIUM" localSheetId="44">#REF!</definedName>
    <definedName name="SAP.003.SPA224_VALVES.KFP_MEDIUM" localSheetId="45">#REF!</definedName>
    <definedName name="SAP.003.SPA224_VALVES.KFP_MEDIUM" localSheetId="27">#REF!</definedName>
    <definedName name="SAP.003.SPA224_VALVES.KFP_MEDIUM" localSheetId="28">#REF!</definedName>
    <definedName name="SAP.003.SPA224_VALVES.KFP_MEDIUM" localSheetId="29">#REF!</definedName>
    <definedName name="SAP.003.SPA224_VALVES.KFP_MEDIUM" localSheetId="66">#REF!</definedName>
    <definedName name="SAP.003.SPA224_VALVES.KFP_MEDIUM">#REF!</definedName>
    <definedName name="SAP.003.SPA224_VALVES.KFP_MIN_ALLOWED_WORK_PRESSURE" localSheetId="70">#REF!</definedName>
    <definedName name="SAP.003.SPA224_VALVES.KFP_MIN_ALLOWED_WORK_PRESSURE" localSheetId="52">#REF!</definedName>
    <definedName name="SAP.003.SPA224_VALVES.KFP_MIN_ALLOWED_WORK_PRESSURE" localSheetId="58">#REF!</definedName>
    <definedName name="SAP.003.SPA224_VALVES.KFP_MIN_ALLOWED_WORK_PRESSURE" localSheetId="57">#REF!</definedName>
    <definedName name="SAP.003.SPA224_VALVES.KFP_MIN_ALLOWED_WORK_PRESSURE" localSheetId="64">#REF!</definedName>
    <definedName name="SAP.003.SPA224_VALVES.KFP_MIN_ALLOWED_WORK_PRESSURE" localSheetId="67">#REF!</definedName>
    <definedName name="SAP.003.SPA224_VALVES.KFP_MIN_ALLOWED_WORK_PRESSURE" localSheetId="65">#REF!</definedName>
    <definedName name="SAP.003.SPA224_VALVES.KFP_MIN_ALLOWED_WORK_PRESSURE" localSheetId="68">#REF!</definedName>
    <definedName name="SAP.003.SPA224_VALVES.KFP_MIN_ALLOWED_WORK_PRESSURE" localSheetId="71">#REF!</definedName>
    <definedName name="SAP.003.SPA224_VALVES.KFP_MIN_ALLOWED_WORK_PRESSURE" localSheetId="44">#REF!</definedName>
    <definedName name="SAP.003.SPA224_VALVES.KFP_MIN_ALLOWED_WORK_PRESSURE" localSheetId="45">#REF!</definedName>
    <definedName name="SAP.003.SPA224_VALVES.KFP_MIN_ALLOWED_WORK_PRESSURE" localSheetId="27">#REF!</definedName>
    <definedName name="SAP.003.SPA224_VALVES.KFP_MIN_ALLOWED_WORK_PRESSURE" localSheetId="28">#REF!</definedName>
    <definedName name="SAP.003.SPA224_VALVES.KFP_MIN_ALLOWED_WORK_PRESSURE" localSheetId="29">#REF!</definedName>
    <definedName name="SAP.003.SPA224_VALVES.KFP_MIN_ALLOWED_WORK_PRESSURE" localSheetId="66">#REF!</definedName>
    <definedName name="SAP.003.SPA224_VALVES.KFP_MIN_ALLOWED_WORK_PRESSURE">#REF!</definedName>
    <definedName name="SAP.003.SPA224_VALVES.KFP_NOMINAL_DIAMETER" localSheetId="70">#REF!</definedName>
    <definedName name="SAP.003.SPA224_VALVES.KFP_NOMINAL_DIAMETER" localSheetId="52">#REF!</definedName>
    <definedName name="SAP.003.SPA224_VALVES.KFP_NOMINAL_DIAMETER" localSheetId="58">#REF!</definedName>
    <definedName name="SAP.003.SPA224_VALVES.KFP_NOMINAL_DIAMETER" localSheetId="57">#REF!</definedName>
    <definedName name="SAP.003.SPA224_VALVES.KFP_NOMINAL_DIAMETER" localSheetId="64">#REF!</definedName>
    <definedName name="SAP.003.SPA224_VALVES.KFP_NOMINAL_DIAMETER" localSheetId="67">#REF!</definedName>
    <definedName name="SAP.003.SPA224_VALVES.KFP_NOMINAL_DIAMETER" localSheetId="65">#REF!</definedName>
    <definedName name="SAP.003.SPA224_VALVES.KFP_NOMINAL_DIAMETER" localSheetId="68">#REF!</definedName>
    <definedName name="SAP.003.SPA224_VALVES.KFP_NOMINAL_DIAMETER" localSheetId="71">#REF!</definedName>
    <definedName name="SAP.003.SPA224_VALVES.KFP_NOMINAL_DIAMETER" localSheetId="44">#REF!</definedName>
    <definedName name="SAP.003.SPA224_VALVES.KFP_NOMINAL_DIAMETER" localSheetId="45">#REF!</definedName>
    <definedName name="SAP.003.SPA224_VALVES.KFP_NOMINAL_DIAMETER" localSheetId="27">#REF!</definedName>
    <definedName name="SAP.003.SPA224_VALVES.KFP_NOMINAL_DIAMETER" localSheetId="28">#REF!</definedName>
    <definedName name="SAP.003.SPA224_VALVES.KFP_NOMINAL_DIAMETER" localSheetId="29">#REF!</definedName>
    <definedName name="SAP.003.SPA224_VALVES.KFP_NOMINAL_DIAMETER" localSheetId="66">#REF!</definedName>
    <definedName name="SAP.003.SPA224_VALVES.KFP_NOMINAL_DIAMETER">#REF!</definedName>
    <definedName name="SAP.003.SPA224_VALVES.KFP_NOMINAL_PRESSURE" localSheetId="70">#REF!</definedName>
    <definedName name="SAP.003.SPA224_VALVES.KFP_NOMINAL_PRESSURE" localSheetId="52">#REF!</definedName>
    <definedName name="SAP.003.SPA224_VALVES.KFP_NOMINAL_PRESSURE" localSheetId="58">#REF!</definedName>
    <definedName name="SAP.003.SPA224_VALVES.KFP_NOMINAL_PRESSURE" localSheetId="57">#REF!</definedName>
    <definedName name="SAP.003.SPA224_VALVES.KFP_NOMINAL_PRESSURE" localSheetId="64">#REF!</definedName>
    <definedName name="SAP.003.SPA224_VALVES.KFP_NOMINAL_PRESSURE" localSheetId="67">#REF!</definedName>
    <definedName name="SAP.003.SPA224_VALVES.KFP_NOMINAL_PRESSURE" localSheetId="65">#REF!</definedName>
    <definedName name="SAP.003.SPA224_VALVES.KFP_NOMINAL_PRESSURE" localSheetId="68">#REF!</definedName>
    <definedName name="SAP.003.SPA224_VALVES.KFP_NOMINAL_PRESSURE" localSheetId="71">#REF!</definedName>
    <definedName name="SAP.003.SPA224_VALVES.KFP_NOMINAL_PRESSURE" localSheetId="44">#REF!</definedName>
    <definedName name="SAP.003.SPA224_VALVES.KFP_NOMINAL_PRESSURE" localSheetId="45">#REF!</definedName>
    <definedName name="SAP.003.SPA224_VALVES.KFP_NOMINAL_PRESSURE" localSheetId="27">#REF!</definedName>
    <definedName name="SAP.003.SPA224_VALVES.KFP_NOMINAL_PRESSURE" localSheetId="28">#REF!</definedName>
    <definedName name="SAP.003.SPA224_VALVES.KFP_NOMINAL_PRESSURE" localSheetId="29">#REF!</definedName>
    <definedName name="SAP.003.SPA224_VALVES.KFP_NOMINAL_PRESSURE" localSheetId="66">#REF!</definedName>
    <definedName name="SAP.003.SPA224_VALVES.KFP_NOMINAL_PRESSURE">#REF!</definedName>
    <definedName name="SAP.003.SPA224_VALVES.KFP_ORIGIN_KEY" localSheetId="70">#REF!</definedName>
    <definedName name="SAP.003.SPA224_VALVES.KFP_ORIGIN_KEY" localSheetId="52">#REF!</definedName>
    <definedName name="SAP.003.SPA224_VALVES.KFP_ORIGIN_KEY" localSheetId="58">#REF!</definedName>
    <definedName name="SAP.003.SPA224_VALVES.KFP_ORIGIN_KEY" localSheetId="57">#REF!</definedName>
    <definedName name="SAP.003.SPA224_VALVES.KFP_ORIGIN_KEY" localSheetId="64">#REF!</definedName>
    <definedName name="SAP.003.SPA224_VALVES.KFP_ORIGIN_KEY" localSheetId="67">#REF!</definedName>
    <definedName name="SAP.003.SPA224_VALVES.KFP_ORIGIN_KEY" localSheetId="65">#REF!</definedName>
    <definedName name="SAP.003.SPA224_VALVES.KFP_ORIGIN_KEY" localSheetId="68">#REF!</definedName>
    <definedName name="SAP.003.SPA224_VALVES.KFP_ORIGIN_KEY" localSheetId="71">#REF!</definedName>
    <definedName name="SAP.003.SPA224_VALVES.KFP_ORIGIN_KEY" localSheetId="44">#REF!</definedName>
    <definedName name="SAP.003.SPA224_VALVES.KFP_ORIGIN_KEY" localSheetId="45">#REF!</definedName>
    <definedName name="SAP.003.SPA224_VALVES.KFP_ORIGIN_KEY" localSheetId="27">#REF!</definedName>
    <definedName name="SAP.003.SPA224_VALVES.KFP_ORIGIN_KEY" localSheetId="28">#REF!</definedName>
    <definedName name="SAP.003.SPA224_VALVES.KFP_ORIGIN_KEY" localSheetId="29">#REF!</definedName>
    <definedName name="SAP.003.SPA224_VALVES.KFP_ORIGIN_KEY" localSheetId="66">#REF!</definedName>
    <definedName name="SAP.003.SPA224_VALVES.KFP_ORIGIN_KEY">#REF!</definedName>
    <definedName name="SAP.003.SPA224_VALVES.KFP_PIPE_MATERIAL" localSheetId="70">#REF!</definedName>
    <definedName name="SAP.003.SPA224_VALVES.KFP_PIPE_MATERIAL" localSheetId="52">#REF!</definedName>
    <definedName name="SAP.003.SPA224_VALVES.KFP_PIPE_MATERIAL" localSheetId="58">#REF!</definedName>
    <definedName name="SAP.003.SPA224_VALVES.KFP_PIPE_MATERIAL" localSheetId="57">#REF!</definedName>
    <definedName name="SAP.003.SPA224_VALVES.KFP_PIPE_MATERIAL" localSheetId="64">#REF!</definedName>
    <definedName name="SAP.003.SPA224_VALVES.KFP_PIPE_MATERIAL" localSheetId="67">#REF!</definedName>
    <definedName name="SAP.003.SPA224_VALVES.KFP_PIPE_MATERIAL" localSheetId="65">#REF!</definedName>
    <definedName name="SAP.003.SPA224_VALVES.KFP_PIPE_MATERIAL" localSheetId="68">#REF!</definedName>
    <definedName name="SAP.003.SPA224_VALVES.KFP_PIPE_MATERIAL" localSheetId="71">#REF!</definedName>
    <definedName name="SAP.003.SPA224_VALVES.KFP_PIPE_MATERIAL" localSheetId="44">#REF!</definedName>
    <definedName name="SAP.003.SPA224_VALVES.KFP_PIPE_MATERIAL" localSheetId="45">#REF!</definedName>
    <definedName name="SAP.003.SPA224_VALVES.KFP_PIPE_MATERIAL" localSheetId="27">#REF!</definedName>
    <definedName name="SAP.003.SPA224_VALVES.KFP_PIPE_MATERIAL" localSheetId="28">#REF!</definedName>
    <definedName name="SAP.003.SPA224_VALVES.KFP_PIPE_MATERIAL" localSheetId="29">#REF!</definedName>
    <definedName name="SAP.003.SPA224_VALVES.KFP_PIPE_MATERIAL" localSheetId="66">#REF!</definedName>
    <definedName name="SAP.003.SPA224_VALVES.KFP_PIPE_MATERIAL">#REF!</definedName>
    <definedName name="SAP.003.SPA224_VALVES.KFP_REMARK_VALVES" localSheetId="70">#REF!</definedName>
    <definedName name="SAP.003.SPA224_VALVES.KFP_REMARK_VALVES" localSheetId="52">#REF!</definedName>
    <definedName name="SAP.003.SPA224_VALVES.KFP_REMARK_VALVES" localSheetId="58">#REF!</definedName>
    <definedName name="SAP.003.SPA224_VALVES.KFP_REMARK_VALVES" localSheetId="57">#REF!</definedName>
    <definedName name="SAP.003.SPA224_VALVES.KFP_REMARK_VALVES" localSheetId="64">#REF!</definedName>
    <definedName name="SAP.003.SPA224_VALVES.KFP_REMARK_VALVES" localSheetId="67">#REF!</definedName>
    <definedName name="SAP.003.SPA224_VALVES.KFP_REMARK_VALVES" localSheetId="65">#REF!</definedName>
    <definedName name="SAP.003.SPA224_VALVES.KFP_REMARK_VALVES" localSheetId="68">#REF!</definedName>
    <definedName name="SAP.003.SPA224_VALVES.KFP_REMARK_VALVES" localSheetId="71">#REF!</definedName>
    <definedName name="SAP.003.SPA224_VALVES.KFP_REMARK_VALVES" localSheetId="44">#REF!</definedName>
    <definedName name="SAP.003.SPA224_VALVES.KFP_REMARK_VALVES" localSheetId="45">#REF!</definedName>
    <definedName name="SAP.003.SPA224_VALVES.KFP_REMARK_VALVES" localSheetId="27">#REF!</definedName>
    <definedName name="SAP.003.SPA224_VALVES.KFP_REMARK_VALVES" localSheetId="28">#REF!</definedName>
    <definedName name="SAP.003.SPA224_VALVES.KFP_REMARK_VALVES" localSheetId="29">#REF!</definedName>
    <definedName name="SAP.003.SPA224_VALVES.KFP_REMARK_VALVES" localSheetId="66">#REF!</definedName>
    <definedName name="SAP.003.SPA224_VALVES.KFP_REMARK_VALVES">#REF!</definedName>
    <definedName name="SAP.003.SPA224_VALVES.KFP_ROOM_NUMBER_VALVES" localSheetId="70">#REF!</definedName>
    <definedName name="SAP.003.SPA224_VALVES.KFP_ROOM_NUMBER_VALVES" localSheetId="52">#REF!</definedName>
    <definedName name="SAP.003.SPA224_VALVES.KFP_ROOM_NUMBER_VALVES" localSheetId="58">#REF!</definedName>
    <definedName name="SAP.003.SPA224_VALVES.KFP_ROOM_NUMBER_VALVES" localSheetId="57">#REF!</definedName>
    <definedName name="SAP.003.SPA224_VALVES.KFP_ROOM_NUMBER_VALVES" localSheetId="64">#REF!</definedName>
    <definedName name="SAP.003.SPA224_VALVES.KFP_ROOM_NUMBER_VALVES" localSheetId="67">#REF!</definedName>
    <definedName name="SAP.003.SPA224_VALVES.KFP_ROOM_NUMBER_VALVES" localSheetId="65">#REF!</definedName>
    <definedName name="SAP.003.SPA224_VALVES.KFP_ROOM_NUMBER_VALVES" localSheetId="68">#REF!</definedName>
    <definedName name="SAP.003.SPA224_VALVES.KFP_ROOM_NUMBER_VALVES" localSheetId="71">#REF!</definedName>
    <definedName name="SAP.003.SPA224_VALVES.KFP_ROOM_NUMBER_VALVES" localSheetId="44">#REF!</definedName>
    <definedName name="SAP.003.SPA224_VALVES.KFP_ROOM_NUMBER_VALVES" localSheetId="45">#REF!</definedName>
    <definedName name="SAP.003.SPA224_VALVES.KFP_ROOM_NUMBER_VALVES" localSheetId="27">#REF!</definedName>
    <definedName name="SAP.003.SPA224_VALVES.KFP_ROOM_NUMBER_VALVES" localSheetId="28">#REF!</definedName>
    <definedName name="SAP.003.SPA224_VALVES.KFP_ROOM_NUMBER_VALVES" localSheetId="29">#REF!</definedName>
    <definedName name="SAP.003.SPA224_VALVES.KFP_ROOM_NUMBER_VALVES" localSheetId="66">#REF!</definedName>
    <definedName name="SAP.003.SPA224_VALVES.KFP_ROOM_NUMBER_VALVES">#REF!</definedName>
    <definedName name="SAP.003.SPA224_VALVES.KFP_RPP_SOURCE" localSheetId="70">#REF!</definedName>
    <definedName name="SAP.003.SPA224_VALVES.KFP_RPP_SOURCE" localSheetId="52">#REF!</definedName>
    <definedName name="SAP.003.SPA224_VALVES.KFP_RPP_SOURCE" localSheetId="58">#REF!</definedName>
    <definedName name="SAP.003.SPA224_VALVES.KFP_RPP_SOURCE" localSheetId="57">#REF!</definedName>
    <definedName name="SAP.003.SPA224_VALVES.KFP_RPP_SOURCE" localSheetId="64">#REF!</definedName>
    <definedName name="SAP.003.SPA224_VALVES.KFP_RPP_SOURCE" localSheetId="67">#REF!</definedName>
    <definedName name="SAP.003.SPA224_VALVES.KFP_RPP_SOURCE" localSheetId="65">#REF!</definedName>
    <definedName name="SAP.003.SPA224_VALVES.KFP_RPP_SOURCE" localSheetId="68">#REF!</definedName>
    <definedName name="SAP.003.SPA224_VALVES.KFP_RPP_SOURCE" localSheetId="71">#REF!</definedName>
    <definedName name="SAP.003.SPA224_VALVES.KFP_RPP_SOURCE" localSheetId="44">#REF!</definedName>
    <definedName name="SAP.003.SPA224_VALVES.KFP_RPP_SOURCE" localSheetId="45">#REF!</definedName>
    <definedName name="SAP.003.SPA224_VALVES.KFP_RPP_SOURCE" localSheetId="27">#REF!</definedName>
    <definedName name="SAP.003.SPA224_VALVES.KFP_RPP_SOURCE" localSheetId="28">#REF!</definedName>
    <definedName name="SAP.003.SPA224_VALVES.KFP_RPP_SOURCE" localSheetId="29">#REF!</definedName>
    <definedName name="SAP.003.SPA224_VALVES.KFP_RPP_SOURCE" localSheetId="66">#REF!</definedName>
    <definedName name="SAP.003.SPA224_VALVES.KFP_RPP_SOURCE">#REF!</definedName>
    <definedName name="SAP.003.SPA224_VALVES.KFP_STATUS_INPUT_VALVES" localSheetId="70">#REF!</definedName>
    <definedName name="SAP.003.SPA224_VALVES.KFP_STATUS_INPUT_VALVES" localSheetId="52">#REF!</definedName>
    <definedName name="SAP.003.SPA224_VALVES.KFP_STATUS_INPUT_VALVES" localSheetId="58">#REF!</definedName>
    <definedName name="SAP.003.SPA224_VALVES.KFP_STATUS_INPUT_VALVES" localSheetId="57">#REF!</definedName>
    <definedName name="SAP.003.SPA224_VALVES.KFP_STATUS_INPUT_VALVES" localSheetId="64">#REF!</definedName>
    <definedName name="SAP.003.SPA224_VALVES.KFP_STATUS_INPUT_VALVES" localSheetId="67">#REF!</definedName>
    <definedName name="SAP.003.SPA224_VALVES.KFP_STATUS_INPUT_VALVES" localSheetId="65">#REF!</definedName>
    <definedName name="SAP.003.SPA224_VALVES.KFP_STATUS_INPUT_VALVES" localSheetId="68">#REF!</definedName>
    <definedName name="SAP.003.SPA224_VALVES.KFP_STATUS_INPUT_VALVES" localSheetId="71">#REF!</definedName>
    <definedName name="SAP.003.SPA224_VALVES.KFP_STATUS_INPUT_VALVES" localSheetId="44">#REF!</definedName>
    <definedName name="SAP.003.SPA224_VALVES.KFP_STATUS_INPUT_VALVES" localSheetId="45">#REF!</definedName>
    <definedName name="SAP.003.SPA224_VALVES.KFP_STATUS_INPUT_VALVES" localSheetId="27">#REF!</definedName>
    <definedName name="SAP.003.SPA224_VALVES.KFP_STATUS_INPUT_VALVES" localSheetId="28">#REF!</definedName>
    <definedName name="SAP.003.SPA224_VALVES.KFP_STATUS_INPUT_VALVES" localSheetId="29">#REF!</definedName>
    <definedName name="SAP.003.SPA224_VALVES.KFP_STATUS_INPUT_VALVES" localSheetId="66">#REF!</definedName>
    <definedName name="SAP.003.SPA224_VALVES.KFP_STATUS_INPUT_VALVES">#REF!</definedName>
    <definedName name="SAP.003.SPA224_VALVES.KFP_TYPE_OF_ACTUATION" localSheetId="70">#REF!</definedName>
    <definedName name="SAP.003.SPA224_VALVES.KFP_TYPE_OF_ACTUATION" localSheetId="52">#REF!</definedName>
    <definedName name="SAP.003.SPA224_VALVES.KFP_TYPE_OF_ACTUATION" localSheetId="58">#REF!</definedName>
    <definedName name="SAP.003.SPA224_VALVES.KFP_TYPE_OF_ACTUATION" localSheetId="57">#REF!</definedName>
    <definedName name="SAP.003.SPA224_VALVES.KFP_TYPE_OF_ACTUATION" localSheetId="64">#REF!</definedName>
    <definedName name="SAP.003.SPA224_VALVES.KFP_TYPE_OF_ACTUATION" localSheetId="67">#REF!</definedName>
    <definedName name="SAP.003.SPA224_VALVES.KFP_TYPE_OF_ACTUATION" localSheetId="65">#REF!</definedName>
    <definedName name="SAP.003.SPA224_VALVES.KFP_TYPE_OF_ACTUATION" localSheetId="68">#REF!</definedName>
    <definedName name="SAP.003.SPA224_VALVES.KFP_TYPE_OF_ACTUATION" localSheetId="71">#REF!</definedName>
    <definedName name="SAP.003.SPA224_VALVES.KFP_TYPE_OF_ACTUATION" localSheetId="44">#REF!</definedName>
    <definedName name="SAP.003.SPA224_VALVES.KFP_TYPE_OF_ACTUATION" localSheetId="45">#REF!</definedName>
    <definedName name="SAP.003.SPA224_VALVES.KFP_TYPE_OF_ACTUATION" localSheetId="27">#REF!</definedName>
    <definedName name="SAP.003.SPA224_VALVES.KFP_TYPE_OF_ACTUATION" localSheetId="28">#REF!</definedName>
    <definedName name="SAP.003.SPA224_VALVES.KFP_TYPE_OF_ACTUATION" localSheetId="29">#REF!</definedName>
    <definedName name="SAP.003.SPA224_VALVES.KFP_TYPE_OF_ACTUATION" localSheetId="66">#REF!</definedName>
    <definedName name="SAP.003.SPA224_VALVES.KFP_TYPE_OF_ACTUATION">#REF!</definedName>
    <definedName name="SAP.003.SPA224_VALVES.KFP_TYPE_OF_CONNECT_INLET" localSheetId="70">#REF!</definedName>
    <definedName name="SAP.003.SPA224_VALVES.KFP_TYPE_OF_CONNECT_INLET" localSheetId="52">#REF!</definedName>
    <definedName name="SAP.003.SPA224_VALVES.KFP_TYPE_OF_CONNECT_INLET" localSheetId="58">#REF!</definedName>
    <definedName name="SAP.003.SPA224_VALVES.KFP_TYPE_OF_CONNECT_INLET" localSheetId="57">#REF!</definedName>
    <definedName name="SAP.003.SPA224_VALVES.KFP_TYPE_OF_CONNECT_INLET" localSheetId="64">#REF!</definedName>
    <definedName name="SAP.003.SPA224_VALVES.KFP_TYPE_OF_CONNECT_INLET" localSheetId="67">#REF!</definedName>
    <definedName name="SAP.003.SPA224_VALVES.KFP_TYPE_OF_CONNECT_INLET" localSheetId="65">#REF!</definedName>
    <definedName name="SAP.003.SPA224_VALVES.KFP_TYPE_OF_CONNECT_INLET" localSheetId="68">#REF!</definedName>
    <definedName name="SAP.003.SPA224_VALVES.KFP_TYPE_OF_CONNECT_INLET" localSheetId="71">#REF!</definedName>
    <definedName name="SAP.003.SPA224_VALVES.KFP_TYPE_OF_CONNECT_INLET" localSheetId="44">#REF!</definedName>
    <definedName name="SAP.003.SPA224_VALVES.KFP_TYPE_OF_CONNECT_INLET" localSheetId="45">#REF!</definedName>
    <definedName name="SAP.003.SPA224_VALVES.KFP_TYPE_OF_CONNECT_INLET" localSheetId="27">#REF!</definedName>
    <definedName name="SAP.003.SPA224_VALVES.KFP_TYPE_OF_CONNECT_INLET" localSheetId="28">#REF!</definedName>
    <definedName name="SAP.003.SPA224_VALVES.KFP_TYPE_OF_CONNECT_INLET" localSheetId="29">#REF!</definedName>
    <definedName name="SAP.003.SPA224_VALVES.KFP_TYPE_OF_CONNECT_INLET" localSheetId="66">#REF!</definedName>
    <definedName name="SAP.003.SPA224_VALVES.KFP_TYPE_OF_CONNECT_INLET">#REF!</definedName>
    <definedName name="SAP.003.SPA224_VALVES.KFP_TYPE_OF_CONNECT_OUTLET" localSheetId="70">#REF!</definedName>
    <definedName name="SAP.003.SPA224_VALVES.KFP_TYPE_OF_CONNECT_OUTLET" localSheetId="52">#REF!</definedName>
    <definedName name="SAP.003.SPA224_VALVES.KFP_TYPE_OF_CONNECT_OUTLET" localSheetId="58">#REF!</definedName>
    <definedName name="SAP.003.SPA224_VALVES.KFP_TYPE_OF_CONNECT_OUTLET" localSheetId="57">#REF!</definedName>
    <definedName name="SAP.003.SPA224_VALVES.KFP_TYPE_OF_CONNECT_OUTLET" localSheetId="64">#REF!</definedName>
    <definedName name="SAP.003.SPA224_VALVES.KFP_TYPE_OF_CONNECT_OUTLET" localSheetId="67">#REF!</definedName>
    <definedName name="SAP.003.SPA224_VALVES.KFP_TYPE_OF_CONNECT_OUTLET" localSheetId="65">#REF!</definedName>
    <definedName name="SAP.003.SPA224_VALVES.KFP_TYPE_OF_CONNECT_OUTLET" localSheetId="68">#REF!</definedName>
    <definedName name="SAP.003.SPA224_VALVES.KFP_TYPE_OF_CONNECT_OUTLET" localSheetId="71">#REF!</definedName>
    <definedName name="SAP.003.SPA224_VALVES.KFP_TYPE_OF_CONNECT_OUTLET" localSheetId="44">#REF!</definedName>
    <definedName name="SAP.003.SPA224_VALVES.KFP_TYPE_OF_CONNECT_OUTLET" localSheetId="45">#REF!</definedName>
    <definedName name="SAP.003.SPA224_VALVES.KFP_TYPE_OF_CONNECT_OUTLET" localSheetId="27">#REF!</definedName>
    <definedName name="SAP.003.SPA224_VALVES.KFP_TYPE_OF_CONNECT_OUTLET" localSheetId="28">#REF!</definedName>
    <definedName name="SAP.003.SPA224_VALVES.KFP_TYPE_OF_CONNECT_OUTLET" localSheetId="29">#REF!</definedName>
    <definedName name="SAP.003.SPA224_VALVES.KFP_TYPE_OF_CONNECT_OUTLET" localSheetId="66">#REF!</definedName>
    <definedName name="SAP.003.SPA224_VALVES.KFP_TYPE_OF_CONNECT_OUTLET">#REF!</definedName>
    <definedName name="SAP.003.SPA224_VALVES.KFP_VALVE_LENGTH" localSheetId="70">#REF!</definedName>
    <definedName name="SAP.003.SPA224_VALVES.KFP_VALVE_LENGTH" localSheetId="52">#REF!</definedName>
    <definedName name="SAP.003.SPA224_VALVES.KFP_VALVE_LENGTH" localSheetId="58">#REF!</definedName>
    <definedName name="SAP.003.SPA224_VALVES.KFP_VALVE_LENGTH" localSheetId="57">#REF!</definedName>
    <definedName name="SAP.003.SPA224_VALVES.KFP_VALVE_LENGTH" localSheetId="64">#REF!</definedName>
    <definedName name="SAP.003.SPA224_VALVES.KFP_VALVE_LENGTH" localSheetId="67">#REF!</definedName>
    <definedName name="SAP.003.SPA224_VALVES.KFP_VALVE_LENGTH" localSheetId="65">#REF!</definedName>
    <definedName name="SAP.003.SPA224_VALVES.KFP_VALVE_LENGTH" localSheetId="68">#REF!</definedName>
    <definedName name="SAP.003.SPA224_VALVES.KFP_VALVE_LENGTH" localSheetId="71">#REF!</definedName>
    <definedName name="SAP.003.SPA224_VALVES.KFP_VALVE_LENGTH" localSheetId="44">#REF!</definedName>
    <definedName name="SAP.003.SPA224_VALVES.KFP_VALVE_LENGTH" localSheetId="45">#REF!</definedName>
    <definedName name="SAP.003.SPA224_VALVES.KFP_VALVE_LENGTH" localSheetId="27">#REF!</definedName>
    <definedName name="SAP.003.SPA224_VALVES.KFP_VALVE_LENGTH" localSheetId="28">#REF!</definedName>
    <definedName name="SAP.003.SPA224_VALVES.KFP_VALVE_LENGTH" localSheetId="29">#REF!</definedName>
    <definedName name="SAP.003.SPA224_VALVES.KFP_VALVE_LENGTH" localSheetId="66">#REF!</definedName>
    <definedName name="SAP.003.SPA224_VALVES.KFP_VALVE_LENGTH">#REF!</definedName>
    <definedName name="SAP.003.SPA224_VALVES.KFP_WEIGHT" localSheetId="70">#REF!</definedName>
    <definedName name="SAP.003.SPA224_VALVES.KFP_WEIGHT" localSheetId="52">#REF!</definedName>
    <definedName name="SAP.003.SPA224_VALVES.KFP_WEIGHT" localSheetId="58">#REF!</definedName>
    <definedName name="SAP.003.SPA224_VALVES.KFP_WEIGHT" localSheetId="57">#REF!</definedName>
    <definedName name="SAP.003.SPA224_VALVES.KFP_WEIGHT" localSheetId="64">#REF!</definedName>
    <definedName name="SAP.003.SPA224_VALVES.KFP_WEIGHT" localSheetId="67">#REF!</definedName>
    <definedName name="SAP.003.SPA224_VALVES.KFP_WEIGHT" localSheetId="65">#REF!</definedName>
    <definedName name="SAP.003.SPA224_VALVES.KFP_WEIGHT" localSheetId="68">#REF!</definedName>
    <definedName name="SAP.003.SPA224_VALVES.KFP_WEIGHT" localSheetId="71">#REF!</definedName>
    <definedName name="SAP.003.SPA224_VALVES.KFP_WEIGHT" localSheetId="44">#REF!</definedName>
    <definedName name="SAP.003.SPA224_VALVES.KFP_WEIGHT" localSheetId="45">#REF!</definedName>
    <definedName name="SAP.003.SPA224_VALVES.KFP_WEIGHT" localSheetId="27">#REF!</definedName>
    <definedName name="SAP.003.SPA224_VALVES.KFP_WEIGHT" localSheetId="28">#REF!</definedName>
    <definedName name="SAP.003.SPA224_VALVES.KFP_WEIGHT" localSheetId="29">#REF!</definedName>
    <definedName name="SAP.003.SPA224_VALVES.KFP_WEIGHT" localSheetId="66">#REF!</definedName>
    <definedName name="SAP.003.SPA224_VALVES.KFP_WEIGHT">#REF!</definedName>
    <definedName name="SCH">#N/A</definedName>
    <definedName name="Schedule">#N/A</definedName>
    <definedName name="SCHEDULE_1" localSheetId="70">[62]BEST!#REF!</definedName>
    <definedName name="SCHEDULE_1" localSheetId="126">'BEST final'!#REF!</definedName>
    <definedName name="SCHEDULE_1" localSheetId="143">#REF!</definedName>
    <definedName name="SCHEDULE_1" localSheetId="52">[62]BEST!#REF!</definedName>
    <definedName name="SCHEDULE_1" localSheetId="58">[62]BEST!#REF!</definedName>
    <definedName name="SCHEDULE_1" localSheetId="57">[62]BEST!#REF!</definedName>
    <definedName name="SCHEDULE_1" localSheetId="64">[62]BEST!#REF!</definedName>
    <definedName name="SCHEDULE_1" localSheetId="67">[62]BEST!#REF!</definedName>
    <definedName name="SCHEDULE_1" localSheetId="65">[62]BEST!#REF!</definedName>
    <definedName name="SCHEDULE_1" localSheetId="68">[62]BEST!#REF!</definedName>
    <definedName name="SCHEDULE_1" localSheetId="71">[62]BEST!#REF!</definedName>
    <definedName name="SCHEDULE_1" localSheetId="44">[62]BEST!#REF!</definedName>
    <definedName name="SCHEDULE_1" localSheetId="45">[62]BEST!#REF!</definedName>
    <definedName name="SCHEDULE_1" localSheetId="27">[62]BEST!#REF!</definedName>
    <definedName name="SCHEDULE_1" localSheetId="128">[26]BEST!#REF!</definedName>
    <definedName name="SCHEDULE_1" localSheetId="28">[62]BEST!#REF!</definedName>
    <definedName name="SCHEDULE_1" localSheetId="29">[62]BEST!#REF!</definedName>
    <definedName name="SCHEDULE_1" localSheetId="66">[62]BEST!#REF!</definedName>
    <definedName name="SCHEDULE_1">[62]BEST!#REF!</definedName>
    <definedName name="sCHEDULE_1_sHEET_1" localSheetId="70">#REF!</definedName>
    <definedName name="sCHEDULE_1_sHEET_1" localSheetId="143">#REF!</definedName>
    <definedName name="sCHEDULE_1_sHEET_1" localSheetId="101">#REF!</definedName>
    <definedName name="sCHEDULE_1_sHEET_1" localSheetId="52">#REF!</definedName>
    <definedName name="sCHEDULE_1_sHEET_1" localSheetId="58">#REF!</definedName>
    <definedName name="sCHEDULE_1_sHEET_1" localSheetId="56">#REF!</definedName>
    <definedName name="sCHEDULE_1_sHEET_1" localSheetId="57">#REF!</definedName>
    <definedName name="sCHEDULE_1_sHEET_1" localSheetId="64">#REF!</definedName>
    <definedName name="sCHEDULE_1_sHEET_1" localSheetId="67">#REF!</definedName>
    <definedName name="sCHEDULE_1_sHEET_1" localSheetId="65">#REF!</definedName>
    <definedName name="sCHEDULE_1_sHEET_1" localSheetId="68">#REF!</definedName>
    <definedName name="sCHEDULE_1_sHEET_1" localSheetId="71">#REF!</definedName>
    <definedName name="sCHEDULE_1_sHEET_1" localSheetId="44">#REF!</definedName>
    <definedName name="sCHEDULE_1_sHEET_1" localSheetId="45">#REF!</definedName>
    <definedName name="sCHEDULE_1_sHEET_1" localSheetId="17">#REF!</definedName>
    <definedName name="sCHEDULE_1_sHEET_1" localSheetId="27">#REF!</definedName>
    <definedName name="sCHEDULE_1_sHEET_1" localSheetId="72">#REF!</definedName>
    <definedName name="sCHEDULE_1_sHEET_1" localSheetId="128">'Schedule 1'!$B$2</definedName>
    <definedName name="sCHEDULE_1_sHEET_1" localSheetId="28">#REF!</definedName>
    <definedName name="sCHEDULE_1_sHEET_1" localSheetId="29">#REF!</definedName>
    <definedName name="sCHEDULE_1_sHEET_1" localSheetId="66">#REF!</definedName>
    <definedName name="sCHEDULE_1_sHEET_1">#REF!</definedName>
    <definedName name="SCHEDULE_10" localSheetId="70">#REF!</definedName>
    <definedName name="SCHEDULE_10" localSheetId="126">'BEST final'!$A$210</definedName>
    <definedName name="SCHEDULE_10" localSheetId="52">#REF!</definedName>
    <definedName name="SCHEDULE_10" localSheetId="58">#REF!</definedName>
    <definedName name="SCHEDULE_10" localSheetId="56">#REF!</definedName>
    <definedName name="SCHEDULE_10" localSheetId="57">#REF!</definedName>
    <definedName name="SCHEDULE_10" localSheetId="64">#REF!</definedName>
    <definedName name="SCHEDULE_10" localSheetId="67">#REF!</definedName>
    <definedName name="SCHEDULE_10" localSheetId="65">#REF!</definedName>
    <definedName name="SCHEDULE_10" localSheetId="68">#REF!</definedName>
    <definedName name="SCHEDULE_10" localSheetId="71">#REF!</definedName>
    <definedName name="SCHEDULE_10" localSheetId="44">#REF!</definedName>
    <definedName name="SCHEDULE_10" localSheetId="45">#REF!</definedName>
    <definedName name="SCHEDULE_10" localSheetId="17">#REF!</definedName>
    <definedName name="SCHEDULE_10" localSheetId="27">#REF!</definedName>
    <definedName name="SCHEDULE_10" localSheetId="72">#REF!</definedName>
    <definedName name="SCHEDULE_10" localSheetId="28">#REF!</definedName>
    <definedName name="SCHEDULE_10" localSheetId="29">#REF!</definedName>
    <definedName name="SCHEDULE_10" localSheetId="66">#REF!</definedName>
    <definedName name="SCHEDULE_10">#REF!</definedName>
    <definedName name="SCHEDULE_11" localSheetId="70">#REF!</definedName>
    <definedName name="SCHEDULE_11" localSheetId="126">'BEST final'!$A$230</definedName>
    <definedName name="SCHEDULE_11" localSheetId="52">#REF!</definedName>
    <definedName name="SCHEDULE_11" localSheetId="58">#REF!</definedName>
    <definedName name="SCHEDULE_11" localSheetId="56">#REF!</definedName>
    <definedName name="SCHEDULE_11" localSheetId="57">#REF!</definedName>
    <definedName name="SCHEDULE_11" localSheetId="64">#REF!</definedName>
    <definedName name="SCHEDULE_11" localSheetId="67">#REF!</definedName>
    <definedName name="SCHEDULE_11" localSheetId="65">#REF!</definedName>
    <definedName name="SCHEDULE_11" localSheetId="68">#REF!</definedName>
    <definedName name="SCHEDULE_11" localSheetId="71">#REF!</definedName>
    <definedName name="SCHEDULE_11" localSheetId="44">#REF!</definedName>
    <definedName name="SCHEDULE_11" localSheetId="45">#REF!</definedName>
    <definedName name="SCHEDULE_11" localSheetId="17">#REF!</definedName>
    <definedName name="SCHEDULE_11" localSheetId="27">#REF!</definedName>
    <definedName name="SCHEDULE_11" localSheetId="72">#REF!</definedName>
    <definedName name="SCHEDULE_11" localSheetId="28">#REF!</definedName>
    <definedName name="SCHEDULE_11" localSheetId="29">#REF!</definedName>
    <definedName name="SCHEDULE_11" localSheetId="66">#REF!</definedName>
    <definedName name="SCHEDULE_11">#REF!</definedName>
    <definedName name="SCHEDULE_12" localSheetId="70">#REF!</definedName>
    <definedName name="SCHEDULE_12" localSheetId="126">'BEST final'!$A$254</definedName>
    <definedName name="SCHEDULE_12" localSheetId="52">#REF!</definedName>
    <definedName name="SCHEDULE_12" localSheetId="58">#REF!</definedName>
    <definedName name="SCHEDULE_12" localSheetId="56">#REF!</definedName>
    <definedName name="SCHEDULE_12" localSheetId="57">#REF!</definedName>
    <definedName name="SCHEDULE_12" localSheetId="64">#REF!</definedName>
    <definedName name="SCHEDULE_12" localSheetId="67">#REF!</definedName>
    <definedName name="SCHEDULE_12" localSheetId="65">#REF!</definedName>
    <definedName name="SCHEDULE_12" localSheetId="68">#REF!</definedName>
    <definedName name="SCHEDULE_12" localSheetId="71">#REF!</definedName>
    <definedName name="SCHEDULE_12" localSheetId="44">#REF!</definedName>
    <definedName name="SCHEDULE_12" localSheetId="45">#REF!</definedName>
    <definedName name="SCHEDULE_12" localSheetId="17">#REF!</definedName>
    <definedName name="SCHEDULE_12" localSheetId="27">#REF!</definedName>
    <definedName name="SCHEDULE_12" localSheetId="72">#REF!</definedName>
    <definedName name="SCHEDULE_12" localSheetId="28">#REF!</definedName>
    <definedName name="SCHEDULE_12" localSheetId="29">#REF!</definedName>
    <definedName name="SCHEDULE_12" localSheetId="66">#REF!</definedName>
    <definedName name="SCHEDULE_12">#REF!</definedName>
    <definedName name="SCHEDULE_13" localSheetId="70">#REF!</definedName>
    <definedName name="SCHEDULE_13" localSheetId="126">'BEST final'!$A$305</definedName>
    <definedName name="SCHEDULE_13" localSheetId="52">#REF!</definedName>
    <definedName name="SCHEDULE_13" localSheetId="58">#REF!</definedName>
    <definedName name="SCHEDULE_13" localSheetId="56">#REF!</definedName>
    <definedName name="SCHEDULE_13" localSheetId="57">#REF!</definedName>
    <definedName name="SCHEDULE_13" localSheetId="64">#REF!</definedName>
    <definedName name="SCHEDULE_13" localSheetId="67">#REF!</definedName>
    <definedName name="SCHEDULE_13" localSheetId="65">#REF!</definedName>
    <definedName name="SCHEDULE_13" localSheetId="68">#REF!</definedName>
    <definedName name="SCHEDULE_13" localSheetId="71">#REF!</definedName>
    <definedName name="SCHEDULE_13" localSheetId="44">#REF!</definedName>
    <definedName name="SCHEDULE_13" localSheetId="45">#REF!</definedName>
    <definedName name="SCHEDULE_13" localSheetId="17">#REF!</definedName>
    <definedName name="SCHEDULE_13" localSheetId="27">#REF!</definedName>
    <definedName name="SCHEDULE_13" localSheetId="72">#REF!</definedName>
    <definedName name="SCHEDULE_13" localSheetId="28">#REF!</definedName>
    <definedName name="SCHEDULE_13" localSheetId="29">#REF!</definedName>
    <definedName name="SCHEDULE_13" localSheetId="66">#REF!</definedName>
    <definedName name="SCHEDULE_13">#REF!</definedName>
    <definedName name="SCHEDULE_14" localSheetId="70">#REF!</definedName>
    <definedName name="SCHEDULE_14" localSheetId="126">'BEST final'!$A$369</definedName>
    <definedName name="SCHEDULE_14" localSheetId="52">#REF!</definedName>
    <definedName name="SCHEDULE_14" localSheetId="58">#REF!</definedName>
    <definedName name="SCHEDULE_14" localSheetId="56">#REF!</definedName>
    <definedName name="SCHEDULE_14" localSheetId="57">#REF!</definedName>
    <definedName name="SCHEDULE_14" localSheetId="64">#REF!</definedName>
    <definedName name="SCHEDULE_14" localSheetId="67">#REF!</definedName>
    <definedName name="SCHEDULE_14" localSheetId="65">#REF!</definedName>
    <definedName name="SCHEDULE_14" localSheetId="68">#REF!</definedName>
    <definedName name="SCHEDULE_14" localSheetId="71">#REF!</definedName>
    <definedName name="SCHEDULE_14" localSheetId="44">#REF!</definedName>
    <definedName name="SCHEDULE_14" localSheetId="45">#REF!</definedName>
    <definedName name="SCHEDULE_14" localSheetId="17">#REF!</definedName>
    <definedName name="SCHEDULE_14" localSheetId="27">#REF!</definedName>
    <definedName name="SCHEDULE_14" localSheetId="72">#REF!</definedName>
    <definedName name="SCHEDULE_14" localSheetId="28">#REF!</definedName>
    <definedName name="SCHEDULE_14" localSheetId="29">#REF!</definedName>
    <definedName name="SCHEDULE_14" localSheetId="66">#REF!</definedName>
    <definedName name="SCHEDULE_14">#REF!</definedName>
    <definedName name="SCHEDULE_15" localSheetId="70">[62]BEST!#REF!</definedName>
    <definedName name="SCHEDULE_15" localSheetId="126">'BEST final'!#REF!</definedName>
    <definedName name="SCHEDULE_15" localSheetId="143">#REF!</definedName>
    <definedName name="SCHEDULE_15" localSheetId="52">[62]BEST!#REF!</definedName>
    <definedName name="SCHEDULE_15" localSheetId="58">[62]BEST!#REF!</definedName>
    <definedName name="SCHEDULE_15" localSheetId="56">[62]BEST!#REF!</definedName>
    <definedName name="SCHEDULE_15" localSheetId="57">[62]BEST!#REF!</definedName>
    <definedName name="SCHEDULE_15" localSheetId="64">[62]BEST!#REF!</definedName>
    <definedName name="SCHEDULE_15" localSheetId="67">[62]BEST!#REF!</definedName>
    <definedName name="SCHEDULE_15" localSheetId="65">[62]BEST!#REF!</definedName>
    <definedName name="SCHEDULE_15" localSheetId="68">[62]BEST!#REF!</definedName>
    <definedName name="SCHEDULE_15" localSheetId="71">[62]BEST!#REF!</definedName>
    <definedName name="SCHEDULE_15" localSheetId="44">[62]BEST!#REF!</definedName>
    <definedName name="SCHEDULE_15" localSheetId="45">[62]BEST!#REF!</definedName>
    <definedName name="SCHEDULE_15" localSheetId="17">[62]BEST!#REF!</definedName>
    <definedName name="SCHEDULE_15" localSheetId="27">[62]BEST!#REF!</definedName>
    <definedName name="SCHEDULE_15" localSheetId="72">[62]BEST!#REF!</definedName>
    <definedName name="SCHEDULE_15" localSheetId="128">[26]BEST!#REF!</definedName>
    <definedName name="SCHEDULE_15" localSheetId="28">[62]BEST!#REF!</definedName>
    <definedName name="SCHEDULE_15" localSheetId="29">[62]BEST!#REF!</definedName>
    <definedName name="SCHEDULE_15" localSheetId="66">[62]BEST!#REF!</definedName>
    <definedName name="SCHEDULE_15">[62]BEST!#REF!</definedName>
    <definedName name="SCHEDULE_16" localSheetId="70">#REF!</definedName>
    <definedName name="SCHEDULE_16" localSheetId="126">'BEST final'!$A$395</definedName>
    <definedName name="SCHEDULE_16" localSheetId="52">#REF!</definedName>
    <definedName name="SCHEDULE_16" localSheetId="58">#REF!</definedName>
    <definedName name="SCHEDULE_16" localSheetId="56">#REF!</definedName>
    <definedName name="SCHEDULE_16" localSheetId="57">#REF!</definedName>
    <definedName name="SCHEDULE_16" localSheetId="64">#REF!</definedName>
    <definedName name="SCHEDULE_16" localSheetId="67">#REF!</definedName>
    <definedName name="SCHEDULE_16" localSheetId="65">#REF!</definedName>
    <definedName name="SCHEDULE_16" localSheetId="68">#REF!</definedName>
    <definedName name="SCHEDULE_16" localSheetId="71">#REF!</definedName>
    <definedName name="SCHEDULE_16" localSheetId="44">#REF!</definedName>
    <definedName name="SCHEDULE_16" localSheetId="45">#REF!</definedName>
    <definedName name="SCHEDULE_16" localSheetId="17">#REF!</definedName>
    <definedName name="SCHEDULE_16" localSheetId="27">#REF!</definedName>
    <definedName name="SCHEDULE_16" localSheetId="72">#REF!</definedName>
    <definedName name="SCHEDULE_16" localSheetId="28">#REF!</definedName>
    <definedName name="SCHEDULE_16" localSheetId="29">#REF!</definedName>
    <definedName name="SCHEDULE_16" localSheetId="66">#REF!</definedName>
    <definedName name="SCHEDULE_16">#REF!</definedName>
    <definedName name="SCHEDULE_17" localSheetId="70">#REF!</definedName>
    <definedName name="SCHEDULE_17" localSheetId="126">'BEST final'!$A$405</definedName>
    <definedName name="SCHEDULE_17" localSheetId="52">#REF!</definedName>
    <definedName name="SCHEDULE_17" localSheetId="58">#REF!</definedName>
    <definedName name="SCHEDULE_17" localSheetId="56">#REF!</definedName>
    <definedName name="SCHEDULE_17" localSheetId="57">#REF!</definedName>
    <definedName name="SCHEDULE_17" localSheetId="64">#REF!</definedName>
    <definedName name="SCHEDULE_17" localSheetId="67">#REF!</definedName>
    <definedName name="SCHEDULE_17" localSheetId="65">#REF!</definedName>
    <definedName name="SCHEDULE_17" localSheetId="68">#REF!</definedName>
    <definedName name="SCHEDULE_17" localSheetId="71">#REF!</definedName>
    <definedName name="SCHEDULE_17" localSheetId="44">#REF!</definedName>
    <definedName name="SCHEDULE_17" localSheetId="45">#REF!</definedName>
    <definedName name="SCHEDULE_17" localSheetId="17">#REF!</definedName>
    <definedName name="SCHEDULE_17" localSheetId="27">#REF!</definedName>
    <definedName name="SCHEDULE_17" localSheetId="72">#REF!</definedName>
    <definedName name="SCHEDULE_17" localSheetId="28">#REF!</definedName>
    <definedName name="SCHEDULE_17" localSheetId="29">#REF!</definedName>
    <definedName name="SCHEDULE_17" localSheetId="66">#REF!</definedName>
    <definedName name="SCHEDULE_17">#REF!</definedName>
    <definedName name="SCHEDULE_18" localSheetId="70">#REF!</definedName>
    <definedName name="SCHEDULE_18" localSheetId="126">'BEST final'!$A$440</definedName>
    <definedName name="SCHEDULE_18" localSheetId="52">#REF!</definedName>
    <definedName name="SCHEDULE_18" localSheetId="58">#REF!</definedName>
    <definedName name="SCHEDULE_18" localSheetId="56">#REF!</definedName>
    <definedName name="SCHEDULE_18" localSheetId="57">#REF!</definedName>
    <definedName name="SCHEDULE_18" localSheetId="64">#REF!</definedName>
    <definedName name="SCHEDULE_18" localSheetId="67">#REF!</definedName>
    <definedName name="SCHEDULE_18" localSheetId="65">#REF!</definedName>
    <definedName name="SCHEDULE_18" localSheetId="68">#REF!</definedName>
    <definedName name="SCHEDULE_18" localSheetId="71">#REF!</definedName>
    <definedName name="SCHEDULE_18" localSheetId="44">#REF!</definedName>
    <definedName name="SCHEDULE_18" localSheetId="45">#REF!</definedName>
    <definedName name="SCHEDULE_18" localSheetId="17">#REF!</definedName>
    <definedName name="SCHEDULE_18" localSheetId="27">#REF!</definedName>
    <definedName name="SCHEDULE_18" localSheetId="72">#REF!</definedName>
    <definedName name="SCHEDULE_18" localSheetId="28">#REF!</definedName>
    <definedName name="SCHEDULE_18" localSheetId="29">#REF!</definedName>
    <definedName name="SCHEDULE_18" localSheetId="66">#REF!</definedName>
    <definedName name="SCHEDULE_18">#REF!</definedName>
    <definedName name="Schedule_2" localSheetId="70">#REF!</definedName>
    <definedName name="Schedule_2" localSheetId="126">'BEST final'!$A$120:$L$135</definedName>
    <definedName name="Schedule_2" localSheetId="52">#REF!</definedName>
    <definedName name="Schedule_2" localSheetId="58">#REF!</definedName>
    <definedName name="Schedule_2" localSheetId="56">#REF!</definedName>
    <definedName name="Schedule_2" localSheetId="57">#REF!</definedName>
    <definedName name="Schedule_2" localSheetId="64">#REF!</definedName>
    <definedName name="Schedule_2" localSheetId="67">#REF!</definedName>
    <definedName name="Schedule_2" localSheetId="65">#REF!</definedName>
    <definedName name="Schedule_2" localSheetId="68">#REF!</definedName>
    <definedName name="Schedule_2" localSheetId="71">#REF!</definedName>
    <definedName name="Schedule_2" localSheetId="44">#REF!</definedName>
    <definedName name="Schedule_2" localSheetId="45">#REF!</definedName>
    <definedName name="Schedule_2" localSheetId="17">#REF!</definedName>
    <definedName name="Schedule_2" localSheetId="27">#REF!</definedName>
    <definedName name="Schedule_2" localSheetId="72">#REF!</definedName>
    <definedName name="Schedule_2" localSheetId="28">#REF!</definedName>
    <definedName name="Schedule_2" localSheetId="29">#REF!</definedName>
    <definedName name="Schedule_2" localSheetId="66">#REF!</definedName>
    <definedName name="Schedule_2">#REF!</definedName>
    <definedName name="SCHEDULE_20" localSheetId="70">#REF!</definedName>
    <definedName name="SCHEDULE_20" localSheetId="126">'BEST final'!$A$505:$N$511</definedName>
    <definedName name="SCHEDULE_20" localSheetId="52">#REF!</definedName>
    <definedName name="SCHEDULE_20" localSheetId="58">#REF!</definedName>
    <definedName name="SCHEDULE_20" localSheetId="56">#REF!</definedName>
    <definedName name="SCHEDULE_20" localSheetId="57">#REF!</definedName>
    <definedName name="SCHEDULE_20" localSheetId="64">#REF!</definedName>
    <definedName name="SCHEDULE_20" localSheetId="67">#REF!</definedName>
    <definedName name="SCHEDULE_20" localSheetId="65">#REF!</definedName>
    <definedName name="SCHEDULE_20" localSheetId="68">#REF!</definedName>
    <definedName name="SCHEDULE_20" localSheetId="71">#REF!</definedName>
    <definedName name="SCHEDULE_20" localSheetId="44">#REF!</definedName>
    <definedName name="SCHEDULE_20" localSheetId="45">#REF!</definedName>
    <definedName name="SCHEDULE_20" localSheetId="17">#REF!</definedName>
    <definedName name="SCHEDULE_20" localSheetId="27">#REF!</definedName>
    <definedName name="SCHEDULE_20" localSheetId="72">#REF!</definedName>
    <definedName name="SCHEDULE_20" localSheetId="28">#REF!</definedName>
    <definedName name="SCHEDULE_20" localSheetId="29">#REF!</definedName>
    <definedName name="SCHEDULE_20" localSheetId="66">#REF!</definedName>
    <definedName name="SCHEDULE_20">#REF!</definedName>
    <definedName name="SCHEDULE_21" localSheetId="70">#REF!</definedName>
    <definedName name="SCHEDULE_21" localSheetId="126">'BEST final'!$B$515:$N$516</definedName>
    <definedName name="SCHEDULE_21" localSheetId="52">#REF!</definedName>
    <definedName name="SCHEDULE_21" localSheetId="58">#REF!</definedName>
    <definedName name="SCHEDULE_21" localSheetId="56">#REF!</definedName>
    <definedName name="SCHEDULE_21" localSheetId="57">#REF!</definedName>
    <definedName name="SCHEDULE_21" localSheetId="64">#REF!</definedName>
    <definedName name="SCHEDULE_21" localSheetId="67">#REF!</definedName>
    <definedName name="SCHEDULE_21" localSheetId="65">#REF!</definedName>
    <definedName name="SCHEDULE_21" localSheetId="68">#REF!</definedName>
    <definedName name="SCHEDULE_21" localSheetId="71">#REF!</definedName>
    <definedName name="SCHEDULE_21" localSheetId="44">#REF!</definedName>
    <definedName name="SCHEDULE_21" localSheetId="45">#REF!</definedName>
    <definedName name="SCHEDULE_21" localSheetId="17">#REF!</definedName>
    <definedName name="SCHEDULE_21" localSheetId="27">#REF!</definedName>
    <definedName name="SCHEDULE_21" localSheetId="72">#REF!</definedName>
    <definedName name="SCHEDULE_21" localSheetId="28">#REF!</definedName>
    <definedName name="SCHEDULE_21" localSheetId="29">#REF!</definedName>
    <definedName name="SCHEDULE_21" localSheetId="66">#REF!</definedName>
    <definedName name="SCHEDULE_21">#REF!</definedName>
    <definedName name="SCHEDULE_22" localSheetId="70">#REF!</definedName>
    <definedName name="SCHEDULE_22" localSheetId="126">'BEST final'!$A$516:$N$532</definedName>
    <definedName name="SCHEDULE_22" localSheetId="52">#REF!</definedName>
    <definedName name="SCHEDULE_22" localSheetId="58">#REF!</definedName>
    <definedName name="SCHEDULE_22" localSheetId="56">#REF!</definedName>
    <definedName name="SCHEDULE_22" localSheetId="57">#REF!</definedName>
    <definedName name="SCHEDULE_22" localSheetId="64">#REF!</definedName>
    <definedName name="SCHEDULE_22" localSheetId="67">#REF!</definedName>
    <definedName name="SCHEDULE_22" localSheetId="65">#REF!</definedName>
    <definedName name="SCHEDULE_22" localSheetId="68">#REF!</definedName>
    <definedName name="SCHEDULE_22" localSheetId="71">#REF!</definedName>
    <definedName name="SCHEDULE_22" localSheetId="44">#REF!</definedName>
    <definedName name="SCHEDULE_22" localSheetId="45">#REF!</definedName>
    <definedName name="SCHEDULE_22" localSheetId="17">#REF!</definedName>
    <definedName name="SCHEDULE_22" localSheetId="27">#REF!</definedName>
    <definedName name="SCHEDULE_22" localSheetId="72">#REF!</definedName>
    <definedName name="SCHEDULE_22" localSheetId="28">#REF!</definedName>
    <definedName name="SCHEDULE_22" localSheetId="29">#REF!</definedName>
    <definedName name="SCHEDULE_22" localSheetId="66">#REF!</definedName>
    <definedName name="SCHEDULE_22">#REF!</definedName>
    <definedName name="SCHEDULE_23" localSheetId="70">[62]BEST!#REF!</definedName>
    <definedName name="SCHEDULE_23" localSheetId="126">'BEST final'!#REF!</definedName>
    <definedName name="SCHEDULE_23" localSheetId="143">#REF!</definedName>
    <definedName name="SCHEDULE_23" localSheetId="52">[62]BEST!#REF!</definedName>
    <definedName name="SCHEDULE_23" localSheetId="58">[62]BEST!#REF!</definedName>
    <definedName name="SCHEDULE_23" localSheetId="56">[62]BEST!#REF!</definedName>
    <definedName name="SCHEDULE_23" localSheetId="57">[62]BEST!#REF!</definedName>
    <definedName name="SCHEDULE_23" localSheetId="64">[62]BEST!#REF!</definedName>
    <definedName name="SCHEDULE_23" localSheetId="67">[62]BEST!#REF!</definedName>
    <definedName name="SCHEDULE_23" localSheetId="65">[62]BEST!#REF!</definedName>
    <definedName name="SCHEDULE_23" localSheetId="68">[62]BEST!#REF!</definedName>
    <definedName name="SCHEDULE_23" localSheetId="71">[62]BEST!#REF!</definedName>
    <definedName name="SCHEDULE_23" localSheetId="44">[62]BEST!#REF!</definedName>
    <definedName name="SCHEDULE_23" localSheetId="45">[62]BEST!#REF!</definedName>
    <definedName name="SCHEDULE_23" localSheetId="17">[62]BEST!#REF!</definedName>
    <definedName name="SCHEDULE_23" localSheetId="27">[62]BEST!#REF!</definedName>
    <definedName name="SCHEDULE_23" localSheetId="72">[62]BEST!#REF!</definedName>
    <definedName name="SCHEDULE_23" localSheetId="128">[26]BEST!#REF!</definedName>
    <definedName name="SCHEDULE_23" localSheetId="28">[62]BEST!#REF!</definedName>
    <definedName name="SCHEDULE_23" localSheetId="29">[62]BEST!#REF!</definedName>
    <definedName name="SCHEDULE_23" localSheetId="66">[62]BEST!#REF!</definedName>
    <definedName name="SCHEDULE_23">[62]BEST!#REF!</definedName>
    <definedName name="SCHEDULE_3" localSheetId="70">[62]BEST!#REF!</definedName>
    <definedName name="SCHEDULE_3" localSheetId="126">'BEST final'!#REF!</definedName>
    <definedName name="SCHEDULE_3" localSheetId="143">#REF!</definedName>
    <definedName name="SCHEDULE_3" localSheetId="52">[62]BEST!#REF!</definedName>
    <definedName name="SCHEDULE_3" localSheetId="58">[62]BEST!#REF!</definedName>
    <definedName name="SCHEDULE_3" localSheetId="57">[62]BEST!#REF!</definedName>
    <definedName name="SCHEDULE_3" localSheetId="64">[62]BEST!#REF!</definedName>
    <definedName name="SCHEDULE_3" localSheetId="67">[62]BEST!#REF!</definedName>
    <definedName name="SCHEDULE_3" localSheetId="65">[62]BEST!#REF!</definedName>
    <definedName name="SCHEDULE_3" localSheetId="68">[62]BEST!#REF!</definedName>
    <definedName name="SCHEDULE_3" localSheetId="71">[62]BEST!#REF!</definedName>
    <definedName name="SCHEDULE_3" localSheetId="44">[62]BEST!#REF!</definedName>
    <definedName name="SCHEDULE_3" localSheetId="45">[62]BEST!#REF!</definedName>
    <definedName name="SCHEDULE_3" localSheetId="17">[62]BEST!#REF!</definedName>
    <definedName name="SCHEDULE_3" localSheetId="27">[62]BEST!#REF!</definedName>
    <definedName name="SCHEDULE_3" localSheetId="72">[62]BEST!#REF!</definedName>
    <definedName name="SCHEDULE_3" localSheetId="128">[26]BEST!#REF!</definedName>
    <definedName name="SCHEDULE_3" localSheetId="28">[62]BEST!#REF!</definedName>
    <definedName name="SCHEDULE_3" localSheetId="29">[62]BEST!#REF!</definedName>
    <definedName name="SCHEDULE_3" localSheetId="66">[62]BEST!#REF!</definedName>
    <definedName name="SCHEDULE_3">[62]BEST!#REF!</definedName>
    <definedName name="SCHEDULE_4" localSheetId="70">#REF!</definedName>
    <definedName name="SCHEDULE_4" localSheetId="126">'BEST final'!$A$120:$L$135</definedName>
    <definedName name="SCHEDULE_4" localSheetId="52">#REF!</definedName>
    <definedName name="SCHEDULE_4" localSheetId="58">#REF!</definedName>
    <definedName name="SCHEDULE_4" localSheetId="56">#REF!</definedName>
    <definedName name="SCHEDULE_4" localSheetId="57">#REF!</definedName>
    <definedName name="SCHEDULE_4" localSheetId="64">#REF!</definedName>
    <definedName name="SCHEDULE_4" localSheetId="67">#REF!</definedName>
    <definedName name="SCHEDULE_4" localSheetId="65">#REF!</definedName>
    <definedName name="SCHEDULE_4" localSheetId="68">#REF!</definedName>
    <definedName name="SCHEDULE_4" localSheetId="71">#REF!</definedName>
    <definedName name="SCHEDULE_4" localSheetId="44">#REF!</definedName>
    <definedName name="SCHEDULE_4" localSheetId="45">#REF!</definedName>
    <definedName name="SCHEDULE_4" localSheetId="17">#REF!</definedName>
    <definedName name="SCHEDULE_4" localSheetId="27">#REF!</definedName>
    <definedName name="SCHEDULE_4" localSheetId="72">#REF!</definedName>
    <definedName name="SCHEDULE_4" localSheetId="28">#REF!</definedName>
    <definedName name="SCHEDULE_4" localSheetId="29">#REF!</definedName>
    <definedName name="SCHEDULE_4" localSheetId="66">#REF!</definedName>
    <definedName name="SCHEDULE_4">#REF!</definedName>
    <definedName name="Schedule_4_Investment" localSheetId="70">#REF!</definedName>
    <definedName name="Schedule_4_Investment" localSheetId="126">'BEST final'!$A$140</definedName>
    <definedName name="Schedule_4_Investment" localSheetId="52">#REF!</definedName>
    <definedName name="Schedule_4_Investment" localSheetId="58">#REF!</definedName>
    <definedName name="Schedule_4_Investment" localSheetId="56">#REF!</definedName>
    <definedName name="Schedule_4_Investment" localSheetId="57">#REF!</definedName>
    <definedName name="Schedule_4_Investment" localSheetId="64">#REF!</definedName>
    <definedName name="Schedule_4_Investment" localSheetId="67">#REF!</definedName>
    <definedName name="Schedule_4_Investment" localSheetId="65">#REF!</definedName>
    <definedName name="Schedule_4_Investment" localSheetId="68">#REF!</definedName>
    <definedName name="Schedule_4_Investment" localSheetId="71">#REF!</definedName>
    <definedName name="Schedule_4_Investment" localSheetId="44">#REF!</definedName>
    <definedName name="Schedule_4_Investment" localSheetId="45">#REF!</definedName>
    <definedName name="Schedule_4_Investment" localSheetId="17">#REF!</definedName>
    <definedName name="Schedule_4_Investment" localSheetId="27">#REF!</definedName>
    <definedName name="Schedule_4_Investment" localSheetId="72">#REF!</definedName>
    <definedName name="Schedule_4_Investment" localSheetId="28">#REF!</definedName>
    <definedName name="Schedule_4_Investment" localSheetId="29">#REF!</definedName>
    <definedName name="Schedule_4_Investment" localSheetId="66">#REF!</definedName>
    <definedName name="Schedule_4_Investment">#REF!</definedName>
    <definedName name="SCHEDULE_5" localSheetId="70">[62]BEST!#REF!</definedName>
    <definedName name="SCHEDULE_5" localSheetId="126">'BEST final'!#REF!</definedName>
    <definedName name="SCHEDULE_5" localSheetId="143">#REF!</definedName>
    <definedName name="SCHEDULE_5" localSheetId="52">[62]BEST!#REF!</definedName>
    <definedName name="SCHEDULE_5" localSheetId="58">[62]BEST!#REF!</definedName>
    <definedName name="SCHEDULE_5" localSheetId="56">[62]BEST!#REF!</definedName>
    <definedName name="SCHEDULE_5" localSheetId="57">[62]BEST!#REF!</definedName>
    <definedName name="SCHEDULE_5" localSheetId="64">[62]BEST!#REF!</definedName>
    <definedName name="SCHEDULE_5" localSheetId="67">[62]BEST!#REF!</definedName>
    <definedName name="SCHEDULE_5" localSheetId="65">[62]BEST!#REF!</definedName>
    <definedName name="SCHEDULE_5" localSheetId="68">[62]BEST!#REF!</definedName>
    <definedName name="SCHEDULE_5" localSheetId="71">[62]BEST!#REF!</definedName>
    <definedName name="SCHEDULE_5" localSheetId="44">[62]BEST!#REF!</definedName>
    <definedName name="SCHEDULE_5" localSheetId="45">[62]BEST!#REF!</definedName>
    <definedName name="SCHEDULE_5" localSheetId="17">[62]BEST!#REF!</definedName>
    <definedName name="SCHEDULE_5" localSheetId="27">[62]BEST!#REF!</definedName>
    <definedName name="SCHEDULE_5" localSheetId="72">[62]BEST!#REF!</definedName>
    <definedName name="SCHEDULE_5" localSheetId="128">[26]BEST!#REF!</definedName>
    <definedName name="SCHEDULE_5" localSheetId="28">[62]BEST!#REF!</definedName>
    <definedName name="SCHEDULE_5" localSheetId="29">[62]BEST!#REF!</definedName>
    <definedName name="SCHEDULE_5" localSheetId="66">[62]BEST!#REF!</definedName>
    <definedName name="SCHEDULE_5">[62]BEST!#REF!</definedName>
    <definedName name="SCHEDULE_6" localSheetId="70">[62]BEST!#REF!</definedName>
    <definedName name="SCHEDULE_6" localSheetId="126">'BEST final'!#REF!</definedName>
    <definedName name="SCHEDULE_6" localSheetId="143">#REF!</definedName>
    <definedName name="SCHEDULE_6" localSheetId="52">[62]BEST!#REF!</definedName>
    <definedName name="SCHEDULE_6" localSheetId="58">[62]BEST!#REF!</definedName>
    <definedName name="SCHEDULE_6" localSheetId="57">[62]BEST!#REF!</definedName>
    <definedName name="SCHEDULE_6" localSheetId="64">[62]BEST!#REF!</definedName>
    <definedName name="SCHEDULE_6" localSheetId="67">[62]BEST!#REF!</definedName>
    <definedName name="SCHEDULE_6" localSheetId="65">[62]BEST!#REF!</definedName>
    <definedName name="SCHEDULE_6" localSheetId="68">[62]BEST!#REF!</definedName>
    <definedName name="SCHEDULE_6" localSheetId="71">[62]BEST!#REF!</definedName>
    <definedName name="SCHEDULE_6" localSheetId="44">[62]BEST!#REF!</definedName>
    <definedName name="SCHEDULE_6" localSheetId="45">[62]BEST!#REF!</definedName>
    <definedName name="SCHEDULE_6" localSheetId="17">[62]BEST!#REF!</definedName>
    <definedName name="SCHEDULE_6" localSheetId="27">[62]BEST!#REF!</definedName>
    <definedName name="SCHEDULE_6" localSheetId="128">[26]BEST!#REF!</definedName>
    <definedName name="SCHEDULE_6" localSheetId="28">[62]BEST!#REF!</definedName>
    <definedName name="SCHEDULE_6" localSheetId="29">[62]BEST!#REF!</definedName>
    <definedName name="SCHEDULE_6" localSheetId="66">[62]BEST!#REF!</definedName>
    <definedName name="SCHEDULE_6">[62]BEST!#REF!</definedName>
    <definedName name="SCHEDULE_7" localSheetId="70">#REF!</definedName>
    <definedName name="SCHEDULE_7" localSheetId="126">'BEST final'!#REF!</definedName>
    <definedName name="SCHEDULE_7" localSheetId="101">#REF!</definedName>
    <definedName name="SCHEDULE_7" localSheetId="52">#REF!</definedName>
    <definedName name="SCHEDULE_7" localSheetId="58">#REF!</definedName>
    <definedName name="SCHEDULE_7" localSheetId="56">#REF!</definedName>
    <definedName name="SCHEDULE_7" localSheetId="57">#REF!</definedName>
    <definedName name="SCHEDULE_7" localSheetId="64">#REF!</definedName>
    <definedName name="SCHEDULE_7" localSheetId="67">#REF!</definedName>
    <definedName name="SCHEDULE_7" localSheetId="65">#REF!</definedName>
    <definedName name="SCHEDULE_7" localSheetId="68">#REF!</definedName>
    <definedName name="SCHEDULE_7" localSheetId="71">#REF!</definedName>
    <definedName name="SCHEDULE_7" localSheetId="44">#REF!</definedName>
    <definedName name="SCHEDULE_7" localSheetId="45">#REF!</definedName>
    <definedName name="SCHEDULE_7" localSheetId="17">#REF!</definedName>
    <definedName name="SCHEDULE_7" localSheetId="27">#REF!</definedName>
    <definedName name="SCHEDULE_7" localSheetId="72">#REF!</definedName>
    <definedName name="SCHEDULE_7" localSheetId="128">[26]BEST!#REF!</definedName>
    <definedName name="SCHEDULE_7" localSheetId="28">#REF!</definedName>
    <definedName name="SCHEDULE_7" localSheetId="29">#REF!</definedName>
    <definedName name="SCHEDULE_7" localSheetId="66">#REF!</definedName>
    <definedName name="SCHEDULE_7">#REF!</definedName>
    <definedName name="SCHEDULE_8" localSheetId="70">[62]BEST!#REF!</definedName>
    <definedName name="SCHEDULE_8" localSheetId="126">'BEST final'!#REF!</definedName>
    <definedName name="SCHEDULE_8" localSheetId="143">#REF!</definedName>
    <definedName name="SCHEDULE_8" localSheetId="52">[62]BEST!#REF!</definedName>
    <definedName name="SCHEDULE_8" localSheetId="58">[62]BEST!#REF!</definedName>
    <definedName name="SCHEDULE_8" localSheetId="57">[62]BEST!#REF!</definedName>
    <definedName name="SCHEDULE_8" localSheetId="64">[62]BEST!#REF!</definedName>
    <definedName name="SCHEDULE_8" localSheetId="67">[62]BEST!#REF!</definedName>
    <definedName name="SCHEDULE_8" localSheetId="65">[62]BEST!#REF!</definedName>
    <definedName name="SCHEDULE_8" localSheetId="68">[62]BEST!#REF!</definedName>
    <definedName name="SCHEDULE_8" localSheetId="71">[62]BEST!#REF!</definedName>
    <definedName name="SCHEDULE_8" localSheetId="44">[62]BEST!#REF!</definedName>
    <definedName name="SCHEDULE_8" localSheetId="45">[62]BEST!#REF!</definedName>
    <definedName name="SCHEDULE_8" localSheetId="17">[62]BEST!#REF!</definedName>
    <definedName name="SCHEDULE_8" localSheetId="27">[62]BEST!#REF!</definedName>
    <definedName name="SCHEDULE_8" localSheetId="72">[62]BEST!#REF!</definedName>
    <definedName name="SCHEDULE_8" localSheetId="128">[26]BEST!#REF!</definedName>
    <definedName name="SCHEDULE_8" localSheetId="28">[62]BEST!#REF!</definedName>
    <definedName name="SCHEDULE_8" localSheetId="29">[62]BEST!#REF!</definedName>
    <definedName name="SCHEDULE_8" localSheetId="66">[62]BEST!#REF!</definedName>
    <definedName name="SCHEDULE_8">[62]BEST!#REF!</definedName>
    <definedName name="SCHEDULE_9" localSheetId="70">#REF!</definedName>
    <definedName name="SCHEDULE_9" localSheetId="126">'BEST final'!$A$179</definedName>
    <definedName name="SCHEDULE_9" localSheetId="52">#REF!</definedName>
    <definedName name="SCHEDULE_9" localSheetId="58">#REF!</definedName>
    <definedName name="SCHEDULE_9" localSheetId="56">#REF!</definedName>
    <definedName name="SCHEDULE_9" localSheetId="57">#REF!</definedName>
    <definedName name="SCHEDULE_9" localSheetId="64">#REF!</definedName>
    <definedName name="SCHEDULE_9" localSheetId="67">#REF!</definedName>
    <definedName name="SCHEDULE_9" localSheetId="65">#REF!</definedName>
    <definedName name="SCHEDULE_9" localSheetId="68">#REF!</definedName>
    <definedName name="SCHEDULE_9" localSheetId="71">#REF!</definedName>
    <definedName name="SCHEDULE_9" localSheetId="44">#REF!</definedName>
    <definedName name="SCHEDULE_9" localSheetId="45">#REF!</definedName>
    <definedName name="SCHEDULE_9" localSheetId="17">#REF!</definedName>
    <definedName name="SCHEDULE_9" localSheetId="27">#REF!</definedName>
    <definedName name="SCHEDULE_9" localSheetId="72">#REF!</definedName>
    <definedName name="SCHEDULE_9" localSheetId="28">#REF!</definedName>
    <definedName name="SCHEDULE_9" localSheetId="29">#REF!</definedName>
    <definedName name="SCHEDULE_9" localSheetId="66">#REF!</definedName>
    <definedName name="SCHEDULE_9">#REF!</definedName>
    <definedName name="SCHEDULE_No." localSheetId="70">#REF!</definedName>
    <definedName name="SCHEDULE_No." localSheetId="126">'BEST final'!$A$427:$N$431</definedName>
    <definedName name="SCHEDULE_No." localSheetId="52">#REF!</definedName>
    <definedName name="SCHEDULE_No." localSheetId="58">#REF!</definedName>
    <definedName name="SCHEDULE_No." localSheetId="56">#REF!</definedName>
    <definedName name="SCHEDULE_No." localSheetId="57">#REF!</definedName>
    <definedName name="SCHEDULE_No." localSheetId="64">#REF!</definedName>
    <definedName name="SCHEDULE_No." localSheetId="67">#REF!</definedName>
    <definedName name="SCHEDULE_No." localSheetId="65">#REF!</definedName>
    <definedName name="SCHEDULE_No." localSheetId="68">#REF!</definedName>
    <definedName name="SCHEDULE_No." localSheetId="71">#REF!</definedName>
    <definedName name="SCHEDULE_No." localSheetId="44">#REF!</definedName>
    <definedName name="SCHEDULE_No." localSheetId="45">#REF!</definedName>
    <definedName name="SCHEDULE_No." localSheetId="17">#REF!</definedName>
    <definedName name="SCHEDULE_No." localSheetId="27">#REF!</definedName>
    <definedName name="SCHEDULE_No." localSheetId="72">#REF!</definedName>
    <definedName name="SCHEDULE_No." localSheetId="28">#REF!</definedName>
    <definedName name="SCHEDULE_No." localSheetId="29">#REF!</definedName>
    <definedName name="SCHEDULE_No." localSheetId="66">#REF!</definedName>
    <definedName name="SCHEDULE_No.">#REF!</definedName>
    <definedName name="Schedule_No2" localSheetId="70">[62]BEST!#REF!</definedName>
    <definedName name="Schedule_No2" localSheetId="126">'BEST final'!#REF!</definedName>
    <definedName name="Schedule_No2" localSheetId="143">#REF!</definedName>
    <definedName name="Schedule_No2" localSheetId="52">[62]BEST!#REF!</definedName>
    <definedName name="Schedule_No2" localSheetId="58">[62]BEST!#REF!</definedName>
    <definedName name="Schedule_No2" localSheetId="56">[62]BEST!#REF!</definedName>
    <definedName name="Schedule_No2" localSheetId="57">[62]BEST!#REF!</definedName>
    <definedName name="Schedule_No2" localSheetId="64">[62]BEST!#REF!</definedName>
    <definedName name="Schedule_No2" localSheetId="67">[62]BEST!#REF!</definedName>
    <definedName name="Schedule_No2" localSheetId="65">[62]BEST!#REF!</definedName>
    <definedName name="Schedule_No2" localSheetId="68">[62]BEST!#REF!</definedName>
    <definedName name="Schedule_No2" localSheetId="71">[62]BEST!#REF!</definedName>
    <definedName name="Schedule_No2" localSheetId="44">[62]BEST!#REF!</definedName>
    <definedName name="Schedule_No2" localSheetId="45">[62]BEST!#REF!</definedName>
    <definedName name="Schedule_No2" localSheetId="17">[62]BEST!#REF!</definedName>
    <definedName name="Schedule_No2" localSheetId="27">[62]BEST!#REF!</definedName>
    <definedName name="Schedule_No2" localSheetId="72">[62]BEST!#REF!</definedName>
    <definedName name="Schedule_No2" localSheetId="128">[26]BEST!#REF!</definedName>
    <definedName name="Schedule_No2" localSheetId="28">[62]BEST!#REF!</definedName>
    <definedName name="Schedule_No2" localSheetId="29">[62]BEST!#REF!</definedName>
    <definedName name="Schedule_No2" localSheetId="66">[62]BEST!#REF!</definedName>
    <definedName name="Schedule_No2">[62]BEST!#REF!</definedName>
    <definedName name="Schedule2" localSheetId="70">#REF!</definedName>
    <definedName name="Schedule2" localSheetId="126">'BEST final'!$A$120</definedName>
    <definedName name="Schedule2" localSheetId="52">#REF!</definedName>
    <definedName name="Schedule2" localSheetId="58">#REF!</definedName>
    <definedName name="Schedule2" localSheetId="56">#REF!</definedName>
    <definedName name="Schedule2" localSheetId="57">#REF!</definedName>
    <definedName name="Schedule2" localSheetId="64">#REF!</definedName>
    <definedName name="Schedule2" localSheetId="67">#REF!</definedName>
    <definedName name="Schedule2" localSheetId="65">#REF!</definedName>
    <definedName name="Schedule2" localSheetId="68">#REF!</definedName>
    <definedName name="Schedule2" localSheetId="71">#REF!</definedName>
    <definedName name="Schedule2" localSheetId="44">#REF!</definedName>
    <definedName name="Schedule2" localSheetId="45">#REF!</definedName>
    <definedName name="Schedule2" localSheetId="17">#REF!</definedName>
    <definedName name="Schedule2" localSheetId="27">#REF!</definedName>
    <definedName name="Schedule2" localSheetId="72">#REF!</definedName>
    <definedName name="Schedule2" localSheetId="28">#REF!</definedName>
    <definedName name="Schedule2" localSheetId="29">#REF!</definedName>
    <definedName name="Schedule2" localSheetId="66">#REF!</definedName>
    <definedName name="Schedule2">#REF!</definedName>
    <definedName name="SCOPE" localSheetId="70">'[13]해외 연수비용 계산-삭제'!#REF!</definedName>
    <definedName name="SCOPE" localSheetId="52">'[13]해외 연수비용 계산-삭제'!#REF!</definedName>
    <definedName name="SCOPE" localSheetId="58">'[13]해외 연수비용 계산-삭제'!#REF!</definedName>
    <definedName name="SCOPE" localSheetId="56">'[13]해외 연수비용 계산-삭제'!#REF!</definedName>
    <definedName name="SCOPE" localSheetId="57">'[13]해외 연수비용 계산-삭제'!#REF!</definedName>
    <definedName name="SCOPE" localSheetId="64">'[13]해외 연수비용 계산-삭제'!#REF!</definedName>
    <definedName name="SCOPE" localSheetId="67">'[13]해외 연수비용 계산-삭제'!#REF!</definedName>
    <definedName name="SCOPE" localSheetId="65">'[13]해외 연수비용 계산-삭제'!#REF!</definedName>
    <definedName name="SCOPE" localSheetId="68">'[13]해외 연수비용 계산-삭제'!#REF!</definedName>
    <definedName name="SCOPE" localSheetId="71">'[13]해외 연수비용 계산-삭제'!#REF!</definedName>
    <definedName name="SCOPE" localSheetId="44">'[13]해외 연수비용 계산-삭제'!#REF!</definedName>
    <definedName name="SCOPE" localSheetId="45">'[13]해외 연수비용 계산-삭제'!#REF!</definedName>
    <definedName name="SCOPE" localSheetId="17">'[13]해외 연수비용 계산-삭제'!#REF!</definedName>
    <definedName name="SCOPE" localSheetId="27">'[13]해외 연수비용 계산-삭제'!#REF!</definedName>
    <definedName name="SCOPE" localSheetId="72">'[13]해외 연수비용 계산-삭제'!#REF!</definedName>
    <definedName name="SCOPE" localSheetId="28">'[13]해외 연수비용 계산-삭제'!#REF!</definedName>
    <definedName name="SCOPE" localSheetId="29">'[13]해외 연수비용 계산-삭제'!#REF!</definedName>
    <definedName name="SCOPE" localSheetId="66">'[13]해외 연수비용 계산-삭제'!#REF!</definedName>
    <definedName name="SCOPE">'[13]해외 연수비용 계산-삭제'!#REF!</definedName>
    <definedName name="sd" localSheetId="140" hidden="1">{"'Sheet1'!$L$16"}</definedName>
    <definedName name="sd" localSheetId="58" hidden="1">{"'Sheet1'!$L$16"}</definedName>
    <definedName name="sd" localSheetId="56" hidden="1">{"'Sheet1'!$L$16"}</definedName>
    <definedName name="sd" localSheetId="57" hidden="1">{"'Sheet1'!$L$16"}</definedName>
    <definedName name="sd" localSheetId="67" hidden="1">{"'Sheet1'!$L$16"}</definedName>
    <definedName name="sd" localSheetId="65" hidden="1">{"'Sheet1'!$L$16"}</definedName>
    <definedName name="sd" localSheetId="68" hidden="1">{"'Sheet1'!$L$16"}</definedName>
    <definedName name="sd" localSheetId="71" hidden="1">{"'Sheet1'!$L$16"}</definedName>
    <definedName name="sd" localSheetId="17" hidden="1">{"'Sheet1'!$L$16"}</definedName>
    <definedName name="sd" localSheetId="27" hidden="1">{"'Sheet1'!$L$16"}</definedName>
    <definedName name="sd" localSheetId="72" hidden="1">{"'Sheet1'!$L$16"}</definedName>
    <definedName name="sd" localSheetId="28" hidden="1">{"'Sheet1'!$L$16"}</definedName>
    <definedName name="sd" localSheetId="29" hidden="1">{"'Sheet1'!$L$16"}</definedName>
    <definedName name="sd" hidden="1">{"'Sheet1'!$L$16"}</definedName>
    <definedName name="sdd">'[12]P&amp;L Group'!$A$68</definedName>
    <definedName name="sddddddd">[12]Notes!$A$23</definedName>
    <definedName name="sdddddddd">[12]Notes!$A$51</definedName>
    <definedName name="sdfdfhf">'[12]B_S Group'!$H$251</definedName>
    <definedName name="sdfsds">[12]Notes!$A$49</definedName>
    <definedName name="sdfsfsdf">[12]Notes!$A$47</definedName>
    <definedName name="sdsfszsfzs" localSheetId="70">#REF!,#REF!</definedName>
    <definedName name="sdsfszsfzs" localSheetId="52">#REF!,#REF!</definedName>
    <definedName name="sdsfszsfzs" localSheetId="58">#REF!,#REF!</definedName>
    <definedName name="sdsfszsfzs" localSheetId="57">#REF!,#REF!</definedName>
    <definedName name="sdsfszsfzs" localSheetId="64">#REF!,#REF!</definedName>
    <definedName name="sdsfszsfzs" localSheetId="67">#REF!,#REF!</definedName>
    <definedName name="sdsfszsfzs" localSheetId="65">#REF!,#REF!</definedName>
    <definedName name="sdsfszsfzs" localSheetId="68">#REF!,#REF!</definedName>
    <definedName name="sdsfszsfzs" localSheetId="71">#REF!,#REF!</definedName>
    <definedName name="sdsfszsfzs" localSheetId="44">#REF!,#REF!</definedName>
    <definedName name="sdsfszsfzs" localSheetId="45">#REF!,#REF!</definedName>
    <definedName name="sdsfszsfzs" localSheetId="48">#REF!,#REF!</definedName>
    <definedName name="sdsfszsfzs" localSheetId="17">#REF!,#REF!</definedName>
    <definedName name="sdsfszsfzs" localSheetId="27">#REF!,#REF!</definedName>
    <definedName name="sdsfszsfzs" localSheetId="72">#REF!,#REF!</definedName>
    <definedName name="sdsfszsfzs" localSheetId="28">#REF!,#REF!</definedName>
    <definedName name="sdsfszsfzs" localSheetId="29">#REF!,#REF!</definedName>
    <definedName name="sdsfszsfzs" localSheetId="66">#REF!,#REF!</definedName>
    <definedName name="sdsfszsfzs">#REF!,#REF!</definedName>
    <definedName name="SDT">#N/A</definedName>
    <definedName name="See_Annexure_B.PL" localSheetId="70">#REF!</definedName>
    <definedName name="See_Annexure_B.PL" localSheetId="143">#REF!</definedName>
    <definedName name="See_Annexure_B.PL" localSheetId="52">#REF!</definedName>
    <definedName name="See_Annexure_B.PL" localSheetId="58">#REF!</definedName>
    <definedName name="See_Annexure_B.PL" localSheetId="57">#REF!</definedName>
    <definedName name="See_Annexure_B.PL" localSheetId="64">#REF!</definedName>
    <definedName name="See_Annexure_B.PL" localSheetId="67">#REF!</definedName>
    <definedName name="See_Annexure_B.PL" localSheetId="65">#REF!</definedName>
    <definedName name="See_Annexure_B.PL" localSheetId="68">#REF!</definedName>
    <definedName name="See_Annexure_B.PL" localSheetId="71">#REF!</definedName>
    <definedName name="See_Annexure_B.PL" localSheetId="44">#REF!</definedName>
    <definedName name="See_Annexure_B.PL" localSheetId="45">#REF!</definedName>
    <definedName name="See_Annexure_B.PL" localSheetId="17">#REF!</definedName>
    <definedName name="See_Annexure_B.PL" localSheetId="27">#REF!</definedName>
    <definedName name="See_Annexure_B.PL" localSheetId="72">#REF!</definedName>
    <definedName name="See_Annexure_B.PL" localSheetId="28">#REF!</definedName>
    <definedName name="See_Annexure_B.PL" localSheetId="29">#REF!</definedName>
    <definedName name="See_Annexure_B.PL" localSheetId="66">#REF!</definedName>
    <definedName name="See_Annexure_B.PL">#REF!</definedName>
    <definedName name="See_Notes_1" localSheetId="70">#REF!</definedName>
    <definedName name="See_Notes_1" localSheetId="143">#REF!</definedName>
    <definedName name="See_Notes_1" localSheetId="52">#REF!</definedName>
    <definedName name="See_Notes_1" localSheetId="58">#REF!</definedName>
    <definedName name="See_Notes_1" localSheetId="57">#REF!</definedName>
    <definedName name="See_Notes_1" localSheetId="64">#REF!</definedName>
    <definedName name="See_Notes_1" localSheetId="67">#REF!</definedName>
    <definedName name="See_Notes_1" localSheetId="65">#REF!</definedName>
    <definedName name="See_Notes_1" localSheetId="68">#REF!</definedName>
    <definedName name="See_Notes_1" localSheetId="71">#REF!</definedName>
    <definedName name="See_Notes_1" localSheetId="44">#REF!</definedName>
    <definedName name="See_Notes_1" localSheetId="45">#REF!</definedName>
    <definedName name="See_Notes_1" localSheetId="27">#REF!</definedName>
    <definedName name="See_Notes_1" localSheetId="28">#REF!</definedName>
    <definedName name="See_Notes_1" localSheetId="29">#REF!</definedName>
    <definedName name="See_Notes_1" localSheetId="66">#REF!</definedName>
    <definedName name="See_Notes_1">#REF!</definedName>
    <definedName name="Selling_Dist_Schedule" localSheetId="70">[62]BEST!#REF!</definedName>
    <definedName name="Selling_Dist_Schedule" localSheetId="126">'BEST final'!#REF!</definedName>
    <definedName name="Selling_Dist_Schedule" localSheetId="143">#REF!</definedName>
    <definedName name="Selling_Dist_Schedule" localSheetId="52">[62]BEST!#REF!</definedName>
    <definedName name="Selling_Dist_Schedule" localSheetId="58">[62]BEST!#REF!</definedName>
    <definedName name="Selling_Dist_Schedule" localSheetId="57">[62]BEST!#REF!</definedName>
    <definedName name="Selling_Dist_Schedule" localSheetId="64">[62]BEST!#REF!</definedName>
    <definedName name="Selling_Dist_Schedule" localSheetId="67">[62]BEST!#REF!</definedName>
    <definedName name="Selling_Dist_Schedule" localSheetId="65">[62]BEST!#REF!</definedName>
    <definedName name="Selling_Dist_Schedule" localSheetId="68">[62]BEST!#REF!</definedName>
    <definedName name="Selling_Dist_Schedule" localSheetId="71">[62]BEST!#REF!</definedName>
    <definedName name="Selling_Dist_Schedule" localSheetId="44">[62]BEST!#REF!</definedName>
    <definedName name="Selling_Dist_Schedule" localSheetId="45">[62]BEST!#REF!</definedName>
    <definedName name="Selling_Dist_Schedule" localSheetId="27">[62]BEST!#REF!</definedName>
    <definedName name="Selling_Dist_Schedule" localSheetId="128">[26]BEST!#REF!</definedName>
    <definedName name="Selling_Dist_Schedule" localSheetId="28">[62]BEST!#REF!</definedName>
    <definedName name="Selling_Dist_Schedule" localSheetId="29">[62]BEST!#REF!</definedName>
    <definedName name="Selling_Dist_Schedule" localSheetId="66">[62]BEST!#REF!</definedName>
    <definedName name="Selling_Dist_Schedule">[62]BEST!#REF!</definedName>
    <definedName name="SER">#N/A</definedName>
    <definedName name="sfgvegvb">[12]BEST_17112006!$C$15</definedName>
    <definedName name="sgggg">[12]BEST_17112006!$A$225</definedName>
    <definedName name="SHEET" localSheetId="70">#REF!</definedName>
    <definedName name="SHEET" localSheetId="52">#REF!</definedName>
    <definedName name="SHEET" localSheetId="58">#REF!</definedName>
    <definedName name="SHEET" localSheetId="56">#REF!</definedName>
    <definedName name="SHEET" localSheetId="57">#REF!</definedName>
    <definedName name="SHEET" localSheetId="64">#REF!</definedName>
    <definedName name="SHEET" localSheetId="67">#REF!</definedName>
    <definedName name="SHEET" localSheetId="65">#REF!</definedName>
    <definedName name="SHEET" localSheetId="68">#REF!</definedName>
    <definedName name="SHEET" localSheetId="71">#REF!</definedName>
    <definedName name="SHEET" localSheetId="44">#REF!</definedName>
    <definedName name="SHEET" localSheetId="45">#REF!</definedName>
    <definedName name="SHEET" localSheetId="17">#REF!</definedName>
    <definedName name="SHEET" localSheetId="27">#REF!</definedName>
    <definedName name="SHEET" localSheetId="72">#REF!</definedName>
    <definedName name="SHEET" localSheetId="28">#REF!</definedName>
    <definedName name="SHEET" localSheetId="29">#REF!</definedName>
    <definedName name="SHEET" localSheetId="66">#REF!</definedName>
    <definedName name="SHEET">#REF!</definedName>
    <definedName name="shft1">[41]SUMMERY!$P$1</definedName>
    <definedName name="shftI" localSheetId="20">[63]SUMMERY!$P$1</definedName>
    <definedName name="shftI" localSheetId="15">[63]SUMMERY!$P$1</definedName>
    <definedName name="shftI" localSheetId="30">[63]SUMMERY!$P$1</definedName>
    <definedName name="shftI">[64]SUMMERY!$P$1</definedName>
    <definedName name="shshshsh" localSheetId="70">#REF!,#REF!</definedName>
    <definedName name="shshshsh" localSheetId="101">#REF!,#REF!</definedName>
    <definedName name="shshshsh" localSheetId="52">#REF!,#REF!</definedName>
    <definedName name="shshshsh" localSheetId="58">#REF!,#REF!</definedName>
    <definedName name="shshshsh" localSheetId="57">#REF!,#REF!</definedName>
    <definedName name="shshshsh" localSheetId="64">#REF!,#REF!</definedName>
    <definedName name="shshshsh" localSheetId="67">#REF!,#REF!</definedName>
    <definedName name="shshshsh" localSheetId="65">#REF!,#REF!</definedName>
    <definedName name="shshshsh" localSheetId="68">#REF!,#REF!</definedName>
    <definedName name="shshshsh" localSheetId="71">#REF!,#REF!</definedName>
    <definedName name="shshshsh" localSheetId="44">#REF!,#REF!</definedName>
    <definedName name="shshshsh" localSheetId="45">#REF!,#REF!</definedName>
    <definedName name="shshshsh" localSheetId="48">#REF!,#REF!</definedName>
    <definedName name="shshshsh" localSheetId="17">#REF!,#REF!</definedName>
    <definedName name="shshshsh" localSheetId="27">#REF!,#REF!</definedName>
    <definedName name="shshshsh" localSheetId="72">#REF!,#REF!</definedName>
    <definedName name="shshshsh" localSheetId="28">#REF!,#REF!</definedName>
    <definedName name="shshshsh" localSheetId="29">#REF!,#REF!</definedName>
    <definedName name="shshshsh" localSheetId="66">#REF!,#REF!</definedName>
    <definedName name="shshshsh">#REF!,#REF!</definedName>
    <definedName name="siertireyi">'[12]B_S Group'!$H$83</definedName>
    <definedName name="SIMHP1" localSheetId="70">#REF!</definedName>
    <definedName name="SIMHP1" localSheetId="52">#REF!</definedName>
    <definedName name="SIMHP1" localSheetId="58">#REF!</definedName>
    <definedName name="SIMHP1" localSheetId="56">#REF!</definedName>
    <definedName name="SIMHP1" localSheetId="57">#REF!</definedName>
    <definedName name="SIMHP1" localSheetId="64">#REF!</definedName>
    <definedName name="SIMHP1" localSheetId="67">#REF!</definedName>
    <definedName name="SIMHP1" localSheetId="65">#REF!</definedName>
    <definedName name="SIMHP1" localSheetId="68">#REF!</definedName>
    <definedName name="SIMHP1" localSheetId="71">#REF!</definedName>
    <definedName name="SIMHP1" localSheetId="44">#REF!</definedName>
    <definedName name="SIMHP1" localSheetId="45">#REF!</definedName>
    <definedName name="SIMHP1" localSheetId="17">#REF!</definedName>
    <definedName name="SIMHP1" localSheetId="27">#REF!</definedName>
    <definedName name="SIMHP1" localSheetId="72">#REF!</definedName>
    <definedName name="SIMHP1" localSheetId="28">#REF!</definedName>
    <definedName name="SIMHP1" localSheetId="29">#REF!</definedName>
    <definedName name="SIMHP1" localSheetId="66">#REF!</definedName>
    <definedName name="SIMHP1">#REF!</definedName>
    <definedName name="SIMLP1" localSheetId="70">#REF!</definedName>
    <definedName name="SIMLP1" localSheetId="52">#REF!</definedName>
    <definedName name="SIMLP1" localSheetId="58">#REF!</definedName>
    <definedName name="SIMLP1" localSheetId="57">#REF!</definedName>
    <definedName name="SIMLP1" localSheetId="64">#REF!</definedName>
    <definedName name="SIMLP1" localSheetId="67">#REF!</definedName>
    <definedName name="SIMLP1" localSheetId="65">#REF!</definedName>
    <definedName name="SIMLP1" localSheetId="68">#REF!</definedName>
    <definedName name="SIMLP1" localSheetId="71">#REF!</definedName>
    <definedName name="SIMLP1" localSheetId="44">#REF!</definedName>
    <definedName name="SIMLP1" localSheetId="45">#REF!</definedName>
    <definedName name="SIMLP1" localSheetId="17">#REF!</definedName>
    <definedName name="SIMLP1" localSheetId="27">#REF!</definedName>
    <definedName name="SIMLP1" localSheetId="72">#REF!</definedName>
    <definedName name="SIMLP1" localSheetId="28">#REF!</definedName>
    <definedName name="SIMLP1" localSheetId="29">#REF!</definedName>
    <definedName name="SIMLP1" localSheetId="66">#REF!</definedName>
    <definedName name="SIMLP1">#REF!</definedName>
    <definedName name="SIZE" localSheetId="70">#REF!</definedName>
    <definedName name="SIZE" localSheetId="52">#REF!</definedName>
    <definedName name="SIZE" localSheetId="58">#REF!</definedName>
    <definedName name="SIZE" localSheetId="57">#REF!</definedName>
    <definedName name="SIZE" localSheetId="64">#REF!</definedName>
    <definedName name="SIZE" localSheetId="67">#REF!</definedName>
    <definedName name="SIZE" localSheetId="65">#REF!</definedName>
    <definedName name="SIZE" localSheetId="68">#REF!</definedName>
    <definedName name="SIZE" localSheetId="71">#REF!</definedName>
    <definedName name="SIZE" localSheetId="44">#REF!</definedName>
    <definedName name="SIZE" localSheetId="45">#REF!</definedName>
    <definedName name="SIZE" localSheetId="17">#REF!</definedName>
    <definedName name="SIZE" localSheetId="27">#REF!</definedName>
    <definedName name="SIZE" localSheetId="72">#REF!</definedName>
    <definedName name="SIZE" localSheetId="28">#REF!</definedName>
    <definedName name="SIZE" localSheetId="29">#REF!</definedName>
    <definedName name="SIZE" localSheetId="66">#REF!</definedName>
    <definedName name="SIZE">#REF!</definedName>
    <definedName name="SIZE1">#N/A</definedName>
    <definedName name="SIZEC" localSheetId="70">#REF!</definedName>
    <definedName name="SIZEC" localSheetId="52">#REF!</definedName>
    <definedName name="SIZEC" localSheetId="58">#REF!</definedName>
    <definedName name="SIZEC" localSheetId="56">#REF!</definedName>
    <definedName name="SIZEC" localSheetId="57">#REF!</definedName>
    <definedName name="SIZEC" localSheetId="64">#REF!</definedName>
    <definedName name="SIZEC" localSheetId="67">#REF!</definedName>
    <definedName name="SIZEC" localSheetId="65">#REF!</definedName>
    <definedName name="SIZEC" localSheetId="68">#REF!</definedName>
    <definedName name="SIZEC" localSheetId="71">#REF!</definedName>
    <definedName name="SIZEC" localSheetId="44">#REF!</definedName>
    <definedName name="SIZEC" localSheetId="45">#REF!</definedName>
    <definedName name="SIZEC" localSheetId="17">#REF!</definedName>
    <definedName name="SIZEC" localSheetId="27">#REF!</definedName>
    <definedName name="SIZEC" localSheetId="72">#REF!</definedName>
    <definedName name="SIZEC" localSheetId="28">#REF!</definedName>
    <definedName name="SIZEC" localSheetId="29">#REF!</definedName>
    <definedName name="SIZEC" localSheetId="66">#REF!</definedName>
    <definedName name="SIZEC">#REF!</definedName>
    <definedName name="sjrijteodgv">'[12]B_S Group'!$H$67</definedName>
    <definedName name="SMLTOOLS" localSheetId="70">#REF!</definedName>
    <definedName name="SMLTOOLS" localSheetId="52">#REF!</definedName>
    <definedName name="SMLTOOLS" localSheetId="58">#REF!</definedName>
    <definedName name="SMLTOOLS" localSheetId="56">#REF!</definedName>
    <definedName name="SMLTOOLS" localSheetId="57">#REF!</definedName>
    <definedName name="SMLTOOLS" localSheetId="64">#REF!</definedName>
    <definedName name="SMLTOOLS" localSheetId="67">#REF!</definedName>
    <definedName name="SMLTOOLS" localSheetId="65">#REF!</definedName>
    <definedName name="SMLTOOLS" localSheetId="68">#REF!</definedName>
    <definedName name="SMLTOOLS" localSheetId="71">#REF!</definedName>
    <definedName name="SMLTOOLS" localSheetId="44">#REF!</definedName>
    <definedName name="SMLTOOLS" localSheetId="45">#REF!</definedName>
    <definedName name="SMLTOOLS" localSheetId="17">#REF!</definedName>
    <definedName name="SMLTOOLS" localSheetId="27">#REF!</definedName>
    <definedName name="SMLTOOLS" localSheetId="72">#REF!</definedName>
    <definedName name="SMLTOOLS" localSheetId="28">#REF!</definedName>
    <definedName name="SMLTOOLS" localSheetId="29">#REF!</definedName>
    <definedName name="SMLTOOLS" localSheetId="66">#REF!</definedName>
    <definedName name="SMLTOOLS">#REF!</definedName>
    <definedName name="sndgkhdgk">'[12]B_S Group'!$H$303</definedName>
    <definedName name="SO" localSheetId="70">#REF!</definedName>
    <definedName name="SO" localSheetId="52">#REF!</definedName>
    <definedName name="SO" localSheetId="58">#REF!</definedName>
    <definedName name="SO" localSheetId="56">#REF!</definedName>
    <definedName name="SO" localSheetId="57">#REF!</definedName>
    <definedName name="SO" localSheetId="64">#REF!</definedName>
    <definedName name="SO" localSheetId="67">#REF!</definedName>
    <definedName name="SO" localSheetId="65">#REF!</definedName>
    <definedName name="SO" localSheetId="68">#REF!</definedName>
    <definedName name="SO" localSheetId="71">#REF!</definedName>
    <definedName name="SO" localSheetId="44">#REF!</definedName>
    <definedName name="SO" localSheetId="45">#REF!</definedName>
    <definedName name="SO" localSheetId="17">#REF!</definedName>
    <definedName name="SO" localSheetId="27">#REF!</definedName>
    <definedName name="SO" localSheetId="72">#REF!</definedName>
    <definedName name="SO" localSheetId="28">#REF!</definedName>
    <definedName name="SO" localSheetId="29">#REF!</definedName>
    <definedName name="SO" localSheetId="66">#REF!</definedName>
    <definedName name="SO">#REF!</definedName>
    <definedName name="SO_CODE" localSheetId="70">'[31]ITEM-LIST'!#REF!</definedName>
    <definedName name="SO_CODE" localSheetId="52">'[31]ITEM-LIST'!#REF!</definedName>
    <definedName name="SO_CODE" localSheetId="58">'[31]ITEM-LIST'!#REF!</definedName>
    <definedName name="SO_CODE" localSheetId="56">'[31]ITEM-LIST'!#REF!</definedName>
    <definedName name="SO_CODE" localSheetId="57">'[31]ITEM-LIST'!#REF!</definedName>
    <definedName name="SO_CODE" localSheetId="64">'[31]ITEM-LIST'!#REF!</definedName>
    <definedName name="SO_CODE" localSheetId="67">'[31]ITEM-LIST'!#REF!</definedName>
    <definedName name="SO_CODE" localSheetId="65">'[31]ITEM-LIST'!#REF!</definedName>
    <definedName name="SO_CODE" localSheetId="68">'[31]ITEM-LIST'!#REF!</definedName>
    <definedName name="SO_CODE" localSheetId="71">'[31]ITEM-LIST'!#REF!</definedName>
    <definedName name="SO_CODE" localSheetId="44">'[31]ITEM-LIST'!#REF!</definedName>
    <definedName name="SO_CODE" localSheetId="45">'[31]ITEM-LIST'!#REF!</definedName>
    <definedName name="SO_CODE" localSheetId="17">'[31]ITEM-LIST'!#REF!</definedName>
    <definedName name="SO_CODE" localSheetId="27">'[31]ITEM-LIST'!#REF!</definedName>
    <definedName name="SO_CODE" localSheetId="72">'[31]ITEM-LIST'!#REF!</definedName>
    <definedName name="SO_CODE" localSheetId="28">'[31]ITEM-LIST'!#REF!</definedName>
    <definedName name="SO_CODE" localSheetId="29">'[31]ITEM-LIST'!#REF!</definedName>
    <definedName name="SO_CODE" localSheetId="66">'[31]ITEM-LIST'!#REF!</definedName>
    <definedName name="SO_CODE">'[31]ITEM-LIST'!#REF!</definedName>
    <definedName name="SO_NAME" localSheetId="70">'[31]ITEM-LIST'!#REF!</definedName>
    <definedName name="SO_NAME" localSheetId="52">'[31]ITEM-LIST'!#REF!</definedName>
    <definedName name="SO_NAME" localSheetId="58">'[31]ITEM-LIST'!#REF!</definedName>
    <definedName name="SO_NAME" localSheetId="57">'[31]ITEM-LIST'!#REF!</definedName>
    <definedName name="SO_NAME" localSheetId="64">'[31]ITEM-LIST'!#REF!</definedName>
    <definedName name="SO_NAME" localSheetId="67">'[31]ITEM-LIST'!#REF!</definedName>
    <definedName name="SO_NAME" localSheetId="65">'[31]ITEM-LIST'!#REF!</definedName>
    <definedName name="SO_NAME" localSheetId="68">'[31]ITEM-LIST'!#REF!</definedName>
    <definedName name="SO_NAME" localSheetId="71">'[31]ITEM-LIST'!#REF!</definedName>
    <definedName name="SO_NAME" localSheetId="44">'[31]ITEM-LIST'!#REF!</definedName>
    <definedName name="SO_NAME" localSheetId="45">'[31]ITEM-LIST'!#REF!</definedName>
    <definedName name="SO_NAME" localSheetId="17">'[31]ITEM-LIST'!#REF!</definedName>
    <definedName name="SO_NAME" localSheetId="27">'[31]ITEM-LIST'!#REF!</definedName>
    <definedName name="SO_NAME" localSheetId="28">'[31]ITEM-LIST'!#REF!</definedName>
    <definedName name="SO_NAME" localSheetId="29">'[31]ITEM-LIST'!#REF!</definedName>
    <definedName name="SO_NAME" localSheetId="66">'[31]ITEM-LIST'!#REF!</definedName>
    <definedName name="SO_NAME">'[31]ITEM-LIST'!#REF!</definedName>
    <definedName name="SOL" localSheetId="70">#REF!</definedName>
    <definedName name="SOL" localSheetId="52">#REF!</definedName>
    <definedName name="SOL" localSheetId="58">#REF!</definedName>
    <definedName name="SOL" localSheetId="56">#REF!</definedName>
    <definedName name="SOL" localSheetId="57">#REF!</definedName>
    <definedName name="SOL" localSheetId="64">#REF!</definedName>
    <definedName name="SOL" localSheetId="67">#REF!</definedName>
    <definedName name="SOL" localSheetId="65">#REF!</definedName>
    <definedName name="SOL" localSheetId="68">#REF!</definedName>
    <definedName name="SOL" localSheetId="71">#REF!</definedName>
    <definedName name="SOL" localSheetId="44">#REF!</definedName>
    <definedName name="SOL" localSheetId="45">#REF!</definedName>
    <definedName name="SOL" localSheetId="17">#REF!</definedName>
    <definedName name="SOL" localSheetId="27">#REF!</definedName>
    <definedName name="SOL" localSheetId="72">#REF!</definedName>
    <definedName name="SOL" localSheetId="28">#REF!</definedName>
    <definedName name="SOL" localSheetId="29">#REF!</definedName>
    <definedName name="SOL" localSheetId="66">#REF!</definedName>
    <definedName name="SOL">#REF!</definedName>
    <definedName name="SONIK" localSheetId="70">#REF!</definedName>
    <definedName name="SONIK" localSheetId="52">#REF!</definedName>
    <definedName name="SONIK" localSheetId="58">#REF!</definedName>
    <definedName name="SONIK" localSheetId="57">#REF!</definedName>
    <definedName name="SONIK" localSheetId="64">#REF!</definedName>
    <definedName name="SONIK" localSheetId="67">#REF!</definedName>
    <definedName name="SONIK" localSheetId="65">#REF!</definedName>
    <definedName name="SONIK" localSheetId="68">#REF!</definedName>
    <definedName name="SONIK" localSheetId="71">#REF!</definedName>
    <definedName name="SONIK" localSheetId="44">#REF!</definedName>
    <definedName name="SONIK" localSheetId="45">#REF!</definedName>
    <definedName name="SONIK" localSheetId="17">#REF!</definedName>
    <definedName name="SONIK" localSheetId="27">#REF!</definedName>
    <definedName name="SONIK" localSheetId="72">#REF!</definedName>
    <definedName name="SONIK" localSheetId="28">#REF!</definedName>
    <definedName name="SONIK" localSheetId="29">#REF!</definedName>
    <definedName name="SONIK" localSheetId="66">#REF!</definedName>
    <definedName name="SONIK">#REF!</definedName>
    <definedName name="SPA224_VALVES_COMPARE_COL" localSheetId="70">#REF!</definedName>
    <definedName name="SPA224_VALVES_COMPARE_COL" localSheetId="52">#REF!</definedName>
    <definedName name="SPA224_VALVES_COMPARE_COL" localSheetId="58">#REF!</definedName>
    <definedName name="SPA224_VALVES_COMPARE_COL" localSheetId="57">#REF!</definedName>
    <definedName name="SPA224_VALVES_COMPARE_COL" localSheetId="64">#REF!</definedName>
    <definedName name="SPA224_VALVES_COMPARE_COL" localSheetId="67">#REF!</definedName>
    <definedName name="SPA224_VALVES_COMPARE_COL" localSheetId="65">#REF!</definedName>
    <definedName name="SPA224_VALVES_COMPARE_COL" localSheetId="68">#REF!</definedName>
    <definedName name="SPA224_VALVES_COMPARE_COL" localSheetId="71">#REF!</definedName>
    <definedName name="SPA224_VALVES_COMPARE_COL" localSheetId="44">#REF!</definedName>
    <definedName name="SPA224_VALVES_COMPARE_COL" localSheetId="45">#REF!</definedName>
    <definedName name="SPA224_VALVES_COMPARE_COL" localSheetId="17">#REF!</definedName>
    <definedName name="SPA224_VALVES_COMPARE_COL" localSheetId="27">#REF!</definedName>
    <definedName name="SPA224_VALVES_COMPARE_COL" localSheetId="72">#REF!</definedName>
    <definedName name="SPA224_VALVES_COMPARE_COL" localSheetId="28">#REF!</definedName>
    <definedName name="SPA224_VALVES_COMPARE_COL" localSheetId="29">#REF!</definedName>
    <definedName name="SPA224_VALVES_COMPARE_COL" localSheetId="66">#REF!</definedName>
    <definedName name="SPA224_VALVES_COMPARE_COL">#REF!</definedName>
    <definedName name="SPA224_VALVES_ERROR_COL" localSheetId="70">#REF!</definedName>
    <definedName name="SPA224_VALVES_ERROR_COL" localSheetId="52">#REF!</definedName>
    <definedName name="SPA224_VALVES_ERROR_COL" localSheetId="58">#REF!</definedName>
    <definedName name="SPA224_VALVES_ERROR_COL" localSheetId="57">#REF!</definedName>
    <definedName name="SPA224_VALVES_ERROR_COL" localSheetId="64">#REF!</definedName>
    <definedName name="SPA224_VALVES_ERROR_COL" localSheetId="67">#REF!</definedName>
    <definedName name="SPA224_VALVES_ERROR_COL" localSheetId="65">#REF!</definedName>
    <definedName name="SPA224_VALVES_ERROR_COL" localSheetId="68">#REF!</definedName>
    <definedName name="SPA224_VALVES_ERROR_COL" localSheetId="71">#REF!</definedName>
    <definedName name="SPA224_VALVES_ERROR_COL" localSheetId="44">#REF!</definedName>
    <definedName name="SPA224_VALVES_ERROR_COL" localSheetId="45">#REF!</definedName>
    <definedName name="SPA224_VALVES_ERROR_COL" localSheetId="27">#REF!</definedName>
    <definedName name="SPA224_VALVES_ERROR_COL" localSheetId="28">#REF!</definedName>
    <definedName name="SPA224_VALVES_ERROR_COL" localSheetId="29">#REF!</definedName>
    <definedName name="SPA224_VALVES_ERROR_COL" localSheetId="66">#REF!</definedName>
    <definedName name="SPA224_VALVES_ERROR_COL">#REF!</definedName>
    <definedName name="SPEC">#N/A</definedName>
    <definedName name="SS">[21]현장지지물물량!$A$1:$IV$8</definedName>
    <definedName name="sss">#N/A</definedName>
    <definedName name="sssssss" localSheetId="70">'[65]#REF'!#REF!</definedName>
    <definedName name="sssssss" localSheetId="52">'[65]#REF'!#REF!</definedName>
    <definedName name="sssssss" localSheetId="58">'[65]#REF'!#REF!</definedName>
    <definedName name="sssssss" localSheetId="56">'[65]#REF'!#REF!</definedName>
    <definedName name="sssssss" localSheetId="57">'[65]#REF'!#REF!</definedName>
    <definedName name="sssssss" localSheetId="64">'[65]#REF'!#REF!</definedName>
    <definedName name="sssssss" localSheetId="67">'[65]#REF'!#REF!</definedName>
    <definedName name="sssssss" localSheetId="65">'[65]#REF'!#REF!</definedName>
    <definedName name="sssssss" localSheetId="68">'[65]#REF'!#REF!</definedName>
    <definedName name="sssssss" localSheetId="71">'[65]#REF'!#REF!</definedName>
    <definedName name="sssssss" localSheetId="44">'[65]#REF'!#REF!</definedName>
    <definedName name="sssssss" localSheetId="45">'[65]#REF'!#REF!</definedName>
    <definedName name="sssssss" localSheetId="17">'[65]#REF'!#REF!</definedName>
    <definedName name="sssssss" localSheetId="27">'[65]#REF'!#REF!</definedName>
    <definedName name="sssssss" localSheetId="72">'[65]#REF'!#REF!</definedName>
    <definedName name="sssssss" localSheetId="28">'[65]#REF'!#REF!</definedName>
    <definedName name="sssssss" localSheetId="29">'[65]#REF'!#REF!</definedName>
    <definedName name="sssssss" localSheetId="66">'[65]#REF'!#REF!</definedName>
    <definedName name="sssssss">'[65]#REF'!#REF!</definedName>
    <definedName name="ssssssss">#N/A</definedName>
    <definedName name="sssssssss">[12]Notes!$A$13</definedName>
    <definedName name="ssssssssss" localSheetId="140" hidden="1">#REF!</definedName>
    <definedName name="ssssssssss" localSheetId="142" hidden="1">#REF!</definedName>
    <definedName name="ssssssssss">[12]Notes!$A$53</definedName>
    <definedName name="sssssssssssss34">[12]Notes!$A$55</definedName>
    <definedName name="ST_TYPE" localSheetId="70">#REF!</definedName>
    <definedName name="ST_TYPE" localSheetId="52">#REF!</definedName>
    <definedName name="ST_TYPE" localSheetId="58">#REF!</definedName>
    <definedName name="ST_TYPE" localSheetId="56">#REF!</definedName>
    <definedName name="ST_TYPE" localSheetId="57">#REF!</definedName>
    <definedName name="ST_TYPE" localSheetId="64">#REF!</definedName>
    <definedName name="ST_TYPE" localSheetId="67">#REF!</definedName>
    <definedName name="ST_TYPE" localSheetId="65">#REF!</definedName>
    <definedName name="ST_TYPE" localSheetId="68">#REF!</definedName>
    <definedName name="ST_TYPE" localSheetId="71">#REF!</definedName>
    <definedName name="ST_TYPE" localSheetId="44">#REF!</definedName>
    <definedName name="ST_TYPE" localSheetId="45">#REF!</definedName>
    <definedName name="ST_TYPE" localSheetId="17">#REF!</definedName>
    <definedName name="ST_TYPE" localSheetId="27">#REF!</definedName>
    <definedName name="ST_TYPE" localSheetId="72">#REF!</definedName>
    <definedName name="ST_TYPE" localSheetId="28">#REF!</definedName>
    <definedName name="ST_TYPE" localSheetId="29">#REF!</definedName>
    <definedName name="ST_TYPE" localSheetId="66">#REF!</definedName>
    <definedName name="ST_TYPE">#REF!</definedName>
    <definedName name="STATICAC_GEN_TA" localSheetId="70">#REF!</definedName>
    <definedName name="STATICAC_GEN_TA" localSheetId="143">#REF!</definedName>
    <definedName name="STATICAC_GEN_TA" localSheetId="52">#REF!</definedName>
    <definedName name="STATICAC_GEN_TA" localSheetId="58">#REF!</definedName>
    <definedName name="STATICAC_GEN_TA" localSheetId="57">#REF!</definedName>
    <definedName name="STATICAC_GEN_TA" localSheetId="64">#REF!</definedName>
    <definedName name="STATICAC_GEN_TA" localSheetId="67">#REF!</definedName>
    <definedName name="STATICAC_GEN_TA" localSheetId="65">#REF!</definedName>
    <definedName name="STATICAC_GEN_TA" localSheetId="68">#REF!</definedName>
    <definedName name="STATICAC_GEN_TA" localSheetId="71">#REF!</definedName>
    <definedName name="STATICAC_GEN_TA" localSheetId="44">#REF!</definedName>
    <definedName name="STATICAC_GEN_TA" localSheetId="45">#REF!</definedName>
    <definedName name="STATICAC_GEN_TA" localSheetId="17">#REF!</definedName>
    <definedName name="STATICAC_GEN_TA" localSheetId="27">#REF!</definedName>
    <definedName name="STATICAC_GEN_TA" localSheetId="72">#REF!</definedName>
    <definedName name="STATICAC_GEN_TA" localSheetId="28">#REF!</definedName>
    <definedName name="STATICAC_GEN_TA" localSheetId="29">#REF!</definedName>
    <definedName name="STATICAC_GEN_TA" localSheetId="66">#REF!</definedName>
    <definedName name="STATICAC_GEN_TA">#REF!</definedName>
    <definedName name="STATICAC_GEN_TD" localSheetId="70">#REF!</definedName>
    <definedName name="STATICAC_GEN_TD" localSheetId="143">#REF!</definedName>
    <definedName name="STATICAC_GEN_TD" localSheetId="52">#REF!</definedName>
    <definedName name="STATICAC_GEN_TD" localSheetId="58">#REF!</definedName>
    <definedName name="STATICAC_GEN_TD" localSheetId="56">#REF!</definedName>
    <definedName name="STATICAC_GEN_TD" localSheetId="57">#REF!</definedName>
    <definedName name="STATICAC_GEN_TD" localSheetId="64">#REF!</definedName>
    <definedName name="STATICAC_GEN_TD" localSheetId="67">#REF!</definedName>
    <definedName name="STATICAC_GEN_TD" localSheetId="65">#REF!</definedName>
    <definedName name="STATICAC_GEN_TD" localSheetId="68">#REF!</definedName>
    <definedName name="STATICAC_GEN_TD" localSheetId="71">#REF!</definedName>
    <definedName name="STATICAC_GEN_TD" localSheetId="44">#REF!</definedName>
    <definedName name="STATICAC_GEN_TD" localSheetId="45">#REF!</definedName>
    <definedName name="STATICAC_GEN_TD" localSheetId="17">#REF!</definedName>
    <definedName name="STATICAC_GEN_TD" localSheetId="27">#REF!</definedName>
    <definedName name="STATICAC_GEN_TD" localSheetId="128">'[26]90% Write off'!#REF!</definedName>
    <definedName name="STATICAC_GEN_TD" localSheetId="28">#REF!</definedName>
    <definedName name="STATICAC_GEN_TD" localSheetId="29">#REF!</definedName>
    <definedName name="STATICAC_GEN_TD" localSheetId="66">#REF!</definedName>
    <definedName name="STATICAC_GEN_TD">#REF!</definedName>
    <definedName name="steam_trap" localSheetId="70">#REF!</definedName>
    <definedName name="steam_trap" localSheetId="52">#REF!</definedName>
    <definedName name="steam_trap" localSheetId="58">#REF!</definedName>
    <definedName name="steam_trap" localSheetId="57">#REF!</definedName>
    <definedName name="steam_trap" localSheetId="64">#REF!</definedName>
    <definedName name="steam_trap" localSheetId="67">#REF!</definedName>
    <definedName name="steam_trap" localSheetId="65">#REF!</definedName>
    <definedName name="steam_trap" localSheetId="68">#REF!</definedName>
    <definedName name="steam_trap" localSheetId="71">#REF!</definedName>
    <definedName name="steam_trap" localSheetId="44">#REF!</definedName>
    <definedName name="steam_trap" localSheetId="45">#REF!</definedName>
    <definedName name="steam_trap" localSheetId="17">#REF!</definedName>
    <definedName name="steam_trap" localSheetId="27">#REF!</definedName>
    <definedName name="steam_trap" localSheetId="72">#REF!</definedName>
    <definedName name="steam_trap" localSheetId="28">#REF!</definedName>
    <definedName name="steam_trap" localSheetId="29">#REF!</definedName>
    <definedName name="steam_trap" localSheetId="66">#REF!</definedName>
    <definedName name="steam_trap">#REF!</definedName>
    <definedName name="STORES" localSheetId="70">[66]BEST_17102006!#REF!</definedName>
    <definedName name="STORES" localSheetId="143">[66]BEST_17102006!#REF!</definedName>
    <definedName name="STORES" localSheetId="52">[66]BEST_17102006!#REF!</definedName>
    <definedName name="STORES" localSheetId="58">[66]BEST_17102006!#REF!</definedName>
    <definedName name="STORES" localSheetId="57">[66]BEST_17102006!#REF!</definedName>
    <definedName name="STORES" localSheetId="64">[66]BEST_17102006!#REF!</definedName>
    <definedName name="STORES" localSheetId="67">[66]BEST_17102006!#REF!</definedName>
    <definedName name="STORES" localSheetId="65">[66]BEST_17102006!#REF!</definedName>
    <definedName name="STORES" localSheetId="68">[66]BEST_17102006!#REF!</definedName>
    <definedName name="STORES" localSheetId="71">[66]BEST_17102006!#REF!</definedName>
    <definedName name="STORES" localSheetId="44">[66]BEST_17102006!#REF!</definedName>
    <definedName name="STORES" localSheetId="45">[66]BEST_17102006!#REF!</definedName>
    <definedName name="STORES" localSheetId="17">[66]BEST_17102006!#REF!</definedName>
    <definedName name="STORES" localSheetId="27">[66]BEST_17102006!#REF!</definedName>
    <definedName name="STORES" localSheetId="72">[66]BEST_17102006!#REF!</definedName>
    <definedName name="STORES" localSheetId="28">[66]BEST_17102006!#REF!</definedName>
    <definedName name="STORES" localSheetId="29">[66]BEST_17102006!#REF!</definedName>
    <definedName name="STORES" localSheetId="66">[66]BEST_17102006!#REF!</definedName>
    <definedName name="STORES">[66]BEST_17102006!#REF!</definedName>
    <definedName name="Stores_1" localSheetId="70">[66]BEST_17102006!#REF!</definedName>
    <definedName name="Stores_1" localSheetId="143">[66]BEST_17102006!#REF!</definedName>
    <definedName name="Stores_1" localSheetId="52">[66]BEST_17102006!#REF!</definedName>
    <definedName name="Stores_1" localSheetId="58">[66]BEST_17102006!#REF!</definedName>
    <definedName name="Stores_1" localSheetId="57">[66]BEST_17102006!#REF!</definedName>
    <definedName name="Stores_1" localSheetId="64">[66]BEST_17102006!#REF!</definedName>
    <definedName name="Stores_1" localSheetId="67">[66]BEST_17102006!#REF!</definedName>
    <definedName name="Stores_1" localSheetId="65">[66]BEST_17102006!#REF!</definedName>
    <definedName name="Stores_1" localSheetId="68">[66]BEST_17102006!#REF!</definedName>
    <definedName name="Stores_1" localSheetId="71">[66]BEST_17102006!#REF!</definedName>
    <definedName name="Stores_1" localSheetId="44">[66]BEST_17102006!#REF!</definedName>
    <definedName name="Stores_1" localSheetId="45">[66]BEST_17102006!#REF!</definedName>
    <definedName name="Stores_1" localSheetId="27">[66]BEST_17102006!#REF!</definedName>
    <definedName name="Stores_1" localSheetId="28">[66]BEST_17102006!#REF!</definedName>
    <definedName name="Stores_1" localSheetId="29">[66]BEST_17102006!#REF!</definedName>
    <definedName name="Stores_1" localSheetId="66">[66]BEST_17102006!#REF!</definedName>
    <definedName name="Stores_1">[66]BEST_17102006!#REF!</definedName>
    <definedName name="STORES_2" localSheetId="70">[66]BEST_17102006!#REF!</definedName>
    <definedName name="STORES_2" localSheetId="143">[66]BEST_17102006!#REF!</definedName>
    <definedName name="STORES_2" localSheetId="52">[66]BEST_17102006!#REF!</definedName>
    <definedName name="STORES_2" localSheetId="58">[66]BEST_17102006!#REF!</definedName>
    <definedName name="STORES_2" localSheetId="57">[66]BEST_17102006!#REF!</definedName>
    <definedName name="STORES_2" localSheetId="64">[66]BEST_17102006!#REF!</definedName>
    <definedName name="STORES_2" localSheetId="67">[66]BEST_17102006!#REF!</definedName>
    <definedName name="STORES_2" localSheetId="65">[66]BEST_17102006!#REF!</definedName>
    <definedName name="STORES_2" localSheetId="68">[66]BEST_17102006!#REF!</definedName>
    <definedName name="STORES_2" localSheetId="71">[66]BEST_17102006!#REF!</definedName>
    <definedName name="STORES_2" localSheetId="44">[66]BEST_17102006!#REF!</definedName>
    <definedName name="STORES_2" localSheetId="45">[66]BEST_17102006!#REF!</definedName>
    <definedName name="STORES_2" localSheetId="27">[66]BEST_17102006!#REF!</definedName>
    <definedName name="STORES_2" localSheetId="28">[66]BEST_17102006!#REF!</definedName>
    <definedName name="STORES_2" localSheetId="29">[66]BEST_17102006!#REF!</definedName>
    <definedName name="STORES_2" localSheetId="66">[66]BEST_17102006!#REF!</definedName>
    <definedName name="STORES_2">[66]BEST_17102006!#REF!</definedName>
    <definedName name="Stores_CurrentAsset" localSheetId="70">#REF!</definedName>
    <definedName name="Stores_CurrentAsset" localSheetId="126">'BEST final'!$C$34</definedName>
    <definedName name="Stores_CurrentAsset" localSheetId="52">#REF!</definedName>
    <definedName name="Stores_CurrentAsset" localSheetId="58">#REF!</definedName>
    <definedName name="Stores_CurrentAsset" localSheetId="56">#REF!</definedName>
    <definedName name="Stores_CurrentAsset" localSheetId="57">#REF!</definedName>
    <definedName name="Stores_CurrentAsset" localSheetId="64">#REF!</definedName>
    <definedName name="Stores_CurrentAsset" localSheetId="67">#REF!</definedName>
    <definedName name="Stores_CurrentAsset" localSheetId="65">#REF!</definedName>
    <definedName name="Stores_CurrentAsset" localSheetId="68">#REF!</definedName>
    <definedName name="Stores_CurrentAsset" localSheetId="71">#REF!</definedName>
    <definedName name="Stores_CurrentAsset" localSheetId="44">#REF!</definedName>
    <definedName name="Stores_CurrentAsset" localSheetId="45">#REF!</definedName>
    <definedName name="Stores_CurrentAsset" localSheetId="17">#REF!</definedName>
    <definedName name="Stores_CurrentAsset" localSheetId="27">#REF!</definedName>
    <definedName name="Stores_CurrentAsset" localSheetId="72">#REF!</definedName>
    <definedName name="Stores_CurrentAsset" localSheetId="28">#REF!</definedName>
    <definedName name="Stores_CurrentAsset" localSheetId="29">#REF!</definedName>
    <definedName name="Stores_CurrentAsset" localSheetId="66">#REF!</definedName>
    <definedName name="Stores_CurrentAsset">#REF!</definedName>
    <definedName name="sTREETLAMP_ES_TA" localSheetId="70">#REF!</definedName>
    <definedName name="sTREETLAMP_ES_TA" localSheetId="143">#REF!</definedName>
    <definedName name="sTREETLAMP_ES_TA" localSheetId="52">#REF!</definedName>
    <definedName name="sTREETLAMP_ES_TA" localSheetId="58">#REF!</definedName>
    <definedName name="sTREETLAMP_ES_TA" localSheetId="57">#REF!</definedName>
    <definedName name="sTREETLAMP_ES_TA" localSheetId="64">#REF!</definedName>
    <definedName name="sTREETLAMP_ES_TA" localSheetId="67">#REF!</definedName>
    <definedName name="sTREETLAMP_ES_TA" localSheetId="65">#REF!</definedName>
    <definedName name="sTREETLAMP_ES_TA" localSheetId="68">#REF!</definedName>
    <definedName name="sTREETLAMP_ES_TA" localSheetId="71">#REF!</definedName>
    <definedName name="sTREETLAMP_ES_TA" localSheetId="44">#REF!</definedName>
    <definedName name="sTREETLAMP_ES_TA" localSheetId="45">#REF!</definedName>
    <definedName name="sTREETLAMP_ES_TA" localSheetId="17">#REF!</definedName>
    <definedName name="sTREETLAMP_ES_TA" localSheetId="27">#REF!</definedName>
    <definedName name="sTREETLAMP_ES_TA" localSheetId="72">#REF!</definedName>
    <definedName name="sTREETLAMP_ES_TA" localSheetId="28">#REF!</definedName>
    <definedName name="sTREETLAMP_ES_TA" localSheetId="29">#REF!</definedName>
    <definedName name="sTREETLAMP_ES_TA" localSheetId="66">#REF!</definedName>
    <definedName name="sTREETLAMP_ES_TA">#REF!</definedName>
    <definedName name="STREETLAMP_ES_TD" localSheetId="70">#REF!</definedName>
    <definedName name="STREETLAMP_ES_TD" localSheetId="143">#REF!</definedName>
    <definedName name="STREETLAMP_ES_TD" localSheetId="52">#REF!</definedName>
    <definedName name="STREETLAMP_ES_TD" localSheetId="58">#REF!</definedName>
    <definedName name="STREETLAMP_ES_TD" localSheetId="56">#REF!</definedName>
    <definedName name="STREETLAMP_ES_TD" localSheetId="57">#REF!</definedName>
    <definedName name="STREETLAMP_ES_TD" localSheetId="64">#REF!</definedName>
    <definedName name="STREETLAMP_ES_TD" localSheetId="67">#REF!</definedName>
    <definedName name="STREETLAMP_ES_TD" localSheetId="65">#REF!</definedName>
    <definedName name="STREETLAMP_ES_TD" localSheetId="68">#REF!</definedName>
    <definedName name="STREETLAMP_ES_TD" localSheetId="71">#REF!</definedName>
    <definedName name="STREETLAMP_ES_TD" localSheetId="44">#REF!</definedName>
    <definedName name="STREETLAMP_ES_TD" localSheetId="45">#REF!</definedName>
    <definedName name="STREETLAMP_ES_TD" localSheetId="17">#REF!</definedName>
    <definedName name="STREETLAMP_ES_TD" localSheetId="27">#REF!</definedName>
    <definedName name="STREETLAMP_ES_TD" localSheetId="128">'[26]90% Write off'!#REF!</definedName>
    <definedName name="STREETLAMP_ES_TD" localSheetId="28">#REF!</definedName>
    <definedName name="STREETLAMP_ES_TD" localSheetId="29">#REF!</definedName>
    <definedName name="STREETLAMP_ES_TD" localSheetId="66">#REF!</definedName>
    <definedName name="STREETLAMP_ES_TD">#REF!</definedName>
    <definedName name="StressTables" localSheetId="70">#REF!</definedName>
    <definedName name="StressTables" localSheetId="52">#REF!</definedName>
    <definedName name="StressTables" localSheetId="58">#REF!</definedName>
    <definedName name="StressTables" localSheetId="57">#REF!</definedName>
    <definedName name="StressTables" localSheetId="64">#REF!</definedName>
    <definedName name="StressTables" localSheetId="67">#REF!</definedName>
    <definedName name="StressTables" localSheetId="65">#REF!</definedName>
    <definedName name="StressTables" localSheetId="68">#REF!</definedName>
    <definedName name="StressTables" localSheetId="71">#REF!</definedName>
    <definedName name="StressTables" localSheetId="44">#REF!</definedName>
    <definedName name="StressTables" localSheetId="45">#REF!</definedName>
    <definedName name="StressTables" localSheetId="17">#REF!</definedName>
    <definedName name="StressTables" localSheetId="27">#REF!</definedName>
    <definedName name="StressTables" localSheetId="72">#REF!</definedName>
    <definedName name="StressTables" localSheetId="28">#REF!</definedName>
    <definedName name="StressTables" localSheetId="29">#REF!</definedName>
    <definedName name="StressTables" localSheetId="66">#REF!</definedName>
    <definedName name="StressTables">#REF!</definedName>
    <definedName name="SUFF">#N/A</definedName>
    <definedName name="Sum_No" localSheetId="70">#REF!</definedName>
    <definedName name="Sum_No" localSheetId="52">#REF!</definedName>
    <definedName name="Sum_No" localSheetId="58">#REF!</definedName>
    <definedName name="Sum_No" localSheetId="56">#REF!</definedName>
    <definedName name="Sum_No" localSheetId="57">#REF!</definedName>
    <definedName name="Sum_No" localSheetId="64">#REF!</definedName>
    <definedName name="Sum_No" localSheetId="67">#REF!</definedName>
    <definedName name="Sum_No" localSheetId="65">#REF!</definedName>
    <definedName name="Sum_No" localSheetId="68">#REF!</definedName>
    <definedName name="Sum_No" localSheetId="71">#REF!</definedName>
    <definedName name="Sum_No" localSheetId="44">#REF!</definedName>
    <definedName name="Sum_No" localSheetId="45">#REF!</definedName>
    <definedName name="Sum_No" localSheetId="17">#REF!</definedName>
    <definedName name="Sum_No" localSheetId="27">#REF!</definedName>
    <definedName name="Sum_No" localSheetId="72">#REF!</definedName>
    <definedName name="Sum_No" localSheetId="28">#REF!</definedName>
    <definedName name="Sum_No" localSheetId="29">#REF!</definedName>
    <definedName name="Sum_No" localSheetId="66">#REF!</definedName>
    <definedName name="Sum_No">#REF!</definedName>
    <definedName name="SUMMARY" localSheetId="70">#REF!</definedName>
    <definedName name="SUMMARY" localSheetId="52">#REF!</definedName>
    <definedName name="SUMMARY" localSheetId="58">#REF!</definedName>
    <definedName name="SUMMARY" localSheetId="57">#REF!</definedName>
    <definedName name="SUMMARY" localSheetId="64">#REF!</definedName>
    <definedName name="SUMMARY" localSheetId="67">#REF!</definedName>
    <definedName name="SUMMARY" localSheetId="65">#REF!</definedName>
    <definedName name="SUMMARY" localSheetId="68">#REF!</definedName>
    <definedName name="SUMMARY" localSheetId="71">#REF!</definedName>
    <definedName name="SUMMARY" localSheetId="44">#REF!</definedName>
    <definedName name="SUMMARY" localSheetId="45">#REF!</definedName>
    <definedName name="SUMMARY" localSheetId="17">#REF!</definedName>
    <definedName name="SUMMARY" localSheetId="27">#REF!</definedName>
    <definedName name="SUMMARY" localSheetId="72">#REF!</definedName>
    <definedName name="SUMMARY" localSheetId="28">#REF!</definedName>
    <definedName name="SUMMARY" localSheetId="29">#REF!</definedName>
    <definedName name="SUMMARY" localSheetId="66">#REF!</definedName>
    <definedName name="SUMMARY">#REF!</definedName>
    <definedName name="supno">[67]INDEX!$B$1:$C$65536</definedName>
    <definedName name="SUPNO1" localSheetId="70">#REF!</definedName>
    <definedName name="SUPNO1" localSheetId="52">#REF!</definedName>
    <definedName name="SUPNO1" localSheetId="58">#REF!</definedName>
    <definedName name="SUPNO1" localSheetId="56">#REF!</definedName>
    <definedName name="SUPNO1" localSheetId="57">#REF!</definedName>
    <definedName name="SUPNO1" localSheetId="64">#REF!</definedName>
    <definedName name="SUPNO1" localSheetId="67">#REF!</definedName>
    <definedName name="SUPNO1" localSheetId="65">#REF!</definedName>
    <definedName name="SUPNO1" localSheetId="68">#REF!</definedName>
    <definedName name="SUPNO1" localSheetId="71">#REF!</definedName>
    <definedName name="SUPNO1" localSheetId="44">#REF!</definedName>
    <definedName name="SUPNO1" localSheetId="45">#REF!</definedName>
    <definedName name="SUPNO1" localSheetId="17">#REF!</definedName>
    <definedName name="SUPNO1" localSheetId="27">#REF!</definedName>
    <definedName name="SUPNO1" localSheetId="72">#REF!</definedName>
    <definedName name="SUPNO1" localSheetId="28">#REF!</definedName>
    <definedName name="SUPNO1" localSheetId="29">#REF!</definedName>
    <definedName name="SUPNO1" localSheetId="66">#REF!</definedName>
    <definedName name="SUPNO1">#REF!</definedName>
    <definedName name="SUPP" localSheetId="70">#REF!</definedName>
    <definedName name="SUPP" localSheetId="52">#REF!</definedName>
    <definedName name="SUPP" localSheetId="58">#REF!</definedName>
    <definedName name="SUPP" localSheetId="57">#REF!</definedName>
    <definedName name="SUPP" localSheetId="64">#REF!</definedName>
    <definedName name="SUPP" localSheetId="67">#REF!</definedName>
    <definedName name="SUPP" localSheetId="65">#REF!</definedName>
    <definedName name="SUPP" localSheetId="68">#REF!</definedName>
    <definedName name="SUPP" localSheetId="71">#REF!</definedName>
    <definedName name="SUPP" localSheetId="44">#REF!</definedName>
    <definedName name="SUPP" localSheetId="45">#REF!</definedName>
    <definedName name="SUPP" localSheetId="17">#REF!</definedName>
    <definedName name="SUPP" localSheetId="27">#REF!</definedName>
    <definedName name="SUPP" localSheetId="72">#REF!</definedName>
    <definedName name="SUPP" localSheetId="28">#REF!</definedName>
    <definedName name="SUPP" localSheetId="29">#REF!</definedName>
    <definedName name="SUPP" localSheetId="66">#REF!</definedName>
    <definedName name="SUPP">#REF!</definedName>
    <definedName name="svsdhv">[12]BEST_17112006!$A$364</definedName>
    <definedName name="SWITCHGEAR_ES_TA" localSheetId="70">#REF!</definedName>
    <definedName name="SWITCHGEAR_ES_TA" localSheetId="143">#REF!</definedName>
    <definedName name="SWITCHGEAR_ES_TA" localSheetId="52">#REF!</definedName>
    <definedName name="SWITCHGEAR_ES_TA" localSheetId="58">#REF!</definedName>
    <definedName name="SWITCHGEAR_ES_TA" localSheetId="57">#REF!</definedName>
    <definedName name="SWITCHGEAR_ES_TA" localSheetId="64">#REF!</definedName>
    <definedName name="SWITCHGEAR_ES_TA" localSheetId="67">#REF!</definedName>
    <definedName name="SWITCHGEAR_ES_TA" localSheetId="65">#REF!</definedName>
    <definedName name="SWITCHGEAR_ES_TA" localSheetId="68">#REF!</definedName>
    <definedName name="SWITCHGEAR_ES_TA" localSheetId="71">#REF!</definedName>
    <definedName name="SWITCHGEAR_ES_TA" localSheetId="44">#REF!</definedName>
    <definedName name="SWITCHGEAR_ES_TA" localSheetId="45">#REF!</definedName>
    <definedName name="SWITCHGEAR_ES_TA" localSheetId="17">#REF!</definedName>
    <definedName name="SWITCHGEAR_ES_TA" localSheetId="27">#REF!</definedName>
    <definedName name="SWITCHGEAR_ES_TA" localSheetId="72">#REF!</definedName>
    <definedName name="SWITCHGEAR_ES_TA" localSheetId="28">#REF!</definedName>
    <definedName name="SWITCHGEAR_ES_TA" localSheetId="29">#REF!</definedName>
    <definedName name="SWITCHGEAR_ES_TA" localSheetId="66">#REF!</definedName>
    <definedName name="SWITCHGEAR_ES_TA">#REF!</definedName>
    <definedName name="SWITCHGEAR_ES_TD" localSheetId="70">#REF!</definedName>
    <definedName name="SWITCHGEAR_ES_TD" localSheetId="143">#REF!</definedName>
    <definedName name="SWITCHGEAR_ES_TD" localSheetId="52">#REF!</definedName>
    <definedName name="SWITCHGEAR_ES_TD" localSheetId="58">#REF!</definedName>
    <definedName name="SWITCHGEAR_ES_TD" localSheetId="56">#REF!</definedName>
    <definedName name="SWITCHGEAR_ES_TD" localSheetId="57">#REF!</definedName>
    <definedName name="SWITCHGEAR_ES_TD" localSheetId="64">#REF!</definedName>
    <definedName name="SWITCHGEAR_ES_TD" localSheetId="67">#REF!</definedName>
    <definedName name="SWITCHGEAR_ES_TD" localSheetId="65">#REF!</definedName>
    <definedName name="SWITCHGEAR_ES_TD" localSheetId="68">#REF!</definedName>
    <definedName name="SWITCHGEAR_ES_TD" localSheetId="71">#REF!</definedName>
    <definedName name="SWITCHGEAR_ES_TD" localSheetId="44">#REF!</definedName>
    <definedName name="SWITCHGEAR_ES_TD" localSheetId="45">#REF!</definedName>
    <definedName name="SWITCHGEAR_ES_TD" localSheetId="17">#REF!</definedName>
    <definedName name="SWITCHGEAR_ES_TD" localSheetId="27">#REF!</definedName>
    <definedName name="SWITCHGEAR_ES_TD" localSheetId="72">#REF!</definedName>
    <definedName name="SWITCHGEAR_ES_TD" localSheetId="128">'[26]90% Write off'!#REF!</definedName>
    <definedName name="SWITCHGEAR_ES_TD" localSheetId="28">#REF!</definedName>
    <definedName name="SWITCHGEAR_ES_TD" localSheetId="29">#REF!</definedName>
    <definedName name="SWITCHGEAR_ES_TD" localSheetId="66">#REF!</definedName>
    <definedName name="SWITCHGEAR_ES_TD">#REF!</definedName>
    <definedName name="SWITCHGERA_ES_TA" localSheetId="70">#REF!</definedName>
    <definedName name="SWITCHGERA_ES_TA" localSheetId="143">#REF!</definedName>
    <definedName name="SWITCHGERA_ES_TA" localSheetId="52">#REF!</definedName>
    <definedName name="SWITCHGERA_ES_TA" localSheetId="58">#REF!</definedName>
    <definedName name="SWITCHGERA_ES_TA" localSheetId="57">#REF!</definedName>
    <definedName name="SWITCHGERA_ES_TA" localSheetId="64">#REF!</definedName>
    <definedName name="SWITCHGERA_ES_TA" localSheetId="67">#REF!</definedName>
    <definedName name="SWITCHGERA_ES_TA" localSheetId="65">#REF!</definedName>
    <definedName name="SWITCHGERA_ES_TA" localSheetId="68">#REF!</definedName>
    <definedName name="SWITCHGERA_ES_TA" localSheetId="71">#REF!</definedName>
    <definedName name="SWITCHGERA_ES_TA" localSheetId="44">#REF!</definedName>
    <definedName name="SWITCHGERA_ES_TA" localSheetId="45">#REF!</definedName>
    <definedName name="SWITCHGERA_ES_TA" localSheetId="17">#REF!</definedName>
    <definedName name="SWITCHGERA_ES_TA" localSheetId="27">#REF!</definedName>
    <definedName name="SWITCHGERA_ES_TA" localSheetId="72">#REF!</definedName>
    <definedName name="SWITCHGERA_ES_TA" localSheetId="28">#REF!</definedName>
    <definedName name="SWITCHGERA_ES_TA" localSheetId="29">#REF!</definedName>
    <definedName name="SWITCHGERA_ES_TA" localSheetId="66">#REF!</definedName>
    <definedName name="SWITCHGERA_ES_TA">#REF!</definedName>
    <definedName name="SYSTEM">#N/A</definedName>
    <definedName name="SystemHalfHourlyData_Demad" localSheetId="14">#REF!</definedName>
    <definedName name="T_2">#N/A</definedName>
    <definedName name="T_3">#N/A</definedName>
    <definedName name="T_4">#N/A</definedName>
    <definedName name="T_COMP_DATA" localSheetId="70">#REF!</definedName>
    <definedName name="T_COMP_DATA" localSheetId="52">#REF!</definedName>
    <definedName name="T_COMP_DATA" localSheetId="58">#REF!</definedName>
    <definedName name="T_COMP_DATA" localSheetId="56">#REF!</definedName>
    <definedName name="T_COMP_DATA" localSheetId="57">#REF!</definedName>
    <definedName name="T_COMP_DATA" localSheetId="64">#REF!</definedName>
    <definedName name="T_COMP_DATA" localSheetId="67">#REF!</definedName>
    <definedName name="T_COMP_DATA" localSheetId="65">#REF!</definedName>
    <definedName name="T_COMP_DATA" localSheetId="68">#REF!</definedName>
    <definedName name="T_COMP_DATA" localSheetId="71">#REF!</definedName>
    <definedName name="T_COMP_DATA" localSheetId="44">#REF!</definedName>
    <definedName name="T_COMP_DATA" localSheetId="45">#REF!</definedName>
    <definedName name="T_COMP_DATA" localSheetId="17">#REF!</definedName>
    <definedName name="T_COMP_DATA" localSheetId="27">#REF!</definedName>
    <definedName name="T_COMP_DATA" localSheetId="72">#REF!</definedName>
    <definedName name="T_COMP_DATA" localSheetId="28">#REF!</definedName>
    <definedName name="T_COMP_DATA" localSheetId="29">#REF!</definedName>
    <definedName name="T_COMP_DATA" localSheetId="66">#REF!</definedName>
    <definedName name="T_COMP_DATA">#REF!</definedName>
    <definedName name="T_COMP_선택" localSheetId="70">#REF!</definedName>
    <definedName name="T_COMP_선택" localSheetId="52">#REF!</definedName>
    <definedName name="T_COMP_선택" localSheetId="58">#REF!</definedName>
    <definedName name="T_COMP_선택" localSheetId="57">#REF!</definedName>
    <definedName name="T_COMP_선택" localSheetId="64">#REF!</definedName>
    <definedName name="T_COMP_선택" localSheetId="67">#REF!</definedName>
    <definedName name="T_COMP_선택" localSheetId="65">#REF!</definedName>
    <definedName name="T_COMP_선택" localSheetId="68">#REF!</definedName>
    <definedName name="T_COMP_선택" localSheetId="71">#REF!</definedName>
    <definedName name="T_COMP_선택" localSheetId="44">#REF!</definedName>
    <definedName name="T_COMP_선택" localSheetId="45">#REF!</definedName>
    <definedName name="T_COMP_선택" localSheetId="17">#REF!</definedName>
    <definedName name="T_COMP_선택" localSheetId="27">#REF!</definedName>
    <definedName name="T_COMP_선택" localSheetId="72">#REF!</definedName>
    <definedName name="T_COMP_선택" localSheetId="28">#REF!</definedName>
    <definedName name="T_COMP_선택" localSheetId="29">#REF!</definedName>
    <definedName name="T_COMP_선택" localSheetId="66">#REF!</definedName>
    <definedName name="T_COMP_선택">#REF!</definedName>
    <definedName name="T1_">#N/A</definedName>
    <definedName name="T2_">#N/A</definedName>
    <definedName name="Table" localSheetId="70">#REF!</definedName>
    <definedName name="Table" localSheetId="52">#REF!</definedName>
    <definedName name="Table" localSheetId="58">#REF!</definedName>
    <definedName name="Table" localSheetId="56">#REF!</definedName>
    <definedName name="Table" localSheetId="57">#REF!</definedName>
    <definedName name="Table" localSheetId="64">#REF!</definedName>
    <definedName name="Table" localSheetId="67">#REF!</definedName>
    <definedName name="Table" localSheetId="65">#REF!</definedName>
    <definedName name="Table" localSheetId="68">#REF!</definedName>
    <definedName name="Table" localSheetId="71">#REF!</definedName>
    <definedName name="Table" localSheetId="44">#REF!</definedName>
    <definedName name="Table" localSheetId="45">#REF!</definedName>
    <definedName name="Table" localSheetId="17">#REF!</definedName>
    <definedName name="Table" localSheetId="27">#REF!</definedName>
    <definedName name="Table" localSheetId="72">#REF!</definedName>
    <definedName name="Table" localSheetId="28">#REF!</definedName>
    <definedName name="Table" localSheetId="29">#REF!</definedName>
    <definedName name="Table" localSheetId="66">#REF!</definedName>
    <definedName name="Table">#REF!</definedName>
    <definedName name="Table1" localSheetId="70">#REF!</definedName>
    <definedName name="Table1" localSheetId="52">#REF!</definedName>
    <definedName name="Table1" localSheetId="58">#REF!</definedName>
    <definedName name="Table1" localSheetId="57">#REF!</definedName>
    <definedName name="Table1" localSheetId="64">#REF!</definedName>
    <definedName name="Table1" localSheetId="67">#REF!</definedName>
    <definedName name="Table1" localSheetId="65">#REF!</definedName>
    <definedName name="Table1" localSheetId="68">#REF!</definedName>
    <definedName name="Table1" localSheetId="71">#REF!</definedName>
    <definedName name="Table1" localSheetId="44">#REF!</definedName>
    <definedName name="Table1" localSheetId="45">#REF!</definedName>
    <definedName name="Table1" localSheetId="17">#REF!</definedName>
    <definedName name="Table1" localSheetId="27">#REF!</definedName>
    <definedName name="Table1" localSheetId="72">#REF!</definedName>
    <definedName name="Table1" localSheetId="28">#REF!</definedName>
    <definedName name="Table1" localSheetId="29">#REF!</definedName>
    <definedName name="Table1" localSheetId="66">#REF!</definedName>
    <definedName name="Table1">#REF!</definedName>
    <definedName name="TAR" localSheetId="70">#REF!</definedName>
    <definedName name="TAR" localSheetId="52">#REF!</definedName>
    <definedName name="TAR" localSheetId="58">#REF!</definedName>
    <definedName name="TAR" localSheetId="57">#REF!</definedName>
    <definedName name="TAR" localSheetId="64">#REF!</definedName>
    <definedName name="TAR" localSheetId="67">#REF!</definedName>
    <definedName name="TAR" localSheetId="65">#REF!</definedName>
    <definedName name="TAR" localSheetId="68">#REF!</definedName>
    <definedName name="TAR" localSheetId="71">#REF!</definedName>
    <definedName name="TAR" localSheetId="44">#REF!</definedName>
    <definedName name="TAR" localSheetId="45">#REF!</definedName>
    <definedName name="TAR" localSheetId="17">#REF!</definedName>
    <definedName name="TAR" localSheetId="27">#REF!</definedName>
    <definedName name="TAR" localSheetId="72">#REF!</definedName>
    <definedName name="TAR" localSheetId="28">#REF!</definedName>
    <definedName name="TAR" localSheetId="29">#REF!</definedName>
    <definedName name="TAR" localSheetId="66">#REF!</definedName>
    <definedName name="TAR">#REF!</definedName>
    <definedName name="TAXONSALE" localSheetId="70">#REF!</definedName>
    <definedName name="TAXONSALE" localSheetId="52">#REF!</definedName>
    <definedName name="TAXONSALE" localSheetId="58">#REF!</definedName>
    <definedName name="TAXONSALE" localSheetId="57">#REF!</definedName>
    <definedName name="TAXONSALE" localSheetId="64">#REF!</definedName>
    <definedName name="TAXONSALE" localSheetId="67">#REF!</definedName>
    <definedName name="TAXONSALE" localSheetId="65">#REF!</definedName>
    <definedName name="TAXONSALE" localSheetId="68">#REF!</definedName>
    <definedName name="TAXONSALE" localSheetId="71">#REF!</definedName>
    <definedName name="TAXONSALE" localSheetId="44">#REF!</definedName>
    <definedName name="TAXONSALE" localSheetId="45">#REF!</definedName>
    <definedName name="TAXONSALE" localSheetId="27">#REF!</definedName>
    <definedName name="TAXONSALE" localSheetId="28">#REF!</definedName>
    <definedName name="TAXONSALE" localSheetId="29">#REF!</definedName>
    <definedName name="TAXONSALE" localSheetId="66">#REF!</definedName>
    <definedName name="TAXONSALE">#REF!</definedName>
    <definedName name="TEE" localSheetId="70">#REF!</definedName>
    <definedName name="TEE" localSheetId="52">#REF!</definedName>
    <definedName name="TEE" localSheetId="58">#REF!</definedName>
    <definedName name="TEE" localSheetId="57">#REF!</definedName>
    <definedName name="TEE" localSheetId="64">#REF!</definedName>
    <definedName name="TEE" localSheetId="67">#REF!</definedName>
    <definedName name="TEE" localSheetId="65">#REF!</definedName>
    <definedName name="TEE" localSheetId="68">#REF!</definedName>
    <definedName name="TEE" localSheetId="71">#REF!</definedName>
    <definedName name="TEE" localSheetId="44">#REF!</definedName>
    <definedName name="TEE" localSheetId="45">#REF!</definedName>
    <definedName name="TEE" localSheetId="27">#REF!</definedName>
    <definedName name="TEE" localSheetId="28">#REF!</definedName>
    <definedName name="TEE" localSheetId="29">#REF!</definedName>
    <definedName name="TEE" localSheetId="66">#REF!</definedName>
    <definedName name="TEE">#REF!</definedName>
    <definedName name="temp_strainer" localSheetId="70">#REF!</definedName>
    <definedName name="temp_strainer" localSheetId="52">#REF!</definedName>
    <definedName name="temp_strainer" localSheetId="58">#REF!</definedName>
    <definedName name="temp_strainer" localSheetId="57">#REF!</definedName>
    <definedName name="temp_strainer" localSheetId="64">#REF!</definedName>
    <definedName name="temp_strainer" localSheetId="67">#REF!</definedName>
    <definedName name="temp_strainer" localSheetId="65">#REF!</definedName>
    <definedName name="temp_strainer" localSheetId="68">#REF!</definedName>
    <definedName name="temp_strainer" localSheetId="71">#REF!</definedName>
    <definedName name="temp_strainer" localSheetId="44">#REF!</definedName>
    <definedName name="temp_strainer" localSheetId="45">#REF!</definedName>
    <definedName name="temp_strainer" localSheetId="27">#REF!</definedName>
    <definedName name="temp_strainer" localSheetId="28">#REF!</definedName>
    <definedName name="temp_strainer" localSheetId="29">#REF!</definedName>
    <definedName name="temp_strainer" localSheetId="66">#REF!</definedName>
    <definedName name="temp_strainer">#REF!</definedName>
    <definedName name="TEMP2">#N/A</definedName>
    <definedName name="TEMP3">#N/A</definedName>
    <definedName name="TEMP8">#N/A</definedName>
    <definedName name="TEMP9">#N/A</definedName>
    <definedName name="TEST0">'[68]May 05'!$A$2:$D$84</definedName>
    <definedName name="TEST1" localSheetId="70">#REF!</definedName>
    <definedName name="TEST1" localSheetId="52">#REF!</definedName>
    <definedName name="TEST1" localSheetId="58">#REF!</definedName>
    <definedName name="TEST1" localSheetId="56">#REF!</definedName>
    <definedName name="TEST1" localSheetId="57">#REF!</definedName>
    <definedName name="TEST1" localSheetId="64">#REF!</definedName>
    <definedName name="TEST1" localSheetId="67">#REF!</definedName>
    <definedName name="TEST1" localSheetId="65">#REF!</definedName>
    <definedName name="TEST1" localSheetId="68">#REF!</definedName>
    <definedName name="TEST1" localSheetId="71">#REF!</definedName>
    <definedName name="TEST1" localSheetId="44">#REF!</definedName>
    <definedName name="TEST1" localSheetId="45">#REF!</definedName>
    <definedName name="TEST1" localSheetId="17">#REF!</definedName>
    <definedName name="TEST1" localSheetId="27">#REF!</definedName>
    <definedName name="TEST1" localSheetId="72">#REF!</definedName>
    <definedName name="TEST1" localSheetId="28">#REF!</definedName>
    <definedName name="TEST1" localSheetId="29">#REF!</definedName>
    <definedName name="TEST1" localSheetId="66">#REF!</definedName>
    <definedName name="TEST1">#REF!</definedName>
    <definedName name="TEST2" localSheetId="70">#REF!</definedName>
    <definedName name="TEST2" localSheetId="52">#REF!</definedName>
    <definedName name="TEST2" localSheetId="58">#REF!</definedName>
    <definedName name="TEST2" localSheetId="57">#REF!</definedName>
    <definedName name="TEST2" localSheetId="64">#REF!</definedName>
    <definedName name="TEST2" localSheetId="67">#REF!</definedName>
    <definedName name="TEST2" localSheetId="65">#REF!</definedName>
    <definedName name="TEST2" localSheetId="68">#REF!</definedName>
    <definedName name="TEST2" localSheetId="71">#REF!</definedName>
    <definedName name="TEST2" localSheetId="44">#REF!</definedName>
    <definedName name="TEST2" localSheetId="45">#REF!</definedName>
    <definedName name="TEST2" localSheetId="17">#REF!</definedName>
    <definedName name="TEST2" localSheetId="27">#REF!</definedName>
    <definedName name="TEST2" localSheetId="72">#REF!</definedName>
    <definedName name="TEST2" localSheetId="28">#REF!</definedName>
    <definedName name="TEST2" localSheetId="29">#REF!</definedName>
    <definedName name="TEST2" localSheetId="66">#REF!</definedName>
    <definedName name="TEST2">#REF!</definedName>
    <definedName name="TEST3" localSheetId="70">[69]Sheet1!#REF!</definedName>
    <definedName name="TEST3" localSheetId="52">[69]Sheet1!#REF!</definedName>
    <definedName name="TEST3" localSheetId="58">[69]Sheet1!#REF!</definedName>
    <definedName name="TEST3" localSheetId="57">[69]Sheet1!#REF!</definedName>
    <definedName name="TEST3" localSheetId="64">[69]Sheet1!#REF!</definedName>
    <definedName name="TEST3" localSheetId="67">[69]Sheet1!#REF!</definedName>
    <definedName name="TEST3" localSheetId="65">[69]Sheet1!#REF!</definedName>
    <definedName name="TEST3" localSheetId="68">[69]Sheet1!#REF!</definedName>
    <definedName name="TEST3" localSheetId="71">[69]Sheet1!#REF!</definedName>
    <definedName name="TEST3" localSheetId="44">[69]Sheet1!#REF!</definedName>
    <definedName name="TEST3" localSheetId="45">[69]Sheet1!#REF!</definedName>
    <definedName name="TEST3" localSheetId="17">[69]Sheet1!#REF!</definedName>
    <definedName name="TEST3" localSheetId="27">[69]Sheet1!#REF!</definedName>
    <definedName name="TEST3" localSheetId="72">[69]Sheet1!#REF!</definedName>
    <definedName name="TEST3" localSheetId="28">[69]Sheet1!#REF!</definedName>
    <definedName name="TEST3" localSheetId="29">[69]Sheet1!#REF!</definedName>
    <definedName name="TEST3" localSheetId="66">[69]Sheet1!#REF!</definedName>
    <definedName name="TEST3">[69]Sheet1!#REF!</definedName>
    <definedName name="TEST4" localSheetId="70">[69]Sheet1!#REF!</definedName>
    <definedName name="TEST4" localSheetId="52">[69]Sheet1!#REF!</definedName>
    <definedName name="TEST4" localSheetId="58">[69]Sheet1!#REF!</definedName>
    <definedName name="TEST4" localSheetId="57">[69]Sheet1!#REF!</definedName>
    <definedName name="TEST4" localSheetId="64">[69]Sheet1!#REF!</definedName>
    <definedName name="TEST4" localSheetId="67">[69]Sheet1!#REF!</definedName>
    <definedName name="TEST4" localSheetId="65">[69]Sheet1!#REF!</definedName>
    <definedName name="TEST4" localSheetId="68">[69]Sheet1!#REF!</definedName>
    <definedName name="TEST4" localSheetId="71">[69]Sheet1!#REF!</definedName>
    <definedName name="TEST4" localSheetId="44">[69]Sheet1!#REF!</definedName>
    <definedName name="TEST4" localSheetId="45">[69]Sheet1!#REF!</definedName>
    <definedName name="TEST4" localSheetId="17">[69]Sheet1!#REF!</definedName>
    <definedName name="TEST4" localSheetId="27">[69]Sheet1!#REF!</definedName>
    <definedName name="TEST4" localSheetId="72">[69]Sheet1!#REF!</definedName>
    <definedName name="TEST4" localSheetId="28">[69]Sheet1!#REF!</definedName>
    <definedName name="TEST4" localSheetId="29">[69]Sheet1!#REF!</definedName>
    <definedName name="TEST4" localSheetId="66">[69]Sheet1!#REF!</definedName>
    <definedName name="TEST4">[69]Sheet1!#REF!</definedName>
    <definedName name="TESTHKEY" localSheetId="70">#REF!</definedName>
    <definedName name="TESTHKEY" localSheetId="52">#REF!</definedName>
    <definedName name="TESTHKEY" localSheetId="58">#REF!</definedName>
    <definedName name="TESTHKEY" localSheetId="56">#REF!</definedName>
    <definedName name="TESTHKEY" localSheetId="57">#REF!</definedName>
    <definedName name="TESTHKEY" localSheetId="64">#REF!</definedName>
    <definedName name="TESTHKEY" localSheetId="67">#REF!</definedName>
    <definedName name="TESTHKEY" localSheetId="65">#REF!</definedName>
    <definedName name="TESTHKEY" localSheetId="68">#REF!</definedName>
    <definedName name="TESTHKEY" localSheetId="71">#REF!</definedName>
    <definedName name="TESTHKEY" localSheetId="44">#REF!</definedName>
    <definedName name="TESTHKEY" localSheetId="45">#REF!</definedName>
    <definedName name="TESTHKEY" localSheetId="17">#REF!</definedName>
    <definedName name="TESTHKEY" localSheetId="27">#REF!</definedName>
    <definedName name="TESTHKEY" localSheetId="72">#REF!</definedName>
    <definedName name="TESTHKEY" localSheetId="28">#REF!</definedName>
    <definedName name="TESTHKEY" localSheetId="29">#REF!</definedName>
    <definedName name="TESTHKEY" localSheetId="66">#REF!</definedName>
    <definedName name="TESTHKEY">#REF!</definedName>
    <definedName name="TESTKEYS" localSheetId="70">#REF!</definedName>
    <definedName name="TESTKEYS" localSheetId="52">#REF!</definedName>
    <definedName name="TESTKEYS" localSheetId="58">#REF!</definedName>
    <definedName name="TESTKEYS" localSheetId="57">#REF!</definedName>
    <definedName name="TESTKEYS" localSheetId="64">#REF!</definedName>
    <definedName name="TESTKEYS" localSheetId="67">#REF!</definedName>
    <definedName name="TESTKEYS" localSheetId="65">#REF!</definedName>
    <definedName name="TESTKEYS" localSheetId="68">#REF!</definedName>
    <definedName name="TESTKEYS" localSheetId="71">#REF!</definedName>
    <definedName name="TESTKEYS" localSheetId="44">#REF!</definedName>
    <definedName name="TESTKEYS" localSheetId="45">#REF!</definedName>
    <definedName name="TESTKEYS" localSheetId="17">#REF!</definedName>
    <definedName name="TESTKEYS" localSheetId="27">#REF!</definedName>
    <definedName name="TESTKEYS" localSheetId="72">#REF!</definedName>
    <definedName name="TESTKEYS" localSheetId="28">#REF!</definedName>
    <definedName name="TESTKEYS" localSheetId="29">#REF!</definedName>
    <definedName name="TESTKEYS" localSheetId="66">#REF!</definedName>
    <definedName name="TESTKEYS">#REF!</definedName>
    <definedName name="TESTVKEY" localSheetId="70">#REF!</definedName>
    <definedName name="TESTVKEY" localSheetId="52">#REF!</definedName>
    <definedName name="TESTVKEY" localSheetId="58">#REF!</definedName>
    <definedName name="TESTVKEY" localSheetId="57">#REF!</definedName>
    <definedName name="TESTVKEY" localSheetId="64">#REF!</definedName>
    <definedName name="TESTVKEY" localSheetId="67">#REF!</definedName>
    <definedName name="TESTVKEY" localSheetId="65">#REF!</definedName>
    <definedName name="TESTVKEY" localSheetId="68">#REF!</definedName>
    <definedName name="TESTVKEY" localSheetId="71">#REF!</definedName>
    <definedName name="TESTVKEY" localSheetId="44">#REF!</definedName>
    <definedName name="TESTVKEY" localSheetId="45">#REF!</definedName>
    <definedName name="TESTVKEY" localSheetId="17">#REF!</definedName>
    <definedName name="TESTVKEY" localSheetId="27">#REF!</definedName>
    <definedName name="TESTVKEY" localSheetId="72">#REF!</definedName>
    <definedName name="TESTVKEY" localSheetId="28">#REF!</definedName>
    <definedName name="TESTVKEY" localSheetId="29">#REF!</definedName>
    <definedName name="TESTVKEY" localSheetId="66">#REF!</definedName>
    <definedName name="TESTVKEY">#REF!</definedName>
    <definedName name="tgasvs">[12]BEST_17112006!$C$77</definedName>
    <definedName name="The_Netherlands" localSheetId="70">#REF!</definedName>
    <definedName name="The_Netherlands" localSheetId="52">#REF!</definedName>
    <definedName name="The_Netherlands" localSheetId="58">#REF!</definedName>
    <definedName name="The_Netherlands" localSheetId="56">#REF!</definedName>
    <definedName name="The_Netherlands" localSheetId="57">#REF!</definedName>
    <definedName name="The_Netherlands" localSheetId="64">#REF!</definedName>
    <definedName name="The_Netherlands" localSheetId="67">#REF!</definedName>
    <definedName name="The_Netherlands" localSheetId="65">#REF!</definedName>
    <definedName name="The_Netherlands" localSheetId="68">#REF!</definedName>
    <definedName name="The_Netherlands" localSheetId="71">#REF!</definedName>
    <definedName name="The_Netherlands" localSheetId="44">#REF!</definedName>
    <definedName name="The_Netherlands" localSheetId="45">#REF!</definedName>
    <definedName name="The_Netherlands" localSheetId="17">#REF!</definedName>
    <definedName name="The_Netherlands" localSheetId="27">#REF!</definedName>
    <definedName name="The_Netherlands" localSheetId="72">#REF!</definedName>
    <definedName name="The_Netherlands" localSheetId="28">#REF!</definedName>
    <definedName name="The_Netherlands" localSheetId="29">#REF!</definedName>
    <definedName name="The_Netherlands" localSheetId="66">#REF!</definedName>
    <definedName name="The_Netherlands">#REF!</definedName>
    <definedName name="THK" localSheetId="70">#REF!</definedName>
    <definedName name="THK" localSheetId="52">#REF!</definedName>
    <definedName name="THK" localSheetId="58">#REF!</definedName>
    <definedName name="THK" localSheetId="57">#REF!</definedName>
    <definedName name="THK" localSheetId="64">#REF!</definedName>
    <definedName name="THK" localSheetId="67">#REF!</definedName>
    <definedName name="THK" localSheetId="65">#REF!</definedName>
    <definedName name="THK" localSheetId="68">#REF!</definedName>
    <definedName name="THK" localSheetId="71">#REF!</definedName>
    <definedName name="THK" localSheetId="44">#REF!</definedName>
    <definedName name="THK" localSheetId="45">#REF!</definedName>
    <definedName name="THK" localSheetId="17">#REF!</definedName>
    <definedName name="THK" localSheetId="27">#REF!</definedName>
    <definedName name="THK" localSheetId="72">#REF!</definedName>
    <definedName name="THK" localSheetId="28">#REF!</definedName>
    <definedName name="THK" localSheetId="29">#REF!</definedName>
    <definedName name="THK" localSheetId="66">#REF!</definedName>
    <definedName name="THK">#REF!</definedName>
    <definedName name="tidf" localSheetId="140" hidden="1">{"'Sheet1'!$L$16"}</definedName>
    <definedName name="tidf" localSheetId="58" hidden="1">{"'Sheet1'!$L$16"}</definedName>
    <definedName name="tidf" localSheetId="56" hidden="1">{"'Sheet1'!$L$16"}</definedName>
    <definedName name="tidf" localSheetId="57" hidden="1">{"'Sheet1'!$L$16"}</definedName>
    <definedName name="tidf" localSheetId="67" hidden="1">{"'Sheet1'!$L$16"}</definedName>
    <definedName name="tidf" localSheetId="65" hidden="1">{"'Sheet1'!$L$16"}</definedName>
    <definedName name="tidf" localSheetId="68" hidden="1">{"'Sheet1'!$L$16"}</definedName>
    <definedName name="tidf" localSheetId="71" hidden="1">{"'Sheet1'!$L$16"}</definedName>
    <definedName name="tidf" localSheetId="17" hidden="1">{"'Sheet1'!$L$16"}</definedName>
    <definedName name="tidf" localSheetId="27" hidden="1">{"'Sheet1'!$L$16"}</definedName>
    <definedName name="tidf" localSheetId="72" hidden="1">{"'Sheet1'!$L$16"}</definedName>
    <definedName name="tidf" localSheetId="28" hidden="1">{"'Sheet1'!$L$16"}</definedName>
    <definedName name="tidf" localSheetId="29" hidden="1">{"'Sheet1'!$L$16"}</definedName>
    <definedName name="tidf" hidden="1">{"'Sheet1'!$L$16"}</definedName>
    <definedName name="TMP" localSheetId="70">#REF!</definedName>
    <definedName name="TMP" localSheetId="52">#REF!</definedName>
    <definedName name="TMP" localSheetId="58">#REF!</definedName>
    <definedName name="TMP" localSheetId="57">#REF!</definedName>
    <definedName name="TMP" localSheetId="64">#REF!</definedName>
    <definedName name="TMP" localSheetId="67">#REF!</definedName>
    <definedName name="TMP" localSheetId="65">#REF!</definedName>
    <definedName name="TMP" localSheetId="68">#REF!</definedName>
    <definedName name="TMP" localSheetId="71">#REF!</definedName>
    <definedName name="TMP" localSheetId="44">#REF!</definedName>
    <definedName name="TMP" localSheetId="45">#REF!</definedName>
    <definedName name="TMP" localSheetId="27">#REF!</definedName>
    <definedName name="TMP" localSheetId="28">#REF!</definedName>
    <definedName name="TMP" localSheetId="29">#REF!</definedName>
    <definedName name="TMP" localSheetId="66">#REF!</definedName>
    <definedName name="TMP">#REF!</definedName>
    <definedName name="TOL" localSheetId="70">#REF!</definedName>
    <definedName name="TOL" localSheetId="52">#REF!</definedName>
    <definedName name="TOL" localSheetId="58">#REF!</definedName>
    <definedName name="TOL" localSheetId="57">#REF!</definedName>
    <definedName name="TOL" localSheetId="64">#REF!</definedName>
    <definedName name="TOL" localSheetId="67">#REF!</definedName>
    <definedName name="TOL" localSheetId="65">#REF!</definedName>
    <definedName name="TOL" localSheetId="68">#REF!</definedName>
    <definedName name="TOL" localSheetId="71">#REF!</definedName>
    <definedName name="TOL" localSheetId="44">#REF!</definedName>
    <definedName name="TOL" localSheetId="45">#REF!</definedName>
    <definedName name="TOL" localSheetId="27">#REF!</definedName>
    <definedName name="TOL" localSheetId="28">#REF!</definedName>
    <definedName name="TOL" localSheetId="29">#REF!</definedName>
    <definedName name="TOL" localSheetId="66">#REF!</definedName>
    <definedName name="TOL">#REF!</definedName>
    <definedName name="TON">#N/A</definedName>
    <definedName name="TOOL_GEN_TA" localSheetId="70">#REF!</definedName>
    <definedName name="TOOL_GEN_TA" localSheetId="143">#REF!</definedName>
    <definedName name="TOOL_GEN_TA" localSheetId="52">#REF!</definedName>
    <definedName name="TOOL_GEN_TA" localSheetId="58">#REF!</definedName>
    <definedName name="TOOL_GEN_TA" localSheetId="57">#REF!</definedName>
    <definedName name="TOOL_GEN_TA" localSheetId="64">#REF!</definedName>
    <definedName name="TOOL_GEN_TA" localSheetId="67">#REF!</definedName>
    <definedName name="TOOL_GEN_TA" localSheetId="65">#REF!</definedName>
    <definedName name="TOOL_GEN_TA" localSheetId="68">#REF!</definedName>
    <definedName name="TOOL_GEN_TA" localSheetId="71">#REF!</definedName>
    <definedName name="TOOL_GEN_TA" localSheetId="44">#REF!</definedName>
    <definedName name="TOOL_GEN_TA" localSheetId="45">#REF!</definedName>
    <definedName name="TOOL_GEN_TA" localSheetId="17">#REF!</definedName>
    <definedName name="TOOL_GEN_TA" localSheetId="27">#REF!</definedName>
    <definedName name="TOOL_GEN_TA" localSheetId="72">#REF!</definedName>
    <definedName name="TOOL_GEN_TA" localSheetId="28">#REF!</definedName>
    <definedName name="TOOL_GEN_TA" localSheetId="29">#REF!</definedName>
    <definedName name="TOOL_GEN_TA" localSheetId="66">#REF!</definedName>
    <definedName name="TOOL_GEN_TA">#REF!</definedName>
    <definedName name="TOOL_GEN_TD" localSheetId="70">#REF!</definedName>
    <definedName name="TOOL_GEN_TD" localSheetId="143">#REF!</definedName>
    <definedName name="TOOL_GEN_TD" localSheetId="52">#REF!</definedName>
    <definedName name="TOOL_GEN_TD" localSheetId="58">#REF!</definedName>
    <definedName name="TOOL_GEN_TD" localSheetId="56">#REF!</definedName>
    <definedName name="TOOL_GEN_TD" localSheetId="57">#REF!</definedName>
    <definedName name="TOOL_GEN_TD" localSheetId="64">#REF!</definedName>
    <definedName name="TOOL_GEN_TD" localSheetId="67">#REF!</definedName>
    <definedName name="TOOL_GEN_TD" localSheetId="65">#REF!</definedName>
    <definedName name="TOOL_GEN_TD" localSheetId="68">#REF!</definedName>
    <definedName name="TOOL_GEN_TD" localSheetId="71">#REF!</definedName>
    <definedName name="TOOL_GEN_TD" localSheetId="44">#REF!</definedName>
    <definedName name="TOOL_GEN_TD" localSheetId="45">#REF!</definedName>
    <definedName name="TOOL_GEN_TD" localSheetId="17">#REF!</definedName>
    <definedName name="TOOL_GEN_TD" localSheetId="27">#REF!</definedName>
    <definedName name="TOOL_GEN_TD" localSheetId="72">#REF!</definedName>
    <definedName name="TOOL_GEN_TD" localSheetId="128">'[26]90% Write off'!#REF!</definedName>
    <definedName name="TOOL_GEN_TD" localSheetId="28">#REF!</definedName>
    <definedName name="TOOL_GEN_TD" localSheetId="29">#REF!</definedName>
    <definedName name="TOOL_GEN_TD" localSheetId="66">#REF!</definedName>
    <definedName name="TOOL_GEN_TD">#REF!</definedName>
    <definedName name="TOTAL">"TOTAL+'990309 수정'!$A$5:$AE$501"</definedName>
    <definedName name="total19" localSheetId="70">#REF!</definedName>
    <definedName name="total19" localSheetId="52">#REF!</definedName>
    <definedName name="total19" localSheetId="58">#REF!</definedName>
    <definedName name="total19" localSheetId="56">#REF!</definedName>
    <definedName name="total19" localSheetId="57">#REF!</definedName>
    <definedName name="total19" localSheetId="64">#REF!</definedName>
    <definedName name="total19" localSheetId="67">#REF!</definedName>
    <definedName name="total19" localSheetId="65">#REF!</definedName>
    <definedName name="total19" localSheetId="68">#REF!</definedName>
    <definedName name="total19" localSheetId="71">#REF!</definedName>
    <definedName name="total19" localSheetId="44">#REF!</definedName>
    <definedName name="total19" localSheetId="45">#REF!</definedName>
    <definedName name="total19" localSheetId="17">#REF!</definedName>
    <definedName name="total19" localSheetId="27">#REF!</definedName>
    <definedName name="total19" localSheetId="72">#REF!</definedName>
    <definedName name="total19" localSheetId="28">#REF!</definedName>
    <definedName name="total19" localSheetId="29">#REF!</definedName>
    <definedName name="total19" localSheetId="66">#REF!</definedName>
    <definedName name="total19">#REF!</definedName>
    <definedName name="total20" localSheetId="70">#REF!</definedName>
    <definedName name="total20" localSheetId="52">#REF!</definedName>
    <definedName name="total20" localSheetId="58">#REF!</definedName>
    <definedName name="total20" localSheetId="57">#REF!</definedName>
    <definedName name="total20" localSheetId="64">#REF!</definedName>
    <definedName name="total20" localSheetId="67">#REF!</definedName>
    <definedName name="total20" localSheetId="65">#REF!</definedName>
    <definedName name="total20" localSheetId="68">#REF!</definedName>
    <definedName name="total20" localSheetId="71">#REF!</definedName>
    <definedName name="total20" localSheetId="44">#REF!</definedName>
    <definedName name="total20" localSheetId="45">#REF!</definedName>
    <definedName name="total20" localSheetId="17">#REF!</definedName>
    <definedName name="total20" localSheetId="27">#REF!</definedName>
    <definedName name="total20" localSheetId="72">#REF!</definedName>
    <definedName name="total20" localSheetId="28">#REF!</definedName>
    <definedName name="total20" localSheetId="29">#REF!</definedName>
    <definedName name="total20" localSheetId="66">#REF!</definedName>
    <definedName name="total20">#REF!</definedName>
    <definedName name="total21" localSheetId="70">#REF!</definedName>
    <definedName name="total21" localSheetId="52">#REF!</definedName>
    <definedName name="total21" localSheetId="58">#REF!</definedName>
    <definedName name="total21" localSheetId="57">#REF!</definedName>
    <definedName name="total21" localSheetId="64">#REF!</definedName>
    <definedName name="total21" localSheetId="67">#REF!</definedName>
    <definedName name="total21" localSheetId="65">#REF!</definedName>
    <definedName name="total21" localSheetId="68">#REF!</definedName>
    <definedName name="total21" localSheetId="71">#REF!</definedName>
    <definedName name="total21" localSheetId="44">#REF!</definedName>
    <definedName name="total21" localSheetId="45">#REF!</definedName>
    <definedName name="total21" localSheetId="17">#REF!</definedName>
    <definedName name="total21" localSheetId="27">#REF!</definedName>
    <definedName name="total21" localSheetId="72">#REF!</definedName>
    <definedName name="total21" localSheetId="28">#REF!</definedName>
    <definedName name="total21" localSheetId="29">#REF!</definedName>
    <definedName name="total21" localSheetId="66">#REF!</definedName>
    <definedName name="total21">#REF!</definedName>
    <definedName name="total22" localSheetId="70">#REF!</definedName>
    <definedName name="total22" localSheetId="52">#REF!</definedName>
    <definedName name="total22" localSheetId="58">#REF!</definedName>
    <definedName name="total22" localSheetId="57">#REF!</definedName>
    <definedName name="total22" localSheetId="64">#REF!</definedName>
    <definedName name="total22" localSheetId="67">#REF!</definedName>
    <definedName name="total22" localSheetId="65">#REF!</definedName>
    <definedName name="total22" localSheetId="68">#REF!</definedName>
    <definedName name="total22" localSheetId="71">#REF!</definedName>
    <definedName name="total22" localSheetId="44">#REF!</definedName>
    <definedName name="total22" localSheetId="45">#REF!</definedName>
    <definedName name="total22" localSheetId="27">#REF!</definedName>
    <definedName name="total22" localSheetId="28">#REF!</definedName>
    <definedName name="total22" localSheetId="29">#REF!</definedName>
    <definedName name="total22" localSheetId="66">#REF!</definedName>
    <definedName name="total22">#REF!</definedName>
    <definedName name="total23" localSheetId="70">#REF!</definedName>
    <definedName name="total23" localSheetId="52">#REF!</definedName>
    <definedName name="total23" localSheetId="58">#REF!</definedName>
    <definedName name="total23" localSheetId="57">#REF!</definedName>
    <definedName name="total23" localSheetId="64">#REF!</definedName>
    <definedName name="total23" localSheetId="67">#REF!</definedName>
    <definedName name="total23" localSheetId="65">#REF!</definedName>
    <definedName name="total23" localSheetId="68">#REF!</definedName>
    <definedName name="total23" localSheetId="71">#REF!</definedName>
    <definedName name="total23" localSheetId="44">#REF!</definedName>
    <definedName name="total23" localSheetId="45">#REF!</definedName>
    <definedName name="total23" localSheetId="27">#REF!</definedName>
    <definedName name="total23" localSheetId="28">#REF!</definedName>
    <definedName name="total23" localSheetId="29">#REF!</definedName>
    <definedName name="total23" localSheetId="66">#REF!</definedName>
    <definedName name="total23">#REF!</definedName>
    <definedName name="totalin" localSheetId="70">#REF!</definedName>
    <definedName name="totalin" localSheetId="52">#REF!</definedName>
    <definedName name="totalin" localSheetId="58">#REF!</definedName>
    <definedName name="totalin" localSheetId="57">#REF!</definedName>
    <definedName name="totalin" localSheetId="64">#REF!</definedName>
    <definedName name="totalin" localSheetId="67">#REF!</definedName>
    <definedName name="totalin" localSheetId="65">#REF!</definedName>
    <definedName name="totalin" localSheetId="68">#REF!</definedName>
    <definedName name="totalin" localSheetId="71">#REF!</definedName>
    <definedName name="totalin" localSheetId="44">#REF!</definedName>
    <definedName name="totalin" localSheetId="45">#REF!</definedName>
    <definedName name="totalin" localSheetId="27">#REF!</definedName>
    <definedName name="totalin" localSheetId="28">#REF!</definedName>
    <definedName name="totalin" localSheetId="29">#REF!</definedName>
    <definedName name="totalin" localSheetId="66">#REF!</definedName>
    <definedName name="totalin">#REF!</definedName>
    <definedName name="totalwi" localSheetId="70">#REF!</definedName>
    <definedName name="totalwi" localSheetId="52">#REF!</definedName>
    <definedName name="totalwi" localSheetId="58">#REF!</definedName>
    <definedName name="totalwi" localSheetId="57">#REF!</definedName>
    <definedName name="totalwi" localSheetId="64">#REF!</definedName>
    <definedName name="totalwi" localSheetId="67">#REF!</definedName>
    <definedName name="totalwi" localSheetId="65">#REF!</definedName>
    <definedName name="totalwi" localSheetId="68">#REF!</definedName>
    <definedName name="totalwi" localSheetId="71">#REF!</definedName>
    <definedName name="totalwi" localSheetId="44">#REF!</definedName>
    <definedName name="totalwi" localSheetId="45">#REF!</definedName>
    <definedName name="totalwi" localSheetId="27">#REF!</definedName>
    <definedName name="totalwi" localSheetId="28">#REF!</definedName>
    <definedName name="totalwi" localSheetId="29">#REF!</definedName>
    <definedName name="totalwi" localSheetId="66">#REF!</definedName>
    <definedName name="totalwi">#REF!</definedName>
    <definedName name="TOTALWT">#N/A</definedName>
    <definedName name="TRANSFORMER_ES_TA" localSheetId="70">#REF!</definedName>
    <definedName name="TRANSFORMER_ES_TA" localSheetId="143">#REF!</definedName>
    <definedName name="TRANSFORMER_ES_TA" localSheetId="52">#REF!</definedName>
    <definedName name="TRANSFORMER_ES_TA" localSheetId="58">#REF!</definedName>
    <definedName name="TRANSFORMER_ES_TA" localSheetId="57">#REF!</definedName>
    <definedName name="TRANSFORMER_ES_TA" localSheetId="64">#REF!</definedName>
    <definedName name="TRANSFORMER_ES_TA" localSheetId="67">#REF!</definedName>
    <definedName name="TRANSFORMER_ES_TA" localSheetId="65">#REF!</definedName>
    <definedName name="TRANSFORMER_ES_TA" localSheetId="68">#REF!</definedName>
    <definedName name="TRANSFORMER_ES_TA" localSheetId="71">#REF!</definedName>
    <definedName name="TRANSFORMER_ES_TA" localSheetId="44">#REF!</definedName>
    <definedName name="TRANSFORMER_ES_TA" localSheetId="45">#REF!</definedName>
    <definedName name="TRANSFORMER_ES_TA" localSheetId="17">#REF!</definedName>
    <definedName name="TRANSFORMER_ES_TA" localSheetId="27">#REF!</definedName>
    <definedName name="TRANSFORMER_ES_TA" localSheetId="72">#REF!</definedName>
    <definedName name="TRANSFORMER_ES_TA" localSheetId="28">#REF!</definedName>
    <definedName name="TRANSFORMER_ES_TA" localSheetId="29">#REF!</definedName>
    <definedName name="TRANSFORMER_ES_TA" localSheetId="66">#REF!</definedName>
    <definedName name="TRANSFORMER_ES_TA">#REF!</definedName>
    <definedName name="TRANSFORMER_ES_TD" localSheetId="70">#REF!</definedName>
    <definedName name="TRANSFORMER_ES_TD" localSheetId="143">#REF!</definedName>
    <definedName name="TRANSFORMER_ES_TD" localSheetId="52">#REF!</definedName>
    <definedName name="TRANSFORMER_ES_TD" localSheetId="58">#REF!</definedName>
    <definedName name="TRANSFORMER_ES_TD" localSheetId="56">#REF!</definedName>
    <definedName name="TRANSFORMER_ES_TD" localSheetId="57">#REF!</definedName>
    <definedName name="TRANSFORMER_ES_TD" localSheetId="64">#REF!</definedName>
    <definedName name="TRANSFORMER_ES_TD" localSheetId="67">#REF!</definedName>
    <definedName name="TRANSFORMER_ES_TD" localSheetId="65">#REF!</definedName>
    <definedName name="TRANSFORMER_ES_TD" localSheetId="68">#REF!</definedName>
    <definedName name="TRANSFORMER_ES_TD" localSheetId="71">#REF!</definedName>
    <definedName name="TRANSFORMER_ES_TD" localSheetId="44">#REF!</definedName>
    <definedName name="TRANSFORMER_ES_TD" localSheetId="45">#REF!</definedName>
    <definedName name="TRANSFORMER_ES_TD" localSheetId="17">#REF!</definedName>
    <definedName name="TRANSFORMER_ES_TD" localSheetId="27">#REF!</definedName>
    <definedName name="TRANSFORMER_ES_TD" localSheetId="72">#REF!</definedName>
    <definedName name="TRANSFORMER_ES_TD" localSheetId="128">'[26]90% Write off'!#REF!</definedName>
    <definedName name="TRANSFORMER_ES_TD" localSheetId="28">#REF!</definedName>
    <definedName name="TRANSFORMER_ES_TD" localSheetId="29">#REF!</definedName>
    <definedName name="TRANSFORMER_ES_TD" localSheetId="66">#REF!</definedName>
    <definedName name="TRANSFORMER_ES_TD">#REF!</definedName>
    <definedName name="TRV_LT" localSheetId="70">'[31]ITEM-LIST'!#REF!</definedName>
    <definedName name="TRV_LT" localSheetId="52">'[31]ITEM-LIST'!#REF!</definedName>
    <definedName name="TRV_LT" localSheetId="58">'[31]ITEM-LIST'!#REF!</definedName>
    <definedName name="TRV_LT" localSheetId="56">'[31]ITEM-LIST'!#REF!</definedName>
    <definedName name="TRV_LT" localSheetId="57">'[31]ITEM-LIST'!#REF!</definedName>
    <definedName name="TRV_LT" localSheetId="64">'[31]ITEM-LIST'!#REF!</definedName>
    <definedName name="TRV_LT" localSheetId="67">'[31]ITEM-LIST'!#REF!</definedName>
    <definedName name="TRV_LT" localSheetId="65">'[31]ITEM-LIST'!#REF!</definedName>
    <definedName name="TRV_LT" localSheetId="68">'[31]ITEM-LIST'!#REF!</definedName>
    <definedName name="TRV_LT" localSheetId="71">'[31]ITEM-LIST'!#REF!</definedName>
    <definedName name="TRV_LT" localSheetId="44">'[31]ITEM-LIST'!#REF!</definedName>
    <definedName name="TRV_LT" localSheetId="45">'[31]ITEM-LIST'!#REF!</definedName>
    <definedName name="TRV_LT" localSheetId="17">'[31]ITEM-LIST'!#REF!</definedName>
    <definedName name="TRV_LT" localSheetId="27">'[31]ITEM-LIST'!#REF!</definedName>
    <definedName name="TRV_LT" localSheetId="72">'[31]ITEM-LIST'!#REF!</definedName>
    <definedName name="TRV_LT" localSheetId="28">'[31]ITEM-LIST'!#REF!</definedName>
    <definedName name="TRV_LT" localSheetId="29">'[31]ITEM-LIST'!#REF!</definedName>
    <definedName name="TRV_LT" localSheetId="66">'[31]ITEM-LIST'!#REF!</definedName>
    <definedName name="TRV_LT">'[31]ITEM-LIST'!#REF!</definedName>
    <definedName name="TRV_NO">#N/A</definedName>
    <definedName name="TRVNO">#N/A</definedName>
    <definedName name="ttt" localSheetId="140" hidden="1">{"'장비'!$A$3:$M$12"}</definedName>
    <definedName name="ttt" localSheetId="58" hidden="1">{"'장비'!$A$3:$M$12"}</definedName>
    <definedName name="ttt" localSheetId="56" hidden="1">{"'장비'!$A$3:$M$12"}</definedName>
    <definedName name="ttt" localSheetId="57" hidden="1">{"'장비'!$A$3:$M$12"}</definedName>
    <definedName name="ttt" localSheetId="67" hidden="1">{"'장비'!$A$3:$M$12"}</definedName>
    <definedName name="ttt" localSheetId="65" hidden="1">{"'장비'!$A$3:$M$12"}</definedName>
    <definedName name="ttt" localSheetId="68" hidden="1">{"'장비'!$A$3:$M$12"}</definedName>
    <definedName name="ttt" localSheetId="71" hidden="1">{"'장비'!$A$3:$M$12"}</definedName>
    <definedName name="ttt" localSheetId="17" hidden="1">{"'장비'!$A$3:$M$12"}</definedName>
    <definedName name="ttt" localSheetId="27" hidden="1">{"'장비'!$A$3:$M$12"}</definedName>
    <definedName name="ttt" localSheetId="72" hidden="1">{"'장비'!$A$3:$M$12"}</definedName>
    <definedName name="ttt" localSheetId="28" hidden="1">{"'장비'!$A$3:$M$12"}</definedName>
    <definedName name="ttt" localSheetId="29" hidden="1">{"'장비'!$A$3:$M$12"}</definedName>
    <definedName name="ttt" hidden="1">{"'장비'!$A$3:$M$12"}</definedName>
    <definedName name="tube_test_press1_12" localSheetId="70">#REF!</definedName>
    <definedName name="tube_test_press1_12" localSheetId="52">#REF!</definedName>
    <definedName name="tube_test_press1_12" localSheetId="58">#REF!</definedName>
    <definedName name="tube_test_press1_12" localSheetId="57">#REF!</definedName>
    <definedName name="tube_test_press1_12" localSheetId="64">#REF!</definedName>
    <definedName name="tube_test_press1_12" localSheetId="67">#REF!</definedName>
    <definedName name="tube_test_press1_12" localSheetId="65">#REF!</definedName>
    <definedName name="tube_test_press1_12" localSheetId="68">#REF!</definedName>
    <definedName name="tube_test_press1_12" localSheetId="71">#REF!</definedName>
    <definedName name="tube_test_press1_12" localSheetId="44">#REF!</definedName>
    <definedName name="tube_test_press1_12" localSheetId="45">#REF!</definedName>
    <definedName name="tube_test_press1_12" localSheetId="27">#REF!</definedName>
    <definedName name="tube_test_press1_12" localSheetId="28">#REF!</definedName>
    <definedName name="tube_test_press1_12" localSheetId="29">#REF!</definedName>
    <definedName name="tube_test_press1_12" localSheetId="66">#REF!</definedName>
    <definedName name="tube_test_press1_12">#REF!</definedName>
    <definedName name="TYPE">#N/A</definedName>
    <definedName name="U">#N/A</definedName>
    <definedName name="ue____Iª">#N/A</definedName>
    <definedName name="UM">#N/A</definedName>
    <definedName name="UMMALNAR" localSheetId="70">#REF!</definedName>
    <definedName name="UMMALNAR" localSheetId="52">#REF!</definedName>
    <definedName name="UMMALNAR" localSheetId="58">#REF!</definedName>
    <definedName name="UMMALNAR" localSheetId="56">#REF!</definedName>
    <definedName name="UMMALNAR" localSheetId="57">#REF!</definedName>
    <definedName name="UMMALNAR" localSheetId="64">#REF!</definedName>
    <definedName name="UMMALNAR" localSheetId="67">#REF!</definedName>
    <definedName name="UMMALNAR" localSheetId="65">#REF!</definedName>
    <definedName name="UMMALNAR" localSheetId="68">#REF!</definedName>
    <definedName name="UMMALNAR" localSheetId="71">#REF!</definedName>
    <definedName name="UMMALNAR" localSheetId="44">#REF!</definedName>
    <definedName name="UMMALNAR" localSheetId="45">#REF!</definedName>
    <definedName name="UMMALNAR" localSheetId="17">#REF!</definedName>
    <definedName name="UMMALNAR" localSheetId="27">#REF!</definedName>
    <definedName name="UMMALNAR" localSheetId="72">#REF!</definedName>
    <definedName name="UMMALNAR" localSheetId="28">#REF!</definedName>
    <definedName name="UMMALNAR" localSheetId="29">#REF!</definedName>
    <definedName name="UMMALNAR" localSheetId="66">#REF!</definedName>
    <definedName name="UMMALNAR">#REF!</definedName>
    <definedName name="UNION" localSheetId="70">#REF!</definedName>
    <definedName name="UNION" localSheetId="52">#REF!</definedName>
    <definedName name="UNION" localSheetId="58">#REF!</definedName>
    <definedName name="UNION" localSheetId="57">#REF!</definedName>
    <definedName name="UNION" localSheetId="64">#REF!</definedName>
    <definedName name="UNION" localSheetId="67">#REF!</definedName>
    <definedName name="UNION" localSheetId="65">#REF!</definedName>
    <definedName name="UNION" localSheetId="68">#REF!</definedName>
    <definedName name="UNION" localSheetId="71">#REF!</definedName>
    <definedName name="UNION" localSheetId="44">#REF!</definedName>
    <definedName name="UNION" localSheetId="45">#REF!</definedName>
    <definedName name="UNION" localSheetId="17">#REF!</definedName>
    <definedName name="UNION" localSheetId="27">#REF!</definedName>
    <definedName name="UNION" localSheetId="72">#REF!</definedName>
    <definedName name="UNION" localSheetId="28">#REF!</definedName>
    <definedName name="UNION" localSheetId="29">#REF!</definedName>
    <definedName name="UNION" localSheetId="66">#REF!</definedName>
    <definedName name="UNION">#REF!</definedName>
    <definedName name="UNIT">#N/A</definedName>
    <definedName name="UNITWT">#N/A</definedName>
    <definedName name="Unsecured_Loans" localSheetId="70">#REF!</definedName>
    <definedName name="Unsecured_Loans" localSheetId="126">'BEST final'!$C$18</definedName>
    <definedName name="Unsecured_Loans" localSheetId="52">#REF!</definedName>
    <definedName name="Unsecured_Loans" localSheetId="58">#REF!</definedName>
    <definedName name="Unsecured_Loans" localSheetId="56">#REF!</definedName>
    <definedName name="Unsecured_Loans" localSheetId="57">#REF!</definedName>
    <definedName name="Unsecured_Loans" localSheetId="64">#REF!</definedName>
    <definedName name="Unsecured_Loans" localSheetId="67">#REF!</definedName>
    <definedName name="Unsecured_Loans" localSheetId="65">#REF!</definedName>
    <definedName name="Unsecured_Loans" localSheetId="68">#REF!</definedName>
    <definedName name="Unsecured_Loans" localSheetId="71">#REF!</definedName>
    <definedName name="Unsecured_Loans" localSheetId="44">#REF!</definedName>
    <definedName name="Unsecured_Loans" localSheetId="45">#REF!</definedName>
    <definedName name="Unsecured_Loans" localSheetId="17">#REF!</definedName>
    <definedName name="Unsecured_Loans" localSheetId="27">#REF!</definedName>
    <definedName name="Unsecured_Loans" localSheetId="72">#REF!</definedName>
    <definedName name="Unsecured_Loans" localSheetId="28">#REF!</definedName>
    <definedName name="Unsecured_Loans" localSheetId="29">#REF!</definedName>
    <definedName name="Unsecured_Loans" localSheetId="66">#REF!</definedName>
    <definedName name="Unsecured_Loans">#REF!</definedName>
    <definedName name="USD">'[13]#REF'!$E$24</definedName>
    <definedName name="ut" localSheetId="140" hidden="1">{"'Sheet1'!$L$16"}</definedName>
    <definedName name="ut" localSheetId="58" hidden="1">{"'Sheet1'!$L$16"}</definedName>
    <definedName name="ut" localSheetId="56" hidden="1">{"'Sheet1'!$L$16"}</definedName>
    <definedName name="ut" localSheetId="57" hidden="1">{"'Sheet1'!$L$16"}</definedName>
    <definedName name="ut" localSheetId="67" hidden="1">{"'Sheet1'!$L$16"}</definedName>
    <definedName name="ut" localSheetId="65" hidden="1">{"'Sheet1'!$L$16"}</definedName>
    <definedName name="ut" localSheetId="68" hidden="1">{"'Sheet1'!$L$16"}</definedName>
    <definedName name="ut" localSheetId="71" hidden="1">{"'Sheet1'!$L$16"}</definedName>
    <definedName name="ut" localSheetId="17" hidden="1">{"'Sheet1'!$L$16"}</definedName>
    <definedName name="ut" localSheetId="27" hidden="1">{"'Sheet1'!$L$16"}</definedName>
    <definedName name="ut" localSheetId="72" hidden="1">{"'Sheet1'!$L$16"}</definedName>
    <definedName name="ut" localSheetId="28" hidden="1">{"'Sheet1'!$L$16"}</definedName>
    <definedName name="ut" localSheetId="29" hidden="1">{"'Sheet1'!$L$16"}</definedName>
    <definedName name="ut" hidden="1">{"'Sheet1'!$L$16"}</definedName>
    <definedName name="UTPNT" localSheetId="70">[13]!UTPNT</definedName>
    <definedName name="UTPNT" localSheetId="52">[13]!UTPNT</definedName>
    <definedName name="UTPNT" localSheetId="58">[13]!UTPNT</definedName>
    <definedName name="UTPNT" localSheetId="57">[13]!UTPNT</definedName>
    <definedName name="UTPNT" localSheetId="64">[13]!UTPNT</definedName>
    <definedName name="UTPNT" localSheetId="67">[13]!UTPNT</definedName>
    <definedName name="UTPNT" localSheetId="65">[13]!UTPNT</definedName>
    <definedName name="UTPNT" localSheetId="68">[13]!UTPNT</definedName>
    <definedName name="UTPNT" localSheetId="71">[13]!UTPNT</definedName>
    <definedName name="UTPNT" localSheetId="44">[13]!UTPNT</definedName>
    <definedName name="UTPNT" localSheetId="45">[13]!UTPNT</definedName>
    <definedName name="UTPNT" localSheetId="27">[13]!UTPNT</definedName>
    <definedName name="UTPNT" localSheetId="28">[13]!UTPNT</definedName>
    <definedName name="UTPNT" localSheetId="29">[13]!UTPNT</definedName>
    <definedName name="UTPNT" localSheetId="66">[13]!UTPNT</definedName>
    <definedName name="UTPNT">[13]!UTPNT</definedName>
    <definedName name="UW">#N/A</definedName>
    <definedName name="V_0" localSheetId="70">#REF!</definedName>
    <definedName name="V_0" localSheetId="52">#REF!</definedName>
    <definedName name="V_0" localSheetId="58">#REF!</definedName>
    <definedName name="V_0" localSheetId="56">#REF!</definedName>
    <definedName name="V_0" localSheetId="57">#REF!</definedName>
    <definedName name="V_0" localSheetId="64">#REF!</definedName>
    <definedName name="V_0" localSheetId="67">#REF!</definedName>
    <definedName name="V_0" localSheetId="65">#REF!</definedName>
    <definedName name="V_0" localSheetId="68">#REF!</definedName>
    <definedName name="V_0" localSheetId="71">#REF!</definedName>
    <definedName name="V_0" localSheetId="44">#REF!</definedName>
    <definedName name="V_0" localSheetId="45">#REF!</definedName>
    <definedName name="V_0" localSheetId="17">#REF!</definedName>
    <definedName name="V_0" localSheetId="27">#REF!</definedName>
    <definedName name="V_0" localSheetId="72">#REF!</definedName>
    <definedName name="V_0" localSheetId="28">#REF!</definedName>
    <definedName name="V_0" localSheetId="29">#REF!</definedName>
    <definedName name="V_0" localSheetId="66">#REF!</definedName>
    <definedName name="V_0">#REF!</definedName>
    <definedName name="V_1" localSheetId="70">#REF!</definedName>
    <definedName name="V_1" localSheetId="52">#REF!</definedName>
    <definedName name="V_1" localSheetId="58">#REF!</definedName>
    <definedName name="V_1" localSheetId="57">#REF!</definedName>
    <definedName name="V_1" localSheetId="64">#REF!</definedName>
    <definedName name="V_1" localSheetId="67">#REF!</definedName>
    <definedName name="V_1" localSheetId="65">#REF!</definedName>
    <definedName name="V_1" localSheetId="68">#REF!</definedName>
    <definedName name="V_1" localSheetId="71">#REF!</definedName>
    <definedName name="V_1" localSheetId="44">#REF!</definedName>
    <definedName name="V_1" localSheetId="45">#REF!</definedName>
    <definedName name="V_1" localSheetId="17">#REF!</definedName>
    <definedName name="V_1" localSheetId="27">#REF!</definedName>
    <definedName name="V_1" localSheetId="72">#REF!</definedName>
    <definedName name="V_1" localSheetId="28">#REF!</definedName>
    <definedName name="V_1" localSheetId="29">#REF!</definedName>
    <definedName name="V_1" localSheetId="66">#REF!</definedName>
    <definedName name="V_1">#REF!</definedName>
    <definedName name="V_10" localSheetId="70">#REF!</definedName>
    <definedName name="V_10" localSheetId="52">#REF!</definedName>
    <definedName name="V_10" localSheetId="58">#REF!</definedName>
    <definedName name="V_10" localSheetId="57">#REF!</definedName>
    <definedName name="V_10" localSheetId="64">#REF!</definedName>
    <definedName name="V_10" localSheetId="67">#REF!</definedName>
    <definedName name="V_10" localSheetId="65">#REF!</definedName>
    <definedName name="V_10" localSheetId="68">#REF!</definedName>
    <definedName name="V_10" localSheetId="71">#REF!</definedName>
    <definedName name="V_10" localSheetId="44">#REF!</definedName>
    <definedName name="V_10" localSheetId="45">#REF!</definedName>
    <definedName name="V_10" localSheetId="17">#REF!</definedName>
    <definedName name="V_10" localSheetId="27">#REF!</definedName>
    <definedName name="V_10" localSheetId="72">#REF!</definedName>
    <definedName name="V_10" localSheetId="28">#REF!</definedName>
    <definedName name="V_10" localSheetId="29">#REF!</definedName>
    <definedName name="V_10" localSheetId="66">#REF!</definedName>
    <definedName name="V_10">#REF!</definedName>
    <definedName name="V_11" localSheetId="70">#REF!</definedName>
    <definedName name="V_11" localSheetId="52">#REF!</definedName>
    <definedName name="V_11" localSheetId="58">#REF!</definedName>
    <definedName name="V_11" localSheetId="57">#REF!</definedName>
    <definedName name="V_11" localSheetId="64">#REF!</definedName>
    <definedName name="V_11" localSheetId="67">#REF!</definedName>
    <definedName name="V_11" localSheetId="65">#REF!</definedName>
    <definedName name="V_11" localSheetId="68">#REF!</definedName>
    <definedName name="V_11" localSheetId="71">#REF!</definedName>
    <definedName name="V_11" localSheetId="44">#REF!</definedName>
    <definedName name="V_11" localSheetId="45">#REF!</definedName>
    <definedName name="V_11" localSheetId="27">#REF!</definedName>
    <definedName name="V_11" localSheetId="28">#REF!</definedName>
    <definedName name="V_11" localSheetId="29">#REF!</definedName>
    <definedName name="V_11" localSheetId="66">#REF!</definedName>
    <definedName name="V_11">#REF!</definedName>
    <definedName name="V_2" localSheetId="70">#REF!</definedName>
    <definedName name="V_2" localSheetId="52">#REF!</definedName>
    <definedName name="V_2" localSheetId="58">#REF!</definedName>
    <definedName name="V_2" localSheetId="57">#REF!</definedName>
    <definedName name="V_2" localSheetId="64">#REF!</definedName>
    <definedName name="V_2" localSheetId="67">#REF!</definedName>
    <definedName name="V_2" localSheetId="65">#REF!</definedName>
    <definedName name="V_2" localSheetId="68">#REF!</definedName>
    <definedName name="V_2" localSheetId="71">#REF!</definedName>
    <definedName name="V_2" localSheetId="44">#REF!</definedName>
    <definedName name="V_2" localSheetId="45">#REF!</definedName>
    <definedName name="V_2" localSheetId="27">#REF!</definedName>
    <definedName name="V_2" localSheetId="28">#REF!</definedName>
    <definedName name="V_2" localSheetId="29">#REF!</definedName>
    <definedName name="V_2" localSheetId="66">#REF!</definedName>
    <definedName name="V_2">#REF!</definedName>
    <definedName name="V_3" localSheetId="70">#REF!</definedName>
    <definedName name="V_3" localSheetId="52">#REF!</definedName>
    <definedName name="V_3" localSheetId="58">#REF!</definedName>
    <definedName name="V_3" localSheetId="57">#REF!</definedName>
    <definedName name="V_3" localSheetId="64">#REF!</definedName>
    <definedName name="V_3" localSheetId="67">#REF!</definedName>
    <definedName name="V_3" localSheetId="65">#REF!</definedName>
    <definedName name="V_3" localSheetId="68">#REF!</definedName>
    <definedName name="V_3" localSheetId="71">#REF!</definedName>
    <definedName name="V_3" localSheetId="44">#REF!</definedName>
    <definedName name="V_3" localSheetId="45">#REF!</definedName>
    <definedName name="V_3" localSheetId="27">#REF!</definedName>
    <definedName name="V_3" localSheetId="28">#REF!</definedName>
    <definedName name="V_3" localSheetId="29">#REF!</definedName>
    <definedName name="V_3" localSheetId="66">#REF!</definedName>
    <definedName name="V_3">#REF!</definedName>
    <definedName name="V_4" localSheetId="70">#REF!</definedName>
    <definedName name="V_4" localSheetId="52">#REF!</definedName>
    <definedName name="V_4" localSheetId="58">#REF!</definedName>
    <definedName name="V_4" localSheetId="57">#REF!</definedName>
    <definedName name="V_4" localSheetId="64">#REF!</definedName>
    <definedName name="V_4" localSheetId="67">#REF!</definedName>
    <definedName name="V_4" localSheetId="65">#REF!</definedName>
    <definedName name="V_4" localSheetId="68">#REF!</definedName>
    <definedName name="V_4" localSheetId="71">#REF!</definedName>
    <definedName name="V_4" localSheetId="44">#REF!</definedName>
    <definedName name="V_4" localSheetId="45">#REF!</definedName>
    <definedName name="V_4" localSheetId="27">#REF!</definedName>
    <definedName name="V_4" localSheetId="28">#REF!</definedName>
    <definedName name="V_4" localSheetId="29">#REF!</definedName>
    <definedName name="V_4" localSheetId="66">#REF!</definedName>
    <definedName name="V_4">#REF!</definedName>
    <definedName name="V_5" localSheetId="70">#REF!</definedName>
    <definedName name="V_5" localSheetId="52">#REF!</definedName>
    <definedName name="V_5" localSheetId="58">#REF!</definedName>
    <definedName name="V_5" localSheetId="57">#REF!</definedName>
    <definedName name="V_5" localSheetId="64">#REF!</definedName>
    <definedName name="V_5" localSheetId="67">#REF!</definedName>
    <definedName name="V_5" localSheetId="65">#REF!</definedName>
    <definedName name="V_5" localSheetId="68">#REF!</definedName>
    <definedName name="V_5" localSheetId="71">#REF!</definedName>
    <definedName name="V_5" localSheetId="44">#REF!</definedName>
    <definedName name="V_5" localSheetId="45">#REF!</definedName>
    <definedName name="V_5" localSheetId="27">#REF!</definedName>
    <definedName name="V_5" localSheetId="28">#REF!</definedName>
    <definedName name="V_5" localSheetId="29">#REF!</definedName>
    <definedName name="V_5" localSheetId="66">#REF!</definedName>
    <definedName name="V_5">#REF!</definedName>
    <definedName name="V_6" localSheetId="70">#REF!</definedName>
    <definedName name="V_6" localSheetId="52">#REF!</definedName>
    <definedName name="V_6" localSheetId="58">#REF!</definedName>
    <definedName name="V_6" localSheetId="57">#REF!</definedName>
    <definedName name="V_6" localSheetId="64">#REF!</definedName>
    <definedName name="V_6" localSheetId="67">#REF!</definedName>
    <definedName name="V_6" localSheetId="65">#REF!</definedName>
    <definedName name="V_6" localSheetId="68">#REF!</definedName>
    <definedName name="V_6" localSheetId="71">#REF!</definedName>
    <definedName name="V_6" localSheetId="44">#REF!</definedName>
    <definedName name="V_6" localSheetId="45">#REF!</definedName>
    <definedName name="V_6" localSheetId="27">#REF!</definedName>
    <definedName name="V_6" localSheetId="28">#REF!</definedName>
    <definedName name="V_6" localSheetId="29">#REF!</definedName>
    <definedName name="V_6" localSheetId="66">#REF!</definedName>
    <definedName name="V_6">#REF!</definedName>
    <definedName name="V_7" localSheetId="70">#REF!</definedName>
    <definedName name="V_7" localSheetId="52">#REF!</definedName>
    <definedName name="V_7" localSheetId="58">#REF!</definedName>
    <definedName name="V_7" localSheetId="57">#REF!</definedName>
    <definedName name="V_7" localSheetId="64">#REF!</definedName>
    <definedName name="V_7" localSheetId="67">#REF!</definedName>
    <definedName name="V_7" localSheetId="65">#REF!</definedName>
    <definedName name="V_7" localSheetId="68">#REF!</definedName>
    <definedName name="V_7" localSheetId="71">#REF!</definedName>
    <definedName name="V_7" localSheetId="44">#REF!</definedName>
    <definedName name="V_7" localSheetId="45">#REF!</definedName>
    <definedName name="V_7" localSheetId="27">#REF!</definedName>
    <definedName name="V_7" localSheetId="28">#REF!</definedName>
    <definedName name="V_7" localSheetId="29">#REF!</definedName>
    <definedName name="V_7" localSheetId="66">#REF!</definedName>
    <definedName name="V_7">#REF!</definedName>
    <definedName name="V_8" localSheetId="70">#REF!</definedName>
    <definedName name="V_8" localSheetId="52">#REF!</definedName>
    <definedName name="V_8" localSheetId="58">#REF!</definedName>
    <definedName name="V_8" localSheetId="57">#REF!</definedName>
    <definedName name="V_8" localSheetId="64">#REF!</definedName>
    <definedName name="V_8" localSheetId="67">#REF!</definedName>
    <definedName name="V_8" localSheetId="65">#REF!</definedName>
    <definedName name="V_8" localSheetId="68">#REF!</definedName>
    <definedName name="V_8" localSheetId="71">#REF!</definedName>
    <definedName name="V_8" localSheetId="44">#REF!</definedName>
    <definedName name="V_8" localSheetId="45">#REF!</definedName>
    <definedName name="V_8" localSheetId="27">#REF!</definedName>
    <definedName name="V_8" localSheetId="28">#REF!</definedName>
    <definedName name="V_8" localSheetId="29">#REF!</definedName>
    <definedName name="V_8" localSheetId="66">#REF!</definedName>
    <definedName name="V_8">#REF!</definedName>
    <definedName name="V_9" localSheetId="70">#REF!</definedName>
    <definedName name="V_9" localSheetId="52">#REF!</definedName>
    <definedName name="V_9" localSheetId="58">#REF!</definedName>
    <definedName name="V_9" localSheetId="57">#REF!</definedName>
    <definedName name="V_9" localSheetId="64">#REF!</definedName>
    <definedName name="V_9" localSheetId="67">#REF!</definedName>
    <definedName name="V_9" localSheetId="65">#REF!</definedName>
    <definedName name="V_9" localSheetId="68">#REF!</definedName>
    <definedName name="V_9" localSheetId="71">#REF!</definedName>
    <definedName name="V_9" localSheetId="44">#REF!</definedName>
    <definedName name="V_9" localSheetId="45">#REF!</definedName>
    <definedName name="V_9" localSheetId="27">#REF!</definedName>
    <definedName name="V_9" localSheetId="28">#REF!</definedName>
    <definedName name="V_9" localSheetId="29">#REF!</definedName>
    <definedName name="V_9" localSheetId="66">#REF!</definedName>
    <definedName name="V_9">#REF!</definedName>
    <definedName name="V_No" localSheetId="70">#REF!</definedName>
    <definedName name="V_No" localSheetId="52">#REF!</definedName>
    <definedName name="V_No" localSheetId="58">#REF!</definedName>
    <definedName name="V_No" localSheetId="57">#REF!</definedName>
    <definedName name="V_No" localSheetId="64">#REF!</definedName>
    <definedName name="V_No" localSheetId="67">#REF!</definedName>
    <definedName name="V_No" localSheetId="65">#REF!</definedName>
    <definedName name="V_No" localSheetId="68">#REF!</definedName>
    <definedName name="V_No" localSheetId="71">#REF!</definedName>
    <definedName name="V_No" localSheetId="44">#REF!</definedName>
    <definedName name="V_No" localSheetId="45">#REF!</definedName>
    <definedName name="V_No" localSheetId="27">#REF!</definedName>
    <definedName name="V_No" localSheetId="28">#REF!</definedName>
    <definedName name="V_No" localSheetId="29">#REF!</definedName>
    <definedName name="V_No" localSheetId="66">#REF!</definedName>
    <definedName name="V_No">#REF!</definedName>
    <definedName name="V_Tp" localSheetId="70">#REF!</definedName>
    <definedName name="V_Tp" localSheetId="52">#REF!</definedName>
    <definedName name="V_Tp" localSheetId="58">#REF!</definedName>
    <definedName name="V_Tp" localSheetId="57">#REF!</definedName>
    <definedName name="V_Tp" localSheetId="64">#REF!</definedName>
    <definedName name="V_Tp" localSheetId="67">#REF!</definedName>
    <definedName name="V_Tp" localSheetId="65">#REF!</definedName>
    <definedName name="V_Tp" localSheetId="68">#REF!</definedName>
    <definedName name="V_Tp" localSheetId="71">#REF!</definedName>
    <definedName name="V_Tp" localSheetId="44">#REF!</definedName>
    <definedName name="V_Tp" localSheetId="45">#REF!</definedName>
    <definedName name="V_Tp" localSheetId="27">#REF!</definedName>
    <definedName name="V_Tp" localSheetId="28">#REF!</definedName>
    <definedName name="V_Tp" localSheetId="29">#REF!</definedName>
    <definedName name="V_Tp" localSheetId="66">#REF!</definedName>
    <definedName name="V_Tp">#REF!</definedName>
    <definedName name="Val_No" localSheetId="70">#REF!</definedName>
    <definedName name="Val_No" localSheetId="52">#REF!</definedName>
    <definedName name="Val_No" localSheetId="58">#REF!</definedName>
    <definedName name="Val_No" localSheetId="57">#REF!</definedName>
    <definedName name="Val_No" localSheetId="64">#REF!</definedName>
    <definedName name="Val_No" localSheetId="67">#REF!</definedName>
    <definedName name="Val_No" localSheetId="65">#REF!</definedName>
    <definedName name="Val_No" localSheetId="68">#REF!</definedName>
    <definedName name="Val_No" localSheetId="71">#REF!</definedName>
    <definedName name="Val_No" localSheetId="44">#REF!</definedName>
    <definedName name="Val_No" localSheetId="45">#REF!</definedName>
    <definedName name="Val_No" localSheetId="27">#REF!</definedName>
    <definedName name="Val_No" localSheetId="28">#REF!</definedName>
    <definedName name="Val_No" localSheetId="29">#REF!</definedName>
    <definedName name="Val_No" localSheetId="66">#REF!</definedName>
    <definedName name="Val_No">#REF!</definedName>
    <definedName name="VALVE">#N/A</definedName>
    <definedName name="van">[30]CondPol!$F$69</definedName>
    <definedName name="vani" localSheetId="70">[30]MixBed!#REF!</definedName>
    <definedName name="vani" localSheetId="52">[30]MixBed!#REF!</definedName>
    <definedName name="vani" localSheetId="58">[30]MixBed!#REF!</definedName>
    <definedName name="vani" localSheetId="56">[30]MixBed!#REF!</definedName>
    <definedName name="vani" localSheetId="57">[30]MixBed!#REF!</definedName>
    <definedName name="vani" localSheetId="64">[30]MixBed!#REF!</definedName>
    <definedName name="vani" localSheetId="67">[30]MixBed!#REF!</definedName>
    <definedName name="vani" localSheetId="65">[30]MixBed!#REF!</definedName>
    <definedName name="vani" localSheetId="68">[30]MixBed!#REF!</definedName>
    <definedName name="vani" localSheetId="71">[30]MixBed!#REF!</definedName>
    <definedName name="vani" localSheetId="44">[30]MixBed!#REF!</definedName>
    <definedName name="vani" localSheetId="45">[30]MixBed!#REF!</definedName>
    <definedName name="vani" localSheetId="17">[30]MixBed!#REF!</definedName>
    <definedName name="vani" localSheetId="27">[30]MixBed!#REF!</definedName>
    <definedName name="vani" localSheetId="72">[30]MixBed!#REF!</definedName>
    <definedName name="vani" localSheetId="28">[30]MixBed!#REF!</definedName>
    <definedName name="vani" localSheetId="29">[30]MixBed!#REF!</definedName>
    <definedName name="vani" localSheetId="66">[30]MixBed!#REF!</definedName>
    <definedName name="vani">[30]MixBed!#REF!</definedName>
    <definedName name="vani1" localSheetId="70">[30]MixBed!#REF!</definedName>
    <definedName name="vani1" localSheetId="52">[30]MixBed!#REF!</definedName>
    <definedName name="vani1" localSheetId="58">[30]MixBed!#REF!</definedName>
    <definedName name="vani1" localSheetId="57">[30]MixBed!#REF!</definedName>
    <definedName name="vani1" localSheetId="64">[30]MixBed!#REF!</definedName>
    <definedName name="vani1" localSheetId="67">[30]MixBed!#REF!</definedName>
    <definedName name="vani1" localSheetId="65">[30]MixBed!#REF!</definedName>
    <definedName name="vani1" localSheetId="68">[30]MixBed!#REF!</definedName>
    <definedName name="vani1" localSheetId="71">[30]MixBed!#REF!</definedName>
    <definedName name="vani1" localSheetId="44">[30]MixBed!#REF!</definedName>
    <definedName name="vani1" localSheetId="45">[30]MixBed!#REF!</definedName>
    <definedName name="vani1" localSheetId="17">[30]MixBed!#REF!</definedName>
    <definedName name="vani1" localSheetId="27">[30]MixBed!#REF!</definedName>
    <definedName name="vani1" localSheetId="72">[30]MixBed!#REF!</definedName>
    <definedName name="vani1" localSheetId="28">[30]MixBed!#REF!</definedName>
    <definedName name="vani1" localSheetId="29">[30]MixBed!#REF!</definedName>
    <definedName name="vani1" localSheetId="66">[30]MixBed!#REF!</definedName>
    <definedName name="vani1">[30]MixBed!#REF!</definedName>
    <definedName name="vcat">[30]CondPol!$F$68</definedName>
    <definedName name="vcati" localSheetId="70">[30]MixBed!#REF!</definedName>
    <definedName name="vcati" localSheetId="52">[30]MixBed!#REF!</definedName>
    <definedName name="vcati" localSheetId="58">[30]MixBed!#REF!</definedName>
    <definedName name="vcati" localSheetId="56">[30]MixBed!#REF!</definedName>
    <definedName name="vcati" localSheetId="57">[30]MixBed!#REF!</definedName>
    <definedName name="vcati" localSheetId="64">[30]MixBed!#REF!</definedName>
    <definedName name="vcati" localSheetId="67">[30]MixBed!#REF!</definedName>
    <definedName name="vcati" localSheetId="65">[30]MixBed!#REF!</definedName>
    <definedName name="vcati" localSheetId="68">[30]MixBed!#REF!</definedName>
    <definedName name="vcati" localSheetId="71">[30]MixBed!#REF!</definedName>
    <definedName name="vcati" localSheetId="44">[30]MixBed!#REF!</definedName>
    <definedName name="vcati" localSheetId="45">[30]MixBed!#REF!</definedName>
    <definedName name="vcati" localSheetId="17">[30]MixBed!#REF!</definedName>
    <definedName name="vcati" localSheetId="27">[30]MixBed!#REF!</definedName>
    <definedName name="vcati" localSheetId="72">[30]MixBed!#REF!</definedName>
    <definedName name="vcati" localSheetId="28">[30]MixBed!#REF!</definedName>
    <definedName name="vcati" localSheetId="29">[30]MixBed!#REF!</definedName>
    <definedName name="vcati" localSheetId="66">[30]MixBed!#REF!</definedName>
    <definedName name="vcati">[30]MixBed!#REF!</definedName>
    <definedName name="vcati1" localSheetId="70">[30]MixBed!#REF!</definedName>
    <definedName name="vcati1" localSheetId="52">[30]MixBed!#REF!</definedName>
    <definedName name="vcati1" localSheetId="58">[30]MixBed!#REF!</definedName>
    <definedName name="vcati1" localSheetId="57">[30]MixBed!#REF!</definedName>
    <definedName name="vcati1" localSheetId="64">[30]MixBed!#REF!</definedName>
    <definedName name="vcati1" localSheetId="67">[30]MixBed!#REF!</definedName>
    <definedName name="vcati1" localSheetId="65">[30]MixBed!#REF!</definedName>
    <definedName name="vcati1" localSheetId="68">[30]MixBed!#REF!</definedName>
    <definedName name="vcati1" localSheetId="71">[30]MixBed!#REF!</definedName>
    <definedName name="vcati1" localSheetId="44">[30]MixBed!#REF!</definedName>
    <definedName name="vcati1" localSheetId="45">[30]MixBed!#REF!</definedName>
    <definedName name="vcati1" localSheetId="17">[30]MixBed!#REF!</definedName>
    <definedName name="vcati1" localSheetId="27">[30]MixBed!#REF!</definedName>
    <definedName name="vcati1" localSheetId="72">[30]MixBed!#REF!</definedName>
    <definedName name="vcati1" localSheetId="28">[30]MixBed!#REF!</definedName>
    <definedName name="vcati1" localSheetId="29">[30]MixBed!#REF!</definedName>
    <definedName name="vcati1" localSheetId="66">[30]MixBed!#REF!</definedName>
    <definedName name="vcati1">[30]MixBed!#REF!</definedName>
    <definedName name="VDES">#N/A</definedName>
    <definedName name="VDR_COMP" localSheetId="70">#REF!</definedName>
    <definedName name="VDR_COMP" localSheetId="52">#REF!</definedName>
    <definedName name="VDR_COMP" localSheetId="58">#REF!</definedName>
    <definedName name="VDR_COMP" localSheetId="56">#REF!</definedName>
    <definedName name="VDR_COMP" localSheetId="57">#REF!</definedName>
    <definedName name="VDR_COMP" localSheetId="64">#REF!</definedName>
    <definedName name="VDR_COMP" localSheetId="67">#REF!</definedName>
    <definedName name="VDR_COMP" localSheetId="65">#REF!</definedName>
    <definedName name="VDR_COMP" localSheetId="68">#REF!</definedName>
    <definedName name="VDR_COMP" localSheetId="71">#REF!</definedName>
    <definedName name="VDR_COMP" localSheetId="44">#REF!</definedName>
    <definedName name="VDR_COMP" localSheetId="45">#REF!</definedName>
    <definedName name="VDR_COMP" localSheetId="17">#REF!</definedName>
    <definedName name="VDR_COMP" localSheetId="27">#REF!</definedName>
    <definedName name="VDR_COMP" localSheetId="72">#REF!</definedName>
    <definedName name="VDR_COMP" localSheetId="28">#REF!</definedName>
    <definedName name="VDR_COMP" localSheetId="29">#REF!</definedName>
    <definedName name="VDR_COMP" localSheetId="66">#REF!</definedName>
    <definedName name="VDR_COMP">#REF!</definedName>
    <definedName name="VDR_COMP1" localSheetId="70">#REF!</definedName>
    <definedName name="VDR_COMP1" localSheetId="52">#REF!</definedName>
    <definedName name="VDR_COMP1" localSheetId="58">#REF!</definedName>
    <definedName name="VDR_COMP1" localSheetId="57">#REF!</definedName>
    <definedName name="VDR_COMP1" localSheetId="64">#REF!</definedName>
    <definedName name="VDR_COMP1" localSheetId="67">#REF!</definedName>
    <definedName name="VDR_COMP1" localSheetId="65">#REF!</definedName>
    <definedName name="VDR_COMP1" localSheetId="68">#REF!</definedName>
    <definedName name="VDR_COMP1" localSheetId="71">#REF!</definedName>
    <definedName name="VDR_COMP1" localSheetId="44">#REF!</definedName>
    <definedName name="VDR_COMP1" localSheetId="45">#REF!</definedName>
    <definedName name="VDR_COMP1" localSheetId="17">#REF!</definedName>
    <definedName name="VDR_COMP1" localSheetId="27">#REF!</definedName>
    <definedName name="VDR_COMP1" localSheetId="72">#REF!</definedName>
    <definedName name="VDR_COMP1" localSheetId="28">#REF!</definedName>
    <definedName name="VDR_COMP1" localSheetId="29">#REF!</definedName>
    <definedName name="VDR_COMP1" localSheetId="66">#REF!</definedName>
    <definedName name="VDR_COMP1">#REF!</definedName>
    <definedName name="VDR_선택" localSheetId="70">#REF!</definedName>
    <definedName name="VDR_선택" localSheetId="52">#REF!</definedName>
    <definedName name="VDR_선택" localSheetId="58">#REF!</definedName>
    <definedName name="VDR_선택" localSheetId="57">#REF!</definedName>
    <definedName name="VDR_선택" localSheetId="64">#REF!</definedName>
    <definedName name="VDR_선택" localSheetId="67">#REF!</definedName>
    <definedName name="VDR_선택" localSheetId="65">#REF!</definedName>
    <definedName name="VDR_선택" localSheetId="68">#REF!</definedName>
    <definedName name="VDR_선택" localSheetId="71">#REF!</definedName>
    <definedName name="VDR_선택" localSheetId="44">#REF!</definedName>
    <definedName name="VDR_선택" localSheetId="45">#REF!</definedName>
    <definedName name="VDR_선택" localSheetId="17">#REF!</definedName>
    <definedName name="VDR_선택" localSheetId="27">#REF!</definedName>
    <definedName name="VDR_선택" localSheetId="72">#REF!</definedName>
    <definedName name="VDR_선택" localSheetId="28">#REF!</definedName>
    <definedName name="VDR_선택" localSheetId="29">#REF!</definedName>
    <definedName name="VDR_선택" localSheetId="66">#REF!</definedName>
    <definedName name="VDR_선택">#REF!</definedName>
    <definedName name="VDR_선택1" localSheetId="70">#REF!</definedName>
    <definedName name="VDR_선택1" localSheetId="52">#REF!</definedName>
    <definedName name="VDR_선택1" localSheetId="58">#REF!</definedName>
    <definedName name="VDR_선택1" localSheetId="57">#REF!</definedName>
    <definedName name="VDR_선택1" localSheetId="64">#REF!</definedName>
    <definedName name="VDR_선택1" localSheetId="67">#REF!</definedName>
    <definedName name="VDR_선택1" localSheetId="65">#REF!</definedName>
    <definedName name="VDR_선택1" localSheetId="68">#REF!</definedName>
    <definedName name="VDR_선택1" localSheetId="71">#REF!</definedName>
    <definedName name="VDR_선택1" localSheetId="44">#REF!</definedName>
    <definedName name="VDR_선택1" localSheetId="45">#REF!</definedName>
    <definedName name="VDR_선택1" localSheetId="27">#REF!</definedName>
    <definedName name="VDR_선택1" localSheetId="28">#REF!</definedName>
    <definedName name="VDR_선택1" localSheetId="29">#REF!</definedName>
    <definedName name="VDR_선택1" localSheetId="66">#REF!</definedName>
    <definedName name="VDR_선택1">#REF!</definedName>
    <definedName name="vdsvfkj">'[12]B_S Group'!$H$284</definedName>
    <definedName name="VEND">#N/A</definedName>
    <definedName name="Vendoroyalty">[70]Code!$D$23:$D$51</definedName>
    <definedName name="vf" localSheetId="140" hidden="1">{"'Sheet1'!$L$16"}</definedName>
    <definedName name="vf" localSheetId="58" hidden="1">{"'Sheet1'!$L$16"}</definedName>
    <definedName name="vf" localSheetId="56" hidden="1">{"'Sheet1'!$L$16"}</definedName>
    <definedName name="vf" localSheetId="57" hidden="1">{"'Sheet1'!$L$16"}</definedName>
    <definedName name="vf" localSheetId="67" hidden="1">{"'Sheet1'!$L$16"}</definedName>
    <definedName name="vf" localSheetId="65" hidden="1">{"'Sheet1'!$L$16"}</definedName>
    <definedName name="vf" localSheetId="68" hidden="1">{"'Sheet1'!$L$16"}</definedName>
    <definedName name="vf" localSheetId="71" hidden="1">{"'Sheet1'!$L$16"}</definedName>
    <definedName name="vf" localSheetId="17" hidden="1">{"'Sheet1'!$L$16"}</definedName>
    <definedName name="vf" localSheetId="27" hidden="1">{"'Sheet1'!$L$16"}</definedName>
    <definedName name="vf" localSheetId="72" hidden="1">{"'Sheet1'!$L$16"}</definedName>
    <definedName name="vf" localSheetId="28" hidden="1">{"'Sheet1'!$L$16"}</definedName>
    <definedName name="vf" localSheetId="29" hidden="1">{"'Sheet1'!$L$16"}</definedName>
    <definedName name="vf" hidden="1">{"'Sheet1'!$L$16"}</definedName>
    <definedName name="vinert">[30]CondPol!$F$70</definedName>
    <definedName name="vn" localSheetId="140" hidden="1">{"'Sheet1'!$L$16"}</definedName>
    <definedName name="vn" localSheetId="58" hidden="1">{"'Sheet1'!$L$16"}</definedName>
    <definedName name="vn" localSheetId="56" hidden="1">{"'Sheet1'!$L$16"}</definedName>
    <definedName name="vn" localSheetId="57" hidden="1">{"'Sheet1'!$L$16"}</definedName>
    <definedName name="vn" localSheetId="67" hidden="1">{"'Sheet1'!$L$16"}</definedName>
    <definedName name="vn" localSheetId="65" hidden="1">{"'Sheet1'!$L$16"}</definedName>
    <definedName name="vn" localSheetId="68" hidden="1">{"'Sheet1'!$L$16"}</definedName>
    <definedName name="vn" localSheetId="71" hidden="1">{"'Sheet1'!$L$16"}</definedName>
    <definedName name="vn" localSheetId="17" hidden="1">{"'Sheet1'!$L$16"}</definedName>
    <definedName name="vn" localSheetId="27" hidden="1">{"'Sheet1'!$L$16"}</definedName>
    <definedName name="vn" localSheetId="72" hidden="1">{"'Sheet1'!$L$16"}</definedName>
    <definedName name="vn" localSheetId="28" hidden="1">{"'Sheet1'!$L$16"}</definedName>
    <definedName name="vn" localSheetId="29" hidden="1">{"'Sheet1'!$L$16"}</definedName>
    <definedName name="vn" hidden="1">{"'Sheet1'!$L$16"}</definedName>
    <definedName name="vo" localSheetId="70">#REF!</definedName>
    <definedName name="vo" localSheetId="52">#REF!</definedName>
    <definedName name="vo" localSheetId="58">#REF!</definedName>
    <definedName name="vo" localSheetId="57">#REF!</definedName>
    <definedName name="vo" localSheetId="64">#REF!</definedName>
    <definedName name="vo" localSheetId="67">#REF!</definedName>
    <definedName name="vo" localSheetId="65">#REF!</definedName>
    <definedName name="vo" localSheetId="68">#REF!</definedName>
    <definedName name="vo" localSheetId="71">#REF!</definedName>
    <definedName name="vo" localSheetId="44">#REF!</definedName>
    <definedName name="vo" localSheetId="45">#REF!</definedName>
    <definedName name="vo" localSheetId="27">#REF!</definedName>
    <definedName name="vo" localSheetId="28">#REF!</definedName>
    <definedName name="vo" localSheetId="29">#REF!</definedName>
    <definedName name="vo" localSheetId="66">#REF!</definedName>
    <definedName name="vo">#REF!</definedName>
    <definedName name="vtot">[30]CondPol!$F$71</definedName>
    <definedName name="w" localSheetId="140">#REF!</definedName>
    <definedName name="w" localSheetId="142">#REF!</definedName>
    <definedName name="w">[12]Notes!$A$41</definedName>
    <definedName name="WC">#N/A</definedName>
    <definedName name="wefc" localSheetId="70">[12]BEST_17112006!#REF!</definedName>
    <definedName name="wefc" localSheetId="143">[12]BEST_17112006!#REF!</definedName>
    <definedName name="wefc" localSheetId="52">[12]BEST_17112006!#REF!</definedName>
    <definedName name="wefc" localSheetId="58">[12]BEST_17112006!#REF!</definedName>
    <definedName name="wefc" localSheetId="57">[12]BEST_17112006!#REF!</definedName>
    <definedName name="wefc" localSheetId="64">[12]BEST_17112006!#REF!</definedName>
    <definedName name="wefc" localSheetId="67">[12]BEST_17112006!#REF!</definedName>
    <definedName name="wefc" localSheetId="65">[12]BEST_17112006!#REF!</definedName>
    <definedName name="wefc" localSheetId="68">[12]BEST_17112006!#REF!</definedName>
    <definedName name="wefc" localSheetId="71">[12]BEST_17112006!#REF!</definedName>
    <definedName name="wefc" localSheetId="44">[12]BEST_17112006!#REF!</definedName>
    <definedName name="wefc" localSheetId="45">[12]BEST_17112006!#REF!</definedName>
    <definedName name="wefc" localSheetId="27">[12]BEST_17112006!#REF!</definedName>
    <definedName name="wefc" localSheetId="28">[12]BEST_17112006!#REF!</definedName>
    <definedName name="wefc" localSheetId="29">[12]BEST_17112006!#REF!</definedName>
    <definedName name="wefc" localSheetId="66">[12]BEST_17112006!#REF!</definedName>
    <definedName name="wefc">[12]BEST_17112006!#REF!</definedName>
    <definedName name="wefevsdg">[12]BEST_17112006!$A$415:$M$419</definedName>
    <definedName name="wehrt3uyt">'[12]B_S Group'!$H$21</definedName>
    <definedName name="weki_9701.xls" localSheetId="70" hidden="1">'[22]Eq. Mobilization'!#REF!</definedName>
    <definedName name="weki_9701.xls" localSheetId="52" hidden="1">'[22]Eq. Mobilization'!#REF!</definedName>
    <definedName name="weki_9701.xls" localSheetId="58" hidden="1">'[22]Eq. Mobilization'!#REF!</definedName>
    <definedName name="weki_9701.xls" localSheetId="56" hidden="1">'[22]Eq. Mobilization'!#REF!</definedName>
    <definedName name="weki_9701.xls" localSheetId="57" hidden="1">'[22]Eq. Mobilization'!#REF!</definedName>
    <definedName name="weki_9701.xls" localSheetId="64" hidden="1">'[22]Eq. Mobilization'!#REF!</definedName>
    <definedName name="weki_9701.xls" localSheetId="67" hidden="1">'[22]Eq. Mobilization'!#REF!</definedName>
    <definedName name="weki_9701.xls" localSheetId="65" hidden="1">'[22]Eq. Mobilization'!#REF!</definedName>
    <definedName name="weki_9701.xls" localSheetId="68" hidden="1">'[22]Eq. Mobilization'!#REF!</definedName>
    <definedName name="weki_9701.xls" localSheetId="71" hidden="1">'[22]Eq. Mobilization'!#REF!</definedName>
    <definedName name="weki_9701.xls" localSheetId="44" hidden="1">'[22]Eq. Mobilization'!#REF!</definedName>
    <definedName name="weki_9701.xls" localSheetId="45" hidden="1">'[22]Eq. Mobilization'!#REF!</definedName>
    <definedName name="weki_9701.xls" localSheetId="17" hidden="1">'[22]Eq. Mobilization'!#REF!</definedName>
    <definedName name="weki_9701.xls" localSheetId="27" hidden="1">'[22]Eq. Mobilization'!#REF!</definedName>
    <definedName name="weki_9701.xls" localSheetId="72" hidden="1">'[22]Eq. Mobilization'!#REF!</definedName>
    <definedName name="weki_9701.xls" localSheetId="28" hidden="1">'[22]Eq. Mobilization'!#REF!</definedName>
    <definedName name="weki_9701.xls" localSheetId="29" hidden="1">'[22]Eq. Mobilization'!#REF!</definedName>
    <definedName name="weki_9701.xls" localSheetId="66" hidden="1">'[22]Eq. Mobilization'!#REF!</definedName>
    <definedName name="weki_9701.xls" hidden="1">'[22]Eq. Mobilization'!#REF!</definedName>
    <definedName name="wekir9701.xls" localSheetId="70" hidden="1">'[22]Eq. Mobilization'!#REF!</definedName>
    <definedName name="wekir9701.xls" localSheetId="52" hidden="1">'[22]Eq. Mobilization'!#REF!</definedName>
    <definedName name="wekir9701.xls" localSheetId="58" hidden="1">'[22]Eq. Mobilization'!#REF!</definedName>
    <definedName name="wekir9701.xls" localSheetId="57" hidden="1">'[22]Eq. Mobilization'!#REF!</definedName>
    <definedName name="wekir9701.xls" localSheetId="64" hidden="1">'[22]Eq. Mobilization'!#REF!</definedName>
    <definedName name="wekir9701.xls" localSheetId="67" hidden="1">'[22]Eq. Mobilization'!#REF!</definedName>
    <definedName name="wekir9701.xls" localSheetId="65" hidden="1">'[22]Eq. Mobilization'!#REF!</definedName>
    <definedName name="wekir9701.xls" localSheetId="68" hidden="1">'[22]Eq. Mobilization'!#REF!</definedName>
    <definedName name="wekir9701.xls" localSheetId="71" hidden="1">'[22]Eq. Mobilization'!#REF!</definedName>
    <definedName name="wekir9701.xls" localSheetId="44" hidden="1">'[22]Eq. Mobilization'!#REF!</definedName>
    <definedName name="wekir9701.xls" localSheetId="45" hidden="1">'[22]Eq. Mobilization'!#REF!</definedName>
    <definedName name="wekir9701.xls" localSheetId="17" hidden="1">'[22]Eq. Mobilization'!#REF!</definedName>
    <definedName name="wekir9701.xls" localSheetId="27" hidden="1">'[22]Eq. Mobilization'!#REF!</definedName>
    <definedName name="wekir9701.xls" localSheetId="72" hidden="1">'[22]Eq. Mobilization'!#REF!</definedName>
    <definedName name="wekir9701.xls" localSheetId="28" hidden="1">'[22]Eq. Mobilization'!#REF!</definedName>
    <definedName name="wekir9701.xls" localSheetId="29" hidden="1">'[22]Eq. Mobilization'!#REF!</definedName>
    <definedName name="wekir9701.xls" localSheetId="66" hidden="1">'[22]Eq. Mobilization'!#REF!</definedName>
    <definedName name="wekir9701.xls" hidden="1">'[22]Eq. Mobilization'!#REF!</definedName>
    <definedName name="WHEELING" localSheetId="70">'[5]Financial Estimates'!#REF!</definedName>
    <definedName name="WHEELING" localSheetId="52">'[5]Financial Estimates'!#REF!</definedName>
    <definedName name="WHEELING" localSheetId="58">'[5]Financial Estimates'!#REF!</definedName>
    <definedName name="WHEELING" localSheetId="57">'[5]Financial Estimates'!#REF!</definedName>
    <definedName name="WHEELING" localSheetId="64">'[5]Financial Estimates'!#REF!</definedName>
    <definedName name="WHEELING" localSheetId="67">'[5]Financial Estimates'!#REF!</definedName>
    <definedName name="WHEELING" localSheetId="65">'[5]Financial Estimates'!#REF!</definedName>
    <definedName name="WHEELING" localSheetId="68">'[5]Financial Estimates'!#REF!</definedName>
    <definedName name="WHEELING" localSheetId="71">'[5]Financial Estimates'!#REF!</definedName>
    <definedName name="WHEELING" localSheetId="44">'[5]Financial Estimates'!#REF!</definedName>
    <definedName name="WHEELING" localSheetId="45">'[5]Financial Estimates'!#REF!</definedName>
    <definedName name="WHEELING" localSheetId="17">'[5]Financial Estimates'!#REF!</definedName>
    <definedName name="WHEELING" localSheetId="27">'[5]Financial Estimates'!#REF!</definedName>
    <definedName name="WHEELING" localSheetId="72">'[5]Financial Estimates'!#REF!</definedName>
    <definedName name="WHEELING" localSheetId="28">'[5]Financial Estimates'!#REF!</definedName>
    <definedName name="WHEELING" localSheetId="29">'[5]Financial Estimates'!#REF!</definedName>
    <definedName name="WHEELING" localSheetId="66">'[5]Financial Estimates'!#REF!</definedName>
    <definedName name="WHEELING">'[5]Financial Estimates'!#REF!</definedName>
    <definedName name="wmdeo">#N/A</definedName>
    <definedName name="WOL" localSheetId="70">#REF!</definedName>
    <definedName name="WOL" localSheetId="52">#REF!</definedName>
    <definedName name="WOL" localSheetId="58">#REF!</definedName>
    <definedName name="WOL" localSheetId="56">#REF!</definedName>
    <definedName name="WOL" localSheetId="57">#REF!</definedName>
    <definedName name="WOL" localSheetId="64">#REF!</definedName>
    <definedName name="WOL" localSheetId="67">#REF!</definedName>
    <definedName name="WOL" localSheetId="65">#REF!</definedName>
    <definedName name="WOL" localSheetId="68">#REF!</definedName>
    <definedName name="WOL" localSheetId="71">#REF!</definedName>
    <definedName name="WOL" localSheetId="44">#REF!</definedName>
    <definedName name="WOL" localSheetId="45">#REF!</definedName>
    <definedName name="WOL" localSheetId="17">#REF!</definedName>
    <definedName name="WOL" localSheetId="27">#REF!</definedName>
    <definedName name="WOL" localSheetId="72">#REF!</definedName>
    <definedName name="WOL" localSheetId="28">#REF!</definedName>
    <definedName name="WOL" localSheetId="29">#REF!</definedName>
    <definedName name="WOL" localSheetId="66">#REF!</definedName>
    <definedName name="WOL">#REF!</definedName>
    <definedName name="wrn.Scope._.of._.Supply._.Mechanical." localSheetId="140" hidden="1">{#N/A,#N/A,FALSE,"Mechanical"}</definedName>
    <definedName name="wrn.Scope._.of._.Supply._.Mechanical." localSheetId="58" hidden="1">{#N/A,#N/A,FALSE,"Mechanical"}</definedName>
    <definedName name="wrn.Scope._.of._.Supply._.Mechanical." localSheetId="56" hidden="1">{#N/A,#N/A,FALSE,"Mechanical"}</definedName>
    <definedName name="wrn.Scope._.of._.Supply._.Mechanical." localSheetId="57" hidden="1">{#N/A,#N/A,FALSE,"Mechanical"}</definedName>
    <definedName name="wrn.Scope._.of._.Supply._.Mechanical." localSheetId="67" hidden="1">{#N/A,#N/A,FALSE,"Mechanical"}</definedName>
    <definedName name="wrn.Scope._.of._.Supply._.Mechanical." localSheetId="65" hidden="1">{#N/A,#N/A,FALSE,"Mechanical"}</definedName>
    <definedName name="wrn.Scope._.of._.Supply._.Mechanical." localSheetId="68" hidden="1">{#N/A,#N/A,FALSE,"Mechanical"}</definedName>
    <definedName name="wrn.Scope._.of._.Supply._.Mechanical." localSheetId="71" hidden="1">{#N/A,#N/A,FALSE,"Mechanical"}</definedName>
    <definedName name="wrn.Scope._.of._.Supply._.Mechanical." localSheetId="17" hidden="1">{#N/A,#N/A,FALSE,"Mechanical"}</definedName>
    <definedName name="wrn.Scope._.of._.Supply._.Mechanical." localSheetId="27" hidden="1">{#N/A,#N/A,FALSE,"Mechanical"}</definedName>
    <definedName name="wrn.Scope._.of._.Supply._.Mechanical." localSheetId="72" hidden="1">{#N/A,#N/A,FALSE,"Mechanical"}</definedName>
    <definedName name="wrn.Scope._.of._.Supply._.Mechanical." localSheetId="28" hidden="1">{#N/A,#N/A,FALSE,"Mechanical"}</definedName>
    <definedName name="wrn.Scope._.of._.Supply._.Mechanical." localSheetId="29" hidden="1">{#N/A,#N/A,FALSE,"Mechanical"}</definedName>
    <definedName name="wrn.Scope._.of._.Supply._.Mechanical." hidden="1">{#N/A,#N/A,FALSE,"Mechanical"}</definedName>
    <definedName name="wrn.testrpt." localSheetId="140" hidden="1">{"Edition",#N/A,FALSE,"Data"}</definedName>
    <definedName name="wrn.testrpt." localSheetId="58" hidden="1">{"Edition",#N/A,FALSE,"Data"}</definedName>
    <definedName name="wrn.testrpt." localSheetId="56" hidden="1">{"Edition",#N/A,FALSE,"Data"}</definedName>
    <definedName name="wrn.testrpt." localSheetId="57" hidden="1">{"Edition",#N/A,FALSE,"Data"}</definedName>
    <definedName name="wrn.testrpt." localSheetId="67" hidden="1">{"Edition",#N/A,FALSE,"Data"}</definedName>
    <definedName name="wrn.testrpt." localSheetId="65" hidden="1">{"Edition",#N/A,FALSE,"Data"}</definedName>
    <definedName name="wrn.testrpt." localSheetId="68" hidden="1">{"Edition",#N/A,FALSE,"Data"}</definedName>
    <definedName name="wrn.testrpt." localSheetId="71" hidden="1">{"Edition",#N/A,FALSE,"Data"}</definedName>
    <definedName name="wrn.testrpt." localSheetId="17" hidden="1">{"Edition",#N/A,FALSE,"Data"}</definedName>
    <definedName name="wrn.testrpt." localSheetId="27" hidden="1">{"Edition",#N/A,FALSE,"Data"}</definedName>
    <definedName name="wrn.testrpt." localSheetId="72" hidden="1">{"Edition",#N/A,FALSE,"Data"}</definedName>
    <definedName name="wrn.testrpt." localSheetId="28" hidden="1">{"Edition",#N/A,FALSE,"Data"}</definedName>
    <definedName name="wrn.testrpt." localSheetId="29" hidden="1">{"Edition",#N/A,FALSE,"Data"}</definedName>
    <definedName name="wrn.testrpt." hidden="1">{"Edition",#N/A,FALSE,"Data"}</definedName>
    <definedName name="www" localSheetId="70">#REF!</definedName>
    <definedName name="www" localSheetId="52">#REF!</definedName>
    <definedName name="www" localSheetId="58">#REF!</definedName>
    <definedName name="www" localSheetId="56">#REF!</definedName>
    <definedName name="www" localSheetId="57">#REF!</definedName>
    <definedName name="www" localSheetId="64">#REF!</definedName>
    <definedName name="www" localSheetId="67">#REF!</definedName>
    <definedName name="www" localSheetId="65">#REF!</definedName>
    <definedName name="www" localSheetId="68">#REF!</definedName>
    <definedName name="www" localSheetId="71">#REF!</definedName>
    <definedName name="www" localSheetId="44">#REF!</definedName>
    <definedName name="www" localSheetId="45">#REF!</definedName>
    <definedName name="www" localSheetId="17">#REF!</definedName>
    <definedName name="www" localSheetId="27">#REF!</definedName>
    <definedName name="www" localSheetId="72">#REF!</definedName>
    <definedName name="www" localSheetId="28">#REF!</definedName>
    <definedName name="www" localSheetId="29">#REF!</definedName>
    <definedName name="www" localSheetId="66">#REF!</definedName>
    <definedName name="www">#REF!</definedName>
    <definedName name="wwww" localSheetId="70">'[71]License Area'!#REF!</definedName>
    <definedName name="wwww" localSheetId="52">'[71]License Area'!#REF!</definedName>
    <definedName name="wwww" localSheetId="58">'[71]License Area'!#REF!</definedName>
    <definedName name="wwww" localSheetId="56">'[71]License Area'!#REF!</definedName>
    <definedName name="wwww" localSheetId="57">'[71]License Area'!#REF!</definedName>
    <definedName name="wwww" localSheetId="64">'[71]License Area'!#REF!</definedName>
    <definedName name="wwww" localSheetId="67">'[71]License Area'!#REF!</definedName>
    <definedName name="wwww" localSheetId="65">'[71]License Area'!#REF!</definedName>
    <definedName name="wwww" localSheetId="68">'[71]License Area'!#REF!</definedName>
    <definedName name="wwww" localSheetId="71">'[71]License Area'!#REF!</definedName>
    <definedName name="wwww" localSheetId="44">'[71]License Area'!#REF!</definedName>
    <definedName name="wwww" localSheetId="45">'[71]License Area'!#REF!</definedName>
    <definedName name="wwww" localSheetId="17">'[71]License Area'!#REF!</definedName>
    <definedName name="wwww" localSheetId="27">'[71]License Area'!#REF!</definedName>
    <definedName name="wwww" localSheetId="72">'[71]License Area'!#REF!</definedName>
    <definedName name="wwww" localSheetId="28">'[71]License Area'!#REF!</definedName>
    <definedName name="wwww" localSheetId="29">'[71]License Area'!#REF!</definedName>
    <definedName name="wwww" localSheetId="66">'[71]License Area'!#REF!</definedName>
    <definedName name="wwww">'[71]License Area'!#REF!</definedName>
    <definedName name="X" localSheetId="70" hidden="1">'[28]Eq. Mobilization'!#REF!</definedName>
    <definedName name="X" localSheetId="52" hidden="1">'[28]Eq. Mobilization'!#REF!</definedName>
    <definedName name="X" localSheetId="58" hidden="1">'[28]Eq. Mobilization'!#REF!</definedName>
    <definedName name="X" localSheetId="57" hidden="1">'[28]Eq. Mobilization'!#REF!</definedName>
    <definedName name="X" localSheetId="64" hidden="1">'[28]Eq. Mobilization'!#REF!</definedName>
    <definedName name="X" localSheetId="67" hidden="1">'[28]Eq. Mobilization'!#REF!</definedName>
    <definedName name="X" localSheetId="65" hidden="1">'[28]Eq. Mobilization'!#REF!</definedName>
    <definedName name="X" localSheetId="68" hidden="1">'[28]Eq. Mobilization'!#REF!</definedName>
    <definedName name="X" localSheetId="71" hidden="1">'[28]Eq. Mobilization'!#REF!</definedName>
    <definedName name="X" localSheetId="44" hidden="1">'[28]Eq. Mobilization'!#REF!</definedName>
    <definedName name="X" localSheetId="45" hidden="1">'[28]Eq. Mobilization'!#REF!</definedName>
    <definedName name="X" localSheetId="27" hidden="1">'[28]Eq. Mobilization'!#REF!</definedName>
    <definedName name="X" localSheetId="28" hidden="1">'[28]Eq. Mobilization'!#REF!</definedName>
    <definedName name="X" localSheetId="29" hidden="1">'[28]Eq. Mobilization'!#REF!</definedName>
    <definedName name="X" localSheetId="66" hidden="1">'[28]Eq. Mobilization'!#REF!</definedName>
    <definedName name="X" hidden="1">'[28]Eq. Mobilization'!#REF!</definedName>
    <definedName name="X1_" localSheetId="70">#REF!</definedName>
    <definedName name="X1_" localSheetId="20">#REF!</definedName>
    <definedName name="X1_" localSheetId="15">#REF!</definedName>
    <definedName name="X1_" localSheetId="52">#REF!</definedName>
    <definedName name="X1_" localSheetId="58">#REF!</definedName>
    <definedName name="X1_" localSheetId="57">#REF!</definedName>
    <definedName name="X1_" localSheetId="64">#REF!</definedName>
    <definedName name="X1_" localSheetId="67">#REF!</definedName>
    <definedName name="X1_" localSheetId="65">#REF!</definedName>
    <definedName name="X1_" localSheetId="30">#REF!</definedName>
    <definedName name="X1_" localSheetId="68">#REF!</definedName>
    <definedName name="X1_" localSheetId="71">#REF!</definedName>
    <definedName name="X1_" localSheetId="44">#REF!</definedName>
    <definedName name="X1_" localSheetId="45">#REF!</definedName>
    <definedName name="X1_" localSheetId="48">#REF!</definedName>
    <definedName name="X1_" localSheetId="17">#REF!</definedName>
    <definedName name="X1_" localSheetId="27">#REF!</definedName>
    <definedName name="X1_" localSheetId="72">#REF!</definedName>
    <definedName name="X1_" localSheetId="28">#REF!</definedName>
    <definedName name="X1_" localSheetId="29">#REF!</definedName>
    <definedName name="X1_" localSheetId="66">#REF!</definedName>
    <definedName name="X1_">#REF!</definedName>
    <definedName name="xcxcxcc" localSheetId="70">#REF!</definedName>
    <definedName name="xcxcxcc" localSheetId="52">#REF!</definedName>
    <definedName name="xcxcxcc" localSheetId="58">#REF!</definedName>
    <definedName name="xcxcxcc" localSheetId="57">#REF!</definedName>
    <definedName name="xcxcxcc" localSheetId="64">#REF!</definedName>
    <definedName name="xcxcxcc" localSheetId="67">#REF!</definedName>
    <definedName name="xcxcxcc" localSheetId="65">#REF!</definedName>
    <definedName name="xcxcxcc" localSheetId="68">#REF!</definedName>
    <definedName name="xcxcxcc" localSheetId="71">#REF!</definedName>
    <definedName name="xcxcxcc" localSheetId="44">#REF!</definedName>
    <definedName name="xcxcxcc" localSheetId="45">#REF!</definedName>
    <definedName name="xcxcxcc" localSheetId="48">#REF!</definedName>
    <definedName name="xcxcxcc" localSheetId="27">#REF!</definedName>
    <definedName name="xcxcxcc" localSheetId="28">#REF!</definedName>
    <definedName name="xcxcxcc" localSheetId="29">#REF!</definedName>
    <definedName name="xcxcxcc" localSheetId="66">#REF!</definedName>
    <definedName name="xcxcxcc">#REF!</definedName>
    <definedName name="xcxvxv" localSheetId="70">'[25]04REL'!#REF!</definedName>
    <definedName name="xcxvxv" localSheetId="52">'[25]04REL'!#REF!</definedName>
    <definedName name="xcxvxv" localSheetId="58">'[25]04REL'!#REF!</definedName>
    <definedName name="xcxvxv" localSheetId="57">'[25]04REL'!#REF!</definedName>
    <definedName name="xcxvxv" localSheetId="64">'[25]04REL'!#REF!</definedName>
    <definedName name="xcxvxv" localSheetId="67">'[25]04REL'!#REF!</definedName>
    <definedName name="xcxvxv" localSheetId="65">'[25]04REL'!#REF!</definedName>
    <definedName name="xcxvxv" localSheetId="68">'[25]04REL'!#REF!</definedName>
    <definedName name="xcxvxv" localSheetId="71">'[25]04REL'!#REF!</definedName>
    <definedName name="xcxvxv" localSheetId="44">'[25]04REL'!#REF!</definedName>
    <definedName name="xcxvxv" localSheetId="45">'[25]04REL'!#REF!</definedName>
    <definedName name="xcxvxv" localSheetId="48">'[25]04REL'!#REF!</definedName>
    <definedName name="xcxvxv" localSheetId="27">'[25]04REL'!#REF!</definedName>
    <definedName name="xcxvxv" localSheetId="28">'[25]04REL'!#REF!</definedName>
    <definedName name="xcxvxv" localSheetId="29">'[25]04REL'!#REF!</definedName>
    <definedName name="xcxvxv" localSheetId="66">'[25]04REL'!#REF!</definedName>
    <definedName name="xcxvxv">'[25]04REL'!#REF!</definedName>
    <definedName name="xczczczc" localSheetId="70">#REF!</definedName>
    <definedName name="xczczczc" localSheetId="52">#REF!</definedName>
    <definedName name="xczczczc" localSheetId="58">#REF!</definedName>
    <definedName name="xczczczc" localSheetId="57">#REF!</definedName>
    <definedName name="xczczczc" localSheetId="64">#REF!</definedName>
    <definedName name="xczczczc" localSheetId="67">#REF!</definedName>
    <definedName name="xczczczc" localSheetId="65">#REF!</definedName>
    <definedName name="xczczczc" localSheetId="68">#REF!</definedName>
    <definedName name="xczczczc" localSheetId="71">#REF!</definedName>
    <definedName name="xczczczc" localSheetId="44">#REF!</definedName>
    <definedName name="xczczczc" localSheetId="45">#REF!</definedName>
    <definedName name="xczczczc" localSheetId="48">#REF!</definedName>
    <definedName name="xczczczc" localSheetId="17">#REF!</definedName>
    <definedName name="xczczczc" localSheetId="27">#REF!</definedName>
    <definedName name="xczczczc" localSheetId="72">#REF!</definedName>
    <definedName name="xczczczc" localSheetId="28">#REF!</definedName>
    <definedName name="xczczczc" localSheetId="29">#REF!</definedName>
    <definedName name="xczczczc" localSheetId="66">#REF!</definedName>
    <definedName name="xczczczc">#REF!</definedName>
    <definedName name="xczxzxz" localSheetId="70">#REF!,#REF!</definedName>
    <definedName name="xczxzxz" localSheetId="52">#REF!,#REF!</definedName>
    <definedName name="xczxzxz" localSheetId="58">#REF!,#REF!</definedName>
    <definedName name="xczxzxz" localSheetId="57">#REF!,#REF!</definedName>
    <definedName name="xczxzxz" localSheetId="64">#REF!,#REF!</definedName>
    <definedName name="xczxzxz" localSheetId="67">#REF!,#REF!</definedName>
    <definedName name="xczxzxz" localSheetId="65">#REF!,#REF!</definedName>
    <definedName name="xczxzxz" localSheetId="68">#REF!,#REF!</definedName>
    <definedName name="xczxzxz" localSheetId="71">#REF!,#REF!</definedName>
    <definedName name="xczxzxz" localSheetId="44">#REF!,#REF!</definedName>
    <definedName name="xczxzxz" localSheetId="45">#REF!,#REF!</definedName>
    <definedName name="xczxzxz" localSheetId="48">#REF!,#REF!</definedName>
    <definedName name="xczxzxz" localSheetId="17">#REF!,#REF!</definedName>
    <definedName name="xczxzxz" localSheetId="27">#REF!,#REF!</definedName>
    <definedName name="xczxzxz" localSheetId="72">#REF!,#REF!</definedName>
    <definedName name="xczxzxz" localSheetId="28">#REF!,#REF!</definedName>
    <definedName name="xczxzxz" localSheetId="29">#REF!,#REF!</definedName>
    <definedName name="xczxzxz" localSheetId="66">#REF!,#REF!</definedName>
    <definedName name="xczxzxz">#REF!,#REF!</definedName>
    <definedName name="xfzdsfzsf" localSheetId="70">#REF!</definedName>
    <definedName name="xfzdsfzsf" localSheetId="52">#REF!</definedName>
    <definedName name="xfzdsfzsf" localSheetId="58">#REF!</definedName>
    <definedName name="xfzdsfzsf" localSheetId="57">#REF!</definedName>
    <definedName name="xfzdsfzsf" localSheetId="64">#REF!</definedName>
    <definedName name="xfzdsfzsf" localSheetId="67">#REF!</definedName>
    <definedName name="xfzdsfzsf" localSheetId="65">#REF!</definedName>
    <definedName name="xfzdsfzsf" localSheetId="68">#REF!</definedName>
    <definedName name="xfzdsfzsf" localSheetId="71">#REF!</definedName>
    <definedName name="xfzdsfzsf" localSheetId="44">#REF!</definedName>
    <definedName name="xfzdsfzsf" localSheetId="45">#REF!</definedName>
    <definedName name="xfzdsfzsf" localSheetId="48">#REF!</definedName>
    <definedName name="xfzdsfzsf" localSheetId="17">#REF!</definedName>
    <definedName name="xfzdsfzsf" localSheetId="27">#REF!</definedName>
    <definedName name="xfzdsfzsf" localSheetId="72">#REF!</definedName>
    <definedName name="xfzdsfzsf" localSheetId="28">#REF!</definedName>
    <definedName name="xfzdsfzsf" localSheetId="29">#REF!</definedName>
    <definedName name="xfzdsfzsf" localSheetId="66">#REF!</definedName>
    <definedName name="xfzdsfzsf">#REF!</definedName>
    <definedName name="xls" localSheetId="70">#REF!</definedName>
    <definedName name="xls" localSheetId="52">#REF!</definedName>
    <definedName name="xls" localSheetId="58">#REF!</definedName>
    <definedName name="xls" localSheetId="57">#REF!</definedName>
    <definedName name="xls" localSheetId="64">#REF!</definedName>
    <definedName name="xls" localSheetId="67">#REF!</definedName>
    <definedName name="xls" localSheetId="65">#REF!</definedName>
    <definedName name="xls" localSheetId="68">#REF!</definedName>
    <definedName name="xls" localSheetId="71">#REF!</definedName>
    <definedName name="xls" localSheetId="44">#REF!</definedName>
    <definedName name="xls" localSheetId="45">#REF!</definedName>
    <definedName name="xls" localSheetId="17">#REF!</definedName>
    <definedName name="xls" localSheetId="27">#REF!</definedName>
    <definedName name="xls" localSheetId="72">#REF!</definedName>
    <definedName name="xls" localSheetId="28">#REF!</definedName>
    <definedName name="xls" localSheetId="29">#REF!</definedName>
    <definedName name="xls" localSheetId="66">#REF!</definedName>
    <definedName name="xls">#REF!</definedName>
    <definedName name="XREF_COLUMN_1" localSheetId="70" hidden="1">[72]MASTER!#REF!</definedName>
    <definedName name="XREF_COLUMN_1" localSheetId="52" hidden="1">[72]MASTER!#REF!</definedName>
    <definedName name="XREF_COLUMN_1" localSheetId="58" hidden="1">[72]MASTER!#REF!</definedName>
    <definedName name="XREF_COLUMN_1" localSheetId="57" hidden="1">[72]MASTER!#REF!</definedName>
    <definedName name="XREF_COLUMN_1" localSheetId="64" hidden="1">[72]MASTER!#REF!</definedName>
    <definedName name="XREF_COLUMN_1" localSheetId="67" hidden="1">[72]MASTER!#REF!</definedName>
    <definedName name="XREF_COLUMN_1" localSheetId="65" hidden="1">[72]MASTER!#REF!</definedName>
    <definedName name="XREF_COLUMN_1" localSheetId="68" hidden="1">[72]MASTER!#REF!</definedName>
    <definedName name="XREF_COLUMN_1" localSheetId="71" hidden="1">[72]MASTER!#REF!</definedName>
    <definedName name="XREF_COLUMN_1" localSheetId="44" hidden="1">[72]MASTER!#REF!</definedName>
    <definedName name="XREF_COLUMN_1" localSheetId="45" hidden="1">[72]MASTER!#REF!</definedName>
    <definedName name="XREF_COLUMN_1" localSheetId="17" hidden="1">[72]MASTER!#REF!</definedName>
    <definedName name="XREF_COLUMN_1" localSheetId="27" hidden="1">[72]MASTER!#REF!</definedName>
    <definedName name="XREF_COLUMN_1" localSheetId="72" hidden="1">[72]MASTER!#REF!</definedName>
    <definedName name="XREF_COLUMN_1" localSheetId="28" hidden="1">[72]MASTER!#REF!</definedName>
    <definedName name="XREF_COLUMN_1" localSheetId="29" hidden="1">[72]MASTER!#REF!</definedName>
    <definedName name="XREF_COLUMN_1" localSheetId="66" hidden="1">[72]MASTER!#REF!</definedName>
    <definedName name="XREF_COLUMN_1" hidden="1">[72]MASTER!#REF!</definedName>
    <definedName name="XREF_COLUMN_10" localSheetId="70" hidden="1">#REF!</definedName>
    <definedName name="XREF_COLUMN_10" localSheetId="52" hidden="1">#REF!</definedName>
    <definedName name="XREF_COLUMN_10" localSheetId="58" hidden="1">#REF!</definedName>
    <definedName name="XREF_COLUMN_10" localSheetId="56" hidden="1">#REF!</definedName>
    <definedName name="XREF_COLUMN_10" localSheetId="57" hidden="1">#REF!</definedName>
    <definedName name="XREF_COLUMN_10" localSheetId="64" hidden="1">#REF!</definedName>
    <definedName name="XREF_COLUMN_10" localSheetId="67" hidden="1">#REF!</definedName>
    <definedName name="XREF_COLUMN_10" localSheetId="65" hidden="1">#REF!</definedName>
    <definedName name="XREF_COLUMN_10" localSheetId="68" hidden="1">#REF!</definedName>
    <definedName name="XREF_COLUMN_10" localSheetId="71" hidden="1">#REF!</definedName>
    <definedName name="XREF_COLUMN_10" localSheetId="44" hidden="1">#REF!</definedName>
    <definedName name="XREF_COLUMN_10" localSheetId="45" hidden="1">#REF!</definedName>
    <definedName name="XREF_COLUMN_10" localSheetId="17" hidden="1">#REF!</definedName>
    <definedName name="XREF_COLUMN_10" localSheetId="27" hidden="1">#REF!</definedName>
    <definedName name="XREF_COLUMN_10" localSheetId="72" hidden="1">#REF!</definedName>
    <definedName name="XREF_COLUMN_10" localSheetId="28" hidden="1">#REF!</definedName>
    <definedName name="XREF_COLUMN_10" localSheetId="29" hidden="1">#REF!</definedName>
    <definedName name="XREF_COLUMN_10" localSheetId="66" hidden="1">#REF!</definedName>
    <definedName name="XREF_COLUMN_10" hidden="1">#REF!</definedName>
    <definedName name="XREF_COLUMN_11" localSheetId="70" hidden="1">#REF!</definedName>
    <definedName name="XREF_COLUMN_11" localSheetId="52" hidden="1">#REF!</definedName>
    <definedName name="XREF_COLUMN_11" localSheetId="58" hidden="1">#REF!</definedName>
    <definedName name="XREF_COLUMN_11" localSheetId="57" hidden="1">#REF!</definedName>
    <definedName name="XREF_COLUMN_11" localSheetId="64" hidden="1">#REF!</definedName>
    <definedName name="XREF_COLUMN_11" localSheetId="67" hidden="1">#REF!</definedName>
    <definedName name="XREF_COLUMN_11" localSheetId="65" hidden="1">#REF!</definedName>
    <definedName name="XREF_COLUMN_11" localSheetId="68" hidden="1">#REF!</definedName>
    <definedName name="XREF_COLUMN_11" localSheetId="71" hidden="1">#REF!</definedName>
    <definedName name="XREF_COLUMN_11" localSheetId="44" hidden="1">#REF!</definedName>
    <definedName name="XREF_COLUMN_11" localSheetId="45" hidden="1">#REF!</definedName>
    <definedName name="XREF_COLUMN_11" localSheetId="17" hidden="1">#REF!</definedName>
    <definedName name="XREF_COLUMN_11" localSheetId="27" hidden="1">#REF!</definedName>
    <definedName name="XREF_COLUMN_11" localSheetId="72" hidden="1">#REF!</definedName>
    <definedName name="XREF_COLUMN_11" localSheetId="28" hidden="1">#REF!</definedName>
    <definedName name="XREF_COLUMN_11" localSheetId="29" hidden="1">#REF!</definedName>
    <definedName name="XREF_COLUMN_11" localSheetId="66" hidden="1">#REF!</definedName>
    <definedName name="XREF_COLUMN_11" hidden="1">#REF!</definedName>
    <definedName name="XREF_COLUMN_14" localSheetId="70" hidden="1">#REF!</definedName>
    <definedName name="XREF_COLUMN_14" localSheetId="52" hidden="1">#REF!</definedName>
    <definedName name="XREF_COLUMN_14" localSheetId="58" hidden="1">#REF!</definedName>
    <definedName name="XREF_COLUMN_14" localSheetId="57" hidden="1">#REF!</definedName>
    <definedName name="XREF_COLUMN_14" localSheetId="64" hidden="1">#REF!</definedName>
    <definedName name="XREF_COLUMN_14" localSheetId="67" hidden="1">#REF!</definedName>
    <definedName name="XREF_COLUMN_14" localSheetId="65" hidden="1">#REF!</definedName>
    <definedName name="XREF_COLUMN_14" localSheetId="68" hidden="1">#REF!</definedName>
    <definedName name="XREF_COLUMN_14" localSheetId="71" hidden="1">#REF!</definedName>
    <definedName name="XREF_COLUMN_14" localSheetId="44" hidden="1">#REF!</definedName>
    <definedName name="XREF_COLUMN_14" localSheetId="45" hidden="1">#REF!</definedName>
    <definedName name="XREF_COLUMN_14" localSheetId="17" hidden="1">#REF!</definedName>
    <definedName name="XREF_COLUMN_14" localSheetId="27" hidden="1">#REF!</definedName>
    <definedName name="XREF_COLUMN_14" localSheetId="72" hidden="1">#REF!</definedName>
    <definedName name="XREF_COLUMN_14" localSheetId="28" hidden="1">#REF!</definedName>
    <definedName name="XREF_COLUMN_14" localSheetId="29" hidden="1">#REF!</definedName>
    <definedName name="XREF_COLUMN_14" localSheetId="66" hidden="1">#REF!</definedName>
    <definedName name="XREF_COLUMN_14" hidden="1">#REF!</definedName>
    <definedName name="XREF_COLUMN_2" localSheetId="70" hidden="1">[72]MASTER!#REF!</definedName>
    <definedName name="XREF_COLUMN_2" localSheetId="52" hidden="1">[72]MASTER!#REF!</definedName>
    <definedName name="XREF_COLUMN_2" localSheetId="58" hidden="1">[72]MASTER!#REF!</definedName>
    <definedName name="XREF_COLUMN_2" localSheetId="57" hidden="1">[72]MASTER!#REF!</definedName>
    <definedName name="XREF_COLUMN_2" localSheetId="64" hidden="1">[72]MASTER!#REF!</definedName>
    <definedName name="XREF_COLUMN_2" localSheetId="67" hidden="1">[72]MASTER!#REF!</definedName>
    <definedName name="XREF_COLUMN_2" localSheetId="65" hidden="1">[72]MASTER!#REF!</definedName>
    <definedName name="XREF_COLUMN_2" localSheetId="68" hidden="1">[72]MASTER!#REF!</definedName>
    <definedName name="XREF_COLUMN_2" localSheetId="71" hidden="1">[72]MASTER!#REF!</definedName>
    <definedName name="XREF_COLUMN_2" localSheetId="44" hidden="1">[72]MASTER!#REF!</definedName>
    <definedName name="XREF_COLUMN_2" localSheetId="45" hidden="1">[72]MASTER!#REF!</definedName>
    <definedName name="XREF_COLUMN_2" localSheetId="17" hidden="1">[72]MASTER!#REF!</definedName>
    <definedName name="XREF_COLUMN_2" localSheetId="27" hidden="1">[72]MASTER!#REF!</definedName>
    <definedName name="XREF_COLUMN_2" localSheetId="72" hidden="1">[72]MASTER!#REF!</definedName>
    <definedName name="XREF_COLUMN_2" localSheetId="28" hidden="1">[72]MASTER!#REF!</definedName>
    <definedName name="XREF_COLUMN_2" localSheetId="29" hidden="1">[72]MASTER!#REF!</definedName>
    <definedName name="XREF_COLUMN_2" localSheetId="66" hidden="1">[72]MASTER!#REF!</definedName>
    <definedName name="XREF_COLUMN_2" hidden="1">[72]MASTER!#REF!</definedName>
    <definedName name="XREF_COLUMN_4" localSheetId="70" hidden="1">#REF!</definedName>
    <definedName name="XREF_COLUMN_4" localSheetId="52" hidden="1">#REF!</definedName>
    <definedName name="XREF_COLUMN_4" localSheetId="58" hidden="1">#REF!</definedName>
    <definedName name="XREF_COLUMN_4" localSheetId="56" hidden="1">#REF!</definedName>
    <definedName name="XREF_COLUMN_4" localSheetId="57" hidden="1">#REF!</definedName>
    <definedName name="XREF_COLUMN_4" localSheetId="64" hidden="1">#REF!</definedName>
    <definedName name="XREF_COLUMN_4" localSheetId="67" hidden="1">#REF!</definedName>
    <definedName name="XREF_COLUMN_4" localSheetId="65" hidden="1">#REF!</definedName>
    <definedName name="XREF_COLUMN_4" localSheetId="68" hidden="1">#REF!</definedName>
    <definedName name="XREF_COLUMN_4" localSheetId="71" hidden="1">#REF!</definedName>
    <definedName name="XREF_COLUMN_4" localSheetId="44" hidden="1">#REF!</definedName>
    <definedName name="XREF_COLUMN_4" localSheetId="45" hidden="1">#REF!</definedName>
    <definedName name="XREF_COLUMN_4" localSheetId="17" hidden="1">#REF!</definedName>
    <definedName name="XREF_COLUMN_4" localSheetId="27" hidden="1">#REF!</definedName>
    <definedName name="XREF_COLUMN_4" localSheetId="72" hidden="1">#REF!</definedName>
    <definedName name="XREF_COLUMN_4" localSheetId="28" hidden="1">#REF!</definedName>
    <definedName name="XREF_COLUMN_4" localSheetId="29" hidden="1">#REF!</definedName>
    <definedName name="XREF_COLUMN_4" localSheetId="66" hidden="1">#REF!</definedName>
    <definedName name="XREF_COLUMN_4" hidden="1">#REF!</definedName>
    <definedName name="XREF_COLUMN_7" localSheetId="70" hidden="1">#REF!</definedName>
    <definedName name="XREF_COLUMN_7" localSheetId="52" hidden="1">#REF!</definedName>
    <definedName name="XREF_COLUMN_7" localSheetId="58" hidden="1">#REF!</definedName>
    <definedName name="XREF_COLUMN_7" localSheetId="57" hidden="1">#REF!</definedName>
    <definedName name="XREF_COLUMN_7" localSheetId="64" hidden="1">#REF!</definedName>
    <definedName name="XREF_COLUMN_7" localSheetId="67" hidden="1">#REF!</definedName>
    <definedName name="XREF_COLUMN_7" localSheetId="65" hidden="1">#REF!</definedName>
    <definedName name="XREF_COLUMN_7" localSheetId="68" hidden="1">#REF!</definedName>
    <definedName name="XREF_COLUMN_7" localSheetId="71" hidden="1">#REF!</definedName>
    <definedName name="XREF_COLUMN_7" localSheetId="44" hidden="1">#REF!</definedName>
    <definedName name="XREF_COLUMN_7" localSheetId="45" hidden="1">#REF!</definedName>
    <definedName name="XREF_COLUMN_7" localSheetId="17" hidden="1">#REF!</definedName>
    <definedName name="XREF_COLUMN_7" localSheetId="27" hidden="1">#REF!</definedName>
    <definedName name="XREF_COLUMN_7" localSheetId="72" hidden="1">#REF!</definedName>
    <definedName name="XREF_COLUMN_7" localSheetId="28" hidden="1">#REF!</definedName>
    <definedName name="XREF_COLUMN_7" localSheetId="29" hidden="1">#REF!</definedName>
    <definedName name="XREF_COLUMN_7" localSheetId="66" hidden="1">#REF!</definedName>
    <definedName name="XREF_COLUMN_7" hidden="1">#REF!</definedName>
    <definedName name="XREF_COLUMN_9" localSheetId="70" hidden="1">#REF!</definedName>
    <definedName name="XREF_COLUMN_9" localSheetId="52" hidden="1">#REF!</definedName>
    <definedName name="XREF_COLUMN_9" localSheetId="58" hidden="1">#REF!</definedName>
    <definedName name="XREF_COLUMN_9" localSheetId="57" hidden="1">#REF!</definedName>
    <definedName name="XREF_COLUMN_9" localSheetId="64" hidden="1">#REF!</definedName>
    <definedName name="XREF_COLUMN_9" localSheetId="67" hidden="1">#REF!</definedName>
    <definedName name="XREF_COLUMN_9" localSheetId="65" hidden="1">#REF!</definedName>
    <definedName name="XREF_COLUMN_9" localSheetId="68" hidden="1">#REF!</definedName>
    <definedName name="XREF_COLUMN_9" localSheetId="71" hidden="1">#REF!</definedName>
    <definedName name="XREF_COLUMN_9" localSheetId="44" hidden="1">#REF!</definedName>
    <definedName name="XREF_COLUMN_9" localSheetId="45" hidden="1">#REF!</definedName>
    <definedName name="XREF_COLUMN_9" localSheetId="17" hidden="1">#REF!</definedName>
    <definedName name="XREF_COLUMN_9" localSheetId="27" hidden="1">#REF!</definedName>
    <definedName name="XREF_COLUMN_9" localSheetId="72" hidden="1">#REF!</definedName>
    <definedName name="XREF_COLUMN_9" localSheetId="28" hidden="1">#REF!</definedName>
    <definedName name="XREF_COLUMN_9" localSheetId="29" hidden="1">#REF!</definedName>
    <definedName name="XREF_COLUMN_9" localSheetId="66" hidden="1">#REF!</definedName>
    <definedName name="XREF_COLUMN_9" hidden="1">#REF!</definedName>
    <definedName name="XRefActiveRow" localSheetId="70" hidden="1">#REF!</definedName>
    <definedName name="XRefActiveRow" localSheetId="52" hidden="1">#REF!</definedName>
    <definedName name="XRefActiveRow" localSheetId="58" hidden="1">#REF!</definedName>
    <definedName name="XRefActiveRow" localSheetId="57" hidden="1">#REF!</definedName>
    <definedName name="XRefActiveRow" localSheetId="64" hidden="1">#REF!</definedName>
    <definedName name="XRefActiveRow" localSheetId="67" hidden="1">#REF!</definedName>
    <definedName name="XRefActiveRow" localSheetId="65" hidden="1">#REF!</definedName>
    <definedName name="XRefActiveRow" localSheetId="68" hidden="1">#REF!</definedName>
    <definedName name="XRefActiveRow" localSheetId="71" hidden="1">#REF!</definedName>
    <definedName name="XRefActiveRow" localSheetId="44" hidden="1">#REF!</definedName>
    <definedName name="XRefActiveRow" localSheetId="45" hidden="1">#REF!</definedName>
    <definedName name="XRefActiveRow" localSheetId="27" hidden="1">#REF!</definedName>
    <definedName name="XRefActiveRow" localSheetId="28" hidden="1">#REF!</definedName>
    <definedName name="XRefActiveRow" localSheetId="29" hidden="1">#REF!</definedName>
    <definedName name="XRefActiveRow" localSheetId="66" hidden="1">#REF!</definedName>
    <definedName name="XRefActiveRow" hidden="1">#REF!</definedName>
    <definedName name="XRefColumnsCount" hidden="1">14</definedName>
    <definedName name="XRefCopy11" localSheetId="70" hidden="1">#REF!</definedName>
    <definedName name="XRefCopy11" localSheetId="52" hidden="1">#REF!</definedName>
    <definedName name="XRefCopy11" localSheetId="58" hidden="1">#REF!</definedName>
    <definedName name="XRefCopy11" localSheetId="56" hidden="1">#REF!</definedName>
    <definedName name="XRefCopy11" localSheetId="57" hidden="1">#REF!</definedName>
    <definedName name="XRefCopy11" localSheetId="64" hidden="1">#REF!</definedName>
    <definedName name="XRefCopy11" localSheetId="67" hidden="1">#REF!</definedName>
    <definedName name="XRefCopy11" localSheetId="65" hidden="1">#REF!</definedName>
    <definedName name="XRefCopy11" localSheetId="68" hidden="1">#REF!</definedName>
    <definedName name="XRefCopy11" localSheetId="71" hidden="1">#REF!</definedName>
    <definedName name="XRefCopy11" localSheetId="44" hidden="1">#REF!</definedName>
    <definedName name="XRefCopy11" localSheetId="45" hidden="1">#REF!</definedName>
    <definedName name="XRefCopy11" localSheetId="17" hidden="1">#REF!</definedName>
    <definedName name="XRefCopy11" localSheetId="27" hidden="1">#REF!</definedName>
    <definedName name="XRefCopy11" localSheetId="72" hidden="1">#REF!</definedName>
    <definedName name="XRefCopy11" localSheetId="28" hidden="1">#REF!</definedName>
    <definedName name="XRefCopy11" localSheetId="29" hidden="1">#REF!</definedName>
    <definedName name="XRefCopy11" localSheetId="66" hidden="1">#REF!</definedName>
    <definedName name="XRefCopy11" hidden="1">#REF!</definedName>
    <definedName name="XRefCopy12Row" localSheetId="70" hidden="1">[73]XREF!#REF!</definedName>
    <definedName name="XRefCopy12Row" localSheetId="52" hidden="1">[73]XREF!#REF!</definedName>
    <definedName name="XRefCopy12Row" localSheetId="58" hidden="1">[73]XREF!#REF!</definedName>
    <definedName name="XRefCopy12Row" localSheetId="56" hidden="1">[73]XREF!#REF!</definedName>
    <definedName name="XRefCopy12Row" localSheetId="57" hidden="1">[73]XREF!#REF!</definedName>
    <definedName name="XRefCopy12Row" localSheetId="64" hidden="1">[73]XREF!#REF!</definedName>
    <definedName name="XRefCopy12Row" localSheetId="67" hidden="1">[73]XREF!#REF!</definedName>
    <definedName name="XRefCopy12Row" localSheetId="65" hidden="1">[73]XREF!#REF!</definedName>
    <definedName name="XRefCopy12Row" localSheetId="68" hidden="1">[73]XREF!#REF!</definedName>
    <definedName name="XRefCopy12Row" localSheetId="71" hidden="1">[73]XREF!#REF!</definedName>
    <definedName name="XRefCopy12Row" localSheetId="44" hidden="1">[73]XREF!#REF!</definedName>
    <definedName name="XRefCopy12Row" localSheetId="45" hidden="1">[73]XREF!#REF!</definedName>
    <definedName name="XRefCopy12Row" localSheetId="17" hidden="1">[73]XREF!#REF!</definedName>
    <definedName name="XRefCopy12Row" localSheetId="27" hidden="1">[73]XREF!#REF!</definedName>
    <definedName name="XRefCopy12Row" localSheetId="72" hidden="1">[73]XREF!#REF!</definedName>
    <definedName name="XRefCopy12Row" localSheetId="28" hidden="1">[73]XREF!#REF!</definedName>
    <definedName name="XRefCopy12Row" localSheetId="29" hidden="1">[73]XREF!#REF!</definedName>
    <definedName name="XRefCopy12Row" localSheetId="66" hidden="1">[73]XREF!#REF!</definedName>
    <definedName name="XRefCopy12Row" hidden="1">[73]XREF!#REF!</definedName>
    <definedName name="XRefCopy14" localSheetId="70" hidden="1">#REF!</definedName>
    <definedName name="XRefCopy14" localSheetId="52" hidden="1">#REF!</definedName>
    <definedName name="XRefCopy14" localSheetId="58" hidden="1">#REF!</definedName>
    <definedName name="XRefCopy14" localSheetId="56" hidden="1">#REF!</definedName>
    <definedName name="XRefCopy14" localSheetId="57" hidden="1">#REF!</definedName>
    <definedName name="XRefCopy14" localSheetId="64" hidden="1">#REF!</definedName>
    <definedName name="XRefCopy14" localSheetId="67" hidden="1">#REF!</definedName>
    <definedName name="XRefCopy14" localSheetId="65" hidden="1">#REF!</definedName>
    <definedName name="XRefCopy14" localSheetId="68" hidden="1">#REF!</definedName>
    <definedName name="XRefCopy14" localSheetId="71" hidden="1">#REF!</definedName>
    <definedName name="XRefCopy14" localSheetId="44" hidden="1">#REF!</definedName>
    <definedName name="XRefCopy14" localSheetId="45" hidden="1">#REF!</definedName>
    <definedName name="XRefCopy14" localSheetId="17" hidden="1">#REF!</definedName>
    <definedName name="XRefCopy14" localSheetId="27" hidden="1">#REF!</definedName>
    <definedName name="XRefCopy14" localSheetId="72" hidden="1">#REF!</definedName>
    <definedName name="XRefCopy14" localSheetId="28" hidden="1">#REF!</definedName>
    <definedName name="XRefCopy14" localSheetId="29" hidden="1">#REF!</definedName>
    <definedName name="XRefCopy14" localSheetId="66" hidden="1">#REF!</definedName>
    <definedName name="XRefCopy14" hidden="1">#REF!</definedName>
    <definedName name="XRefCopy15" localSheetId="70" hidden="1">#REF!</definedName>
    <definedName name="XRefCopy15" localSheetId="52" hidden="1">#REF!</definedName>
    <definedName name="XRefCopy15" localSheetId="58" hidden="1">#REF!</definedName>
    <definedName name="XRefCopy15" localSheetId="57" hidden="1">#REF!</definedName>
    <definedName name="XRefCopy15" localSheetId="64" hidden="1">#REF!</definedName>
    <definedName name="XRefCopy15" localSheetId="67" hidden="1">#REF!</definedName>
    <definedName name="XRefCopy15" localSheetId="65" hidden="1">#REF!</definedName>
    <definedName name="XRefCopy15" localSheetId="68" hidden="1">#REF!</definedName>
    <definedName name="XRefCopy15" localSheetId="71" hidden="1">#REF!</definedName>
    <definedName name="XRefCopy15" localSheetId="44" hidden="1">#REF!</definedName>
    <definedName name="XRefCopy15" localSheetId="45" hidden="1">#REF!</definedName>
    <definedName name="XRefCopy15" localSheetId="17" hidden="1">#REF!</definedName>
    <definedName name="XRefCopy15" localSheetId="27" hidden="1">#REF!</definedName>
    <definedName name="XRefCopy15" localSheetId="72" hidden="1">#REF!</definedName>
    <definedName name="XRefCopy15" localSheetId="28" hidden="1">#REF!</definedName>
    <definedName name="XRefCopy15" localSheetId="29" hidden="1">#REF!</definedName>
    <definedName name="XRefCopy15" localSheetId="66" hidden="1">#REF!</definedName>
    <definedName name="XRefCopy15" hidden="1">#REF!</definedName>
    <definedName name="XRefCopy16" localSheetId="70" hidden="1">#REF!</definedName>
    <definedName name="XRefCopy16" localSheetId="52" hidden="1">#REF!</definedName>
    <definedName name="XRefCopy16" localSheetId="58" hidden="1">#REF!</definedName>
    <definedName name="XRefCopy16" localSheetId="57" hidden="1">#REF!</definedName>
    <definedName name="XRefCopy16" localSheetId="64" hidden="1">#REF!</definedName>
    <definedName name="XRefCopy16" localSheetId="67" hidden="1">#REF!</definedName>
    <definedName name="XRefCopy16" localSheetId="65" hidden="1">#REF!</definedName>
    <definedName name="XRefCopy16" localSheetId="68" hidden="1">#REF!</definedName>
    <definedName name="XRefCopy16" localSheetId="71" hidden="1">#REF!</definedName>
    <definedName name="XRefCopy16" localSheetId="44" hidden="1">#REF!</definedName>
    <definedName name="XRefCopy16" localSheetId="45" hidden="1">#REF!</definedName>
    <definedName name="XRefCopy16" localSheetId="17" hidden="1">#REF!</definedName>
    <definedName name="XRefCopy16" localSheetId="27" hidden="1">#REF!</definedName>
    <definedName name="XRefCopy16" localSheetId="72" hidden="1">#REF!</definedName>
    <definedName name="XRefCopy16" localSheetId="28" hidden="1">#REF!</definedName>
    <definedName name="XRefCopy16" localSheetId="29" hidden="1">#REF!</definedName>
    <definedName name="XRefCopy16" localSheetId="66" hidden="1">#REF!</definedName>
    <definedName name="XRefCopy16" hidden="1">#REF!</definedName>
    <definedName name="XRefCopy16Row" localSheetId="70" hidden="1">#REF!</definedName>
    <definedName name="XRefCopy16Row" localSheetId="52" hidden="1">#REF!</definedName>
    <definedName name="XRefCopy16Row" localSheetId="58" hidden="1">#REF!</definedName>
    <definedName name="XRefCopy16Row" localSheetId="57" hidden="1">#REF!</definedName>
    <definedName name="XRefCopy16Row" localSheetId="64" hidden="1">#REF!</definedName>
    <definedName name="XRefCopy16Row" localSheetId="67" hidden="1">#REF!</definedName>
    <definedName name="XRefCopy16Row" localSheetId="65" hidden="1">#REF!</definedName>
    <definedName name="XRefCopy16Row" localSheetId="68" hidden="1">#REF!</definedName>
    <definedName name="XRefCopy16Row" localSheetId="71" hidden="1">#REF!</definedName>
    <definedName name="XRefCopy16Row" localSheetId="44" hidden="1">#REF!</definedName>
    <definedName name="XRefCopy16Row" localSheetId="45" hidden="1">#REF!</definedName>
    <definedName name="XRefCopy16Row" localSheetId="27" hidden="1">#REF!</definedName>
    <definedName name="XRefCopy16Row" localSheetId="28" hidden="1">#REF!</definedName>
    <definedName name="XRefCopy16Row" localSheetId="29" hidden="1">#REF!</definedName>
    <definedName name="XRefCopy16Row" localSheetId="66" hidden="1">#REF!</definedName>
    <definedName name="XRefCopy16Row" hidden="1">#REF!</definedName>
    <definedName name="XRefCopy17" localSheetId="70" hidden="1">#REF!</definedName>
    <definedName name="XRefCopy17" localSheetId="52" hidden="1">#REF!</definedName>
    <definedName name="XRefCopy17" localSheetId="58" hidden="1">#REF!</definedName>
    <definedName name="XRefCopy17" localSheetId="57" hidden="1">#REF!</definedName>
    <definedName name="XRefCopy17" localSheetId="64" hidden="1">#REF!</definedName>
    <definedName name="XRefCopy17" localSheetId="67" hidden="1">#REF!</definedName>
    <definedName name="XRefCopy17" localSheetId="65" hidden="1">#REF!</definedName>
    <definedName name="XRefCopy17" localSheetId="68" hidden="1">#REF!</definedName>
    <definedName name="XRefCopy17" localSheetId="71" hidden="1">#REF!</definedName>
    <definedName name="XRefCopy17" localSheetId="44" hidden="1">#REF!</definedName>
    <definedName name="XRefCopy17" localSheetId="45" hidden="1">#REF!</definedName>
    <definedName name="XRefCopy17" localSheetId="27" hidden="1">#REF!</definedName>
    <definedName name="XRefCopy17" localSheetId="28" hidden="1">#REF!</definedName>
    <definedName name="XRefCopy17" localSheetId="29" hidden="1">#REF!</definedName>
    <definedName name="XRefCopy17" localSheetId="66" hidden="1">#REF!</definedName>
    <definedName name="XRefCopy17" hidden="1">#REF!</definedName>
    <definedName name="XRefCopy17Row" localSheetId="70" hidden="1">#REF!</definedName>
    <definedName name="XRefCopy17Row" localSheetId="52" hidden="1">#REF!</definedName>
    <definedName name="XRefCopy17Row" localSheetId="58" hidden="1">#REF!</definedName>
    <definedName name="XRefCopy17Row" localSheetId="57" hidden="1">#REF!</definedName>
    <definedName name="XRefCopy17Row" localSheetId="64" hidden="1">#REF!</definedName>
    <definedName name="XRefCopy17Row" localSheetId="67" hidden="1">#REF!</definedName>
    <definedName name="XRefCopy17Row" localSheetId="65" hidden="1">#REF!</definedName>
    <definedName name="XRefCopy17Row" localSheetId="68" hidden="1">#REF!</definedName>
    <definedName name="XRefCopy17Row" localSheetId="71" hidden="1">#REF!</definedName>
    <definedName name="XRefCopy17Row" localSheetId="44" hidden="1">#REF!</definedName>
    <definedName name="XRefCopy17Row" localSheetId="45" hidden="1">#REF!</definedName>
    <definedName name="XRefCopy17Row" localSheetId="27" hidden="1">#REF!</definedName>
    <definedName name="XRefCopy17Row" localSheetId="28" hidden="1">#REF!</definedName>
    <definedName name="XRefCopy17Row" localSheetId="29" hidden="1">#REF!</definedName>
    <definedName name="XRefCopy17Row" localSheetId="66" hidden="1">#REF!</definedName>
    <definedName name="XRefCopy17Row" hidden="1">#REF!</definedName>
    <definedName name="XRefCopy18Row" localSheetId="70" hidden="1">#REF!</definedName>
    <definedName name="XRefCopy18Row" localSheetId="52" hidden="1">#REF!</definedName>
    <definedName name="XRefCopy18Row" localSheetId="58" hidden="1">#REF!</definedName>
    <definedName name="XRefCopy18Row" localSheetId="57" hidden="1">#REF!</definedName>
    <definedName name="XRefCopy18Row" localSheetId="64" hidden="1">#REF!</definedName>
    <definedName name="XRefCopy18Row" localSheetId="67" hidden="1">#REF!</definedName>
    <definedName name="XRefCopy18Row" localSheetId="65" hidden="1">#REF!</definedName>
    <definedName name="XRefCopy18Row" localSheetId="68" hidden="1">#REF!</definedName>
    <definedName name="XRefCopy18Row" localSheetId="71" hidden="1">#REF!</definedName>
    <definedName name="XRefCopy18Row" localSheetId="44" hidden="1">#REF!</definedName>
    <definedName name="XRefCopy18Row" localSheetId="45" hidden="1">#REF!</definedName>
    <definedName name="XRefCopy18Row" localSheetId="27" hidden="1">#REF!</definedName>
    <definedName name="XRefCopy18Row" localSheetId="28" hidden="1">#REF!</definedName>
    <definedName name="XRefCopy18Row" localSheetId="29" hidden="1">#REF!</definedName>
    <definedName name="XRefCopy18Row" localSheetId="66" hidden="1">#REF!</definedName>
    <definedName name="XRefCopy18Row" hidden="1">#REF!</definedName>
    <definedName name="XRefCopy19Row" localSheetId="70" hidden="1">#REF!</definedName>
    <definedName name="XRefCopy19Row" localSheetId="52" hidden="1">#REF!</definedName>
    <definedName name="XRefCopy19Row" localSheetId="58" hidden="1">#REF!</definedName>
    <definedName name="XRefCopy19Row" localSheetId="57" hidden="1">#REF!</definedName>
    <definedName name="XRefCopy19Row" localSheetId="64" hidden="1">#REF!</definedName>
    <definedName name="XRefCopy19Row" localSheetId="67" hidden="1">#REF!</definedName>
    <definedName name="XRefCopy19Row" localSheetId="65" hidden="1">#REF!</definedName>
    <definedName name="XRefCopy19Row" localSheetId="68" hidden="1">#REF!</definedName>
    <definedName name="XRefCopy19Row" localSheetId="71" hidden="1">#REF!</definedName>
    <definedName name="XRefCopy19Row" localSheetId="44" hidden="1">#REF!</definedName>
    <definedName name="XRefCopy19Row" localSheetId="45" hidden="1">#REF!</definedName>
    <definedName name="XRefCopy19Row" localSheetId="27" hidden="1">#REF!</definedName>
    <definedName name="XRefCopy19Row" localSheetId="28" hidden="1">#REF!</definedName>
    <definedName name="XRefCopy19Row" localSheetId="29" hidden="1">#REF!</definedName>
    <definedName name="XRefCopy19Row" localSheetId="66" hidden="1">#REF!</definedName>
    <definedName name="XRefCopy19Row" hidden="1">#REF!</definedName>
    <definedName name="XRefCopy1Row" localSheetId="70" hidden="1">#REF!</definedName>
    <definedName name="XRefCopy1Row" localSheetId="52" hidden="1">#REF!</definedName>
    <definedName name="XRefCopy1Row" localSheetId="58" hidden="1">#REF!</definedName>
    <definedName name="XRefCopy1Row" localSheetId="57" hidden="1">#REF!</definedName>
    <definedName name="XRefCopy1Row" localSheetId="64" hidden="1">#REF!</definedName>
    <definedName name="XRefCopy1Row" localSheetId="67" hidden="1">#REF!</definedName>
    <definedName name="XRefCopy1Row" localSheetId="65" hidden="1">#REF!</definedName>
    <definedName name="XRefCopy1Row" localSheetId="68" hidden="1">#REF!</definedName>
    <definedName name="XRefCopy1Row" localSheetId="71" hidden="1">#REF!</definedName>
    <definedName name="XRefCopy1Row" localSheetId="44" hidden="1">#REF!</definedName>
    <definedName name="XRefCopy1Row" localSheetId="45" hidden="1">#REF!</definedName>
    <definedName name="XRefCopy1Row" localSheetId="27" hidden="1">#REF!</definedName>
    <definedName name="XRefCopy1Row" localSheetId="28" hidden="1">#REF!</definedName>
    <definedName name="XRefCopy1Row" localSheetId="29" hidden="1">#REF!</definedName>
    <definedName name="XRefCopy1Row" localSheetId="66" hidden="1">#REF!</definedName>
    <definedName name="XRefCopy1Row" hidden="1">#REF!</definedName>
    <definedName name="XRefCopy2" localSheetId="70" hidden="1">#REF!</definedName>
    <definedName name="XRefCopy2" localSheetId="52" hidden="1">#REF!</definedName>
    <definedName name="XRefCopy2" localSheetId="58" hidden="1">#REF!</definedName>
    <definedName name="XRefCopy2" localSheetId="57" hidden="1">#REF!</definedName>
    <definedName name="XRefCopy2" localSheetId="64" hidden="1">#REF!</definedName>
    <definedName name="XRefCopy2" localSheetId="67" hidden="1">#REF!</definedName>
    <definedName name="XRefCopy2" localSheetId="65" hidden="1">#REF!</definedName>
    <definedName name="XRefCopy2" localSheetId="68" hidden="1">#REF!</definedName>
    <definedName name="XRefCopy2" localSheetId="71" hidden="1">#REF!</definedName>
    <definedName name="XRefCopy2" localSheetId="44" hidden="1">#REF!</definedName>
    <definedName name="XRefCopy2" localSheetId="45" hidden="1">#REF!</definedName>
    <definedName name="XRefCopy2" localSheetId="27" hidden="1">#REF!</definedName>
    <definedName name="XRefCopy2" localSheetId="28" hidden="1">#REF!</definedName>
    <definedName name="XRefCopy2" localSheetId="29" hidden="1">#REF!</definedName>
    <definedName name="XRefCopy2" localSheetId="66" hidden="1">#REF!</definedName>
    <definedName name="XRefCopy2" hidden="1">#REF!</definedName>
    <definedName name="XRefCopy20" localSheetId="70" hidden="1">#REF!</definedName>
    <definedName name="XRefCopy20" localSheetId="52" hidden="1">#REF!</definedName>
    <definedName name="XRefCopy20" localSheetId="58" hidden="1">#REF!</definedName>
    <definedName name="XRefCopy20" localSheetId="57" hidden="1">#REF!</definedName>
    <definedName name="XRefCopy20" localSheetId="64" hidden="1">#REF!</definedName>
    <definedName name="XRefCopy20" localSheetId="67" hidden="1">#REF!</definedName>
    <definedName name="XRefCopy20" localSheetId="65" hidden="1">#REF!</definedName>
    <definedName name="XRefCopy20" localSheetId="68" hidden="1">#REF!</definedName>
    <definedName name="XRefCopy20" localSheetId="71" hidden="1">#REF!</definedName>
    <definedName name="XRefCopy20" localSheetId="44" hidden="1">#REF!</definedName>
    <definedName name="XRefCopy20" localSheetId="45" hidden="1">#REF!</definedName>
    <definedName name="XRefCopy20" localSheetId="27" hidden="1">#REF!</definedName>
    <definedName name="XRefCopy20" localSheetId="28" hidden="1">#REF!</definedName>
    <definedName name="XRefCopy20" localSheetId="29" hidden="1">#REF!</definedName>
    <definedName name="XRefCopy20" localSheetId="66" hidden="1">#REF!</definedName>
    <definedName name="XRefCopy20" hidden="1">#REF!</definedName>
    <definedName name="XRefCopy20Row" localSheetId="70" hidden="1">#REF!</definedName>
    <definedName name="XRefCopy20Row" localSheetId="52" hidden="1">#REF!</definedName>
    <definedName name="XRefCopy20Row" localSheetId="58" hidden="1">#REF!</definedName>
    <definedName name="XRefCopy20Row" localSheetId="57" hidden="1">#REF!</definedName>
    <definedName name="XRefCopy20Row" localSheetId="64" hidden="1">#REF!</definedName>
    <definedName name="XRefCopy20Row" localSheetId="67" hidden="1">#REF!</definedName>
    <definedName name="XRefCopy20Row" localSheetId="65" hidden="1">#REF!</definedName>
    <definedName name="XRefCopy20Row" localSheetId="68" hidden="1">#REF!</definedName>
    <definedName name="XRefCopy20Row" localSheetId="71" hidden="1">#REF!</definedName>
    <definedName name="XRefCopy20Row" localSheetId="44" hidden="1">#REF!</definedName>
    <definedName name="XRefCopy20Row" localSheetId="45" hidden="1">#REF!</definedName>
    <definedName name="XRefCopy20Row" localSheetId="27" hidden="1">#REF!</definedName>
    <definedName name="XRefCopy20Row" localSheetId="28" hidden="1">#REF!</definedName>
    <definedName name="XRefCopy20Row" localSheetId="29" hidden="1">#REF!</definedName>
    <definedName name="XRefCopy20Row" localSheetId="66" hidden="1">#REF!</definedName>
    <definedName name="XRefCopy20Row" hidden="1">#REF!</definedName>
    <definedName name="XRefCopy21Row" localSheetId="70" hidden="1">#REF!</definedName>
    <definedName name="XRefCopy21Row" localSheetId="52" hidden="1">#REF!</definedName>
    <definedName name="XRefCopy21Row" localSheetId="58" hidden="1">#REF!</definedName>
    <definedName name="XRefCopy21Row" localSheetId="57" hidden="1">#REF!</definedName>
    <definedName name="XRefCopy21Row" localSheetId="64" hidden="1">#REF!</definedName>
    <definedName name="XRefCopy21Row" localSheetId="67" hidden="1">#REF!</definedName>
    <definedName name="XRefCopy21Row" localSheetId="65" hidden="1">#REF!</definedName>
    <definedName name="XRefCopy21Row" localSheetId="68" hidden="1">#REF!</definedName>
    <definedName name="XRefCopy21Row" localSheetId="71" hidden="1">#REF!</definedName>
    <definedName name="XRefCopy21Row" localSheetId="44" hidden="1">#REF!</definedName>
    <definedName name="XRefCopy21Row" localSheetId="45" hidden="1">#REF!</definedName>
    <definedName name="XRefCopy21Row" localSheetId="27" hidden="1">#REF!</definedName>
    <definedName name="XRefCopy21Row" localSheetId="28" hidden="1">#REF!</definedName>
    <definedName name="XRefCopy21Row" localSheetId="29" hidden="1">#REF!</definedName>
    <definedName name="XRefCopy21Row" localSheetId="66" hidden="1">#REF!</definedName>
    <definedName name="XRefCopy21Row" hidden="1">#REF!</definedName>
    <definedName name="XRefCopy2Row" localSheetId="70" hidden="1">#REF!</definedName>
    <definedName name="XRefCopy2Row" localSheetId="52" hidden="1">#REF!</definedName>
    <definedName name="XRefCopy2Row" localSheetId="58" hidden="1">#REF!</definedName>
    <definedName name="XRefCopy2Row" localSheetId="57" hidden="1">#REF!</definedName>
    <definedName name="XRefCopy2Row" localSheetId="64" hidden="1">#REF!</definedName>
    <definedName name="XRefCopy2Row" localSheetId="67" hidden="1">#REF!</definedName>
    <definedName name="XRefCopy2Row" localSheetId="65" hidden="1">#REF!</definedName>
    <definedName name="XRefCopy2Row" localSheetId="68" hidden="1">#REF!</definedName>
    <definedName name="XRefCopy2Row" localSheetId="71" hidden="1">#REF!</definedName>
    <definedName name="XRefCopy2Row" localSheetId="44" hidden="1">#REF!</definedName>
    <definedName name="XRefCopy2Row" localSheetId="45" hidden="1">#REF!</definedName>
    <definedName name="XRefCopy2Row" localSheetId="27" hidden="1">#REF!</definedName>
    <definedName name="XRefCopy2Row" localSheetId="28" hidden="1">#REF!</definedName>
    <definedName name="XRefCopy2Row" localSheetId="29" hidden="1">#REF!</definedName>
    <definedName name="XRefCopy2Row" localSheetId="66" hidden="1">#REF!</definedName>
    <definedName name="XRefCopy2Row" hidden="1">#REF!</definedName>
    <definedName name="XRefCopy3" localSheetId="70" hidden="1">#REF!</definedName>
    <definedName name="XRefCopy3" localSheetId="52" hidden="1">#REF!</definedName>
    <definedName name="XRefCopy3" localSheetId="58" hidden="1">#REF!</definedName>
    <definedName name="XRefCopy3" localSheetId="57" hidden="1">#REF!</definedName>
    <definedName name="XRefCopy3" localSheetId="64" hidden="1">#REF!</definedName>
    <definedName name="XRefCopy3" localSheetId="67" hidden="1">#REF!</definedName>
    <definedName name="XRefCopy3" localSheetId="65" hidden="1">#REF!</definedName>
    <definedName name="XRefCopy3" localSheetId="68" hidden="1">#REF!</definedName>
    <definedName name="XRefCopy3" localSheetId="71" hidden="1">#REF!</definedName>
    <definedName name="XRefCopy3" localSheetId="44" hidden="1">#REF!</definedName>
    <definedName name="XRefCopy3" localSheetId="45" hidden="1">#REF!</definedName>
    <definedName name="XRefCopy3" localSheetId="27" hidden="1">#REF!</definedName>
    <definedName name="XRefCopy3" localSheetId="28" hidden="1">#REF!</definedName>
    <definedName name="XRefCopy3" localSheetId="29" hidden="1">#REF!</definedName>
    <definedName name="XRefCopy3" localSheetId="66" hidden="1">#REF!</definedName>
    <definedName name="XRefCopy3" hidden="1">#REF!</definedName>
    <definedName name="XRefCopy3Row" localSheetId="70" hidden="1">#REF!</definedName>
    <definedName name="XRefCopy3Row" localSheetId="52" hidden="1">#REF!</definedName>
    <definedName name="XRefCopy3Row" localSheetId="58" hidden="1">#REF!</definedName>
    <definedName name="XRefCopy3Row" localSheetId="57" hidden="1">#REF!</definedName>
    <definedName name="XRefCopy3Row" localSheetId="64" hidden="1">#REF!</definedName>
    <definedName name="XRefCopy3Row" localSheetId="67" hidden="1">#REF!</definedName>
    <definedName name="XRefCopy3Row" localSheetId="65" hidden="1">#REF!</definedName>
    <definedName name="XRefCopy3Row" localSheetId="68" hidden="1">#REF!</definedName>
    <definedName name="XRefCopy3Row" localSheetId="71" hidden="1">#REF!</definedName>
    <definedName name="XRefCopy3Row" localSheetId="44" hidden="1">#REF!</definedName>
    <definedName name="XRefCopy3Row" localSheetId="45" hidden="1">#REF!</definedName>
    <definedName name="XRefCopy3Row" localSheetId="27" hidden="1">#REF!</definedName>
    <definedName name="XRefCopy3Row" localSheetId="28" hidden="1">#REF!</definedName>
    <definedName name="XRefCopy3Row" localSheetId="29" hidden="1">#REF!</definedName>
    <definedName name="XRefCopy3Row" localSheetId="66" hidden="1">#REF!</definedName>
    <definedName name="XRefCopy3Row" hidden="1">#REF!</definedName>
    <definedName name="XRefCopy4Row" localSheetId="70" hidden="1">#REF!</definedName>
    <definedName name="XRefCopy4Row" localSheetId="52" hidden="1">#REF!</definedName>
    <definedName name="XRefCopy4Row" localSheetId="58" hidden="1">#REF!</definedName>
    <definedName name="XRefCopy4Row" localSheetId="57" hidden="1">#REF!</definedName>
    <definedName name="XRefCopy4Row" localSheetId="64" hidden="1">#REF!</definedName>
    <definedName name="XRefCopy4Row" localSheetId="67" hidden="1">#REF!</definedName>
    <definedName name="XRefCopy4Row" localSheetId="65" hidden="1">#REF!</definedName>
    <definedName name="XRefCopy4Row" localSheetId="68" hidden="1">#REF!</definedName>
    <definedName name="XRefCopy4Row" localSheetId="71" hidden="1">#REF!</definedName>
    <definedName name="XRefCopy4Row" localSheetId="44" hidden="1">#REF!</definedName>
    <definedName name="XRefCopy4Row" localSheetId="45" hidden="1">#REF!</definedName>
    <definedName name="XRefCopy4Row" localSheetId="27" hidden="1">#REF!</definedName>
    <definedName name="XRefCopy4Row" localSheetId="28" hidden="1">#REF!</definedName>
    <definedName name="XRefCopy4Row" localSheetId="29" hidden="1">#REF!</definedName>
    <definedName name="XRefCopy4Row" localSheetId="66" hidden="1">#REF!</definedName>
    <definedName name="XRefCopy4Row" hidden="1">#REF!</definedName>
    <definedName name="XRefCopy5Row" localSheetId="70" hidden="1">#REF!</definedName>
    <definedName name="XRefCopy5Row" localSheetId="52" hidden="1">#REF!</definedName>
    <definedName name="XRefCopy5Row" localSheetId="58" hidden="1">#REF!</definedName>
    <definedName name="XRefCopy5Row" localSheetId="57" hidden="1">#REF!</definedName>
    <definedName name="XRefCopy5Row" localSheetId="64" hidden="1">#REF!</definedName>
    <definedName name="XRefCopy5Row" localSheetId="67" hidden="1">#REF!</definedName>
    <definedName name="XRefCopy5Row" localSheetId="65" hidden="1">#REF!</definedName>
    <definedName name="XRefCopy5Row" localSheetId="68" hidden="1">#REF!</definedName>
    <definedName name="XRefCopy5Row" localSheetId="71" hidden="1">#REF!</definedName>
    <definedName name="XRefCopy5Row" localSheetId="44" hidden="1">#REF!</definedName>
    <definedName name="XRefCopy5Row" localSheetId="45" hidden="1">#REF!</definedName>
    <definedName name="XRefCopy5Row" localSheetId="27" hidden="1">#REF!</definedName>
    <definedName name="XRefCopy5Row" localSheetId="28" hidden="1">#REF!</definedName>
    <definedName name="XRefCopy5Row" localSheetId="29" hidden="1">#REF!</definedName>
    <definedName name="XRefCopy5Row" localSheetId="66" hidden="1">#REF!</definedName>
    <definedName name="XRefCopy5Row" hidden="1">#REF!</definedName>
    <definedName name="XRefCopyRangeCount" hidden="1">21</definedName>
    <definedName name="XRefPaste10Row" localSheetId="70" hidden="1">[73]XREF!#REF!</definedName>
    <definedName name="XRefPaste10Row" localSheetId="52" hidden="1">[73]XREF!#REF!</definedName>
    <definedName name="XRefPaste10Row" localSheetId="58" hidden="1">[73]XREF!#REF!</definedName>
    <definedName name="XRefPaste10Row" localSheetId="57" hidden="1">[73]XREF!#REF!</definedName>
    <definedName name="XRefPaste10Row" localSheetId="64" hidden="1">[73]XREF!#REF!</definedName>
    <definedName name="XRefPaste10Row" localSheetId="67" hidden="1">[73]XREF!#REF!</definedName>
    <definedName name="XRefPaste10Row" localSheetId="65" hidden="1">[73]XREF!#REF!</definedName>
    <definedName name="XRefPaste10Row" localSheetId="68" hidden="1">[73]XREF!#REF!</definedName>
    <definedName name="XRefPaste10Row" localSheetId="71" hidden="1">[73]XREF!#REF!</definedName>
    <definedName name="XRefPaste10Row" localSheetId="44" hidden="1">[73]XREF!#REF!</definedName>
    <definedName name="XRefPaste10Row" localSheetId="45" hidden="1">[73]XREF!#REF!</definedName>
    <definedName name="XRefPaste10Row" localSheetId="27" hidden="1">[73]XREF!#REF!</definedName>
    <definedName name="XRefPaste10Row" localSheetId="28" hidden="1">[73]XREF!#REF!</definedName>
    <definedName name="XRefPaste10Row" localSheetId="29" hidden="1">[73]XREF!#REF!</definedName>
    <definedName name="XRefPaste10Row" localSheetId="66" hidden="1">[73]XREF!#REF!</definedName>
    <definedName name="XRefPaste10Row" hidden="1">[73]XREF!#REF!</definedName>
    <definedName name="XRefPaste12" localSheetId="70" hidden="1">#REF!</definedName>
    <definedName name="XRefPaste12" localSheetId="52" hidden="1">#REF!</definedName>
    <definedName name="XRefPaste12" localSheetId="58" hidden="1">#REF!</definedName>
    <definedName name="XRefPaste12" localSheetId="56" hidden="1">#REF!</definedName>
    <definedName name="XRefPaste12" localSheetId="57" hidden="1">#REF!</definedName>
    <definedName name="XRefPaste12" localSheetId="64" hidden="1">#REF!</definedName>
    <definedName name="XRefPaste12" localSheetId="67" hidden="1">#REF!</definedName>
    <definedName name="XRefPaste12" localSheetId="65" hidden="1">#REF!</definedName>
    <definedName name="XRefPaste12" localSheetId="68" hidden="1">#REF!</definedName>
    <definedName name="XRefPaste12" localSheetId="71" hidden="1">#REF!</definedName>
    <definedName name="XRefPaste12" localSheetId="44" hidden="1">#REF!</definedName>
    <definedName name="XRefPaste12" localSheetId="45" hidden="1">#REF!</definedName>
    <definedName name="XRefPaste12" localSheetId="17" hidden="1">#REF!</definedName>
    <definedName name="XRefPaste12" localSheetId="27" hidden="1">#REF!</definedName>
    <definedName name="XRefPaste12" localSheetId="72" hidden="1">#REF!</definedName>
    <definedName name="XRefPaste12" localSheetId="28" hidden="1">#REF!</definedName>
    <definedName name="XRefPaste12" localSheetId="29" hidden="1">#REF!</definedName>
    <definedName name="XRefPaste12" localSheetId="66" hidden="1">#REF!</definedName>
    <definedName name="XRefPaste12" hidden="1">#REF!</definedName>
    <definedName name="XRefPaste12Row" localSheetId="70" hidden="1">#REF!</definedName>
    <definedName name="XRefPaste12Row" localSheetId="52" hidden="1">#REF!</definedName>
    <definedName name="XRefPaste12Row" localSheetId="58" hidden="1">#REF!</definedName>
    <definedName name="XRefPaste12Row" localSheetId="57" hidden="1">#REF!</definedName>
    <definedName name="XRefPaste12Row" localSheetId="64" hidden="1">#REF!</definedName>
    <definedName name="XRefPaste12Row" localSheetId="67" hidden="1">#REF!</definedName>
    <definedName name="XRefPaste12Row" localSheetId="65" hidden="1">#REF!</definedName>
    <definedName name="XRefPaste12Row" localSheetId="68" hidden="1">#REF!</definedName>
    <definedName name="XRefPaste12Row" localSheetId="71" hidden="1">#REF!</definedName>
    <definedName name="XRefPaste12Row" localSheetId="44" hidden="1">#REF!</definedName>
    <definedName name="XRefPaste12Row" localSheetId="45" hidden="1">#REF!</definedName>
    <definedName name="XRefPaste12Row" localSheetId="17" hidden="1">#REF!</definedName>
    <definedName name="XRefPaste12Row" localSheetId="27" hidden="1">#REF!</definedName>
    <definedName name="XRefPaste12Row" localSheetId="72" hidden="1">#REF!</definedName>
    <definedName name="XRefPaste12Row" localSheetId="28" hidden="1">#REF!</definedName>
    <definedName name="XRefPaste12Row" localSheetId="29" hidden="1">#REF!</definedName>
    <definedName name="XRefPaste12Row" localSheetId="66" hidden="1">#REF!</definedName>
    <definedName name="XRefPaste12Row" hidden="1">#REF!</definedName>
    <definedName name="XRefPaste13" localSheetId="70" hidden="1">#REF!</definedName>
    <definedName name="XRefPaste13" localSheetId="52" hidden="1">#REF!</definedName>
    <definedName name="XRefPaste13" localSheetId="58" hidden="1">#REF!</definedName>
    <definedName name="XRefPaste13" localSheetId="57" hidden="1">#REF!</definedName>
    <definedName name="XRefPaste13" localSheetId="64" hidden="1">#REF!</definedName>
    <definedName name="XRefPaste13" localSheetId="67" hidden="1">#REF!</definedName>
    <definedName name="XRefPaste13" localSheetId="65" hidden="1">#REF!</definedName>
    <definedName name="XRefPaste13" localSheetId="68" hidden="1">#REF!</definedName>
    <definedName name="XRefPaste13" localSheetId="71" hidden="1">#REF!</definedName>
    <definedName name="XRefPaste13" localSheetId="44" hidden="1">#REF!</definedName>
    <definedName name="XRefPaste13" localSheetId="45" hidden="1">#REF!</definedName>
    <definedName name="XRefPaste13" localSheetId="17" hidden="1">#REF!</definedName>
    <definedName name="XRefPaste13" localSheetId="27" hidden="1">#REF!</definedName>
    <definedName name="XRefPaste13" localSheetId="72" hidden="1">#REF!</definedName>
    <definedName name="XRefPaste13" localSheetId="28" hidden="1">#REF!</definedName>
    <definedName name="XRefPaste13" localSheetId="29" hidden="1">#REF!</definedName>
    <definedName name="XRefPaste13" localSheetId="66" hidden="1">#REF!</definedName>
    <definedName name="XRefPaste13" hidden="1">#REF!</definedName>
    <definedName name="XRefPaste13Row" localSheetId="70" hidden="1">#REF!</definedName>
    <definedName name="XRefPaste13Row" localSheetId="52" hidden="1">#REF!</definedName>
    <definedName name="XRefPaste13Row" localSheetId="58" hidden="1">#REF!</definedName>
    <definedName name="XRefPaste13Row" localSheetId="57" hidden="1">#REF!</definedName>
    <definedName name="XRefPaste13Row" localSheetId="64" hidden="1">#REF!</definedName>
    <definedName name="XRefPaste13Row" localSheetId="67" hidden="1">#REF!</definedName>
    <definedName name="XRefPaste13Row" localSheetId="65" hidden="1">#REF!</definedName>
    <definedName name="XRefPaste13Row" localSheetId="68" hidden="1">#REF!</definedName>
    <definedName name="XRefPaste13Row" localSheetId="71" hidden="1">#REF!</definedName>
    <definedName name="XRefPaste13Row" localSheetId="44" hidden="1">#REF!</definedName>
    <definedName name="XRefPaste13Row" localSheetId="45" hidden="1">#REF!</definedName>
    <definedName name="XRefPaste13Row" localSheetId="27" hidden="1">#REF!</definedName>
    <definedName name="XRefPaste13Row" localSheetId="28" hidden="1">#REF!</definedName>
    <definedName name="XRefPaste13Row" localSheetId="29" hidden="1">#REF!</definedName>
    <definedName name="XRefPaste13Row" localSheetId="66" hidden="1">#REF!</definedName>
    <definedName name="XRefPaste13Row" hidden="1">#REF!</definedName>
    <definedName name="XRefPaste14" localSheetId="70" hidden="1">#REF!</definedName>
    <definedName name="XRefPaste14" localSheetId="52" hidden="1">#REF!</definedName>
    <definedName name="XRefPaste14" localSheetId="58" hidden="1">#REF!</definedName>
    <definedName name="XRefPaste14" localSheetId="57" hidden="1">#REF!</definedName>
    <definedName name="XRefPaste14" localSheetId="64" hidden="1">#REF!</definedName>
    <definedName name="XRefPaste14" localSheetId="67" hidden="1">#REF!</definedName>
    <definedName name="XRefPaste14" localSheetId="65" hidden="1">#REF!</definedName>
    <definedName name="XRefPaste14" localSheetId="68" hidden="1">#REF!</definedName>
    <definedName name="XRefPaste14" localSheetId="71" hidden="1">#REF!</definedName>
    <definedName name="XRefPaste14" localSheetId="44" hidden="1">#REF!</definedName>
    <definedName name="XRefPaste14" localSheetId="45" hidden="1">#REF!</definedName>
    <definedName name="XRefPaste14" localSheetId="27" hidden="1">#REF!</definedName>
    <definedName name="XRefPaste14" localSheetId="28" hidden="1">#REF!</definedName>
    <definedName name="XRefPaste14" localSheetId="29" hidden="1">#REF!</definedName>
    <definedName name="XRefPaste14" localSheetId="66" hidden="1">#REF!</definedName>
    <definedName name="XRefPaste14" hidden="1">#REF!</definedName>
    <definedName name="XRefPaste14Row" localSheetId="70" hidden="1">#REF!</definedName>
    <definedName name="XRefPaste14Row" localSheetId="52" hidden="1">#REF!</definedName>
    <definedName name="XRefPaste14Row" localSheetId="58" hidden="1">#REF!</definedName>
    <definedName name="XRefPaste14Row" localSheetId="57" hidden="1">#REF!</definedName>
    <definedName name="XRefPaste14Row" localSheetId="64" hidden="1">#REF!</definedName>
    <definedName name="XRefPaste14Row" localSheetId="67" hidden="1">#REF!</definedName>
    <definedName name="XRefPaste14Row" localSheetId="65" hidden="1">#REF!</definedName>
    <definedName name="XRefPaste14Row" localSheetId="68" hidden="1">#REF!</definedName>
    <definedName name="XRefPaste14Row" localSheetId="71" hidden="1">#REF!</definedName>
    <definedName name="XRefPaste14Row" localSheetId="44" hidden="1">#REF!</definedName>
    <definedName name="XRefPaste14Row" localSheetId="45" hidden="1">#REF!</definedName>
    <definedName name="XRefPaste14Row" localSheetId="27" hidden="1">#REF!</definedName>
    <definedName name="XRefPaste14Row" localSheetId="28" hidden="1">#REF!</definedName>
    <definedName name="XRefPaste14Row" localSheetId="29" hidden="1">#REF!</definedName>
    <definedName name="XRefPaste14Row" localSheetId="66" hidden="1">#REF!</definedName>
    <definedName name="XRefPaste14Row" hidden="1">#REF!</definedName>
    <definedName name="XRefPaste15" localSheetId="70" hidden="1">#REF!</definedName>
    <definedName name="XRefPaste15" localSheetId="52" hidden="1">#REF!</definedName>
    <definedName name="XRefPaste15" localSheetId="58" hidden="1">#REF!</definedName>
    <definedName name="XRefPaste15" localSheetId="57" hidden="1">#REF!</definedName>
    <definedName name="XRefPaste15" localSheetId="64" hidden="1">#REF!</definedName>
    <definedName name="XRefPaste15" localSheetId="67" hidden="1">#REF!</definedName>
    <definedName name="XRefPaste15" localSheetId="65" hidden="1">#REF!</definedName>
    <definedName name="XRefPaste15" localSheetId="68" hidden="1">#REF!</definedName>
    <definedName name="XRefPaste15" localSheetId="71" hidden="1">#REF!</definedName>
    <definedName name="XRefPaste15" localSheetId="44" hidden="1">#REF!</definedName>
    <definedName name="XRefPaste15" localSheetId="45" hidden="1">#REF!</definedName>
    <definedName name="XRefPaste15" localSheetId="27" hidden="1">#REF!</definedName>
    <definedName name="XRefPaste15" localSheetId="28" hidden="1">#REF!</definedName>
    <definedName name="XRefPaste15" localSheetId="29" hidden="1">#REF!</definedName>
    <definedName name="XRefPaste15" localSheetId="66" hidden="1">#REF!</definedName>
    <definedName name="XRefPaste15" hidden="1">#REF!</definedName>
    <definedName name="XRefPaste15Row" localSheetId="70" hidden="1">#REF!</definedName>
    <definedName name="XRefPaste15Row" localSheetId="52" hidden="1">#REF!</definedName>
    <definedName name="XRefPaste15Row" localSheetId="58" hidden="1">#REF!</definedName>
    <definedName name="XRefPaste15Row" localSheetId="57" hidden="1">#REF!</definedName>
    <definedName name="XRefPaste15Row" localSheetId="64" hidden="1">#REF!</definedName>
    <definedName name="XRefPaste15Row" localSheetId="67" hidden="1">#REF!</definedName>
    <definedName name="XRefPaste15Row" localSheetId="65" hidden="1">#REF!</definedName>
    <definedName name="XRefPaste15Row" localSheetId="68" hidden="1">#REF!</definedName>
    <definedName name="XRefPaste15Row" localSheetId="71" hidden="1">#REF!</definedName>
    <definedName name="XRefPaste15Row" localSheetId="44" hidden="1">#REF!</definedName>
    <definedName name="XRefPaste15Row" localSheetId="45" hidden="1">#REF!</definedName>
    <definedName name="XRefPaste15Row" localSheetId="27" hidden="1">#REF!</definedName>
    <definedName name="XRefPaste15Row" localSheetId="28" hidden="1">#REF!</definedName>
    <definedName name="XRefPaste15Row" localSheetId="29" hidden="1">#REF!</definedName>
    <definedName name="XRefPaste15Row" localSheetId="66" hidden="1">#REF!</definedName>
    <definedName name="XRefPaste15Row" hidden="1">#REF!</definedName>
    <definedName name="XRefPaste16" localSheetId="70" hidden="1">#REF!</definedName>
    <definedName name="XRefPaste16" localSheetId="52" hidden="1">#REF!</definedName>
    <definedName name="XRefPaste16" localSheetId="58" hidden="1">#REF!</definedName>
    <definedName name="XRefPaste16" localSheetId="57" hidden="1">#REF!</definedName>
    <definedName name="XRefPaste16" localSheetId="64" hidden="1">#REF!</definedName>
    <definedName name="XRefPaste16" localSheetId="67" hidden="1">#REF!</definedName>
    <definedName name="XRefPaste16" localSheetId="65" hidden="1">#REF!</definedName>
    <definedName name="XRefPaste16" localSheetId="68" hidden="1">#REF!</definedName>
    <definedName name="XRefPaste16" localSheetId="71" hidden="1">#REF!</definedName>
    <definedName name="XRefPaste16" localSheetId="44" hidden="1">#REF!</definedName>
    <definedName name="XRefPaste16" localSheetId="45" hidden="1">#REF!</definedName>
    <definedName name="XRefPaste16" localSheetId="27" hidden="1">#REF!</definedName>
    <definedName name="XRefPaste16" localSheetId="28" hidden="1">#REF!</definedName>
    <definedName name="XRefPaste16" localSheetId="29" hidden="1">#REF!</definedName>
    <definedName name="XRefPaste16" localSheetId="66" hidden="1">#REF!</definedName>
    <definedName name="XRefPaste16" hidden="1">#REF!</definedName>
    <definedName name="XRefPaste16Row" localSheetId="70" hidden="1">#REF!</definedName>
    <definedName name="XRefPaste16Row" localSheetId="52" hidden="1">#REF!</definedName>
    <definedName name="XRefPaste16Row" localSheetId="58" hidden="1">#REF!</definedName>
    <definedName name="XRefPaste16Row" localSheetId="57" hidden="1">#REF!</definedName>
    <definedName name="XRefPaste16Row" localSheetId="64" hidden="1">#REF!</definedName>
    <definedName name="XRefPaste16Row" localSheetId="67" hidden="1">#REF!</definedName>
    <definedName name="XRefPaste16Row" localSheetId="65" hidden="1">#REF!</definedName>
    <definedName name="XRefPaste16Row" localSheetId="68" hidden="1">#REF!</definedName>
    <definedName name="XRefPaste16Row" localSheetId="71" hidden="1">#REF!</definedName>
    <definedName name="XRefPaste16Row" localSheetId="44" hidden="1">#REF!</definedName>
    <definedName name="XRefPaste16Row" localSheetId="45" hidden="1">#REF!</definedName>
    <definedName name="XRefPaste16Row" localSheetId="27" hidden="1">#REF!</definedName>
    <definedName name="XRefPaste16Row" localSheetId="28" hidden="1">#REF!</definedName>
    <definedName name="XRefPaste16Row" localSheetId="29" hidden="1">#REF!</definedName>
    <definedName name="XRefPaste16Row" localSheetId="66" hidden="1">#REF!</definedName>
    <definedName name="XRefPaste16Row" hidden="1">#REF!</definedName>
    <definedName name="XRefPaste17" localSheetId="70" hidden="1">#REF!</definedName>
    <definedName name="XRefPaste17" localSheetId="52" hidden="1">#REF!</definedName>
    <definedName name="XRefPaste17" localSheetId="58" hidden="1">#REF!</definedName>
    <definedName name="XRefPaste17" localSheetId="57" hidden="1">#REF!</definedName>
    <definedName name="XRefPaste17" localSheetId="64" hidden="1">#REF!</definedName>
    <definedName name="XRefPaste17" localSheetId="67" hidden="1">#REF!</definedName>
    <definedName name="XRefPaste17" localSheetId="65" hidden="1">#REF!</definedName>
    <definedName name="XRefPaste17" localSheetId="68" hidden="1">#REF!</definedName>
    <definedName name="XRefPaste17" localSheetId="71" hidden="1">#REF!</definedName>
    <definedName name="XRefPaste17" localSheetId="44" hidden="1">#REF!</definedName>
    <definedName name="XRefPaste17" localSheetId="45" hidden="1">#REF!</definedName>
    <definedName name="XRefPaste17" localSheetId="27" hidden="1">#REF!</definedName>
    <definedName name="XRefPaste17" localSheetId="28" hidden="1">#REF!</definedName>
    <definedName name="XRefPaste17" localSheetId="29" hidden="1">#REF!</definedName>
    <definedName name="XRefPaste17" localSheetId="66" hidden="1">#REF!</definedName>
    <definedName name="XRefPaste17" hidden="1">#REF!</definedName>
    <definedName name="XRefPaste17Row" localSheetId="70" hidden="1">#REF!</definedName>
    <definedName name="XRefPaste17Row" localSheetId="52" hidden="1">#REF!</definedName>
    <definedName name="XRefPaste17Row" localSheetId="58" hidden="1">#REF!</definedName>
    <definedName name="XRefPaste17Row" localSheetId="57" hidden="1">#REF!</definedName>
    <definedName name="XRefPaste17Row" localSheetId="64" hidden="1">#REF!</definedName>
    <definedName name="XRefPaste17Row" localSheetId="67" hidden="1">#REF!</definedName>
    <definedName name="XRefPaste17Row" localSheetId="65" hidden="1">#REF!</definedName>
    <definedName name="XRefPaste17Row" localSheetId="68" hidden="1">#REF!</definedName>
    <definedName name="XRefPaste17Row" localSheetId="71" hidden="1">#REF!</definedName>
    <definedName name="XRefPaste17Row" localSheetId="44" hidden="1">#REF!</definedName>
    <definedName name="XRefPaste17Row" localSheetId="45" hidden="1">#REF!</definedName>
    <definedName name="XRefPaste17Row" localSheetId="27" hidden="1">#REF!</definedName>
    <definedName name="XRefPaste17Row" localSheetId="28" hidden="1">#REF!</definedName>
    <definedName name="XRefPaste17Row" localSheetId="29" hidden="1">#REF!</definedName>
    <definedName name="XRefPaste17Row" localSheetId="66" hidden="1">#REF!</definedName>
    <definedName name="XRefPaste17Row" hidden="1">#REF!</definedName>
    <definedName name="XRefPaste1Row" localSheetId="70" hidden="1">#REF!</definedName>
    <definedName name="XRefPaste1Row" localSheetId="52" hidden="1">#REF!</definedName>
    <definedName name="XRefPaste1Row" localSheetId="58" hidden="1">#REF!</definedName>
    <definedName name="XRefPaste1Row" localSheetId="57" hidden="1">#REF!</definedName>
    <definedName name="XRefPaste1Row" localSheetId="64" hidden="1">#REF!</definedName>
    <definedName name="XRefPaste1Row" localSheetId="67" hidden="1">#REF!</definedName>
    <definedName name="XRefPaste1Row" localSheetId="65" hidden="1">#REF!</definedName>
    <definedName name="XRefPaste1Row" localSheetId="68" hidden="1">#REF!</definedName>
    <definedName name="XRefPaste1Row" localSheetId="71" hidden="1">#REF!</definedName>
    <definedName name="XRefPaste1Row" localSheetId="44" hidden="1">#REF!</definedName>
    <definedName name="XRefPaste1Row" localSheetId="45" hidden="1">#REF!</definedName>
    <definedName name="XRefPaste1Row" localSheetId="27" hidden="1">#REF!</definedName>
    <definedName name="XRefPaste1Row" localSheetId="28" hidden="1">#REF!</definedName>
    <definedName name="XRefPaste1Row" localSheetId="29" hidden="1">#REF!</definedName>
    <definedName name="XRefPaste1Row" localSheetId="66" hidden="1">#REF!</definedName>
    <definedName name="XRefPaste1Row" hidden="1">#REF!</definedName>
    <definedName name="XRefPaste2" localSheetId="70" hidden="1">#REF!</definedName>
    <definedName name="XRefPaste2" localSheetId="52" hidden="1">#REF!</definedName>
    <definedName name="XRefPaste2" localSheetId="58" hidden="1">#REF!</definedName>
    <definedName name="XRefPaste2" localSheetId="57" hidden="1">#REF!</definedName>
    <definedName name="XRefPaste2" localSheetId="64" hidden="1">#REF!</definedName>
    <definedName name="XRefPaste2" localSheetId="67" hidden="1">#REF!</definedName>
    <definedName name="XRefPaste2" localSheetId="65" hidden="1">#REF!</definedName>
    <definedName name="XRefPaste2" localSheetId="68" hidden="1">#REF!</definedName>
    <definedName name="XRefPaste2" localSheetId="71" hidden="1">#REF!</definedName>
    <definedName name="XRefPaste2" localSheetId="44" hidden="1">#REF!</definedName>
    <definedName name="XRefPaste2" localSheetId="45" hidden="1">#REF!</definedName>
    <definedName name="XRefPaste2" localSheetId="27" hidden="1">#REF!</definedName>
    <definedName name="XRefPaste2" localSheetId="28" hidden="1">#REF!</definedName>
    <definedName name="XRefPaste2" localSheetId="29" hidden="1">#REF!</definedName>
    <definedName name="XRefPaste2" localSheetId="66" hidden="1">#REF!</definedName>
    <definedName name="XRefPaste2" hidden="1">#REF!</definedName>
    <definedName name="XRefPaste2Row" localSheetId="70" hidden="1">#REF!</definedName>
    <definedName name="XRefPaste2Row" localSheetId="52" hidden="1">#REF!</definedName>
    <definedName name="XRefPaste2Row" localSheetId="58" hidden="1">#REF!</definedName>
    <definedName name="XRefPaste2Row" localSheetId="57" hidden="1">#REF!</definedName>
    <definedName name="XRefPaste2Row" localSheetId="64" hidden="1">#REF!</definedName>
    <definedName name="XRefPaste2Row" localSheetId="67" hidden="1">#REF!</definedName>
    <definedName name="XRefPaste2Row" localSheetId="65" hidden="1">#REF!</definedName>
    <definedName name="XRefPaste2Row" localSheetId="68" hidden="1">#REF!</definedName>
    <definedName name="XRefPaste2Row" localSheetId="71" hidden="1">#REF!</definedName>
    <definedName name="XRefPaste2Row" localSheetId="44" hidden="1">#REF!</definedName>
    <definedName name="XRefPaste2Row" localSheetId="45" hidden="1">#REF!</definedName>
    <definedName name="XRefPaste2Row" localSheetId="27" hidden="1">#REF!</definedName>
    <definedName name="XRefPaste2Row" localSheetId="28" hidden="1">#REF!</definedName>
    <definedName name="XRefPaste2Row" localSheetId="29" hidden="1">#REF!</definedName>
    <definedName name="XRefPaste2Row" localSheetId="66" hidden="1">#REF!</definedName>
    <definedName name="XRefPaste2Row" hidden="1">#REF!</definedName>
    <definedName name="XRefPaste3Row" localSheetId="70" hidden="1">#REF!</definedName>
    <definedName name="XRefPaste3Row" localSheetId="52" hidden="1">#REF!</definedName>
    <definedName name="XRefPaste3Row" localSheetId="58" hidden="1">#REF!</definedName>
    <definedName name="XRefPaste3Row" localSheetId="57" hidden="1">#REF!</definedName>
    <definedName name="XRefPaste3Row" localSheetId="64" hidden="1">#REF!</definedName>
    <definedName name="XRefPaste3Row" localSheetId="67" hidden="1">#REF!</definedName>
    <definedName name="XRefPaste3Row" localSheetId="65" hidden="1">#REF!</definedName>
    <definedName name="XRefPaste3Row" localSheetId="68" hidden="1">#REF!</definedName>
    <definedName name="XRefPaste3Row" localSheetId="71" hidden="1">#REF!</definedName>
    <definedName name="XRefPaste3Row" localSheetId="44" hidden="1">#REF!</definedName>
    <definedName name="XRefPaste3Row" localSheetId="45" hidden="1">#REF!</definedName>
    <definedName name="XRefPaste3Row" localSheetId="27" hidden="1">#REF!</definedName>
    <definedName name="XRefPaste3Row" localSheetId="28" hidden="1">#REF!</definedName>
    <definedName name="XRefPaste3Row" localSheetId="29" hidden="1">#REF!</definedName>
    <definedName name="XRefPaste3Row" localSheetId="66" hidden="1">#REF!</definedName>
    <definedName name="XRefPaste3Row" hidden="1">#REF!</definedName>
    <definedName name="XRefPaste4Row" localSheetId="70" hidden="1">#REF!</definedName>
    <definedName name="XRefPaste4Row" localSheetId="52" hidden="1">#REF!</definedName>
    <definedName name="XRefPaste4Row" localSheetId="58" hidden="1">#REF!</definedName>
    <definedName name="XRefPaste4Row" localSheetId="57" hidden="1">#REF!</definedName>
    <definedName name="XRefPaste4Row" localSheetId="64" hidden="1">#REF!</definedName>
    <definedName name="XRefPaste4Row" localSheetId="67" hidden="1">#REF!</definedName>
    <definedName name="XRefPaste4Row" localSheetId="65" hidden="1">#REF!</definedName>
    <definedName name="XRefPaste4Row" localSheetId="68" hidden="1">#REF!</definedName>
    <definedName name="XRefPaste4Row" localSheetId="71" hidden="1">#REF!</definedName>
    <definedName name="XRefPaste4Row" localSheetId="44" hidden="1">#REF!</definedName>
    <definedName name="XRefPaste4Row" localSheetId="45" hidden="1">#REF!</definedName>
    <definedName name="XRefPaste4Row" localSheetId="27" hidden="1">#REF!</definedName>
    <definedName name="XRefPaste4Row" localSheetId="28" hidden="1">#REF!</definedName>
    <definedName name="XRefPaste4Row" localSheetId="29" hidden="1">#REF!</definedName>
    <definedName name="XRefPaste4Row" localSheetId="66" hidden="1">#REF!</definedName>
    <definedName name="XRefPaste4Row" hidden="1">#REF!</definedName>
    <definedName name="XRefPaste5" localSheetId="70" hidden="1">#REF!</definedName>
    <definedName name="XRefPaste5" localSheetId="52" hidden="1">#REF!</definedName>
    <definedName name="XRefPaste5" localSheetId="58" hidden="1">#REF!</definedName>
    <definedName name="XRefPaste5" localSheetId="57" hidden="1">#REF!</definedName>
    <definedName name="XRefPaste5" localSheetId="64" hidden="1">#REF!</definedName>
    <definedName name="XRefPaste5" localSheetId="67" hidden="1">#REF!</definedName>
    <definedName name="XRefPaste5" localSheetId="65" hidden="1">#REF!</definedName>
    <definedName name="XRefPaste5" localSheetId="68" hidden="1">#REF!</definedName>
    <definedName name="XRefPaste5" localSheetId="71" hidden="1">#REF!</definedName>
    <definedName name="XRefPaste5" localSheetId="44" hidden="1">#REF!</definedName>
    <definedName name="XRefPaste5" localSheetId="45" hidden="1">#REF!</definedName>
    <definedName name="XRefPaste5" localSheetId="27" hidden="1">#REF!</definedName>
    <definedName name="XRefPaste5" localSheetId="28" hidden="1">#REF!</definedName>
    <definedName name="XRefPaste5" localSheetId="29" hidden="1">#REF!</definedName>
    <definedName name="XRefPaste5" localSheetId="66" hidden="1">#REF!</definedName>
    <definedName name="XRefPaste5" hidden="1">#REF!</definedName>
    <definedName name="XRefPaste5Row" localSheetId="70" hidden="1">#REF!</definedName>
    <definedName name="XRefPaste5Row" localSheetId="52" hidden="1">#REF!</definedName>
    <definedName name="XRefPaste5Row" localSheetId="58" hidden="1">#REF!</definedName>
    <definedName name="XRefPaste5Row" localSheetId="57" hidden="1">#REF!</definedName>
    <definedName name="XRefPaste5Row" localSheetId="64" hidden="1">#REF!</definedName>
    <definedName name="XRefPaste5Row" localSheetId="67" hidden="1">#REF!</definedName>
    <definedName name="XRefPaste5Row" localSheetId="65" hidden="1">#REF!</definedName>
    <definedName name="XRefPaste5Row" localSheetId="68" hidden="1">#REF!</definedName>
    <definedName name="XRefPaste5Row" localSheetId="71" hidden="1">#REF!</definedName>
    <definedName name="XRefPaste5Row" localSheetId="44" hidden="1">#REF!</definedName>
    <definedName name="XRefPaste5Row" localSheetId="45" hidden="1">#REF!</definedName>
    <definedName name="XRefPaste5Row" localSheetId="27" hidden="1">#REF!</definedName>
    <definedName name="XRefPaste5Row" localSheetId="28" hidden="1">#REF!</definedName>
    <definedName name="XRefPaste5Row" localSheetId="29" hidden="1">#REF!</definedName>
    <definedName name="XRefPaste5Row" localSheetId="66" hidden="1">#REF!</definedName>
    <definedName name="XRefPaste5Row" hidden="1">#REF!</definedName>
    <definedName name="XRefPaste7" localSheetId="70" hidden="1">#REF!</definedName>
    <definedName name="XRefPaste7" localSheetId="52" hidden="1">#REF!</definedName>
    <definedName name="XRefPaste7" localSheetId="58" hidden="1">#REF!</definedName>
    <definedName name="XRefPaste7" localSheetId="57" hidden="1">#REF!</definedName>
    <definedName name="XRefPaste7" localSheetId="64" hidden="1">#REF!</definedName>
    <definedName name="XRefPaste7" localSheetId="67" hidden="1">#REF!</definedName>
    <definedName name="XRefPaste7" localSheetId="65" hidden="1">#REF!</definedName>
    <definedName name="XRefPaste7" localSheetId="68" hidden="1">#REF!</definedName>
    <definedName name="XRefPaste7" localSheetId="71" hidden="1">#REF!</definedName>
    <definedName name="XRefPaste7" localSheetId="44" hidden="1">#REF!</definedName>
    <definedName name="XRefPaste7" localSheetId="45" hidden="1">#REF!</definedName>
    <definedName name="XRefPaste7" localSheetId="27" hidden="1">#REF!</definedName>
    <definedName name="XRefPaste7" localSheetId="28" hidden="1">#REF!</definedName>
    <definedName name="XRefPaste7" localSheetId="29" hidden="1">#REF!</definedName>
    <definedName name="XRefPaste7" localSheetId="66" hidden="1">#REF!</definedName>
    <definedName name="XRefPaste7" hidden="1">#REF!</definedName>
    <definedName name="XRefPaste8" localSheetId="70" hidden="1">#REF!</definedName>
    <definedName name="XRefPaste8" localSheetId="52" hidden="1">#REF!</definedName>
    <definedName name="XRefPaste8" localSheetId="58" hidden="1">#REF!</definedName>
    <definedName name="XRefPaste8" localSheetId="57" hidden="1">#REF!</definedName>
    <definedName name="XRefPaste8" localSheetId="64" hidden="1">#REF!</definedName>
    <definedName name="XRefPaste8" localSheetId="67" hidden="1">#REF!</definedName>
    <definedName name="XRefPaste8" localSheetId="65" hidden="1">#REF!</definedName>
    <definedName name="XRefPaste8" localSheetId="68" hidden="1">#REF!</definedName>
    <definedName name="XRefPaste8" localSheetId="71" hidden="1">#REF!</definedName>
    <definedName name="XRefPaste8" localSheetId="44" hidden="1">#REF!</definedName>
    <definedName name="XRefPaste8" localSheetId="45" hidden="1">#REF!</definedName>
    <definedName name="XRefPaste8" localSheetId="27" hidden="1">#REF!</definedName>
    <definedName name="XRefPaste8" localSheetId="28" hidden="1">#REF!</definedName>
    <definedName name="XRefPaste8" localSheetId="29" hidden="1">#REF!</definedName>
    <definedName name="XRefPaste8" localSheetId="66" hidden="1">#REF!</definedName>
    <definedName name="XRefPaste8" hidden="1">#REF!</definedName>
    <definedName name="XRefPasteRangeCount" hidden="1">17</definedName>
    <definedName name="xzxzxcxc" localSheetId="70">#REF!</definedName>
    <definedName name="xzxzxcxc" localSheetId="52">#REF!</definedName>
    <definedName name="xzxzxcxc" localSheetId="58">#REF!</definedName>
    <definedName name="xzxzxcxc" localSheetId="57">#REF!</definedName>
    <definedName name="xzxzxcxc" localSheetId="64">#REF!</definedName>
    <definedName name="xzxzxcxc" localSheetId="67">#REF!</definedName>
    <definedName name="xzxzxcxc" localSheetId="65">#REF!</definedName>
    <definedName name="xzxzxcxc" localSheetId="68">#REF!</definedName>
    <definedName name="xzxzxcxc" localSheetId="71">#REF!</definedName>
    <definedName name="xzxzxcxc" localSheetId="44">#REF!</definedName>
    <definedName name="xzxzxcxc" localSheetId="45">#REF!</definedName>
    <definedName name="xzxzxcxc" localSheetId="48">#REF!</definedName>
    <definedName name="xzxzxcxc" localSheetId="17">#REF!</definedName>
    <definedName name="xzxzxcxc" localSheetId="27">#REF!</definedName>
    <definedName name="xzxzxcxc" localSheetId="72">#REF!</definedName>
    <definedName name="xzxzxcxc" localSheetId="28">#REF!</definedName>
    <definedName name="xzxzxcxc" localSheetId="29">#REF!</definedName>
    <definedName name="xzxzxcxc" localSheetId="66">#REF!</definedName>
    <definedName name="xzxzxcxc">#REF!</definedName>
    <definedName name="Y" localSheetId="70" hidden="1">'[28]Eq. Mobilization'!#REF!</definedName>
    <definedName name="Y" localSheetId="52" hidden="1">'[28]Eq. Mobilization'!#REF!</definedName>
    <definedName name="Y" localSheetId="58" hidden="1">'[28]Eq. Mobilization'!#REF!</definedName>
    <definedName name="Y" localSheetId="57" hidden="1">'[28]Eq. Mobilization'!#REF!</definedName>
    <definedName name="Y" localSheetId="64" hidden="1">'[28]Eq. Mobilization'!#REF!</definedName>
    <definedName name="Y" localSheetId="67" hidden="1">'[28]Eq. Mobilization'!#REF!</definedName>
    <definedName name="Y" localSheetId="65" hidden="1">'[28]Eq. Mobilization'!#REF!</definedName>
    <definedName name="Y" localSheetId="68" hidden="1">'[28]Eq. Mobilization'!#REF!</definedName>
    <definedName name="Y" localSheetId="71" hidden="1">'[28]Eq. Mobilization'!#REF!</definedName>
    <definedName name="Y" localSheetId="44" hidden="1">'[28]Eq. Mobilization'!#REF!</definedName>
    <definedName name="Y" localSheetId="45" hidden="1">'[28]Eq. Mobilization'!#REF!</definedName>
    <definedName name="Y" localSheetId="27" hidden="1">'[28]Eq. Mobilization'!#REF!</definedName>
    <definedName name="Y" localSheetId="72" hidden="1">'[28]Eq. Mobilization'!#REF!</definedName>
    <definedName name="Y" localSheetId="28" hidden="1">'[28]Eq. Mobilization'!#REF!</definedName>
    <definedName name="Y" localSheetId="29" hidden="1">'[28]Eq. Mobilization'!#REF!</definedName>
    <definedName name="Y" localSheetId="66" hidden="1">'[28]Eq. Mobilization'!#REF!</definedName>
    <definedName name="Y" hidden="1">'[28]Eq. Mobilization'!#REF!</definedName>
    <definedName name="y_strainer" localSheetId="70">#REF!</definedName>
    <definedName name="y_strainer" localSheetId="52">#REF!</definedName>
    <definedName name="y_strainer" localSheetId="58">#REF!</definedName>
    <definedName name="y_strainer" localSheetId="56">#REF!</definedName>
    <definedName name="y_strainer" localSheetId="57">#REF!</definedName>
    <definedName name="y_strainer" localSheetId="64">#REF!</definedName>
    <definedName name="y_strainer" localSheetId="67">#REF!</definedName>
    <definedName name="y_strainer" localSheetId="65">#REF!</definedName>
    <definedName name="y_strainer" localSheetId="68">#REF!</definedName>
    <definedName name="y_strainer" localSheetId="71">#REF!</definedName>
    <definedName name="y_strainer" localSheetId="44">#REF!</definedName>
    <definedName name="y_strainer" localSheetId="45">#REF!</definedName>
    <definedName name="y_strainer" localSheetId="17">#REF!</definedName>
    <definedName name="y_strainer" localSheetId="27">#REF!</definedName>
    <definedName name="y_strainer" localSheetId="72">#REF!</definedName>
    <definedName name="y_strainer" localSheetId="28">#REF!</definedName>
    <definedName name="y_strainer" localSheetId="29">#REF!</definedName>
    <definedName name="y_strainer" localSheetId="66">#REF!</definedName>
    <definedName name="y_strainer">#REF!</definedName>
    <definedName name="YEAR" localSheetId="70">#REF!</definedName>
    <definedName name="YEAR" localSheetId="140">#REF!</definedName>
    <definedName name="YEAR" localSheetId="142">#REF!</definedName>
    <definedName name="YEAR" localSheetId="20">#REF!</definedName>
    <definedName name="YEAR" localSheetId="14">#REF!</definedName>
    <definedName name="YEAR" localSheetId="15">#REF!</definedName>
    <definedName name="YEAR" localSheetId="52">#REF!</definedName>
    <definedName name="YEAR" localSheetId="58">#REF!</definedName>
    <definedName name="YEAR" localSheetId="57">#REF!</definedName>
    <definedName name="YEAR" localSheetId="64">#REF!</definedName>
    <definedName name="YEAR" localSheetId="67">#REF!</definedName>
    <definedName name="YEAR" localSheetId="65">#REF!</definedName>
    <definedName name="YEAR" localSheetId="30">#REF!</definedName>
    <definedName name="YEAR" localSheetId="68">#REF!</definedName>
    <definedName name="YEAR" localSheetId="71">#REF!</definedName>
    <definedName name="YEAR" localSheetId="40">#REF!</definedName>
    <definedName name="YEAR" localSheetId="44">#REF!</definedName>
    <definedName name="YEAR" localSheetId="45">#REF!</definedName>
    <definedName name="YEAR" localSheetId="48">#REF!</definedName>
    <definedName name="YEAR" localSheetId="27">#REF!</definedName>
    <definedName name="YEAR" localSheetId="28">#REF!</definedName>
    <definedName name="YEAR" localSheetId="29">#REF!</definedName>
    <definedName name="YEAR" localSheetId="66">#REF!</definedName>
    <definedName name="YEAR">#REF!</definedName>
    <definedName name="Year1" localSheetId="70">#REF!</definedName>
    <definedName name="Year1" localSheetId="20">#REF!</definedName>
    <definedName name="Year1" localSheetId="15">#REF!</definedName>
    <definedName name="Year1" localSheetId="52">#REF!</definedName>
    <definedName name="Year1" localSheetId="58">#REF!</definedName>
    <definedName name="Year1" localSheetId="57">#REF!</definedName>
    <definedName name="Year1" localSheetId="64">#REF!</definedName>
    <definedName name="Year1" localSheetId="67">#REF!</definedName>
    <definedName name="Year1" localSheetId="65">#REF!</definedName>
    <definedName name="Year1" localSheetId="30">#REF!</definedName>
    <definedName name="Year1" localSheetId="68">#REF!</definedName>
    <definedName name="Year1" localSheetId="71">#REF!</definedName>
    <definedName name="Year1" localSheetId="44">#REF!</definedName>
    <definedName name="Year1" localSheetId="45">#REF!</definedName>
    <definedName name="Year1" localSheetId="48">#REF!</definedName>
    <definedName name="Year1" localSheetId="27">#REF!</definedName>
    <definedName name="Year1" localSheetId="28">#REF!</definedName>
    <definedName name="Year1" localSheetId="29">#REF!</definedName>
    <definedName name="Year1" localSheetId="66">#REF!</definedName>
    <definedName name="Year1">#REF!</definedName>
    <definedName name="year2011" localSheetId="70">#REF!</definedName>
    <definedName name="year2011" localSheetId="52">#REF!</definedName>
    <definedName name="year2011" localSheetId="58">#REF!</definedName>
    <definedName name="year2011" localSheetId="57">#REF!</definedName>
    <definedName name="year2011" localSheetId="64">#REF!</definedName>
    <definedName name="year2011" localSheetId="67">#REF!</definedName>
    <definedName name="year2011" localSheetId="65">#REF!</definedName>
    <definedName name="year2011" localSheetId="68">#REF!</definedName>
    <definedName name="year2011" localSheetId="71">#REF!</definedName>
    <definedName name="year2011" localSheetId="44">#REF!</definedName>
    <definedName name="year2011" localSheetId="45">#REF!</definedName>
    <definedName name="year2011" localSheetId="48">#REF!</definedName>
    <definedName name="year2011" localSheetId="27">#REF!</definedName>
    <definedName name="year2011" localSheetId="28">#REF!</definedName>
    <definedName name="year2011" localSheetId="29">#REF!</definedName>
    <definedName name="year2011" localSheetId="66">#REF!</definedName>
    <definedName name="year2011">#REF!</definedName>
    <definedName name="ygshjshua" localSheetId="70">#REF!</definedName>
    <definedName name="ygshjshua" localSheetId="52">#REF!</definedName>
    <definedName name="ygshjshua" localSheetId="58">#REF!</definedName>
    <definedName name="ygshjshua" localSheetId="57">#REF!</definedName>
    <definedName name="ygshjshua" localSheetId="64">#REF!</definedName>
    <definedName name="ygshjshua" localSheetId="67">#REF!</definedName>
    <definedName name="ygshjshua" localSheetId="65">#REF!</definedName>
    <definedName name="ygshjshua" localSheetId="68">#REF!</definedName>
    <definedName name="ygshjshua" localSheetId="71">#REF!</definedName>
    <definedName name="ygshjshua" localSheetId="44">#REF!</definedName>
    <definedName name="ygshjshua" localSheetId="45">#REF!</definedName>
    <definedName name="ygshjshua" localSheetId="48">#REF!</definedName>
    <definedName name="ygshjshua" localSheetId="27">#REF!</definedName>
    <definedName name="ygshjshua" localSheetId="28">#REF!</definedName>
    <definedName name="ygshjshua" localSheetId="29">#REF!</definedName>
    <definedName name="ygshjshua" localSheetId="66">#REF!</definedName>
    <definedName name="ygshjshua">#REF!</definedName>
    <definedName name="yi" localSheetId="140" hidden="1">{"'Sheet1'!$L$16"}</definedName>
    <definedName name="yi" localSheetId="58" hidden="1">{"'Sheet1'!$L$16"}</definedName>
    <definedName name="yi" localSheetId="56" hidden="1">{"'Sheet1'!$L$16"}</definedName>
    <definedName name="yi" localSheetId="57" hidden="1">{"'Sheet1'!$L$16"}</definedName>
    <definedName name="yi" localSheetId="67" hidden="1">{"'Sheet1'!$L$16"}</definedName>
    <definedName name="yi" localSheetId="65" hidden="1">{"'Sheet1'!$L$16"}</definedName>
    <definedName name="yi" localSheetId="68" hidden="1">{"'Sheet1'!$L$16"}</definedName>
    <definedName name="yi" localSheetId="71" hidden="1">{"'Sheet1'!$L$16"}</definedName>
    <definedName name="yi" localSheetId="17" hidden="1">{"'Sheet1'!$L$16"}</definedName>
    <definedName name="yi" localSheetId="27" hidden="1">{"'Sheet1'!$L$16"}</definedName>
    <definedName name="yi" localSheetId="72" hidden="1">{"'Sheet1'!$L$16"}</definedName>
    <definedName name="yi" localSheetId="28" hidden="1">{"'Sheet1'!$L$16"}</definedName>
    <definedName name="yi" localSheetId="29" hidden="1">{"'Sheet1'!$L$16"}</definedName>
    <definedName name="yi" hidden="1">{"'Sheet1'!$L$16"}</definedName>
    <definedName name="YV" localSheetId="70">'[33]해외 연수비용 계산-삭제'!#REF!</definedName>
    <definedName name="YV" localSheetId="52">'[33]해외 연수비용 계산-삭제'!#REF!</definedName>
    <definedName name="YV" localSheetId="58">'[33]해외 연수비용 계산-삭제'!#REF!</definedName>
    <definedName name="YV" localSheetId="57">'[33]해외 연수비용 계산-삭제'!#REF!</definedName>
    <definedName name="YV" localSheetId="64">'[33]해외 연수비용 계산-삭제'!#REF!</definedName>
    <definedName name="YV" localSheetId="67">'[33]해외 연수비용 계산-삭제'!#REF!</definedName>
    <definedName name="YV" localSheetId="65">'[33]해외 연수비용 계산-삭제'!#REF!</definedName>
    <definedName name="YV" localSheetId="68">'[33]해외 연수비용 계산-삭제'!#REF!</definedName>
    <definedName name="YV" localSheetId="71">'[33]해외 연수비용 계산-삭제'!#REF!</definedName>
    <definedName name="YV" localSheetId="44">'[33]해외 연수비용 계산-삭제'!#REF!</definedName>
    <definedName name="YV" localSheetId="45">'[33]해외 연수비용 계산-삭제'!#REF!</definedName>
    <definedName name="YV" localSheetId="27">'[33]해외 연수비용 계산-삭제'!#REF!</definedName>
    <definedName name="YV" localSheetId="28">'[33]해외 연수비용 계산-삭제'!#REF!</definedName>
    <definedName name="YV" localSheetId="29">'[33]해외 연수비용 계산-삭제'!#REF!</definedName>
    <definedName name="YV" localSheetId="66">'[33]해외 연수비용 계산-삭제'!#REF!</definedName>
    <definedName name="YV">'[33]해외 연수비용 계산-삭제'!#REF!</definedName>
    <definedName name="yy" localSheetId="70">#REF!</definedName>
    <definedName name="yy" localSheetId="52">#REF!</definedName>
    <definedName name="yy" localSheetId="58">#REF!</definedName>
    <definedName name="yy" localSheetId="56">#REF!</definedName>
    <definedName name="yy" localSheetId="57">#REF!</definedName>
    <definedName name="yy" localSheetId="64">#REF!</definedName>
    <definedName name="yy" localSheetId="67">#REF!</definedName>
    <definedName name="yy" localSheetId="65">#REF!</definedName>
    <definedName name="yy" localSheetId="68">#REF!</definedName>
    <definedName name="yy" localSheetId="71">#REF!</definedName>
    <definedName name="yy" localSheetId="44">#REF!</definedName>
    <definedName name="yy" localSheetId="45">#REF!</definedName>
    <definedName name="yy" localSheetId="17">#REF!</definedName>
    <definedName name="yy" localSheetId="27">#REF!</definedName>
    <definedName name="yy" localSheetId="72">#REF!</definedName>
    <definedName name="yy" localSheetId="28">#REF!</definedName>
    <definedName name="yy" localSheetId="29">#REF!</definedName>
    <definedName name="yy" localSheetId="66">#REF!</definedName>
    <definedName name="yy">#REF!</definedName>
    <definedName name="Z" localSheetId="70" hidden="1">'[28]Eq. Mobilization'!#REF!</definedName>
    <definedName name="Z" localSheetId="52" hidden="1">'[28]Eq. Mobilization'!#REF!</definedName>
    <definedName name="Z" localSheetId="58" hidden="1">'[28]Eq. Mobilization'!#REF!</definedName>
    <definedName name="Z" localSheetId="56" hidden="1">'[28]Eq. Mobilization'!#REF!</definedName>
    <definedName name="Z" localSheetId="57" hidden="1">'[28]Eq. Mobilization'!#REF!</definedName>
    <definedName name="Z" localSheetId="64" hidden="1">'[28]Eq. Mobilization'!#REF!</definedName>
    <definedName name="Z" localSheetId="67" hidden="1">'[28]Eq. Mobilization'!#REF!</definedName>
    <definedName name="Z" localSheetId="65" hidden="1">'[28]Eq. Mobilization'!#REF!</definedName>
    <definedName name="Z" localSheetId="68" hidden="1">'[28]Eq. Mobilization'!#REF!</definedName>
    <definedName name="Z" localSheetId="71" hidden="1">'[28]Eq. Mobilization'!#REF!</definedName>
    <definedName name="Z" localSheetId="44" hidden="1">'[28]Eq. Mobilization'!#REF!</definedName>
    <definedName name="Z" localSheetId="45" hidden="1">'[28]Eq. Mobilization'!#REF!</definedName>
    <definedName name="Z" localSheetId="17" hidden="1">'[28]Eq. Mobilization'!#REF!</definedName>
    <definedName name="Z" localSheetId="27" hidden="1">'[28]Eq. Mobilization'!#REF!</definedName>
    <definedName name="Z" localSheetId="72" hidden="1">'[28]Eq. Mobilization'!#REF!</definedName>
    <definedName name="Z" localSheetId="28" hidden="1">'[28]Eq. Mobilization'!#REF!</definedName>
    <definedName name="Z" localSheetId="29" hidden="1">'[28]Eq. Mobilization'!#REF!</definedName>
    <definedName name="Z" localSheetId="66" hidden="1">'[28]Eq. Mobilization'!#REF!</definedName>
    <definedName name="Z" hidden="1">'[28]Eq. Mobilization'!#REF!</definedName>
    <definedName name="z\" localSheetId="70">#REF!</definedName>
    <definedName name="z\" localSheetId="52">#REF!</definedName>
    <definedName name="z\" localSheetId="58">#REF!</definedName>
    <definedName name="z\" localSheetId="56">#REF!</definedName>
    <definedName name="z\" localSheetId="57">#REF!</definedName>
    <definedName name="z\" localSheetId="64">#REF!</definedName>
    <definedName name="z\" localSheetId="67">#REF!</definedName>
    <definedName name="z\" localSheetId="65">#REF!</definedName>
    <definedName name="z\" localSheetId="68">#REF!</definedName>
    <definedName name="z\" localSheetId="71">#REF!</definedName>
    <definedName name="z\" localSheetId="44">#REF!</definedName>
    <definedName name="z\" localSheetId="45">#REF!</definedName>
    <definedName name="z\" localSheetId="17">#REF!</definedName>
    <definedName name="z\" localSheetId="27">#REF!</definedName>
    <definedName name="z\" localSheetId="72">#REF!</definedName>
    <definedName name="z\" localSheetId="28">#REF!</definedName>
    <definedName name="z\" localSheetId="29">#REF!</definedName>
    <definedName name="z\" localSheetId="66">#REF!</definedName>
    <definedName name="z\">#REF!</definedName>
    <definedName name="Z_967A1C40_7329_11DB_BB78_000EA620E478_.wvu.Cols" localSheetId="126" hidden="1">'BEST final'!$H$1:$K$65536,'BEST final'!$L$1:$M$65536,'BEST final'!$O$1:$O$65536</definedName>
    <definedName name="Z_967A1C40_7329_11DB_BB78_000EA620E478_.wvu.PrintArea" localSheetId="126" hidden="1">'BEST final'!$A$1:$M$579</definedName>
    <definedName name="Z_967A1C40_7329_11DB_BB78_000EA620E478_.wvu.PrintArea" localSheetId="128" hidden="1">'Schedule 1'!$A$2:$I$112</definedName>
    <definedName name="Z_967A1C40_7329_11DB_BB78_000EA620E478_.wvu.Rows" localSheetId="126" hidden="1">'BEST final'!$A$1:$IV$2,'BEST final'!$A$259:$IV$274,'BEST final'!$A$277:$IV$281,'BEST final'!$A$284:$IV$286,'BEST final'!$A$291:$IV$294,'BEST final'!$A$316:$IV$318,'BEST final'!$A$321:$IV$325,'BEST final'!$A$328:$IV$349,'BEST final'!$A$357:$IV$361</definedName>
    <definedName name="Z_9B589862_761F_11DB_BB78_000EA620E478_.wvu.PrintArea" localSheetId="116" hidden="1">'P&amp;L Reconciliation'!$A$1:$G$60</definedName>
    <definedName name="Z_A48516A0_749B_11DB_BB78_000EA620E478_.wvu.Cols" localSheetId="126" hidden="1">'BEST final'!$H$1:$I$65536,'BEST final'!$E$1:$O$65536</definedName>
    <definedName name="Z_A48516A0_749B_11DB_BB78_000EA620E478_.wvu.Cols" localSheetId="128" hidden="1">'Schedule 1'!$C$1:$C$65536</definedName>
    <definedName name="Z_A48516A0_749B_11DB_BB78_000EA620E478_.wvu.Rows" localSheetId="126" hidden="1">'BEST final'!#REF!</definedName>
    <definedName name="Z_A48516A0_749B_11DB_BB78_000EA620E478_.wvu.Rows" localSheetId="128" hidden="1">'Schedule 1'!#REF!,'Schedule 1'!$A$127:$IV$179</definedName>
    <definedName name="Z_BE61AEC3_7622_11DB_A408_0050BA886033_.wvu.PrintArea" localSheetId="116" hidden="1">'P&amp;L Reconciliation'!$A$1:$G$60</definedName>
    <definedName name="Z_DBB987B0_8080_11DB_85C4_000EA622D23F_.wvu.PrintArea" localSheetId="126" hidden="1">'BEST final'!$A$1:$M$579</definedName>
    <definedName name="Z_DBB987B0_8080_11DB_85C4_000EA622D23F_.wvu.PrintArea" localSheetId="128" hidden="1">'Schedule 1'!$A$2:$I$112</definedName>
    <definedName name="Z_L_I_T_E_N">#N/A</definedName>
    <definedName name="zbhh" localSheetId="70">#REF!</definedName>
    <definedName name="zbhh" localSheetId="101">#REF!</definedName>
    <definedName name="zbhh" localSheetId="52">#REF!</definedName>
    <definedName name="zbhh" localSheetId="58">#REF!</definedName>
    <definedName name="zbhh" localSheetId="56">#REF!</definedName>
    <definedName name="zbhh" localSheetId="57">#REF!</definedName>
    <definedName name="zbhh" localSheetId="64">#REF!</definedName>
    <definedName name="zbhh" localSheetId="67">#REF!</definedName>
    <definedName name="zbhh" localSheetId="65">#REF!</definedName>
    <definedName name="zbhh" localSheetId="68">#REF!</definedName>
    <definedName name="zbhh" localSheetId="71">#REF!</definedName>
    <definedName name="zbhh" localSheetId="44">#REF!</definedName>
    <definedName name="zbhh" localSheetId="45">#REF!</definedName>
    <definedName name="zbhh" localSheetId="48">#REF!</definedName>
    <definedName name="zbhh" localSheetId="17">#REF!</definedName>
    <definedName name="zbhh" localSheetId="27">#REF!</definedName>
    <definedName name="zbhh" localSheetId="72">#REF!</definedName>
    <definedName name="zbhh" localSheetId="28">#REF!</definedName>
    <definedName name="zbhh" localSheetId="29">#REF!</definedName>
    <definedName name="zbhh" localSheetId="66">#REF!</definedName>
    <definedName name="zbhh">#REF!</definedName>
    <definedName name="ZX" localSheetId="70">'[33]해외 연수비용 계산-삭제'!#REF!</definedName>
    <definedName name="ZX" localSheetId="52">'[33]해외 연수비용 계산-삭제'!#REF!</definedName>
    <definedName name="ZX" localSheetId="58">'[33]해외 연수비용 계산-삭제'!#REF!</definedName>
    <definedName name="ZX" localSheetId="56">'[33]해외 연수비용 계산-삭제'!#REF!</definedName>
    <definedName name="ZX" localSheetId="57">'[33]해외 연수비용 계산-삭제'!#REF!</definedName>
    <definedName name="ZX" localSheetId="64">'[33]해외 연수비용 계산-삭제'!#REF!</definedName>
    <definedName name="ZX" localSheetId="67">'[33]해외 연수비용 계산-삭제'!#REF!</definedName>
    <definedName name="ZX" localSheetId="65">'[33]해외 연수비용 계산-삭제'!#REF!</definedName>
    <definedName name="ZX" localSheetId="68">'[33]해외 연수비용 계산-삭제'!#REF!</definedName>
    <definedName name="ZX" localSheetId="71">'[33]해외 연수비용 계산-삭제'!#REF!</definedName>
    <definedName name="ZX" localSheetId="44">'[33]해외 연수비용 계산-삭제'!#REF!</definedName>
    <definedName name="ZX" localSheetId="45">'[33]해외 연수비용 계산-삭제'!#REF!</definedName>
    <definedName name="ZX" localSheetId="17">'[33]해외 연수비용 계산-삭제'!#REF!</definedName>
    <definedName name="ZX" localSheetId="27">'[33]해외 연수비용 계산-삭제'!#REF!</definedName>
    <definedName name="ZX" localSheetId="72">'[33]해외 연수비용 계산-삭제'!#REF!</definedName>
    <definedName name="ZX" localSheetId="28">'[33]해외 연수비용 계산-삭제'!#REF!</definedName>
    <definedName name="ZX" localSheetId="29">'[33]해외 연수비용 계산-삭제'!#REF!</definedName>
    <definedName name="ZX" localSheetId="66">'[33]해외 연수비용 계산-삭제'!#REF!</definedName>
    <definedName name="ZX">'[33]해외 연수비용 계산-삭제'!#REF!</definedName>
    <definedName name="zz" localSheetId="70">#REF!</definedName>
    <definedName name="zz" localSheetId="52">#REF!</definedName>
    <definedName name="zz" localSheetId="58">#REF!</definedName>
    <definedName name="zz" localSheetId="56">#REF!</definedName>
    <definedName name="zz" localSheetId="57">#REF!</definedName>
    <definedName name="zz" localSheetId="64">#REF!</definedName>
    <definedName name="zz" localSheetId="67">#REF!</definedName>
    <definedName name="zz" localSheetId="65">#REF!</definedName>
    <definedName name="zz" localSheetId="68">#REF!</definedName>
    <definedName name="zz" localSheetId="71">#REF!</definedName>
    <definedName name="zz" localSheetId="44">#REF!</definedName>
    <definedName name="zz" localSheetId="45">#REF!</definedName>
    <definedName name="zz" localSheetId="17">#REF!</definedName>
    <definedName name="zz" localSheetId="27">#REF!</definedName>
    <definedName name="zz" localSheetId="72">#REF!</definedName>
    <definedName name="zz" localSheetId="28">#REF!</definedName>
    <definedName name="zz" localSheetId="29">#REF!</definedName>
    <definedName name="zz" localSheetId="66">#REF!</definedName>
    <definedName name="zz">#REF!</definedName>
    <definedName name="zzxxx" localSheetId="70">#REF!,#REF!</definedName>
    <definedName name="zzxxx" localSheetId="101">#REF!,#REF!</definedName>
    <definedName name="zzxxx" localSheetId="52">#REF!,#REF!</definedName>
    <definedName name="zzxxx" localSheetId="58">#REF!,#REF!</definedName>
    <definedName name="zzxxx" localSheetId="56">#REF!,#REF!</definedName>
    <definedName name="zzxxx" localSheetId="57">#REF!,#REF!</definedName>
    <definedName name="zzxxx" localSheetId="64">#REF!,#REF!</definedName>
    <definedName name="zzxxx" localSheetId="67">#REF!,#REF!</definedName>
    <definedName name="zzxxx" localSheetId="65">#REF!,#REF!</definedName>
    <definedName name="zzxxx" localSheetId="68">#REF!,#REF!</definedName>
    <definedName name="zzxxx" localSheetId="71">#REF!,#REF!</definedName>
    <definedName name="zzxxx" localSheetId="44">#REF!,#REF!</definedName>
    <definedName name="zzxxx" localSheetId="45">#REF!,#REF!</definedName>
    <definedName name="zzxxx" localSheetId="48">#REF!,#REF!</definedName>
    <definedName name="zzxxx" localSheetId="17">#REF!,#REF!</definedName>
    <definedName name="zzxxx" localSheetId="27">#REF!,#REF!</definedName>
    <definedName name="zzxxx" localSheetId="72">#REF!,#REF!</definedName>
    <definedName name="zzxxx" localSheetId="28">#REF!,#REF!</definedName>
    <definedName name="zzxxx" localSheetId="29">#REF!,#REF!</definedName>
    <definedName name="zzxxx" localSheetId="66">#REF!,#REF!</definedName>
    <definedName name="zzxxx">#REF!,#REF!</definedName>
    <definedName name="ㄱㄱㄱ" localSheetId="70">#REF!</definedName>
    <definedName name="ㄱㄱㄱ" localSheetId="52">#REF!</definedName>
    <definedName name="ㄱㄱㄱ" localSheetId="58">#REF!</definedName>
    <definedName name="ㄱㄱㄱ" localSheetId="56">#REF!</definedName>
    <definedName name="ㄱㄱㄱ" localSheetId="57">#REF!</definedName>
    <definedName name="ㄱㄱㄱ" localSheetId="64">#REF!</definedName>
    <definedName name="ㄱㄱㄱ" localSheetId="67">#REF!</definedName>
    <definedName name="ㄱㄱㄱ" localSheetId="65">#REF!</definedName>
    <definedName name="ㄱㄱㄱ" localSheetId="68">#REF!</definedName>
    <definedName name="ㄱㄱㄱ" localSheetId="71">#REF!</definedName>
    <definedName name="ㄱㄱㄱ" localSheetId="44">#REF!</definedName>
    <definedName name="ㄱㄱㄱ" localSheetId="45">#REF!</definedName>
    <definedName name="ㄱㄱㄱ" localSheetId="17">#REF!</definedName>
    <definedName name="ㄱㄱㄱ" localSheetId="27">#REF!</definedName>
    <definedName name="ㄱㄱㄱ" localSheetId="72">#REF!</definedName>
    <definedName name="ㄱㄱㄱ" localSheetId="28">#REF!</definedName>
    <definedName name="ㄱㄱㄱ" localSheetId="29">#REF!</definedName>
    <definedName name="ㄱㄱㄱ" localSheetId="66">#REF!</definedName>
    <definedName name="ㄱㄱㄱ">#REF!</definedName>
    <definedName name="간경1" localSheetId="70">#REF!</definedName>
    <definedName name="간경1" localSheetId="52">#REF!</definedName>
    <definedName name="간경1" localSheetId="58">#REF!</definedName>
    <definedName name="간경1" localSheetId="57">#REF!</definedName>
    <definedName name="간경1" localSheetId="64">#REF!</definedName>
    <definedName name="간경1" localSheetId="67">#REF!</definedName>
    <definedName name="간경1" localSheetId="65">#REF!</definedName>
    <definedName name="간경1" localSheetId="68">#REF!</definedName>
    <definedName name="간경1" localSheetId="71">#REF!</definedName>
    <definedName name="간경1" localSheetId="44">#REF!</definedName>
    <definedName name="간경1" localSheetId="45">#REF!</definedName>
    <definedName name="간경1" localSheetId="17">#REF!</definedName>
    <definedName name="간경1" localSheetId="27">#REF!</definedName>
    <definedName name="간경1" localSheetId="72">#REF!</definedName>
    <definedName name="간경1" localSheetId="28">#REF!</definedName>
    <definedName name="간경1" localSheetId="29">#REF!</definedName>
    <definedName name="간경1" localSheetId="66">#REF!</definedName>
    <definedName name="간경1">#REF!</definedName>
    <definedName name="간경2" localSheetId="70">#REF!</definedName>
    <definedName name="간경2" localSheetId="52">#REF!</definedName>
    <definedName name="간경2" localSheetId="58">#REF!</definedName>
    <definedName name="간경2" localSheetId="57">#REF!</definedName>
    <definedName name="간경2" localSheetId="64">#REF!</definedName>
    <definedName name="간경2" localSheetId="67">#REF!</definedName>
    <definedName name="간경2" localSheetId="65">#REF!</definedName>
    <definedName name="간경2" localSheetId="68">#REF!</definedName>
    <definedName name="간경2" localSheetId="71">#REF!</definedName>
    <definedName name="간경2" localSheetId="44">#REF!</definedName>
    <definedName name="간경2" localSheetId="45">#REF!</definedName>
    <definedName name="간경2" localSheetId="17">#REF!</definedName>
    <definedName name="간경2" localSheetId="27">#REF!</definedName>
    <definedName name="간경2" localSheetId="72">#REF!</definedName>
    <definedName name="간경2" localSheetId="28">#REF!</definedName>
    <definedName name="간경2" localSheetId="29">#REF!</definedName>
    <definedName name="간경2" localSheetId="66">#REF!</definedName>
    <definedName name="간경2">#REF!</definedName>
    <definedName name="간경3" localSheetId="70">#REF!</definedName>
    <definedName name="간경3" localSheetId="52">#REF!</definedName>
    <definedName name="간경3" localSheetId="58">#REF!</definedName>
    <definedName name="간경3" localSheetId="57">#REF!</definedName>
    <definedName name="간경3" localSheetId="64">#REF!</definedName>
    <definedName name="간경3" localSheetId="67">#REF!</definedName>
    <definedName name="간경3" localSheetId="65">#REF!</definedName>
    <definedName name="간경3" localSheetId="68">#REF!</definedName>
    <definedName name="간경3" localSheetId="71">#REF!</definedName>
    <definedName name="간경3" localSheetId="44">#REF!</definedName>
    <definedName name="간경3" localSheetId="45">#REF!</definedName>
    <definedName name="간경3" localSheetId="27">#REF!</definedName>
    <definedName name="간경3" localSheetId="28">#REF!</definedName>
    <definedName name="간경3" localSheetId="29">#REF!</definedName>
    <definedName name="간경3" localSheetId="66">#REF!</definedName>
    <definedName name="간경3">#REF!</definedName>
    <definedName name="간경4" localSheetId="70">#REF!</definedName>
    <definedName name="간경4" localSheetId="52">#REF!</definedName>
    <definedName name="간경4" localSheetId="58">#REF!</definedName>
    <definedName name="간경4" localSheetId="57">#REF!</definedName>
    <definedName name="간경4" localSheetId="64">#REF!</definedName>
    <definedName name="간경4" localSheetId="67">#REF!</definedName>
    <definedName name="간경4" localSheetId="65">#REF!</definedName>
    <definedName name="간경4" localSheetId="68">#REF!</definedName>
    <definedName name="간경4" localSheetId="71">#REF!</definedName>
    <definedName name="간경4" localSheetId="44">#REF!</definedName>
    <definedName name="간경4" localSheetId="45">#REF!</definedName>
    <definedName name="간경4" localSheetId="27">#REF!</definedName>
    <definedName name="간경4" localSheetId="28">#REF!</definedName>
    <definedName name="간경4" localSheetId="29">#REF!</definedName>
    <definedName name="간경4" localSheetId="66">#REF!</definedName>
    <definedName name="간경4">#REF!</definedName>
    <definedName name="간노1" localSheetId="70">#REF!</definedName>
    <definedName name="간노1" localSheetId="52">#REF!</definedName>
    <definedName name="간노1" localSheetId="58">#REF!</definedName>
    <definedName name="간노1" localSheetId="57">#REF!</definedName>
    <definedName name="간노1" localSheetId="64">#REF!</definedName>
    <definedName name="간노1" localSheetId="67">#REF!</definedName>
    <definedName name="간노1" localSheetId="65">#REF!</definedName>
    <definedName name="간노1" localSheetId="68">#REF!</definedName>
    <definedName name="간노1" localSheetId="71">#REF!</definedName>
    <definedName name="간노1" localSheetId="44">#REF!</definedName>
    <definedName name="간노1" localSheetId="45">#REF!</definedName>
    <definedName name="간노1" localSheetId="27">#REF!</definedName>
    <definedName name="간노1" localSheetId="28">#REF!</definedName>
    <definedName name="간노1" localSheetId="29">#REF!</definedName>
    <definedName name="간노1" localSheetId="66">#REF!</definedName>
    <definedName name="간노1">#REF!</definedName>
    <definedName name="간노2" localSheetId="70">#REF!</definedName>
    <definedName name="간노2" localSheetId="52">#REF!</definedName>
    <definedName name="간노2" localSheetId="58">#REF!</definedName>
    <definedName name="간노2" localSheetId="57">#REF!</definedName>
    <definedName name="간노2" localSheetId="64">#REF!</definedName>
    <definedName name="간노2" localSheetId="67">#REF!</definedName>
    <definedName name="간노2" localSheetId="65">#REF!</definedName>
    <definedName name="간노2" localSheetId="68">#REF!</definedName>
    <definedName name="간노2" localSheetId="71">#REF!</definedName>
    <definedName name="간노2" localSheetId="44">#REF!</definedName>
    <definedName name="간노2" localSheetId="45">#REF!</definedName>
    <definedName name="간노2" localSheetId="27">#REF!</definedName>
    <definedName name="간노2" localSheetId="28">#REF!</definedName>
    <definedName name="간노2" localSheetId="29">#REF!</definedName>
    <definedName name="간노2" localSheetId="66">#REF!</definedName>
    <definedName name="간노2">#REF!</definedName>
    <definedName name="간재" localSheetId="70">#REF!</definedName>
    <definedName name="간재" localSheetId="52">#REF!</definedName>
    <definedName name="간재" localSheetId="58">#REF!</definedName>
    <definedName name="간재" localSheetId="57">#REF!</definedName>
    <definedName name="간재" localSheetId="64">#REF!</definedName>
    <definedName name="간재" localSheetId="67">#REF!</definedName>
    <definedName name="간재" localSheetId="65">#REF!</definedName>
    <definedName name="간재" localSheetId="68">#REF!</definedName>
    <definedName name="간재" localSheetId="71">#REF!</definedName>
    <definedName name="간재" localSheetId="44">#REF!</definedName>
    <definedName name="간재" localSheetId="45">#REF!</definedName>
    <definedName name="간재" localSheetId="27">#REF!</definedName>
    <definedName name="간재" localSheetId="28">#REF!</definedName>
    <definedName name="간재" localSheetId="29">#REF!</definedName>
    <definedName name="간재" localSheetId="66">#REF!</definedName>
    <definedName name="간재">#REF!</definedName>
    <definedName name="감가" localSheetId="70">#REF!</definedName>
    <definedName name="감가" localSheetId="52">#REF!</definedName>
    <definedName name="감가" localSheetId="58">#REF!</definedName>
    <definedName name="감가" localSheetId="57">#REF!</definedName>
    <definedName name="감가" localSheetId="64">#REF!</definedName>
    <definedName name="감가" localSheetId="67">#REF!</definedName>
    <definedName name="감가" localSheetId="65">#REF!</definedName>
    <definedName name="감가" localSheetId="68">#REF!</definedName>
    <definedName name="감가" localSheetId="71">#REF!</definedName>
    <definedName name="감가" localSheetId="44">#REF!</definedName>
    <definedName name="감가" localSheetId="45">#REF!</definedName>
    <definedName name="감가" localSheetId="27">#REF!</definedName>
    <definedName name="감가" localSheetId="28">#REF!</definedName>
    <definedName name="감가" localSheetId="29">#REF!</definedName>
    <definedName name="감가" localSheetId="66">#REF!</definedName>
    <definedName name="감가">#REF!</definedName>
    <definedName name="건">#N/A</definedName>
    <definedName name="견적데이타" localSheetId="70">[74]견적기준!#REF!</definedName>
    <definedName name="견적데이타" localSheetId="52">[74]견적기준!#REF!</definedName>
    <definedName name="견적데이타" localSheetId="58">[74]견적기준!#REF!</definedName>
    <definedName name="견적데이타" localSheetId="57">[74]견적기준!#REF!</definedName>
    <definedName name="견적데이타" localSheetId="64">[74]견적기준!#REF!</definedName>
    <definedName name="견적데이타" localSheetId="67">[74]견적기준!#REF!</definedName>
    <definedName name="견적데이타" localSheetId="65">[74]견적기준!#REF!</definedName>
    <definedName name="견적데이타" localSheetId="68">[74]견적기준!#REF!</definedName>
    <definedName name="견적데이타" localSheetId="71">[74]견적기준!#REF!</definedName>
    <definedName name="견적데이타" localSheetId="44">[74]견적기준!#REF!</definedName>
    <definedName name="견적데이타" localSheetId="45">[74]견적기준!#REF!</definedName>
    <definedName name="견적데이타" localSheetId="27">[74]견적기준!#REF!</definedName>
    <definedName name="견적데이타" localSheetId="28">[74]견적기준!#REF!</definedName>
    <definedName name="견적데이타" localSheetId="29">[74]견적기준!#REF!</definedName>
    <definedName name="견적데이타" localSheetId="66">[74]견적기준!#REF!</definedName>
    <definedName name="견적데이타">[74]견적기준!#REF!</definedName>
    <definedName name="계전2" localSheetId="70" hidden="1">#REF!</definedName>
    <definedName name="계전2" localSheetId="52" hidden="1">#REF!</definedName>
    <definedName name="계전2" localSheetId="58" hidden="1">#REF!</definedName>
    <definedName name="계전2" localSheetId="56" hidden="1">#REF!</definedName>
    <definedName name="계전2" localSheetId="57" hidden="1">#REF!</definedName>
    <definedName name="계전2" localSheetId="64" hidden="1">#REF!</definedName>
    <definedName name="계전2" localSheetId="67" hidden="1">#REF!</definedName>
    <definedName name="계전2" localSheetId="65" hidden="1">#REF!</definedName>
    <definedName name="계전2" localSheetId="68" hidden="1">#REF!</definedName>
    <definedName name="계전2" localSheetId="71" hidden="1">#REF!</definedName>
    <definedName name="계전2" localSheetId="44" hidden="1">#REF!</definedName>
    <definedName name="계전2" localSheetId="45" hidden="1">#REF!</definedName>
    <definedName name="계전2" localSheetId="17" hidden="1">#REF!</definedName>
    <definedName name="계전2" localSheetId="27" hidden="1">#REF!</definedName>
    <definedName name="계전2" localSheetId="72" hidden="1">#REF!</definedName>
    <definedName name="계전2" localSheetId="28" hidden="1">#REF!</definedName>
    <definedName name="계전2" localSheetId="29" hidden="1">#REF!</definedName>
    <definedName name="계전2" localSheetId="66" hidden="1">#REF!</definedName>
    <definedName name="계전2" hidden="1">#REF!</definedName>
    <definedName name="공" localSheetId="70">#REF!</definedName>
    <definedName name="공" localSheetId="52">#REF!</definedName>
    <definedName name="공" localSheetId="58">#REF!</definedName>
    <definedName name="공" localSheetId="57">#REF!</definedName>
    <definedName name="공" localSheetId="64">#REF!</definedName>
    <definedName name="공" localSheetId="67">#REF!</definedName>
    <definedName name="공" localSheetId="65">#REF!</definedName>
    <definedName name="공" localSheetId="68">#REF!</definedName>
    <definedName name="공" localSheetId="71">#REF!</definedName>
    <definedName name="공" localSheetId="44">#REF!</definedName>
    <definedName name="공" localSheetId="45">#REF!</definedName>
    <definedName name="공" localSheetId="17">#REF!</definedName>
    <definedName name="공" localSheetId="27">#REF!</definedName>
    <definedName name="공" localSheetId="72">#REF!</definedName>
    <definedName name="공" localSheetId="28">#REF!</definedName>
    <definedName name="공" localSheetId="29">#REF!</definedName>
    <definedName name="공" localSheetId="66">#REF!</definedName>
    <definedName name="공">#REF!</definedName>
    <definedName name="공사명" localSheetId="70">#REF!</definedName>
    <definedName name="공사명" localSheetId="52">#REF!</definedName>
    <definedName name="공사명" localSheetId="58">#REF!</definedName>
    <definedName name="공사명" localSheetId="57">#REF!</definedName>
    <definedName name="공사명" localSheetId="64">#REF!</definedName>
    <definedName name="공사명" localSheetId="67">#REF!</definedName>
    <definedName name="공사명" localSheetId="65">#REF!</definedName>
    <definedName name="공사명" localSheetId="68">#REF!</definedName>
    <definedName name="공사명" localSheetId="71">#REF!</definedName>
    <definedName name="공사명" localSheetId="44">#REF!</definedName>
    <definedName name="공사명" localSheetId="45">#REF!</definedName>
    <definedName name="공사명" localSheetId="17">#REF!</definedName>
    <definedName name="공사명" localSheetId="27">#REF!</definedName>
    <definedName name="공사명" localSheetId="72">#REF!</definedName>
    <definedName name="공사명" localSheetId="28">#REF!</definedName>
    <definedName name="공사명" localSheetId="29">#REF!</definedName>
    <definedName name="공사명" localSheetId="66">#REF!</definedName>
    <definedName name="공사명">#REF!</definedName>
    <definedName name="공장" localSheetId="70">#REF!</definedName>
    <definedName name="공장" localSheetId="52">#REF!</definedName>
    <definedName name="공장" localSheetId="58">#REF!</definedName>
    <definedName name="공장" localSheetId="57">#REF!</definedName>
    <definedName name="공장" localSheetId="64">#REF!</definedName>
    <definedName name="공장" localSheetId="67">#REF!</definedName>
    <definedName name="공장" localSheetId="65">#REF!</definedName>
    <definedName name="공장" localSheetId="68">#REF!</definedName>
    <definedName name="공장" localSheetId="71">#REF!</definedName>
    <definedName name="공장" localSheetId="44">#REF!</definedName>
    <definedName name="공장" localSheetId="45">#REF!</definedName>
    <definedName name="공장" localSheetId="27">#REF!</definedName>
    <definedName name="공장" localSheetId="28">#REF!</definedName>
    <definedName name="공장" localSheetId="29">#REF!</definedName>
    <definedName name="공장" localSheetId="66">#REF!</definedName>
    <definedName name="공장">#REF!</definedName>
    <definedName name="기계설치공" localSheetId="70">#REF!</definedName>
    <definedName name="기계설치공" localSheetId="52">#REF!</definedName>
    <definedName name="기계설치공" localSheetId="58">#REF!</definedName>
    <definedName name="기계설치공" localSheetId="57">#REF!</definedName>
    <definedName name="기계설치공" localSheetId="64">#REF!</definedName>
    <definedName name="기계설치공" localSheetId="67">#REF!</definedName>
    <definedName name="기계설치공" localSheetId="65">#REF!</definedName>
    <definedName name="기계설치공" localSheetId="68">#REF!</definedName>
    <definedName name="기계설치공" localSheetId="71">#REF!</definedName>
    <definedName name="기계설치공" localSheetId="44">#REF!</definedName>
    <definedName name="기계설치공" localSheetId="45">#REF!</definedName>
    <definedName name="기계설치공" localSheetId="27">#REF!</definedName>
    <definedName name="기계설치공" localSheetId="28">#REF!</definedName>
    <definedName name="기계설치공" localSheetId="29">#REF!</definedName>
    <definedName name="기계설치공" localSheetId="66">#REF!</definedName>
    <definedName name="기계설치공">#REF!</definedName>
    <definedName name="기계설치공__플랜트" localSheetId="70">#REF!</definedName>
    <definedName name="기계설치공__플랜트" localSheetId="52">#REF!</definedName>
    <definedName name="기계설치공__플랜트" localSheetId="58">#REF!</definedName>
    <definedName name="기계설치공__플랜트" localSheetId="57">#REF!</definedName>
    <definedName name="기계설치공__플랜트" localSheetId="64">#REF!</definedName>
    <definedName name="기계설치공__플랜트" localSheetId="67">#REF!</definedName>
    <definedName name="기계설치공__플랜트" localSheetId="65">#REF!</definedName>
    <definedName name="기계설치공__플랜트" localSheetId="68">#REF!</definedName>
    <definedName name="기계설치공__플랜트" localSheetId="71">#REF!</definedName>
    <definedName name="기계설치공__플랜트" localSheetId="44">#REF!</definedName>
    <definedName name="기계설치공__플랜트" localSheetId="45">#REF!</definedName>
    <definedName name="기계설치공__플랜트" localSheetId="27">#REF!</definedName>
    <definedName name="기계설치공__플랜트" localSheetId="28">#REF!</definedName>
    <definedName name="기계설치공__플랜트" localSheetId="29">#REF!</definedName>
    <definedName name="기계설치공__플랜트" localSheetId="66">#REF!</definedName>
    <definedName name="기계설치공__플랜트">#REF!</definedName>
    <definedName name="기타_선택" localSheetId="70">#REF!</definedName>
    <definedName name="기타_선택" localSheetId="52">#REF!</definedName>
    <definedName name="기타_선택" localSheetId="58">#REF!</definedName>
    <definedName name="기타_선택" localSheetId="57">#REF!</definedName>
    <definedName name="기타_선택" localSheetId="64">#REF!</definedName>
    <definedName name="기타_선택" localSheetId="67">#REF!</definedName>
    <definedName name="기타_선택" localSheetId="65">#REF!</definedName>
    <definedName name="기타_선택" localSheetId="68">#REF!</definedName>
    <definedName name="기타_선택" localSheetId="71">#REF!</definedName>
    <definedName name="기타_선택" localSheetId="44">#REF!</definedName>
    <definedName name="기타_선택" localSheetId="45">#REF!</definedName>
    <definedName name="기타_선택" localSheetId="27">#REF!</definedName>
    <definedName name="기타_선택" localSheetId="28">#REF!</definedName>
    <definedName name="기타_선택" localSheetId="29">#REF!</definedName>
    <definedName name="기타_선택" localSheetId="66">#REF!</definedName>
    <definedName name="기타_선택">#REF!</definedName>
    <definedName name="기타_선택1" localSheetId="70">#REF!</definedName>
    <definedName name="기타_선택1" localSheetId="52">#REF!</definedName>
    <definedName name="기타_선택1" localSheetId="58">#REF!</definedName>
    <definedName name="기타_선택1" localSheetId="57">#REF!</definedName>
    <definedName name="기타_선택1" localSheetId="64">#REF!</definedName>
    <definedName name="기타_선택1" localSheetId="67">#REF!</definedName>
    <definedName name="기타_선택1" localSheetId="65">#REF!</definedName>
    <definedName name="기타_선택1" localSheetId="68">#REF!</definedName>
    <definedName name="기타_선택1" localSheetId="71">#REF!</definedName>
    <definedName name="기타_선택1" localSheetId="44">#REF!</definedName>
    <definedName name="기타_선택1" localSheetId="45">#REF!</definedName>
    <definedName name="기타_선택1" localSheetId="27">#REF!</definedName>
    <definedName name="기타_선택1" localSheetId="28">#REF!</definedName>
    <definedName name="기타_선택1" localSheetId="29">#REF!</definedName>
    <definedName name="기타_선택1" localSheetId="66">#REF!</definedName>
    <definedName name="기타_선택1">#REF!</definedName>
    <definedName name="ㄴㅇㄹ">#N/A</definedName>
    <definedName name="ㄴㅇㄹㅇㄹ" localSheetId="70" hidden="1">'[28]Eq. Mobilization'!#REF!</definedName>
    <definedName name="ㄴㅇㄹㅇㄹ" localSheetId="52" hidden="1">'[28]Eq. Mobilization'!#REF!</definedName>
    <definedName name="ㄴㅇㄹㅇㄹ" localSheetId="58" hidden="1">'[28]Eq. Mobilization'!#REF!</definedName>
    <definedName name="ㄴㅇㄹㅇㄹ" localSheetId="57" hidden="1">'[28]Eq. Mobilization'!#REF!</definedName>
    <definedName name="ㄴㅇㄹㅇㄹ" localSheetId="64" hidden="1">'[28]Eq. Mobilization'!#REF!</definedName>
    <definedName name="ㄴㅇㄹㅇㄹ" localSheetId="67" hidden="1">'[28]Eq. Mobilization'!#REF!</definedName>
    <definedName name="ㄴㅇㄹㅇㄹ" localSheetId="65" hidden="1">'[28]Eq. Mobilization'!#REF!</definedName>
    <definedName name="ㄴㅇㄹㅇㄹ" localSheetId="68" hidden="1">'[28]Eq. Mobilization'!#REF!</definedName>
    <definedName name="ㄴㅇㄹㅇㄹ" localSheetId="71" hidden="1">'[28]Eq. Mobilization'!#REF!</definedName>
    <definedName name="ㄴㅇㄹㅇㄹ" localSheetId="44" hidden="1">'[28]Eq. Mobilization'!#REF!</definedName>
    <definedName name="ㄴㅇㄹㅇㄹ" localSheetId="45" hidden="1">'[28]Eq. Mobilization'!#REF!</definedName>
    <definedName name="ㄴㅇㄹㅇㄹ" localSheetId="27" hidden="1">'[28]Eq. Mobilization'!#REF!</definedName>
    <definedName name="ㄴㅇㄹㅇㄹ" localSheetId="28" hidden="1">'[28]Eq. Mobilization'!#REF!</definedName>
    <definedName name="ㄴㅇㄹㅇㄹ" localSheetId="29" hidden="1">'[28]Eq. Mobilization'!#REF!</definedName>
    <definedName name="ㄴㅇㄹㅇㄹ" localSheetId="66" hidden="1">'[28]Eq. Mobilization'!#REF!</definedName>
    <definedName name="ㄴㅇㄹㅇㄹ" hidden="1">'[28]Eq. Mobilization'!#REF!</definedName>
    <definedName name="납기일" localSheetId="70">#REF!</definedName>
    <definedName name="납기일" localSheetId="52">#REF!</definedName>
    <definedName name="납기일" localSheetId="58">#REF!</definedName>
    <definedName name="납기일" localSheetId="56">#REF!</definedName>
    <definedName name="납기일" localSheetId="57">#REF!</definedName>
    <definedName name="납기일" localSheetId="64">#REF!</definedName>
    <definedName name="납기일" localSheetId="67">#REF!</definedName>
    <definedName name="납기일" localSheetId="65">#REF!</definedName>
    <definedName name="납기일" localSheetId="68">#REF!</definedName>
    <definedName name="납기일" localSheetId="71">#REF!</definedName>
    <definedName name="납기일" localSheetId="44">#REF!</definedName>
    <definedName name="납기일" localSheetId="45">#REF!</definedName>
    <definedName name="납기일" localSheetId="17">#REF!</definedName>
    <definedName name="납기일" localSheetId="27">#REF!</definedName>
    <definedName name="납기일" localSheetId="72">#REF!</definedName>
    <definedName name="납기일" localSheetId="28">#REF!</definedName>
    <definedName name="납기일" localSheetId="29">#REF!</definedName>
    <definedName name="납기일" localSheetId="66">#REF!</definedName>
    <definedName name="납기일">#REF!</definedName>
    <definedName name="내역서" localSheetId="70">#REF!</definedName>
    <definedName name="내역서" localSheetId="52">#REF!</definedName>
    <definedName name="내역서" localSheetId="58">#REF!</definedName>
    <definedName name="내역서" localSheetId="57">#REF!</definedName>
    <definedName name="내역서" localSheetId="64">#REF!</definedName>
    <definedName name="내역서" localSheetId="67">#REF!</definedName>
    <definedName name="내역서" localSheetId="65">#REF!</definedName>
    <definedName name="내역서" localSheetId="68">#REF!</definedName>
    <definedName name="내역서" localSheetId="71">#REF!</definedName>
    <definedName name="내역서" localSheetId="44">#REF!</definedName>
    <definedName name="내역서" localSheetId="45">#REF!</definedName>
    <definedName name="내역서" localSheetId="17">#REF!</definedName>
    <definedName name="내역서" localSheetId="27">#REF!</definedName>
    <definedName name="내역서" localSheetId="72">#REF!</definedName>
    <definedName name="내역서" localSheetId="28">#REF!</definedName>
    <definedName name="내역서" localSheetId="29">#REF!</definedName>
    <definedName name="내역서" localSheetId="66">#REF!</definedName>
    <definedName name="내역서">#REF!</definedName>
    <definedName name="ㄷ" localSheetId="70">OFFSET([75]규격!#REF!,1,[75]규격!$E$3-1,10,1)</definedName>
    <definedName name="ㄷ" localSheetId="52">OFFSET([75]규격!#REF!,1,[75]규격!$E$3-1,10,1)</definedName>
    <definedName name="ㄷ" localSheetId="58">OFFSET([75]규격!#REF!,1,[75]규격!$E$3-1,10,1)</definedName>
    <definedName name="ㄷ" localSheetId="56">OFFSET([75]규격!#REF!,1,[75]규격!$E$3-1,10,1)</definedName>
    <definedName name="ㄷ" localSheetId="57">OFFSET([75]규격!#REF!,1,[75]규격!$E$3-1,10,1)</definedName>
    <definedName name="ㄷ" localSheetId="64">OFFSET([75]규격!#REF!,1,[75]규격!$E$3-1,10,1)</definedName>
    <definedName name="ㄷ" localSheetId="67">OFFSET([75]규격!#REF!,1,[75]규격!$E$3-1,10,1)</definedName>
    <definedName name="ㄷ" localSheetId="65">OFFSET([75]규격!#REF!,1,[75]규격!$E$3-1,10,1)</definedName>
    <definedName name="ㄷ" localSheetId="68">OFFSET([75]규격!#REF!,1,[75]규격!$E$3-1,10,1)</definedName>
    <definedName name="ㄷ" localSheetId="71">OFFSET([75]규격!#REF!,1,[75]규격!$E$3-1,10,1)</definedName>
    <definedName name="ㄷ" localSheetId="44">OFFSET([75]규격!#REF!,1,[75]규격!$E$3-1,10,1)</definedName>
    <definedName name="ㄷ" localSheetId="45">OFFSET([75]규격!#REF!,1,[75]규격!$E$3-1,10,1)</definedName>
    <definedName name="ㄷ" localSheetId="17">OFFSET([75]규격!#REF!,1,[75]규격!$E$3-1,10,1)</definedName>
    <definedName name="ㄷ" localSheetId="27">OFFSET([75]규격!#REF!,1,[75]규격!$E$3-1,10,1)</definedName>
    <definedName name="ㄷ" localSheetId="72">OFFSET([75]규격!#REF!,1,[75]규격!$E$3-1,10,1)</definedName>
    <definedName name="ㄷ" localSheetId="28">OFFSET([75]규격!#REF!,1,[75]규격!$E$3-1,10,1)</definedName>
    <definedName name="ㄷ" localSheetId="29">OFFSET([75]규격!#REF!,1,[75]규격!$E$3-1,10,1)</definedName>
    <definedName name="ㄷ" localSheetId="66">OFFSET([75]규격!#REF!,1,[75]규격!$E$3-1,10,1)</definedName>
    <definedName name="ㄷ">OFFSET([75]규격!#REF!,1,[75]규격!$E$3-1,10,1)</definedName>
    <definedName name="단가">[76]기준표!$A$1:$C$65536</definedName>
    <definedName name="당등" localSheetId="70">#REF!</definedName>
    <definedName name="당등" localSheetId="52">#REF!</definedName>
    <definedName name="당등" localSheetId="58">#REF!</definedName>
    <definedName name="당등" localSheetId="56">#REF!</definedName>
    <definedName name="당등" localSheetId="57">#REF!</definedName>
    <definedName name="당등" localSheetId="64">#REF!</definedName>
    <definedName name="당등" localSheetId="67">#REF!</definedName>
    <definedName name="당등" localSheetId="65">#REF!</definedName>
    <definedName name="당등" localSheetId="68">#REF!</definedName>
    <definedName name="당등" localSheetId="71">#REF!</definedName>
    <definedName name="당등" localSheetId="44">#REF!</definedName>
    <definedName name="당등" localSheetId="45">#REF!</definedName>
    <definedName name="당등" localSheetId="17">#REF!</definedName>
    <definedName name="당등" localSheetId="27">#REF!</definedName>
    <definedName name="당등" localSheetId="72">#REF!</definedName>
    <definedName name="당등" localSheetId="28">#REF!</definedName>
    <definedName name="당등" localSheetId="29">#REF!</definedName>
    <definedName name="당등" localSheetId="66">#REF!</definedName>
    <definedName name="당등">#REF!</definedName>
    <definedName name="대" localSheetId="140" hidden="1">{"Edition",#N/A,FALSE,"Data"}</definedName>
    <definedName name="대" localSheetId="58" hidden="1">{"Edition",#N/A,FALSE,"Data"}</definedName>
    <definedName name="대" localSheetId="56" hidden="1">{"Edition",#N/A,FALSE,"Data"}</definedName>
    <definedName name="대" localSheetId="57" hidden="1">{"Edition",#N/A,FALSE,"Data"}</definedName>
    <definedName name="대" localSheetId="67" hidden="1">{"Edition",#N/A,FALSE,"Data"}</definedName>
    <definedName name="대" localSheetId="65" hidden="1">{"Edition",#N/A,FALSE,"Data"}</definedName>
    <definedName name="대" localSheetId="68" hidden="1">{"Edition",#N/A,FALSE,"Data"}</definedName>
    <definedName name="대" localSheetId="71" hidden="1">{"Edition",#N/A,FALSE,"Data"}</definedName>
    <definedName name="대" localSheetId="17" hidden="1">{"Edition",#N/A,FALSE,"Data"}</definedName>
    <definedName name="대" localSheetId="27" hidden="1">{"Edition",#N/A,FALSE,"Data"}</definedName>
    <definedName name="대" localSheetId="72" hidden="1">{"Edition",#N/A,FALSE,"Data"}</definedName>
    <definedName name="대" localSheetId="28" hidden="1">{"Edition",#N/A,FALSE,"Data"}</definedName>
    <definedName name="대" localSheetId="29" hidden="1">{"Edition",#N/A,FALSE,"Data"}</definedName>
    <definedName name="대" hidden="1">{"Edition",#N/A,FALSE,"Data"}</definedName>
    <definedName name="대비표_COMP" localSheetId="70">#REF!</definedName>
    <definedName name="대비표_COMP" localSheetId="52">#REF!</definedName>
    <definedName name="대비표_COMP" localSheetId="58">#REF!</definedName>
    <definedName name="대비표_COMP" localSheetId="56">#REF!</definedName>
    <definedName name="대비표_COMP" localSheetId="57">#REF!</definedName>
    <definedName name="대비표_COMP" localSheetId="64">#REF!</definedName>
    <definedName name="대비표_COMP" localSheetId="67">#REF!</definedName>
    <definedName name="대비표_COMP" localSheetId="65">#REF!</definedName>
    <definedName name="대비표_COMP" localSheetId="68">#REF!</definedName>
    <definedName name="대비표_COMP" localSheetId="71">#REF!</definedName>
    <definedName name="대비표_COMP" localSheetId="44">#REF!</definedName>
    <definedName name="대비표_COMP" localSheetId="45">#REF!</definedName>
    <definedName name="대비표_COMP" localSheetId="17">#REF!</definedName>
    <definedName name="대비표_COMP" localSheetId="27">#REF!</definedName>
    <definedName name="대비표_COMP" localSheetId="72">#REF!</definedName>
    <definedName name="대비표_COMP" localSheetId="28">#REF!</definedName>
    <definedName name="대비표_COMP" localSheetId="29">#REF!</definedName>
    <definedName name="대비표_COMP" localSheetId="66">#REF!</definedName>
    <definedName name="대비표_COMP">#REF!</definedName>
    <definedName name="대비표_선택" localSheetId="70">#REF!</definedName>
    <definedName name="대비표_선택" localSheetId="52">#REF!</definedName>
    <definedName name="대비표_선택" localSheetId="58">#REF!</definedName>
    <definedName name="대비표_선택" localSheetId="57">#REF!</definedName>
    <definedName name="대비표_선택" localSheetId="64">#REF!</definedName>
    <definedName name="대비표_선택" localSheetId="67">#REF!</definedName>
    <definedName name="대비표_선택" localSheetId="65">#REF!</definedName>
    <definedName name="대비표_선택" localSheetId="68">#REF!</definedName>
    <definedName name="대비표_선택" localSheetId="71">#REF!</definedName>
    <definedName name="대비표_선택" localSheetId="44">#REF!</definedName>
    <definedName name="대비표_선택" localSheetId="45">#REF!</definedName>
    <definedName name="대비표_선택" localSheetId="17">#REF!</definedName>
    <definedName name="대비표_선택" localSheetId="27">#REF!</definedName>
    <definedName name="대비표_선택" localSheetId="72">#REF!</definedName>
    <definedName name="대비표_선택" localSheetId="28">#REF!</definedName>
    <definedName name="대비표_선택" localSheetId="29">#REF!</definedName>
    <definedName name="대비표_선택" localSheetId="66">#REF!</definedName>
    <definedName name="대비표_선택">#REF!</definedName>
    <definedName name="ㄹㅇ" localSheetId="70">#REF!</definedName>
    <definedName name="ㄹㅇ" localSheetId="52">#REF!</definedName>
    <definedName name="ㄹㅇ" localSheetId="58">#REF!</definedName>
    <definedName name="ㄹㅇ" localSheetId="57">#REF!</definedName>
    <definedName name="ㄹㅇ" localSheetId="64">#REF!</definedName>
    <definedName name="ㄹㅇ" localSheetId="67">#REF!</definedName>
    <definedName name="ㄹㅇ" localSheetId="65">#REF!</definedName>
    <definedName name="ㄹㅇ" localSheetId="68">#REF!</definedName>
    <definedName name="ㄹㅇ" localSheetId="71">#REF!</definedName>
    <definedName name="ㄹㅇ" localSheetId="44">#REF!</definedName>
    <definedName name="ㄹㅇ" localSheetId="45">#REF!</definedName>
    <definedName name="ㄹㅇ" localSheetId="17">#REF!</definedName>
    <definedName name="ㄹㅇ" localSheetId="27">#REF!</definedName>
    <definedName name="ㄹㅇ" localSheetId="72">#REF!</definedName>
    <definedName name="ㄹㅇ" localSheetId="28">#REF!</definedName>
    <definedName name="ㄹㅇ" localSheetId="29">#REF!</definedName>
    <definedName name="ㄹㅇ" localSheetId="66">#REF!</definedName>
    <definedName name="ㄹㅇ">#REF!</definedName>
    <definedName name="ㄹㅇㄴ" localSheetId="140" hidden="1">{"'Sheet1'!$L$16"}</definedName>
    <definedName name="ㄹㅇㄴ" localSheetId="58" hidden="1">{"'Sheet1'!$L$16"}</definedName>
    <definedName name="ㄹㅇㄴ" localSheetId="56" hidden="1">{"'Sheet1'!$L$16"}</definedName>
    <definedName name="ㄹㅇㄴ" localSheetId="57" hidden="1">{"'Sheet1'!$L$16"}</definedName>
    <definedName name="ㄹㅇㄴ" localSheetId="67" hidden="1">{"'Sheet1'!$L$16"}</definedName>
    <definedName name="ㄹㅇㄴ" localSheetId="65" hidden="1">{"'Sheet1'!$L$16"}</definedName>
    <definedName name="ㄹㅇㄴ" localSheetId="68" hidden="1">{"'Sheet1'!$L$16"}</definedName>
    <definedName name="ㄹㅇㄴ" localSheetId="71" hidden="1">{"'Sheet1'!$L$16"}</definedName>
    <definedName name="ㄹㅇㄴ" localSheetId="17" hidden="1">{"'Sheet1'!$L$16"}</definedName>
    <definedName name="ㄹㅇㄴ" localSheetId="27" hidden="1">{"'Sheet1'!$L$16"}</definedName>
    <definedName name="ㄹㅇㄴ" localSheetId="72" hidden="1">{"'Sheet1'!$L$16"}</definedName>
    <definedName name="ㄹㅇㄴ" localSheetId="28" hidden="1">{"'Sheet1'!$L$16"}</definedName>
    <definedName name="ㄹㅇㄴ" localSheetId="29" hidden="1">{"'Sheet1'!$L$16"}</definedName>
    <definedName name="ㄹㅇㄴ" hidden="1">{"'Sheet1'!$L$16"}</definedName>
    <definedName name="ㅁ01" localSheetId="70">#REF!</definedName>
    <definedName name="ㅁ01" localSheetId="52">#REF!</definedName>
    <definedName name="ㅁ01" localSheetId="58">#REF!</definedName>
    <definedName name="ㅁ01" localSheetId="57">#REF!</definedName>
    <definedName name="ㅁ01" localSheetId="64">#REF!</definedName>
    <definedName name="ㅁ01" localSheetId="67">#REF!</definedName>
    <definedName name="ㅁ01" localSheetId="65">#REF!</definedName>
    <definedName name="ㅁ01" localSheetId="68">#REF!</definedName>
    <definedName name="ㅁ01" localSheetId="71">#REF!</definedName>
    <definedName name="ㅁ01" localSheetId="44">#REF!</definedName>
    <definedName name="ㅁ01" localSheetId="45">#REF!</definedName>
    <definedName name="ㅁ01" localSheetId="27">#REF!</definedName>
    <definedName name="ㅁ01" localSheetId="28">#REF!</definedName>
    <definedName name="ㅁ01" localSheetId="29">#REF!</definedName>
    <definedName name="ㅁ01" localSheetId="66">#REF!</definedName>
    <definedName name="ㅁ01">#REF!</definedName>
    <definedName name="ㅁ1" localSheetId="70">#REF!</definedName>
    <definedName name="ㅁ1" localSheetId="52">#REF!</definedName>
    <definedName name="ㅁ1" localSheetId="58">#REF!</definedName>
    <definedName name="ㅁ1" localSheetId="57">#REF!</definedName>
    <definedName name="ㅁ1" localSheetId="64">#REF!</definedName>
    <definedName name="ㅁ1" localSheetId="67">#REF!</definedName>
    <definedName name="ㅁ1" localSheetId="65">#REF!</definedName>
    <definedName name="ㅁ1" localSheetId="68">#REF!</definedName>
    <definedName name="ㅁ1" localSheetId="71">#REF!</definedName>
    <definedName name="ㅁ1" localSheetId="44">#REF!</definedName>
    <definedName name="ㅁ1" localSheetId="45">#REF!</definedName>
    <definedName name="ㅁ1" localSheetId="27">#REF!</definedName>
    <definedName name="ㅁ1" localSheetId="28">#REF!</definedName>
    <definedName name="ㅁ1" localSheetId="29">#REF!</definedName>
    <definedName name="ㅁ1" localSheetId="66">#REF!</definedName>
    <definedName name="ㅁ1">#REF!</definedName>
    <definedName name="ㅁㅁㅁ" localSheetId="70">#REF!</definedName>
    <definedName name="ㅁㅁㅁ" localSheetId="52">#REF!</definedName>
    <definedName name="ㅁㅁㅁ" localSheetId="58">#REF!</definedName>
    <definedName name="ㅁㅁㅁ" localSheetId="57">#REF!</definedName>
    <definedName name="ㅁㅁㅁ" localSheetId="64">#REF!</definedName>
    <definedName name="ㅁㅁㅁ" localSheetId="67">#REF!</definedName>
    <definedName name="ㅁㅁㅁ" localSheetId="65">#REF!</definedName>
    <definedName name="ㅁㅁㅁ" localSheetId="68">#REF!</definedName>
    <definedName name="ㅁㅁㅁ" localSheetId="71">#REF!</definedName>
    <definedName name="ㅁㅁㅁ" localSheetId="44">#REF!</definedName>
    <definedName name="ㅁㅁㅁ" localSheetId="45">#REF!</definedName>
    <definedName name="ㅁㅁㅁ" localSheetId="27">#REF!</definedName>
    <definedName name="ㅁㅁㅁ" localSheetId="28">#REF!</definedName>
    <definedName name="ㅁㅁㅁ" localSheetId="29">#REF!</definedName>
    <definedName name="ㅁㅁㅁ" localSheetId="66">#REF!</definedName>
    <definedName name="ㅁㅁㅁ">#REF!</definedName>
    <definedName name="ㅁㅁㅁㅁ" localSheetId="140" hidden="1">{"Edition",#N/A,FALSE,"Data"}</definedName>
    <definedName name="ㅁㅁㅁㅁ" localSheetId="58" hidden="1">{"Edition",#N/A,FALSE,"Data"}</definedName>
    <definedName name="ㅁㅁㅁㅁ" localSheetId="56" hidden="1">{"Edition",#N/A,FALSE,"Data"}</definedName>
    <definedName name="ㅁㅁㅁㅁ" localSheetId="57" hidden="1">{"Edition",#N/A,FALSE,"Data"}</definedName>
    <definedName name="ㅁㅁㅁㅁ" localSheetId="67" hidden="1">{"Edition",#N/A,FALSE,"Data"}</definedName>
    <definedName name="ㅁㅁㅁㅁ" localSheetId="65" hidden="1">{"Edition",#N/A,FALSE,"Data"}</definedName>
    <definedName name="ㅁㅁㅁㅁ" localSheetId="68" hidden="1">{"Edition",#N/A,FALSE,"Data"}</definedName>
    <definedName name="ㅁㅁㅁㅁ" localSheetId="71" hidden="1">{"Edition",#N/A,FALSE,"Data"}</definedName>
    <definedName name="ㅁㅁㅁㅁ" localSheetId="17" hidden="1">{"Edition",#N/A,FALSE,"Data"}</definedName>
    <definedName name="ㅁㅁㅁㅁ" localSheetId="27" hidden="1">{"Edition",#N/A,FALSE,"Data"}</definedName>
    <definedName name="ㅁㅁㅁㅁ" localSheetId="72" hidden="1">{"Edition",#N/A,FALSE,"Data"}</definedName>
    <definedName name="ㅁㅁㅁㅁ" localSheetId="28" hidden="1">{"Edition",#N/A,FALSE,"Data"}</definedName>
    <definedName name="ㅁㅁㅁㅁ" localSheetId="29" hidden="1">{"Edition",#N/A,FALSE,"Data"}</definedName>
    <definedName name="ㅁㅁㅁㅁ" hidden="1">{"Edition",#N/A,FALSE,"Data"}</definedName>
    <definedName name="목공" localSheetId="70">#REF!</definedName>
    <definedName name="목공" localSheetId="52">#REF!</definedName>
    <definedName name="목공" localSheetId="58">#REF!</definedName>
    <definedName name="목공" localSheetId="56">#REF!</definedName>
    <definedName name="목공" localSheetId="57">#REF!</definedName>
    <definedName name="목공" localSheetId="64">#REF!</definedName>
    <definedName name="목공" localSheetId="67">#REF!</definedName>
    <definedName name="목공" localSheetId="65">#REF!</definedName>
    <definedName name="목공" localSheetId="68">#REF!</definedName>
    <definedName name="목공" localSheetId="71">#REF!</definedName>
    <definedName name="목공" localSheetId="44">#REF!</definedName>
    <definedName name="목공" localSheetId="45">#REF!</definedName>
    <definedName name="목공" localSheetId="17">#REF!</definedName>
    <definedName name="목공" localSheetId="27">#REF!</definedName>
    <definedName name="목공" localSheetId="72">#REF!</definedName>
    <definedName name="목공" localSheetId="28">#REF!</definedName>
    <definedName name="목공" localSheetId="29">#REF!</definedName>
    <definedName name="목공" localSheetId="66">#REF!</definedName>
    <definedName name="목공">#REF!</definedName>
    <definedName name="목도공" localSheetId="70">#REF!</definedName>
    <definedName name="목도공" localSheetId="52">#REF!</definedName>
    <definedName name="목도공" localSheetId="58">#REF!</definedName>
    <definedName name="목도공" localSheetId="57">#REF!</definedName>
    <definedName name="목도공" localSheetId="64">#REF!</definedName>
    <definedName name="목도공" localSheetId="67">#REF!</definedName>
    <definedName name="목도공" localSheetId="65">#REF!</definedName>
    <definedName name="목도공" localSheetId="68">#REF!</definedName>
    <definedName name="목도공" localSheetId="71">#REF!</definedName>
    <definedName name="목도공" localSheetId="44">#REF!</definedName>
    <definedName name="목도공" localSheetId="45">#REF!</definedName>
    <definedName name="목도공" localSheetId="17">#REF!</definedName>
    <definedName name="목도공" localSheetId="27">#REF!</definedName>
    <definedName name="목도공" localSheetId="72">#REF!</definedName>
    <definedName name="목도공" localSheetId="28">#REF!</definedName>
    <definedName name="목도공" localSheetId="29">#REF!</definedName>
    <definedName name="목도공" localSheetId="66">#REF!</definedName>
    <definedName name="목도공">#REF!</definedName>
    <definedName name="몰라" localSheetId="140" hidden="1">{"Edition",#N/A,FALSE,"Data"}</definedName>
    <definedName name="몰라" localSheetId="58" hidden="1">{"Edition",#N/A,FALSE,"Data"}</definedName>
    <definedName name="몰라" localSheetId="56" hidden="1">{"Edition",#N/A,FALSE,"Data"}</definedName>
    <definedName name="몰라" localSheetId="57" hidden="1">{"Edition",#N/A,FALSE,"Data"}</definedName>
    <definedName name="몰라" localSheetId="67" hidden="1">{"Edition",#N/A,FALSE,"Data"}</definedName>
    <definedName name="몰라" localSheetId="65" hidden="1">{"Edition",#N/A,FALSE,"Data"}</definedName>
    <definedName name="몰라" localSheetId="68" hidden="1">{"Edition",#N/A,FALSE,"Data"}</definedName>
    <definedName name="몰라" localSheetId="71" hidden="1">{"Edition",#N/A,FALSE,"Data"}</definedName>
    <definedName name="몰라" localSheetId="17" hidden="1">{"Edition",#N/A,FALSE,"Data"}</definedName>
    <definedName name="몰라" localSheetId="27" hidden="1">{"Edition",#N/A,FALSE,"Data"}</definedName>
    <definedName name="몰라" localSheetId="72" hidden="1">{"Edition",#N/A,FALSE,"Data"}</definedName>
    <definedName name="몰라" localSheetId="28" hidden="1">{"Edition",#N/A,FALSE,"Data"}</definedName>
    <definedName name="몰라" localSheetId="29" hidden="1">{"Edition",#N/A,FALSE,"Data"}</definedName>
    <definedName name="몰라" hidden="1">{"Edition",#N/A,FALSE,"Data"}</definedName>
    <definedName name="뭐라소">'[77] FURNACE현설'!$A$1:$K$24</definedName>
    <definedName name="ㅂ" localSheetId="70">#REF!</definedName>
    <definedName name="ㅂ" localSheetId="52">#REF!</definedName>
    <definedName name="ㅂ" localSheetId="58">#REF!</definedName>
    <definedName name="ㅂ" localSheetId="56">#REF!</definedName>
    <definedName name="ㅂ" localSheetId="57">#REF!</definedName>
    <definedName name="ㅂ" localSheetId="64">#REF!</definedName>
    <definedName name="ㅂ" localSheetId="67">#REF!</definedName>
    <definedName name="ㅂ" localSheetId="65">#REF!</definedName>
    <definedName name="ㅂ" localSheetId="68">#REF!</definedName>
    <definedName name="ㅂ" localSheetId="71">#REF!</definedName>
    <definedName name="ㅂ" localSheetId="44">#REF!</definedName>
    <definedName name="ㅂ" localSheetId="45">#REF!</definedName>
    <definedName name="ㅂ" localSheetId="17">#REF!</definedName>
    <definedName name="ㅂ" localSheetId="27">#REF!</definedName>
    <definedName name="ㅂ" localSheetId="72">#REF!</definedName>
    <definedName name="ㅂ" localSheetId="28">#REF!</definedName>
    <definedName name="ㅂ" localSheetId="29">#REF!</definedName>
    <definedName name="ㅂ" localSheetId="66">#REF!</definedName>
    <definedName name="ㅂ">#REF!</definedName>
    <definedName name="ㅂㅂㅂ" localSheetId="70">#REF!</definedName>
    <definedName name="ㅂㅂㅂ" localSheetId="52">#REF!</definedName>
    <definedName name="ㅂㅂㅂ" localSheetId="58">#REF!</definedName>
    <definedName name="ㅂㅂㅂ" localSheetId="57">#REF!</definedName>
    <definedName name="ㅂㅂㅂ" localSheetId="64">#REF!</definedName>
    <definedName name="ㅂㅂㅂ" localSheetId="67">#REF!</definedName>
    <definedName name="ㅂㅂㅂ" localSheetId="65">#REF!</definedName>
    <definedName name="ㅂㅂㅂ" localSheetId="68">#REF!</definedName>
    <definedName name="ㅂㅂㅂ" localSheetId="71">#REF!</definedName>
    <definedName name="ㅂㅂㅂ" localSheetId="44">#REF!</definedName>
    <definedName name="ㅂㅂㅂ" localSheetId="45">#REF!</definedName>
    <definedName name="ㅂㅂㅂ" localSheetId="17">#REF!</definedName>
    <definedName name="ㅂㅂㅂ" localSheetId="27">#REF!</definedName>
    <definedName name="ㅂㅂㅂ" localSheetId="72">#REF!</definedName>
    <definedName name="ㅂㅂㅂ" localSheetId="28">#REF!</definedName>
    <definedName name="ㅂㅂㅂ" localSheetId="29">#REF!</definedName>
    <definedName name="ㅂㅂㅂ" localSheetId="66">#REF!</definedName>
    <definedName name="ㅂㅂㅂ">#REF!</definedName>
    <definedName name="ㅂㅂㅂㅂㅂ" localSheetId="70">#REF!</definedName>
    <definedName name="ㅂㅂㅂㅂㅂ" localSheetId="52">#REF!</definedName>
    <definedName name="ㅂㅂㅂㅂㅂ" localSheetId="58">#REF!</definedName>
    <definedName name="ㅂㅂㅂㅂㅂ" localSheetId="57">#REF!</definedName>
    <definedName name="ㅂㅂㅂㅂㅂ" localSheetId="64">#REF!</definedName>
    <definedName name="ㅂㅂㅂㅂㅂ" localSheetId="67">#REF!</definedName>
    <definedName name="ㅂㅂㅂㅂㅂ" localSheetId="65">#REF!</definedName>
    <definedName name="ㅂㅂㅂㅂㅂ" localSheetId="68">#REF!</definedName>
    <definedName name="ㅂㅂㅂㅂㅂ" localSheetId="71">#REF!</definedName>
    <definedName name="ㅂㅂㅂㅂㅂ" localSheetId="44">#REF!</definedName>
    <definedName name="ㅂㅂㅂㅂㅂ" localSheetId="45">#REF!</definedName>
    <definedName name="ㅂㅂㅂㅂㅂ" localSheetId="17">#REF!</definedName>
    <definedName name="ㅂㅂㅂㅂㅂ" localSheetId="27">#REF!</definedName>
    <definedName name="ㅂㅂㅂㅂㅂ" localSheetId="72">#REF!</definedName>
    <definedName name="ㅂㅂㅂㅂㅂ" localSheetId="28">#REF!</definedName>
    <definedName name="ㅂㅂㅂㅂㅂ" localSheetId="29">#REF!</definedName>
    <definedName name="ㅂㅂㅂㅂㅂ" localSheetId="66">#REF!</definedName>
    <definedName name="ㅂㅂㅂㅂㅂ">#REF!</definedName>
    <definedName name="배관공" localSheetId="70">#REF!</definedName>
    <definedName name="배관공" localSheetId="52">#REF!</definedName>
    <definedName name="배관공" localSheetId="58">#REF!</definedName>
    <definedName name="배관공" localSheetId="57">#REF!</definedName>
    <definedName name="배관공" localSheetId="64">#REF!</definedName>
    <definedName name="배관공" localSheetId="67">#REF!</definedName>
    <definedName name="배관공" localSheetId="65">#REF!</definedName>
    <definedName name="배관공" localSheetId="68">#REF!</definedName>
    <definedName name="배관공" localSheetId="71">#REF!</definedName>
    <definedName name="배관공" localSheetId="44">#REF!</definedName>
    <definedName name="배관공" localSheetId="45">#REF!</definedName>
    <definedName name="배관공" localSheetId="27">#REF!</definedName>
    <definedName name="배관공" localSheetId="28">#REF!</definedName>
    <definedName name="배관공" localSheetId="29">#REF!</definedName>
    <definedName name="배관공" localSheetId="66">#REF!</definedName>
    <definedName name="배관공">#REF!</definedName>
    <definedName name="보통_인부" localSheetId="70">#REF!</definedName>
    <definedName name="보통_인부" localSheetId="52">#REF!</definedName>
    <definedName name="보통_인부" localSheetId="58">#REF!</definedName>
    <definedName name="보통_인부" localSheetId="57">#REF!</definedName>
    <definedName name="보통_인부" localSheetId="64">#REF!</definedName>
    <definedName name="보통_인부" localSheetId="67">#REF!</definedName>
    <definedName name="보통_인부" localSheetId="65">#REF!</definedName>
    <definedName name="보통_인부" localSheetId="68">#REF!</definedName>
    <definedName name="보통_인부" localSheetId="71">#REF!</definedName>
    <definedName name="보통_인부" localSheetId="44">#REF!</definedName>
    <definedName name="보통_인부" localSheetId="45">#REF!</definedName>
    <definedName name="보통_인부" localSheetId="27">#REF!</definedName>
    <definedName name="보통_인부" localSheetId="28">#REF!</definedName>
    <definedName name="보통_인부" localSheetId="29">#REF!</definedName>
    <definedName name="보통_인부" localSheetId="66">#REF!</definedName>
    <definedName name="보통_인부">#REF!</definedName>
    <definedName name="부분합" localSheetId="70">#REF!</definedName>
    <definedName name="부분합" localSheetId="52">#REF!</definedName>
    <definedName name="부분합" localSheetId="58">#REF!</definedName>
    <definedName name="부분합" localSheetId="57">#REF!</definedName>
    <definedName name="부분합" localSheetId="64">#REF!</definedName>
    <definedName name="부분합" localSheetId="67">#REF!</definedName>
    <definedName name="부분합" localSheetId="65">#REF!</definedName>
    <definedName name="부분합" localSheetId="68">#REF!</definedName>
    <definedName name="부분합" localSheetId="71">#REF!</definedName>
    <definedName name="부분합" localSheetId="44">#REF!</definedName>
    <definedName name="부분합" localSheetId="45">#REF!</definedName>
    <definedName name="부분합" localSheetId="27">#REF!</definedName>
    <definedName name="부분합" localSheetId="28">#REF!</definedName>
    <definedName name="부분합" localSheetId="29">#REF!</definedName>
    <definedName name="부분합" localSheetId="66">#REF!</definedName>
    <definedName name="부분합">#REF!</definedName>
    <definedName name="부분합범위" localSheetId="70">#REF!</definedName>
    <definedName name="부분합범위" localSheetId="52">#REF!</definedName>
    <definedName name="부분합범위" localSheetId="58">#REF!</definedName>
    <definedName name="부분합범위" localSheetId="57">#REF!</definedName>
    <definedName name="부분합범위" localSheetId="64">#REF!</definedName>
    <definedName name="부분합범위" localSheetId="67">#REF!</definedName>
    <definedName name="부분합범위" localSheetId="65">#REF!</definedName>
    <definedName name="부분합범위" localSheetId="68">#REF!</definedName>
    <definedName name="부분합범위" localSheetId="71">#REF!</definedName>
    <definedName name="부분합범위" localSheetId="44">#REF!</definedName>
    <definedName name="부분합범위" localSheetId="45">#REF!</definedName>
    <definedName name="부분합범위" localSheetId="27">#REF!</definedName>
    <definedName name="부분합범위" localSheetId="28">#REF!</definedName>
    <definedName name="부분합범위" localSheetId="29">#REF!</definedName>
    <definedName name="부분합범위" localSheetId="66">#REF!</definedName>
    <definedName name="부분합범위">#REF!</definedName>
    <definedName name="비목2" localSheetId="70">#REF!</definedName>
    <definedName name="비목2" localSheetId="52">#REF!</definedName>
    <definedName name="비목2" localSheetId="58">#REF!</definedName>
    <definedName name="비목2" localSheetId="57">#REF!</definedName>
    <definedName name="비목2" localSheetId="64">#REF!</definedName>
    <definedName name="비목2" localSheetId="67">#REF!</definedName>
    <definedName name="비목2" localSheetId="65">#REF!</definedName>
    <definedName name="비목2" localSheetId="68">#REF!</definedName>
    <definedName name="비목2" localSheetId="71">#REF!</definedName>
    <definedName name="비목2" localSheetId="44">#REF!</definedName>
    <definedName name="비목2" localSheetId="45">#REF!</definedName>
    <definedName name="비목2" localSheetId="27">#REF!</definedName>
    <definedName name="비목2" localSheetId="28">#REF!</definedName>
    <definedName name="비목2" localSheetId="29">#REF!</definedName>
    <definedName name="비목2" localSheetId="66">#REF!</definedName>
    <definedName name="비목2">#REF!</definedName>
    <definedName name="비목3" localSheetId="70">#REF!</definedName>
    <definedName name="비목3" localSheetId="52">#REF!</definedName>
    <definedName name="비목3" localSheetId="58">#REF!</definedName>
    <definedName name="비목3" localSheetId="57">#REF!</definedName>
    <definedName name="비목3" localSheetId="64">#REF!</definedName>
    <definedName name="비목3" localSheetId="67">#REF!</definedName>
    <definedName name="비목3" localSheetId="65">#REF!</definedName>
    <definedName name="비목3" localSheetId="68">#REF!</definedName>
    <definedName name="비목3" localSheetId="71">#REF!</definedName>
    <definedName name="비목3" localSheetId="44">#REF!</definedName>
    <definedName name="비목3" localSheetId="45">#REF!</definedName>
    <definedName name="비목3" localSheetId="27">#REF!</definedName>
    <definedName name="비목3" localSheetId="28">#REF!</definedName>
    <definedName name="비목3" localSheetId="29">#REF!</definedName>
    <definedName name="비목3" localSheetId="66">#REF!</definedName>
    <definedName name="비목3">#REF!</definedName>
    <definedName name="비목4" localSheetId="70">#REF!</definedName>
    <definedName name="비목4" localSheetId="52">#REF!</definedName>
    <definedName name="비목4" localSheetId="58">#REF!</definedName>
    <definedName name="비목4" localSheetId="57">#REF!</definedName>
    <definedName name="비목4" localSheetId="64">#REF!</definedName>
    <definedName name="비목4" localSheetId="67">#REF!</definedName>
    <definedName name="비목4" localSheetId="65">#REF!</definedName>
    <definedName name="비목4" localSheetId="68">#REF!</definedName>
    <definedName name="비목4" localSheetId="71">#REF!</definedName>
    <definedName name="비목4" localSheetId="44">#REF!</definedName>
    <definedName name="비목4" localSheetId="45">#REF!</definedName>
    <definedName name="비목4" localSheetId="27">#REF!</definedName>
    <definedName name="비목4" localSheetId="28">#REF!</definedName>
    <definedName name="비목4" localSheetId="29">#REF!</definedName>
    <definedName name="비목4" localSheetId="66">#REF!</definedName>
    <definedName name="비목4">#REF!</definedName>
    <definedName name="ㅅㄷ" localSheetId="140" hidden="1">{"'Sheet1'!$L$16"}</definedName>
    <definedName name="ㅅㄷ" localSheetId="58" hidden="1">{"'Sheet1'!$L$16"}</definedName>
    <definedName name="ㅅㄷ" localSheetId="56" hidden="1">{"'Sheet1'!$L$16"}</definedName>
    <definedName name="ㅅㄷ" localSheetId="57" hidden="1">{"'Sheet1'!$L$16"}</definedName>
    <definedName name="ㅅㄷ" localSheetId="67" hidden="1">{"'Sheet1'!$L$16"}</definedName>
    <definedName name="ㅅㄷ" localSheetId="65" hidden="1">{"'Sheet1'!$L$16"}</definedName>
    <definedName name="ㅅㄷ" localSheetId="68" hidden="1">{"'Sheet1'!$L$16"}</definedName>
    <definedName name="ㅅㄷ" localSheetId="71" hidden="1">{"'Sheet1'!$L$16"}</definedName>
    <definedName name="ㅅㄷ" localSheetId="17" hidden="1">{"'Sheet1'!$L$16"}</definedName>
    <definedName name="ㅅㄷ" localSheetId="27" hidden="1">{"'Sheet1'!$L$16"}</definedName>
    <definedName name="ㅅㄷ" localSheetId="72" hidden="1">{"'Sheet1'!$L$16"}</definedName>
    <definedName name="ㅅㄷ" localSheetId="28" hidden="1">{"'Sheet1'!$L$16"}</definedName>
    <definedName name="ㅅㄷ" localSheetId="29" hidden="1">{"'Sheet1'!$L$16"}</definedName>
    <definedName name="ㅅㄷ" hidden="1">{"'Sheet1'!$L$16"}</definedName>
    <definedName name="사외" localSheetId="70">#REF!</definedName>
    <definedName name="사외" localSheetId="52">#REF!</definedName>
    <definedName name="사외" localSheetId="58">#REF!</definedName>
    <definedName name="사외" localSheetId="57">#REF!</definedName>
    <definedName name="사외" localSheetId="64">#REF!</definedName>
    <definedName name="사외" localSheetId="67">#REF!</definedName>
    <definedName name="사외" localSheetId="65">#REF!</definedName>
    <definedName name="사외" localSheetId="68">#REF!</definedName>
    <definedName name="사외" localSheetId="71">#REF!</definedName>
    <definedName name="사외" localSheetId="44">#REF!</definedName>
    <definedName name="사외" localSheetId="45">#REF!</definedName>
    <definedName name="사외" localSheetId="27">#REF!</definedName>
    <definedName name="사외" localSheetId="28">#REF!</definedName>
    <definedName name="사외" localSheetId="29">#REF!</definedName>
    <definedName name="사외" localSheetId="66">#REF!</definedName>
    <definedName name="사외">#REF!</definedName>
    <definedName name="선투입추정" localSheetId="70">#REF!</definedName>
    <definedName name="선투입추정" localSheetId="52">#REF!</definedName>
    <definedName name="선투입추정" localSheetId="58">#REF!</definedName>
    <definedName name="선투입추정" localSheetId="57">#REF!</definedName>
    <definedName name="선투입추정" localSheetId="64">#REF!</definedName>
    <definedName name="선투입추정" localSheetId="67">#REF!</definedName>
    <definedName name="선투입추정" localSheetId="65">#REF!</definedName>
    <definedName name="선투입추정" localSheetId="68">#REF!</definedName>
    <definedName name="선투입추정" localSheetId="71">#REF!</definedName>
    <definedName name="선투입추정" localSheetId="44">#REF!</definedName>
    <definedName name="선투입추정" localSheetId="45">#REF!</definedName>
    <definedName name="선투입추정" localSheetId="27">#REF!</definedName>
    <definedName name="선투입추정" localSheetId="28">#REF!</definedName>
    <definedName name="선투입추정" localSheetId="29">#REF!</definedName>
    <definedName name="선투입추정" localSheetId="66">#REF!</definedName>
    <definedName name="선투입추정">#REF!</definedName>
    <definedName name="소모비" localSheetId="70">#REF!</definedName>
    <definedName name="소모비" localSheetId="52">#REF!</definedName>
    <definedName name="소모비" localSheetId="58">#REF!</definedName>
    <definedName name="소모비" localSheetId="57">#REF!</definedName>
    <definedName name="소모비" localSheetId="64">#REF!</definedName>
    <definedName name="소모비" localSheetId="67">#REF!</definedName>
    <definedName name="소모비" localSheetId="65">#REF!</definedName>
    <definedName name="소모비" localSheetId="68">#REF!</definedName>
    <definedName name="소모비" localSheetId="71">#REF!</definedName>
    <definedName name="소모비" localSheetId="44">#REF!</definedName>
    <definedName name="소모비" localSheetId="45">#REF!</definedName>
    <definedName name="소모비" localSheetId="27">#REF!</definedName>
    <definedName name="소모비" localSheetId="28">#REF!</definedName>
    <definedName name="소모비" localSheetId="29">#REF!</definedName>
    <definedName name="소모비" localSheetId="66">#REF!</definedName>
    <definedName name="소모비">#REF!</definedName>
    <definedName name="소분류">OFFSET([78]예제!$C$1,1,[78]예제!$A$15-1,10,1)</definedName>
    <definedName name="소분류동적A">"OFFSET('규격'!$C$1,1,'규격'!$A$15-1,COUNTA(OFFSET('규격'!$E$3,1,'규격'!$H$3-1,10,1),1))"</definedName>
    <definedName name="수주일" localSheetId="70">#REF!</definedName>
    <definedName name="수주일" localSheetId="52">#REF!</definedName>
    <definedName name="수주일" localSheetId="58">#REF!</definedName>
    <definedName name="수주일" localSheetId="56">#REF!</definedName>
    <definedName name="수주일" localSheetId="57">#REF!</definedName>
    <definedName name="수주일" localSheetId="64">#REF!</definedName>
    <definedName name="수주일" localSheetId="67">#REF!</definedName>
    <definedName name="수주일" localSheetId="65">#REF!</definedName>
    <definedName name="수주일" localSheetId="68">#REF!</definedName>
    <definedName name="수주일" localSheetId="71">#REF!</definedName>
    <definedName name="수주일" localSheetId="44">#REF!</definedName>
    <definedName name="수주일" localSheetId="45">#REF!</definedName>
    <definedName name="수주일" localSheetId="17">#REF!</definedName>
    <definedName name="수주일" localSheetId="27">#REF!</definedName>
    <definedName name="수주일" localSheetId="72">#REF!</definedName>
    <definedName name="수주일" localSheetId="28">#REF!</definedName>
    <definedName name="수주일" localSheetId="29">#REF!</definedName>
    <definedName name="수주일" localSheetId="66">#REF!</definedName>
    <definedName name="수주일">#REF!</definedName>
    <definedName name="ㅇㄴㄹㅇㄹㄴㅇㄹ" localSheetId="70">#REF!</definedName>
    <definedName name="ㅇㄴㄹㅇㄹㄴㅇㄹ" localSheetId="52">#REF!</definedName>
    <definedName name="ㅇㄴㄹㅇㄹㄴㅇㄹ" localSheetId="58">#REF!</definedName>
    <definedName name="ㅇㄴㄹㅇㄹㄴㅇㄹ" localSheetId="57">#REF!</definedName>
    <definedName name="ㅇㄴㄹㅇㄹㄴㅇㄹ" localSheetId="64">#REF!</definedName>
    <definedName name="ㅇㄴㄹㅇㄹㄴㅇㄹ" localSheetId="67">#REF!</definedName>
    <definedName name="ㅇㄴㄹㅇㄹㄴㅇㄹ" localSheetId="65">#REF!</definedName>
    <definedName name="ㅇㄴㄹㅇㄹㄴㅇㄹ" localSheetId="68">#REF!</definedName>
    <definedName name="ㅇㄴㄹㅇㄹㄴㅇㄹ" localSheetId="71">#REF!</definedName>
    <definedName name="ㅇㄴㄹㅇㄹㄴㅇㄹ" localSheetId="44">#REF!</definedName>
    <definedName name="ㅇㄴㄹㅇㄹㄴㅇㄹ" localSheetId="45">#REF!</definedName>
    <definedName name="ㅇㄴㄹㅇㄹㄴㅇㄹ" localSheetId="17">#REF!</definedName>
    <definedName name="ㅇㄴㄹㅇㄹㄴㅇㄹ" localSheetId="27">#REF!</definedName>
    <definedName name="ㅇㄴㄹㅇㄹㄴㅇㄹ" localSheetId="72">#REF!</definedName>
    <definedName name="ㅇㄴㄹㅇㄹㄴㅇㄹ" localSheetId="28">#REF!</definedName>
    <definedName name="ㅇㄴㄹㅇㄹㄴㅇㄹ" localSheetId="29">#REF!</definedName>
    <definedName name="ㅇㄴㄹㅇㄹㄴㅇㄹ" localSheetId="66">#REF!</definedName>
    <definedName name="ㅇㄴㄹㅇㄹㄴㅇㄹ">#REF!</definedName>
    <definedName name="ㅇㄹㄴㅇㄹ">'[79]MOB-MAN1'!$D$40:$BW$49</definedName>
    <definedName name="양식1" localSheetId="70">#REF!</definedName>
    <definedName name="양식1" localSheetId="52">#REF!</definedName>
    <definedName name="양식1" localSheetId="58">#REF!</definedName>
    <definedName name="양식1" localSheetId="56">#REF!</definedName>
    <definedName name="양식1" localSheetId="57">#REF!</definedName>
    <definedName name="양식1" localSheetId="64">#REF!</definedName>
    <definedName name="양식1" localSheetId="67">#REF!</definedName>
    <definedName name="양식1" localSheetId="65">#REF!</definedName>
    <definedName name="양식1" localSheetId="68">#REF!</definedName>
    <definedName name="양식1" localSheetId="71">#REF!</definedName>
    <definedName name="양식1" localSheetId="44">#REF!</definedName>
    <definedName name="양식1" localSheetId="45">#REF!</definedName>
    <definedName name="양식1" localSheetId="17">#REF!</definedName>
    <definedName name="양식1" localSheetId="27">#REF!</definedName>
    <definedName name="양식1" localSheetId="72">#REF!</definedName>
    <definedName name="양식1" localSheetId="28">#REF!</definedName>
    <definedName name="양식1" localSheetId="29">#REF!</definedName>
    <definedName name="양식1" localSheetId="66">#REF!</definedName>
    <definedName name="양식1">#REF!</definedName>
    <definedName name="양식2" localSheetId="70">#REF!</definedName>
    <definedName name="양식2" localSheetId="52">#REF!</definedName>
    <definedName name="양식2" localSheetId="58">#REF!</definedName>
    <definedName name="양식2" localSheetId="57">#REF!</definedName>
    <definedName name="양식2" localSheetId="64">#REF!</definedName>
    <definedName name="양식2" localSheetId="67">#REF!</definedName>
    <definedName name="양식2" localSheetId="65">#REF!</definedName>
    <definedName name="양식2" localSheetId="68">#REF!</definedName>
    <definedName name="양식2" localSheetId="71">#REF!</definedName>
    <definedName name="양식2" localSheetId="44">#REF!</definedName>
    <definedName name="양식2" localSheetId="45">#REF!</definedName>
    <definedName name="양식2" localSheetId="17">#REF!</definedName>
    <definedName name="양식2" localSheetId="27">#REF!</definedName>
    <definedName name="양식2" localSheetId="28">#REF!</definedName>
    <definedName name="양식2" localSheetId="29">#REF!</definedName>
    <definedName name="양식2" localSheetId="66">#REF!</definedName>
    <definedName name="양식2">#REF!</definedName>
    <definedName name="양식3" localSheetId="70">#REF!</definedName>
    <definedName name="양식3" localSheetId="52">#REF!</definedName>
    <definedName name="양식3" localSheetId="58">#REF!</definedName>
    <definedName name="양식3" localSheetId="57">#REF!</definedName>
    <definedName name="양식3" localSheetId="64">#REF!</definedName>
    <definedName name="양식3" localSheetId="67">#REF!</definedName>
    <definedName name="양식3" localSheetId="65">#REF!</definedName>
    <definedName name="양식3" localSheetId="68">#REF!</definedName>
    <definedName name="양식3" localSheetId="71">#REF!</definedName>
    <definedName name="양식3" localSheetId="44">#REF!</definedName>
    <definedName name="양식3" localSheetId="45">#REF!</definedName>
    <definedName name="양식3" localSheetId="17">#REF!</definedName>
    <definedName name="양식3" localSheetId="27">#REF!</definedName>
    <definedName name="양식3" localSheetId="28">#REF!</definedName>
    <definedName name="양식3" localSheetId="29">#REF!</definedName>
    <definedName name="양식3" localSheetId="66">#REF!</definedName>
    <definedName name="양식3">#REF!</definedName>
    <definedName name="엘피드럼" localSheetId="70">#REF!</definedName>
    <definedName name="엘피드럼" localSheetId="52">#REF!</definedName>
    <definedName name="엘피드럼" localSheetId="58">#REF!</definedName>
    <definedName name="엘피드럼" localSheetId="57">#REF!</definedName>
    <definedName name="엘피드럼" localSheetId="64">#REF!</definedName>
    <definedName name="엘피드럼" localSheetId="67">#REF!</definedName>
    <definedName name="엘피드럼" localSheetId="65">#REF!</definedName>
    <definedName name="엘피드럼" localSheetId="68">#REF!</definedName>
    <definedName name="엘피드럼" localSheetId="71">#REF!</definedName>
    <definedName name="엘피드럼" localSheetId="44">#REF!</definedName>
    <definedName name="엘피드럼" localSheetId="45">#REF!</definedName>
    <definedName name="엘피드럼" localSheetId="27">#REF!</definedName>
    <definedName name="엘피드럼" localSheetId="28">#REF!</definedName>
    <definedName name="엘피드럼" localSheetId="29">#REF!</definedName>
    <definedName name="엘피드럼" localSheetId="66">#REF!</definedName>
    <definedName name="엘피드럼">#REF!</definedName>
    <definedName name="영흥" localSheetId="140" hidden="1">{"Edition",#N/A,FALSE,"Data"}</definedName>
    <definedName name="영흥" localSheetId="58" hidden="1">{"Edition",#N/A,FALSE,"Data"}</definedName>
    <definedName name="영흥" localSheetId="56" hidden="1">{"Edition",#N/A,FALSE,"Data"}</definedName>
    <definedName name="영흥" localSheetId="57" hidden="1">{"Edition",#N/A,FALSE,"Data"}</definedName>
    <definedName name="영흥" localSheetId="67" hidden="1">{"Edition",#N/A,FALSE,"Data"}</definedName>
    <definedName name="영흥" localSheetId="65" hidden="1">{"Edition",#N/A,FALSE,"Data"}</definedName>
    <definedName name="영흥" localSheetId="68" hidden="1">{"Edition",#N/A,FALSE,"Data"}</definedName>
    <definedName name="영흥" localSheetId="71" hidden="1">{"Edition",#N/A,FALSE,"Data"}</definedName>
    <definedName name="영흥" localSheetId="17" hidden="1">{"Edition",#N/A,FALSE,"Data"}</definedName>
    <definedName name="영흥" localSheetId="27" hidden="1">{"Edition",#N/A,FALSE,"Data"}</definedName>
    <definedName name="영흥" localSheetId="72" hidden="1">{"Edition",#N/A,FALSE,"Data"}</definedName>
    <definedName name="영흥" localSheetId="28" hidden="1">{"Edition",#N/A,FALSE,"Data"}</definedName>
    <definedName name="영흥" localSheetId="29" hidden="1">{"Edition",#N/A,FALSE,"Data"}</definedName>
    <definedName name="영흥" hidden="1">{"Edition",#N/A,FALSE,"Data"}</definedName>
    <definedName name="영흥2" localSheetId="140" hidden="1">{"Edition",#N/A,FALSE,"Data"}</definedName>
    <definedName name="영흥2" localSheetId="58" hidden="1">{"Edition",#N/A,FALSE,"Data"}</definedName>
    <definedName name="영흥2" localSheetId="56" hidden="1">{"Edition",#N/A,FALSE,"Data"}</definedName>
    <definedName name="영흥2" localSheetId="57" hidden="1">{"Edition",#N/A,FALSE,"Data"}</definedName>
    <definedName name="영흥2" localSheetId="67" hidden="1">{"Edition",#N/A,FALSE,"Data"}</definedName>
    <definedName name="영흥2" localSheetId="65" hidden="1">{"Edition",#N/A,FALSE,"Data"}</definedName>
    <definedName name="영흥2" localSheetId="68" hidden="1">{"Edition",#N/A,FALSE,"Data"}</definedName>
    <definedName name="영흥2" localSheetId="71" hidden="1">{"Edition",#N/A,FALSE,"Data"}</definedName>
    <definedName name="영흥2" localSheetId="17" hidden="1">{"Edition",#N/A,FALSE,"Data"}</definedName>
    <definedName name="영흥2" localSheetId="27" hidden="1">{"Edition",#N/A,FALSE,"Data"}</definedName>
    <definedName name="영흥2" localSheetId="72" hidden="1">{"Edition",#N/A,FALSE,"Data"}</definedName>
    <definedName name="영흥2" localSheetId="28" hidden="1">{"Edition",#N/A,FALSE,"Data"}</definedName>
    <definedName name="영흥2" localSheetId="29" hidden="1">{"Edition",#N/A,FALSE,"Data"}</definedName>
    <definedName name="영흥2" hidden="1">{"Edition",#N/A,FALSE,"Data"}</definedName>
    <definedName name="원가집계" localSheetId="70">#REF!</definedName>
    <definedName name="원가집계" localSheetId="52">#REF!</definedName>
    <definedName name="원가집계" localSheetId="58">#REF!</definedName>
    <definedName name="원가집계" localSheetId="56">#REF!</definedName>
    <definedName name="원가집계" localSheetId="57">#REF!</definedName>
    <definedName name="원가집계" localSheetId="64">#REF!</definedName>
    <definedName name="원가집계" localSheetId="67">#REF!</definedName>
    <definedName name="원가집계" localSheetId="65">#REF!</definedName>
    <definedName name="원가집계" localSheetId="68">#REF!</definedName>
    <definedName name="원가집계" localSheetId="71">#REF!</definedName>
    <definedName name="원가집계" localSheetId="44">#REF!</definedName>
    <definedName name="원가집계" localSheetId="45">#REF!</definedName>
    <definedName name="원가집계" localSheetId="17">#REF!</definedName>
    <definedName name="원가집계" localSheetId="27">#REF!</definedName>
    <definedName name="원가집계" localSheetId="72">#REF!</definedName>
    <definedName name="원가집계" localSheetId="28">#REF!</definedName>
    <definedName name="원가집계" localSheetId="29">#REF!</definedName>
    <definedName name="원가집계" localSheetId="66">#REF!</definedName>
    <definedName name="원가집계">#REF!</definedName>
    <definedName name="원초적계획" localSheetId="70">[80]소화실적!#REF!</definedName>
    <definedName name="원초적계획" localSheetId="52">[80]소화실적!#REF!</definedName>
    <definedName name="원초적계획" localSheetId="58">[80]소화실적!#REF!</definedName>
    <definedName name="원초적계획" localSheetId="56">[80]소화실적!#REF!</definedName>
    <definedName name="원초적계획" localSheetId="57">[80]소화실적!#REF!</definedName>
    <definedName name="원초적계획" localSheetId="64">[80]소화실적!#REF!</definedName>
    <definedName name="원초적계획" localSheetId="67">[80]소화실적!#REF!</definedName>
    <definedName name="원초적계획" localSheetId="65">[80]소화실적!#REF!</definedName>
    <definedName name="원초적계획" localSheetId="68">[80]소화실적!#REF!</definedName>
    <definedName name="원초적계획" localSheetId="71">[80]소화실적!#REF!</definedName>
    <definedName name="원초적계획" localSheetId="44">[80]소화실적!#REF!</definedName>
    <definedName name="원초적계획" localSheetId="45">[80]소화실적!#REF!</definedName>
    <definedName name="원초적계획" localSheetId="17">[80]소화실적!#REF!</definedName>
    <definedName name="원초적계획" localSheetId="27">[80]소화실적!#REF!</definedName>
    <definedName name="원초적계획" localSheetId="72">[80]소화실적!#REF!</definedName>
    <definedName name="원초적계획" localSheetId="28">[80]소화실적!#REF!</definedName>
    <definedName name="원초적계획" localSheetId="29">[80]소화실적!#REF!</definedName>
    <definedName name="원초적계획" localSheetId="66">[80]소화실적!#REF!</definedName>
    <definedName name="원초적계획">[80]소화실적!#REF!</definedName>
    <definedName name="위치" localSheetId="140" hidden="1">{"Edition",#N/A,FALSE,"Data"}</definedName>
    <definedName name="위치" localSheetId="58" hidden="1">{"Edition",#N/A,FALSE,"Data"}</definedName>
    <definedName name="위치" localSheetId="56" hidden="1">{"Edition",#N/A,FALSE,"Data"}</definedName>
    <definedName name="위치" localSheetId="57" hidden="1">{"Edition",#N/A,FALSE,"Data"}</definedName>
    <definedName name="위치" localSheetId="67" hidden="1">{"Edition",#N/A,FALSE,"Data"}</definedName>
    <definedName name="위치" localSheetId="65" hidden="1">{"Edition",#N/A,FALSE,"Data"}</definedName>
    <definedName name="위치" localSheetId="68" hidden="1">{"Edition",#N/A,FALSE,"Data"}</definedName>
    <definedName name="위치" localSheetId="71" hidden="1">{"Edition",#N/A,FALSE,"Data"}</definedName>
    <definedName name="위치" localSheetId="17" hidden="1">{"Edition",#N/A,FALSE,"Data"}</definedName>
    <definedName name="위치" localSheetId="27" hidden="1">{"Edition",#N/A,FALSE,"Data"}</definedName>
    <definedName name="위치" localSheetId="72" hidden="1">{"Edition",#N/A,FALSE,"Data"}</definedName>
    <definedName name="위치" localSheetId="28" hidden="1">{"Edition",#N/A,FALSE,"Data"}</definedName>
    <definedName name="위치" localSheetId="29" hidden="1">{"Edition",#N/A,FALSE,"Data"}</definedName>
    <definedName name="위치" hidden="1">{"Edition",#N/A,FALSE,"Data"}</definedName>
    <definedName name="은성호" localSheetId="70">BlankMacro1</definedName>
    <definedName name="은성호" localSheetId="140">BlankMacro1</definedName>
    <definedName name="은성호" localSheetId="52">BlankMacro1</definedName>
    <definedName name="은성호" localSheetId="58">BlankMacro1</definedName>
    <definedName name="은성호" localSheetId="56">BlankMacro1</definedName>
    <definedName name="은성호" localSheetId="57">BlankMacro1</definedName>
    <definedName name="은성호" localSheetId="64">BlankMacro1</definedName>
    <definedName name="은성호" localSheetId="67">BlankMacro1</definedName>
    <definedName name="은성호" localSheetId="65">BlankMacro1</definedName>
    <definedName name="은성호" localSheetId="68">BlankMacro1</definedName>
    <definedName name="은성호" localSheetId="71">BlankMacro1</definedName>
    <definedName name="은성호" localSheetId="44">BlankMacro1</definedName>
    <definedName name="은성호" localSheetId="45">BlankMacro1</definedName>
    <definedName name="은성호" localSheetId="17">BlankMacro1</definedName>
    <definedName name="은성호" localSheetId="27">BlankMacro1</definedName>
    <definedName name="은성호" localSheetId="72">BlankMacro1</definedName>
    <definedName name="은성호" localSheetId="28">BlankMacro1</definedName>
    <definedName name="은성호" localSheetId="29">BlankMacro1</definedName>
    <definedName name="은성호" localSheetId="66">BlankMacro1</definedName>
    <definedName name="은성호">BlankMacro1</definedName>
    <definedName name="이지숙" localSheetId="70">BlankMacro1</definedName>
    <definedName name="이지숙" localSheetId="140">BlankMacro1</definedName>
    <definedName name="이지숙" localSheetId="52">BlankMacro1</definedName>
    <definedName name="이지숙" localSheetId="58">BlankMacro1</definedName>
    <definedName name="이지숙" localSheetId="56">BlankMacro1</definedName>
    <definedName name="이지숙" localSheetId="57">BlankMacro1</definedName>
    <definedName name="이지숙" localSheetId="64">BlankMacro1</definedName>
    <definedName name="이지숙" localSheetId="67">BlankMacro1</definedName>
    <definedName name="이지숙" localSheetId="65">BlankMacro1</definedName>
    <definedName name="이지숙" localSheetId="68">BlankMacro1</definedName>
    <definedName name="이지숙" localSheetId="71">BlankMacro1</definedName>
    <definedName name="이지숙" localSheetId="44">BlankMacro1</definedName>
    <definedName name="이지숙" localSheetId="45">BlankMacro1</definedName>
    <definedName name="이지숙" localSheetId="17">BlankMacro1</definedName>
    <definedName name="이지숙" localSheetId="27">BlankMacro1</definedName>
    <definedName name="이지숙" localSheetId="72">BlankMacro1</definedName>
    <definedName name="이지숙" localSheetId="28">BlankMacro1</definedName>
    <definedName name="이지숙" localSheetId="29">BlankMacro1</definedName>
    <definedName name="이지숙" localSheetId="66">BlankMacro1</definedName>
    <definedName name="이지숙">BlankMacro1</definedName>
    <definedName name="임율표">'[81]임율 Data'!$A$1:$H$6</definedName>
    <definedName name="ㅈ" localSheetId="70">'[82]M-EQPT-Z'!#REF!</definedName>
    <definedName name="ㅈ" localSheetId="52">'[82]M-EQPT-Z'!#REF!</definedName>
    <definedName name="ㅈ" localSheetId="58">'[82]M-EQPT-Z'!#REF!</definedName>
    <definedName name="ㅈ" localSheetId="56">'[82]M-EQPT-Z'!#REF!</definedName>
    <definedName name="ㅈ" localSheetId="57">'[82]M-EQPT-Z'!#REF!</definedName>
    <definedName name="ㅈ" localSheetId="64">'[82]M-EQPT-Z'!#REF!</definedName>
    <definedName name="ㅈ" localSheetId="67">'[82]M-EQPT-Z'!#REF!</definedName>
    <definedName name="ㅈ" localSheetId="65">'[82]M-EQPT-Z'!#REF!</definedName>
    <definedName name="ㅈ" localSheetId="68">'[82]M-EQPT-Z'!#REF!</definedName>
    <definedName name="ㅈ" localSheetId="71">'[82]M-EQPT-Z'!#REF!</definedName>
    <definedName name="ㅈ" localSheetId="44">'[82]M-EQPT-Z'!#REF!</definedName>
    <definedName name="ㅈ" localSheetId="45">'[82]M-EQPT-Z'!#REF!</definedName>
    <definedName name="ㅈ" localSheetId="17">'[82]M-EQPT-Z'!#REF!</definedName>
    <definedName name="ㅈ" localSheetId="27">'[82]M-EQPT-Z'!#REF!</definedName>
    <definedName name="ㅈ" localSheetId="72">'[82]M-EQPT-Z'!#REF!</definedName>
    <definedName name="ㅈ" localSheetId="28">'[82]M-EQPT-Z'!#REF!</definedName>
    <definedName name="ㅈ" localSheetId="29">'[82]M-EQPT-Z'!#REF!</definedName>
    <definedName name="ㅈ" localSheetId="66">'[82]M-EQPT-Z'!#REF!</definedName>
    <definedName name="ㅈ">'[82]M-EQPT-Z'!#REF!</definedName>
    <definedName name="장수인">#N/A</definedName>
    <definedName name="전" localSheetId="70">#REF!</definedName>
    <definedName name="전" localSheetId="52">#REF!</definedName>
    <definedName name="전" localSheetId="58">#REF!</definedName>
    <definedName name="전" localSheetId="56">#REF!</definedName>
    <definedName name="전" localSheetId="57">#REF!</definedName>
    <definedName name="전" localSheetId="64">#REF!</definedName>
    <definedName name="전" localSheetId="67">#REF!</definedName>
    <definedName name="전" localSheetId="65">#REF!</definedName>
    <definedName name="전" localSheetId="68">#REF!</definedName>
    <definedName name="전" localSheetId="71">#REF!</definedName>
    <definedName name="전" localSheetId="44">#REF!</definedName>
    <definedName name="전" localSheetId="45">#REF!</definedName>
    <definedName name="전" localSheetId="17">#REF!</definedName>
    <definedName name="전" localSheetId="27">#REF!</definedName>
    <definedName name="전" localSheetId="72">#REF!</definedName>
    <definedName name="전" localSheetId="28">#REF!</definedName>
    <definedName name="전" localSheetId="29">#REF!</definedName>
    <definedName name="전" localSheetId="66">#REF!</definedName>
    <definedName name="전">#REF!</definedName>
    <definedName name="주택사업본부" localSheetId="70">#REF!</definedName>
    <definedName name="주택사업본부" localSheetId="52">#REF!</definedName>
    <definedName name="주택사업본부" localSheetId="58">#REF!</definedName>
    <definedName name="주택사업본부" localSheetId="57">#REF!</definedName>
    <definedName name="주택사업본부" localSheetId="64">#REF!</definedName>
    <definedName name="주택사업본부" localSheetId="67">#REF!</definedName>
    <definedName name="주택사업본부" localSheetId="65">#REF!</definedName>
    <definedName name="주택사업본부" localSheetId="68">#REF!</definedName>
    <definedName name="주택사업본부" localSheetId="71">#REF!</definedName>
    <definedName name="주택사업본부" localSheetId="44">#REF!</definedName>
    <definedName name="주택사업본부" localSheetId="45">#REF!</definedName>
    <definedName name="주택사업본부" localSheetId="17">#REF!</definedName>
    <definedName name="주택사업본부" localSheetId="27">#REF!</definedName>
    <definedName name="주택사업본부" localSheetId="72">#REF!</definedName>
    <definedName name="주택사업본부" localSheetId="28">#REF!</definedName>
    <definedName name="주택사업본부" localSheetId="29">#REF!</definedName>
    <definedName name="주택사업본부" localSheetId="66">#REF!</definedName>
    <definedName name="주택사업본부">#REF!</definedName>
    <definedName name="중장비건축" localSheetId="70">BlankMacro1</definedName>
    <definedName name="중장비건축" localSheetId="140">BlankMacro1</definedName>
    <definedName name="중장비건축" localSheetId="52">BlankMacro1</definedName>
    <definedName name="중장비건축" localSheetId="58">BlankMacro1</definedName>
    <definedName name="중장비건축" localSheetId="56">BlankMacro1</definedName>
    <definedName name="중장비건축" localSheetId="57">BlankMacro1</definedName>
    <definedName name="중장비건축" localSheetId="64">BlankMacro1</definedName>
    <definedName name="중장비건축" localSheetId="67">BlankMacro1</definedName>
    <definedName name="중장비건축" localSheetId="65">BlankMacro1</definedName>
    <definedName name="중장비건축" localSheetId="68">BlankMacro1</definedName>
    <definedName name="중장비건축" localSheetId="71">BlankMacro1</definedName>
    <definedName name="중장비건축" localSheetId="44">BlankMacro1</definedName>
    <definedName name="중장비건축" localSheetId="45">BlankMacro1</definedName>
    <definedName name="중장비건축" localSheetId="17">BlankMacro1</definedName>
    <definedName name="중장비건축" localSheetId="27">BlankMacro1</definedName>
    <definedName name="중장비건축" localSheetId="72">BlankMacro1</definedName>
    <definedName name="중장비건축" localSheetId="28">BlankMacro1</definedName>
    <definedName name="중장비건축" localSheetId="29">BlankMacro1</definedName>
    <definedName name="중장비건축" localSheetId="66">BlankMacro1</definedName>
    <definedName name="중장비건축">BlankMacro1</definedName>
    <definedName name="증계">#N/A</definedName>
    <definedName name="증대">#N/A</definedName>
    <definedName name="증대2">#N/A</definedName>
    <definedName name="지1" localSheetId="70">#REF!</definedName>
    <definedName name="지1" localSheetId="52">#REF!</definedName>
    <definedName name="지1" localSheetId="58">#REF!</definedName>
    <definedName name="지1" localSheetId="56">#REF!</definedName>
    <definedName name="지1" localSheetId="57">#REF!</definedName>
    <definedName name="지1" localSheetId="64">#REF!</definedName>
    <definedName name="지1" localSheetId="67">#REF!</definedName>
    <definedName name="지1" localSheetId="65">#REF!</definedName>
    <definedName name="지1" localSheetId="68">#REF!</definedName>
    <definedName name="지1" localSheetId="71">#REF!</definedName>
    <definedName name="지1" localSheetId="44">#REF!</definedName>
    <definedName name="지1" localSheetId="45">#REF!</definedName>
    <definedName name="지1" localSheetId="17">#REF!</definedName>
    <definedName name="지1" localSheetId="27">#REF!</definedName>
    <definedName name="지1" localSheetId="72">#REF!</definedName>
    <definedName name="지1" localSheetId="28">#REF!</definedName>
    <definedName name="지1" localSheetId="29">#REF!</definedName>
    <definedName name="지1" localSheetId="66">#REF!</definedName>
    <definedName name="지1">#REF!</definedName>
    <definedName name="지21" localSheetId="70">#REF!</definedName>
    <definedName name="지21" localSheetId="52">#REF!</definedName>
    <definedName name="지21" localSheetId="58">#REF!</definedName>
    <definedName name="지21" localSheetId="57">#REF!</definedName>
    <definedName name="지21" localSheetId="64">#REF!</definedName>
    <definedName name="지21" localSheetId="67">#REF!</definedName>
    <definedName name="지21" localSheetId="65">#REF!</definedName>
    <definedName name="지21" localSheetId="68">#REF!</definedName>
    <definedName name="지21" localSheetId="71">#REF!</definedName>
    <definedName name="지21" localSheetId="44">#REF!</definedName>
    <definedName name="지21" localSheetId="45">#REF!</definedName>
    <definedName name="지21" localSheetId="17">#REF!</definedName>
    <definedName name="지21" localSheetId="27">#REF!</definedName>
    <definedName name="지21" localSheetId="72">#REF!</definedName>
    <definedName name="지21" localSheetId="28">#REF!</definedName>
    <definedName name="지21" localSheetId="29">#REF!</definedName>
    <definedName name="지21" localSheetId="66">#REF!</definedName>
    <definedName name="지21">#REF!</definedName>
    <definedName name="지22" localSheetId="70">#REF!</definedName>
    <definedName name="지22" localSheetId="52">#REF!</definedName>
    <definedName name="지22" localSheetId="58">#REF!</definedName>
    <definedName name="지22" localSheetId="57">#REF!</definedName>
    <definedName name="지22" localSheetId="64">#REF!</definedName>
    <definedName name="지22" localSheetId="67">#REF!</definedName>
    <definedName name="지22" localSheetId="65">#REF!</definedName>
    <definedName name="지22" localSheetId="68">#REF!</definedName>
    <definedName name="지22" localSheetId="71">#REF!</definedName>
    <definedName name="지22" localSheetId="44">#REF!</definedName>
    <definedName name="지22" localSheetId="45">#REF!</definedName>
    <definedName name="지22" localSheetId="17">#REF!</definedName>
    <definedName name="지22" localSheetId="27">#REF!</definedName>
    <definedName name="지22" localSheetId="72">#REF!</definedName>
    <definedName name="지22" localSheetId="28">#REF!</definedName>
    <definedName name="지22" localSheetId="29">#REF!</definedName>
    <definedName name="지22" localSheetId="66">#REF!</definedName>
    <definedName name="지22">#REF!</definedName>
    <definedName name="지23" localSheetId="70">#REF!</definedName>
    <definedName name="지23" localSheetId="52">#REF!</definedName>
    <definedName name="지23" localSheetId="58">#REF!</definedName>
    <definedName name="지23" localSheetId="57">#REF!</definedName>
    <definedName name="지23" localSheetId="64">#REF!</definedName>
    <definedName name="지23" localSheetId="67">#REF!</definedName>
    <definedName name="지23" localSheetId="65">#REF!</definedName>
    <definedName name="지23" localSheetId="68">#REF!</definedName>
    <definedName name="지23" localSheetId="71">#REF!</definedName>
    <definedName name="지23" localSheetId="44">#REF!</definedName>
    <definedName name="지23" localSheetId="45">#REF!</definedName>
    <definedName name="지23" localSheetId="27">#REF!</definedName>
    <definedName name="지23" localSheetId="28">#REF!</definedName>
    <definedName name="지23" localSheetId="29">#REF!</definedName>
    <definedName name="지23" localSheetId="66">#REF!</definedName>
    <definedName name="지23">#REF!</definedName>
    <definedName name="지24" localSheetId="70">#REF!</definedName>
    <definedName name="지24" localSheetId="52">#REF!</definedName>
    <definedName name="지24" localSheetId="58">#REF!</definedName>
    <definedName name="지24" localSheetId="57">#REF!</definedName>
    <definedName name="지24" localSheetId="64">#REF!</definedName>
    <definedName name="지24" localSheetId="67">#REF!</definedName>
    <definedName name="지24" localSheetId="65">#REF!</definedName>
    <definedName name="지24" localSheetId="68">#REF!</definedName>
    <definedName name="지24" localSheetId="71">#REF!</definedName>
    <definedName name="지24" localSheetId="44">#REF!</definedName>
    <definedName name="지24" localSheetId="45">#REF!</definedName>
    <definedName name="지24" localSheetId="27">#REF!</definedName>
    <definedName name="지24" localSheetId="28">#REF!</definedName>
    <definedName name="지24" localSheetId="29">#REF!</definedName>
    <definedName name="지24" localSheetId="66">#REF!</definedName>
    <definedName name="지24">#REF!</definedName>
    <definedName name="지25" localSheetId="70">#REF!</definedName>
    <definedName name="지25" localSheetId="52">#REF!</definedName>
    <definedName name="지25" localSheetId="58">#REF!</definedName>
    <definedName name="지25" localSheetId="57">#REF!</definedName>
    <definedName name="지25" localSheetId="64">#REF!</definedName>
    <definedName name="지25" localSheetId="67">#REF!</definedName>
    <definedName name="지25" localSheetId="65">#REF!</definedName>
    <definedName name="지25" localSheetId="68">#REF!</definedName>
    <definedName name="지25" localSheetId="71">#REF!</definedName>
    <definedName name="지25" localSheetId="44">#REF!</definedName>
    <definedName name="지25" localSheetId="45">#REF!</definedName>
    <definedName name="지25" localSheetId="27">#REF!</definedName>
    <definedName name="지25" localSheetId="28">#REF!</definedName>
    <definedName name="지25" localSheetId="29">#REF!</definedName>
    <definedName name="지25" localSheetId="66">#REF!</definedName>
    <definedName name="지25">#REF!</definedName>
    <definedName name="지숙1" localSheetId="70">BlankMacro1</definedName>
    <definedName name="지숙1" localSheetId="140">BlankMacro1</definedName>
    <definedName name="지숙1" localSheetId="52">BlankMacro1</definedName>
    <definedName name="지숙1" localSheetId="58">BlankMacro1</definedName>
    <definedName name="지숙1" localSheetId="56">BlankMacro1</definedName>
    <definedName name="지숙1" localSheetId="57">BlankMacro1</definedName>
    <definedName name="지숙1" localSheetId="64">BlankMacro1</definedName>
    <definedName name="지숙1" localSheetId="67">BlankMacro1</definedName>
    <definedName name="지숙1" localSheetId="65">BlankMacro1</definedName>
    <definedName name="지숙1" localSheetId="68">BlankMacro1</definedName>
    <definedName name="지숙1" localSheetId="71">BlankMacro1</definedName>
    <definedName name="지숙1" localSheetId="44">BlankMacro1</definedName>
    <definedName name="지숙1" localSheetId="45">BlankMacro1</definedName>
    <definedName name="지숙1" localSheetId="17">BlankMacro1</definedName>
    <definedName name="지숙1" localSheetId="27">BlankMacro1</definedName>
    <definedName name="지숙1" localSheetId="72">BlankMacro1</definedName>
    <definedName name="지숙1" localSheetId="28">BlankMacro1</definedName>
    <definedName name="지숙1" localSheetId="29">BlankMacro1</definedName>
    <definedName name="지숙1" localSheetId="66">BlankMacro1</definedName>
    <definedName name="지숙1">BlankMacro1</definedName>
    <definedName name="지지물" localSheetId="70">#REF!</definedName>
    <definedName name="지지물" localSheetId="52">#REF!</definedName>
    <definedName name="지지물" localSheetId="58">#REF!</definedName>
    <definedName name="지지물" localSheetId="56">#REF!</definedName>
    <definedName name="지지물" localSheetId="57">#REF!</definedName>
    <definedName name="지지물" localSheetId="64">#REF!</definedName>
    <definedName name="지지물" localSheetId="67">#REF!</definedName>
    <definedName name="지지물" localSheetId="65">#REF!</definedName>
    <definedName name="지지물" localSheetId="68">#REF!</definedName>
    <definedName name="지지물" localSheetId="71">#REF!</definedName>
    <definedName name="지지물" localSheetId="44">#REF!</definedName>
    <definedName name="지지물" localSheetId="45">#REF!</definedName>
    <definedName name="지지물" localSheetId="17">#REF!</definedName>
    <definedName name="지지물" localSheetId="27">#REF!</definedName>
    <definedName name="지지물" localSheetId="72">#REF!</definedName>
    <definedName name="지지물" localSheetId="28">#REF!</definedName>
    <definedName name="지지물" localSheetId="29">#REF!</definedName>
    <definedName name="지지물" localSheetId="66">#REF!</definedName>
    <definedName name="지지물">#REF!</definedName>
    <definedName name="지지물집계" localSheetId="70">#REF!</definedName>
    <definedName name="지지물집계" localSheetId="52">#REF!</definedName>
    <definedName name="지지물집계" localSheetId="58">#REF!</definedName>
    <definedName name="지지물집계" localSheetId="57">#REF!</definedName>
    <definedName name="지지물집계" localSheetId="64">#REF!</definedName>
    <definedName name="지지물집계" localSheetId="67">#REF!</definedName>
    <definedName name="지지물집계" localSheetId="65">#REF!</definedName>
    <definedName name="지지물집계" localSheetId="68">#REF!</definedName>
    <definedName name="지지물집계" localSheetId="71">#REF!</definedName>
    <definedName name="지지물집계" localSheetId="44">#REF!</definedName>
    <definedName name="지지물집계" localSheetId="45">#REF!</definedName>
    <definedName name="지지물집계" localSheetId="17">#REF!</definedName>
    <definedName name="지지물집계" localSheetId="27">#REF!</definedName>
    <definedName name="지지물집계" localSheetId="72">#REF!</definedName>
    <definedName name="지지물집계" localSheetId="28">#REF!</definedName>
    <definedName name="지지물집계" localSheetId="29">#REF!</definedName>
    <definedName name="지지물집계" localSheetId="66">#REF!</definedName>
    <definedName name="지지물집계">#REF!</definedName>
    <definedName name="직노" localSheetId="70">#REF!</definedName>
    <definedName name="직노" localSheetId="52">#REF!</definedName>
    <definedName name="직노" localSheetId="58">#REF!</definedName>
    <definedName name="직노" localSheetId="57">#REF!</definedName>
    <definedName name="직노" localSheetId="64">#REF!</definedName>
    <definedName name="직노" localSheetId="67">#REF!</definedName>
    <definedName name="직노" localSheetId="65">#REF!</definedName>
    <definedName name="직노" localSheetId="68">#REF!</definedName>
    <definedName name="직노" localSheetId="71">#REF!</definedName>
    <definedName name="직노" localSheetId="44">#REF!</definedName>
    <definedName name="직노" localSheetId="45">#REF!</definedName>
    <definedName name="직노" localSheetId="17">#REF!</definedName>
    <definedName name="직노" localSheetId="27">#REF!</definedName>
    <definedName name="직노" localSheetId="72">#REF!</definedName>
    <definedName name="직노" localSheetId="28">#REF!</definedName>
    <definedName name="직노" localSheetId="29">#REF!</definedName>
    <definedName name="직노" localSheetId="66">#REF!</definedName>
    <definedName name="직노">#REF!</definedName>
    <definedName name="직접_선택" localSheetId="70">#REF!</definedName>
    <definedName name="직접_선택" localSheetId="52">#REF!</definedName>
    <definedName name="직접_선택" localSheetId="58">#REF!</definedName>
    <definedName name="직접_선택" localSheetId="57">#REF!</definedName>
    <definedName name="직접_선택" localSheetId="64">#REF!</definedName>
    <definedName name="직접_선택" localSheetId="67">#REF!</definedName>
    <definedName name="직접_선택" localSheetId="65">#REF!</definedName>
    <definedName name="직접_선택" localSheetId="68">#REF!</definedName>
    <definedName name="직접_선택" localSheetId="71">#REF!</definedName>
    <definedName name="직접_선택" localSheetId="44">#REF!</definedName>
    <definedName name="직접_선택" localSheetId="45">#REF!</definedName>
    <definedName name="직접_선택" localSheetId="27">#REF!</definedName>
    <definedName name="직접_선택" localSheetId="28">#REF!</definedName>
    <definedName name="직접_선택" localSheetId="29">#REF!</definedName>
    <definedName name="직접_선택" localSheetId="66">#REF!</definedName>
    <definedName name="직접_선택">#REF!</definedName>
    <definedName name="직접재료비" localSheetId="70">#REF!</definedName>
    <definedName name="직접재료비" localSheetId="52">#REF!</definedName>
    <definedName name="직접재료비" localSheetId="58">#REF!</definedName>
    <definedName name="직접재료비" localSheetId="57">#REF!</definedName>
    <definedName name="직접재료비" localSheetId="64">#REF!</definedName>
    <definedName name="직접재료비" localSheetId="67">#REF!</definedName>
    <definedName name="직접재료비" localSheetId="65">#REF!</definedName>
    <definedName name="직접재료비" localSheetId="68">#REF!</definedName>
    <definedName name="직접재료비" localSheetId="71">#REF!</definedName>
    <definedName name="직접재료비" localSheetId="44">#REF!</definedName>
    <definedName name="직접재료비" localSheetId="45">#REF!</definedName>
    <definedName name="직접재료비" localSheetId="27">#REF!</definedName>
    <definedName name="직접재료비" localSheetId="28">#REF!</definedName>
    <definedName name="직접재료비" localSheetId="29">#REF!</definedName>
    <definedName name="직접재료비" localSheetId="66">#REF!</definedName>
    <definedName name="직접재료비">#REF!</definedName>
    <definedName name="짚게" localSheetId="70">#REF!</definedName>
    <definedName name="짚게" localSheetId="52">#REF!</definedName>
    <definedName name="짚게" localSheetId="58">#REF!</definedName>
    <definedName name="짚게" localSheetId="57">#REF!</definedName>
    <definedName name="짚게" localSheetId="64">#REF!</definedName>
    <definedName name="짚게" localSheetId="67">#REF!</definedName>
    <definedName name="짚게" localSheetId="65">#REF!</definedName>
    <definedName name="짚게" localSheetId="68">#REF!</definedName>
    <definedName name="짚게" localSheetId="71">#REF!</definedName>
    <definedName name="짚게" localSheetId="44">#REF!</definedName>
    <definedName name="짚게" localSheetId="45">#REF!</definedName>
    <definedName name="짚게" localSheetId="27">#REF!</definedName>
    <definedName name="짚게" localSheetId="28">#REF!</definedName>
    <definedName name="짚게" localSheetId="29">#REF!</definedName>
    <definedName name="짚게" localSheetId="66">#REF!</definedName>
    <definedName name="짚게">#REF!</definedName>
    <definedName name="ㅊㅌㅍㅊㅍㅊㅌㅍㅊㅌㅍㅊㅌㅍㅊㅌㅍㅊㅌㅍ" localSheetId="70" hidden="1">'[83]Eq. Mobilization'!#REF!</definedName>
    <definedName name="ㅊㅌㅍㅊㅍㅊㅌㅍㅊㅌㅍㅊㅌㅍㅊㅌㅍㅊㅌㅍ" localSheetId="52" hidden="1">'[83]Eq. Mobilization'!#REF!</definedName>
    <definedName name="ㅊㅌㅍㅊㅍㅊㅌㅍㅊㅌㅍㅊㅌㅍㅊㅌㅍㅊㅌㅍ" localSheetId="58" hidden="1">'[83]Eq. Mobilization'!#REF!</definedName>
    <definedName name="ㅊㅌㅍㅊㅍㅊㅌㅍㅊㅌㅍㅊㅌㅍㅊㅌㅍㅊㅌㅍ" localSheetId="57" hidden="1">'[83]Eq. Mobilization'!#REF!</definedName>
    <definedName name="ㅊㅌㅍㅊㅍㅊㅌㅍㅊㅌㅍㅊㅌㅍㅊㅌㅍㅊㅌㅍ" localSheetId="64" hidden="1">'[83]Eq. Mobilization'!#REF!</definedName>
    <definedName name="ㅊㅌㅍㅊㅍㅊㅌㅍㅊㅌㅍㅊㅌㅍㅊㅌㅍㅊㅌㅍ" localSheetId="67" hidden="1">'[83]Eq. Mobilization'!#REF!</definedName>
    <definedName name="ㅊㅌㅍㅊㅍㅊㅌㅍㅊㅌㅍㅊㅌㅍㅊㅌㅍㅊㅌㅍ" localSheetId="65" hidden="1">'[83]Eq. Mobilization'!#REF!</definedName>
    <definedName name="ㅊㅌㅍㅊㅍㅊㅌㅍㅊㅌㅍㅊㅌㅍㅊㅌㅍㅊㅌㅍ" localSheetId="68" hidden="1">'[83]Eq. Mobilization'!#REF!</definedName>
    <definedName name="ㅊㅌㅍㅊㅍㅊㅌㅍㅊㅌㅍㅊㅌㅍㅊㅌㅍㅊㅌㅍ" localSheetId="71" hidden="1">'[83]Eq. Mobilization'!#REF!</definedName>
    <definedName name="ㅊㅌㅍㅊㅍㅊㅌㅍㅊㅌㅍㅊㅌㅍㅊㅌㅍㅊㅌㅍ" localSheetId="44" hidden="1">'[83]Eq. Mobilization'!#REF!</definedName>
    <definedName name="ㅊㅌㅍㅊㅍㅊㅌㅍㅊㅌㅍㅊㅌㅍㅊㅌㅍㅊㅌㅍ" localSheetId="45" hidden="1">'[83]Eq. Mobilization'!#REF!</definedName>
    <definedName name="ㅊㅌㅍㅊㅍㅊㅌㅍㅊㅌㅍㅊㅌㅍㅊㅌㅍㅊㅌㅍ" localSheetId="27" hidden="1">'[83]Eq. Mobilization'!#REF!</definedName>
    <definedName name="ㅊㅌㅍㅊㅍㅊㅌㅍㅊㅌㅍㅊㅌㅍㅊㅌㅍㅊㅌㅍ" localSheetId="28" hidden="1">'[83]Eq. Mobilization'!#REF!</definedName>
    <definedName name="ㅊㅌㅍㅊㅍㅊㅌㅍㅊㅌㅍㅊㅌㅍㅊㅌㅍㅊㅌㅍ" localSheetId="29" hidden="1">'[83]Eq. Mobilization'!#REF!</definedName>
    <definedName name="ㅊㅌㅍㅊㅍㅊㅌㅍㅊㅌㅍㅊㅌㅍㅊㅌㅍㅊㅌㅍ" localSheetId="66" hidden="1">'[83]Eq. Mobilization'!#REF!</definedName>
    <definedName name="ㅊㅌㅍㅊㅍㅊㅌㅍㅊㅌㅍㅊㅌㅍㅊㅌㅍㅊㅌㅍ" hidden="1">'[83]Eq. Mobilization'!#REF!</definedName>
    <definedName name="ㅊㅌㅍㅊㅍㅌㅋㅊㅍㅌㅊㅍ" localSheetId="70" hidden="1">'[83]Eq. Mobilization'!#REF!</definedName>
    <definedName name="ㅊㅌㅍㅊㅍㅌㅋㅊㅍㅌㅊㅍ" localSheetId="52" hidden="1">'[83]Eq. Mobilization'!#REF!</definedName>
    <definedName name="ㅊㅌㅍㅊㅍㅌㅋㅊㅍㅌㅊㅍ" localSheetId="58" hidden="1">'[83]Eq. Mobilization'!#REF!</definedName>
    <definedName name="ㅊㅌㅍㅊㅍㅌㅋㅊㅍㅌㅊㅍ" localSheetId="57" hidden="1">'[83]Eq. Mobilization'!#REF!</definedName>
    <definedName name="ㅊㅌㅍㅊㅍㅌㅋㅊㅍㅌㅊㅍ" localSheetId="64" hidden="1">'[83]Eq. Mobilization'!#REF!</definedName>
    <definedName name="ㅊㅌㅍㅊㅍㅌㅋㅊㅍㅌㅊㅍ" localSheetId="67" hidden="1">'[83]Eq. Mobilization'!#REF!</definedName>
    <definedName name="ㅊㅌㅍㅊㅍㅌㅋㅊㅍㅌㅊㅍ" localSheetId="65" hidden="1">'[83]Eq. Mobilization'!#REF!</definedName>
    <definedName name="ㅊㅌㅍㅊㅍㅌㅋㅊㅍㅌㅊㅍ" localSheetId="68" hidden="1">'[83]Eq. Mobilization'!#REF!</definedName>
    <definedName name="ㅊㅌㅍㅊㅍㅌㅋㅊㅍㅌㅊㅍ" localSheetId="71" hidden="1">'[83]Eq. Mobilization'!#REF!</definedName>
    <definedName name="ㅊㅌㅍㅊㅍㅌㅋㅊㅍㅌㅊㅍ" localSheetId="44" hidden="1">'[83]Eq. Mobilization'!#REF!</definedName>
    <definedName name="ㅊㅌㅍㅊㅍㅌㅋㅊㅍㅌㅊㅍ" localSheetId="45" hidden="1">'[83]Eq. Mobilization'!#REF!</definedName>
    <definedName name="ㅊㅌㅍㅊㅍㅌㅋㅊㅍㅌㅊㅍ" localSheetId="27" hidden="1">'[83]Eq. Mobilization'!#REF!</definedName>
    <definedName name="ㅊㅌㅍㅊㅍㅌㅋㅊㅍㅌㅊㅍ" localSheetId="28" hidden="1">'[83]Eq. Mobilization'!#REF!</definedName>
    <definedName name="ㅊㅌㅍㅊㅍㅌㅋㅊㅍㅌㅊㅍ" localSheetId="29" hidden="1">'[83]Eq. Mobilization'!#REF!</definedName>
    <definedName name="ㅊㅌㅍㅊㅍㅌㅋㅊㅍㅌㅊㅍ" localSheetId="66" hidden="1">'[83]Eq. Mobilization'!#REF!</definedName>
    <definedName name="ㅊㅌㅍㅊㅍㅌㅋㅊㅍㅌㅊㅍ" hidden="1">'[83]Eq. Mobilization'!#REF!</definedName>
    <definedName name="ㅊㅌㅍㅋㅊㅍㅌㅊㅍㅌㅊㅍ" localSheetId="70" hidden="1">'[83]Eq. Mobilization'!#REF!</definedName>
    <definedName name="ㅊㅌㅍㅋㅊㅍㅌㅊㅍㅌㅊㅍ" localSheetId="52" hidden="1">'[83]Eq. Mobilization'!#REF!</definedName>
    <definedName name="ㅊㅌㅍㅋㅊㅍㅌㅊㅍㅌㅊㅍ" localSheetId="58" hidden="1">'[83]Eq. Mobilization'!#REF!</definedName>
    <definedName name="ㅊㅌㅍㅋㅊㅍㅌㅊㅍㅌㅊㅍ" localSheetId="57" hidden="1">'[83]Eq. Mobilization'!#REF!</definedName>
    <definedName name="ㅊㅌㅍㅋㅊㅍㅌㅊㅍㅌㅊㅍ" localSheetId="64" hidden="1">'[83]Eq. Mobilization'!#REF!</definedName>
    <definedName name="ㅊㅌㅍㅋㅊㅍㅌㅊㅍㅌㅊㅍ" localSheetId="67" hidden="1">'[83]Eq. Mobilization'!#REF!</definedName>
    <definedName name="ㅊㅌㅍㅋㅊㅍㅌㅊㅍㅌㅊㅍ" localSheetId="65" hidden="1">'[83]Eq. Mobilization'!#REF!</definedName>
    <definedName name="ㅊㅌㅍㅋㅊㅍㅌㅊㅍㅌㅊㅍ" localSheetId="68" hidden="1">'[83]Eq. Mobilization'!#REF!</definedName>
    <definedName name="ㅊㅌㅍㅋㅊㅍㅌㅊㅍㅌㅊㅍ" localSheetId="71" hidden="1">'[83]Eq. Mobilization'!#REF!</definedName>
    <definedName name="ㅊㅌㅍㅋㅊㅍㅌㅊㅍㅌㅊㅍ" localSheetId="44" hidden="1">'[83]Eq. Mobilization'!#REF!</definedName>
    <definedName name="ㅊㅌㅍㅋㅊㅍㅌㅊㅍㅌㅊㅍ" localSheetId="45" hidden="1">'[83]Eq. Mobilization'!#REF!</definedName>
    <definedName name="ㅊㅌㅍㅋㅊㅍㅌㅊㅍㅌㅊㅍ" localSheetId="27" hidden="1">'[83]Eq. Mobilization'!#REF!</definedName>
    <definedName name="ㅊㅌㅍㅋㅊㅍㅌㅊㅍㅌㅊㅍ" localSheetId="28" hidden="1">'[83]Eq. Mobilization'!#REF!</definedName>
    <definedName name="ㅊㅌㅍㅋㅊㅍㅌㅊㅍㅌㅊㅍ" localSheetId="29" hidden="1">'[83]Eq. Mobilization'!#REF!</definedName>
    <definedName name="ㅊㅌㅍㅋㅊㅍㅌㅊㅍㅌㅊㅍ" localSheetId="66" hidden="1">'[83]Eq. Mobilization'!#REF!</definedName>
    <definedName name="ㅊㅌㅍㅋㅊㅍㅌㅊㅍㅌㅊㅍ" hidden="1">'[83]Eq. Mobilization'!#REF!</definedName>
    <definedName name="ㅊㅌㅍㅌㅊㅍㅊㅌㅍㅌㅊㅍㅌㅊㅍ" localSheetId="70" hidden="1">'[83]Eq. Mobilization'!#REF!</definedName>
    <definedName name="ㅊㅌㅍㅌㅊㅍㅊㅌㅍㅌㅊㅍㅌㅊㅍ" localSheetId="52" hidden="1">'[83]Eq. Mobilization'!#REF!</definedName>
    <definedName name="ㅊㅌㅍㅌㅊㅍㅊㅌㅍㅌㅊㅍㅌㅊㅍ" localSheetId="58" hidden="1">'[83]Eq. Mobilization'!#REF!</definedName>
    <definedName name="ㅊㅌㅍㅌㅊㅍㅊㅌㅍㅌㅊㅍㅌㅊㅍ" localSheetId="57" hidden="1">'[83]Eq. Mobilization'!#REF!</definedName>
    <definedName name="ㅊㅌㅍㅌㅊㅍㅊㅌㅍㅌㅊㅍㅌㅊㅍ" localSheetId="64" hidden="1">'[83]Eq. Mobilization'!#REF!</definedName>
    <definedName name="ㅊㅌㅍㅌㅊㅍㅊㅌㅍㅌㅊㅍㅌㅊㅍ" localSheetId="67" hidden="1">'[83]Eq. Mobilization'!#REF!</definedName>
    <definedName name="ㅊㅌㅍㅌㅊㅍㅊㅌㅍㅌㅊㅍㅌㅊㅍ" localSheetId="65" hidden="1">'[83]Eq. Mobilization'!#REF!</definedName>
    <definedName name="ㅊㅌㅍㅌㅊㅍㅊㅌㅍㅌㅊㅍㅌㅊㅍ" localSheetId="68" hidden="1">'[83]Eq. Mobilization'!#REF!</definedName>
    <definedName name="ㅊㅌㅍㅌㅊㅍㅊㅌㅍㅌㅊㅍㅌㅊㅍ" localSheetId="71" hidden="1">'[83]Eq. Mobilization'!#REF!</definedName>
    <definedName name="ㅊㅌㅍㅌㅊㅍㅊㅌㅍㅌㅊㅍㅌㅊㅍ" localSheetId="44" hidden="1">'[83]Eq. Mobilization'!#REF!</definedName>
    <definedName name="ㅊㅌㅍㅌㅊㅍㅊㅌㅍㅌㅊㅍㅌㅊㅍ" localSheetId="45" hidden="1">'[83]Eq. Mobilization'!#REF!</definedName>
    <definedName name="ㅊㅌㅍㅌㅊㅍㅊㅌㅍㅌㅊㅍㅌㅊㅍ" localSheetId="27" hidden="1">'[83]Eq. Mobilization'!#REF!</definedName>
    <definedName name="ㅊㅌㅍㅌㅊㅍㅊㅌㅍㅌㅊㅍㅌㅊㅍ" localSheetId="28" hidden="1">'[83]Eq. Mobilization'!#REF!</definedName>
    <definedName name="ㅊㅌㅍㅌㅊㅍㅊㅌㅍㅌㅊㅍㅌㅊㅍ" localSheetId="29" hidden="1">'[83]Eq. Mobilization'!#REF!</definedName>
    <definedName name="ㅊㅌㅍㅌㅊㅍㅊㅌㅍㅌㅊㅍㅌㅊㅍ" localSheetId="66" hidden="1">'[83]Eq. Mobilization'!#REF!</definedName>
    <definedName name="ㅊㅌㅍㅌㅊㅍㅊㅌㅍㅌㅊㅍㅌㅊㅍ" hidden="1">'[83]Eq. Mobilization'!#REF!</definedName>
    <definedName name="차량" localSheetId="70">BlankMacro1</definedName>
    <definedName name="차량" localSheetId="140">BlankMacro1</definedName>
    <definedName name="차량" localSheetId="52">BlankMacro1</definedName>
    <definedName name="차량" localSheetId="58">BlankMacro1</definedName>
    <definedName name="차량" localSheetId="56">BlankMacro1</definedName>
    <definedName name="차량" localSheetId="57">BlankMacro1</definedName>
    <definedName name="차량" localSheetId="64">BlankMacro1</definedName>
    <definedName name="차량" localSheetId="67">BlankMacro1</definedName>
    <definedName name="차량" localSheetId="65">BlankMacro1</definedName>
    <definedName name="차량" localSheetId="68">BlankMacro1</definedName>
    <definedName name="차량" localSheetId="71">BlankMacro1</definedName>
    <definedName name="차량" localSheetId="44">BlankMacro1</definedName>
    <definedName name="차량" localSheetId="45">BlankMacro1</definedName>
    <definedName name="차량" localSheetId="17">BlankMacro1</definedName>
    <definedName name="차량" localSheetId="27">BlankMacro1</definedName>
    <definedName name="차량" localSheetId="72">BlankMacro1</definedName>
    <definedName name="차량" localSheetId="28">BlankMacro1</definedName>
    <definedName name="차량" localSheetId="29">BlankMacro1</definedName>
    <definedName name="차량" localSheetId="66">BlankMacro1</definedName>
    <definedName name="차량">BlankMacro1</definedName>
    <definedName name="차량1" localSheetId="70">BlankMacro1</definedName>
    <definedName name="차량1" localSheetId="140">BlankMacro1</definedName>
    <definedName name="차량1" localSheetId="52">BlankMacro1</definedName>
    <definedName name="차량1" localSheetId="58">BlankMacro1</definedName>
    <definedName name="차량1" localSheetId="56">BlankMacro1</definedName>
    <definedName name="차량1" localSheetId="57">BlankMacro1</definedName>
    <definedName name="차량1" localSheetId="64">BlankMacro1</definedName>
    <definedName name="차량1" localSheetId="67">BlankMacro1</definedName>
    <definedName name="차량1" localSheetId="65">BlankMacro1</definedName>
    <definedName name="차량1" localSheetId="68">BlankMacro1</definedName>
    <definedName name="차량1" localSheetId="71">BlankMacro1</definedName>
    <definedName name="차량1" localSheetId="44">BlankMacro1</definedName>
    <definedName name="차량1" localSheetId="45">BlankMacro1</definedName>
    <definedName name="차량1" localSheetId="17">BlankMacro1</definedName>
    <definedName name="차량1" localSheetId="27">BlankMacro1</definedName>
    <definedName name="차량1" localSheetId="72">BlankMacro1</definedName>
    <definedName name="차량1" localSheetId="28">BlankMacro1</definedName>
    <definedName name="차량1" localSheetId="29">BlankMacro1</definedName>
    <definedName name="차량1" localSheetId="66">BlankMacro1</definedName>
    <definedName name="차량1">BlankMacro1</definedName>
    <definedName name="철구사업본부" localSheetId="70">#REF!</definedName>
    <definedName name="철구사업본부" localSheetId="52">#REF!</definedName>
    <definedName name="철구사업본부" localSheetId="58">#REF!</definedName>
    <definedName name="철구사업본부" localSheetId="56">#REF!</definedName>
    <definedName name="철구사업본부" localSheetId="57">#REF!</definedName>
    <definedName name="철구사업본부" localSheetId="64">#REF!</definedName>
    <definedName name="철구사업본부" localSheetId="67">#REF!</definedName>
    <definedName name="철구사업본부" localSheetId="65">#REF!</definedName>
    <definedName name="철구사업본부" localSheetId="68">#REF!</definedName>
    <definedName name="철구사업본부" localSheetId="71">#REF!</definedName>
    <definedName name="철구사업본부" localSheetId="44">#REF!</definedName>
    <definedName name="철구사업본부" localSheetId="45">#REF!</definedName>
    <definedName name="철구사업본부" localSheetId="17">#REF!</definedName>
    <definedName name="철구사업본부" localSheetId="27">#REF!</definedName>
    <definedName name="철구사업본부" localSheetId="72">#REF!</definedName>
    <definedName name="철구사업본부" localSheetId="28">#REF!</definedName>
    <definedName name="철구사업본부" localSheetId="29">#REF!</definedName>
    <definedName name="철구사업본부" localSheetId="66">#REF!</definedName>
    <definedName name="철구사업본부">#REF!</definedName>
    <definedName name="최상철" localSheetId="70">BlankMacro1</definedName>
    <definedName name="최상철" localSheetId="140">BlankMacro1</definedName>
    <definedName name="최상철" localSheetId="52">BlankMacro1</definedName>
    <definedName name="최상철" localSheetId="58">BlankMacro1</definedName>
    <definedName name="최상철" localSheetId="56">BlankMacro1</definedName>
    <definedName name="최상철" localSheetId="57">BlankMacro1</definedName>
    <definedName name="최상철" localSheetId="64">BlankMacro1</definedName>
    <definedName name="최상철" localSheetId="67">BlankMacro1</definedName>
    <definedName name="최상철" localSheetId="65">BlankMacro1</definedName>
    <definedName name="최상철" localSheetId="68">BlankMacro1</definedName>
    <definedName name="최상철" localSheetId="71">BlankMacro1</definedName>
    <definedName name="최상철" localSheetId="44">BlankMacro1</definedName>
    <definedName name="최상철" localSheetId="45">BlankMacro1</definedName>
    <definedName name="최상철" localSheetId="17">BlankMacro1</definedName>
    <definedName name="최상철" localSheetId="27">BlankMacro1</definedName>
    <definedName name="최상철" localSheetId="72">BlankMacro1</definedName>
    <definedName name="최상철" localSheetId="28">BlankMacro1</definedName>
    <definedName name="최상철" localSheetId="29">BlankMacro1</definedName>
    <definedName name="최상철" localSheetId="66">BlankMacro1</definedName>
    <definedName name="최상철">BlankMacro1</definedName>
    <definedName name="추" localSheetId="140" hidden="1">{"'Sheet1'!$L$16"}</definedName>
    <definedName name="추" localSheetId="58" hidden="1">{"'Sheet1'!$L$16"}</definedName>
    <definedName name="추" localSheetId="56" hidden="1">{"'Sheet1'!$L$16"}</definedName>
    <definedName name="추" localSheetId="57" hidden="1">{"'Sheet1'!$L$16"}</definedName>
    <definedName name="추" localSheetId="67" hidden="1">{"'Sheet1'!$L$16"}</definedName>
    <definedName name="추" localSheetId="65" hidden="1">{"'Sheet1'!$L$16"}</definedName>
    <definedName name="추" localSheetId="68" hidden="1">{"'Sheet1'!$L$16"}</definedName>
    <definedName name="추" localSheetId="71" hidden="1">{"'Sheet1'!$L$16"}</definedName>
    <definedName name="추" localSheetId="17" hidden="1">{"'Sheet1'!$L$16"}</definedName>
    <definedName name="추" localSheetId="27" hidden="1">{"'Sheet1'!$L$16"}</definedName>
    <definedName name="추" localSheetId="72" hidden="1">{"'Sheet1'!$L$16"}</definedName>
    <definedName name="추" localSheetId="28" hidden="1">{"'Sheet1'!$L$16"}</definedName>
    <definedName name="추" localSheetId="29" hidden="1">{"'Sheet1'!$L$16"}</definedName>
    <definedName name="추" hidden="1">{"'Sheet1'!$L$16"}</definedName>
    <definedName name="추가분" localSheetId="140" hidden="1">{"'장비'!$A$3:$M$12"}</definedName>
    <definedName name="추가분" localSheetId="58" hidden="1">{"'장비'!$A$3:$M$12"}</definedName>
    <definedName name="추가분" localSheetId="56" hidden="1">{"'장비'!$A$3:$M$12"}</definedName>
    <definedName name="추가분" localSheetId="57" hidden="1">{"'장비'!$A$3:$M$12"}</definedName>
    <definedName name="추가분" localSheetId="67" hidden="1">{"'장비'!$A$3:$M$12"}</definedName>
    <definedName name="추가분" localSheetId="65" hidden="1">{"'장비'!$A$3:$M$12"}</definedName>
    <definedName name="추가분" localSheetId="68" hidden="1">{"'장비'!$A$3:$M$12"}</definedName>
    <definedName name="추가분" localSheetId="71" hidden="1">{"'장비'!$A$3:$M$12"}</definedName>
    <definedName name="추가분" localSheetId="17" hidden="1">{"'장비'!$A$3:$M$12"}</definedName>
    <definedName name="추가분" localSheetId="27" hidden="1">{"'장비'!$A$3:$M$12"}</definedName>
    <definedName name="추가분" localSheetId="72" hidden="1">{"'장비'!$A$3:$M$12"}</definedName>
    <definedName name="추가분" localSheetId="28" hidden="1">{"'장비'!$A$3:$M$12"}</definedName>
    <definedName name="추가분" localSheetId="29" hidden="1">{"'장비'!$A$3:$M$12"}</definedName>
    <definedName name="추가분" hidden="1">{"'장비'!$A$3:$M$12"}</definedName>
    <definedName name="ㅋ" localSheetId="70" hidden="1">'[83]Eq. Mobilization'!#REF!</definedName>
    <definedName name="ㅋ" localSheetId="52" hidden="1">'[83]Eq. Mobilization'!#REF!</definedName>
    <definedName name="ㅋ" localSheetId="58" hidden="1">'[83]Eq. Mobilization'!#REF!</definedName>
    <definedName name="ㅋ" localSheetId="56" hidden="1">'[83]Eq. Mobilization'!#REF!</definedName>
    <definedName name="ㅋ" localSheetId="57" hidden="1">'[83]Eq. Mobilization'!#REF!</definedName>
    <definedName name="ㅋ" localSheetId="64" hidden="1">'[83]Eq. Mobilization'!#REF!</definedName>
    <definedName name="ㅋ" localSheetId="67" hidden="1">'[83]Eq. Mobilization'!#REF!</definedName>
    <definedName name="ㅋ" localSheetId="65" hidden="1">'[83]Eq. Mobilization'!#REF!</definedName>
    <definedName name="ㅋ" localSheetId="68" hidden="1">'[83]Eq. Mobilization'!#REF!</definedName>
    <definedName name="ㅋ" localSheetId="71" hidden="1">'[83]Eq. Mobilization'!#REF!</definedName>
    <definedName name="ㅋ" localSheetId="44" hidden="1">'[83]Eq. Mobilization'!#REF!</definedName>
    <definedName name="ㅋ" localSheetId="45" hidden="1">'[83]Eq. Mobilization'!#REF!</definedName>
    <definedName name="ㅋ" localSheetId="17" hidden="1">'[83]Eq. Mobilization'!#REF!</definedName>
    <definedName name="ㅋ" localSheetId="27" hidden="1">'[83]Eq. Mobilization'!#REF!</definedName>
    <definedName name="ㅋ" localSheetId="72" hidden="1">'[83]Eq. Mobilization'!#REF!</definedName>
    <definedName name="ㅋ" localSheetId="28" hidden="1">'[83]Eq. Mobilization'!#REF!</definedName>
    <definedName name="ㅋ" localSheetId="29" hidden="1">'[83]Eq. Mobilization'!#REF!</definedName>
    <definedName name="ㅋ" localSheetId="66" hidden="1">'[83]Eq. Mobilization'!#REF!</definedName>
    <definedName name="ㅋ" hidden="1">'[83]Eq. Mobilization'!#REF!</definedName>
    <definedName name="ㅋㅋㅋㅋ" localSheetId="70" hidden="1">'[83]Eq. Mobilization'!#REF!</definedName>
    <definedName name="ㅋㅋㅋㅋ" localSheetId="52" hidden="1">'[83]Eq. Mobilization'!#REF!</definedName>
    <definedName name="ㅋㅋㅋㅋ" localSheetId="58" hidden="1">'[83]Eq. Mobilization'!#REF!</definedName>
    <definedName name="ㅋㅋㅋㅋ" localSheetId="57" hidden="1">'[83]Eq. Mobilization'!#REF!</definedName>
    <definedName name="ㅋㅋㅋㅋ" localSheetId="64" hidden="1">'[83]Eq. Mobilization'!#REF!</definedName>
    <definedName name="ㅋㅋㅋㅋ" localSheetId="67" hidden="1">'[83]Eq. Mobilization'!#REF!</definedName>
    <definedName name="ㅋㅋㅋㅋ" localSheetId="65" hidden="1">'[83]Eq. Mobilization'!#REF!</definedName>
    <definedName name="ㅋㅋㅋㅋ" localSheetId="68" hidden="1">'[83]Eq. Mobilization'!#REF!</definedName>
    <definedName name="ㅋㅋㅋㅋ" localSheetId="71" hidden="1">'[83]Eq. Mobilization'!#REF!</definedName>
    <definedName name="ㅋㅋㅋㅋ" localSheetId="44" hidden="1">'[83]Eq. Mobilization'!#REF!</definedName>
    <definedName name="ㅋㅋㅋㅋ" localSheetId="45" hidden="1">'[83]Eq. Mobilization'!#REF!</definedName>
    <definedName name="ㅋㅋㅋㅋ" localSheetId="27" hidden="1">'[83]Eq. Mobilization'!#REF!</definedName>
    <definedName name="ㅋㅋㅋㅋ" localSheetId="72" hidden="1">'[83]Eq. Mobilization'!#REF!</definedName>
    <definedName name="ㅋㅋㅋㅋ" localSheetId="28" hidden="1">'[83]Eq. Mobilization'!#REF!</definedName>
    <definedName name="ㅋㅋㅋㅋ" localSheetId="29" hidden="1">'[83]Eq. Mobilization'!#REF!</definedName>
    <definedName name="ㅋㅋㅋㅋ" localSheetId="66" hidden="1">'[83]Eq. Mobilization'!#REF!</definedName>
    <definedName name="ㅋㅋㅋㅋ" hidden="1">'[83]Eq. Mobilization'!#REF!</definedName>
    <definedName name="ㅋㅋㅋㅋㅋㅋ" localSheetId="70" hidden="1">'[83]Eq. Mobilization'!#REF!</definedName>
    <definedName name="ㅋㅋㅋㅋㅋㅋ" localSheetId="52" hidden="1">'[83]Eq. Mobilization'!#REF!</definedName>
    <definedName name="ㅋㅋㅋㅋㅋㅋ" localSheetId="58" hidden="1">'[83]Eq. Mobilization'!#REF!</definedName>
    <definedName name="ㅋㅋㅋㅋㅋㅋ" localSheetId="57" hidden="1">'[83]Eq. Mobilization'!#REF!</definedName>
    <definedName name="ㅋㅋㅋㅋㅋㅋ" localSheetId="64" hidden="1">'[83]Eq. Mobilization'!#REF!</definedName>
    <definedName name="ㅋㅋㅋㅋㅋㅋ" localSheetId="67" hidden="1">'[83]Eq. Mobilization'!#REF!</definedName>
    <definedName name="ㅋㅋㅋㅋㅋㅋ" localSheetId="65" hidden="1">'[83]Eq. Mobilization'!#REF!</definedName>
    <definedName name="ㅋㅋㅋㅋㅋㅋ" localSheetId="68" hidden="1">'[83]Eq. Mobilization'!#REF!</definedName>
    <definedName name="ㅋㅋㅋㅋㅋㅋ" localSheetId="71" hidden="1">'[83]Eq. Mobilization'!#REF!</definedName>
    <definedName name="ㅋㅋㅋㅋㅋㅋ" localSheetId="44" hidden="1">'[83]Eq. Mobilization'!#REF!</definedName>
    <definedName name="ㅋㅋㅋㅋㅋㅋ" localSheetId="45" hidden="1">'[83]Eq. Mobilization'!#REF!</definedName>
    <definedName name="ㅋㅋㅋㅋㅋㅋ" localSheetId="27" hidden="1">'[83]Eq. Mobilization'!#REF!</definedName>
    <definedName name="ㅋㅋㅋㅋㅋㅋ" localSheetId="28" hidden="1">'[83]Eq. Mobilization'!#REF!</definedName>
    <definedName name="ㅋㅋㅋㅋㅋㅋ" localSheetId="29" hidden="1">'[83]Eq. Mobilization'!#REF!</definedName>
    <definedName name="ㅋㅋㅋㅋㅋㅋ" localSheetId="66" hidden="1">'[83]Eq. Mobilization'!#REF!</definedName>
    <definedName name="ㅋㅋㅋㅋㅋㅋ" hidden="1">'[83]Eq. Mobilization'!#REF!</definedName>
    <definedName name="ㅋㅋㅋㅋㅋㅋㅋㅋㅋ" localSheetId="70" hidden="1">'[83]Eq. Mobilization'!#REF!</definedName>
    <definedName name="ㅋㅋㅋㅋㅋㅋㅋㅋㅋ" localSheetId="52" hidden="1">'[83]Eq. Mobilization'!#REF!</definedName>
    <definedName name="ㅋㅋㅋㅋㅋㅋㅋㅋㅋ" localSheetId="58" hidden="1">'[83]Eq. Mobilization'!#REF!</definedName>
    <definedName name="ㅋㅋㅋㅋㅋㅋㅋㅋㅋ" localSheetId="57" hidden="1">'[83]Eq. Mobilization'!#REF!</definedName>
    <definedName name="ㅋㅋㅋㅋㅋㅋㅋㅋㅋ" localSheetId="64" hidden="1">'[83]Eq. Mobilization'!#REF!</definedName>
    <definedName name="ㅋㅋㅋㅋㅋㅋㅋㅋㅋ" localSheetId="67" hidden="1">'[83]Eq. Mobilization'!#REF!</definedName>
    <definedName name="ㅋㅋㅋㅋㅋㅋㅋㅋㅋ" localSheetId="65" hidden="1">'[83]Eq. Mobilization'!#REF!</definedName>
    <definedName name="ㅋㅋㅋㅋㅋㅋㅋㅋㅋ" localSheetId="68" hidden="1">'[83]Eq. Mobilization'!#REF!</definedName>
    <definedName name="ㅋㅋㅋㅋㅋㅋㅋㅋㅋ" localSheetId="71" hidden="1">'[83]Eq. Mobilization'!#REF!</definedName>
    <definedName name="ㅋㅋㅋㅋㅋㅋㅋㅋㅋ" localSheetId="44" hidden="1">'[83]Eq. Mobilization'!#REF!</definedName>
    <definedName name="ㅋㅋㅋㅋㅋㅋㅋㅋㅋ" localSheetId="45" hidden="1">'[83]Eq. Mobilization'!#REF!</definedName>
    <definedName name="ㅋㅋㅋㅋㅋㅋㅋㅋㅋ" localSheetId="27" hidden="1">'[83]Eq. Mobilization'!#REF!</definedName>
    <definedName name="ㅋㅋㅋㅋㅋㅋㅋㅋㅋ" localSheetId="28" hidden="1">'[83]Eq. Mobilization'!#REF!</definedName>
    <definedName name="ㅋㅋㅋㅋㅋㅋㅋㅋㅋ" localSheetId="29" hidden="1">'[83]Eq. Mobilization'!#REF!</definedName>
    <definedName name="ㅋㅋㅋㅋㅋㅋㅋㅋㅋ" localSheetId="66" hidden="1">'[83]Eq. Mobilization'!#REF!</definedName>
    <definedName name="ㅋㅋㅋㅋㅋㅋㅋㅋㅋ" hidden="1">'[83]Eq. Mobilization'!#REF!</definedName>
    <definedName name="클_레_임">#N/A</definedName>
    <definedName name="ㅌㅊㅍㅌㅊㅍㅌㅋㅊㅍㅌ" localSheetId="70" hidden="1">'[83]Eq. Mobilization'!#REF!</definedName>
    <definedName name="ㅌㅊㅍㅌㅊㅍㅌㅋㅊㅍㅌ" localSheetId="52" hidden="1">'[83]Eq. Mobilization'!#REF!</definedName>
    <definedName name="ㅌㅊㅍㅌㅊㅍㅌㅋㅊㅍㅌ" localSheetId="58" hidden="1">'[83]Eq. Mobilization'!#REF!</definedName>
    <definedName name="ㅌㅊㅍㅌㅊㅍㅌㅋㅊㅍㅌ" localSheetId="57" hidden="1">'[83]Eq. Mobilization'!#REF!</definedName>
    <definedName name="ㅌㅊㅍㅌㅊㅍㅌㅋㅊㅍㅌ" localSheetId="64" hidden="1">'[83]Eq. Mobilization'!#REF!</definedName>
    <definedName name="ㅌㅊㅍㅌㅊㅍㅌㅋㅊㅍㅌ" localSheetId="67" hidden="1">'[83]Eq. Mobilization'!#REF!</definedName>
    <definedName name="ㅌㅊㅍㅌㅊㅍㅌㅋㅊㅍㅌ" localSheetId="65" hidden="1">'[83]Eq. Mobilization'!#REF!</definedName>
    <definedName name="ㅌㅊㅍㅌㅊㅍㅌㅋㅊㅍㅌ" localSheetId="68" hidden="1">'[83]Eq. Mobilization'!#REF!</definedName>
    <definedName name="ㅌㅊㅍㅌㅊㅍㅌㅋㅊㅍㅌ" localSheetId="71" hidden="1">'[83]Eq. Mobilization'!#REF!</definedName>
    <definedName name="ㅌㅊㅍㅌㅊㅍㅌㅋㅊㅍㅌ" localSheetId="44" hidden="1">'[83]Eq. Mobilization'!#REF!</definedName>
    <definedName name="ㅌㅊㅍㅌㅊㅍㅌㅋㅊㅍㅌ" localSheetId="45" hidden="1">'[83]Eq. Mobilization'!#REF!</definedName>
    <definedName name="ㅌㅊㅍㅌㅊㅍㅌㅋㅊㅍㅌ" localSheetId="27" hidden="1">'[83]Eq. Mobilization'!#REF!</definedName>
    <definedName name="ㅌㅊㅍㅌㅊㅍㅌㅋㅊㅍㅌ" localSheetId="28" hidden="1">'[83]Eq. Mobilization'!#REF!</definedName>
    <definedName name="ㅌㅊㅍㅌㅊㅍㅌㅋㅊㅍㅌ" localSheetId="29" hidden="1">'[83]Eq. Mobilization'!#REF!</definedName>
    <definedName name="ㅌㅊㅍㅌㅊㅍㅌㅋㅊㅍㅌ" localSheetId="66" hidden="1">'[83]Eq. Mobilization'!#REF!</definedName>
    <definedName name="ㅌㅊㅍㅌㅊㅍㅌㅋㅊㅍㅌ" hidden="1">'[83]Eq. Mobilization'!#REF!</definedName>
    <definedName name="타부서_선택" localSheetId="70">#REF!</definedName>
    <definedName name="타부서_선택" localSheetId="52">#REF!</definedName>
    <definedName name="타부서_선택" localSheetId="58">#REF!</definedName>
    <definedName name="타부서_선택" localSheetId="56">#REF!</definedName>
    <definedName name="타부서_선택" localSheetId="57">#REF!</definedName>
    <definedName name="타부서_선택" localSheetId="64">#REF!</definedName>
    <definedName name="타부서_선택" localSheetId="67">#REF!</definedName>
    <definedName name="타부서_선택" localSheetId="65">#REF!</definedName>
    <definedName name="타부서_선택" localSheetId="68">#REF!</definedName>
    <definedName name="타부서_선택" localSheetId="71">#REF!</definedName>
    <definedName name="타부서_선택" localSheetId="44">#REF!</definedName>
    <definedName name="타부서_선택" localSheetId="45">#REF!</definedName>
    <definedName name="타부서_선택" localSheetId="17">#REF!</definedName>
    <definedName name="타부서_선택" localSheetId="27">#REF!</definedName>
    <definedName name="타부서_선택" localSheetId="72">#REF!</definedName>
    <definedName name="타부서_선택" localSheetId="28">#REF!</definedName>
    <definedName name="타부서_선택" localSheetId="29">#REF!</definedName>
    <definedName name="타부서_선택" localSheetId="66">#REF!</definedName>
    <definedName name="타부서_선택">#REF!</definedName>
    <definedName name="타부서_선택1" localSheetId="70">#REF!</definedName>
    <definedName name="타부서_선택1" localSheetId="52">#REF!</definedName>
    <definedName name="타부서_선택1" localSheetId="58">#REF!</definedName>
    <definedName name="타부서_선택1" localSheetId="57">#REF!</definedName>
    <definedName name="타부서_선택1" localSheetId="64">#REF!</definedName>
    <definedName name="타부서_선택1" localSheetId="67">#REF!</definedName>
    <definedName name="타부서_선택1" localSheetId="65">#REF!</definedName>
    <definedName name="타부서_선택1" localSheetId="68">#REF!</definedName>
    <definedName name="타부서_선택1" localSheetId="71">#REF!</definedName>
    <definedName name="타부서_선택1" localSheetId="44">#REF!</definedName>
    <definedName name="타부서_선택1" localSheetId="45">#REF!</definedName>
    <definedName name="타부서_선택1" localSheetId="17">#REF!</definedName>
    <definedName name="타부서_선택1" localSheetId="27">#REF!</definedName>
    <definedName name="타부서_선택1" localSheetId="72">#REF!</definedName>
    <definedName name="타부서_선택1" localSheetId="28">#REF!</definedName>
    <definedName name="타부서_선택1" localSheetId="29">#REF!</definedName>
    <definedName name="타부서_선택1" localSheetId="66">#REF!</definedName>
    <definedName name="타부서_선택1">#REF!</definedName>
    <definedName name="텐" localSheetId="70">BlankMacro1</definedName>
    <definedName name="텐" localSheetId="140">BlankMacro1</definedName>
    <definedName name="텐" localSheetId="52">BlankMacro1</definedName>
    <definedName name="텐" localSheetId="58">BlankMacro1</definedName>
    <definedName name="텐" localSheetId="56">BlankMacro1</definedName>
    <definedName name="텐" localSheetId="57">BlankMacro1</definedName>
    <definedName name="텐" localSheetId="64">BlankMacro1</definedName>
    <definedName name="텐" localSheetId="67">BlankMacro1</definedName>
    <definedName name="텐" localSheetId="65">BlankMacro1</definedName>
    <definedName name="텐" localSheetId="68">BlankMacro1</definedName>
    <definedName name="텐" localSheetId="71">BlankMacro1</definedName>
    <definedName name="텐" localSheetId="44">BlankMacro1</definedName>
    <definedName name="텐" localSheetId="45">BlankMacro1</definedName>
    <definedName name="텐" localSheetId="17">BlankMacro1</definedName>
    <definedName name="텐" localSheetId="27">BlankMacro1</definedName>
    <definedName name="텐" localSheetId="72">BlankMacro1</definedName>
    <definedName name="텐" localSheetId="28">BlankMacro1</definedName>
    <definedName name="텐" localSheetId="29">BlankMacro1</definedName>
    <definedName name="텐" localSheetId="66">BlankMacro1</definedName>
    <definedName name="텐">BlankMacro1</definedName>
    <definedName name="템1" localSheetId="70">BlankMacro1</definedName>
    <definedName name="템1" localSheetId="140">BlankMacro1</definedName>
    <definedName name="템1" localSheetId="52">BlankMacro1</definedName>
    <definedName name="템1" localSheetId="58">BlankMacro1</definedName>
    <definedName name="템1" localSheetId="56">BlankMacro1</definedName>
    <definedName name="템1" localSheetId="57">BlankMacro1</definedName>
    <definedName name="템1" localSheetId="64">BlankMacro1</definedName>
    <definedName name="템1" localSheetId="67">BlankMacro1</definedName>
    <definedName name="템1" localSheetId="65">BlankMacro1</definedName>
    <definedName name="템1" localSheetId="68">BlankMacro1</definedName>
    <definedName name="템1" localSheetId="71">BlankMacro1</definedName>
    <definedName name="템1" localSheetId="44">BlankMacro1</definedName>
    <definedName name="템1" localSheetId="45">BlankMacro1</definedName>
    <definedName name="템1" localSheetId="17">BlankMacro1</definedName>
    <definedName name="템1" localSheetId="27">BlankMacro1</definedName>
    <definedName name="템1" localSheetId="72">BlankMacro1</definedName>
    <definedName name="템1" localSheetId="28">BlankMacro1</definedName>
    <definedName name="템1" localSheetId="29">BlankMacro1</definedName>
    <definedName name="템1" localSheetId="66">BlankMacro1</definedName>
    <definedName name="템1">BlankMacro1</definedName>
    <definedName name="템플리트모듈1" localSheetId="70">BlankMacro1</definedName>
    <definedName name="템플리트모듈1" localSheetId="140">BlankMacro1</definedName>
    <definedName name="템플리트모듈1" localSheetId="52">BlankMacro1</definedName>
    <definedName name="템플리트모듈1" localSheetId="58">BlankMacro1</definedName>
    <definedName name="템플리트모듈1" localSheetId="56">BlankMacro1</definedName>
    <definedName name="템플리트모듈1" localSheetId="57">BlankMacro1</definedName>
    <definedName name="템플리트모듈1" localSheetId="64">BlankMacro1</definedName>
    <definedName name="템플리트모듈1" localSheetId="67">BlankMacro1</definedName>
    <definedName name="템플리트모듈1" localSheetId="65">BlankMacro1</definedName>
    <definedName name="템플리트모듈1" localSheetId="68">BlankMacro1</definedName>
    <definedName name="템플리트모듈1" localSheetId="71">BlankMacro1</definedName>
    <definedName name="템플리트모듈1" localSheetId="44">BlankMacro1</definedName>
    <definedName name="템플리트모듈1" localSheetId="45">BlankMacro1</definedName>
    <definedName name="템플리트모듈1" localSheetId="17">BlankMacro1</definedName>
    <definedName name="템플리트모듈1" localSheetId="27">BlankMacro1</definedName>
    <definedName name="템플리트모듈1" localSheetId="72">BlankMacro1</definedName>
    <definedName name="템플리트모듈1" localSheetId="28">BlankMacro1</definedName>
    <definedName name="템플리트모듈1" localSheetId="29">BlankMacro1</definedName>
    <definedName name="템플리트모듈1" localSheetId="66">BlankMacro1</definedName>
    <definedName name="템플리트모듈1">BlankMacro1</definedName>
    <definedName name="템플리트모듈2" localSheetId="70">BlankMacro1</definedName>
    <definedName name="템플리트모듈2" localSheetId="140">BlankMacro1</definedName>
    <definedName name="템플리트모듈2" localSheetId="52">BlankMacro1</definedName>
    <definedName name="템플리트모듈2" localSheetId="58">BlankMacro1</definedName>
    <definedName name="템플리트모듈2" localSheetId="56">BlankMacro1</definedName>
    <definedName name="템플리트모듈2" localSheetId="57">BlankMacro1</definedName>
    <definedName name="템플리트모듈2" localSheetId="64">BlankMacro1</definedName>
    <definedName name="템플리트모듈2" localSheetId="67">BlankMacro1</definedName>
    <definedName name="템플리트모듈2" localSheetId="65">BlankMacro1</definedName>
    <definedName name="템플리트모듈2" localSheetId="68">BlankMacro1</definedName>
    <definedName name="템플리트모듈2" localSheetId="71">BlankMacro1</definedName>
    <definedName name="템플리트모듈2" localSheetId="44">BlankMacro1</definedName>
    <definedName name="템플리트모듈2" localSheetId="45">BlankMacro1</definedName>
    <definedName name="템플리트모듈2" localSheetId="17">BlankMacro1</definedName>
    <definedName name="템플리트모듈2" localSheetId="27">BlankMacro1</definedName>
    <definedName name="템플리트모듈2" localSheetId="72">BlankMacro1</definedName>
    <definedName name="템플리트모듈2" localSheetId="28">BlankMacro1</definedName>
    <definedName name="템플리트모듈2" localSheetId="29">BlankMacro1</definedName>
    <definedName name="템플리트모듈2" localSheetId="66">BlankMacro1</definedName>
    <definedName name="템플리트모듈2">BlankMacro1</definedName>
    <definedName name="템플리트모듈3" localSheetId="70">BlankMacro1</definedName>
    <definedName name="템플리트모듈3" localSheetId="140">BlankMacro1</definedName>
    <definedName name="템플리트모듈3" localSheetId="52">BlankMacro1</definedName>
    <definedName name="템플리트모듈3" localSheetId="58">BlankMacro1</definedName>
    <definedName name="템플리트모듈3" localSheetId="56">BlankMacro1</definedName>
    <definedName name="템플리트모듈3" localSheetId="57">BlankMacro1</definedName>
    <definedName name="템플리트모듈3" localSheetId="64">BlankMacro1</definedName>
    <definedName name="템플리트모듈3" localSheetId="67">BlankMacro1</definedName>
    <definedName name="템플리트모듈3" localSheetId="65">BlankMacro1</definedName>
    <definedName name="템플리트모듈3" localSheetId="68">BlankMacro1</definedName>
    <definedName name="템플리트모듈3" localSheetId="71">BlankMacro1</definedName>
    <definedName name="템플리트모듈3" localSheetId="44">BlankMacro1</definedName>
    <definedName name="템플리트모듈3" localSheetId="45">BlankMacro1</definedName>
    <definedName name="템플리트모듈3" localSheetId="17">BlankMacro1</definedName>
    <definedName name="템플리트모듈3" localSheetId="27">BlankMacro1</definedName>
    <definedName name="템플리트모듈3" localSheetId="72">BlankMacro1</definedName>
    <definedName name="템플리트모듈3" localSheetId="28">BlankMacro1</definedName>
    <definedName name="템플리트모듈3" localSheetId="29">BlankMacro1</definedName>
    <definedName name="템플리트모듈3" localSheetId="66">BlankMacro1</definedName>
    <definedName name="템플리트모듈3">BlankMacro1</definedName>
    <definedName name="템플리트모듈4" localSheetId="70">BlankMacro1</definedName>
    <definedName name="템플리트모듈4" localSheetId="140">BlankMacro1</definedName>
    <definedName name="템플리트모듈4" localSheetId="52">BlankMacro1</definedName>
    <definedName name="템플리트모듈4" localSheetId="58">BlankMacro1</definedName>
    <definedName name="템플리트모듈4" localSheetId="56">BlankMacro1</definedName>
    <definedName name="템플리트모듈4" localSheetId="57">BlankMacro1</definedName>
    <definedName name="템플리트모듈4" localSheetId="64">BlankMacro1</definedName>
    <definedName name="템플리트모듈4" localSheetId="67">BlankMacro1</definedName>
    <definedName name="템플리트모듈4" localSheetId="65">BlankMacro1</definedName>
    <definedName name="템플리트모듈4" localSheetId="68">BlankMacro1</definedName>
    <definedName name="템플리트모듈4" localSheetId="71">BlankMacro1</definedName>
    <definedName name="템플리트모듈4" localSheetId="44">BlankMacro1</definedName>
    <definedName name="템플리트모듈4" localSheetId="45">BlankMacro1</definedName>
    <definedName name="템플리트모듈4" localSheetId="17">BlankMacro1</definedName>
    <definedName name="템플리트모듈4" localSheetId="27">BlankMacro1</definedName>
    <definedName name="템플리트모듈4" localSheetId="72">BlankMacro1</definedName>
    <definedName name="템플리트모듈4" localSheetId="28">BlankMacro1</definedName>
    <definedName name="템플리트모듈4" localSheetId="29">BlankMacro1</definedName>
    <definedName name="템플리트모듈4" localSheetId="66">BlankMacro1</definedName>
    <definedName name="템플리트모듈4">BlankMacro1</definedName>
    <definedName name="템플리트모듈5" localSheetId="70">BlankMacro1</definedName>
    <definedName name="템플리트모듈5" localSheetId="140">BlankMacro1</definedName>
    <definedName name="템플리트모듈5" localSheetId="52">BlankMacro1</definedName>
    <definedName name="템플리트모듈5" localSheetId="58">BlankMacro1</definedName>
    <definedName name="템플리트모듈5" localSheetId="56">BlankMacro1</definedName>
    <definedName name="템플리트모듈5" localSheetId="57">BlankMacro1</definedName>
    <definedName name="템플리트모듈5" localSheetId="64">BlankMacro1</definedName>
    <definedName name="템플리트모듈5" localSheetId="67">BlankMacro1</definedName>
    <definedName name="템플리트모듈5" localSheetId="65">BlankMacro1</definedName>
    <definedName name="템플리트모듈5" localSheetId="68">BlankMacro1</definedName>
    <definedName name="템플리트모듈5" localSheetId="71">BlankMacro1</definedName>
    <definedName name="템플리트모듈5" localSheetId="44">BlankMacro1</definedName>
    <definedName name="템플리트모듈5" localSheetId="45">BlankMacro1</definedName>
    <definedName name="템플리트모듈5" localSheetId="17">BlankMacro1</definedName>
    <definedName name="템플리트모듈5" localSheetId="27">BlankMacro1</definedName>
    <definedName name="템플리트모듈5" localSheetId="72">BlankMacro1</definedName>
    <definedName name="템플리트모듈5" localSheetId="28">BlankMacro1</definedName>
    <definedName name="템플리트모듈5" localSheetId="29">BlankMacro1</definedName>
    <definedName name="템플리트모듈5" localSheetId="66">BlankMacro1</definedName>
    <definedName name="템플리트모듈5">BlankMacro1</definedName>
    <definedName name="템플리트모듈6" localSheetId="70">BlankMacro1</definedName>
    <definedName name="템플리트모듈6" localSheetId="140">BlankMacro1</definedName>
    <definedName name="템플리트모듈6" localSheetId="52">BlankMacro1</definedName>
    <definedName name="템플리트모듈6" localSheetId="58">BlankMacro1</definedName>
    <definedName name="템플리트모듈6" localSheetId="56">BlankMacro1</definedName>
    <definedName name="템플리트모듈6" localSheetId="57">BlankMacro1</definedName>
    <definedName name="템플리트모듈6" localSheetId="64">BlankMacro1</definedName>
    <definedName name="템플리트모듈6" localSheetId="67">BlankMacro1</definedName>
    <definedName name="템플리트모듈6" localSheetId="65">BlankMacro1</definedName>
    <definedName name="템플리트모듈6" localSheetId="68">BlankMacro1</definedName>
    <definedName name="템플리트모듈6" localSheetId="71">BlankMacro1</definedName>
    <definedName name="템플리트모듈6" localSheetId="44">BlankMacro1</definedName>
    <definedName name="템플리트모듈6" localSheetId="45">BlankMacro1</definedName>
    <definedName name="템플리트모듈6" localSheetId="17">BlankMacro1</definedName>
    <definedName name="템플리트모듈6" localSheetId="27">BlankMacro1</definedName>
    <definedName name="템플리트모듈6" localSheetId="72">BlankMacro1</definedName>
    <definedName name="템플리트모듈6" localSheetId="28">BlankMacro1</definedName>
    <definedName name="템플리트모듈6" localSheetId="29">BlankMacro1</definedName>
    <definedName name="템플리트모듈6" localSheetId="66">BlankMacro1</definedName>
    <definedName name="템플리트모듈6">BlankMacro1</definedName>
    <definedName name="토">#N/A</definedName>
    <definedName name="토목변경" localSheetId="140" hidden="1">{"'장비'!$A$3:$M$12"}</definedName>
    <definedName name="토목변경" localSheetId="58" hidden="1">{"'장비'!$A$3:$M$12"}</definedName>
    <definedName name="토목변경" localSheetId="56" hidden="1">{"'장비'!$A$3:$M$12"}</definedName>
    <definedName name="토목변경" localSheetId="57" hidden="1">{"'장비'!$A$3:$M$12"}</definedName>
    <definedName name="토목변경" localSheetId="67" hidden="1">{"'장비'!$A$3:$M$12"}</definedName>
    <definedName name="토목변경" localSheetId="65" hidden="1">{"'장비'!$A$3:$M$12"}</definedName>
    <definedName name="토목변경" localSheetId="68" hidden="1">{"'장비'!$A$3:$M$12"}</definedName>
    <definedName name="토목변경" localSheetId="71" hidden="1">{"'장비'!$A$3:$M$12"}</definedName>
    <definedName name="토목변경" localSheetId="17" hidden="1">{"'장비'!$A$3:$M$12"}</definedName>
    <definedName name="토목변경" localSheetId="27" hidden="1">{"'장비'!$A$3:$M$12"}</definedName>
    <definedName name="토목변경" localSheetId="72" hidden="1">{"'장비'!$A$3:$M$12"}</definedName>
    <definedName name="토목변경" localSheetId="28" hidden="1">{"'장비'!$A$3:$M$12"}</definedName>
    <definedName name="토목변경" localSheetId="29" hidden="1">{"'장비'!$A$3:$M$12"}</definedName>
    <definedName name="토목변경" hidden="1">{"'장비'!$A$3:$M$12"}</definedName>
    <definedName name="토목실행예산" localSheetId="140" hidden="1">{"'장비'!$A$3:$M$12"}</definedName>
    <definedName name="토목실행예산" localSheetId="58" hidden="1">{"'장비'!$A$3:$M$12"}</definedName>
    <definedName name="토목실행예산" localSheetId="56" hidden="1">{"'장비'!$A$3:$M$12"}</definedName>
    <definedName name="토목실행예산" localSheetId="57" hidden="1">{"'장비'!$A$3:$M$12"}</definedName>
    <definedName name="토목실행예산" localSheetId="67" hidden="1">{"'장비'!$A$3:$M$12"}</definedName>
    <definedName name="토목실행예산" localSheetId="65" hidden="1">{"'장비'!$A$3:$M$12"}</definedName>
    <definedName name="토목실행예산" localSheetId="68" hidden="1">{"'장비'!$A$3:$M$12"}</definedName>
    <definedName name="토목실행예산" localSheetId="71" hidden="1">{"'장비'!$A$3:$M$12"}</definedName>
    <definedName name="토목실행예산" localSheetId="17" hidden="1">{"'장비'!$A$3:$M$12"}</definedName>
    <definedName name="토목실행예산" localSheetId="27" hidden="1">{"'장비'!$A$3:$M$12"}</definedName>
    <definedName name="토목실행예산" localSheetId="72" hidden="1">{"'장비'!$A$3:$M$12"}</definedName>
    <definedName name="토목실행예산" localSheetId="28" hidden="1">{"'장비'!$A$3:$M$12"}</definedName>
    <definedName name="토목실행예산" localSheetId="29" hidden="1">{"'장비'!$A$3:$M$12"}</definedName>
    <definedName name="토목실행예산" hidden="1">{"'장비'!$A$3:$M$12"}</definedName>
    <definedName name="토목조정분" localSheetId="140" hidden="1">{"'장비'!$A$3:$M$12"}</definedName>
    <definedName name="토목조정분" localSheetId="58" hidden="1">{"'장비'!$A$3:$M$12"}</definedName>
    <definedName name="토목조정분" localSheetId="56" hidden="1">{"'장비'!$A$3:$M$12"}</definedName>
    <definedName name="토목조정분" localSheetId="57" hidden="1">{"'장비'!$A$3:$M$12"}</definedName>
    <definedName name="토목조정분" localSheetId="67" hidden="1">{"'장비'!$A$3:$M$12"}</definedName>
    <definedName name="토목조정분" localSheetId="65" hidden="1">{"'장비'!$A$3:$M$12"}</definedName>
    <definedName name="토목조정분" localSheetId="68" hidden="1">{"'장비'!$A$3:$M$12"}</definedName>
    <definedName name="토목조정분" localSheetId="71" hidden="1">{"'장비'!$A$3:$M$12"}</definedName>
    <definedName name="토목조정분" localSheetId="17" hidden="1">{"'장비'!$A$3:$M$12"}</definedName>
    <definedName name="토목조정분" localSheetId="27" hidden="1">{"'장비'!$A$3:$M$12"}</definedName>
    <definedName name="토목조정분" localSheetId="72" hidden="1">{"'장비'!$A$3:$M$12"}</definedName>
    <definedName name="토목조정분" localSheetId="28" hidden="1">{"'장비'!$A$3:$M$12"}</definedName>
    <definedName name="토목조정분" localSheetId="29" hidden="1">{"'장비'!$A$3:$M$12"}</definedName>
    <definedName name="토목조정분" hidden="1">{"'장비'!$A$3:$M$12"}</definedName>
    <definedName name="토탈" localSheetId="70">#REF!</definedName>
    <definedName name="토탈" localSheetId="52">#REF!</definedName>
    <definedName name="토탈" localSheetId="58">#REF!</definedName>
    <definedName name="토탈" localSheetId="57">#REF!</definedName>
    <definedName name="토탈" localSheetId="64">#REF!</definedName>
    <definedName name="토탈" localSheetId="67">#REF!</definedName>
    <definedName name="토탈" localSheetId="65">#REF!</definedName>
    <definedName name="토탈" localSheetId="68">#REF!</definedName>
    <definedName name="토탈" localSheetId="71">#REF!</definedName>
    <definedName name="토탈" localSheetId="44">#REF!</definedName>
    <definedName name="토탈" localSheetId="45">#REF!</definedName>
    <definedName name="토탈" localSheetId="27">#REF!</definedName>
    <definedName name="토탈" localSheetId="28">#REF!</definedName>
    <definedName name="토탈" localSheetId="29">#REF!</definedName>
    <definedName name="토탈" localSheetId="66">#REF!</definedName>
    <definedName name="토탈">#REF!</definedName>
    <definedName name="특별_인부" localSheetId="70">#REF!</definedName>
    <definedName name="특별_인부" localSheetId="52">#REF!</definedName>
    <definedName name="특별_인부" localSheetId="58">#REF!</definedName>
    <definedName name="특별_인부" localSheetId="57">#REF!</definedName>
    <definedName name="특별_인부" localSheetId="64">#REF!</definedName>
    <definedName name="특별_인부" localSheetId="67">#REF!</definedName>
    <definedName name="특별_인부" localSheetId="65">#REF!</definedName>
    <definedName name="특별_인부" localSheetId="68">#REF!</definedName>
    <definedName name="특별_인부" localSheetId="71">#REF!</definedName>
    <definedName name="특별_인부" localSheetId="44">#REF!</definedName>
    <definedName name="특별_인부" localSheetId="45">#REF!</definedName>
    <definedName name="특별_인부" localSheetId="27">#REF!</definedName>
    <definedName name="특별_인부" localSheetId="28">#REF!</definedName>
    <definedName name="특별_인부" localSheetId="29">#REF!</definedName>
    <definedName name="특별_인부" localSheetId="66">#REF!</definedName>
    <definedName name="특별_인부">#REF!</definedName>
    <definedName name="표">#N/A</definedName>
    <definedName name="품셈단가표" localSheetId="70">#REF!</definedName>
    <definedName name="품셈단가표" localSheetId="52">#REF!</definedName>
    <definedName name="품셈단가표" localSheetId="58">#REF!</definedName>
    <definedName name="품셈단가표" localSheetId="56">#REF!</definedName>
    <definedName name="품셈단가표" localSheetId="57">#REF!</definedName>
    <definedName name="품셈단가표" localSheetId="64">#REF!</definedName>
    <definedName name="품셈단가표" localSheetId="67">#REF!</definedName>
    <definedName name="품셈단가표" localSheetId="65">#REF!</definedName>
    <definedName name="품셈단가표" localSheetId="68">#REF!</definedName>
    <definedName name="품셈단가표" localSheetId="71">#REF!</definedName>
    <definedName name="품셈단가표" localSheetId="44">#REF!</definedName>
    <definedName name="품셈단가표" localSheetId="45">#REF!</definedName>
    <definedName name="품셈단가표" localSheetId="17">#REF!</definedName>
    <definedName name="품셈단가표" localSheetId="27">#REF!</definedName>
    <definedName name="품셈단가표" localSheetId="72">#REF!</definedName>
    <definedName name="품셈단가표" localSheetId="28">#REF!</definedName>
    <definedName name="품셈단가표" localSheetId="29">#REF!</definedName>
    <definedName name="품셈단가표" localSheetId="66">#REF!</definedName>
    <definedName name="품셈단가표">#REF!</definedName>
    <definedName name="플">#N/A</definedName>
    <definedName name="ㅎㅎㄹ" localSheetId="140" hidden="1">{"Edition",#N/A,FALSE,"Data"}</definedName>
    <definedName name="ㅎㅎㄹ" localSheetId="58" hidden="1">{"Edition",#N/A,FALSE,"Data"}</definedName>
    <definedName name="ㅎㅎㄹ" localSheetId="56" hidden="1">{"Edition",#N/A,FALSE,"Data"}</definedName>
    <definedName name="ㅎㅎㄹ" localSheetId="57" hidden="1">{"Edition",#N/A,FALSE,"Data"}</definedName>
    <definedName name="ㅎㅎㄹ" localSheetId="67" hidden="1">{"Edition",#N/A,FALSE,"Data"}</definedName>
    <definedName name="ㅎㅎㄹ" localSheetId="65" hidden="1">{"Edition",#N/A,FALSE,"Data"}</definedName>
    <definedName name="ㅎㅎㄹ" localSheetId="68" hidden="1">{"Edition",#N/A,FALSE,"Data"}</definedName>
    <definedName name="ㅎㅎㄹ" localSheetId="71" hidden="1">{"Edition",#N/A,FALSE,"Data"}</definedName>
    <definedName name="ㅎㅎㄹ" localSheetId="17" hidden="1">{"Edition",#N/A,FALSE,"Data"}</definedName>
    <definedName name="ㅎㅎㄹ" localSheetId="27" hidden="1">{"Edition",#N/A,FALSE,"Data"}</definedName>
    <definedName name="ㅎㅎㄹ" localSheetId="72" hidden="1">{"Edition",#N/A,FALSE,"Data"}</definedName>
    <definedName name="ㅎㅎㄹ" localSheetId="28" hidden="1">{"Edition",#N/A,FALSE,"Data"}</definedName>
    <definedName name="ㅎㅎㄹ" localSheetId="29" hidden="1">{"Edition",#N/A,FALSE,"Data"}</definedName>
    <definedName name="ㅎㅎㄹ" hidden="1">{"Edition",#N/A,FALSE,"Data"}</definedName>
    <definedName name="할" localSheetId="140" hidden="1">{"'Sheet1'!$L$16"}</definedName>
    <definedName name="할" localSheetId="58" hidden="1">{"'Sheet1'!$L$16"}</definedName>
    <definedName name="할" localSheetId="56" hidden="1">{"'Sheet1'!$L$16"}</definedName>
    <definedName name="할" localSheetId="57" hidden="1">{"'Sheet1'!$L$16"}</definedName>
    <definedName name="할" localSheetId="67" hidden="1">{"'Sheet1'!$L$16"}</definedName>
    <definedName name="할" localSheetId="65" hidden="1">{"'Sheet1'!$L$16"}</definedName>
    <definedName name="할" localSheetId="68" hidden="1">{"'Sheet1'!$L$16"}</definedName>
    <definedName name="할" localSheetId="71" hidden="1">{"'Sheet1'!$L$16"}</definedName>
    <definedName name="할" localSheetId="17" hidden="1">{"'Sheet1'!$L$16"}</definedName>
    <definedName name="할" localSheetId="27" hidden="1">{"'Sheet1'!$L$16"}</definedName>
    <definedName name="할" localSheetId="72" hidden="1">{"'Sheet1'!$L$16"}</definedName>
    <definedName name="할" localSheetId="28" hidden="1">{"'Sheet1'!$L$16"}</definedName>
    <definedName name="할" localSheetId="29" hidden="1">{"'Sheet1'!$L$16"}</definedName>
    <definedName name="할" hidden="1">{"'Sheet1'!$L$16"}</definedName>
    <definedName name="항" localSheetId="140" hidden="1">{"'Sheet1'!$L$16"}</definedName>
    <definedName name="항" localSheetId="58" hidden="1">{"'Sheet1'!$L$16"}</definedName>
    <definedName name="항" localSheetId="56" hidden="1">{"'Sheet1'!$L$16"}</definedName>
    <definedName name="항" localSheetId="57" hidden="1">{"'Sheet1'!$L$16"}</definedName>
    <definedName name="항" localSheetId="67" hidden="1">{"'Sheet1'!$L$16"}</definedName>
    <definedName name="항" localSheetId="65" hidden="1">{"'Sheet1'!$L$16"}</definedName>
    <definedName name="항" localSheetId="68" hidden="1">{"'Sheet1'!$L$16"}</definedName>
    <definedName name="항" localSheetId="71" hidden="1">{"'Sheet1'!$L$16"}</definedName>
    <definedName name="항" localSheetId="17" hidden="1">{"'Sheet1'!$L$16"}</definedName>
    <definedName name="항" localSheetId="27" hidden="1">{"'Sheet1'!$L$16"}</definedName>
    <definedName name="항" localSheetId="72" hidden="1">{"'Sheet1'!$L$16"}</definedName>
    <definedName name="항" localSheetId="28" hidden="1">{"'Sheet1'!$L$16"}</definedName>
    <definedName name="항" localSheetId="29" hidden="1">{"'Sheet1'!$L$16"}</definedName>
    <definedName name="항" hidden="1">{"'Sheet1'!$L$16"}</definedName>
    <definedName name="환율" localSheetId="70">#REF!</definedName>
    <definedName name="환율" localSheetId="52">#REF!</definedName>
    <definedName name="환율" localSheetId="58">#REF!</definedName>
    <definedName name="환율" localSheetId="57">#REF!</definedName>
    <definedName name="환율" localSheetId="64">#REF!</definedName>
    <definedName name="환율" localSheetId="67">#REF!</definedName>
    <definedName name="환율" localSheetId="65">#REF!</definedName>
    <definedName name="환율" localSheetId="68">#REF!</definedName>
    <definedName name="환율" localSheetId="71">#REF!</definedName>
    <definedName name="환율" localSheetId="44">#REF!</definedName>
    <definedName name="환율" localSheetId="45">#REF!</definedName>
    <definedName name="환율" localSheetId="27">#REF!</definedName>
    <definedName name="환율" localSheetId="28">#REF!</definedName>
    <definedName name="환율" localSheetId="29">#REF!</definedName>
    <definedName name="환율" localSheetId="66">#REF!</definedName>
    <definedName name="환율">#REF!</definedName>
    <definedName name="후_담당간사에게_제출한다." localSheetId="70">'[84]45,46'!#REF!</definedName>
    <definedName name="후_담당간사에게_제출한다." localSheetId="52">'[84]45,46'!#REF!</definedName>
    <definedName name="후_담당간사에게_제출한다." localSheetId="58">'[84]45,46'!#REF!</definedName>
    <definedName name="후_담당간사에게_제출한다." localSheetId="57">'[84]45,46'!#REF!</definedName>
    <definedName name="후_담당간사에게_제출한다." localSheetId="64">'[84]45,46'!#REF!</definedName>
    <definedName name="후_담당간사에게_제출한다." localSheetId="67">'[84]45,46'!#REF!</definedName>
    <definedName name="후_담당간사에게_제출한다." localSheetId="65">'[84]45,46'!#REF!</definedName>
    <definedName name="후_담당간사에게_제출한다." localSheetId="68">'[84]45,46'!#REF!</definedName>
    <definedName name="후_담당간사에게_제출한다." localSheetId="71">'[84]45,46'!#REF!</definedName>
    <definedName name="후_담당간사에게_제출한다." localSheetId="44">'[84]45,46'!#REF!</definedName>
    <definedName name="후_담당간사에게_제출한다." localSheetId="45">'[84]45,46'!#REF!</definedName>
    <definedName name="후_담당간사에게_제출한다." localSheetId="27">'[84]45,46'!#REF!</definedName>
    <definedName name="후_담당간사에게_제출한다." localSheetId="28">'[84]45,46'!#REF!</definedName>
    <definedName name="후_담당간사에게_제출한다." localSheetId="29">'[84]45,46'!#REF!</definedName>
    <definedName name="후_담당간사에게_제출한다." localSheetId="66">'[84]45,46'!#REF!</definedName>
    <definedName name="후_담당간사에게_제출한다.">'[84]45,46'!#REF!</definedName>
    <definedName name="ㅏ1" localSheetId="70" hidden="1">#REF!</definedName>
    <definedName name="ㅏ1" localSheetId="52" hidden="1">#REF!</definedName>
    <definedName name="ㅏ1" localSheetId="58" hidden="1">#REF!</definedName>
    <definedName name="ㅏ1" localSheetId="56" hidden="1">#REF!</definedName>
    <definedName name="ㅏ1" localSheetId="57" hidden="1">#REF!</definedName>
    <definedName name="ㅏ1" localSheetId="64" hidden="1">#REF!</definedName>
    <definedName name="ㅏ1" localSheetId="67" hidden="1">#REF!</definedName>
    <definedName name="ㅏ1" localSheetId="65" hidden="1">#REF!</definedName>
    <definedName name="ㅏ1" localSheetId="68" hidden="1">#REF!</definedName>
    <definedName name="ㅏ1" localSheetId="71" hidden="1">#REF!</definedName>
    <definedName name="ㅏ1" localSheetId="44" hidden="1">#REF!</definedName>
    <definedName name="ㅏ1" localSheetId="45" hidden="1">#REF!</definedName>
    <definedName name="ㅏ1" localSheetId="17" hidden="1">#REF!</definedName>
    <definedName name="ㅏ1" localSheetId="27" hidden="1">#REF!</definedName>
    <definedName name="ㅏ1" localSheetId="72" hidden="1">#REF!</definedName>
    <definedName name="ㅏ1" localSheetId="28" hidden="1">#REF!</definedName>
    <definedName name="ㅏ1" localSheetId="29" hidden="1">#REF!</definedName>
    <definedName name="ㅏ1" localSheetId="66" hidden="1">#REF!</definedName>
    <definedName name="ㅏ1" hidden="1">#REF!</definedName>
    <definedName name="ㅐㅐ" localSheetId="70">#REF!</definedName>
    <definedName name="ㅐㅐ" localSheetId="52">#REF!</definedName>
    <definedName name="ㅐㅐ" localSheetId="58">#REF!</definedName>
    <definedName name="ㅐㅐ" localSheetId="57">#REF!</definedName>
    <definedName name="ㅐㅐ" localSheetId="64">#REF!</definedName>
    <definedName name="ㅐㅐ" localSheetId="67">#REF!</definedName>
    <definedName name="ㅐㅐ" localSheetId="65">#REF!</definedName>
    <definedName name="ㅐㅐ" localSheetId="68">#REF!</definedName>
    <definedName name="ㅐㅐ" localSheetId="71">#REF!</definedName>
    <definedName name="ㅐㅐ" localSheetId="44">#REF!</definedName>
    <definedName name="ㅐㅐ" localSheetId="45">#REF!</definedName>
    <definedName name="ㅐㅐ" localSheetId="17">#REF!</definedName>
    <definedName name="ㅐㅐ" localSheetId="27">#REF!</definedName>
    <definedName name="ㅐㅐ" localSheetId="72">#REF!</definedName>
    <definedName name="ㅐㅐ" localSheetId="28">#REF!</definedName>
    <definedName name="ㅐㅐ" localSheetId="29">#REF!</definedName>
    <definedName name="ㅐㅐ" localSheetId="66">#REF!</definedName>
    <definedName name="ㅐㅐ">#REF!</definedName>
    <definedName name="ㅐㅗㅅ" localSheetId="70">#REF!</definedName>
    <definedName name="ㅐㅗㅅ" localSheetId="52">#REF!</definedName>
    <definedName name="ㅐㅗㅅ" localSheetId="58">#REF!</definedName>
    <definedName name="ㅐㅗㅅ" localSheetId="57">#REF!</definedName>
    <definedName name="ㅐㅗㅅ" localSheetId="64">#REF!</definedName>
    <definedName name="ㅐㅗㅅ" localSheetId="67">#REF!</definedName>
    <definedName name="ㅐㅗㅅ" localSheetId="65">#REF!</definedName>
    <definedName name="ㅐㅗㅅ" localSheetId="68">#REF!</definedName>
    <definedName name="ㅐㅗㅅ" localSheetId="71">#REF!</definedName>
    <definedName name="ㅐㅗㅅ" localSheetId="44">#REF!</definedName>
    <definedName name="ㅐㅗㅅ" localSheetId="45">#REF!</definedName>
    <definedName name="ㅐㅗㅅ" localSheetId="17">#REF!</definedName>
    <definedName name="ㅐㅗㅅ" localSheetId="27">#REF!</definedName>
    <definedName name="ㅐㅗㅅ" localSheetId="72">#REF!</definedName>
    <definedName name="ㅐㅗㅅ" localSheetId="28">#REF!</definedName>
    <definedName name="ㅐㅗㅅ" localSheetId="29">#REF!</definedName>
    <definedName name="ㅐㅗㅅ" localSheetId="66">#REF!</definedName>
    <definedName name="ㅐㅗㅅ">#REF!</definedName>
    <definedName name="ㅑㅅ" localSheetId="140" hidden="1">{"'Sheet1'!$L$16"}</definedName>
    <definedName name="ㅑㅅ" localSheetId="58" hidden="1">{"'Sheet1'!$L$16"}</definedName>
    <definedName name="ㅑㅅ" localSheetId="56" hidden="1">{"'Sheet1'!$L$16"}</definedName>
    <definedName name="ㅑㅅ" localSheetId="57" hidden="1">{"'Sheet1'!$L$16"}</definedName>
    <definedName name="ㅑㅅ" localSheetId="67" hidden="1">{"'Sheet1'!$L$16"}</definedName>
    <definedName name="ㅑㅅ" localSheetId="65" hidden="1">{"'Sheet1'!$L$16"}</definedName>
    <definedName name="ㅑㅅ" localSheetId="68" hidden="1">{"'Sheet1'!$L$16"}</definedName>
    <definedName name="ㅑㅅ" localSheetId="71" hidden="1">{"'Sheet1'!$L$16"}</definedName>
    <definedName name="ㅑㅅ" localSheetId="17" hidden="1">{"'Sheet1'!$L$16"}</definedName>
    <definedName name="ㅑㅅ" localSheetId="27" hidden="1">{"'Sheet1'!$L$16"}</definedName>
    <definedName name="ㅑㅅ" localSheetId="72" hidden="1">{"'Sheet1'!$L$16"}</definedName>
    <definedName name="ㅑㅅ" localSheetId="28" hidden="1">{"'Sheet1'!$L$16"}</definedName>
    <definedName name="ㅑㅅ" localSheetId="29" hidden="1">{"'Sheet1'!$L$16"}</definedName>
    <definedName name="ㅑㅅ" hidden="1">{"'Sheet1'!$L$16"}</definedName>
    <definedName name="ㅘ" localSheetId="140" hidden="1">{"'Sheet1'!$L$16"}</definedName>
    <definedName name="ㅘ" localSheetId="58" hidden="1">{"'Sheet1'!$L$16"}</definedName>
    <definedName name="ㅘ" localSheetId="56" hidden="1">{"'Sheet1'!$L$16"}</definedName>
    <definedName name="ㅘ" localSheetId="57" hidden="1">{"'Sheet1'!$L$16"}</definedName>
    <definedName name="ㅘ" localSheetId="67" hidden="1">{"'Sheet1'!$L$16"}</definedName>
    <definedName name="ㅘ" localSheetId="65" hidden="1">{"'Sheet1'!$L$16"}</definedName>
    <definedName name="ㅘ" localSheetId="68" hidden="1">{"'Sheet1'!$L$16"}</definedName>
    <definedName name="ㅘ" localSheetId="71" hidden="1">{"'Sheet1'!$L$16"}</definedName>
    <definedName name="ㅘ" localSheetId="17" hidden="1">{"'Sheet1'!$L$16"}</definedName>
    <definedName name="ㅘ" localSheetId="27" hidden="1">{"'Sheet1'!$L$16"}</definedName>
    <definedName name="ㅘ" localSheetId="72" hidden="1">{"'Sheet1'!$L$16"}</definedName>
    <definedName name="ㅘ" localSheetId="28" hidden="1">{"'Sheet1'!$L$16"}</definedName>
    <definedName name="ㅘ" localSheetId="29" hidden="1">{"'Sheet1'!$L$16"}</definedName>
    <definedName name="ㅘ" hidden="1">{"'Sheet1'!$L$16"}</definedName>
    <definedName name="合____計">#N/A</definedName>
    <definedName name="完工工事_計">#N/A</definedName>
    <definedName name="新規工事_計">#N/A</definedName>
  </definedNames>
  <calcPr calcId="124519" iterate="1"/>
</workbook>
</file>

<file path=xl/calcChain.xml><?xml version="1.0" encoding="utf-8"?>
<calcChain xmlns="http://schemas.openxmlformats.org/spreadsheetml/2006/main">
  <c r="F19" i="1"/>
  <c r="M73"/>
  <c r="M74"/>
  <c r="M75"/>
  <c r="M77"/>
  <c r="M81"/>
  <c r="M99"/>
  <c r="M106"/>
  <c r="M107"/>
  <c r="M12"/>
  <c r="M13"/>
  <c r="M14"/>
  <c r="M16"/>
  <c r="M17"/>
  <c r="M18"/>
  <c r="M19"/>
  <c r="M20"/>
  <c r="M24"/>
  <c r="M25"/>
  <c r="M26"/>
  <c r="M27"/>
  <c r="M28"/>
  <c r="M62"/>
  <c r="M63"/>
  <c r="M65"/>
  <c r="M66"/>
  <c r="M67"/>
  <c r="M68"/>
  <c r="M69"/>
  <c r="M70"/>
  <c r="M10"/>
  <c r="J10"/>
  <c r="H115" i="60" l="1"/>
  <c r="H127"/>
  <c r="G127"/>
  <c r="F128"/>
  <c r="F129"/>
  <c r="F130"/>
  <c r="G115"/>
  <c r="F116"/>
  <c r="F117"/>
  <c r="F118"/>
  <c r="F115"/>
  <c r="N8" i="192" l="1"/>
  <c r="F127" i="60" l="1"/>
  <c r="D17" i="174" l="1"/>
  <c r="D16"/>
  <c r="G8" i="119" l="1"/>
  <c r="E8"/>
  <c r="N51" i="214" l="1"/>
  <c r="G214" i="213" l="1"/>
  <c r="F214"/>
  <c r="E214"/>
  <c r="K213"/>
  <c r="H213"/>
  <c r="K212"/>
  <c r="H212"/>
  <c r="K211"/>
  <c r="H211"/>
  <c r="K210"/>
  <c r="H210"/>
  <c r="K209"/>
  <c r="H209"/>
  <c r="K208"/>
  <c r="H208"/>
  <c r="K207"/>
  <c r="H207"/>
  <c r="K206"/>
  <c r="H206"/>
  <c r="K205"/>
  <c r="H205"/>
  <c r="G204"/>
  <c r="G215" s="1"/>
  <c r="F204"/>
  <c r="F215" s="1"/>
  <c r="E204"/>
  <c r="E215" s="1"/>
  <c r="K203"/>
  <c r="H203"/>
  <c r="K202"/>
  <c r="H202"/>
  <c r="K201"/>
  <c r="H201"/>
  <c r="K200"/>
  <c r="H200"/>
  <c r="K199"/>
  <c r="H199"/>
  <c r="K198"/>
  <c r="H198"/>
  <c r="K197"/>
  <c r="H197"/>
  <c r="K196"/>
  <c r="H196"/>
  <c r="K195"/>
  <c r="H195"/>
  <c r="K194"/>
  <c r="H194"/>
  <c r="K193"/>
  <c r="H193"/>
  <c r="K192"/>
  <c r="H192"/>
  <c r="F186"/>
  <c r="E186"/>
  <c r="P51" i="214" l="1"/>
  <c r="P50"/>
  <c r="L47"/>
  <c r="J47"/>
  <c r="K47" s="1"/>
  <c r="H47"/>
  <c r="E47"/>
  <c r="D47"/>
  <c r="C47"/>
  <c r="L46"/>
  <c r="J46"/>
  <c r="H46"/>
  <c r="E46"/>
  <c r="D46"/>
  <c r="C46"/>
  <c r="N45"/>
  <c r="L45"/>
  <c r="J45"/>
  <c r="H45"/>
  <c r="F45"/>
  <c r="E45"/>
  <c r="D45"/>
  <c r="K45" s="1"/>
  <c r="C45"/>
  <c r="N44"/>
  <c r="L44"/>
  <c r="J44"/>
  <c r="H44"/>
  <c r="F44"/>
  <c r="E44"/>
  <c r="D44"/>
  <c r="C44"/>
  <c r="N43"/>
  <c r="L43"/>
  <c r="J43"/>
  <c r="H43"/>
  <c r="F43"/>
  <c r="O43" s="1"/>
  <c r="E43"/>
  <c r="D43"/>
  <c r="C43"/>
  <c r="I43" s="1"/>
  <c r="N42"/>
  <c r="L42"/>
  <c r="J42"/>
  <c r="H42"/>
  <c r="F42"/>
  <c r="E42"/>
  <c r="D42"/>
  <c r="C42"/>
  <c r="N41"/>
  <c r="L41"/>
  <c r="J41"/>
  <c r="H41"/>
  <c r="F41"/>
  <c r="E41"/>
  <c r="D41"/>
  <c r="C41"/>
  <c r="N40"/>
  <c r="L40"/>
  <c r="J40"/>
  <c r="H40"/>
  <c r="F40"/>
  <c r="E40"/>
  <c r="D40"/>
  <c r="C40"/>
  <c r="N39"/>
  <c r="L39"/>
  <c r="J39"/>
  <c r="H39"/>
  <c r="F39"/>
  <c r="E39"/>
  <c r="M39" s="1"/>
  <c r="D39"/>
  <c r="C39"/>
  <c r="N38"/>
  <c r="L38"/>
  <c r="J38"/>
  <c r="H38"/>
  <c r="F38"/>
  <c r="E38"/>
  <c r="D38"/>
  <c r="C38"/>
  <c r="I38" s="1"/>
  <c r="N37"/>
  <c r="L37"/>
  <c r="J37"/>
  <c r="H37"/>
  <c r="F37"/>
  <c r="E37"/>
  <c r="D37"/>
  <c r="C37"/>
  <c r="N36"/>
  <c r="N48" s="1"/>
  <c r="L36"/>
  <c r="J36"/>
  <c r="H36"/>
  <c r="F36"/>
  <c r="E36"/>
  <c r="D36"/>
  <c r="C36"/>
  <c r="K36" l="1"/>
  <c r="K46"/>
  <c r="P47"/>
  <c r="G37"/>
  <c r="P37"/>
  <c r="G42"/>
  <c r="I44"/>
  <c r="O41"/>
  <c r="M40"/>
  <c r="M41"/>
  <c r="M42"/>
  <c r="P44"/>
  <c r="E48"/>
  <c r="K38"/>
  <c r="K40"/>
  <c r="K42"/>
  <c r="G45"/>
  <c r="K41"/>
  <c r="J48"/>
  <c r="K39"/>
  <c r="G41"/>
  <c r="C48"/>
  <c r="H48"/>
  <c r="M37"/>
  <c r="K37"/>
  <c r="G39"/>
  <c r="P39"/>
  <c r="G40"/>
  <c r="P40"/>
  <c r="G44"/>
  <c r="P46"/>
  <c r="G47"/>
  <c r="I47"/>
  <c r="D48"/>
  <c r="P36"/>
  <c r="P41"/>
  <c r="O42"/>
  <c r="P43"/>
  <c r="F48"/>
  <c r="F49" s="1"/>
  <c r="L48"/>
  <c r="M48" s="1"/>
  <c r="I37"/>
  <c r="G38"/>
  <c r="P38"/>
  <c r="O39"/>
  <c r="G43"/>
  <c r="P45"/>
  <c r="G46"/>
  <c r="I46"/>
  <c r="P42"/>
  <c r="I36"/>
  <c r="M36"/>
  <c r="G36"/>
  <c r="K43"/>
  <c r="O48" l="1"/>
  <c r="N49"/>
  <c r="N52" s="1"/>
  <c r="H49"/>
  <c r="K48"/>
  <c r="P48"/>
  <c r="C49"/>
  <c r="G49" s="1"/>
  <c r="I48"/>
  <c r="G48"/>
  <c r="H52"/>
  <c r="P26"/>
  <c r="N24"/>
  <c r="H24"/>
  <c r="E24"/>
  <c r="D24"/>
  <c r="C24"/>
  <c r="P23"/>
  <c r="M23"/>
  <c r="K23"/>
  <c r="F23"/>
  <c r="O23" s="1"/>
  <c r="P22"/>
  <c r="M22"/>
  <c r="K22"/>
  <c r="G22"/>
  <c r="P21"/>
  <c r="G21"/>
  <c r="P20"/>
  <c r="M20"/>
  <c r="K20"/>
  <c r="G20"/>
  <c r="P19"/>
  <c r="O19"/>
  <c r="M19"/>
  <c r="K19"/>
  <c r="G19"/>
  <c r="P18"/>
  <c r="O18"/>
  <c r="M18"/>
  <c r="K18"/>
  <c r="G18"/>
  <c r="P17"/>
  <c r="O17"/>
  <c r="M17"/>
  <c r="K17"/>
  <c r="G17"/>
  <c r="L16"/>
  <c r="M16" s="1"/>
  <c r="J16"/>
  <c r="G16"/>
  <c r="O15"/>
  <c r="L15"/>
  <c r="M15" s="1"/>
  <c r="J15"/>
  <c r="K15" s="1"/>
  <c r="G15"/>
  <c r="L14"/>
  <c r="M14" s="1"/>
  <c r="J14"/>
  <c r="K14" s="1"/>
  <c r="I14"/>
  <c r="G14"/>
  <c r="P13"/>
  <c r="M13"/>
  <c r="K13"/>
  <c r="I13"/>
  <c r="G13"/>
  <c r="P12"/>
  <c r="M12"/>
  <c r="K12"/>
  <c r="G12"/>
  <c r="P49" l="1"/>
  <c r="P52" s="1"/>
  <c r="G23"/>
  <c r="G24" s="1"/>
  <c r="I24"/>
  <c r="C25"/>
  <c r="L24"/>
  <c r="M24" s="1"/>
  <c r="P16"/>
  <c r="F24"/>
  <c r="F25" s="1"/>
  <c r="P14"/>
  <c r="J24"/>
  <c r="K24" s="1"/>
  <c r="P15"/>
  <c r="K16"/>
  <c r="N25"/>
  <c r="N27" s="1"/>
  <c r="G25" l="1"/>
  <c r="P24"/>
  <c r="O24"/>
  <c r="H25"/>
  <c r="F58" i="213"/>
  <c r="E58"/>
  <c r="P25" i="214" l="1"/>
  <c r="P27" s="1"/>
  <c r="H27"/>
  <c r="K192" i="60"/>
  <c r="I47" i="202" l="1"/>
  <c r="H47" s="1"/>
  <c r="I46"/>
  <c r="H46" s="1"/>
  <c r="I45"/>
  <c r="H45" s="1"/>
  <c r="I43"/>
  <c r="H43" s="1"/>
  <c r="K33"/>
  <c r="K32"/>
  <c r="K31"/>
  <c r="K30"/>
  <c r="K29"/>
  <c r="K28"/>
  <c r="K36"/>
  <c r="H36"/>
  <c r="H33"/>
  <c r="H32"/>
  <c r="H31"/>
  <c r="H30"/>
  <c r="H29"/>
  <c r="H28"/>
  <c r="H22"/>
  <c r="H13"/>
  <c r="H18"/>
  <c r="H17"/>
  <c r="H16"/>
  <c r="H15"/>
  <c r="H14"/>
  <c r="K22"/>
  <c r="K18"/>
  <c r="K17"/>
  <c r="K16"/>
  <c r="K15"/>
  <c r="K14"/>
  <c r="K13"/>
  <c r="Q33" i="212"/>
  <c r="R33" s="1"/>
  <c r="Q32"/>
  <c r="Q31"/>
  <c r="Q30"/>
  <c r="Q29"/>
  <c r="R29" s="1"/>
  <c r="Q27"/>
  <c r="R27" s="1"/>
  <c r="Q26"/>
  <c r="R26" s="1"/>
  <c r="Q25"/>
  <c r="R25" s="1"/>
  <c r="Q24"/>
  <c r="R24" s="1"/>
  <c r="Q23"/>
  <c r="R23" s="1"/>
  <c r="Q22"/>
  <c r="R22" s="1"/>
  <c r="Q21"/>
  <c r="R21" s="1"/>
  <c r="Q20"/>
  <c r="R20" s="1"/>
  <c r="Q19"/>
  <c r="R19" s="1"/>
  <c r="Q18"/>
  <c r="R18" s="1"/>
  <c r="Q17"/>
  <c r="R17" s="1"/>
  <c r="Q16"/>
  <c r="R16" s="1"/>
  <c r="Q15"/>
  <c r="R15" s="1"/>
  <c r="Q14"/>
  <c r="R14" s="1"/>
  <c r="Q13"/>
  <c r="R13" s="1"/>
  <c r="Q12"/>
  <c r="R12" s="1"/>
  <c r="Q11"/>
  <c r="R11" s="1"/>
  <c r="Q10"/>
  <c r="R10" s="1"/>
  <c r="Q9"/>
  <c r="R9" s="1"/>
  <c r="Q8"/>
  <c r="R8" s="1"/>
  <c r="N33"/>
  <c r="M33"/>
  <c r="N32"/>
  <c r="M32"/>
  <c r="N31"/>
  <c r="M31"/>
  <c r="N30"/>
  <c r="M30"/>
  <c r="N29"/>
  <c r="M29"/>
  <c r="N27"/>
  <c r="M27"/>
  <c r="N26"/>
  <c r="M26"/>
  <c r="N25"/>
  <c r="M25"/>
  <c r="N24"/>
  <c r="M24"/>
  <c r="N23"/>
  <c r="M23"/>
  <c r="N22"/>
  <c r="M22"/>
  <c r="N21"/>
  <c r="M21"/>
  <c r="N20"/>
  <c r="M20"/>
  <c r="N19"/>
  <c r="M19"/>
  <c r="N18"/>
  <c r="M18"/>
  <c r="N17"/>
  <c r="M17"/>
  <c r="N16"/>
  <c r="M16"/>
  <c r="N15"/>
  <c r="M15"/>
  <c r="N14"/>
  <c r="M14"/>
  <c r="N13"/>
  <c r="M13"/>
  <c r="N12"/>
  <c r="M12"/>
  <c r="N11"/>
  <c r="M11"/>
  <c r="N10"/>
  <c r="M10"/>
  <c r="N9"/>
  <c r="N34" s="1"/>
  <c r="M9"/>
  <c r="N8"/>
  <c r="M8"/>
  <c r="M34" l="1"/>
  <c r="R32"/>
  <c r="R31"/>
  <c r="R30"/>
  <c r="O103" i="197" l="1"/>
  <c r="N103"/>
  <c r="G30" i="212"/>
  <c r="G31"/>
  <c r="G32"/>
  <c r="G33"/>
  <c r="G34"/>
  <c r="G27"/>
  <c r="G26"/>
  <c r="G25"/>
  <c r="G24"/>
  <c r="G23"/>
  <c r="G22"/>
  <c r="G21"/>
  <c r="G20"/>
  <c r="G19"/>
  <c r="G18"/>
  <c r="G17"/>
  <c r="G16"/>
  <c r="G15"/>
  <c r="G14"/>
  <c r="G13"/>
  <c r="G12"/>
  <c r="G11"/>
  <c r="G10"/>
  <c r="G9"/>
  <c r="G8"/>
  <c r="E34"/>
  <c r="E33"/>
  <c r="E32"/>
  <c r="E31"/>
  <c r="E30"/>
  <c r="E27"/>
  <c r="E26"/>
  <c r="E25"/>
  <c r="E24"/>
  <c r="E23"/>
  <c r="E22"/>
  <c r="E21"/>
  <c r="E20"/>
  <c r="E19"/>
  <c r="E18"/>
  <c r="E17"/>
  <c r="E16"/>
  <c r="E15"/>
  <c r="E14"/>
  <c r="E13"/>
  <c r="E12"/>
  <c r="E11"/>
  <c r="E10"/>
  <c r="E9"/>
  <c r="E8"/>
  <c r="C35"/>
  <c r="C28"/>
  <c r="C36" l="1"/>
  <c r="G36"/>
  <c r="AB23" i="25"/>
  <c r="AB22"/>
  <c r="BB15" i="209"/>
  <c r="H55" i="134"/>
  <c r="G55"/>
  <c r="J16" i="44"/>
  <c r="BA25" i="209"/>
  <c r="AY25"/>
  <c r="AX25"/>
  <c r="AZ17"/>
  <c r="AZ20" s="1"/>
  <c r="AY17"/>
  <c r="I44" i="202" l="1"/>
  <c r="BB20" i="209"/>
  <c r="E36" i="212"/>
  <c r="H44" i="202" l="1"/>
  <c r="I48"/>
  <c r="G12" i="209"/>
  <c r="D12"/>
  <c r="P19" i="32" l="1"/>
  <c r="P10"/>
  <c r="M27" i="112"/>
  <c r="P11" i="32"/>
  <c r="P15"/>
  <c r="K27" i="112"/>
  <c r="I27"/>
  <c r="G27"/>
  <c r="P16" i="47"/>
  <c r="M16"/>
  <c r="G16"/>
  <c r="P24" i="32"/>
  <c r="P23"/>
  <c r="P17"/>
  <c r="P16"/>
  <c r="P14"/>
  <c r="P12"/>
  <c r="O19"/>
  <c r="O24"/>
  <c r="O23"/>
  <c r="O17"/>
  <c r="O16"/>
  <c r="O15"/>
  <c r="O14"/>
  <c r="O12"/>
  <c r="O11"/>
  <c r="O10"/>
  <c r="H26"/>
  <c r="L19"/>
  <c r="K19"/>
  <c r="K183" i="67"/>
  <c r="E157" i="60"/>
  <c r="E144"/>
  <c r="F155"/>
  <c r="F154"/>
  <c r="F153"/>
  <c r="F152"/>
  <c r="F151"/>
  <c r="B151"/>
  <c r="B152" s="1"/>
  <c r="B153" s="1"/>
  <c r="B154" s="1"/>
  <c r="B155" s="1"/>
  <c r="B156" s="1"/>
  <c r="B157" s="1"/>
  <c r="B158" s="1"/>
  <c r="F150"/>
  <c r="K185" i="67"/>
  <c r="G178"/>
  <c r="N155"/>
  <c r="O155" s="1"/>
  <c r="N154"/>
  <c r="O154" s="1"/>
  <c r="N152"/>
  <c r="O152" s="1"/>
  <c r="N149"/>
  <c r="O149" s="1"/>
  <c r="N148"/>
  <c r="N147"/>
  <c r="O147" s="1"/>
  <c r="N146"/>
  <c r="N144"/>
  <c r="O144" s="1"/>
  <c r="N141"/>
  <c r="O141" s="1"/>
  <c r="N138"/>
  <c r="O138" s="1"/>
  <c r="O136" s="1"/>
  <c r="N134"/>
  <c r="O134" s="1"/>
  <c r="O133"/>
  <c r="N133"/>
  <c r="N132"/>
  <c r="O132" s="1"/>
  <c r="N131"/>
  <c r="O131" s="1"/>
  <c r="N130"/>
  <c r="O130" s="1"/>
  <c r="N129"/>
  <c r="O129" s="1"/>
  <c r="N128"/>
  <c r="O128" s="1"/>
  <c r="N127"/>
  <c r="O127" s="1"/>
  <c r="N124"/>
  <c r="N123"/>
  <c r="O123" s="1"/>
  <c r="N122"/>
  <c r="O122" s="1"/>
  <c r="N121"/>
  <c r="O121" s="1"/>
  <c r="N120"/>
  <c r="O120" s="1"/>
  <c r="N119"/>
  <c r="O119" s="1"/>
  <c r="N118"/>
  <c r="O118" s="1"/>
  <c r="N117"/>
  <c r="O117" s="1"/>
  <c r="K153"/>
  <c r="K151" s="1"/>
  <c r="J151"/>
  <c r="J146"/>
  <c r="K143"/>
  <c r="J143"/>
  <c r="K140"/>
  <c r="J140"/>
  <c r="K136"/>
  <c r="J136"/>
  <c r="K126"/>
  <c r="J126"/>
  <c r="K115"/>
  <c r="J115"/>
  <c r="G140"/>
  <c r="G136"/>
  <c r="O28" i="32" l="1"/>
  <c r="N16" i="47" s="1"/>
  <c r="Q16" s="1"/>
  <c r="O26" i="32"/>
  <c r="P28"/>
  <c r="P26"/>
  <c r="F156" i="60"/>
  <c r="F157" s="1"/>
  <c r="F158" s="1"/>
  <c r="H40" i="134" s="1"/>
  <c r="N126" i="67"/>
  <c r="N153"/>
  <c r="K156"/>
  <c r="O115"/>
  <c r="O146"/>
  <c r="O126"/>
  <c r="N115"/>
  <c r="N136"/>
  <c r="N140"/>
  <c r="O140" s="1"/>
  <c r="N143"/>
  <c r="O143" s="1"/>
  <c r="O156" l="1"/>
  <c r="G6" i="134"/>
  <c r="O153" i="67"/>
  <c r="O151" s="1"/>
  <c r="N151"/>
  <c r="N156" s="1"/>
  <c r="H15" i="25" l="1"/>
  <c r="T38" i="40"/>
  <c r="S38"/>
  <c r="T37"/>
  <c r="S37"/>
  <c r="S34"/>
  <c r="S33"/>
  <c r="T22"/>
  <c r="S22"/>
  <c r="T21"/>
  <c r="T19"/>
  <c r="S19"/>
  <c r="T15"/>
  <c r="S15"/>
  <c r="R34"/>
  <c r="R33"/>
  <c r="R15"/>
  <c r="Q34"/>
  <c r="Q33"/>
  <c r="Q32"/>
  <c r="Q31"/>
  <c r="Q15"/>
  <c r="F142" i="60" l="1"/>
  <c r="F141"/>
  <c r="F140"/>
  <c r="F139"/>
  <c r="F138"/>
  <c r="F137"/>
  <c r="G139" l="1"/>
  <c r="N256" i="67"/>
  <c r="O256" s="1"/>
  <c r="K255"/>
  <c r="N255" s="1"/>
  <c r="N254"/>
  <c r="O254" s="1"/>
  <c r="J253"/>
  <c r="N251"/>
  <c r="O251" s="1"/>
  <c r="N250"/>
  <c r="N249"/>
  <c r="O249" s="1"/>
  <c r="K248"/>
  <c r="J248"/>
  <c r="N246"/>
  <c r="N245" s="1"/>
  <c r="K245"/>
  <c r="J245"/>
  <c r="N243"/>
  <c r="N242" s="1"/>
  <c r="K242"/>
  <c r="J242"/>
  <c r="G242"/>
  <c r="N240"/>
  <c r="O240" s="1"/>
  <c r="O238" s="1"/>
  <c r="K238"/>
  <c r="J238"/>
  <c r="G238"/>
  <c r="N236"/>
  <c r="O236" s="1"/>
  <c r="N235"/>
  <c r="O235" s="1"/>
  <c r="N234"/>
  <c r="O234" s="1"/>
  <c r="N233"/>
  <c r="O233" s="1"/>
  <c r="N232"/>
  <c r="O232" s="1"/>
  <c r="N231"/>
  <c r="O231" s="1"/>
  <c r="N230"/>
  <c r="O230" s="1"/>
  <c r="N229"/>
  <c r="O229" s="1"/>
  <c r="K228"/>
  <c r="J228"/>
  <c r="N226"/>
  <c r="N225"/>
  <c r="O225" s="1"/>
  <c r="N224"/>
  <c r="O224" s="1"/>
  <c r="N223"/>
  <c r="O223" s="1"/>
  <c r="N222"/>
  <c r="O222" s="1"/>
  <c r="N221"/>
  <c r="O221" s="1"/>
  <c r="N220"/>
  <c r="O220" s="1"/>
  <c r="N219"/>
  <c r="O219" s="1"/>
  <c r="K217"/>
  <c r="J217"/>
  <c r="O243" l="1"/>
  <c r="O246"/>
  <c r="N228"/>
  <c r="N238"/>
  <c r="J258"/>
  <c r="O248"/>
  <c r="O228"/>
  <c r="O217"/>
  <c r="O242"/>
  <c r="N217"/>
  <c r="O255"/>
  <c r="O253" s="1"/>
  <c r="N253"/>
  <c r="O245"/>
  <c r="N248"/>
  <c r="K253"/>
  <c r="K258" s="1"/>
  <c r="N258" l="1"/>
  <c r="O258"/>
  <c r="N32" i="40" l="1"/>
  <c r="I33" i="73"/>
  <c r="H33"/>
  <c r="M15" i="70"/>
  <c r="K15"/>
  <c r="I25" i="33"/>
  <c r="E55" i="134"/>
  <c r="E192" i="60"/>
  <c r="E16" i="40" s="1"/>
  <c r="G19" i="44"/>
  <c r="I19" s="1"/>
  <c r="F96" i="60"/>
  <c r="F106" s="1"/>
  <c r="D99"/>
  <c r="D103"/>
  <c r="L38" i="201"/>
  <c r="L37"/>
  <c r="M103" i="197"/>
  <c r="L103"/>
  <c r="K103"/>
  <c r="J103"/>
  <c r="I103"/>
  <c r="H103"/>
  <c r="G103"/>
  <c r="F103"/>
  <c r="E103"/>
  <c r="D103"/>
  <c r="P102"/>
  <c r="P101"/>
  <c r="P100"/>
  <c r="P99"/>
  <c r="P98"/>
  <c r="P96"/>
  <c r="P95"/>
  <c r="P94"/>
  <c r="P93"/>
  <c r="P92"/>
  <c r="P91"/>
  <c r="P90"/>
  <c r="P89"/>
  <c r="P88"/>
  <c r="P87"/>
  <c r="P86"/>
  <c r="P85"/>
  <c r="P84"/>
  <c r="P83"/>
  <c r="P82"/>
  <c r="P81"/>
  <c r="P80"/>
  <c r="P79"/>
  <c r="P78"/>
  <c r="P77"/>
  <c r="D48" i="202"/>
  <c r="D60"/>
  <c r="J59"/>
  <c r="K59" s="1"/>
  <c r="J58"/>
  <c r="K58" s="1"/>
  <c r="J57"/>
  <c r="K57" s="1"/>
  <c r="J56"/>
  <c r="J55"/>
  <c r="K55" s="1"/>
  <c r="J54"/>
  <c r="J43"/>
  <c r="H59"/>
  <c r="H58"/>
  <c r="H57"/>
  <c r="H55"/>
  <c r="I60"/>
  <c r="G60"/>
  <c r="F60"/>
  <c r="G48"/>
  <c r="F48"/>
  <c r="H48" s="1"/>
  <c r="J47"/>
  <c r="K47" s="1"/>
  <c r="J46"/>
  <c r="K46" s="1"/>
  <c r="J45"/>
  <c r="K45" s="1"/>
  <c r="J44"/>
  <c r="K44" s="1"/>
  <c r="J42"/>
  <c r="V17" i="25"/>
  <c r="U13"/>
  <c r="U19"/>
  <c r="V19"/>
  <c r="U17"/>
  <c r="B54" i="209"/>
  <c r="E53" s="1"/>
  <c r="F53" s="1"/>
  <c r="AQ32"/>
  <c r="AP32"/>
  <c r="AN31"/>
  <c r="V29" i="25" s="1"/>
  <c r="V28"/>
  <c r="AT29" i="209"/>
  <c r="AS29"/>
  <c r="AN29"/>
  <c r="AK28"/>
  <c r="AH28"/>
  <c r="AE28"/>
  <c r="AB28"/>
  <c r="Y28"/>
  <c r="V28"/>
  <c r="S28"/>
  <c r="P28"/>
  <c r="M28"/>
  <c r="J28"/>
  <c r="G28"/>
  <c r="D28"/>
  <c r="AT27"/>
  <c r="AS27"/>
  <c r="AK27"/>
  <c r="AH27"/>
  <c r="AE27"/>
  <c r="AB27"/>
  <c r="Y27"/>
  <c r="V27"/>
  <c r="S27"/>
  <c r="P27"/>
  <c r="M27"/>
  <c r="J27"/>
  <c r="G27"/>
  <c r="D27"/>
  <c r="AT26"/>
  <c r="AS26"/>
  <c r="AK26"/>
  <c r="AH26"/>
  <c r="AE26"/>
  <c r="AB26"/>
  <c r="Y26"/>
  <c r="V26"/>
  <c r="S26"/>
  <c r="P26"/>
  <c r="M26"/>
  <c r="J26"/>
  <c r="G26"/>
  <c r="D26"/>
  <c r="AT25"/>
  <c r="AS25"/>
  <c r="AT24"/>
  <c r="AS24"/>
  <c r="AK24"/>
  <c r="AH24"/>
  <c r="AE24"/>
  <c r="AB24"/>
  <c r="Y24"/>
  <c r="V24"/>
  <c r="S24"/>
  <c r="P24"/>
  <c r="M24"/>
  <c r="J24"/>
  <c r="G24"/>
  <c r="D24"/>
  <c r="AT23"/>
  <c r="AS23"/>
  <c r="AK23"/>
  <c r="AH23"/>
  <c r="AE23"/>
  <c r="AB23"/>
  <c r="Y23"/>
  <c r="V23"/>
  <c r="S23"/>
  <c r="P23"/>
  <c r="M23"/>
  <c r="J23"/>
  <c r="G23"/>
  <c r="D23"/>
  <c r="AT22"/>
  <c r="AS22"/>
  <c r="AK22"/>
  <c r="AH22"/>
  <c r="AE22"/>
  <c r="AB22"/>
  <c r="Y22"/>
  <c r="V22"/>
  <c r="S22"/>
  <c r="P22"/>
  <c r="M22"/>
  <c r="J22"/>
  <c r="G22"/>
  <c r="D22"/>
  <c r="AT21"/>
  <c r="AS21"/>
  <c r="AJ21"/>
  <c r="AG21"/>
  <c r="AD21"/>
  <c r="AA21"/>
  <c r="AA20" s="1"/>
  <c r="X21"/>
  <c r="U21"/>
  <c r="R21"/>
  <c r="P21"/>
  <c r="O21"/>
  <c r="O18" s="1"/>
  <c r="M21"/>
  <c r="M18" s="1"/>
  <c r="L21"/>
  <c r="L18" s="1"/>
  <c r="J21"/>
  <c r="J18" s="1"/>
  <c r="I21"/>
  <c r="I18" s="1"/>
  <c r="G21"/>
  <c r="F21"/>
  <c r="F18" s="1"/>
  <c r="D21"/>
  <c r="C21"/>
  <c r="AT20"/>
  <c r="AS20"/>
  <c r="S20"/>
  <c r="R20"/>
  <c r="P20"/>
  <c r="O20"/>
  <c r="M20"/>
  <c r="L20"/>
  <c r="J20"/>
  <c r="K20" s="1"/>
  <c r="I20"/>
  <c r="G20"/>
  <c r="F20"/>
  <c r="D20"/>
  <c r="C20"/>
  <c r="BC19"/>
  <c r="AT19"/>
  <c r="AS19"/>
  <c r="BC18"/>
  <c r="AY18"/>
  <c r="AT18"/>
  <c r="AS18"/>
  <c r="AR18"/>
  <c r="AK18"/>
  <c r="AJ18"/>
  <c r="AH18"/>
  <c r="AG18"/>
  <c r="AE18"/>
  <c r="AD18"/>
  <c r="AB18"/>
  <c r="AA18"/>
  <c r="Y18"/>
  <c r="X18"/>
  <c r="V18"/>
  <c r="U18"/>
  <c r="S18"/>
  <c r="R18"/>
  <c r="D18"/>
  <c r="C18"/>
  <c r="BC17"/>
  <c r="AT17"/>
  <c r="AS17"/>
  <c r="BC16"/>
  <c r="AY16"/>
  <c r="BA16" s="1"/>
  <c r="AM16"/>
  <c r="U16" i="25" s="1"/>
  <c r="AK16" i="209"/>
  <c r="AH16"/>
  <c r="AE16"/>
  <c r="AB16"/>
  <c r="Y16"/>
  <c r="V16"/>
  <c r="BC15"/>
  <c r="AY15"/>
  <c r="BA15" s="1"/>
  <c r="AT15"/>
  <c r="AS15"/>
  <c r="AR15"/>
  <c r="AK15"/>
  <c r="AJ15"/>
  <c r="AH15"/>
  <c r="AG15"/>
  <c r="AE15"/>
  <c r="AD15"/>
  <c r="AB15"/>
  <c r="AA15"/>
  <c r="Y15"/>
  <c r="X15"/>
  <c r="V15"/>
  <c r="U15"/>
  <c r="S15"/>
  <c r="R15"/>
  <c r="P15"/>
  <c r="O15"/>
  <c r="M15"/>
  <c r="L15"/>
  <c r="J15"/>
  <c r="I15"/>
  <c r="G15"/>
  <c r="F15"/>
  <c r="D15"/>
  <c r="C15"/>
  <c r="BC14"/>
  <c r="AY14"/>
  <c r="BA14" s="1"/>
  <c r="AT14"/>
  <c r="AS14"/>
  <c r="AR14"/>
  <c r="AK14"/>
  <c r="AJ14"/>
  <c r="AH14"/>
  <c r="AG14"/>
  <c r="AE14"/>
  <c r="AD14"/>
  <c r="AB14"/>
  <c r="AA14"/>
  <c r="Y14"/>
  <c r="X14"/>
  <c r="V14"/>
  <c r="U14"/>
  <c r="S14"/>
  <c r="R14"/>
  <c r="P14"/>
  <c r="O14"/>
  <c r="M14"/>
  <c r="L14"/>
  <c r="J14"/>
  <c r="I14"/>
  <c r="G14"/>
  <c r="F14"/>
  <c r="D14"/>
  <c r="C14"/>
  <c r="BC13"/>
  <c r="AY13"/>
  <c r="AT13"/>
  <c r="AS13"/>
  <c r="AR13"/>
  <c r="A13"/>
  <c r="A14" s="1"/>
  <c r="A15" s="1"/>
  <c r="A16" s="1"/>
  <c r="A17" s="1"/>
  <c r="A18" s="1"/>
  <c r="A19" s="1"/>
  <c r="A20" s="1"/>
  <c r="A21" s="1"/>
  <c r="A22" s="1"/>
  <c r="A23" s="1"/>
  <c r="A24" s="1"/>
  <c r="A25" s="1"/>
  <c r="A26" s="1"/>
  <c r="A27" s="1"/>
  <c r="A28" s="1"/>
  <c r="A29" s="1"/>
  <c r="A30" s="1"/>
  <c r="A31" s="1"/>
  <c r="A32" s="1"/>
  <c r="A33" s="1"/>
  <c r="AT12"/>
  <c r="AS12"/>
  <c r="AR12"/>
  <c r="AK12"/>
  <c r="AJ12"/>
  <c r="AH12"/>
  <c r="AG12"/>
  <c r="AE12"/>
  <c r="AD12"/>
  <c r="AB12"/>
  <c r="AA12"/>
  <c r="Y12"/>
  <c r="X12"/>
  <c r="V12"/>
  <c r="U12"/>
  <c r="S12"/>
  <c r="R12"/>
  <c r="P12"/>
  <c r="O12"/>
  <c r="M12"/>
  <c r="L12"/>
  <c r="J12"/>
  <c r="I12"/>
  <c r="AN12" l="1"/>
  <c r="N15"/>
  <c r="T15"/>
  <c r="Z15"/>
  <c r="AL15"/>
  <c r="AU12"/>
  <c r="Z18"/>
  <c r="AF18"/>
  <c r="AL18"/>
  <c r="AU18"/>
  <c r="K15"/>
  <c r="W15"/>
  <c r="AI15"/>
  <c r="AC12"/>
  <c r="H21"/>
  <c r="U20"/>
  <c r="AN26"/>
  <c r="V26" i="25" s="1"/>
  <c r="Z12" i="209"/>
  <c r="AI14"/>
  <c r="AM21"/>
  <c r="AJ20"/>
  <c r="AI12"/>
  <c r="AY20"/>
  <c r="BA20" s="1"/>
  <c r="AD20"/>
  <c r="P103" i="197"/>
  <c r="K43" i="202"/>
  <c r="J48"/>
  <c r="K48" s="1"/>
  <c r="BC20" i="209"/>
  <c r="U32"/>
  <c r="M32"/>
  <c r="AL12"/>
  <c r="AM15"/>
  <c r="U15" i="25" s="1"/>
  <c r="I32" i="209"/>
  <c r="L32"/>
  <c r="K14"/>
  <c r="H15"/>
  <c r="AF15"/>
  <c r="N18"/>
  <c r="T18"/>
  <c r="K21"/>
  <c r="H12"/>
  <c r="E14"/>
  <c r="N14"/>
  <c r="Z14"/>
  <c r="AF12"/>
  <c r="Q14"/>
  <c r="W14"/>
  <c r="AC14"/>
  <c r="N20"/>
  <c r="H20"/>
  <c r="T20"/>
  <c r="K12"/>
  <c r="AU15"/>
  <c r="K18"/>
  <c r="W18"/>
  <c r="AI18"/>
  <c r="Q21"/>
  <c r="AN23"/>
  <c r="V23" i="25" s="1"/>
  <c r="AN27" i="209"/>
  <c r="V27" i="25" s="1"/>
  <c r="C32" i="209"/>
  <c r="D32"/>
  <c r="N12"/>
  <c r="T12"/>
  <c r="AT32"/>
  <c r="AM18"/>
  <c r="U18" i="25" s="1"/>
  <c r="F46" i="209"/>
  <c r="F52"/>
  <c r="AN22"/>
  <c r="V22" i="25" s="1"/>
  <c r="I12" i="71" s="1"/>
  <c r="AN24" i="209"/>
  <c r="V24" i="25" s="1"/>
  <c r="AB24" s="1"/>
  <c r="AN28" i="209"/>
  <c r="V25" i="25" s="1"/>
  <c r="E12" i="209"/>
  <c r="O32"/>
  <c r="T14"/>
  <c r="Q15"/>
  <c r="AN16"/>
  <c r="V16" i="25" s="1"/>
  <c r="E18" i="209"/>
  <c r="AC18"/>
  <c r="Q20"/>
  <c r="AQ33"/>
  <c r="Q12"/>
  <c r="W12"/>
  <c r="AA32"/>
  <c r="AS32"/>
  <c r="H14"/>
  <c r="AF14"/>
  <c r="AU14"/>
  <c r="E15"/>
  <c r="AC15"/>
  <c r="G18"/>
  <c r="H18" s="1"/>
  <c r="P18"/>
  <c r="Q18" s="1"/>
  <c r="E20"/>
  <c r="U21" i="25"/>
  <c r="N21" i="209"/>
  <c r="J60" i="202"/>
  <c r="K60" s="1"/>
  <c r="H60"/>
  <c r="F54" i="209"/>
  <c r="AJ32"/>
  <c r="AN14"/>
  <c r="AN15"/>
  <c r="F32"/>
  <c r="J32"/>
  <c r="R32"/>
  <c r="AD32"/>
  <c r="E46"/>
  <c r="E52"/>
  <c r="E54" s="1"/>
  <c r="AM14"/>
  <c r="U14" i="25" s="1"/>
  <c r="BA17" i="209"/>
  <c r="BA18"/>
  <c r="V12" i="25"/>
  <c r="AG20" i="209"/>
  <c r="AM12"/>
  <c r="U12" i="25" s="1"/>
  <c r="X20" i="209"/>
  <c r="E21"/>
  <c r="AN18" l="1"/>
  <c r="N32"/>
  <c r="M33"/>
  <c r="D33"/>
  <c r="G32"/>
  <c r="G33" s="1"/>
  <c r="E32"/>
  <c r="P32"/>
  <c r="AO15"/>
  <c r="V15" i="25"/>
  <c r="X32" i="209"/>
  <c r="AO14"/>
  <c r="V14" i="25"/>
  <c r="AM20" i="209"/>
  <c r="U20" i="25" s="1"/>
  <c r="G52" i="209"/>
  <c r="AT33"/>
  <c r="AO12"/>
  <c r="E47"/>
  <c r="K32"/>
  <c r="J33"/>
  <c r="G54"/>
  <c r="AG32"/>
  <c r="G46"/>
  <c r="Y20" s="1"/>
  <c r="H32" l="1"/>
  <c r="S21"/>
  <c r="T21" s="1"/>
  <c r="AH21"/>
  <c r="AI21" s="1"/>
  <c r="AE21"/>
  <c r="V21"/>
  <c r="W21" s="1"/>
  <c r="AK21"/>
  <c r="AB21"/>
  <c r="AC21" s="1"/>
  <c r="Y21"/>
  <c r="Z21" s="1"/>
  <c r="AM32"/>
  <c r="AL21"/>
  <c r="AH20"/>
  <c r="AH32" s="1"/>
  <c r="P33"/>
  <c r="Q32"/>
  <c r="AO18"/>
  <c r="V18" i="25"/>
  <c r="F47" i="209"/>
  <c r="F48" s="1"/>
  <c r="S32"/>
  <c r="V20"/>
  <c r="AE20"/>
  <c r="AK20"/>
  <c r="AB20"/>
  <c r="E48"/>
  <c r="AN21" l="1"/>
  <c r="V21" i="25" s="1"/>
  <c r="AI20" i="209"/>
  <c r="G48"/>
  <c r="AC20"/>
  <c r="AB32"/>
  <c r="S33"/>
  <c r="T32"/>
  <c r="W20"/>
  <c r="V32"/>
  <c r="AN20"/>
  <c r="V20" i="25" s="1"/>
  <c r="AI32" i="209"/>
  <c r="AH33"/>
  <c r="AF20"/>
  <c r="AE32"/>
  <c r="Z20"/>
  <c r="Y32"/>
  <c r="AL20"/>
  <c r="AK32"/>
  <c r="AO21" l="1"/>
  <c r="Y33"/>
  <c r="Z32"/>
  <c r="W32"/>
  <c r="V33"/>
  <c r="AB33"/>
  <c r="AC32"/>
  <c r="AK33"/>
  <c r="AL32"/>
  <c r="AE33"/>
  <c r="AF32"/>
  <c r="AO20"/>
  <c r="AN32"/>
  <c r="AN33" l="1"/>
  <c r="AO32"/>
  <c r="W18" i="25" l="1"/>
  <c r="K112" i="207" l="1"/>
  <c r="K144" i="1" s="1"/>
  <c r="V40" i="205"/>
  <c r="V39"/>
  <c r="V38"/>
  <c r="E14" i="194"/>
  <c r="E15" s="1"/>
  <c r="H25" i="33" l="1"/>
  <c r="F25"/>
  <c r="G137" i="182"/>
  <c r="G139" s="1"/>
  <c r="H187" l="1"/>
  <c r="G187"/>
  <c r="F184"/>
  <c r="F183"/>
  <c r="F139"/>
  <c r="G188" s="1"/>
  <c r="F141" l="1"/>
  <c r="I20" i="25"/>
  <c r="B57" i="184" l="1"/>
  <c r="B58" s="1"/>
  <c r="B59" s="1"/>
  <c r="B60" s="1"/>
  <c r="J57"/>
  <c r="J58" s="1"/>
  <c r="J59" s="1"/>
  <c r="J60" s="1"/>
  <c r="A9" i="165" l="1"/>
  <c r="A10" s="1"/>
  <c r="E18"/>
  <c r="E9"/>
  <c r="A44"/>
  <c r="A32"/>
  <c r="A33" s="1"/>
  <c r="E43"/>
  <c r="E32"/>
  <c r="G16" i="136" l="1"/>
  <c r="F16"/>
  <c r="F15"/>
  <c r="O20" i="25" s="1"/>
  <c r="G13" i="136"/>
  <c r="E10" i="194"/>
  <c r="O21" i="25" l="1"/>
  <c r="J123" i="1" l="1"/>
  <c r="J119"/>
  <c r="J117"/>
  <c r="J116"/>
  <c r="J115"/>
  <c r="H123"/>
  <c r="H119"/>
  <c r="H117"/>
  <c r="H116"/>
  <c r="H115"/>
  <c r="Y148" i="207"/>
  <c r="X148"/>
  <c r="W148"/>
  <c r="V148"/>
  <c r="U148"/>
  <c r="T148"/>
  <c r="S148"/>
  <c r="R148"/>
  <c r="Q148"/>
  <c r="P148"/>
  <c r="O148"/>
  <c r="N148"/>
  <c r="Y145"/>
  <c r="X145"/>
  <c r="W145"/>
  <c r="V145"/>
  <c r="U145"/>
  <c r="T145"/>
  <c r="S145"/>
  <c r="R145"/>
  <c r="Q145"/>
  <c r="P145"/>
  <c r="O145"/>
  <c r="N145"/>
  <c r="Y143"/>
  <c r="X143"/>
  <c r="W143"/>
  <c r="V143"/>
  <c r="U143"/>
  <c r="T143"/>
  <c r="S143"/>
  <c r="R143"/>
  <c r="Q143"/>
  <c r="P143"/>
  <c r="O143"/>
  <c r="N143"/>
  <c r="Y142"/>
  <c r="X142"/>
  <c r="W142"/>
  <c r="V142"/>
  <c r="U142"/>
  <c r="T142"/>
  <c r="S142"/>
  <c r="R142"/>
  <c r="Q142"/>
  <c r="P142"/>
  <c r="O142"/>
  <c r="N142"/>
  <c r="Y141"/>
  <c r="X141"/>
  <c r="W141"/>
  <c r="V141"/>
  <c r="U141"/>
  <c r="T141"/>
  <c r="S141"/>
  <c r="R141"/>
  <c r="Q141"/>
  <c r="P141"/>
  <c r="O141"/>
  <c r="N141"/>
  <c r="Y140"/>
  <c r="X140"/>
  <c r="W140"/>
  <c r="V140"/>
  <c r="U140"/>
  <c r="T140"/>
  <c r="S140"/>
  <c r="R140"/>
  <c r="Q140"/>
  <c r="P140"/>
  <c r="O140"/>
  <c r="N140"/>
  <c r="Y139"/>
  <c r="X139"/>
  <c r="W139"/>
  <c r="V139"/>
  <c r="U139"/>
  <c r="T139"/>
  <c r="S139"/>
  <c r="R139"/>
  <c r="Q139"/>
  <c r="P139"/>
  <c r="O139"/>
  <c r="N139"/>
  <c r="Y138"/>
  <c r="X138"/>
  <c r="W138"/>
  <c r="V138"/>
  <c r="U138"/>
  <c r="T138"/>
  <c r="S138"/>
  <c r="R138"/>
  <c r="Q138"/>
  <c r="P138"/>
  <c r="O138"/>
  <c r="N138"/>
  <c r="Y137"/>
  <c r="Y144" s="1"/>
  <c r="X137"/>
  <c r="W137"/>
  <c r="W144" s="1"/>
  <c r="V137"/>
  <c r="V144" s="1"/>
  <c r="U137"/>
  <c r="U144" s="1"/>
  <c r="T137"/>
  <c r="S137"/>
  <c r="S144" s="1"/>
  <c r="R137"/>
  <c r="R144" s="1"/>
  <c r="Q137"/>
  <c r="Q144" s="1"/>
  <c r="P137"/>
  <c r="O137"/>
  <c r="O144" s="1"/>
  <c r="N137"/>
  <c r="N144" s="1"/>
  <c r="Y136"/>
  <c r="X136"/>
  <c r="X146" s="1"/>
  <c r="W136"/>
  <c r="W153" s="1"/>
  <c r="V136"/>
  <c r="U136"/>
  <c r="T136"/>
  <c r="T146" s="1"/>
  <c r="S136"/>
  <c r="S153" s="1"/>
  <c r="R136"/>
  <c r="Q136"/>
  <c r="P136"/>
  <c r="P146" s="1"/>
  <c r="O136"/>
  <c r="O153" s="1"/>
  <c r="N136"/>
  <c r="K127"/>
  <c r="K126"/>
  <c r="K125"/>
  <c r="K124"/>
  <c r="K123"/>
  <c r="K120"/>
  <c r="K119"/>
  <c r="K118"/>
  <c r="K117"/>
  <c r="K115"/>
  <c r="K148" i="1" s="1"/>
  <c r="K114" i="207"/>
  <c r="K147" i="1" s="1"/>
  <c r="K113" i="207"/>
  <c r="K146" i="1" s="1"/>
  <c r="K111" i="207"/>
  <c r="K143" i="1" s="1"/>
  <c r="J109" i="207"/>
  <c r="J140" i="1" s="1"/>
  <c r="I109" i="207"/>
  <c r="I140" i="1" s="1"/>
  <c r="H109" i="207"/>
  <c r="H140" i="1" s="1"/>
  <c r="G109" i="207"/>
  <c r="G140" i="1" s="1"/>
  <c r="J108" i="207"/>
  <c r="J139" i="1" s="1"/>
  <c r="H108" i="207"/>
  <c r="H139" i="1" s="1"/>
  <c r="E108" i="207"/>
  <c r="E139" i="1" s="1"/>
  <c r="D108" i="207"/>
  <c r="D139" i="1" s="1"/>
  <c r="I107" i="207"/>
  <c r="G107"/>
  <c r="F107"/>
  <c r="E107"/>
  <c r="D107"/>
  <c r="I106"/>
  <c r="G106"/>
  <c r="F106"/>
  <c r="E106"/>
  <c r="D106"/>
  <c r="I105"/>
  <c r="G105"/>
  <c r="F105"/>
  <c r="E105"/>
  <c r="D105"/>
  <c r="J104"/>
  <c r="J138" i="1" s="1"/>
  <c r="H104" i="207"/>
  <c r="H138" i="1" s="1"/>
  <c r="E104" i="207"/>
  <c r="E138" i="1" s="1"/>
  <c r="D104" i="207"/>
  <c r="D138" i="1" s="1"/>
  <c r="I103" i="207"/>
  <c r="G103"/>
  <c r="F103"/>
  <c r="E103"/>
  <c r="D103"/>
  <c r="I102"/>
  <c r="G102"/>
  <c r="F102"/>
  <c r="E102"/>
  <c r="D102"/>
  <c r="I101"/>
  <c r="G101"/>
  <c r="F101"/>
  <c r="E101"/>
  <c r="D101"/>
  <c r="J100"/>
  <c r="J137" i="1" s="1"/>
  <c r="H100" i="207"/>
  <c r="H137" i="1" s="1"/>
  <c r="E100" i="207"/>
  <c r="E137" i="1" s="1"/>
  <c r="D100" i="207"/>
  <c r="D137" i="1" s="1"/>
  <c r="I99" i="207"/>
  <c r="G99"/>
  <c r="F99"/>
  <c r="E99"/>
  <c r="D99"/>
  <c r="I98"/>
  <c r="G98"/>
  <c r="F98"/>
  <c r="E98"/>
  <c r="D98"/>
  <c r="I97"/>
  <c r="G97"/>
  <c r="F97"/>
  <c r="E97"/>
  <c r="D97"/>
  <c r="J96"/>
  <c r="J136" i="1" s="1"/>
  <c r="H96" i="207"/>
  <c r="H136" i="1" s="1"/>
  <c r="E96" i="207"/>
  <c r="E136" i="1" s="1"/>
  <c r="D96" i="207"/>
  <c r="D136" i="1" s="1"/>
  <c r="I95" i="207"/>
  <c r="G95"/>
  <c r="F95"/>
  <c r="E95"/>
  <c r="D95"/>
  <c r="I94"/>
  <c r="G94"/>
  <c r="F94"/>
  <c r="E94"/>
  <c r="D94"/>
  <c r="I93"/>
  <c r="G93"/>
  <c r="F93"/>
  <c r="E93"/>
  <c r="D93"/>
  <c r="J92"/>
  <c r="J135" i="1" s="1"/>
  <c r="H92" i="207"/>
  <c r="H135" i="1" s="1"/>
  <c r="E92" i="207"/>
  <c r="E135" i="1" s="1"/>
  <c r="D92" i="207"/>
  <c r="D135" i="1" s="1"/>
  <c r="I91" i="207"/>
  <c r="G91"/>
  <c r="F91"/>
  <c r="E91"/>
  <c r="D91"/>
  <c r="I90"/>
  <c r="G90"/>
  <c r="F90"/>
  <c r="E90"/>
  <c r="D90"/>
  <c r="I89"/>
  <c r="G89"/>
  <c r="F89"/>
  <c r="E89"/>
  <c r="D89"/>
  <c r="J88"/>
  <c r="J134" i="1" s="1"/>
  <c r="H88" i="207"/>
  <c r="H134" i="1" s="1"/>
  <c r="E88" i="207"/>
  <c r="E134" i="1" s="1"/>
  <c r="D88" i="207"/>
  <c r="D134" i="1" s="1"/>
  <c r="I87" i="207"/>
  <c r="G87"/>
  <c r="F87"/>
  <c r="E87"/>
  <c r="D87"/>
  <c r="I86"/>
  <c r="G86"/>
  <c r="F86"/>
  <c r="E86"/>
  <c r="D86"/>
  <c r="I85"/>
  <c r="G85"/>
  <c r="F85"/>
  <c r="E85"/>
  <c r="D85"/>
  <c r="J84"/>
  <c r="J133" i="1" s="1"/>
  <c r="H84" i="207"/>
  <c r="H133" i="1" s="1"/>
  <c r="E84" i="207"/>
  <c r="E133" i="1" s="1"/>
  <c r="D84" i="207"/>
  <c r="D133" i="1" s="1"/>
  <c r="I83" i="207"/>
  <c r="G83"/>
  <c r="F83"/>
  <c r="E83"/>
  <c r="D83"/>
  <c r="I82"/>
  <c r="G82"/>
  <c r="F82"/>
  <c r="E82"/>
  <c r="D82"/>
  <c r="I81"/>
  <c r="G81"/>
  <c r="F81"/>
  <c r="E81"/>
  <c r="D81"/>
  <c r="J80"/>
  <c r="J132" i="1" s="1"/>
  <c r="H80" i="207"/>
  <c r="H132" i="1" s="1"/>
  <c r="E80" i="207"/>
  <c r="E132" i="1" s="1"/>
  <c r="D80" i="207"/>
  <c r="D132" i="1" s="1"/>
  <c r="I79" i="207"/>
  <c r="G79"/>
  <c r="F79"/>
  <c r="E79"/>
  <c r="D79"/>
  <c r="I78"/>
  <c r="G78"/>
  <c r="F78"/>
  <c r="E78"/>
  <c r="D78"/>
  <c r="I77"/>
  <c r="G77"/>
  <c r="F77"/>
  <c r="E77"/>
  <c r="D77"/>
  <c r="J76"/>
  <c r="J131" i="1" s="1"/>
  <c r="H76" i="207"/>
  <c r="H131" i="1" s="1"/>
  <c r="E76" i="207"/>
  <c r="E131" i="1" s="1"/>
  <c r="D76" i="207"/>
  <c r="D131" i="1" s="1"/>
  <c r="I75" i="207"/>
  <c r="G75"/>
  <c r="F75"/>
  <c r="E75"/>
  <c r="D75"/>
  <c r="I74"/>
  <c r="G74"/>
  <c r="F74"/>
  <c r="E74"/>
  <c r="D74"/>
  <c r="I73"/>
  <c r="G73"/>
  <c r="F73"/>
  <c r="E73"/>
  <c r="D73"/>
  <c r="J72"/>
  <c r="J130" i="1" s="1"/>
  <c r="H72" i="207"/>
  <c r="H130" i="1" s="1"/>
  <c r="E72" i="207"/>
  <c r="E130" i="1" s="1"/>
  <c r="D72" i="207"/>
  <c r="D130" i="1" s="1"/>
  <c r="I71" i="207"/>
  <c r="G71"/>
  <c r="F71"/>
  <c r="E71"/>
  <c r="D71"/>
  <c r="I70"/>
  <c r="G70"/>
  <c r="F70"/>
  <c r="E70"/>
  <c r="D70"/>
  <c r="I69"/>
  <c r="G69"/>
  <c r="F69"/>
  <c r="E69"/>
  <c r="D69"/>
  <c r="J68"/>
  <c r="J129" i="1" s="1"/>
  <c r="H68" i="207"/>
  <c r="H129" i="1" s="1"/>
  <c r="E68" i="207"/>
  <c r="E129" i="1" s="1"/>
  <c r="D68" i="207"/>
  <c r="D129" i="1" s="1"/>
  <c r="I67" i="207"/>
  <c r="G67"/>
  <c r="F67"/>
  <c r="E67"/>
  <c r="D67"/>
  <c r="I66"/>
  <c r="G66"/>
  <c r="F66"/>
  <c r="E66"/>
  <c r="D66"/>
  <c r="I65"/>
  <c r="G65"/>
  <c r="F65"/>
  <c r="E65"/>
  <c r="D65"/>
  <c r="J64"/>
  <c r="J128" i="1" s="1"/>
  <c r="H64" i="207"/>
  <c r="H128" i="1" s="1"/>
  <c r="E64" i="207"/>
  <c r="E128" i="1" s="1"/>
  <c r="D64" i="207"/>
  <c r="D128" i="1" s="1"/>
  <c r="I63" i="207"/>
  <c r="G63"/>
  <c r="F63"/>
  <c r="E63"/>
  <c r="D63"/>
  <c r="I62"/>
  <c r="G62"/>
  <c r="F62"/>
  <c r="E62"/>
  <c r="D62"/>
  <c r="I61"/>
  <c r="G61"/>
  <c r="F61"/>
  <c r="E61"/>
  <c r="D61"/>
  <c r="J60"/>
  <c r="J127" i="1" s="1"/>
  <c r="H60" i="207"/>
  <c r="H127" i="1" s="1"/>
  <c r="E60" i="207"/>
  <c r="E127" i="1" s="1"/>
  <c r="D60" i="207"/>
  <c r="D127" i="1" s="1"/>
  <c r="I59" i="207"/>
  <c r="G59"/>
  <c r="F59"/>
  <c r="E59"/>
  <c r="D59"/>
  <c r="I58"/>
  <c r="G58"/>
  <c r="F58"/>
  <c r="E58"/>
  <c r="D58"/>
  <c r="I57"/>
  <c r="G57"/>
  <c r="F57"/>
  <c r="E57"/>
  <c r="D57"/>
  <c r="J56"/>
  <c r="J126" i="1" s="1"/>
  <c r="H56" i="207"/>
  <c r="H126" i="1" s="1"/>
  <c r="E56" i="207"/>
  <c r="E126" i="1" s="1"/>
  <c r="D56" i="207"/>
  <c r="D126" i="1" s="1"/>
  <c r="I55" i="207"/>
  <c r="G55"/>
  <c r="F55"/>
  <c r="E55"/>
  <c r="D55"/>
  <c r="I54"/>
  <c r="G54"/>
  <c r="F54"/>
  <c r="E54"/>
  <c r="D54"/>
  <c r="I53"/>
  <c r="G53"/>
  <c r="F53"/>
  <c r="E53"/>
  <c r="D53"/>
  <c r="J52"/>
  <c r="J125" i="1" s="1"/>
  <c r="H52" i="207"/>
  <c r="H125" i="1" s="1"/>
  <c r="E52" i="207"/>
  <c r="E125" i="1" s="1"/>
  <c r="D52" i="207"/>
  <c r="D125" i="1" s="1"/>
  <c r="I51" i="207"/>
  <c r="G51"/>
  <c r="F51"/>
  <c r="E51"/>
  <c r="D51"/>
  <c r="I50"/>
  <c r="G50"/>
  <c r="F50"/>
  <c r="E50"/>
  <c r="D50"/>
  <c r="I49"/>
  <c r="G49"/>
  <c r="F49"/>
  <c r="E49"/>
  <c r="D49"/>
  <c r="J48"/>
  <c r="J124" i="1" s="1"/>
  <c r="H48" i="207"/>
  <c r="H124" i="1" s="1"/>
  <c r="E48" i="207"/>
  <c r="E124" i="1" s="1"/>
  <c r="D48" i="207"/>
  <c r="D124" i="1" s="1"/>
  <c r="E47" i="207"/>
  <c r="E123" i="1" s="1"/>
  <c r="D47" i="207"/>
  <c r="D123" i="1" s="1"/>
  <c r="I46" i="207"/>
  <c r="G46"/>
  <c r="F46"/>
  <c r="E46"/>
  <c r="D46"/>
  <c r="I45"/>
  <c r="G45"/>
  <c r="F45"/>
  <c r="E45"/>
  <c r="D45"/>
  <c r="I44"/>
  <c r="G44"/>
  <c r="F44"/>
  <c r="E44"/>
  <c r="D44"/>
  <c r="I43"/>
  <c r="G43"/>
  <c r="F43"/>
  <c r="E43"/>
  <c r="D43"/>
  <c r="I42"/>
  <c r="G42"/>
  <c r="F42"/>
  <c r="E42"/>
  <c r="D42"/>
  <c r="I41"/>
  <c r="G41"/>
  <c r="F41"/>
  <c r="E41"/>
  <c r="D41"/>
  <c r="J40"/>
  <c r="J122" i="1" s="1"/>
  <c r="H40" i="207"/>
  <c r="H122" i="1" s="1"/>
  <c r="E40" i="207"/>
  <c r="E122" i="1" s="1"/>
  <c r="D40" i="207"/>
  <c r="D122" i="1" s="1"/>
  <c r="I39" i="207"/>
  <c r="G39"/>
  <c r="F39"/>
  <c r="E39"/>
  <c r="D39"/>
  <c r="I38"/>
  <c r="G38"/>
  <c r="F38"/>
  <c r="E38"/>
  <c r="D38"/>
  <c r="I37"/>
  <c r="G37"/>
  <c r="F37"/>
  <c r="E37"/>
  <c r="D37"/>
  <c r="J36"/>
  <c r="J121" i="1" s="1"/>
  <c r="H36" i="207"/>
  <c r="H121" i="1" s="1"/>
  <c r="E36" i="207"/>
  <c r="E121" i="1" s="1"/>
  <c r="D36" i="207"/>
  <c r="D121" i="1" s="1"/>
  <c r="I35" i="207"/>
  <c r="G35"/>
  <c r="F35"/>
  <c r="E35"/>
  <c r="D35"/>
  <c r="I34"/>
  <c r="G34"/>
  <c r="F34"/>
  <c r="E34"/>
  <c r="D34"/>
  <c r="I33"/>
  <c r="G33"/>
  <c r="F33"/>
  <c r="E33"/>
  <c r="D33"/>
  <c r="J32"/>
  <c r="J120" i="1" s="1"/>
  <c r="H32" i="207"/>
  <c r="H120" i="1" s="1"/>
  <c r="E32" i="207"/>
  <c r="E120" i="1" s="1"/>
  <c r="D32" i="207"/>
  <c r="D120" i="1" s="1"/>
  <c r="E31" i="207"/>
  <c r="E119" i="1" s="1"/>
  <c r="D31" i="207"/>
  <c r="D119" i="1" s="1"/>
  <c r="I30" i="207"/>
  <c r="G30"/>
  <c r="F30"/>
  <c r="E30"/>
  <c r="D30"/>
  <c r="I29"/>
  <c r="G29"/>
  <c r="F29"/>
  <c r="E29"/>
  <c r="D29"/>
  <c r="I28"/>
  <c r="G28"/>
  <c r="F28"/>
  <c r="E28"/>
  <c r="D28"/>
  <c r="I27"/>
  <c r="G27"/>
  <c r="F27"/>
  <c r="E27"/>
  <c r="D27"/>
  <c r="I26"/>
  <c r="G26"/>
  <c r="F26"/>
  <c r="E26"/>
  <c r="D26"/>
  <c r="I25"/>
  <c r="G25"/>
  <c r="F25"/>
  <c r="E25"/>
  <c r="D25"/>
  <c r="J24"/>
  <c r="J118" i="1" s="1"/>
  <c r="H24" i="207"/>
  <c r="H118" i="1" s="1"/>
  <c r="E24" i="207"/>
  <c r="E118" i="1" s="1"/>
  <c r="D24" i="207"/>
  <c r="D118" i="1" s="1"/>
  <c r="E23" i="207"/>
  <c r="E117" i="1" s="1"/>
  <c r="D23" i="207"/>
  <c r="D117" i="1" s="1"/>
  <c r="E22" i="207"/>
  <c r="E116" i="1" s="1"/>
  <c r="D22" i="207"/>
  <c r="D116" i="1" s="1"/>
  <c r="E21" i="207"/>
  <c r="E115" i="1" s="1"/>
  <c r="D21" i="207"/>
  <c r="D115" i="1" s="1"/>
  <c r="I20" i="207"/>
  <c r="G20"/>
  <c r="F20"/>
  <c r="E20"/>
  <c r="D20"/>
  <c r="I19"/>
  <c r="G19"/>
  <c r="F19"/>
  <c r="E19"/>
  <c r="D19"/>
  <c r="I18"/>
  <c r="G18"/>
  <c r="F18"/>
  <c r="E18"/>
  <c r="D18"/>
  <c r="I17"/>
  <c r="G17"/>
  <c r="F17"/>
  <c r="E17"/>
  <c r="D17"/>
  <c r="I16"/>
  <c r="G16"/>
  <c r="F16"/>
  <c r="E16"/>
  <c r="D16"/>
  <c r="I15"/>
  <c r="G15"/>
  <c r="F15"/>
  <c r="E15"/>
  <c r="D15"/>
  <c r="I14"/>
  <c r="G14"/>
  <c r="F14"/>
  <c r="E14"/>
  <c r="D14"/>
  <c r="I13"/>
  <c r="G13"/>
  <c r="F13"/>
  <c r="E13"/>
  <c r="D13"/>
  <c r="I12"/>
  <c r="I24" s="1"/>
  <c r="I118" i="1" s="1"/>
  <c r="G12" i="207"/>
  <c r="G24" s="1"/>
  <c r="G118" i="1" s="1"/>
  <c r="F12" i="207"/>
  <c r="F24" s="1"/>
  <c r="F118" i="1" s="1"/>
  <c r="E12" i="207"/>
  <c r="D12"/>
  <c r="I11"/>
  <c r="I23" s="1"/>
  <c r="I117" i="1" s="1"/>
  <c r="G11" i="207"/>
  <c r="G23" s="1"/>
  <c r="G117" i="1" s="1"/>
  <c r="F11" i="207"/>
  <c r="F23" s="1"/>
  <c r="F117" i="1" s="1"/>
  <c r="E11" i="207"/>
  <c r="D11"/>
  <c r="I10"/>
  <c r="I22" s="1"/>
  <c r="I116" i="1" s="1"/>
  <c r="G10" i="207"/>
  <c r="G22" s="1"/>
  <c r="G116" i="1" s="1"/>
  <c r="F10" i="207"/>
  <c r="F22" s="1"/>
  <c r="F116" i="1" s="1"/>
  <c r="E10" i="207"/>
  <c r="D10"/>
  <c r="I9"/>
  <c r="I21" s="1"/>
  <c r="I115" i="1" s="1"/>
  <c r="G9" i="207"/>
  <c r="G21" s="1"/>
  <c r="G115" i="1" s="1"/>
  <c r="F9" i="207"/>
  <c r="F21" s="1"/>
  <c r="F115" i="1" s="1"/>
  <c r="E9" i="207"/>
  <c r="D9"/>
  <c r="J8"/>
  <c r="J114" i="1" s="1"/>
  <c r="H8" i="207"/>
  <c r="H114" i="1" s="1"/>
  <c r="E8" i="207"/>
  <c r="E114" i="1" s="1"/>
  <c r="D8" i="207"/>
  <c r="D114" i="1" s="1"/>
  <c r="I7" i="207"/>
  <c r="G7"/>
  <c r="F7"/>
  <c r="I6"/>
  <c r="G6"/>
  <c r="F6"/>
  <c r="I5"/>
  <c r="G5"/>
  <c r="F5"/>
  <c r="I47" l="1"/>
  <c r="I123" i="1" s="1"/>
  <c r="G48" i="207"/>
  <c r="G124" i="1" s="1"/>
  <c r="F47" i="207"/>
  <c r="F123" i="1" s="1"/>
  <c r="G64" i="207"/>
  <c r="G128" i="1" s="1"/>
  <c r="F64" i="207"/>
  <c r="F128" i="1" s="1"/>
  <c r="I68" i="207"/>
  <c r="I129" i="1" s="1"/>
  <c r="G80" i="207"/>
  <c r="G132" i="1" s="1"/>
  <c r="F80" i="207"/>
  <c r="F132" i="1" s="1"/>
  <c r="I84" i="207"/>
  <c r="I133" i="1" s="1"/>
  <c r="G96" i="207"/>
  <c r="G136" i="1" s="1"/>
  <c r="F96" i="207"/>
  <c r="F136" i="1" s="1"/>
  <c r="I100" i="207"/>
  <c r="I137" i="1" s="1"/>
  <c r="G40" i="207"/>
  <c r="G122" i="1" s="1"/>
  <c r="I52" i="207"/>
  <c r="I125" i="1" s="1"/>
  <c r="F40" i="207"/>
  <c r="F122" i="1" s="1"/>
  <c r="J141"/>
  <c r="I8" i="207"/>
  <c r="I114" i="1" s="1"/>
  <c r="I32" i="207"/>
  <c r="I120" i="1" s="1"/>
  <c r="G47" i="207"/>
  <c r="G123" i="1" s="1"/>
  <c r="F48" i="207"/>
  <c r="F124" i="1" s="1"/>
  <c r="H110" i="207"/>
  <c r="Z136"/>
  <c r="Z139"/>
  <c r="Z140"/>
  <c r="Z141"/>
  <c r="Z142"/>
  <c r="Z143"/>
  <c r="Z145"/>
  <c r="R146"/>
  <c r="V146"/>
  <c r="Q146"/>
  <c r="U146"/>
  <c r="Y146"/>
  <c r="K140" i="1"/>
  <c r="K115"/>
  <c r="L115" s="1"/>
  <c r="N153" i="207"/>
  <c r="V153"/>
  <c r="G52"/>
  <c r="I56"/>
  <c r="I126" i="1" s="1"/>
  <c r="F68" i="207"/>
  <c r="F129" i="1" s="1"/>
  <c r="G84" i="207"/>
  <c r="I88"/>
  <c r="I134" i="1" s="1"/>
  <c r="F100" i="207"/>
  <c r="F137" i="1" s="1"/>
  <c r="K128" i="207"/>
  <c r="U153"/>
  <c r="F8"/>
  <c r="F114" i="1" s="1"/>
  <c r="G31" i="207"/>
  <c r="G119" i="1" s="1"/>
  <c r="F32" i="207"/>
  <c r="F120" i="1" s="1"/>
  <c r="G36" i="207"/>
  <c r="F36"/>
  <c r="F121" i="1" s="1"/>
  <c r="I40" i="207"/>
  <c r="I122" i="1" s="1"/>
  <c r="I48" i="207"/>
  <c r="G60"/>
  <c r="F60"/>
  <c r="F127" i="1" s="1"/>
  <c r="I64" i="207"/>
  <c r="I128" i="1" s="1"/>
  <c r="G76" i="207"/>
  <c r="G131" i="1" s="1"/>
  <c r="F76" i="207"/>
  <c r="F131" i="1" s="1"/>
  <c r="I80" i="207"/>
  <c r="I132" i="1" s="1"/>
  <c r="G92" i="207"/>
  <c r="G135" i="1" s="1"/>
  <c r="F92" i="207"/>
  <c r="F135" i="1" s="1"/>
  <c r="I96" i="207"/>
  <c r="G108"/>
  <c r="F108"/>
  <c r="F139" i="1" s="1"/>
  <c r="D110" i="207"/>
  <c r="K109"/>
  <c r="O146"/>
  <c r="S146"/>
  <c r="W146"/>
  <c r="J110"/>
  <c r="R153"/>
  <c r="N146"/>
  <c r="F52"/>
  <c r="F125" i="1" s="1"/>
  <c r="G68" i="207"/>
  <c r="I72"/>
  <c r="I130" i="1" s="1"/>
  <c r="F84" i="207"/>
  <c r="F133" i="1" s="1"/>
  <c r="G100" i="207"/>
  <c r="I104"/>
  <c r="K121"/>
  <c r="Q153"/>
  <c r="Y153"/>
  <c r="G8"/>
  <c r="I31"/>
  <c r="I119" i="1" s="1"/>
  <c r="G32" i="207"/>
  <c r="G120" i="1" s="1"/>
  <c r="F31" i="207"/>
  <c r="F119" i="1" s="1"/>
  <c r="I36" i="207"/>
  <c r="I121" i="1" s="1"/>
  <c r="G56" i="207"/>
  <c r="G126" i="1" s="1"/>
  <c r="F56" i="207"/>
  <c r="F126" i="1" s="1"/>
  <c r="I60" i="207"/>
  <c r="I127" i="1" s="1"/>
  <c r="G72" i="207"/>
  <c r="G130" i="1" s="1"/>
  <c r="F72" i="207"/>
  <c r="F130" i="1" s="1"/>
  <c r="I76" i="207"/>
  <c r="I131" i="1" s="1"/>
  <c r="G88" i="207"/>
  <c r="F88"/>
  <c r="F134" i="1" s="1"/>
  <c r="I92" i="207"/>
  <c r="I135" i="1" s="1"/>
  <c r="G104" i="207"/>
  <c r="G138" i="1" s="1"/>
  <c r="F104" i="207"/>
  <c r="I108"/>
  <c r="I139" i="1" s="1"/>
  <c r="E110" i="207"/>
  <c r="P144"/>
  <c r="P150" s="1"/>
  <c r="P156" s="1"/>
  <c r="T144"/>
  <c r="T150" s="1"/>
  <c r="T156" s="1"/>
  <c r="X144"/>
  <c r="X147" s="1"/>
  <c r="Z148"/>
  <c r="D141" i="1"/>
  <c r="E141"/>
  <c r="N147" i="207"/>
  <c r="N150"/>
  <c r="N156" s="1"/>
  <c r="R150"/>
  <c r="R156" s="1"/>
  <c r="R147"/>
  <c r="Q150"/>
  <c r="Q156" s="1"/>
  <c r="Q147"/>
  <c r="U147"/>
  <c r="U150"/>
  <c r="U156" s="1"/>
  <c r="Y150"/>
  <c r="Y156" s="1"/>
  <c r="Y147"/>
  <c r="O147"/>
  <c r="O150"/>
  <c r="O156" s="1"/>
  <c r="S147"/>
  <c r="S150"/>
  <c r="S156" s="1"/>
  <c r="W147"/>
  <c r="W150"/>
  <c r="W156" s="1"/>
  <c r="V147"/>
  <c r="V150"/>
  <c r="V156" s="1"/>
  <c r="K21"/>
  <c r="L21" s="1"/>
  <c r="Z138"/>
  <c r="T153"/>
  <c r="P153"/>
  <c r="X153"/>
  <c r="Z137"/>
  <c r="H141" i="1"/>
  <c r="Z144" i="207" l="1"/>
  <c r="Z153"/>
  <c r="K80"/>
  <c r="Z146"/>
  <c r="L80"/>
  <c r="K128" i="1"/>
  <c r="L128" s="1"/>
  <c r="T147" i="207"/>
  <c r="T149" s="1"/>
  <c r="T154" s="1"/>
  <c r="K126" i="1"/>
  <c r="L126" s="1"/>
  <c r="K132"/>
  <c r="L132" s="1"/>
  <c r="K76" i="207"/>
  <c r="L76" s="1"/>
  <c r="K56"/>
  <c r="L56" s="1"/>
  <c r="P147"/>
  <c r="P152" s="1"/>
  <c r="G110"/>
  <c r="K130" i="1"/>
  <c r="L130" s="1"/>
  <c r="E16" i="194"/>
  <c r="X150" i="207"/>
  <c r="X156" s="1"/>
  <c r="Z156" s="1"/>
  <c r="K72"/>
  <c r="L72" s="1"/>
  <c r="K135" i="1"/>
  <c r="L135" s="1"/>
  <c r="K119"/>
  <c r="L119" s="1"/>
  <c r="K131"/>
  <c r="L131" s="1"/>
  <c r="K108" i="207"/>
  <c r="G139" i="1"/>
  <c r="K139" s="1"/>
  <c r="L139" s="1"/>
  <c r="K52" i="207"/>
  <c r="G125" i="1"/>
  <c r="K125" s="1"/>
  <c r="L125" s="1"/>
  <c r="K64" i="207"/>
  <c r="L64" s="1"/>
  <c r="K31"/>
  <c r="L31" s="1"/>
  <c r="F110"/>
  <c r="F138" i="1"/>
  <c r="F141" s="1"/>
  <c r="K88" i="207"/>
  <c r="L88" s="1"/>
  <c r="G134" i="1"/>
  <c r="K134" s="1"/>
  <c r="L134" s="1"/>
  <c r="K100" i="207"/>
  <c r="L100" s="1"/>
  <c r="G137" i="1"/>
  <c r="K137" s="1"/>
  <c r="L137" s="1"/>
  <c r="K47" i="207"/>
  <c r="L47" s="1"/>
  <c r="I124" i="1"/>
  <c r="K123" s="1"/>
  <c r="L123" s="1"/>
  <c r="K122"/>
  <c r="L122" s="1"/>
  <c r="K92" i="207"/>
  <c r="K8"/>
  <c r="L8" s="1"/>
  <c r="G114" i="1"/>
  <c r="K104" i="207"/>
  <c r="L104" s="1"/>
  <c r="I138" i="1"/>
  <c r="K138" s="1"/>
  <c r="L138" s="1"/>
  <c r="K68" i="207"/>
  <c r="G129" i="1"/>
  <c r="K129" s="1"/>
  <c r="L129" s="1"/>
  <c r="K96" i="207"/>
  <c r="L96" s="1"/>
  <c r="I136" i="1"/>
  <c r="K136" s="1"/>
  <c r="L136" s="1"/>
  <c r="K60" i="207"/>
  <c r="L60" s="1"/>
  <c r="G127" i="1"/>
  <c r="K127" s="1"/>
  <c r="L127" s="1"/>
  <c r="K36" i="207"/>
  <c r="L36" s="1"/>
  <c r="G121" i="1"/>
  <c r="K121" s="1"/>
  <c r="L121" s="1"/>
  <c r="K84" i="207"/>
  <c r="L84" s="1"/>
  <c r="G133" i="1"/>
  <c r="K133" s="1"/>
  <c r="L133" s="1"/>
  <c r="K40" i="207"/>
  <c r="L40" s="1"/>
  <c r="I110"/>
  <c r="L68"/>
  <c r="L52"/>
  <c r="X149"/>
  <c r="X154" s="1"/>
  <c r="X152"/>
  <c r="P149"/>
  <c r="P154" s="1"/>
  <c r="Y149"/>
  <c r="Y154" s="1"/>
  <c r="Y152"/>
  <c r="V149"/>
  <c r="V154" s="1"/>
  <c r="V152"/>
  <c r="S152"/>
  <c r="S149"/>
  <c r="S154" s="1"/>
  <c r="L108"/>
  <c r="U149"/>
  <c r="U154" s="1"/>
  <c r="U152"/>
  <c r="W152"/>
  <c r="W149"/>
  <c r="W154" s="1"/>
  <c r="O152"/>
  <c r="O149"/>
  <c r="O154" s="1"/>
  <c r="N149"/>
  <c r="N154" s="1"/>
  <c r="N152"/>
  <c r="Q149"/>
  <c r="Q154" s="1"/>
  <c r="Q152"/>
  <c r="Z150"/>
  <c r="Z157" s="1"/>
  <c r="Z147"/>
  <c r="R152"/>
  <c r="R149"/>
  <c r="R154" s="1"/>
  <c r="T152" l="1"/>
  <c r="K110"/>
  <c r="L110" s="1"/>
  <c r="L92"/>
  <c r="I141" i="1"/>
  <c r="L49" i="201" s="1"/>
  <c r="K114" i="1"/>
  <c r="G141"/>
  <c r="Z152" i="207"/>
  <c r="Z149"/>
  <c r="Z154" s="1"/>
  <c r="K132" l="1"/>
  <c r="K116"/>
  <c r="K129" s="1"/>
  <c r="K130" s="1"/>
  <c r="L114" i="1"/>
  <c r="K141"/>
  <c r="K122" i="207"/>
  <c r="L141" i="1" l="1"/>
  <c r="K149"/>
  <c r="M10" i="29"/>
  <c r="Y30" i="25"/>
  <c r="X30"/>
  <c r="M49" i="40" s="1"/>
  <c r="S30" i="25"/>
  <c r="R30"/>
  <c r="K49" i="40" s="1"/>
  <c r="G30" i="25"/>
  <c r="L36" i="40" l="1"/>
  <c r="L36" i="201"/>
  <c r="L43" i="40" l="1"/>
  <c r="W21" i="25"/>
  <c r="W20"/>
  <c r="X75" i="179" l="1"/>
  <c r="X81" s="1"/>
  <c r="X74"/>
  <c r="X80" s="1"/>
  <c r="X73"/>
  <c r="X79" s="1"/>
  <c r="Q55"/>
  <c r="Q54"/>
  <c r="K32"/>
  <c r="J32"/>
  <c r="I32"/>
  <c r="H32"/>
  <c r="K31"/>
  <c r="J31"/>
  <c r="I31"/>
  <c r="H31"/>
  <c r="X82" l="1"/>
  <c r="N99" s="1"/>
  <c r="X76"/>
  <c r="B7" i="176" l="1"/>
  <c r="D7" s="1"/>
  <c r="B6"/>
  <c r="D6" s="1"/>
  <c r="B5"/>
  <c r="D5" s="1"/>
  <c r="B4"/>
  <c r="D4" s="1"/>
  <c r="D3"/>
  <c r="G50" i="193"/>
  <c r="E8" i="176" l="1"/>
  <c r="D46" i="192" l="1"/>
  <c r="J25" i="33"/>
  <c r="N26" i="32"/>
  <c r="K20" i="192"/>
  <c r="L23" i="112"/>
  <c r="J23"/>
  <c r="L22"/>
  <c r="J22"/>
  <c r="H22"/>
  <c r="L21"/>
  <c r="J21"/>
  <c r="F22"/>
  <c r="E159" i="182"/>
  <c r="G189"/>
  <c r="I184"/>
  <c r="I183"/>
  <c r="J183" s="1"/>
  <c r="W30" i="181"/>
  <c r="AA30" i="205"/>
  <c r="X30" i="180"/>
  <c r="L34" i="205"/>
  <c r="L27"/>
  <c r="L26"/>
  <c r="L25"/>
  <c r="L24"/>
  <c r="L22"/>
  <c r="L19"/>
  <c r="L18"/>
  <c r="L15"/>
  <c r="L14"/>
  <c r="L13"/>
  <c r="L12"/>
  <c r="L11"/>
  <c r="L10"/>
  <c r="L9"/>
  <c r="C72"/>
  <c r="B72"/>
  <c r="C71"/>
  <c r="B71"/>
  <c r="C70"/>
  <c r="B70"/>
  <c r="C69"/>
  <c r="B69"/>
  <c r="C68"/>
  <c r="B68"/>
  <c r="C67"/>
  <c r="B67"/>
  <c r="C66"/>
  <c r="B66"/>
  <c r="C65"/>
  <c r="B65"/>
  <c r="C64"/>
  <c r="B64"/>
  <c r="C63"/>
  <c r="B63"/>
  <c r="J35"/>
  <c r="G35"/>
  <c r="J34"/>
  <c r="H34"/>
  <c r="J33"/>
  <c r="G33"/>
  <c r="J32"/>
  <c r="G32"/>
  <c r="J31"/>
  <c r="G31"/>
  <c r="J28"/>
  <c r="G28"/>
  <c r="J27"/>
  <c r="H27"/>
  <c r="J26"/>
  <c r="H26"/>
  <c r="J25"/>
  <c r="H25"/>
  <c r="J24"/>
  <c r="H24"/>
  <c r="J23"/>
  <c r="G23"/>
  <c r="J22"/>
  <c r="H22"/>
  <c r="J21"/>
  <c r="G21"/>
  <c r="J20"/>
  <c r="G20"/>
  <c r="J19"/>
  <c r="H19"/>
  <c r="J18"/>
  <c r="H18"/>
  <c r="J17"/>
  <c r="G17"/>
  <c r="J16"/>
  <c r="G16"/>
  <c r="J15"/>
  <c r="H15"/>
  <c r="J14"/>
  <c r="H14"/>
  <c r="J13"/>
  <c r="H13"/>
  <c r="J12"/>
  <c r="H12"/>
  <c r="J11"/>
  <c r="H11"/>
  <c r="J10"/>
  <c r="H10"/>
  <c r="J9"/>
  <c r="H9"/>
  <c r="D79" i="184"/>
  <c r="J184" i="182" l="1"/>
  <c r="L24" i="112"/>
  <c r="J24"/>
  <c r="E51" i="193"/>
  <c r="G51" s="1"/>
  <c r="V168"/>
  <c r="V167"/>
  <c r="V166"/>
  <c r="U164"/>
  <c r="U163"/>
  <c r="U162"/>
  <c r="U161"/>
  <c r="Q168"/>
  <c r="T168" s="1"/>
  <c r="Q167"/>
  <c r="T167" s="1"/>
  <c r="Q166"/>
  <c r="T166" s="1"/>
  <c r="W166" s="1"/>
  <c r="Q160"/>
  <c r="M167"/>
  <c r="M166"/>
  <c r="K164"/>
  <c r="K163"/>
  <c r="K161"/>
  <c r="K160"/>
  <c r="M168"/>
  <c r="R168" s="1"/>
  <c r="F161"/>
  <c r="H167"/>
  <c r="H166"/>
  <c r="H160"/>
  <c r="E164"/>
  <c r="H164" s="1"/>
  <c r="E163"/>
  <c r="H163" s="1"/>
  <c r="E162"/>
  <c r="E161"/>
  <c r="H161" s="1"/>
  <c r="E165"/>
  <c r="H165" s="1"/>
  <c r="D162"/>
  <c r="D169" s="1"/>
  <c r="E47" s="1"/>
  <c r="F165"/>
  <c r="K165" s="1"/>
  <c r="F164"/>
  <c r="F163"/>
  <c r="G162"/>
  <c r="G169" s="1"/>
  <c r="E49" s="1"/>
  <c r="F160"/>
  <c r="E139" i="182"/>
  <c r="D27" s="1"/>
  <c r="G146" i="183"/>
  <c r="D141"/>
  <c r="D145"/>
  <c r="D144"/>
  <c r="D143"/>
  <c r="D142"/>
  <c r="E139"/>
  <c r="D139"/>
  <c r="F139" s="1"/>
  <c r="D138"/>
  <c r="D137"/>
  <c r="D136"/>
  <c r="D135"/>
  <c r="D134"/>
  <c r="D133"/>
  <c r="D132"/>
  <c r="D131"/>
  <c r="D130"/>
  <c r="D129"/>
  <c r="D128"/>
  <c r="D127"/>
  <c r="D126"/>
  <c r="D125"/>
  <c r="D124"/>
  <c r="D123"/>
  <c r="D122"/>
  <c r="D121"/>
  <c r="D120"/>
  <c r="J120" s="1"/>
  <c r="Q52" i="179"/>
  <c r="Q51"/>
  <c r="Q50"/>
  <c r="Q49"/>
  <c r="Q48"/>
  <c r="Q47"/>
  <c r="Q46"/>
  <c r="L114" i="183"/>
  <c r="F114"/>
  <c r="E114"/>
  <c r="D114"/>
  <c r="W167" i="193" l="1"/>
  <c r="R167"/>
  <c r="W168"/>
  <c r="H162"/>
  <c r="R166"/>
  <c r="E141" i="182"/>
  <c r="E169" i="193"/>
  <c r="E48" s="1"/>
  <c r="H169"/>
  <c r="F162"/>
  <c r="K162" s="1"/>
  <c r="F169"/>
  <c r="H24" i="178"/>
  <c r="F24"/>
  <c r="D24"/>
  <c r="H19"/>
  <c r="F19"/>
  <c r="D19"/>
  <c r="H16"/>
  <c r="F16"/>
  <c r="D16"/>
  <c r="D35" i="203"/>
  <c r="I13"/>
  <c r="I12"/>
  <c r="E14"/>
  <c r="H11"/>
  <c r="H13"/>
  <c r="H147"/>
  <c r="G147"/>
  <c r="F147"/>
  <c r="E147"/>
  <c r="D147"/>
  <c r="D135"/>
  <c r="F134"/>
  <c r="F133"/>
  <c r="F132"/>
  <c r="F131"/>
  <c r="F130"/>
  <c r="F129"/>
  <c r="F128"/>
  <c r="F127"/>
  <c r="G122"/>
  <c r="E122"/>
  <c r="H110"/>
  <c r="F109"/>
  <c r="F113" s="1"/>
  <c r="E49" s="1"/>
  <c r="E109"/>
  <c r="E113" s="1"/>
  <c r="E48" s="1"/>
  <c r="D109"/>
  <c r="D113" s="1"/>
  <c r="E47" s="1"/>
  <c r="G108"/>
  <c r="H107"/>
  <c r="G107"/>
  <c r="H106"/>
  <c r="G106"/>
  <c r="F100"/>
  <c r="E100"/>
  <c r="D100"/>
  <c r="C100"/>
  <c r="F99"/>
  <c r="E99"/>
  <c r="D99"/>
  <c r="C99"/>
  <c r="F98"/>
  <c r="E98"/>
  <c r="D98"/>
  <c r="C98"/>
  <c r="F97"/>
  <c r="E97"/>
  <c r="D97"/>
  <c r="C97"/>
  <c r="F96"/>
  <c r="E96"/>
  <c r="D96"/>
  <c r="C96"/>
  <c r="F95"/>
  <c r="H39" s="1"/>
  <c r="E95"/>
  <c r="D95"/>
  <c r="C95"/>
  <c r="F94"/>
  <c r="E94"/>
  <c r="D94"/>
  <c r="C94"/>
  <c r="F93"/>
  <c r="E93"/>
  <c r="D93"/>
  <c r="C93"/>
  <c r="F92"/>
  <c r="E92"/>
  <c r="D92"/>
  <c r="C92"/>
  <c r="G91"/>
  <c r="F40" s="1"/>
  <c r="F91"/>
  <c r="E91"/>
  <c r="D91"/>
  <c r="C91"/>
  <c r="G90"/>
  <c r="F90"/>
  <c r="E90"/>
  <c r="D90"/>
  <c r="C90"/>
  <c r="E51"/>
  <c r="E50"/>
  <c r="B48"/>
  <c r="B49" s="1"/>
  <c r="F39"/>
  <c r="D39"/>
  <c r="K38"/>
  <c r="H38"/>
  <c r="K37"/>
  <c r="H37"/>
  <c r="D37"/>
  <c r="H36"/>
  <c r="K36" s="1"/>
  <c r="F36"/>
  <c r="D36"/>
  <c r="K35"/>
  <c r="H35"/>
  <c r="B35"/>
  <c r="B36" s="1"/>
  <c r="B37" s="1"/>
  <c r="B38" s="1"/>
  <c r="B39" s="1"/>
  <c r="B41" s="1"/>
  <c r="K34"/>
  <c r="H34"/>
  <c r="F28"/>
  <c r="E28"/>
  <c r="D28"/>
  <c r="L27"/>
  <c r="N27" s="1"/>
  <c r="K27"/>
  <c r="M27" s="1"/>
  <c r="L26"/>
  <c r="N26" s="1"/>
  <c r="K26"/>
  <c r="M26" s="1"/>
  <c r="L25"/>
  <c r="N25" s="1"/>
  <c r="K25"/>
  <c r="M25" s="1"/>
  <c r="L24"/>
  <c r="N24" s="1"/>
  <c r="J39" s="1"/>
  <c r="I24"/>
  <c r="H24"/>
  <c r="K24" s="1"/>
  <c r="M24" s="1"/>
  <c r="G39" s="1"/>
  <c r="K23"/>
  <c r="M23" s="1"/>
  <c r="G38" s="1"/>
  <c r="I38" s="1"/>
  <c r="I23"/>
  <c r="L23" s="1"/>
  <c r="N23" s="1"/>
  <c r="J38" s="1"/>
  <c r="L38" s="1"/>
  <c r="H23"/>
  <c r="I22"/>
  <c r="L22" s="1"/>
  <c r="N22" s="1"/>
  <c r="J37" s="1"/>
  <c r="L37" s="1"/>
  <c r="H22"/>
  <c r="K22" s="1"/>
  <c r="M22" s="1"/>
  <c r="I21"/>
  <c r="H21"/>
  <c r="D136" s="1"/>
  <c r="I20"/>
  <c r="H20"/>
  <c r="K20" s="1"/>
  <c r="M20" s="1"/>
  <c r="B20"/>
  <c r="B21" s="1"/>
  <c r="B22" s="1"/>
  <c r="B23" s="1"/>
  <c r="B25" s="1"/>
  <c r="B26" s="1"/>
  <c r="B27" s="1"/>
  <c r="B28" s="1"/>
  <c r="I19"/>
  <c r="L19" s="1"/>
  <c r="N19" s="1"/>
  <c r="J34" s="1"/>
  <c r="H19"/>
  <c r="K19" s="1"/>
  <c r="G18"/>
  <c r="F18"/>
  <c r="E18"/>
  <c r="F14"/>
  <c r="H12"/>
  <c r="I11"/>
  <c r="I10"/>
  <c r="H10"/>
  <c r="I9"/>
  <c r="H9"/>
  <c r="I8"/>
  <c r="H8"/>
  <c r="B8"/>
  <c r="B9" s="1"/>
  <c r="B10" s="1"/>
  <c r="B11" s="1"/>
  <c r="B12" s="1"/>
  <c r="B13" s="1"/>
  <c r="B14" s="1"/>
  <c r="I7"/>
  <c r="H7"/>
  <c r="B7"/>
  <c r="I6"/>
  <c r="H6"/>
  <c r="K27" i="179"/>
  <c r="E36" i="203" l="1"/>
  <c r="E148"/>
  <c r="E149" s="1"/>
  <c r="F35" s="1"/>
  <c r="E35" s="1"/>
  <c r="G109"/>
  <c r="G113" s="1"/>
  <c r="E52" s="1"/>
  <c r="G148"/>
  <c r="E39"/>
  <c r="H28"/>
  <c r="G35"/>
  <c r="I35" s="1"/>
  <c r="F135"/>
  <c r="E135" s="1"/>
  <c r="D40" i="178"/>
  <c r="G44" i="40" s="1"/>
  <c r="H113" i="203"/>
  <c r="D137"/>
  <c r="F136"/>
  <c r="F137" s="1"/>
  <c r="E53"/>
  <c r="G149"/>
  <c r="F37" s="1"/>
  <c r="F41" s="1"/>
  <c r="H109"/>
  <c r="E52" i="193"/>
  <c r="E53" s="1"/>
  <c r="H18" i="203"/>
  <c r="I28"/>
  <c r="F40" i="178"/>
  <c r="H40"/>
  <c r="G37" i="203"/>
  <c r="I37" s="1"/>
  <c r="K39"/>
  <c r="L39" s="1"/>
  <c r="I39"/>
  <c r="D41"/>
  <c r="I18"/>
  <c r="L20"/>
  <c r="N20" s="1"/>
  <c r="J35" s="1"/>
  <c r="L35" s="1"/>
  <c r="H14"/>
  <c r="G48" s="1"/>
  <c r="F48" s="1"/>
  <c r="I14"/>
  <c r="H48" s="1"/>
  <c r="L34"/>
  <c r="M19"/>
  <c r="Q22" i="138"/>
  <c r="J17" i="192"/>
  <c r="I17"/>
  <c r="H17"/>
  <c r="G17"/>
  <c r="C16"/>
  <c r="C17" s="1"/>
  <c r="F46" i="201"/>
  <c r="K18" i="192"/>
  <c r="J25"/>
  <c r="I25"/>
  <c r="S47" i="138"/>
  <c r="S48" s="1"/>
  <c r="S49" s="1"/>
  <c r="S50" s="1"/>
  <c r="S51" s="1"/>
  <c r="S52" s="1"/>
  <c r="S39"/>
  <c r="S40" s="1"/>
  <c r="S41" s="1"/>
  <c r="S42" s="1"/>
  <c r="S43" s="1"/>
  <c r="S44" s="1"/>
  <c r="S31"/>
  <c r="S32" s="1"/>
  <c r="S33" s="1"/>
  <c r="S34" s="1"/>
  <c r="S35" s="1"/>
  <c r="S36" s="1"/>
  <c r="F10"/>
  <c r="F9"/>
  <c r="G22"/>
  <c r="O58" i="184"/>
  <c r="N58"/>
  <c r="J35"/>
  <c r="J36" s="1"/>
  <c r="J37" s="1"/>
  <c r="E137" i="203" l="1"/>
  <c r="J21" s="1"/>
  <c r="L21" s="1"/>
  <c r="N21" s="1"/>
  <c r="J36" s="1"/>
  <c r="J41" s="1"/>
  <c r="F11" i="138"/>
  <c r="K21" i="203"/>
  <c r="E41"/>
  <c r="E37"/>
  <c r="P58" i="184"/>
  <c r="G34" i="203"/>
  <c r="L48" i="201"/>
  <c r="N48"/>
  <c r="N39" i="138"/>
  <c r="N75" s="1"/>
  <c r="K67"/>
  <c r="K68" s="1"/>
  <c r="K69" s="1"/>
  <c r="K70" s="1"/>
  <c r="K71" s="1"/>
  <c r="K72" s="1"/>
  <c r="K73" s="1"/>
  <c r="K74" s="1"/>
  <c r="K75" s="1"/>
  <c r="K76" s="1"/>
  <c r="K77" s="1"/>
  <c r="K78" s="1"/>
  <c r="K79" s="1"/>
  <c r="K80" s="1"/>
  <c r="K81" s="1"/>
  <c r="K82" s="1"/>
  <c r="K83" s="1"/>
  <c r="K54"/>
  <c r="K55" s="1"/>
  <c r="K56" s="1"/>
  <c r="K57" s="1"/>
  <c r="K58" s="1"/>
  <c r="K59" s="1"/>
  <c r="K31"/>
  <c r="K32" s="1"/>
  <c r="K33" s="1"/>
  <c r="K34" s="1"/>
  <c r="K35" s="1"/>
  <c r="K36" s="1"/>
  <c r="K37" s="1"/>
  <c r="K38" s="1"/>
  <c r="K39" s="1"/>
  <c r="K40" s="1"/>
  <c r="K41" s="1"/>
  <c r="K42" s="1"/>
  <c r="K43" s="1"/>
  <c r="K44" s="1"/>
  <c r="K45" s="1"/>
  <c r="K46" s="1"/>
  <c r="K47" s="1"/>
  <c r="E29" i="201"/>
  <c r="B47"/>
  <c r="B48" s="1"/>
  <c r="B49" s="1"/>
  <c r="B50" s="1"/>
  <c r="B51" s="1"/>
  <c r="B52" s="1"/>
  <c r="C51"/>
  <c r="J38"/>
  <c r="G38"/>
  <c r="J37"/>
  <c r="G37"/>
  <c r="N32"/>
  <c r="L32"/>
  <c r="L21"/>
  <c r="J19"/>
  <c r="G19"/>
  <c r="I16"/>
  <c r="J16" s="1"/>
  <c r="M12"/>
  <c r="K12"/>
  <c r="M10"/>
  <c r="K10"/>
  <c r="E10"/>
  <c r="M46"/>
  <c r="K46"/>
  <c r="H46"/>
  <c r="J46" s="1"/>
  <c r="E46"/>
  <c r="G46" s="1"/>
  <c r="D24"/>
  <c r="D17"/>
  <c r="D16"/>
  <c r="D13"/>
  <c r="D12"/>
  <c r="B1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P15" i="138"/>
  <c r="Q15" s="1"/>
  <c r="G15" s="1"/>
  <c r="F16" s="1"/>
  <c r="F17" s="1"/>
  <c r="O16"/>
  <c r="O13"/>
  <c r="O10"/>
  <c r="O9"/>
  <c r="K4" i="192"/>
  <c r="K3"/>
  <c r="J5"/>
  <c r="I5"/>
  <c r="H5"/>
  <c r="H14" s="1"/>
  <c r="H16" s="1"/>
  <c r="G5"/>
  <c r="G14" s="1"/>
  <c r="G16" s="1"/>
  <c r="F5"/>
  <c r="F8" s="1"/>
  <c r="F12" s="1"/>
  <c r="F13" s="1"/>
  <c r="F15" s="1"/>
  <c r="E5"/>
  <c r="E8" s="1"/>
  <c r="E12" s="1"/>
  <c r="E13" s="1"/>
  <c r="D5"/>
  <c r="D8" s="1"/>
  <c r="D12" s="1"/>
  <c r="D13" s="1"/>
  <c r="D15" s="1"/>
  <c r="C5"/>
  <c r="C8" s="1"/>
  <c r="N28" i="203" l="1"/>
  <c r="H47" s="1"/>
  <c r="L36"/>
  <c r="L41" s="1"/>
  <c r="H49" s="1"/>
  <c r="H52" s="1"/>
  <c r="H53" s="1"/>
  <c r="L28"/>
  <c r="F14" i="192"/>
  <c r="F16" s="1"/>
  <c r="F17" s="1"/>
  <c r="E33"/>
  <c r="N40" i="138"/>
  <c r="N41" s="1"/>
  <c r="N42" s="1"/>
  <c r="I14" i="192"/>
  <c r="I16" s="1"/>
  <c r="I13"/>
  <c r="I15" s="1"/>
  <c r="J13"/>
  <c r="J15" s="1"/>
  <c r="J14"/>
  <c r="J16" s="1"/>
  <c r="D33"/>
  <c r="N76" i="138"/>
  <c r="N77" s="1"/>
  <c r="N78" s="1"/>
  <c r="D14" i="192"/>
  <c r="D16" s="1"/>
  <c r="D19" s="1"/>
  <c r="M21" i="203"/>
  <c r="K28"/>
  <c r="F33" i="192"/>
  <c r="P16" i="138"/>
  <c r="Q16" s="1"/>
  <c r="C12" i="192"/>
  <c r="C13" s="1"/>
  <c r="C14" s="1"/>
  <c r="C19"/>
  <c r="C25" s="1"/>
  <c r="E15"/>
  <c r="E14"/>
  <c r="E16" s="1"/>
  <c r="C32"/>
  <c r="K16"/>
  <c r="F19"/>
  <c r="F25" s="1"/>
  <c r="I34" i="203"/>
  <c r="K41"/>
  <c r="K5" i="192"/>
  <c r="G42" i="203" l="1"/>
  <c r="P12" i="138"/>
  <c r="P13" s="1"/>
  <c r="Q13" s="1"/>
  <c r="P18"/>
  <c r="Q18" s="1"/>
  <c r="G18" s="1"/>
  <c r="K14" i="192"/>
  <c r="G36" i="203"/>
  <c r="M28"/>
  <c r="E19" i="192"/>
  <c r="E25" s="1"/>
  <c r="E17"/>
  <c r="D17"/>
  <c r="D25"/>
  <c r="K17" l="1"/>
  <c r="Q12" i="138"/>
  <c r="G12" s="1"/>
  <c r="F13" s="1"/>
  <c r="F14" s="1"/>
  <c r="F19" s="1"/>
  <c r="F24" s="1"/>
  <c r="P8"/>
  <c r="P10" s="1"/>
  <c r="Q10" s="1"/>
  <c r="I36" i="203"/>
  <c r="I41" s="1"/>
  <c r="G41"/>
  <c r="K19" i="192"/>
  <c r="D42" i="203"/>
  <c r="G47"/>
  <c r="P9" i="138" l="1"/>
  <c r="Q9" s="1"/>
  <c r="Q8"/>
  <c r="G8" s="1"/>
  <c r="G10" s="1"/>
  <c r="D115" i="203"/>
  <c r="F47"/>
  <c r="H41"/>
  <c r="G49"/>
  <c r="Q17" i="138"/>
  <c r="Q14"/>
  <c r="P17"/>
  <c r="P14"/>
  <c r="O17"/>
  <c r="O14"/>
  <c r="O11"/>
  <c r="K9"/>
  <c r="K10" s="1"/>
  <c r="K11" s="1"/>
  <c r="K12" s="1"/>
  <c r="K13" s="1"/>
  <c r="K14" s="1"/>
  <c r="K15" s="1"/>
  <c r="K16" s="1"/>
  <c r="K17" s="1"/>
  <c r="K18" s="1"/>
  <c r="K19" s="1"/>
  <c r="K21" s="1"/>
  <c r="K22" s="1"/>
  <c r="K24" s="1"/>
  <c r="O19" l="1"/>
  <c r="P11"/>
  <c r="P19" s="1"/>
  <c r="Q11"/>
  <c r="Q19" s="1"/>
  <c r="G9"/>
  <c r="G11" s="1"/>
  <c r="F49" i="203"/>
  <c r="G52"/>
  <c r="E11" i="194"/>
  <c r="Z30" i="25"/>
  <c r="T30"/>
  <c r="Q58" i="179"/>
  <c r="M140" i="183"/>
  <c r="J140"/>
  <c r="G53" i="203" l="1"/>
  <c r="G115"/>
  <c r="F52"/>
  <c r="F53" s="1"/>
  <c r="D146" i="183"/>
  <c r="P10" i="197"/>
  <c r="P11"/>
  <c r="P12"/>
  <c r="P13"/>
  <c r="P14"/>
  <c r="P15"/>
  <c r="P16"/>
  <c r="P17"/>
  <c r="P18"/>
  <c r="P19"/>
  <c r="P20"/>
  <c r="P21"/>
  <c r="P22"/>
  <c r="P23"/>
  <c r="P24"/>
  <c r="P25"/>
  <c r="P26"/>
  <c r="P27"/>
  <c r="P28"/>
  <c r="P29"/>
  <c r="P31"/>
  <c r="P32"/>
  <c r="P33"/>
  <c r="P34"/>
  <c r="P35"/>
  <c r="P36"/>
  <c r="P9"/>
  <c r="E37"/>
  <c r="F37"/>
  <c r="G37"/>
  <c r="H37"/>
  <c r="I37"/>
  <c r="J37"/>
  <c r="K37"/>
  <c r="L37"/>
  <c r="M37"/>
  <c r="N37"/>
  <c r="O37"/>
  <c r="D37"/>
  <c r="P37" l="1"/>
  <c r="I20" i="34"/>
  <c r="H32" i="199"/>
  <c r="K34"/>
  <c r="J34"/>
  <c r="I34"/>
  <c r="H34"/>
  <c r="G34"/>
  <c r="F34"/>
  <c r="K33"/>
  <c r="J33"/>
  <c r="I33"/>
  <c r="H33"/>
  <c r="G33"/>
  <c r="F33"/>
  <c r="K32"/>
  <c r="J32"/>
  <c r="I32"/>
  <c r="G32"/>
  <c r="F32"/>
  <c r="H29"/>
  <c r="J28"/>
  <c r="J27" s="1"/>
  <c r="I27"/>
  <c r="D19"/>
  <c r="G18"/>
  <c r="I14"/>
  <c r="H14"/>
  <c r="G14"/>
  <c r="F14"/>
  <c r="E14"/>
  <c r="D14"/>
  <c r="J12"/>
  <c r="E95" i="198" l="1"/>
  <c r="B95"/>
  <c r="B96" s="1"/>
  <c r="B97" s="1"/>
  <c r="E94"/>
  <c r="H88"/>
  <c r="G88"/>
  <c r="E88"/>
  <c r="H87"/>
  <c r="G87"/>
  <c r="E87"/>
  <c r="D87"/>
  <c r="I86"/>
  <c r="E86"/>
  <c r="D86"/>
  <c r="H85"/>
  <c r="G85"/>
  <c r="E85"/>
  <c r="D85"/>
  <c r="B85"/>
  <c r="B86" s="1"/>
  <c r="B87" s="1"/>
  <c r="B88" s="1"/>
  <c r="B89" s="1"/>
  <c r="H84"/>
  <c r="G84"/>
  <c r="E84"/>
  <c r="D84"/>
  <c r="E75"/>
  <c r="D75"/>
  <c r="D74"/>
  <c r="G71"/>
  <c r="G69"/>
  <c r="G68"/>
  <c r="G67"/>
  <c r="G66"/>
  <c r="G65"/>
  <c r="G64"/>
  <c r="G63"/>
  <c r="G62"/>
  <c r="G61"/>
  <c r="G60"/>
  <c r="G59"/>
  <c r="G58"/>
  <c r="G57"/>
  <c r="G54"/>
  <c r="G53"/>
  <c r="G52"/>
  <c r="G51"/>
  <c r="G50"/>
  <c r="G49"/>
  <c r="B49"/>
  <c r="B50" s="1"/>
  <c r="B51" s="1"/>
  <c r="B52" s="1"/>
  <c r="B53" s="1"/>
  <c r="B54" s="1"/>
  <c r="B55" s="1"/>
  <c r="B56" s="1"/>
  <c r="B57" s="1"/>
  <c r="B58" s="1"/>
  <c r="B59" s="1"/>
  <c r="B60" s="1"/>
  <c r="B61" s="1"/>
  <c r="B62" s="1"/>
  <c r="B63" s="1"/>
  <c r="B64" s="1"/>
  <c r="B65" s="1"/>
  <c r="B66" s="1"/>
  <c r="B67" s="1"/>
  <c r="B68" s="1"/>
  <c r="B69" s="1"/>
  <c r="B70" s="1"/>
  <c r="B71" s="1"/>
  <c r="B72" s="1"/>
  <c r="B73" s="1"/>
  <c r="B74" s="1"/>
  <c r="B75" s="1"/>
  <c r="G48"/>
  <c r="F38"/>
  <c r="F37"/>
  <c r="F36"/>
  <c r="F35"/>
  <c r="F34"/>
  <c r="F33"/>
  <c r="F32"/>
  <c r="F31"/>
  <c r="F30"/>
  <c r="F29"/>
  <c r="F28"/>
  <c r="F27"/>
  <c r="F26"/>
  <c r="F25"/>
  <c r="F24"/>
  <c r="D24"/>
  <c r="F23"/>
  <c r="D23"/>
  <c r="F22"/>
  <c r="F21"/>
  <c r="F20"/>
  <c r="F19"/>
  <c r="F18"/>
  <c r="F17"/>
  <c r="F16"/>
  <c r="F15"/>
  <c r="F14"/>
  <c r="F13"/>
  <c r="B13"/>
  <c r="B14" s="1"/>
  <c r="B15" s="1"/>
  <c r="B16" s="1"/>
  <c r="B17" s="1"/>
  <c r="B18" s="1"/>
  <c r="B19" s="1"/>
  <c r="B20" s="1"/>
  <c r="B21" s="1"/>
  <c r="B22" s="1"/>
  <c r="B23" s="1"/>
  <c r="B24" s="1"/>
  <c r="B25" s="1"/>
  <c r="B26" s="1"/>
  <c r="B27" s="1"/>
  <c r="B28" s="1"/>
  <c r="B29" s="1"/>
  <c r="B30" s="1"/>
  <c r="B31" s="1"/>
  <c r="B32" s="1"/>
  <c r="B33" s="1"/>
  <c r="B34" s="1"/>
  <c r="B35" s="1"/>
  <c r="B36" s="1"/>
  <c r="B37" s="1"/>
  <c r="B38" s="1"/>
  <c r="F12"/>
  <c r="B9" i="39"/>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H147" i="193"/>
  <c r="G147"/>
  <c r="F147"/>
  <c r="E147"/>
  <c r="D147"/>
  <c r="D135"/>
  <c r="F134"/>
  <c r="F133"/>
  <c r="F132"/>
  <c r="F131"/>
  <c r="F130"/>
  <c r="F129"/>
  <c r="F128"/>
  <c r="F127"/>
  <c r="G122"/>
  <c r="E122"/>
  <c r="H110"/>
  <c r="F109"/>
  <c r="F113" s="1"/>
  <c r="E109"/>
  <c r="E113" s="1"/>
  <c r="D109"/>
  <c r="D113" s="1"/>
  <c r="G108"/>
  <c r="H107"/>
  <c r="G107"/>
  <c r="H106"/>
  <c r="G106"/>
  <c r="F100"/>
  <c r="E100"/>
  <c r="D100"/>
  <c r="C100"/>
  <c r="F99"/>
  <c r="E99"/>
  <c r="D99"/>
  <c r="C99"/>
  <c r="F98"/>
  <c r="E98"/>
  <c r="D98"/>
  <c r="C98"/>
  <c r="F97"/>
  <c r="E97"/>
  <c r="D97"/>
  <c r="C97"/>
  <c r="F96"/>
  <c r="E96"/>
  <c r="H203" i="182" s="1"/>
  <c r="D96" i="193"/>
  <c r="H201" i="182" s="1"/>
  <c r="C96" i="193"/>
  <c r="F95"/>
  <c r="E95"/>
  <c r="D95"/>
  <c r="C95"/>
  <c r="F94"/>
  <c r="E94"/>
  <c r="D94"/>
  <c r="C94"/>
  <c r="F93"/>
  <c r="E93"/>
  <c r="D93"/>
  <c r="C93"/>
  <c r="F92"/>
  <c r="E92"/>
  <c r="D92"/>
  <c r="C92"/>
  <c r="G91"/>
  <c r="F40" s="1"/>
  <c r="F91"/>
  <c r="E91"/>
  <c r="D91"/>
  <c r="C91"/>
  <c r="G90"/>
  <c r="F90"/>
  <c r="E90"/>
  <c r="D90"/>
  <c r="C90"/>
  <c r="B48"/>
  <c r="B49" s="1"/>
  <c r="F39"/>
  <c r="D39"/>
  <c r="K38"/>
  <c r="H38"/>
  <c r="K37"/>
  <c r="H37"/>
  <c r="D37"/>
  <c r="H36"/>
  <c r="K36" s="1"/>
  <c r="F36"/>
  <c r="D36"/>
  <c r="K35"/>
  <c r="H35"/>
  <c r="D35"/>
  <c r="B35"/>
  <c r="B36" s="1"/>
  <c r="B37" s="1"/>
  <c r="B38" s="1"/>
  <c r="B39" s="1"/>
  <c r="B41" s="1"/>
  <c r="K34"/>
  <c r="H34"/>
  <c r="F28"/>
  <c r="E28"/>
  <c r="D28"/>
  <c r="L27"/>
  <c r="N27" s="1"/>
  <c r="K27"/>
  <c r="M27" s="1"/>
  <c r="L26"/>
  <c r="N26" s="1"/>
  <c r="K26"/>
  <c r="M26" s="1"/>
  <c r="L25"/>
  <c r="N25" s="1"/>
  <c r="K25"/>
  <c r="M25" s="1"/>
  <c r="I24"/>
  <c r="L24" s="1"/>
  <c r="N24" s="1"/>
  <c r="H24"/>
  <c r="K24" s="1"/>
  <c r="M24" s="1"/>
  <c r="N165" s="1"/>
  <c r="I165" s="1"/>
  <c r="L165" s="1"/>
  <c r="Q165" s="1"/>
  <c r="P165" s="1"/>
  <c r="U165" s="1"/>
  <c r="I23"/>
  <c r="L23" s="1"/>
  <c r="N23" s="1"/>
  <c r="H23"/>
  <c r="K23" s="1"/>
  <c r="M23" s="1"/>
  <c r="I22"/>
  <c r="H22"/>
  <c r="I21"/>
  <c r="H21"/>
  <c r="I20"/>
  <c r="L20" s="1"/>
  <c r="N20" s="1"/>
  <c r="H20"/>
  <c r="K20" s="1"/>
  <c r="M20" s="1"/>
  <c r="N161" s="1"/>
  <c r="I161" s="1"/>
  <c r="B20"/>
  <c r="B21" s="1"/>
  <c r="B22" s="1"/>
  <c r="B23" s="1"/>
  <c r="B25" s="1"/>
  <c r="B26" s="1"/>
  <c r="B27" s="1"/>
  <c r="B28" s="1"/>
  <c r="I19"/>
  <c r="L19" s="1"/>
  <c r="N19" s="1"/>
  <c r="S160" s="1"/>
  <c r="V160" s="1"/>
  <c r="H19"/>
  <c r="G18"/>
  <c r="F18"/>
  <c r="E18"/>
  <c r="F13"/>
  <c r="I13" s="1"/>
  <c r="E13"/>
  <c r="H13" s="1"/>
  <c r="F12"/>
  <c r="I12" s="1"/>
  <c r="E12"/>
  <c r="H12" s="1"/>
  <c r="F11"/>
  <c r="I11" s="1"/>
  <c r="E11"/>
  <c r="H11" s="1"/>
  <c r="F10"/>
  <c r="I10" s="1"/>
  <c r="T164" s="1"/>
  <c r="E10"/>
  <c r="H10" s="1"/>
  <c r="O164" s="1"/>
  <c r="J164" s="1"/>
  <c r="F9"/>
  <c r="I9" s="1"/>
  <c r="T163" s="1"/>
  <c r="E9"/>
  <c r="H9" s="1"/>
  <c r="O163" s="1"/>
  <c r="J163" s="1"/>
  <c r="F8"/>
  <c r="I8" s="1"/>
  <c r="T162" s="1"/>
  <c r="E8"/>
  <c r="H8" s="1"/>
  <c r="O162" s="1"/>
  <c r="J162" s="1"/>
  <c r="F7"/>
  <c r="I7" s="1"/>
  <c r="T161" s="1"/>
  <c r="E7"/>
  <c r="H7" s="1"/>
  <c r="O161" s="1"/>
  <c r="J161" s="1"/>
  <c r="B7"/>
  <c r="B8" s="1"/>
  <c r="B9" s="1"/>
  <c r="B10" s="1"/>
  <c r="B11" s="1"/>
  <c r="B12" s="1"/>
  <c r="B13" s="1"/>
  <c r="B14" s="1"/>
  <c r="F6"/>
  <c r="E6"/>
  <c r="H6" s="1"/>
  <c r="O160" s="1"/>
  <c r="B38" i="39" l="1"/>
  <c r="B39"/>
  <c r="O165" i="193"/>
  <c r="J165" s="1"/>
  <c r="M165" s="1"/>
  <c r="R165" s="1"/>
  <c r="G38"/>
  <c r="N164"/>
  <c r="I164" s="1"/>
  <c r="L164" s="1"/>
  <c r="Q164" s="1"/>
  <c r="P164" s="1"/>
  <c r="T165"/>
  <c r="L161"/>
  <c r="G35"/>
  <c r="I35" s="1"/>
  <c r="J39"/>
  <c r="S165"/>
  <c r="V165" s="1"/>
  <c r="W165" s="1"/>
  <c r="J35"/>
  <c r="S161"/>
  <c r="V161" s="1"/>
  <c r="W161" s="1"/>
  <c r="O169"/>
  <c r="J160"/>
  <c r="J38"/>
  <c r="L38" s="1"/>
  <c r="S164"/>
  <c r="V164" s="1"/>
  <c r="W164" s="1"/>
  <c r="E39"/>
  <c r="G39"/>
  <c r="H39"/>
  <c r="K39"/>
  <c r="L39" s="1"/>
  <c r="E148"/>
  <c r="I38"/>
  <c r="F14"/>
  <c r="H28"/>
  <c r="K22"/>
  <c r="M22" s="1"/>
  <c r="D136"/>
  <c r="F136" s="1"/>
  <c r="I18"/>
  <c r="G148"/>
  <c r="E14"/>
  <c r="I6"/>
  <c r="L35"/>
  <c r="D41"/>
  <c r="E36"/>
  <c r="G109"/>
  <c r="G113" s="1"/>
  <c r="F135"/>
  <c r="E135" s="1"/>
  <c r="D137"/>
  <c r="H113"/>
  <c r="I28"/>
  <c r="H18"/>
  <c r="K19"/>
  <c r="L22"/>
  <c r="N22" s="1"/>
  <c r="H14"/>
  <c r="H109"/>
  <c r="D39" i="198"/>
  <c r="G74"/>
  <c r="G75" s="1"/>
  <c r="F39"/>
  <c r="H202" i="182"/>
  <c r="V41" i="180"/>
  <c r="V41" i="205"/>
  <c r="J34" i="193"/>
  <c r="L20" i="25"/>
  <c r="B40" i="39" l="1"/>
  <c r="B43" s="1"/>
  <c r="B44" s="1"/>
  <c r="M164" i="193"/>
  <c r="R164" s="1"/>
  <c r="J169"/>
  <c r="F48" s="1"/>
  <c r="M160"/>
  <c r="M19"/>
  <c r="N160" s="1"/>
  <c r="E149"/>
  <c r="F35" s="1"/>
  <c r="E35" s="1"/>
  <c r="Q161"/>
  <c r="G37"/>
  <c r="I37" s="1"/>
  <c r="N163"/>
  <c r="I163" s="1"/>
  <c r="L163" s="1"/>
  <c r="I14"/>
  <c r="T160"/>
  <c r="J37"/>
  <c r="L37" s="1"/>
  <c r="S163"/>
  <c r="V163" s="1"/>
  <c r="W163" s="1"/>
  <c r="M161"/>
  <c r="R161" s="1"/>
  <c r="I39"/>
  <c r="G149"/>
  <c r="F37" s="1"/>
  <c r="E37" s="1"/>
  <c r="F137"/>
  <c r="E137" s="1"/>
  <c r="J21" s="1"/>
  <c r="I15" i="203"/>
  <c r="H15"/>
  <c r="L34" i="193"/>
  <c r="H30" i="186"/>
  <c r="H29"/>
  <c r="H28"/>
  <c r="H27"/>
  <c r="H26"/>
  <c r="H23"/>
  <c r="H22"/>
  <c r="H21"/>
  <c r="H20"/>
  <c r="H19"/>
  <c r="H18"/>
  <c r="H17"/>
  <c r="H16"/>
  <c r="H15"/>
  <c r="H14"/>
  <c r="H13"/>
  <c r="H12"/>
  <c r="H11"/>
  <c r="H10"/>
  <c r="H9"/>
  <c r="H8"/>
  <c r="H7"/>
  <c r="H6"/>
  <c r="H5"/>
  <c r="H4"/>
  <c r="G30"/>
  <c r="G29"/>
  <c r="G28"/>
  <c r="G27"/>
  <c r="G26"/>
  <c r="G23"/>
  <c r="G22"/>
  <c r="G21"/>
  <c r="G20"/>
  <c r="G19"/>
  <c r="G18"/>
  <c r="G17"/>
  <c r="G16"/>
  <c r="G15"/>
  <c r="G14"/>
  <c r="G13"/>
  <c r="G12"/>
  <c r="G11"/>
  <c r="G10"/>
  <c r="G9"/>
  <c r="G8"/>
  <c r="G7"/>
  <c r="G6"/>
  <c r="G5"/>
  <c r="G4"/>
  <c r="C24" i="165"/>
  <c r="C208" i="67"/>
  <c r="N205"/>
  <c r="O205" s="1"/>
  <c r="N204"/>
  <c r="O204" s="1"/>
  <c r="K203"/>
  <c r="K202" s="1"/>
  <c r="J203"/>
  <c r="J202" s="1"/>
  <c r="G202"/>
  <c r="N200"/>
  <c r="O200" s="1"/>
  <c r="N199"/>
  <c r="N198"/>
  <c r="O198" s="1"/>
  <c r="K197"/>
  <c r="J197"/>
  <c r="G197"/>
  <c r="N195"/>
  <c r="N194" s="1"/>
  <c r="K194"/>
  <c r="J194"/>
  <c r="G194"/>
  <c r="N192"/>
  <c r="N191" s="1"/>
  <c r="K191"/>
  <c r="J191"/>
  <c r="N189"/>
  <c r="O189" s="1"/>
  <c r="N188"/>
  <c r="K187"/>
  <c r="J187"/>
  <c r="N185"/>
  <c r="J185"/>
  <c r="N184"/>
  <c r="J184"/>
  <c r="N183"/>
  <c r="J183"/>
  <c r="N182"/>
  <c r="O182" s="1"/>
  <c r="O181"/>
  <c r="N180"/>
  <c r="J180"/>
  <c r="O179"/>
  <c r="T176"/>
  <c r="N176"/>
  <c r="J176"/>
  <c r="N175"/>
  <c r="N174"/>
  <c r="J174"/>
  <c r="N173"/>
  <c r="J173"/>
  <c r="O172"/>
  <c r="N171"/>
  <c r="J171"/>
  <c r="O170"/>
  <c r="N169"/>
  <c r="J169"/>
  <c r="U167"/>
  <c r="K167"/>
  <c r="T115"/>
  <c r="T123" s="1"/>
  <c r="A30" i="174"/>
  <c r="A31" s="1"/>
  <c r="A32" s="1"/>
  <c r="A33" s="1"/>
  <c r="A34" s="1"/>
  <c r="A35" s="1"/>
  <c r="A36" s="1"/>
  <c r="F87" i="60"/>
  <c r="F85"/>
  <c r="F84"/>
  <c r="D87"/>
  <c r="D84"/>
  <c r="D83"/>
  <c r="G207" i="67" l="1"/>
  <c r="R160" i="193"/>
  <c r="O169" i="67"/>
  <c r="O192"/>
  <c r="N203"/>
  <c r="O203" s="1"/>
  <c r="O202" s="1"/>
  <c r="W160" i="193"/>
  <c r="T169"/>
  <c r="H48" s="1"/>
  <c r="T155" i="67"/>
  <c r="J167"/>
  <c r="O173"/>
  <c r="J178"/>
  <c r="S178" s="1"/>
  <c r="O195"/>
  <c r="P161" i="193"/>
  <c r="G34"/>
  <c r="I34" s="1"/>
  <c r="Q163"/>
  <c r="P163" s="1"/>
  <c r="M163"/>
  <c r="R163" s="1"/>
  <c r="G48"/>
  <c r="O171" i="67"/>
  <c r="O180"/>
  <c r="J15" i="203"/>
  <c r="F41" i="193"/>
  <c r="E41" s="1"/>
  <c r="K21"/>
  <c r="L21"/>
  <c r="N21" s="1"/>
  <c r="O184" i="67"/>
  <c r="N167"/>
  <c r="O191"/>
  <c r="O174"/>
  <c r="O197"/>
  <c r="O175"/>
  <c r="O183"/>
  <c r="O185"/>
  <c r="N178"/>
  <c r="O194"/>
  <c r="N197"/>
  <c r="K178"/>
  <c r="K207" s="1"/>
  <c r="H6" i="134" s="1"/>
  <c r="N187" i="67"/>
  <c r="O187" s="1"/>
  <c r="D16" i="189"/>
  <c r="D19" s="1"/>
  <c r="E19"/>
  <c r="J207" i="67" l="1"/>
  <c r="T207" s="1"/>
  <c r="O178"/>
  <c r="O207" s="1"/>
  <c r="N202"/>
  <c r="N207" s="1"/>
  <c r="N28" i="193"/>
  <c r="S162"/>
  <c r="M28"/>
  <c r="G47" s="1"/>
  <c r="M21"/>
  <c r="K28"/>
  <c r="J36"/>
  <c r="L28"/>
  <c r="O167" i="67"/>
  <c r="O40" i="36"/>
  <c r="I30" i="186"/>
  <c r="I29"/>
  <c r="I28"/>
  <c r="I27"/>
  <c r="I26"/>
  <c r="I23"/>
  <c r="I22"/>
  <c r="I21"/>
  <c r="I20"/>
  <c r="I19"/>
  <c r="I18"/>
  <c r="I17"/>
  <c r="I16"/>
  <c r="I15"/>
  <c r="I14"/>
  <c r="I13"/>
  <c r="I12"/>
  <c r="I11"/>
  <c r="I10"/>
  <c r="I9"/>
  <c r="I8"/>
  <c r="I7"/>
  <c r="I6"/>
  <c r="I5"/>
  <c r="I4"/>
  <c r="M10"/>
  <c r="C72" i="180"/>
  <c r="C71"/>
  <c r="C70"/>
  <c r="C69"/>
  <c r="C68"/>
  <c r="C67"/>
  <c r="C66"/>
  <c r="C65"/>
  <c r="C64"/>
  <c r="C63"/>
  <c r="D42" i="193" l="1"/>
  <c r="L36"/>
  <c r="L41" s="1"/>
  <c r="J41"/>
  <c r="G42" s="1"/>
  <c r="N162"/>
  <c r="G36"/>
  <c r="S169"/>
  <c r="H47" s="1"/>
  <c r="F26" i="182" s="1"/>
  <c r="V162" i="193"/>
  <c r="D26" i="182"/>
  <c r="D115" i="193"/>
  <c r="B72" i="180"/>
  <c r="B71"/>
  <c r="B70"/>
  <c r="B69"/>
  <c r="B68"/>
  <c r="B67"/>
  <c r="B66"/>
  <c r="B65"/>
  <c r="B64"/>
  <c r="B63"/>
  <c r="K41" i="193" l="1"/>
  <c r="W162"/>
  <c r="W169" s="1"/>
  <c r="V169"/>
  <c r="I36"/>
  <c r="I41" s="1"/>
  <c r="G41"/>
  <c r="I162"/>
  <c r="N169"/>
  <c r="C8" i="177"/>
  <c r="C7"/>
  <c r="H41" i="193" l="1"/>
  <c r="U169"/>
  <c r="H49"/>
  <c r="H52" s="1"/>
  <c r="L162"/>
  <c r="I169"/>
  <c r="F47" s="1"/>
  <c r="C35" i="192"/>
  <c r="C39" s="1"/>
  <c r="D32" s="1"/>
  <c r="H53" i="193" l="1"/>
  <c r="G26" i="182"/>
  <c r="Q162" i="193"/>
  <c r="M162"/>
  <c r="L169"/>
  <c r="C36" i="192"/>
  <c r="D35"/>
  <c r="D36" s="1"/>
  <c r="P162" i="193" l="1"/>
  <c r="Q169"/>
  <c r="P169" s="1"/>
  <c r="F49"/>
  <c r="K169"/>
  <c r="R162"/>
  <c r="R169" s="1"/>
  <c r="M169"/>
  <c r="D39" i="192"/>
  <c r="E32" s="1"/>
  <c r="E35" s="1"/>
  <c r="G49" i="193" l="1"/>
  <c r="G52" s="1"/>
  <c r="F52"/>
  <c r="F53" s="1"/>
  <c r="E39" i="192"/>
  <c r="F32" s="1"/>
  <c r="F35" s="1"/>
  <c r="E36"/>
  <c r="G115" i="193" l="1"/>
  <c r="G53"/>
  <c r="E26" i="182"/>
  <c r="F39" i="192"/>
  <c r="G32" s="1"/>
  <c r="F36"/>
  <c r="B64" i="181" l="1"/>
  <c r="B63"/>
  <c r="B62"/>
  <c r="B61"/>
  <c r="B59"/>
  <c r="B58"/>
  <c r="B57"/>
  <c r="B56"/>
  <c r="B55"/>
  <c r="B54"/>
  <c r="F14" i="136" l="1"/>
  <c r="F13"/>
  <c r="O18" i="25" s="1"/>
  <c r="F12" i="136"/>
  <c r="F11"/>
  <c r="F10"/>
  <c r="F9"/>
  <c r="G19"/>
  <c r="G18"/>
  <c r="G17"/>
  <c r="G15"/>
  <c r="G14"/>
  <c r="G12"/>
  <c r="G11"/>
  <c r="G10"/>
  <c r="G9"/>
  <c r="F8"/>
  <c r="G8"/>
  <c r="P27" i="25"/>
  <c r="P26"/>
  <c r="G20" i="77" l="1"/>
  <c r="G19"/>
  <c r="J27" i="25" s="1"/>
  <c r="G18" i="77"/>
  <c r="G17"/>
  <c r="G16"/>
  <c r="G15"/>
  <c r="G14"/>
  <c r="G13"/>
  <c r="G12"/>
  <c r="G11"/>
  <c r="G10"/>
  <c r="G9"/>
  <c r="G6"/>
  <c r="G21" l="1"/>
  <c r="F11" i="174"/>
  <c r="F63" i="134" s="1"/>
  <c r="D11" i="174"/>
  <c r="E82" l="1"/>
  <c r="D81"/>
  <c r="D83" s="1"/>
  <c r="C81"/>
  <c r="H76"/>
  <c r="E76"/>
  <c r="G76" s="1"/>
  <c r="H75"/>
  <c r="C75"/>
  <c r="C77" s="1"/>
  <c r="H73"/>
  <c r="E73"/>
  <c r="G73" s="1"/>
  <c r="H72"/>
  <c r="E72"/>
  <c r="G72" s="1"/>
  <c r="H71"/>
  <c r="E71"/>
  <c r="G71" s="1"/>
  <c r="H70"/>
  <c r="E70"/>
  <c r="G70" s="1"/>
  <c r="H69"/>
  <c r="E69"/>
  <c r="G69" s="1"/>
  <c r="H68"/>
  <c r="E68"/>
  <c r="G68" s="1"/>
  <c r="H67"/>
  <c r="E67"/>
  <c r="G67" s="1"/>
  <c r="A67"/>
  <c r="A68" s="1"/>
  <c r="A69" s="1"/>
  <c r="A70" s="1"/>
  <c r="A71" s="1"/>
  <c r="A72" s="1"/>
  <c r="A73" s="1"/>
  <c r="A75" s="1"/>
  <c r="A76" s="1"/>
  <c r="A77" s="1"/>
  <c r="H66"/>
  <c r="E66"/>
  <c r="G66" s="1"/>
  <c r="H56"/>
  <c r="E56"/>
  <c r="G56" s="1"/>
  <c r="H55"/>
  <c r="E55"/>
  <c r="G55" s="1"/>
  <c r="H54"/>
  <c r="E54"/>
  <c r="G54" s="1"/>
  <c r="H53"/>
  <c r="E53"/>
  <c r="G53" s="1"/>
  <c r="H52"/>
  <c r="E52"/>
  <c r="G52" s="1"/>
  <c r="H51"/>
  <c r="C51"/>
  <c r="E51" s="1"/>
  <c r="H50"/>
  <c r="E50"/>
  <c r="G50" s="1"/>
  <c r="H49"/>
  <c r="E49"/>
  <c r="G49" s="1"/>
  <c r="A49"/>
  <c r="A51" s="1"/>
  <c r="A52" s="1"/>
  <c r="A53" s="1"/>
  <c r="A54" s="1"/>
  <c r="A55" s="1"/>
  <c r="A56" s="1"/>
  <c r="A59" s="1"/>
  <c r="H48"/>
  <c r="E48"/>
  <c r="G48" s="1"/>
  <c r="E81" l="1"/>
  <c r="C83"/>
  <c r="I55"/>
  <c r="F21"/>
  <c r="I68"/>
  <c r="I72"/>
  <c r="I67"/>
  <c r="I69"/>
  <c r="I50"/>
  <c r="I73"/>
  <c r="I76"/>
  <c r="I70"/>
  <c r="I52"/>
  <c r="I54"/>
  <c r="I56"/>
  <c r="I49"/>
  <c r="I53"/>
  <c r="I66"/>
  <c r="I71"/>
  <c r="E59"/>
  <c r="G51"/>
  <c r="I51" s="1"/>
  <c r="C59"/>
  <c r="I48"/>
  <c r="E75"/>
  <c r="G75" s="1"/>
  <c r="G77" s="1"/>
  <c r="E77" l="1"/>
  <c r="I75"/>
  <c r="I77" s="1"/>
  <c r="F16"/>
  <c r="I59"/>
  <c r="G59"/>
  <c r="F160" i="182" l="1"/>
  <c r="E168" l="1"/>
  <c r="R102" i="183"/>
  <c r="R77" l="1"/>
  <c r="R76"/>
  <c r="R75"/>
  <c r="R74"/>
  <c r="R73"/>
  <c r="R72"/>
  <c r="R71"/>
  <c r="R70"/>
  <c r="R69"/>
  <c r="R68"/>
  <c r="R67"/>
  <c r="R66"/>
  <c r="R65"/>
  <c r="R64"/>
  <c r="R61"/>
  <c r="R60"/>
  <c r="R59"/>
  <c r="R58"/>
  <c r="R57"/>
  <c r="R56"/>
  <c r="R55"/>
  <c r="R54"/>
  <c r="R53"/>
  <c r="R52"/>
  <c r="R51"/>
  <c r="Q78"/>
  <c r="Q77"/>
  <c r="Q76"/>
  <c r="Q75"/>
  <c r="Q74"/>
  <c r="Q73"/>
  <c r="Q72"/>
  <c r="Q71"/>
  <c r="Q70"/>
  <c r="Q69"/>
  <c r="Q68"/>
  <c r="Q67"/>
  <c r="Q66"/>
  <c r="Q65"/>
  <c r="Q64"/>
  <c r="Q61"/>
  <c r="Q60"/>
  <c r="Q59"/>
  <c r="Q58"/>
  <c r="Q57"/>
  <c r="Q56"/>
  <c r="Q55"/>
  <c r="Q54"/>
  <c r="Q53"/>
  <c r="Q52"/>
  <c r="Q51"/>
  <c r="R63"/>
  <c r="R62"/>
  <c r="Q63"/>
  <c r="Q62"/>
  <c r="Q27"/>
  <c r="Q26"/>
  <c r="E147" i="182"/>
  <c r="F147" s="1"/>
  <c r="S75" i="183" l="1"/>
  <c r="S52"/>
  <c r="S60"/>
  <c r="S66"/>
  <c r="S70"/>
  <c r="S74"/>
  <c r="S77"/>
  <c r="R82"/>
  <c r="S62"/>
  <c r="S76"/>
  <c r="S73"/>
  <c r="S64"/>
  <c r="S54"/>
  <c r="S68"/>
  <c r="Q82"/>
  <c r="R81"/>
  <c r="S53"/>
  <c r="S61"/>
  <c r="S67"/>
  <c r="S55"/>
  <c r="S63"/>
  <c r="Q80"/>
  <c r="Q81"/>
  <c r="S57"/>
  <c r="S71"/>
  <c r="S51"/>
  <c r="S59"/>
  <c r="S65"/>
  <c r="S69"/>
  <c r="S58"/>
  <c r="R80"/>
  <c r="S56"/>
  <c r="E32" i="73"/>
  <c r="G32"/>
  <c r="G15" i="130"/>
  <c r="F172" i="60"/>
  <c r="K64" i="67"/>
  <c r="J64"/>
  <c r="G64"/>
  <c r="N72"/>
  <c r="O72" s="1"/>
  <c r="G74"/>
  <c r="G97"/>
  <c r="S81" i="183" l="1"/>
  <c r="S82"/>
  <c r="S80"/>
  <c r="K30" i="179"/>
  <c r="J30"/>
  <c r="I30"/>
  <c r="H30"/>
  <c r="K29"/>
  <c r="J29"/>
  <c r="I29"/>
  <c r="H29"/>
  <c r="K28"/>
  <c r="J28"/>
  <c r="I28"/>
  <c r="H28"/>
  <c r="U26" i="25"/>
  <c r="J16" i="165" l="1"/>
  <c r="J19"/>
  <c r="J17"/>
  <c r="K19" l="1"/>
  <c r="E48" i="176"/>
  <c r="F78" i="134" l="1"/>
  <c r="J66"/>
  <c r="D21" i="174" l="1"/>
  <c r="F81"/>
  <c r="K34"/>
  <c r="L34" s="1"/>
  <c r="K35"/>
  <c r="L35" s="1"/>
  <c r="L11"/>
  <c r="N11"/>
  <c r="K36" l="1"/>
  <c r="L36" s="1"/>
  <c r="L16"/>
  <c r="L18" s="1"/>
  <c r="N16"/>
  <c r="N18" s="1"/>
  <c r="L21" l="1"/>
  <c r="N21" l="1"/>
  <c r="N23" s="1"/>
  <c r="N13" s="1"/>
  <c r="L23"/>
  <c r="L13" s="1"/>
  <c r="F202" i="182" l="1"/>
  <c r="H122" i="134" l="1"/>
  <c r="K8" i="119" s="1"/>
  <c r="N46" i="201" s="1"/>
  <c r="G122" i="134"/>
  <c r="I8" i="119" s="1"/>
  <c r="E202" i="182"/>
  <c r="K19" i="34"/>
  <c r="K17"/>
  <c r="K16"/>
  <c r="K15"/>
  <c r="K14"/>
  <c r="K13"/>
  <c r="K12"/>
  <c r="K11"/>
  <c r="K10"/>
  <c r="L46" i="201" l="1"/>
  <c r="D25" i="177"/>
  <c r="D23"/>
  <c r="H23" s="1"/>
  <c r="C25"/>
  <c r="C23"/>
  <c r="E23"/>
  <c r="I23" s="1"/>
  <c r="E9"/>
  <c r="D9"/>
  <c r="D22" s="1"/>
  <c r="L32" i="40"/>
  <c r="B138" i="60"/>
  <c r="B139" s="1"/>
  <c r="B140" s="1"/>
  <c r="B141" s="1"/>
  <c r="B142" s="1"/>
  <c r="B143" s="1"/>
  <c r="B144" s="1"/>
  <c r="B145" s="1"/>
  <c r="D24" i="177" l="1"/>
  <c r="D26" s="1"/>
  <c r="L98" i="60"/>
  <c r="J98"/>
  <c r="E98"/>
  <c r="E96"/>
  <c r="E24" i="127"/>
  <c r="J12" i="44"/>
  <c r="AL34" i="96"/>
  <c r="AM34" s="1"/>
  <c r="AL33"/>
  <c r="AM33" s="1"/>
  <c r="AL32"/>
  <c r="AM32" s="1"/>
  <c r="AL31"/>
  <c r="AM31" s="1"/>
  <c r="AL30"/>
  <c r="AM30" s="1"/>
  <c r="AL29"/>
  <c r="AM29" s="1"/>
  <c r="AL28"/>
  <c r="AM28" s="1"/>
  <c r="AL27"/>
  <c r="AM27" s="1"/>
  <c r="AL26"/>
  <c r="AM26" s="1"/>
  <c r="AL25"/>
  <c r="AM25" s="1"/>
  <c r="AL24"/>
  <c r="AM24" s="1"/>
  <c r="H24" i="177" l="1"/>
  <c r="I114" i="183"/>
  <c r="H97" i="134" l="1"/>
  <c r="G97"/>
  <c r="F97"/>
  <c r="M105" l="1"/>
  <c r="M104"/>
  <c r="M103"/>
  <c r="M102"/>
  <c r="M100"/>
  <c r="M99"/>
  <c r="M98"/>
  <c r="M97"/>
  <c r="M96"/>
  <c r="M101"/>
  <c r="J33" i="73"/>
  <c r="M27" i="201" s="1"/>
  <c r="K27"/>
  <c r="J17" i="72"/>
  <c r="J20" i="34"/>
  <c r="H20"/>
  <c r="F20"/>
  <c r="H14" i="47" s="1"/>
  <c r="J27" i="33"/>
  <c r="Q13" i="47" s="1"/>
  <c r="N28" i="32"/>
  <c r="Q12" i="47" s="1"/>
  <c r="K20" i="34" l="1"/>
  <c r="Q14" i="47"/>
  <c r="Q15" s="1"/>
  <c r="M26" i="32"/>
  <c r="M28" s="1"/>
  <c r="N12" i="47" s="1"/>
  <c r="N14"/>
  <c r="L27" i="201"/>
  <c r="J18" i="72"/>
  <c r="J38" i="40"/>
  <c r="R38" s="1"/>
  <c r="J37"/>
  <c r="R37" s="1"/>
  <c r="L18" l="1"/>
  <c r="L18" i="201"/>
  <c r="Q17" i="47"/>
  <c r="N11" i="201" s="1"/>
  <c r="D55" s="1"/>
  <c r="I27" i="33"/>
  <c r="N13" i="47" s="1"/>
  <c r="N15" s="1"/>
  <c r="N17" s="1"/>
  <c r="D18" i="174"/>
  <c r="G38" i="40"/>
  <c r="Q38" s="1"/>
  <c r="G37"/>
  <c r="Q37" s="1"/>
  <c r="L9" i="29"/>
  <c r="N11" i="40" l="1"/>
  <c r="L11" i="201"/>
  <c r="U79" i="179"/>
  <c r="L11" i="40" l="1"/>
  <c r="M171" i="60"/>
  <c r="D57" i="40"/>
  <c r="T81" i="179"/>
  <c r="T80"/>
  <c r="T79"/>
  <c r="W81"/>
  <c r="W80"/>
  <c r="W79"/>
  <c r="W76"/>
  <c r="U76"/>
  <c r="W82" l="1"/>
  <c r="T82"/>
  <c r="K171" i="60"/>
  <c r="B160" i="182"/>
  <c r="I36" i="188" l="1"/>
  <c r="I35"/>
  <c r="I34"/>
  <c r="F36"/>
  <c r="F35"/>
  <c r="F34"/>
  <c r="D25"/>
  <c r="O32" i="187"/>
  <c r="E35"/>
  <c r="D35"/>
  <c r="E34"/>
  <c r="D34"/>
  <c r="E33"/>
  <c r="D33"/>
  <c r="E32"/>
  <c r="D32"/>
  <c r="E31"/>
  <c r="D31"/>
  <c r="E28"/>
  <c r="D28"/>
  <c r="E27"/>
  <c r="D27"/>
  <c r="E26"/>
  <c r="D26"/>
  <c r="E25"/>
  <c r="D25"/>
  <c r="E24"/>
  <c r="D24"/>
  <c r="E23"/>
  <c r="D23"/>
  <c r="E22"/>
  <c r="D22"/>
  <c r="E21"/>
  <c r="D21"/>
  <c r="E20"/>
  <c r="D20"/>
  <c r="E19"/>
  <c r="D19"/>
  <c r="E18"/>
  <c r="D18"/>
  <c r="E17"/>
  <c r="D17"/>
  <c r="E16"/>
  <c r="D16"/>
  <c r="E15"/>
  <c r="D15"/>
  <c r="E14"/>
  <c r="D14"/>
  <c r="E13"/>
  <c r="D13"/>
  <c r="E12"/>
  <c r="D12"/>
  <c r="E11"/>
  <c r="D11"/>
  <c r="E10"/>
  <c r="D10"/>
  <c r="E9"/>
  <c r="D9"/>
  <c r="N12" l="1"/>
  <c r="N11"/>
  <c r="N13"/>
  <c r="K74" i="178"/>
  <c r="J74"/>
  <c r="L73"/>
  <c r="L72"/>
  <c r="L71"/>
  <c r="L70"/>
  <c r="L69"/>
  <c r="L67"/>
  <c r="L66"/>
  <c r="L65"/>
  <c r="L64"/>
  <c r="L63"/>
  <c r="L62"/>
  <c r="L61"/>
  <c r="L60"/>
  <c r="L59"/>
  <c r="L58"/>
  <c r="L57"/>
  <c r="L56"/>
  <c r="L55"/>
  <c r="L54"/>
  <c r="L53"/>
  <c r="L52"/>
  <c r="L51"/>
  <c r="L50"/>
  <c r="L49"/>
  <c r="L48"/>
  <c r="L74" l="1"/>
  <c r="L35" i="187"/>
  <c r="L34"/>
  <c r="L33"/>
  <c r="V33" s="1"/>
  <c r="L32"/>
  <c r="L31"/>
  <c r="D26" i="188" s="1"/>
  <c r="L28" i="187"/>
  <c r="L27"/>
  <c r="D22" i="188" s="1"/>
  <c r="L26" i="187"/>
  <c r="L25"/>
  <c r="D20" i="188" s="1"/>
  <c r="L24" i="187"/>
  <c r="L23"/>
  <c r="D18" i="188" s="1"/>
  <c r="L22" i="187"/>
  <c r="L21"/>
  <c r="D16" i="188" s="1"/>
  <c r="L20" i="187"/>
  <c r="L19"/>
  <c r="L18"/>
  <c r="L17"/>
  <c r="D12" i="188" s="1"/>
  <c r="L16" i="187"/>
  <c r="L15"/>
  <c r="L14"/>
  <c r="Q14" s="1"/>
  <c r="L13"/>
  <c r="D8" i="188" s="1"/>
  <c r="L12" i="187"/>
  <c r="L11"/>
  <c r="L10"/>
  <c r="D5" i="188" s="1"/>
  <c r="L9" i="187"/>
  <c r="D4" i="188" s="1"/>
  <c r="K35" i="187"/>
  <c r="F35"/>
  <c r="N35" s="1"/>
  <c r="K34"/>
  <c r="F34"/>
  <c r="K33"/>
  <c r="F33"/>
  <c r="N33" s="1"/>
  <c r="K32"/>
  <c r="F32"/>
  <c r="N32" s="1"/>
  <c r="K31"/>
  <c r="F31"/>
  <c r="K28"/>
  <c r="F28"/>
  <c r="N28" s="1"/>
  <c r="K27"/>
  <c r="F27"/>
  <c r="N27" s="1"/>
  <c r="P27" s="1"/>
  <c r="K26"/>
  <c r="F26"/>
  <c r="K25"/>
  <c r="F25"/>
  <c r="N25" s="1"/>
  <c r="P25" s="1"/>
  <c r="K24"/>
  <c r="K23"/>
  <c r="F23"/>
  <c r="K22"/>
  <c r="K21"/>
  <c r="K20"/>
  <c r="F20"/>
  <c r="N20" s="1"/>
  <c r="K19"/>
  <c r="F19"/>
  <c r="N19" s="1"/>
  <c r="P19" s="1"/>
  <c r="K18"/>
  <c r="K17"/>
  <c r="K16"/>
  <c r="K15"/>
  <c r="F15"/>
  <c r="K14"/>
  <c r="F14"/>
  <c r="K13"/>
  <c r="K12"/>
  <c r="F12"/>
  <c r="P12" s="1"/>
  <c r="K11"/>
  <c r="F11"/>
  <c r="K10"/>
  <c r="F10"/>
  <c r="K9"/>
  <c r="I104" i="60"/>
  <c r="I106" s="1"/>
  <c r="K13" i="201" s="1"/>
  <c r="I99" i="60"/>
  <c r="G98"/>
  <c r="G47" i="134"/>
  <c r="H47"/>
  <c r="L21" i="40"/>
  <c r="S21" s="1"/>
  <c r="Q21" i="187" l="1"/>
  <c r="S33"/>
  <c r="M23"/>
  <c r="O23" s="1"/>
  <c r="V17"/>
  <c r="Q9"/>
  <c r="S13"/>
  <c r="V9"/>
  <c r="S16"/>
  <c r="S20"/>
  <c r="S34"/>
  <c r="Q17"/>
  <c r="M21"/>
  <c r="O21" s="1"/>
  <c r="S25"/>
  <c r="S9"/>
  <c r="V13"/>
  <c r="M17"/>
  <c r="O17" s="1"/>
  <c r="S21"/>
  <c r="V25"/>
  <c r="Q10"/>
  <c r="Q13"/>
  <c r="S17"/>
  <c r="V21"/>
  <c r="Q25"/>
  <c r="R25" s="1"/>
  <c r="N15"/>
  <c r="P15" s="1"/>
  <c r="Q12"/>
  <c r="R12" s="1"/>
  <c r="D7" i="188"/>
  <c r="V14" i="187"/>
  <c r="D9" i="188"/>
  <c r="M16" i="187"/>
  <c r="D11" i="188"/>
  <c r="V18" i="187"/>
  <c r="D13" i="188"/>
  <c r="M20" i="187"/>
  <c r="O20" s="1"/>
  <c r="P20" s="1"/>
  <c r="D15" i="188"/>
  <c r="V22" i="187"/>
  <c r="D17" i="188"/>
  <c r="Q24" i="187"/>
  <c r="D19" i="188"/>
  <c r="V26" i="187"/>
  <c r="D21" i="188"/>
  <c r="Q28" i="187"/>
  <c r="D23" i="188"/>
  <c r="Q33" i="187"/>
  <c r="D28" i="188"/>
  <c r="Q35" i="187"/>
  <c r="D30" i="188"/>
  <c r="N10" i="187"/>
  <c r="P10" s="1"/>
  <c r="R10" s="1"/>
  <c r="N14"/>
  <c r="P14" s="1"/>
  <c r="R14" s="1"/>
  <c r="N26"/>
  <c r="P26" s="1"/>
  <c r="N34"/>
  <c r="P34" s="1"/>
  <c r="V11"/>
  <c r="D6" i="188"/>
  <c r="V15" i="187"/>
  <c r="D10" i="188"/>
  <c r="V19" i="187"/>
  <c r="D14" i="188"/>
  <c r="V32" i="187"/>
  <c r="D27" i="188"/>
  <c r="Q34" i="187"/>
  <c r="D29" i="188"/>
  <c r="V12" i="187"/>
  <c r="V16"/>
  <c r="V20"/>
  <c r="V24"/>
  <c r="M28"/>
  <c r="O28" s="1"/>
  <c r="P28" s="1"/>
  <c r="V35"/>
  <c r="P11"/>
  <c r="Q16"/>
  <c r="Q20"/>
  <c r="S28"/>
  <c r="V28"/>
  <c r="S12"/>
  <c r="S24"/>
  <c r="S31"/>
  <c r="F21"/>
  <c r="N21" s="1"/>
  <c r="F22"/>
  <c r="N22" s="1"/>
  <c r="P22" s="1"/>
  <c r="E29"/>
  <c r="L29"/>
  <c r="D24" i="188" s="1"/>
  <c r="Q11" i="187"/>
  <c r="Q19"/>
  <c r="R19" s="1"/>
  <c r="Q22"/>
  <c r="Q26"/>
  <c r="Q15"/>
  <c r="Q18"/>
  <c r="S26"/>
  <c r="D29"/>
  <c r="F13"/>
  <c r="P13" s="1"/>
  <c r="F17"/>
  <c r="N17" s="1"/>
  <c r="F18"/>
  <c r="N18" s="1"/>
  <c r="P18" s="1"/>
  <c r="F16"/>
  <c r="F24"/>
  <c r="N24" s="1"/>
  <c r="P24" s="1"/>
  <c r="E36"/>
  <c r="N23"/>
  <c r="P23" s="1"/>
  <c r="N31"/>
  <c r="F9"/>
  <c r="S23"/>
  <c r="S27"/>
  <c r="D36"/>
  <c r="V34"/>
  <c r="O33"/>
  <c r="L36"/>
  <c r="D31" i="188" s="1"/>
  <c r="Q31" i="187"/>
  <c r="M31"/>
  <c r="O31" s="1"/>
  <c r="S32"/>
  <c r="P32"/>
  <c r="Q32"/>
  <c r="V31"/>
  <c r="M35"/>
  <c r="O35" s="1"/>
  <c r="P35" s="1"/>
  <c r="S35"/>
  <c r="V23"/>
  <c r="V27"/>
  <c r="S10"/>
  <c r="S11"/>
  <c r="S14"/>
  <c r="S15"/>
  <c r="S18"/>
  <c r="S19"/>
  <c r="S22"/>
  <c r="Q23"/>
  <c r="Q27"/>
  <c r="R27" s="1"/>
  <c r="V10"/>
  <c r="R20" l="1"/>
  <c r="T20" s="1"/>
  <c r="W20" s="1"/>
  <c r="F15" i="188" s="1"/>
  <c r="E15" s="1"/>
  <c r="R34" i="187"/>
  <c r="T34" s="1"/>
  <c r="W34" s="1"/>
  <c r="R24"/>
  <c r="T24" s="1"/>
  <c r="W24" s="1"/>
  <c r="R13"/>
  <c r="T13" s="1"/>
  <c r="W13" s="1"/>
  <c r="R28"/>
  <c r="T28" s="1"/>
  <c r="W28" s="1"/>
  <c r="F23" i="188" s="1"/>
  <c r="E23" s="1"/>
  <c r="T25" i="187"/>
  <c r="W25" s="1"/>
  <c r="Y25" s="1"/>
  <c r="P21"/>
  <c r="R21" s="1"/>
  <c r="T21" s="1"/>
  <c r="W21" s="1"/>
  <c r="Y21" s="1"/>
  <c r="Q29"/>
  <c r="R15"/>
  <c r="T15" s="1"/>
  <c r="W15" s="1"/>
  <c r="R26"/>
  <c r="T26" s="1"/>
  <c r="W26" s="1"/>
  <c r="P17"/>
  <c r="R17" s="1"/>
  <c r="T17" s="1"/>
  <c r="W17" s="1"/>
  <c r="F12" i="188" s="1"/>
  <c r="E12" s="1"/>
  <c r="N9" i="187"/>
  <c r="P9" s="1"/>
  <c r="O16"/>
  <c r="O29" s="1"/>
  <c r="M29"/>
  <c r="D32" i="188"/>
  <c r="D38" s="1"/>
  <c r="R22" i="187"/>
  <c r="T22" s="1"/>
  <c r="W22" s="1"/>
  <c r="N16"/>
  <c r="P16" s="1"/>
  <c r="R16" s="1"/>
  <c r="T16" s="1"/>
  <c r="W16" s="1"/>
  <c r="F29"/>
  <c r="F16" i="188"/>
  <c r="E16" s="1"/>
  <c r="T27" i="187"/>
  <c r="W27" s="1"/>
  <c r="T19"/>
  <c r="W19" s="1"/>
  <c r="P33"/>
  <c r="R33" s="1"/>
  <c r="T33" s="1"/>
  <c r="W33" s="1"/>
  <c r="V37"/>
  <c r="T12"/>
  <c r="W12" s="1"/>
  <c r="R23"/>
  <c r="R18"/>
  <c r="T18" s="1"/>
  <c r="W18" s="1"/>
  <c r="L37"/>
  <c r="P31"/>
  <c r="R31" s="1"/>
  <c r="T31" s="1"/>
  <c r="W31" s="1"/>
  <c r="R11"/>
  <c r="T11" s="1"/>
  <c r="W11" s="1"/>
  <c r="F36"/>
  <c r="E37"/>
  <c r="D37"/>
  <c r="T23"/>
  <c r="W23" s="1"/>
  <c r="T14"/>
  <c r="W14" s="1"/>
  <c r="S37"/>
  <c r="Q37"/>
  <c r="R35"/>
  <c r="T35" s="1"/>
  <c r="W35" s="1"/>
  <c r="R32"/>
  <c r="T32" s="1"/>
  <c r="W32" s="1"/>
  <c r="T10"/>
  <c r="W10" s="1"/>
  <c r="F20" i="188" l="1"/>
  <c r="E20" s="1"/>
  <c r="O37" i="187"/>
  <c r="Y13"/>
  <c r="F8" i="188"/>
  <c r="E8" s="1"/>
  <c r="Y17" i="187"/>
  <c r="F37"/>
  <c r="R9"/>
  <c r="T9" s="1"/>
  <c r="W9" s="1"/>
  <c r="F4" i="188" s="1"/>
  <c r="P29" i="187"/>
  <c r="N29"/>
  <c r="N37"/>
  <c r="Y20"/>
  <c r="Y28"/>
  <c r="Y10"/>
  <c r="F5" i="188"/>
  <c r="E5" s="1"/>
  <c r="Y14" i="187"/>
  <c r="F9" i="188"/>
  <c r="E9" s="1"/>
  <c r="Y16" i="187"/>
  <c r="F11" i="188"/>
  <c r="E11" s="1"/>
  <c r="Y32" i="187"/>
  <c r="F27" i="188"/>
  <c r="E27" s="1"/>
  <c r="Y34" i="187"/>
  <c r="F29" i="188"/>
  <c r="E29" s="1"/>
  <c r="Y12" i="187"/>
  <c r="F7" i="188"/>
  <c r="E7" s="1"/>
  <c r="Y19" i="187"/>
  <c r="F14" i="188"/>
  <c r="E14" s="1"/>
  <c r="Y35" i="187"/>
  <c r="F30" i="188"/>
  <c r="E30" s="1"/>
  <c r="Y18" i="187"/>
  <c r="F13" i="188"/>
  <c r="E13" s="1"/>
  <c r="Y27" i="187"/>
  <c r="F22" i="188"/>
  <c r="E22" s="1"/>
  <c r="Y11" i="187"/>
  <c r="F6" i="188"/>
  <c r="E6" s="1"/>
  <c r="Y26" i="187"/>
  <c r="F21" i="188"/>
  <c r="E21" s="1"/>
  <c r="Y24" i="187"/>
  <c r="F19" i="188"/>
  <c r="E19" s="1"/>
  <c r="Y22" i="187"/>
  <c r="F17" i="188"/>
  <c r="E17" s="1"/>
  <c r="Y15" i="187"/>
  <c r="F10" i="188"/>
  <c r="E10" s="1"/>
  <c r="Y23" i="187"/>
  <c r="F18" i="188"/>
  <c r="E18" s="1"/>
  <c r="Y31" i="187"/>
  <c r="F26" i="188"/>
  <c r="Y33" i="187"/>
  <c r="F28" i="188"/>
  <c r="E28" s="1"/>
  <c r="P37" i="187"/>
  <c r="B154" i="182"/>
  <c r="B155" s="1"/>
  <c r="B156" s="1"/>
  <c r="F125"/>
  <c r="E125"/>
  <c r="A82" i="174"/>
  <c r="A83" s="1"/>
  <c r="T37" i="187" l="1"/>
  <c r="R37"/>
  <c r="F83" i="174"/>
  <c r="F22" s="1"/>
  <c r="F23" s="1"/>
  <c r="F82"/>
  <c r="F17" s="1"/>
  <c r="F31" i="188"/>
  <c r="E26"/>
  <c r="F24"/>
  <c r="E4"/>
  <c r="B161" i="182"/>
  <c r="B162" s="1"/>
  <c r="B163" s="1"/>
  <c r="W37" i="187"/>
  <c r="Y9"/>
  <c r="E83" i="174"/>
  <c r="D22" s="1"/>
  <c r="F18" l="1"/>
  <c r="F32" i="188"/>
  <c r="Y37" i="187"/>
  <c r="Z37"/>
  <c r="W41"/>
  <c r="D23" i="174"/>
  <c r="D13" s="1"/>
  <c r="F13" l="1"/>
  <c r="G13" s="1"/>
  <c r="E65" i="134"/>
  <c r="E66" s="1"/>
  <c r="E32" i="188"/>
  <c r="F38"/>
  <c r="E38" s="1"/>
  <c r="AA10" i="187"/>
  <c r="AA24"/>
  <c r="AA25"/>
  <c r="AA16"/>
  <c r="AA11"/>
  <c r="AA21"/>
  <c r="AA22"/>
  <c r="AA13"/>
  <c r="AA12"/>
  <c r="AA32"/>
  <c r="AA19"/>
  <c r="AA33"/>
  <c r="AA18"/>
  <c r="AA34"/>
  <c r="AA35"/>
  <c r="AA26"/>
  <c r="AA17"/>
  <c r="AA27"/>
  <c r="AA14"/>
  <c r="AA28"/>
  <c r="AA31"/>
  <c r="AA20"/>
  <c r="AA15"/>
  <c r="AA23"/>
  <c r="AA9"/>
  <c r="B35" i="184" l="1"/>
  <c r="B36" s="1"/>
  <c r="B37" s="1"/>
  <c r="B38" s="1"/>
  <c r="B39" s="1"/>
  <c r="B40" s="1"/>
  <c r="B41" s="1"/>
  <c r="B42" s="1"/>
  <c r="B43" s="1"/>
  <c r="B44" s="1"/>
  <c r="B45" s="1"/>
  <c r="B46" s="1"/>
  <c r="B47" s="1"/>
  <c r="B48" s="1"/>
  <c r="B49" s="1"/>
  <c r="B50" s="1"/>
  <c r="K35" i="185"/>
  <c r="I35"/>
  <c r="G35"/>
  <c r="K34"/>
  <c r="I34"/>
  <c r="G34"/>
  <c r="K33"/>
  <c r="I33"/>
  <c r="G33"/>
  <c r="K32"/>
  <c r="I32"/>
  <c r="G32"/>
  <c r="K31"/>
  <c r="I31"/>
  <c r="G31"/>
  <c r="K28"/>
  <c r="I28"/>
  <c r="G28"/>
  <c r="K27"/>
  <c r="I27"/>
  <c r="G27"/>
  <c r="K26"/>
  <c r="I26"/>
  <c r="G26"/>
  <c r="K25"/>
  <c r="I25"/>
  <c r="G25"/>
  <c r="K24"/>
  <c r="I24"/>
  <c r="G24"/>
  <c r="K23"/>
  <c r="I23"/>
  <c r="G23"/>
  <c r="K22"/>
  <c r="I22"/>
  <c r="G22"/>
  <c r="K21"/>
  <c r="I21"/>
  <c r="G21"/>
  <c r="K20"/>
  <c r="I20"/>
  <c r="G20"/>
  <c r="K19"/>
  <c r="I19"/>
  <c r="G19"/>
  <c r="K18"/>
  <c r="I18"/>
  <c r="G18"/>
  <c r="K17"/>
  <c r="I17"/>
  <c r="G17"/>
  <c r="K16"/>
  <c r="I16"/>
  <c r="G16"/>
  <c r="K15"/>
  <c r="I15"/>
  <c r="G15"/>
  <c r="K14"/>
  <c r="I14"/>
  <c r="G14"/>
  <c r="K13"/>
  <c r="I13"/>
  <c r="G13"/>
  <c r="K12"/>
  <c r="I12"/>
  <c r="G12"/>
  <c r="K11"/>
  <c r="I11"/>
  <c r="G11"/>
  <c r="K10"/>
  <c r="I10"/>
  <c r="G10"/>
  <c r="K9"/>
  <c r="I9"/>
  <c r="G9"/>
  <c r="E25" i="184"/>
  <c r="D10" i="177"/>
  <c r="D11"/>
  <c r="D12" s="1"/>
  <c r="E10"/>
  <c r="E11"/>
  <c r="E12" l="1"/>
  <c r="E23" i="184"/>
  <c r="B23"/>
  <c r="B24" s="1"/>
  <c r="B25" s="1"/>
  <c r="B28" s="1"/>
  <c r="G114" i="183"/>
  <c r="Q108"/>
  <c r="P78"/>
  <c r="P77"/>
  <c r="P76"/>
  <c r="P75"/>
  <c r="P74"/>
  <c r="P73"/>
  <c r="P71"/>
  <c r="P70"/>
  <c r="P69"/>
  <c r="P68"/>
  <c r="P67"/>
  <c r="P66"/>
  <c r="P65"/>
  <c r="P64"/>
  <c r="P63"/>
  <c r="P62"/>
  <c r="P61"/>
  <c r="P60"/>
  <c r="P59"/>
  <c r="P58"/>
  <c r="P57"/>
  <c r="P56"/>
  <c r="P55"/>
  <c r="P54"/>
  <c r="P53"/>
  <c r="P52"/>
  <c r="P51"/>
  <c r="O43"/>
  <c r="N43"/>
  <c r="M43"/>
  <c r="L43"/>
  <c r="K43"/>
  <c r="J43"/>
  <c r="I43"/>
  <c r="H43"/>
  <c r="G43"/>
  <c r="F43"/>
  <c r="E43"/>
  <c r="D43"/>
  <c r="P42"/>
  <c r="P41"/>
  <c r="P40"/>
  <c r="P39"/>
  <c r="P38"/>
  <c r="P37"/>
  <c r="P35"/>
  <c r="P34"/>
  <c r="P33"/>
  <c r="P32"/>
  <c r="P31"/>
  <c r="P30"/>
  <c r="P29"/>
  <c r="P28"/>
  <c r="P27"/>
  <c r="P26"/>
  <c r="P25"/>
  <c r="P24"/>
  <c r="P23"/>
  <c r="P22"/>
  <c r="P21"/>
  <c r="P20"/>
  <c r="P19"/>
  <c r="P18"/>
  <c r="P17"/>
  <c r="P16"/>
  <c r="P15"/>
  <c r="P14"/>
  <c r="P13"/>
  <c r="P12"/>
  <c r="P11"/>
  <c r="P10"/>
  <c r="P9"/>
  <c r="P8"/>
  <c r="P7"/>
  <c r="P43" l="1"/>
  <c r="K96" i="60"/>
  <c r="K106" s="1"/>
  <c r="M13" i="201" s="1"/>
  <c r="H11" i="169"/>
  <c r="I126" i="134"/>
  <c r="AB26" i="25" l="1"/>
  <c r="AB25"/>
  <c r="H75" i="134"/>
  <c r="O9" i="29" s="1"/>
  <c r="F4" i="182" s="1"/>
  <c r="G75" i="134"/>
  <c r="B202" i="182"/>
  <c r="B203" s="1"/>
  <c r="B147"/>
  <c r="B148" s="1"/>
  <c r="B138"/>
  <c r="B139" s="1"/>
  <c r="B140" s="1"/>
  <c r="B141" s="1"/>
  <c r="F129"/>
  <c r="F130" s="1"/>
  <c r="F28" s="1"/>
  <c r="AA13" i="25" s="1"/>
  <c r="E129" i="182"/>
  <c r="E130" s="1"/>
  <c r="B126"/>
  <c r="B127" s="1"/>
  <c r="B128" s="1"/>
  <c r="B129" s="1"/>
  <c r="B130" s="1"/>
  <c r="B131" s="1"/>
  <c r="B132" s="1"/>
  <c r="B118"/>
  <c r="B119" s="1"/>
  <c r="B78"/>
  <c r="B79" s="1"/>
  <c r="B80" s="1"/>
  <c r="B81" s="1"/>
  <c r="H72"/>
  <c r="E72"/>
  <c r="H71"/>
  <c r="E71"/>
  <c r="H70"/>
  <c r="E70"/>
  <c r="H69"/>
  <c r="E69"/>
  <c r="H68"/>
  <c r="E68"/>
  <c r="H67"/>
  <c r="E67"/>
  <c r="H66"/>
  <c r="E66"/>
  <c r="B66"/>
  <c r="B67" s="1"/>
  <c r="B68" s="1"/>
  <c r="B69" s="1"/>
  <c r="B70" s="1"/>
  <c r="B71" s="1"/>
  <c r="B72" s="1"/>
  <c r="B73" s="1"/>
  <c r="H65"/>
  <c r="E65"/>
  <c r="F59"/>
  <c r="I59" s="1"/>
  <c r="E59"/>
  <c r="H59" s="1"/>
  <c r="F58"/>
  <c r="I58" s="1"/>
  <c r="E58"/>
  <c r="H58" s="1"/>
  <c r="F57"/>
  <c r="I57" s="1"/>
  <c r="E57"/>
  <c r="H57" s="1"/>
  <c r="F56"/>
  <c r="I56" s="1"/>
  <c r="E56"/>
  <c r="H56" s="1"/>
  <c r="F55"/>
  <c r="I55" s="1"/>
  <c r="E55"/>
  <c r="H55" s="1"/>
  <c r="F54"/>
  <c r="I54" s="1"/>
  <c r="E54"/>
  <c r="H54" s="1"/>
  <c r="F53"/>
  <c r="I53" s="1"/>
  <c r="E53"/>
  <c r="H53" s="1"/>
  <c r="B53"/>
  <c r="B54" s="1"/>
  <c r="B55" s="1"/>
  <c r="B56" s="1"/>
  <c r="B57" s="1"/>
  <c r="B58" s="1"/>
  <c r="B59" s="1"/>
  <c r="B60" s="1"/>
  <c r="F52"/>
  <c r="E52"/>
  <c r="D48"/>
  <c r="F47"/>
  <c r="I47" s="1"/>
  <c r="K47" s="1"/>
  <c r="G72" s="1"/>
  <c r="E47"/>
  <c r="H47" s="1"/>
  <c r="J47" s="1"/>
  <c r="D72" s="1"/>
  <c r="F46"/>
  <c r="I46" s="1"/>
  <c r="K46" s="1"/>
  <c r="G71" s="1"/>
  <c r="E46"/>
  <c r="H46" s="1"/>
  <c r="J46" s="1"/>
  <c r="D71" s="1"/>
  <c r="F71" s="1"/>
  <c r="F45"/>
  <c r="E45"/>
  <c r="H45" s="1"/>
  <c r="J45" s="1"/>
  <c r="D70" s="1"/>
  <c r="F70" s="1"/>
  <c r="I44"/>
  <c r="K44" s="1"/>
  <c r="G69" s="1"/>
  <c r="H44"/>
  <c r="J44" s="1"/>
  <c r="D69" s="1"/>
  <c r="I43"/>
  <c r="K43" s="1"/>
  <c r="G68" s="1"/>
  <c r="H43"/>
  <c r="I42"/>
  <c r="K42" s="1"/>
  <c r="G67" s="1"/>
  <c r="H42"/>
  <c r="J42" s="1"/>
  <c r="D67" s="1"/>
  <c r="I41"/>
  <c r="K41" s="1"/>
  <c r="G66" s="1"/>
  <c r="H41"/>
  <c r="B41"/>
  <c r="B42" s="1"/>
  <c r="B43" s="1"/>
  <c r="B44" s="1"/>
  <c r="B45" s="1"/>
  <c r="B46" s="1"/>
  <c r="B47" s="1"/>
  <c r="B48" s="1"/>
  <c r="I40"/>
  <c r="K40" s="1"/>
  <c r="G65" s="1"/>
  <c r="H40"/>
  <c r="J40" s="1"/>
  <c r="B27"/>
  <c r="B28" s="1"/>
  <c r="B29" s="1"/>
  <c r="B30" s="1"/>
  <c r="B31" s="1"/>
  <c r="B12"/>
  <c r="B13" s="1"/>
  <c r="B14" s="1"/>
  <c r="B15" s="1"/>
  <c r="B17" s="1"/>
  <c r="B18" s="1"/>
  <c r="B20" s="1"/>
  <c r="B4"/>
  <c r="B5" s="1"/>
  <c r="B6" s="1"/>
  <c r="B7" s="1"/>
  <c r="J35" i="181"/>
  <c r="G35"/>
  <c r="J34"/>
  <c r="H34"/>
  <c r="J33"/>
  <c r="G33"/>
  <c r="J32"/>
  <c r="G32"/>
  <c r="J31"/>
  <c r="G31"/>
  <c r="J28"/>
  <c r="G28"/>
  <c r="J27"/>
  <c r="H27"/>
  <c r="J26"/>
  <c r="H26"/>
  <c r="J25"/>
  <c r="H25"/>
  <c r="J24"/>
  <c r="H24"/>
  <c r="J23"/>
  <c r="G23"/>
  <c r="J22"/>
  <c r="H22"/>
  <c r="J21"/>
  <c r="G21"/>
  <c r="J20"/>
  <c r="G20"/>
  <c r="J19"/>
  <c r="H19"/>
  <c r="J18"/>
  <c r="H18"/>
  <c r="J17"/>
  <c r="G17"/>
  <c r="J16"/>
  <c r="G16"/>
  <c r="J15"/>
  <c r="H15"/>
  <c r="J14"/>
  <c r="H14"/>
  <c r="J13"/>
  <c r="H13"/>
  <c r="J12"/>
  <c r="H12"/>
  <c r="J11"/>
  <c r="H11"/>
  <c r="J10"/>
  <c r="H10"/>
  <c r="J9"/>
  <c r="H9"/>
  <c r="J35" i="180"/>
  <c r="G35"/>
  <c r="J34"/>
  <c r="H34"/>
  <c r="J33"/>
  <c r="G33"/>
  <c r="J32"/>
  <c r="G32"/>
  <c r="J31"/>
  <c r="G31"/>
  <c r="J28"/>
  <c r="G28"/>
  <c r="J27"/>
  <c r="H27"/>
  <c r="J26"/>
  <c r="H26"/>
  <c r="J25"/>
  <c r="H25"/>
  <c r="J24"/>
  <c r="H24"/>
  <c r="J23"/>
  <c r="G23"/>
  <c r="J22"/>
  <c r="H22"/>
  <c r="J21"/>
  <c r="G21"/>
  <c r="J20"/>
  <c r="G20"/>
  <c r="J19"/>
  <c r="H19"/>
  <c r="J18"/>
  <c r="H18"/>
  <c r="J17"/>
  <c r="G17"/>
  <c r="J16"/>
  <c r="G16"/>
  <c r="J15"/>
  <c r="H15"/>
  <c r="J14"/>
  <c r="H14"/>
  <c r="J13"/>
  <c r="H13"/>
  <c r="J12"/>
  <c r="H12"/>
  <c r="J11"/>
  <c r="H11"/>
  <c r="J10"/>
  <c r="H10"/>
  <c r="J9"/>
  <c r="H9"/>
  <c r="I132" i="179"/>
  <c r="I131"/>
  <c r="I130"/>
  <c r="I129"/>
  <c r="I128"/>
  <c r="M127"/>
  <c r="I126"/>
  <c r="I125"/>
  <c r="I124"/>
  <c r="I123"/>
  <c r="I122"/>
  <c r="I121"/>
  <c r="I120"/>
  <c r="I119"/>
  <c r="I118"/>
  <c r="I117"/>
  <c r="I116"/>
  <c r="I115"/>
  <c r="I114"/>
  <c r="I113"/>
  <c r="I112"/>
  <c r="I111"/>
  <c r="I110"/>
  <c r="I109"/>
  <c r="I108"/>
  <c r="I107"/>
  <c r="A107"/>
  <c r="A108" s="1"/>
  <c r="A112" s="1"/>
  <c r="A114" s="1"/>
  <c r="A115" s="1"/>
  <c r="A116" s="1"/>
  <c r="A118" s="1"/>
  <c r="A119" s="1"/>
  <c r="A120" s="1"/>
  <c r="A121" s="1"/>
  <c r="A122" s="1"/>
  <c r="A123" s="1"/>
  <c r="A124" s="1"/>
  <c r="A125" s="1"/>
  <c r="A126" s="1"/>
  <c r="A128" s="1"/>
  <c r="A129" s="1"/>
  <c r="A130" s="1"/>
  <c r="A131" s="1"/>
  <c r="A132" s="1"/>
  <c r="A133" s="1"/>
  <c r="M99"/>
  <c r="K99"/>
  <c r="J99"/>
  <c r="I99"/>
  <c r="S82"/>
  <c r="V81"/>
  <c r="U81"/>
  <c r="R81"/>
  <c r="V80"/>
  <c r="U80"/>
  <c r="R80"/>
  <c r="V79"/>
  <c r="R79"/>
  <c r="V76"/>
  <c r="T76"/>
  <c r="R76"/>
  <c r="S75"/>
  <c r="S74"/>
  <c r="S73"/>
  <c r="A73"/>
  <c r="A74" s="1"/>
  <c r="A78" s="1"/>
  <c r="A80" s="1"/>
  <c r="A81" s="1"/>
  <c r="A82" s="1"/>
  <c r="A84" s="1"/>
  <c r="A85" s="1"/>
  <c r="A86" s="1"/>
  <c r="A87" s="1"/>
  <c r="A88" s="1"/>
  <c r="A89" s="1"/>
  <c r="A90" s="1"/>
  <c r="A91" s="1"/>
  <c r="A92" s="1"/>
  <c r="A94" s="1"/>
  <c r="A95" s="1"/>
  <c r="A96" s="1"/>
  <c r="A97" s="1"/>
  <c r="A98" s="1"/>
  <c r="A99" s="1"/>
  <c r="I65"/>
  <c r="K52"/>
  <c r="K49"/>
  <c r="K48"/>
  <c r="N48" s="1"/>
  <c r="A39"/>
  <c r="A40" s="1"/>
  <c r="A44" s="1"/>
  <c r="A46" s="1"/>
  <c r="A47" s="1"/>
  <c r="A48" s="1"/>
  <c r="A50" s="1"/>
  <c r="A51" s="1"/>
  <c r="A52" s="1"/>
  <c r="A53" s="1"/>
  <c r="A54" s="1"/>
  <c r="A55" s="1"/>
  <c r="A56" s="1"/>
  <c r="A57" s="1"/>
  <c r="A58" s="1"/>
  <c r="A60" s="1"/>
  <c r="A61" s="1"/>
  <c r="A62" s="1"/>
  <c r="A63" s="1"/>
  <c r="A64" s="1"/>
  <c r="A65" s="1"/>
  <c r="F40" i="192"/>
  <c r="J27" i="179"/>
  <c r="E40" i="192" s="1"/>
  <c r="I27" i="179"/>
  <c r="D40" i="192" s="1"/>
  <c r="H27" i="179"/>
  <c r="V25"/>
  <c r="W25" s="1"/>
  <c r="M25"/>
  <c r="L25"/>
  <c r="G25"/>
  <c r="F25"/>
  <c r="E25"/>
  <c r="D25"/>
  <c r="C25"/>
  <c r="M24"/>
  <c r="L24"/>
  <c r="M23"/>
  <c r="L23"/>
  <c r="M22"/>
  <c r="L22"/>
  <c r="M21"/>
  <c r="L21"/>
  <c r="M20"/>
  <c r="L20"/>
  <c r="G20"/>
  <c r="F20"/>
  <c r="E20"/>
  <c r="D20"/>
  <c r="C20"/>
  <c r="T19"/>
  <c r="M19"/>
  <c r="L19"/>
  <c r="G19"/>
  <c r="F19"/>
  <c r="E19"/>
  <c r="D19"/>
  <c r="C19"/>
  <c r="M18"/>
  <c r="L18"/>
  <c r="M17"/>
  <c r="L17"/>
  <c r="M16"/>
  <c r="L16"/>
  <c r="M15"/>
  <c r="L15"/>
  <c r="M14"/>
  <c r="L14"/>
  <c r="M13"/>
  <c r="L13"/>
  <c r="M12"/>
  <c r="L12"/>
  <c r="M11"/>
  <c r="L11"/>
  <c r="M10"/>
  <c r="L10"/>
  <c r="M9"/>
  <c r="L9"/>
  <c r="M8"/>
  <c r="L8"/>
  <c r="M7"/>
  <c r="L7"/>
  <c r="M6"/>
  <c r="L6"/>
  <c r="E74" i="178"/>
  <c r="D74"/>
  <c r="F73"/>
  <c r="F72"/>
  <c r="F71"/>
  <c r="F70"/>
  <c r="F69"/>
  <c r="I68"/>
  <c r="F67"/>
  <c r="F66"/>
  <c r="F65"/>
  <c r="F64"/>
  <c r="F63"/>
  <c r="F62"/>
  <c r="F61"/>
  <c r="F60"/>
  <c r="F59"/>
  <c r="F58"/>
  <c r="F57"/>
  <c r="F56"/>
  <c r="F55"/>
  <c r="F54"/>
  <c r="F53"/>
  <c r="F52"/>
  <c r="F51"/>
  <c r="F50"/>
  <c r="F49"/>
  <c r="F48"/>
  <c r="E39"/>
  <c r="J64" i="179" s="1"/>
  <c r="E38" i="178"/>
  <c r="J63" i="179" s="1"/>
  <c r="E37" i="178"/>
  <c r="J62" i="179" s="1"/>
  <c r="E36" i="178"/>
  <c r="J61" i="179" s="1"/>
  <c r="E35" i="178"/>
  <c r="J60" i="179" s="1"/>
  <c r="E34" i="178"/>
  <c r="E33"/>
  <c r="J58" i="179" s="1"/>
  <c r="L58" s="1"/>
  <c r="E32" i="178"/>
  <c r="J57" i="179" s="1"/>
  <c r="E31" i="178"/>
  <c r="J56" i="179" s="1"/>
  <c r="E30" i="178"/>
  <c r="J55" i="179" s="1"/>
  <c r="E29" i="178"/>
  <c r="J54" i="179" s="1"/>
  <c r="E28" i="178"/>
  <c r="J53" i="179" s="1"/>
  <c r="E27" i="178"/>
  <c r="J52" i="179" s="1"/>
  <c r="L52" s="1"/>
  <c r="E26" i="178"/>
  <c r="J51" i="179" s="1"/>
  <c r="L51" s="1"/>
  <c r="E25" i="178"/>
  <c r="J50" i="179" s="1"/>
  <c r="L50" s="1"/>
  <c r="E23" i="178"/>
  <c r="J49" i="179" s="1"/>
  <c r="L49" s="1"/>
  <c r="E22" i="178"/>
  <c r="E21"/>
  <c r="J47" i="179" s="1"/>
  <c r="L47" s="1"/>
  <c r="E20" i="178"/>
  <c r="J46" i="179" s="1"/>
  <c r="L46" s="1"/>
  <c r="E18" i="178"/>
  <c r="J45" i="179" s="1"/>
  <c r="E17" i="178"/>
  <c r="E15"/>
  <c r="J43" i="179" s="1"/>
  <c r="E14" i="178"/>
  <c r="J42" i="179" s="1"/>
  <c r="E13" i="178"/>
  <c r="J41" i="179" s="1"/>
  <c r="E12" i="178"/>
  <c r="E11"/>
  <c r="AG4"/>
  <c r="AG3"/>
  <c r="N9" i="29"/>
  <c r="O11"/>
  <c r="F6" i="182" s="1"/>
  <c r="N12" i="29"/>
  <c r="K20" i="73"/>
  <c r="K19"/>
  <c r="L12" i="44"/>
  <c r="I13" i="71"/>
  <c r="E89" i="134"/>
  <c r="K12" i="71"/>
  <c r="J192" i="60"/>
  <c r="K16" i="201" s="1"/>
  <c r="L192" i="60"/>
  <c r="M16" i="201" s="1"/>
  <c r="L180" i="60"/>
  <c r="L181" s="1"/>
  <c r="L185" s="1"/>
  <c r="M14" i="201" s="1"/>
  <c r="H172" i="60"/>
  <c r="M172" s="1"/>
  <c r="D23" i="169"/>
  <c r="K13"/>
  <c r="K12"/>
  <c r="I13"/>
  <c r="I12"/>
  <c r="J11"/>
  <c r="J16" s="1"/>
  <c r="H35"/>
  <c r="K12" i="73"/>
  <c r="K11"/>
  <c r="K30"/>
  <c r="K29"/>
  <c r="K28"/>
  <c r="K27"/>
  <c r="K26"/>
  <c r="K25"/>
  <c r="K24"/>
  <c r="K23"/>
  <c r="G13"/>
  <c r="L17" i="116"/>
  <c r="K17"/>
  <c r="J17"/>
  <c r="G85" i="134"/>
  <c r="H85" s="1"/>
  <c r="F47"/>
  <c r="F48" s="1"/>
  <c r="G45" s="1"/>
  <c r="E47"/>
  <c r="E48" s="1"/>
  <c r="I67" i="182" l="1"/>
  <c r="I69"/>
  <c r="I71"/>
  <c r="U82" i="179"/>
  <c r="I66" i="182"/>
  <c r="F67"/>
  <c r="F69"/>
  <c r="M32" i="179"/>
  <c r="L31"/>
  <c r="L32"/>
  <c r="D59" i="40"/>
  <c r="D57" i="201"/>
  <c r="D58" i="40"/>
  <c r="D56" i="201"/>
  <c r="J40" i="179"/>
  <c r="J108" s="1"/>
  <c r="E16" i="178"/>
  <c r="J44" i="179"/>
  <c r="J112" s="1"/>
  <c r="E19" i="178"/>
  <c r="J48" i="179"/>
  <c r="L48" s="1"/>
  <c r="Q97" i="183" s="1"/>
  <c r="E24" i="178"/>
  <c r="M31" i="179"/>
  <c r="J114"/>
  <c r="J124"/>
  <c r="J128"/>
  <c r="J115"/>
  <c r="J119"/>
  <c r="J123"/>
  <c r="J131"/>
  <c r="J110"/>
  <c r="J118"/>
  <c r="J122"/>
  <c r="J126"/>
  <c r="J130"/>
  <c r="J117"/>
  <c r="Q98" i="183"/>
  <c r="J121" i="179"/>
  <c r="J129"/>
  <c r="F72" i="182"/>
  <c r="A50" i="178"/>
  <c r="A54"/>
  <c r="A58"/>
  <c r="J41" i="182"/>
  <c r="D66" s="1"/>
  <c r="F66" s="1"/>
  <c r="J43"/>
  <c r="D68" s="1"/>
  <c r="F68" s="1"/>
  <c r="L30" i="179"/>
  <c r="M29"/>
  <c r="M28"/>
  <c r="M30"/>
  <c r="L29"/>
  <c r="L28"/>
  <c r="I14" i="71"/>
  <c r="A49" i="178"/>
  <c r="A57"/>
  <c r="A52"/>
  <c r="V82" i="179"/>
  <c r="J109"/>
  <c r="A53" i="178"/>
  <c r="A51"/>
  <c r="R82" i="179"/>
  <c r="I68" i="182"/>
  <c r="K172" i="60"/>
  <c r="J132" i="179"/>
  <c r="J120"/>
  <c r="Q101" i="183"/>
  <c r="S76" i="179"/>
  <c r="F27" i="182"/>
  <c r="AA14" i="25" s="1"/>
  <c r="J125" i="179"/>
  <c r="I133"/>
  <c r="F168" i="182"/>
  <c r="H15" i="169"/>
  <c r="E48" i="182"/>
  <c r="F60"/>
  <c r="I52"/>
  <c r="I60" s="1"/>
  <c r="F78" s="1"/>
  <c r="E132"/>
  <c r="E28" s="1"/>
  <c r="V13" i="25" s="1"/>
  <c r="V30" s="1"/>
  <c r="K180" i="60" s="1"/>
  <c r="D28" i="182"/>
  <c r="F48"/>
  <c r="I45"/>
  <c r="K45" s="1"/>
  <c r="G70" s="1"/>
  <c r="I70" s="1"/>
  <c r="E60"/>
  <c r="H52"/>
  <c r="H60" s="1"/>
  <c r="E78" s="1"/>
  <c r="I72"/>
  <c r="E169"/>
  <c r="G48" i="134"/>
  <c r="H45" s="1"/>
  <c r="H48" s="1"/>
  <c r="I65" i="182"/>
  <c r="H48"/>
  <c r="E18" s="1"/>
  <c r="D65"/>
  <c r="F132"/>
  <c r="J111" i="179"/>
  <c r="M116"/>
  <c r="O57" i="178" s="1"/>
  <c r="J39" i="179"/>
  <c r="F74" i="178"/>
  <c r="K117" i="179"/>
  <c r="I58" i="178" s="1"/>
  <c r="N49" i="179"/>
  <c r="M27"/>
  <c r="H40" i="192" s="1"/>
  <c r="K116" i="179"/>
  <c r="I57" i="178" s="1"/>
  <c r="N52" i="179"/>
  <c r="K120"/>
  <c r="I61" i="178" s="1"/>
  <c r="H61" s="1"/>
  <c r="E22" i="180" s="1"/>
  <c r="L27" i="179"/>
  <c r="J113"/>
  <c r="H23" i="169"/>
  <c r="H24" s="1"/>
  <c r="J35"/>
  <c r="J23"/>
  <c r="J116" i="179" l="1"/>
  <c r="E40" i="178"/>
  <c r="J44" i="40" s="1"/>
  <c r="J48" i="182"/>
  <c r="E17" s="1"/>
  <c r="C87" i="174"/>
  <c r="C88" s="1"/>
  <c r="C89" s="1"/>
  <c r="G40" i="192"/>
  <c r="D87" i="174"/>
  <c r="D88" s="1"/>
  <c r="D89" s="1"/>
  <c r="G61" i="178"/>
  <c r="D22" i="180" s="1"/>
  <c r="Q99" i="183"/>
  <c r="E27" i="182"/>
  <c r="G27"/>
  <c r="AB14" i="25" s="1"/>
  <c r="F169" i="182"/>
  <c r="I48"/>
  <c r="F18" s="1"/>
  <c r="K48"/>
  <c r="F17" s="1"/>
  <c r="I73"/>
  <c r="G73"/>
  <c r="F65"/>
  <c r="D73"/>
  <c r="G28"/>
  <c r="AB13" i="25" s="1"/>
  <c r="M120" i="179"/>
  <c r="O61" i="178" s="1"/>
  <c r="H58"/>
  <c r="E19" i="180" s="1"/>
  <c r="G58" i="178"/>
  <c r="D19" i="180" s="1"/>
  <c r="H57" i="178"/>
  <c r="E18" i="180" s="1"/>
  <c r="G57" i="178"/>
  <c r="D18" i="180" s="1"/>
  <c r="M117" i="179"/>
  <c r="O58" i="178" s="1"/>
  <c r="J65" i="179"/>
  <c r="J107"/>
  <c r="M57" i="178"/>
  <c r="N57"/>
  <c r="J133" i="179" l="1"/>
  <c r="Q39"/>
  <c r="E130" i="183"/>
  <c r="P98"/>
  <c r="M49" i="179" s="1"/>
  <c r="O49" s="1"/>
  <c r="P101" i="183"/>
  <c r="M52" i="179" s="1"/>
  <c r="E133" i="183"/>
  <c r="P97"/>
  <c r="M48" i="179" s="1"/>
  <c r="O48" s="1"/>
  <c r="E129" i="183"/>
  <c r="F73" i="182"/>
  <c r="E77"/>
  <c r="F77"/>
  <c r="AA12" i="25" s="1"/>
  <c r="F79" i="182"/>
  <c r="F80" s="1"/>
  <c r="AB12" i="25" s="1"/>
  <c r="H73" i="182"/>
  <c r="D18" i="181"/>
  <c r="D18" i="205" s="1"/>
  <c r="D18" i="185"/>
  <c r="K50" i="179"/>
  <c r="K118" s="1"/>
  <c r="I59" i="178" s="1"/>
  <c r="H59" s="1"/>
  <c r="E20" i="180" s="1"/>
  <c r="E18" i="185"/>
  <c r="E18" i="181"/>
  <c r="E18" i="205" s="1"/>
  <c r="K46" i="179"/>
  <c r="N46" s="1"/>
  <c r="K47"/>
  <c r="N47" s="1"/>
  <c r="Q96" i="183"/>
  <c r="K58" i="179"/>
  <c r="N58" s="1"/>
  <c r="Q107" i="183"/>
  <c r="M58" i="178"/>
  <c r="N58"/>
  <c r="K51" i="179"/>
  <c r="Q100" i="183"/>
  <c r="N61" i="178"/>
  <c r="M61"/>
  <c r="F55" i="134"/>
  <c r="J19" i="44"/>
  <c r="J180" i="60"/>
  <c r="J181" s="1"/>
  <c r="J185" s="1"/>
  <c r="F18" i="205" l="1"/>
  <c r="M18" s="1"/>
  <c r="O18" s="1"/>
  <c r="N14" i="179"/>
  <c r="Q14" s="1"/>
  <c r="O52"/>
  <c r="J196" i="60"/>
  <c r="K14" i="201"/>
  <c r="N11" i="179"/>
  <c r="Q11" s="1"/>
  <c r="L120"/>
  <c r="L117"/>
  <c r="L116"/>
  <c r="L39"/>
  <c r="Q88" i="183" s="1"/>
  <c r="K39" i="179"/>
  <c r="P99" i="183"/>
  <c r="M50" i="179" s="1"/>
  <c r="E131" i="183"/>
  <c r="F129"/>
  <c r="M129" s="1"/>
  <c r="F133"/>
  <c r="M133" s="1"/>
  <c r="F130"/>
  <c r="M130" s="1"/>
  <c r="E79" i="182"/>
  <c r="E80" s="1"/>
  <c r="E81" s="1"/>
  <c r="E73"/>
  <c r="F81"/>
  <c r="G59" i="178"/>
  <c r="D20" i="180" s="1"/>
  <c r="N50" i="179"/>
  <c r="M118" s="1"/>
  <c r="O59" i="178" s="1"/>
  <c r="N59" s="1"/>
  <c r="D19" i="181"/>
  <c r="D19" i="205" s="1"/>
  <c r="D19" i="185"/>
  <c r="E22"/>
  <c r="E22" i="181"/>
  <c r="E22" i="205" s="1"/>
  <c r="E19" i="185"/>
  <c r="E19" i="181"/>
  <c r="E19" i="205" s="1"/>
  <c r="D22" i="185"/>
  <c r="D22" i="181"/>
  <c r="D22" i="205" s="1"/>
  <c r="F22" s="1"/>
  <c r="M22" s="1"/>
  <c r="O22" s="1"/>
  <c r="F18" i="185"/>
  <c r="N18" s="1"/>
  <c r="P18" s="1"/>
  <c r="M114" i="179"/>
  <c r="O55" i="178" s="1"/>
  <c r="N55" s="1"/>
  <c r="K114" i="179"/>
  <c r="I55" i="178" s="1"/>
  <c r="Q95" i="183"/>
  <c r="M115" i="179"/>
  <c r="O56" i="178" s="1"/>
  <c r="M56" s="1"/>
  <c r="K115" i="179"/>
  <c r="I56" i="178" s="1"/>
  <c r="N51" i="179"/>
  <c r="K119"/>
  <c r="I60" i="178" s="1"/>
  <c r="K126" i="179"/>
  <c r="I67" i="178" s="1"/>
  <c r="L19" i="44"/>
  <c r="H19"/>
  <c r="K16" i="40"/>
  <c r="K14"/>
  <c r="M12"/>
  <c r="K12"/>
  <c r="O11" i="179" l="1"/>
  <c r="F19" i="205"/>
  <c r="M19" s="1"/>
  <c r="O19" s="1"/>
  <c r="O14" i="179"/>
  <c r="P14"/>
  <c r="P11"/>
  <c r="R11"/>
  <c r="R14"/>
  <c r="N12"/>
  <c r="O12" s="1"/>
  <c r="O50"/>
  <c r="L118"/>
  <c r="N39"/>
  <c r="M107" s="1"/>
  <c r="O48" i="178" s="1"/>
  <c r="M48" s="1"/>
  <c r="K107" i="179"/>
  <c r="I48" i="178" s="1"/>
  <c r="H48" s="1"/>
  <c r="E9" i="180" s="1"/>
  <c r="E137" i="183"/>
  <c r="F137" s="1"/>
  <c r="P105"/>
  <c r="M56" i="179" s="1"/>
  <c r="E128" i="183"/>
  <c r="P96"/>
  <c r="M47" i="179" s="1"/>
  <c r="E132" i="183"/>
  <c r="P100"/>
  <c r="M51" i="179" s="1"/>
  <c r="F131" i="183"/>
  <c r="M131" s="1"/>
  <c r="E144"/>
  <c r="M55" i="178"/>
  <c r="D16" i="185" s="1"/>
  <c r="M59" i="178"/>
  <c r="D20" i="181" s="1"/>
  <c r="D20" i="205" s="1"/>
  <c r="E16" i="185"/>
  <c r="E16" i="181"/>
  <c r="E16" i="205" s="1"/>
  <c r="F22" i="185"/>
  <c r="N22" s="1"/>
  <c r="P22" s="1"/>
  <c r="E20"/>
  <c r="E20" i="181"/>
  <c r="E20" i="205" s="1"/>
  <c r="D17" i="181"/>
  <c r="D17" i="205" s="1"/>
  <c r="D17" i="185"/>
  <c r="F19"/>
  <c r="G55" i="178"/>
  <c r="D16" i="180" s="1"/>
  <c r="H55" i="178"/>
  <c r="E16" i="180" s="1"/>
  <c r="N56" i="178"/>
  <c r="P107" i="183"/>
  <c r="M58" i="179" s="1"/>
  <c r="G56" i="178"/>
  <c r="D17" i="180" s="1"/>
  <c r="H56" i="178"/>
  <c r="E17" i="180" s="1"/>
  <c r="H60" i="178"/>
  <c r="E21" i="180" s="1"/>
  <c r="G60" i="178"/>
  <c r="D21" i="180" s="1"/>
  <c r="G67" i="178"/>
  <c r="D28" i="180" s="1"/>
  <c r="H67" i="178"/>
  <c r="E28" i="180" s="1"/>
  <c r="M126" i="179"/>
  <c r="O67" i="178" s="1"/>
  <c r="M119" i="179"/>
  <c r="O60" i="178" s="1"/>
  <c r="H10" i="119"/>
  <c r="H11" s="1"/>
  <c r="J10"/>
  <c r="G48" i="178" l="1"/>
  <c r="D9" i="180" s="1"/>
  <c r="Q12" i="179"/>
  <c r="R12"/>
  <c r="P12"/>
  <c r="N18"/>
  <c r="R18" s="1"/>
  <c r="N20"/>
  <c r="O20" s="1"/>
  <c r="O58"/>
  <c r="F20" i="205"/>
  <c r="M20" s="1"/>
  <c r="K29" i="40"/>
  <c r="K29" i="201"/>
  <c r="N13" i="179"/>
  <c r="N31" s="1"/>
  <c r="P31" s="1"/>
  <c r="U31" s="1"/>
  <c r="O51"/>
  <c r="N10"/>
  <c r="P10" s="1"/>
  <c r="O47"/>
  <c r="Q31"/>
  <c r="Q56"/>
  <c r="O56" s="1"/>
  <c r="Q13"/>
  <c r="L119"/>
  <c r="L126"/>
  <c r="L115"/>
  <c r="L124"/>
  <c r="E143" i="183"/>
  <c r="E141"/>
  <c r="P88"/>
  <c r="M39" i="179" s="1"/>
  <c r="E120" i="183"/>
  <c r="P93"/>
  <c r="M44" i="179" s="1"/>
  <c r="E125" i="183"/>
  <c r="P95"/>
  <c r="M46" i="179" s="1"/>
  <c r="E127" i="183"/>
  <c r="E134"/>
  <c r="F134" s="1"/>
  <c r="P102"/>
  <c r="M53" i="179" s="1"/>
  <c r="P92" i="183"/>
  <c r="M43" i="179" s="1"/>
  <c r="E124" i="183"/>
  <c r="D20" i="185"/>
  <c r="F20" s="1"/>
  <c r="N20" s="1"/>
  <c r="F128" i="183"/>
  <c r="M128" s="1"/>
  <c r="F132"/>
  <c r="M132" s="1"/>
  <c r="M139"/>
  <c r="E138"/>
  <c r="F138" s="1"/>
  <c r="P112"/>
  <c r="M63" i="179" s="1"/>
  <c r="E136" i="183"/>
  <c r="F136" s="1"/>
  <c r="M137"/>
  <c r="D16" i="181"/>
  <c r="D16" i="205" s="1"/>
  <c r="F16" s="1"/>
  <c r="M16" s="1"/>
  <c r="P109" i="183"/>
  <c r="M60" i="179" s="1"/>
  <c r="N21" s="1"/>
  <c r="P21" s="1"/>
  <c r="P111" i="183"/>
  <c r="M62" i="179" s="1"/>
  <c r="E142" i="183"/>
  <c r="F16" i="185"/>
  <c r="N16" s="1"/>
  <c r="N19"/>
  <c r="P19" s="1"/>
  <c r="E17"/>
  <c r="F17" s="1"/>
  <c r="N17" s="1"/>
  <c r="E17" i="181"/>
  <c r="E17" i="205" s="1"/>
  <c r="F17" s="1"/>
  <c r="M17" s="1"/>
  <c r="H114" i="183"/>
  <c r="M60" i="178"/>
  <c r="N60"/>
  <c r="N48"/>
  <c r="N67"/>
  <c r="M67"/>
  <c r="J11" i="119"/>
  <c r="L16" i="116"/>
  <c r="K16"/>
  <c r="J16"/>
  <c r="I16"/>
  <c r="K18"/>
  <c r="I17"/>
  <c r="I18" s="1"/>
  <c r="K25" i="201" s="1"/>
  <c r="M27" i="40"/>
  <c r="K27"/>
  <c r="L17" i="72"/>
  <c r="F109" i="134"/>
  <c r="E109"/>
  <c r="K11" i="72"/>
  <c r="K12"/>
  <c r="K13"/>
  <c r="K14"/>
  <c r="K15"/>
  <c r="K16"/>
  <c r="K17"/>
  <c r="I11"/>
  <c r="I12"/>
  <c r="I13"/>
  <c r="I14"/>
  <c r="I15"/>
  <c r="I16"/>
  <c r="I17"/>
  <c r="K10"/>
  <c r="I10"/>
  <c r="K13" i="44"/>
  <c r="K15" s="1"/>
  <c r="I13"/>
  <c r="I15" s="1"/>
  <c r="K13" i="71"/>
  <c r="K14" s="1"/>
  <c r="H14"/>
  <c r="J14"/>
  <c r="F84" i="134"/>
  <c r="G84" s="1"/>
  <c r="H84" s="1"/>
  <c r="M16" i="40"/>
  <c r="M14"/>
  <c r="M13"/>
  <c r="K99" i="60"/>
  <c r="K13" i="40"/>
  <c r="J24" i="169"/>
  <c r="F11"/>
  <c r="F23" s="1"/>
  <c r="Q10" i="179" l="1"/>
  <c r="O10"/>
  <c r="O31"/>
  <c r="R13"/>
  <c r="R10"/>
  <c r="O13"/>
  <c r="R31"/>
  <c r="P13"/>
  <c r="M25" i="40"/>
  <c r="M25" i="201"/>
  <c r="N15" i="179"/>
  <c r="Q15" s="1"/>
  <c r="Q18"/>
  <c r="N24"/>
  <c r="P24" s="1"/>
  <c r="N9"/>
  <c r="R9" s="1"/>
  <c r="O46"/>
  <c r="N6"/>
  <c r="R6" s="1"/>
  <c r="O39"/>
  <c r="P18"/>
  <c r="M29" i="40"/>
  <c r="M29" i="201"/>
  <c r="N23" i="179"/>
  <c r="R23" s="1"/>
  <c r="O18"/>
  <c r="O21"/>
  <c r="U21" s="1"/>
  <c r="R21"/>
  <c r="Q21"/>
  <c r="P6"/>
  <c r="O6"/>
  <c r="R24"/>
  <c r="R15"/>
  <c r="N29"/>
  <c r="L56"/>
  <c r="Q105" i="183" s="1"/>
  <c r="K56" i="179"/>
  <c r="L128"/>
  <c r="L121"/>
  <c r="L130"/>
  <c r="L114"/>
  <c r="L107"/>
  <c r="L112"/>
  <c r="L131"/>
  <c r="L111"/>
  <c r="E145" i="183"/>
  <c r="E122"/>
  <c r="P90"/>
  <c r="M41" i="179" s="1"/>
  <c r="E126" i="183"/>
  <c r="P94"/>
  <c r="M45" i="179" s="1"/>
  <c r="P89" i="183"/>
  <c r="M40" i="179" s="1"/>
  <c r="E121" i="183"/>
  <c r="P104"/>
  <c r="M55" i="179" s="1"/>
  <c r="P91" i="183"/>
  <c r="M42" i="179" s="1"/>
  <c r="E123" i="183"/>
  <c r="R78"/>
  <c r="S78" s="1"/>
  <c r="F144"/>
  <c r="M144" s="1"/>
  <c r="F124"/>
  <c r="M124" s="1"/>
  <c r="M134"/>
  <c r="F127"/>
  <c r="M127" s="1"/>
  <c r="F125"/>
  <c r="M125" s="1"/>
  <c r="F143"/>
  <c r="M143" s="1"/>
  <c r="F141"/>
  <c r="M141" s="1"/>
  <c r="F120"/>
  <c r="M120" s="1"/>
  <c r="P106"/>
  <c r="M57" i="179" s="1"/>
  <c r="P113" i="183"/>
  <c r="M64" i="179" s="1"/>
  <c r="N114" i="183"/>
  <c r="K114"/>
  <c r="O114"/>
  <c r="P110"/>
  <c r="M61" i="179" s="1"/>
  <c r="E28" i="185"/>
  <c r="E28" i="181"/>
  <c r="E28" i="205" s="1"/>
  <c r="D21" i="181"/>
  <c r="D21" i="205" s="1"/>
  <c r="D21" i="185"/>
  <c r="D28" i="181"/>
  <c r="D28" i="205" s="1"/>
  <c r="D28" i="185"/>
  <c r="E21"/>
  <c r="E21" i="181"/>
  <c r="E21" i="205" s="1"/>
  <c r="E9" i="185"/>
  <c r="E9" i="181"/>
  <c r="E9" i="205" s="1"/>
  <c r="D9" i="181"/>
  <c r="D9" i="205" s="1"/>
  <c r="D9" i="185"/>
  <c r="I18" i="72"/>
  <c r="K21" i="44"/>
  <c r="K25" i="40"/>
  <c r="G60" i="134"/>
  <c r="K18" i="72"/>
  <c r="I21" i="44"/>
  <c r="L196" i="60"/>
  <c r="P9" i="179" l="1"/>
  <c r="U10"/>
  <c r="Q24"/>
  <c r="Q23"/>
  <c r="O9"/>
  <c r="O24"/>
  <c r="Q9"/>
  <c r="U9" s="1"/>
  <c r="O15"/>
  <c r="P15"/>
  <c r="U15" s="1"/>
  <c r="Q53" s="1"/>
  <c r="Q6"/>
  <c r="P23"/>
  <c r="U23" s="1"/>
  <c r="Q62" s="1"/>
  <c r="O62" s="1"/>
  <c r="O23"/>
  <c r="F28" i="205"/>
  <c r="M28" s="1"/>
  <c r="M18" i="40"/>
  <c r="M18" i="201"/>
  <c r="K18" i="40"/>
  <c r="S18" s="1"/>
  <c r="K18" i="201"/>
  <c r="N17" i="179"/>
  <c r="Q17" s="1"/>
  <c r="O55"/>
  <c r="N8"/>
  <c r="Q8" s="1"/>
  <c r="F9" i="205"/>
  <c r="M9" s="1"/>
  <c r="O9" s="1"/>
  <c r="N19" i="179"/>
  <c r="O19" s="1"/>
  <c r="U19" s="1"/>
  <c r="U20" s="1"/>
  <c r="V20" s="1"/>
  <c r="W20" s="1"/>
  <c r="F21" i="205"/>
  <c r="M21" s="1"/>
  <c r="N22" i="179"/>
  <c r="O22" s="1"/>
  <c r="N25"/>
  <c r="O25" s="1"/>
  <c r="Q60"/>
  <c r="O60" s="1"/>
  <c r="N7"/>
  <c r="R7" s="1"/>
  <c r="N56"/>
  <c r="M124" s="1"/>
  <c r="O65" i="178" s="1"/>
  <c r="K124" i="179"/>
  <c r="I65" i="178" s="1"/>
  <c r="Q63" i="179"/>
  <c r="O63" s="1"/>
  <c r="V24"/>
  <c r="W24" s="1"/>
  <c r="R29"/>
  <c r="Q29"/>
  <c r="O29"/>
  <c r="P29"/>
  <c r="L62"/>
  <c r="Q111" i="183" s="1"/>
  <c r="L109" i="179"/>
  <c r="L113"/>
  <c r="L125"/>
  <c r="L129"/>
  <c r="L110"/>
  <c r="L132"/>
  <c r="L108"/>
  <c r="L123"/>
  <c r="P103" i="183"/>
  <c r="M54" i="179" s="1"/>
  <c r="E135" i="183"/>
  <c r="F135" s="1"/>
  <c r="M114"/>
  <c r="F121"/>
  <c r="M121" s="1"/>
  <c r="M138"/>
  <c r="F126"/>
  <c r="M126" s="1"/>
  <c r="F123"/>
  <c r="M123" s="1"/>
  <c r="F122"/>
  <c r="M122" s="1"/>
  <c r="J136"/>
  <c r="J142"/>
  <c r="J130"/>
  <c r="J121"/>
  <c r="J132"/>
  <c r="J145"/>
  <c r="J137"/>
  <c r="J144"/>
  <c r="J124"/>
  <c r="J143"/>
  <c r="J135"/>
  <c r="J122"/>
  <c r="F145"/>
  <c r="M145" s="1"/>
  <c r="J123"/>
  <c r="J129"/>
  <c r="J138"/>
  <c r="J133"/>
  <c r="M136"/>
  <c r="J139"/>
  <c r="J134"/>
  <c r="J131"/>
  <c r="J114"/>
  <c r="J141"/>
  <c r="F142"/>
  <c r="M142" s="1"/>
  <c r="F28" i="185"/>
  <c r="N28" s="1"/>
  <c r="F9"/>
  <c r="F21"/>
  <c r="N21" s="1"/>
  <c r="K36" i="169"/>
  <c r="J36"/>
  <c r="I36"/>
  <c r="H36"/>
  <c r="H37" s="1"/>
  <c r="G36"/>
  <c r="F36"/>
  <c r="D36"/>
  <c r="N28" i="179" l="1"/>
  <c r="O53"/>
  <c r="K53"/>
  <c r="Q7"/>
  <c r="O8"/>
  <c r="O7"/>
  <c r="K62"/>
  <c r="P8"/>
  <c r="L60"/>
  <c r="Q109" i="183" s="1"/>
  <c r="R8" i="179"/>
  <c r="P7"/>
  <c r="U7" s="1"/>
  <c r="Q43" s="1"/>
  <c r="O43" s="1"/>
  <c r="V19"/>
  <c r="W19" s="1"/>
  <c r="L53"/>
  <c r="Q102" i="183" s="1"/>
  <c r="Q22" i="179"/>
  <c r="R17"/>
  <c r="K20" i="40"/>
  <c r="K20" i="201"/>
  <c r="P22" i="179"/>
  <c r="N30"/>
  <c r="O30" s="1"/>
  <c r="P17"/>
  <c r="U17" s="1"/>
  <c r="U16" s="1"/>
  <c r="N16"/>
  <c r="N32" s="1"/>
  <c r="O54"/>
  <c r="R22"/>
  <c r="O17"/>
  <c r="K60"/>
  <c r="N60" s="1"/>
  <c r="M128" s="1"/>
  <c r="O69" i="178" s="1"/>
  <c r="N53" i="179"/>
  <c r="M121" s="1"/>
  <c r="O62" i="178" s="1"/>
  <c r="K121" i="179"/>
  <c r="I62" i="178" s="1"/>
  <c r="Q28" i="179"/>
  <c r="P28"/>
  <c r="U28" s="1"/>
  <c r="R28"/>
  <c r="O28"/>
  <c r="N27"/>
  <c r="Q40"/>
  <c r="O40" s="1"/>
  <c r="N65" i="178"/>
  <c r="M65"/>
  <c r="G65"/>
  <c r="D26" i="180" s="1"/>
  <c r="H65" i="178"/>
  <c r="E26" i="180" s="1"/>
  <c r="N62" i="179"/>
  <c r="M130" s="1"/>
  <c r="O71" i="178" s="1"/>
  <c r="K130" i="179"/>
  <c r="I71" i="178" s="1"/>
  <c r="L63" i="179"/>
  <c r="Q112" i="183" s="1"/>
  <c r="K63" i="179"/>
  <c r="L122"/>
  <c r="P114" i="183"/>
  <c r="M65" i="179"/>
  <c r="J126" i="183"/>
  <c r="J125"/>
  <c r="J128"/>
  <c r="E146"/>
  <c r="J127"/>
  <c r="N9" i="185"/>
  <c r="P9" s="1"/>
  <c r="J37" i="169"/>
  <c r="L28" i="112"/>
  <c r="J28"/>
  <c r="U13"/>
  <c r="S13"/>
  <c r="U11"/>
  <c r="S11"/>
  <c r="O17" i="47"/>
  <c r="L17"/>
  <c r="AC14" i="25"/>
  <c r="AB19"/>
  <c r="AB20"/>
  <c r="AB21"/>
  <c r="AB27"/>
  <c r="AB28"/>
  <c r="AA19"/>
  <c r="AA20"/>
  <c r="AA21"/>
  <c r="AA22"/>
  <c r="AA23"/>
  <c r="AA24"/>
  <c r="AA25"/>
  <c r="AA26"/>
  <c r="AA27"/>
  <c r="AA28"/>
  <c r="AC12"/>
  <c r="Z13"/>
  <c r="Z14"/>
  <c r="Z15"/>
  <c r="Z18"/>
  <c r="Z12"/>
  <c r="T18"/>
  <c r="W14"/>
  <c r="U22"/>
  <c r="U23"/>
  <c r="U24"/>
  <c r="U25"/>
  <c r="U27"/>
  <c r="U28"/>
  <c r="W12"/>
  <c r="T13"/>
  <c r="T14"/>
  <c r="T15"/>
  <c r="T12"/>
  <c r="K10" i="40"/>
  <c r="K48" s="1"/>
  <c r="K50" s="1"/>
  <c r="L12" i="29"/>
  <c r="M10" i="40"/>
  <c r="M48" s="1"/>
  <c r="M50" s="1"/>
  <c r="R16" i="179" l="1"/>
  <c r="U22"/>
  <c r="P30"/>
  <c r="U30" s="1"/>
  <c r="Q61" s="1"/>
  <c r="O61" s="1"/>
  <c r="R30"/>
  <c r="Q41"/>
  <c r="O41" s="1"/>
  <c r="M11" i="40"/>
  <c r="T11" s="1"/>
  <c r="M11" i="201"/>
  <c r="Q30" i="179"/>
  <c r="Q42"/>
  <c r="O42" s="1"/>
  <c r="K128"/>
  <c r="I69" i="178" s="1"/>
  <c r="G69" s="1"/>
  <c r="D31" i="180" s="1"/>
  <c r="U30" i="25"/>
  <c r="K11" i="40"/>
  <c r="S11" s="1"/>
  <c r="K11" i="201"/>
  <c r="K23" s="1"/>
  <c r="O16" i="179"/>
  <c r="M20" i="40"/>
  <c r="M20" i="201"/>
  <c r="P32" i="179"/>
  <c r="Q32"/>
  <c r="R32"/>
  <c r="O32"/>
  <c r="Q16"/>
  <c r="P16"/>
  <c r="L43"/>
  <c r="Q92" i="183" s="1"/>
  <c r="K43" i="179"/>
  <c r="H62" i="178"/>
  <c r="E23" i="180" s="1"/>
  <c r="G62" i="178"/>
  <c r="D23" i="180" s="1"/>
  <c r="Q64" i="179"/>
  <c r="O64" s="1"/>
  <c r="R27"/>
  <c r="Q27"/>
  <c r="P27"/>
  <c r="O27"/>
  <c r="L55"/>
  <c r="Q104" i="183" s="1"/>
  <c r="K55" i="179"/>
  <c r="D26" i="185"/>
  <c r="D26" i="181"/>
  <c r="D26" i="205" s="1"/>
  <c r="L41" i="179"/>
  <c r="Q90" i="183" s="1"/>
  <c r="K41" i="179"/>
  <c r="H69" i="178"/>
  <c r="E31" i="180" s="1"/>
  <c r="N62" i="178"/>
  <c r="M62"/>
  <c r="L54" i="179"/>
  <c r="Q103" i="183" s="1"/>
  <c r="K54" i="179"/>
  <c r="N63"/>
  <c r="M131" s="1"/>
  <c r="O72" i="178" s="1"/>
  <c r="K131" i="179"/>
  <c r="I72" i="178" s="1"/>
  <c r="M71"/>
  <c r="N71"/>
  <c r="L40" i="179"/>
  <c r="K40"/>
  <c r="H71" i="178"/>
  <c r="E33" i="180" s="1"/>
  <c r="G71" i="178"/>
  <c r="D33" i="180" s="1"/>
  <c r="E26" i="181"/>
  <c r="E26" i="205" s="1"/>
  <c r="E26" i="185"/>
  <c r="L42" i="179"/>
  <c r="Q91" i="183" s="1"/>
  <c r="M69" i="178"/>
  <c r="N69"/>
  <c r="Q45" i="179"/>
  <c r="O45" s="1"/>
  <c r="Q57"/>
  <c r="O57" s="1"/>
  <c r="Q44"/>
  <c r="O44" s="1"/>
  <c r="J146" i="183"/>
  <c r="M135"/>
  <c r="F146"/>
  <c r="E147" s="1"/>
  <c r="H147" s="1"/>
  <c r="L99" i="179" s="1"/>
  <c r="K23" i="40"/>
  <c r="Y31" i="25"/>
  <c r="S31"/>
  <c r="O65" i="179" l="1"/>
  <c r="O66" s="1"/>
  <c r="M23" i="201"/>
  <c r="L49" i="40"/>
  <c r="M12" i="29"/>
  <c r="W30" i="25"/>
  <c r="M23" i="40"/>
  <c r="K42" i="179"/>
  <c r="N42" s="1"/>
  <c r="M110" s="1"/>
  <c r="O51" i="178" s="1"/>
  <c r="F26" i="205"/>
  <c r="M26" s="1"/>
  <c r="O26" s="1"/>
  <c r="D31" i="185"/>
  <c r="D31" i="181"/>
  <c r="D31" i="205" s="1"/>
  <c r="E33" i="181"/>
  <c r="E33" i="205" s="1"/>
  <c r="E33" i="185"/>
  <c r="K111" i="179"/>
  <c r="I52" i="178" s="1"/>
  <c r="N43" i="179"/>
  <c r="M111" s="1"/>
  <c r="O52" i="178" s="1"/>
  <c r="L57" i="179"/>
  <c r="Q106" i="183" s="1"/>
  <c r="K57" i="179"/>
  <c r="N40"/>
  <c r="M108" s="1"/>
  <c r="K108"/>
  <c r="G72" i="178"/>
  <c r="D34" i="180" s="1"/>
  <c r="H72" i="178"/>
  <c r="E34" i="180" s="1"/>
  <c r="D23" i="181"/>
  <c r="D23" i="205" s="1"/>
  <c r="D23" i="185"/>
  <c r="F26"/>
  <c r="N26" s="1"/>
  <c r="P26" s="1"/>
  <c r="L44" i="179"/>
  <c r="Q93" i="183" s="1"/>
  <c r="K44" i="179"/>
  <c r="D33" i="185"/>
  <c r="D33" i="181"/>
  <c r="D33" i="205" s="1"/>
  <c r="F33" s="1"/>
  <c r="M33" s="1"/>
  <c r="E31" i="181"/>
  <c r="E31" i="185"/>
  <c r="K122" i="179"/>
  <c r="I63" i="178" s="1"/>
  <c r="N54" i="179"/>
  <c r="N55"/>
  <c r="M123" s="1"/>
  <c r="O64" i="178" s="1"/>
  <c r="K123" i="179"/>
  <c r="I64" i="178" s="1"/>
  <c r="L61" i="179"/>
  <c r="Q110" i="183" s="1"/>
  <c r="K61" i="179"/>
  <c r="L45"/>
  <c r="Q94" i="183" s="1"/>
  <c r="K45" i="179"/>
  <c r="K110"/>
  <c r="I51" i="178" s="1"/>
  <c r="Q89" i="183"/>
  <c r="N72" i="178"/>
  <c r="M72"/>
  <c r="E23" i="185"/>
  <c r="E23" i="181"/>
  <c r="E23" i="205" s="1"/>
  <c r="N41" i="179"/>
  <c r="M109" s="1"/>
  <c r="O50" i="178" s="1"/>
  <c r="K109" i="179"/>
  <c r="I50" i="178" s="1"/>
  <c r="L64" i="179"/>
  <c r="Q113" i="183" s="1"/>
  <c r="K64" i="179"/>
  <c r="H146" i="183"/>
  <c r="F148"/>
  <c r="D147"/>
  <c r="G147" s="1"/>
  <c r="F147"/>
  <c r="M146"/>
  <c r="E25" i="177"/>
  <c r="D187" i="182" l="1"/>
  <c r="M11" i="29"/>
  <c r="E6" i="182" s="1"/>
  <c r="M19" i="29"/>
  <c r="E31" i="205"/>
  <c r="F31" s="1"/>
  <c r="M31" s="1"/>
  <c r="F23"/>
  <c r="M23" s="1"/>
  <c r="F33" i="185"/>
  <c r="N33" s="1"/>
  <c r="Q114" i="183"/>
  <c r="D34" i="181"/>
  <c r="D34" i="205" s="1"/>
  <c r="D34" i="185"/>
  <c r="G51" i="178"/>
  <c r="D12" i="180" s="1"/>
  <c r="H51" i="178"/>
  <c r="E12" i="180" s="1"/>
  <c r="G64" i="178"/>
  <c r="D25" i="180" s="1"/>
  <c r="H64" i="178"/>
  <c r="E25" i="180" s="1"/>
  <c r="F31" i="185"/>
  <c r="N31" s="1"/>
  <c r="G63" i="178"/>
  <c r="D24" i="180" s="1"/>
  <c r="H63" i="178"/>
  <c r="E24" i="180" s="1"/>
  <c r="O49" i="178"/>
  <c r="M50"/>
  <c r="N50"/>
  <c r="E34" i="185"/>
  <c r="E34" i="181"/>
  <c r="E34" i="205" s="1"/>
  <c r="M51" i="178"/>
  <c r="N51"/>
  <c r="N64"/>
  <c r="M64"/>
  <c r="N44" i="179"/>
  <c r="M112" s="1"/>
  <c r="O53" i="178" s="1"/>
  <c r="K112" i="179"/>
  <c r="I53" i="178" s="1"/>
  <c r="N57" i="179"/>
  <c r="M125" s="1"/>
  <c r="O66" i="178" s="1"/>
  <c r="K125" i="179"/>
  <c r="I66" i="178" s="1"/>
  <c r="L65" i="179"/>
  <c r="L79" s="1"/>
  <c r="H126" i="183" s="1"/>
  <c r="K126" s="1"/>
  <c r="F23" i="185"/>
  <c r="N23" s="1"/>
  <c r="K65" i="179"/>
  <c r="G50" i="178"/>
  <c r="D11" i="180" s="1"/>
  <c r="H50" i="178"/>
  <c r="E11" i="180" s="1"/>
  <c r="G52" i="178"/>
  <c r="D13" i="180" s="1"/>
  <c r="H52" i="178"/>
  <c r="E13" i="180" s="1"/>
  <c r="N45" i="179"/>
  <c r="M113" s="1"/>
  <c r="O54" i="178" s="1"/>
  <c r="K113" i="179"/>
  <c r="I54" i="178" s="1"/>
  <c r="M52"/>
  <c r="N52"/>
  <c r="N64" i="179"/>
  <c r="M132" s="1"/>
  <c r="O73" i="178" s="1"/>
  <c r="K132" i="179"/>
  <c r="I73" i="178" s="1"/>
  <c r="N61" i="179"/>
  <c r="M129" s="1"/>
  <c r="O70" i="178" s="1"/>
  <c r="K129" i="179"/>
  <c r="I70" i="178" s="1"/>
  <c r="M122" i="179"/>
  <c r="O63" i="178" s="1"/>
  <c r="I49"/>
  <c r="E22" i="177"/>
  <c r="E24" s="1"/>
  <c r="E26" s="1"/>
  <c r="E14" i="73"/>
  <c r="E17"/>
  <c r="N65" i="179" l="1"/>
  <c r="F34" i="205"/>
  <c r="M34" s="1"/>
  <c r="O34" s="1"/>
  <c r="L95" i="179"/>
  <c r="H142" i="183" s="1"/>
  <c r="K142" s="1"/>
  <c r="F34" i="185"/>
  <c r="N34" s="1"/>
  <c r="P34" s="1"/>
  <c r="N73" i="178"/>
  <c r="M73"/>
  <c r="E12" i="181"/>
  <c r="E12" i="205" s="1"/>
  <c r="E12" i="185"/>
  <c r="E11" i="181"/>
  <c r="E11" i="205" s="1"/>
  <c r="E11" i="185"/>
  <c r="N63" i="178"/>
  <c r="M63"/>
  <c r="H73"/>
  <c r="E35" i="180" s="1"/>
  <c r="G73" i="178"/>
  <c r="D35" i="180" s="1"/>
  <c r="E25" i="181"/>
  <c r="E25" i="205" s="1"/>
  <c r="E25" i="185"/>
  <c r="M49" i="178"/>
  <c r="N49"/>
  <c r="O74"/>
  <c r="H72" i="134" s="1"/>
  <c r="M17" i="112" s="1"/>
  <c r="M22" s="1"/>
  <c r="G70" i="178"/>
  <c r="D32" i="180" s="1"/>
  <c r="H70" i="178"/>
  <c r="E32" i="180" s="1"/>
  <c r="E13" i="181"/>
  <c r="E13" i="205" s="1"/>
  <c r="E13" i="185"/>
  <c r="L73" i="179"/>
  <c r="H120" i="183" s="1"/>
  <c r="K120" s="1"/>
  <c r="L120" s="1"/>
  <c r="L87" i="179"/>
  <c r="H134" i="183" s="1"/>
  <c r="K134" s="1"/>
  <c r="L84" i="179"/>
  <c r="H131" i="183" s="1"/>
  <c r="K131" s="1"/>
  <c r="L85" i="179"/>
  <c r="H132" i="183" s="1"/>
  <c r="K132" s="1"/>
  <c r="L96" i="179"/>
  <c r="H143" i="183" s="1"/>
  <c r="K143" s="1"/>
  <c r="L97" i="179"/>
  <c r="H144" i="183" s="1"/>
  <c r="K144" s="1"/>
  <c r="L82" i="179"/>
  <c r="H129" i="183" s="1"/>
  <c r="K129" s="1"/>
  <c r="L88" i="179"/>
  <c r="H135" i="183" s="1"/>
  <c r="K135" s="1"/>
  <c r="L78" i="179"/>
  <c r="H125" i="183" s="1"/>
  <c r="K125" s="1"/>
  <c r="L75" i="179"/>
  <c r="H122" i="183" s="1"/>
  <c r="K122" s="1"/>
  <c r="L83" i="179"/>
  <c r="H130" i="183" s="1"/>
  <c r="K130" s="1"/>
  <c r="L74" i="179"/>
  <c r="H121" i="183" s="1"/>
  <c r="K121" s="1"/>
  <c r="L121" s="1"/>
  <c r="L93" i="179"/>
  <c r="H140" i="183" s="1"/>
  <c r="K140" s="1"/>
  <c r="L140" s="1"/>
  <c r="L90" i="179"/>
  <c r="H137" i="183" s="1"/>
  <c r="K137" s="1"/>
  <c r="L89" i="179"/>
  <c r="H136" i="183" s="1"/>
  <c r="K136" s="1"/>
  <c r="L86" i="179"/>
  <c r="H133" i="183" s="1"/>
  <c r="K133" s="1"/>
  <c r="L92" i="179"/>
  <c r="H139" i="183" s="1"/>
  <c r="K139" s="1"/>
  <c r="L91" i="179"/>
  <c r="H138" i="183" s="1"/>
  <c r="K138" s="1"/>
  <c r="L81" i="179"/>
  <c r="H128" i="183" s="1"/>
  <c r="K128" s="1"/>
  <c r="L80" i="179"/>
  <c r="H127" i="183" s="1"/>
  <c r="K127" s="1"/>
  <c r="L98" i="179"/>
  <c r="H145" i="183" s="1"/>
  <c r="K145" s="1"/>
  <c r="L77" i="179"/>
  <c r="H124" i="183" s="1"/>
  <c r="K124" s="1"/>
  <c r="L76" i="179"/>
  <c r="H123" i="183" s="1"/>
  <c r="K123" s="1"/>
  <c r="L94" i="179"/>
  <c r="H141" i="183" s="1"/>
  <c r="K141" s="1"/>
  <c r="M53" i="178"/>
  <c r="N53"/>
  <c r="D12" i="185"/>
  <c r="D12" i="181"/>
  <c r="D12" i="205" s="1"/>
  <c r="D11" i="181"/>
  <c r="D11" i="205" s="1"/>
  <c r="D11" i="185"/>
  <c r="K133" i="179"/>
  <c r="M54" i="178"/>
  <c r="N54"/>
  <c r="H53"/>
  <c r="E14" i="180" s="1"/>
  <c r="G53" i="178"/>
  <c r="D14" i="180" s="1"/>
  <c r="G54" i="178"/>
  <c r="D15" i="180" s="1"/>
  <c r="H54" i="178"/>
  <c r="E15" i="180" s="1"/>
  <c r="N66" i="178"/>
  <c r="M66"/>
  <c r="G49"/>
  <c r="H49"/>
  <c r="I74"/>
  <c r="G72" i="134" s="1"/>
  <c r="K17" i="112" s="1"/>
  <c r="K22" s="1"/>
  <c r="N70" i="178"/>
  <c r="M70"/>
  <c r="D13" i="185"/>
  <c r="D13" i="181"/>
  <c r="D13" i="205" s="1"/>
  <c r="H66" i="178"/>
  <c r="E27" i="180" s="1"/>
  <c r="G66" i="178"/>
  <c r="D27" i="180" s="1"/>
  <c r="D25" i="181"/>
  <c r="D25" i="205" s="1"/>
  <c r="D25" i="185"/>
  <c r="M133" i="179"/>
  <c r="L126" i="183"/>
  <c r="M28" i="25"/>
  <c r="F11" i="185" l="1"/>
  <c r="N11" s="1"/>
  <c r="P11" s="1"/>
  <c r="F25" i="205"/>
  <c r="M25" s="1"/>
  <c r="O25" s="1"/>
  <c r="F13"/>
  <c r="M13" s="1"/>
  <c r="O13" s="1"/>
  <c r="F12"/>
  <c r="M12" s="1"/>
  <c r="O12" s="1"/>
  <c r="F11"/>
  <c r="M11" s="1"/>
  <c r="L127" i="183"/>
  <c r="L142"/>
  <c r="F25" i="185"/>
  <c r="N25" s="1"/>
  <c r="P25" s="1"/>
  <c r="L125" i="183"/>
  <c r="F13" i="185"/>
  <c r="N13" s="1"/>
  <c r="P13" s="1"/>
  <c r="L122" i="183"/>
  <c r="L123"/>
  <c r="E14" i="185"/>
  <c r="E14" i="181"/>
  <c r="E14" i="205" s="1"/>
  <c r="L138" i="183"/>
  <c r="L137"/>
  <c r="L144"/>
  <c r="L134"/>
  <c r="D10" i="185"/>
  <c r="D10" i="181"/>
  <c r="D10" i="205" s="1"/>
  <c r="M74" i="178"/>
  <c r="E35" i="181"/>
  <c r="E35" i="205" s="1"/>
  <c r="E35" i="185"/>
  <c r="E32"/>
  <c r="E32" i="181"/>
  <c r="D27"/>
  <c r="D27" i="205" s="1"/>
  <c r="D27" i="185"/>
  <c r="L136" i="183"/>
  <c r="L131"/>
  <c r="E10" i="181"/>
  <c r="E10" i="205" s="1"/>
  <c r="E10" i="185"/>
  <c r="N74" i="178"/>
  <c r="L133" i="183"/>
  <c r="L132"/>
  <c r="E24" i="185"/>
  <c r="E24" i="181"/>
  <c r="E24" i="205" s="1"/>
  <c r="K146" i="183"/>
  <c r="E27" i="185"/>
  <c r="E27" i="181"/>
  <c r="E27" i="205" s="1"/>
  <c r="L128" i="183"/>
  <c r="L130"/>
  <c r="L129"/>
  <c r="D35" i="181"/>
  <c r="D35" i="205" s="1"/>
  <c r="D35" i="185"/>
  <c r="D32" i="181"/>
  <c r="D32" i="205" s="1"/>
  <c r="D32" i="185"/>
  <c r="D10" i="180"/>
  <c r="G74" i="178"/>
  <c r="D15" i="181"/>
  <c r="D15" i="205" s="1"/>
  <c r="D15" i="185"/>
  <c r="L141" i="183"/>
  <c r="L135"/>
  <c r="E10" i="180"/>
  <c r="H74" i="178"/>
  <c r="E15" i="181"/>
  <c r="E15" i="205" s="1"/>
  <c r="E15" i="185"/>
  <c r="D14"/>
  <c r="D14" i="181"/>
  <c r="D14" i="205" s="1"/>
  <c r="F14" s="1"/>
  <c r="M14" s="1"/>
  <c r="O14" s="1"/>
  <c r="L145" i="183"/>
  <c r="L139"/>
  <c r="L143"/>
  <c r="D24" i="181"/>
  <c r="D24" i="205" s="1"/>
  <c r="D24" i="185"/>
  <c r="F24" s="1"/>
  <c r="N24" s="1"/>
  <c r="P24" s="1"/>
  <c r="L124" i="183"/>
  <c r="F12" i="185"/>
  <c r="N12" s="1"/>
  <c r="P12" s="1"/>
  <c r="E31" i="44"/>
  <c r="B43" i="138"/>
  <c r="B44" s="1"/>
  <c r="B45" s="1"/>
  <c r="B46" s="1"/>
  <c r="B47" s="1"/>
  <c r="B48" s="1"/>
  <c r="B49" s="1"/>
  <c r="B50" s="1"/>
  <c r="B51" s="1"/>
  <c r="B52" s="1"/>
  <c r="B53" s="1"/>
  <c r="B54" s="1"/>
  <c r="B55" s="1"/>
  <c r="B56" s="1"/>
  <c r="B57" s="1"/>
  <c r="B58" s="1"/>
  <c r="B59" s="1"/>
  <c r="B67"/>
  <c r="B68" s="1"/>
  <c r="B69" s="1"/>
  <c r="B70" s="1"/>
  <c r="B71" s="1"/>
  <c r="B72" s="1"/>
  <c r="B73" s="1"/>
  <c r="B74" s="1"/>
  <c r="B75" s="1"/>
  <c r="B76" s="1"/>
  <c r="B77" s="1"/>
  <c r="B78" s="1"/>
  <c r="B79" s="1"/>
  <c r="B80" s="1"/>
  <c r="B81" s="1"/>
  <c r="B82" s="1"/>
  <c r="B83" s="1"/>
  <c r="E75"/>
  <c r="E33"/>
  <c r="C48" i="165"/>
  <c r="B23" i="176"/>
  <c r="D23" s="1"/>
  <c r="B22"/>
  <c r="D22" s="1"/>
  <c r="B16"/>
  <c r="D16" s="1"/>
  <c r="B15"/>
  <c r="D15" s="1"/>
  <c r="B14"/>
  <c r="D14" s="1"/>
  <c r="B13"/>
  <c r="D13" s="1"/>
  <c r="D12"/>
  <c r="A34" i="165"/>
  <c r="A35" s="1"/>
  <c r="A36" s="1"/>
  <c r="A37" s="1"/>
  <c r="A38" s="1"/>
  <c r="A39" s="1"/>
  <c r="F35" i="185" l="1"/>
  <c r="N35" s="1"/>
  <c r="F27" i="205"/>
  <c r="M27" s="1"/>
  <c r="O27" s="1"/>
  <c r="F15"/>
  <c r="M15" s="1"/>
  <c r="O15" s="1"/>
  <c r="F10"/>
  <c r="M10" s="1"/>
  <c r="O10" s="1"/>
  <c r="D29"/>
  <c r="D36"/>
  <c r="E29"/>
  <c r="E32"/>
  <c r="E36" s="1"/>
  <c r="E36" i="181"/>
  <c r="F24" i="205"/>
  <c r="M24" s="1"/>
  <c r="O24" s="1"/>
  <c r="F35"/>
  <c r="M35" s="1"/>
  <c r="O11"/>
  <c r="F14" i="185"/>
  <c r="N14" s="1"/>
  <c r="P14" s="1"/>
  <c r="L146" i="183"/>
  <c r="F10" i="185"/>
  <c r="N10" s="1"/>
  <c r="P10" s="1"/>
  <c r="D29"/>
  <c r="F32"/>
  <c r="N32" s="1"/>
  <c r="D36"/>
  <c r="E29"/>
  <c r="F27"/>
  <c r="N27" s="1"/>
  <c r="P27" s="1"/>
  <c r="F15"/>
  <c r="N15" s="1"/>
  <c r="P15" s="1"/>
  <c r="E36"/>
  <c r="E24" i="176"/>
  <c r="D34" i="165" s="1"/>
  <c r="E34" s="1"/>
  <c r="A45"/>
  <c r="A46" s="1"/>
  <c r="A47" s="1"/>
  <c r="A48" s="1"/>
  <c r="A49" s="1"/>
  <c r="A40"/>
  <c r="E17" i="176"/>
  <c r="D33" i="165" s="1"/>
  <c r="E33" s="1"/>
  <c r="E51" i="138"/>
  <c r="F52" s="1"/>
  <c r="D85" i="60"/>
  <c r="D86" s="1"/>
  <c r="J206"/>
  <c r="H18" i="170"/>
  <c r="I208" i="60"/>
  <c r="I207"/>
  <c r="I205"/>
  <c r="I204"/>
  <c r="G208"/>
  <c r="G207"/>
  <c r="G205"/>
  <c r="G204"/>
  <c r="E208"/>
  <c r="E207"/>
  <c r="E206"/>
  <c r="E205"/>
  <c r="E204"/>
  <c r="D207"/>
  <c r="D206"/>
  <c r="D205"/>
  <c r="D204"/>
  <c r="I19" i="170"/>
  <c r="G19"/>
  <c r="H9"/>
  <c r="E17" s="1"/>
  <c r="H7"/>
  <c r="E15" s="1"/>
  <c r="H6"/>
  <c r="E14" s="1"/>
  <c r="E10"/>
  <c r="F36" i="205" l="1"/>
  <c r="F29"/>
  <c r="F32"/>
  <c r="M32" s="1"/>
  <c r="M37" s="1"/>
  <c r="E37" i="185"/>
  <c r="F29"/>
  <c r="D37"/>
  <c r="F36"/>
  <c r="J208" i="60"/>
  <c r="I88" i="198"/>
  <c r="E52" i="138"/>
  <c r="G52"/>
  <c r="F37" i="205" l="1"/>
  <c r="F37" i="185"/>
  <c r="E53" i="138"/>
  <c r="E54" s="1"/>
  <c r="E56" s="1"/>
  <c r="E57" s="1"/>
  <c r="F51" l="1"/>
  <c r="F53" s="1"/>
  <c r="G51" s="1"/>
  <c r="H32" i="40"/>
  <c r="F54" i="138" l="1"/>
  <c r="F56" s="1"/>
  <c r="F57" s="1"/>
  <c r="K32" i="201" s="1"/>
  <c r="G53" i="138"/>
  <c r="G54" s="1"/>
  <c r="G56" s="1"/>
  <c r="G57" s="1"/>
  <c r="M32" i="201" s="1"/>
  <c r="M32" i="40" l="1"/>
  <c r="T32" s="1"/>
  <c r="K32"/>
  <c r="S32" s="1"/>
  <c r="D62" i="176"/>
  <c r="E65" s="1"/>
  <c r="E57"/>
  <c r="D57"/>
  <c r="E56"/>
  <c r="D56"/>
  <c r="E55"/>
  <c r="D55"/>
  <c r="E50"/>
  <c r="D50"/>
  <c r="E49"/>
  <c r="D49"/>
  <c r="D48"/>
  <c r="E43"/>
  <c r="D43"/>
  <c r="E42"/>
  <c r="D42"/>
  <c r="E41"/>
  <c r="D41"/>
  <c r="E40"/>
  <c r="D40"/>
  <c r="E39"/>
  <c r="D39"/>
  <c r="E33"/>
  <c r="D33"/>
  <c r="E32"/>
  <c r="D32"/>
  <c r="E31"/>
  <c r="D31"/>
  <c r="E30"/>
  <c r="D30"/>
  <c r="E29"/>
  <c r="D29"/>
  <c r="E51" l="1"/>
  <c r="E42" i="134" s="1"/>
  <c r="G37" i="192" s="1"/>
  <c r="H41" i="134"/>
  <c r="M184" i="60" s="1"/>
  <c r="H42" i="134"/>
  <c r="G41"/>
  <c r="K184" i="60" s="1"/>
  <c r="G42" i="134"/>
  <c r="D14" i="177"/>
  <c r="D106" i="60"/>
  <c r="E13" i="201" s="1"/>
  <c r="E44" i="176"/>
  <c r="D19" i="165" s="1"/>
  <c r="E19" s="1"/>
  <c r="E34" i="176"/>
  <c r="D35" i="165" s="1"/>
  <c r="E35" s="1"/>
  <c r="E58" i="176"/>
  <c r="C14" i="177" s="1"/>
  <c r="F19" i="44"/>
  <c r="G31"/>
  <c r="B30"/>
  <c r="B31" s="1"/>
  <c r="B32" s="1"/>
  <c r="B33" s="1"/>
  <c r="B34" s="1"/>
  <c r="B35" s="1"/>
  <c r="B36" s="1"/>
  <c r="M14" i="184" l="1"/>
  <c r="E14"/>
  <c r="O70" i="138"/>
  <c r="E58" i="184"/>
  <c r="X50" i="138"/>
  <c r="X42"/>
  <c r="X34"/>
  <c r="P57"/>
  <c r="P34"/>
  <c r="P70"/>
  <c r="E10" i="184"/>
  <c r="W42" i="138"/>
  <c r="W34"/>
  <c r="M10" i="184"/>
  <c r="W50" i="138"/>
  <c r="O57"/>
  <c r="O34"/>
  <c r="F83" i="60"/>
  <c r="F86" s="1"/>
  <c r="E13" i="40"/>
  <c r="D88" i="60"/>
  <c r="J37" i="192"/>
  <c r="G70" i="138"/>
  <c r="I37" i="192"/>
  <c r="F70" i="138"/>
  <c r="D47" i="165"/>
  <c r="E47" s="1"/>
  <c r="D23"/>
  <c r="E23" s="1"/>
  <c r="D40"/>
  <c r="E40" s="1"/>
  <c r="D15"/>
  <c r="E15" s="1"/>
  <c r="F65" i="134"/>
  <c r="F66" s="1"/>
  <c r="D22" i="165"/>
  <c r="E22" s="1"/>
  <c r="D46"/>
  <c r="E46" s="1"/>
  <c r="D14"/>
  <c r="E14" s="1"/>
  <c r="D39"/>
  <c r="E39" s="1"/>
  <c r="F42" i="134"/>
  <c r="D11" i="165"/>
  <c r="E11" s="1"/>
  <c r="D36"/>
  <c r="E36" s="1"/>
  <c r="D20"/>
  <c r="E20" s="1"/>
  <c r="D12"/>
  <c r="E12" s="1"/>
  <c r="D37"/>
  <c r="E37" s="1"/>
  <c r="D10"/>
  <c r="E10" s="1"/>
  <c r="D44"/>
  <c r="E44" s="1"/>
  <c r="E215" i="60"/>
  <c r="M9" i="184" l="1"/>
  <c r="E9"/>
  <c r="N70" i="138"/>
  <c r="F88" i="60"/>
  <c r="H13" i="201"/>
  <c r="V50" i="138"/>
  <c r="V42"/>
  <c r="V34"/>
  <c r="N57"/>
  <c r="N79"/>
  <c r="N80" s="1"/>
  <c r="N81" s="1"/>
  <c r="N34"/>
  <c r="N43"/>
  <c r="N44" s="1"/>
  <c r="N45" s="1"/>
  <c r="H37" i="192"/>
  <c r="E70" i="138"/>
  <c r="E79"/>
  <c r="D38" i="165"/>
  <c r="E38" s="1"/>
  <c r="D45"/>
  <c r="E45" s="1"/>
  <c r="D21"/>
  <c r="E21" s="1"/>
  <c r="D13"/>
  <c r="E13" s="1"/>
  <c r="F64" i="134"/>
  <c r="F67" s="1"/>
  <c r="E63"/>
  <c r="E64" s="1"/>
  <c r="E67" s="1"/>
  <c r="E48" i="165" l="1"/>
  <c r="E49" s="1"/>
  <c r="E24"/>
  <c r="E25" s="1"/>
  <c r="N33" i="40" s="1"/>
  <c r="T33" s="1"/>
  <c r="D30" i="174"/>
  <c r="F30" i="44"/>
  <c r="F31" s="1"/>
  <c r="H30"/>
  <c r="F30" i="174"/>
  <c r="N34" i="201" l="1"/>
  <c r="N34" i="40"/>
  <c r="T34" s="1"/>
  <c r="N33" i="201"/>
  <c r="G19" i="40"/>
  <c r="Q19" s="1"/>
  <c r="H8" i="134" l="1"/>
  <c r="H14" s="1"/>
  <c r="G8"/>
  <c r="G14" s="1"/>
  <c r="G17" s="1"/>
  <c r="J11" i="44" l="1"/>
  <c r="J13" s="1"/>
  <c r="J15" s="1"/>
  <c r="H18" i="134"/>
  <c r="L97" i="60"/>
  <c r="L99" s="1"/>
  <c r="L102" s="1"/>
  <c r="H17" i="134"/>
  <c r="G31"/>
  <c r="L11" i="44"/>
  <c r="L13" s="1"/>
  <c r="L15" s="1"/>
  <c r="K14" i="169"/>
  <c r="I14"/>
  <c r="H31" i="134"/>
  <c r="M50" i="175"/>
  <c r="M47"/>
  <c r="M51" s="1"/>
  <c r="M44"/>
  <c r="M42"/>
  <c r="M41"/>
  <c r="M40"/>
  <c r="M39"/>
  <c r="M38"/>
  <c r="M36"/>
  <c r="M35"/>
  <c r="H34"/>
  <c r="H37" s="1"/>
  <c r="G34"/>
  <c r="G37" s="1"/>
  <c r="F34"/>
  <c r="F37" s="1"/>
  <c r="D34"/>
  <c r="D37" s="1"/>
  <c r="D41" s="1"/>
  <c r="D48" s="1"/>
  <c r="M33"/>
  <c r="M32"/>
  <c r="M31"/>
  <c r="M30"/>
  <c r="M29"/>
  <c r="M28"/>
  <c r="M27"/>
  <c r="M26"/>
  <c r="M25"/>
  <c r="M24"/>
  <c r="M23"/>
  <c r="M22"/>
  <c r="M21"/>
  <c r="M20"/>
  <c r="M19"/>
  <c r="M18"/>
  <c r="L17"/>
  <c r="M17" s="1"/>
  <c r="L16"/>
  <c r="M16" s="1"/>
  <c r="L15"/>
  <c r="M15" s="1"/>
  <c r="A15"/>
  <c r="A16" s="1"/>
  <c r="A17" s="1"/>
  <c r="K14"/>
  <c r="J14"/>
  <c r="I14"/>
  <c r="E14"/>
  <c r="L13"/>
  <c r="K13"/>
  <c r="J13"/>
  <c r="I13"/>
  <c r="F192" i="60" l="1"/>
  <c r="F16" i="201" s="1"/>
  <c r="G16" s="1"/>
  <c r="G18" i="134"/>
  <c r="J97" i="60"/>
  <c r="J99" s="1"/>
  <c r="J102" s="1"/>
  <c r="I34" i="175"/>
  <c r="I37" s="1"/>
  <c r="I48" s="1"/>
  <c r="I52" s="1"/>
  <c r="J34"/>
  <c r="J37" s="1"/>
  <c r="J48" s="1"/>
  <c r="J52" s="1"/>
  <c r="K34"/>
  <c r="K37" s="1"/>
  <c r="K48" s="1"/>
  <c r="K52" s="1"/>
  <c r="M13"/>
  <c r="L14"/>
  <c r="L34" s="1"/>
  <c r="L37" s="1"/>
  <c r="L48" s="1"/>
  <c r="L52" s="1"/>
  <c r="F143" i="60" l="1"/>
  <c r="F144" s="1"/>
  <c r="F145" s="1"/>
  <c r="G40" i="134" s="1"/>
  <c r="M34" i="175"/>
  <c r="M37" s="1"/>
  <c r="M48" s="1"/>
  <c r="M52" s="1"/>
  <c r="M14"/>
  <c r="J19" i="40" l="1"/>
  <c r="R19" s="1"/>
  <c r="G16" i="138" l="1"/>
  <c r="G17" s="1"/>
  <c r="G13"/>
  <c r="G14" s="1"/>
  <c r="G19" l="1"/>
  <c r="E76"/>
  <c r="E25" i="145"/>
  <c r="H189" i="60"/>
  <c r="H184"/>
  <c r="H176"/>
  <c r="H13" i="40"/>
  <c r="F99" i="60"/>
  <c r="E77" i="138" l="1"/>
  <c r="E78" s="1"/>
  <c r="I15" i="70"/>
  <c r="H14" i="44"/>
  <c r="H12"/>
  <c r="F16" i="40"/>
  <c r="G16" s="1"/>
  <c r="Q16" s="1"/>
  <c r="J51" i="1"/>
  <c r="M51" s="1"/>
  <c r="H17" i="116"/>
  <c r="G17"/>
  <c r="F17"/>
  <c r="F18" s="1"/>
  <c r="F25" i="201" s="1"/>
  <c r="G25" s="1"/>
  <c r="E17" i="116"/>
  <c r="E18" s="1"/>
  <c r="D17"/>
  <c r="D18" s="1"/>
  <c r="H12"/>
  <c r="H16" s="1"/>
  <c r="H11"/>
  <c r="G16"/>
  <c r="E16"/>
  <c r="D16"/>
  <c r="E13"/>
  <c r="G13"/>
  <c r="F12"/>
  <c r="F16" s="1"/>
  <c r="F11"/>
  <c r="F10"/>
  <c r="F33" i="72"/>
  <c r="F32"/>
  <c r="F18"/>
  <c r="F18" i="201" s="1"/>
  <c r="G18" s="1"/>
  <c r="F14" i="44"/>
  <c r="F12"/>
  <c r="F10"/>
  <c r="C104" i="67"/>
  <c r="M103"/>
  <c r="L103"/>
  <c r="I103"/>
  <c r="H103"/>
  <c r="N102"/>
  <c r="O102" s="1"/>
  <c r="N101"/>
  <c r="O101" s="1"/>
  <c r="N100"/>
  <c r="J100"/>
  <c r="N99"/>
  <c r="N98"/>
  <c r="O98" s="1"/>
  <c r="K97"/>
  <c r="O95"/>
  <c r="O93"/>
  <c r="N92"/>
  <c r="K92"/>
  <c r="J92"/>
  <c r="N90"/>
  <c r="O90" s="1"/>
  <c r="K89"/>
  <c r="J89"/>
  <c r="N87"/>
  <c r="N86" s="1"/>
  <c r="K86"/>
  <c r="J86"/>
  <c r="N83"/>
  <c r="O83" s="1"/>
  <c r="K82"/>
  <c r="J82"/>
  <c r="O80"/>
  <c r="N79"/>
  <c r="O79" s="1"/>
  <c r="N78"/>
  <c r="O78" s="1"/>
  <c r="N77"/>
  <c r="O77" s="1"/>
  <c r="N76"/>
  <c r="O76" s="1"/>
  <c r="N75"/>
  <c r="O75" s="1"/>
  <c r="K74"/>
  <c r="J74"/>
  <c r="N71"/>
  <c r="O71" s="1"/>
  <c r="N70"/>
  <c r="O70" s="1"/>
  <c r="N69"/>
  <c r="N68"/>
  <c r="O68" s="1"/>
  <c r="N67"/>
  <c r="O67" s="1"/>
  <c r="N66"/>
  <c r="O66" s="1"/>
  <c r="N65"/>
  <c r="G103"/>
  <c r="M53"/>
  <c r="L53"/>
  <c r="I53"/>
  <c r="H53"/>
  <c r="N52"/>
  <c r="O52" s="1"/>
  <c r="N51"/>
  <c r="O51" s="1"/>
  <c r="N50"/>
  <c r="O50" s="1"/>
  <c r="N49"/>
  <c r="N48"/>
  <c r="O48" s="1"/>
  <c r="K47"/>
  <c r="J47"/>
  <c r="G47"/>
  <c r="O45"/>
  <c r="O44"/>
  <c r="O43"/>
  <c r="N42"/>
  <c r="K42"/>
  <c r="J42"/>
  <c r="G42"/>
  <c r="N40"/>
  <c r="O40" s="1"/>
  <c r="K39"/>
  <c r="J39"/>
  <c r="G39"/>
  <c r="N37"/>
  <c r="O37" s="1"/>
  <c r="K36"/>
  <c r="J36"/>
  <c r="G36"/>
  <c r="N33"/>
  <c r="N32" s="1"/>
  <c r="K32"/>
  <c r="J32"/>
  <c r="G32"/>
  <c r="N30"/>
  <c r="O30" s="1"/>
  <c r="N29"/>
  <c r="O29" s="1"/>
  <c r="N28"/>
  <c r="O28" s="1"/>
  <c r="N27"/>
  <c r="O27" s="1"/>
  <c r="N26"/>
  <c r="O26" s="1"/>
  <c r="N25"/>
  <c r="O25" s="1"/>
  <c r="K24"/>
  <c r="J24"/>
  <c r="G24"/>
  <c r="N22"/>
  <c r="O22" s="1"/>
  <c r="N21"/>
  <c r="O21" s="1"/>
  <c r="N20"/>
  <c r="O20" s="1"/>
  <c r="N19"/>
  <c r="O19" s="1"/>
  <c r="N18"/>
  <c r="O18" s="1"/>
  <c r="N17"/>
  <c r="O17" s="1"/>
  <c r="N16"/>
  <c r="K15"/>
  <c r="J15"/>
  <c r="G15"/>
  <c r="D31" i="174" l="1"/>
  <c r="F20" i="44"/>
  <c r="N15" i="67"/>
  <c r="O100"/>
  <c r="O97" s="1"/>
  <c r="F87" i="134"/>
  <c r="G87" s="1"/>
  <c r="I17" i="201"/>
  <c r="J17" s="1"/>
  <c r="E25" i="40"/>
  <c r="E25" i="201"/>
  <c r="L16" i="40"/>
  <c r="S16" s="1"/>
  <c r="L16" i="201"/>
  <c r="N36" i="67"/>
  <c r="O36" s="1"/>
  <c r="N89"/>
  <c r="K103"/>
  <c r="F6" i="134" s="1"/>
  <c r="G12" i="169" s="1"/>
  <c r="E80" i="138"/>
  <c r="E81" s="1"/>
  <c r="M176" i="60"/>
  <c r="M192" s="1"/>
  <c r="O69" i="67"/>
  <c r="N64"/>
  <c r="N82"/>
  <c r="O82" s="1"/>
  <c r="O74"/>
  <c r="N74"/>
  <c r="J97"/>
  <c r="J103" s="1"/>
  <c r="N24"/>
  <c r="O16"/>
  <c r="O15" s="1"/>
  <c r="N97"/>
  <c r="O47"/>
  <c r="N39"/>
  <c r="O39" s="1"/>
  <c r="O42"/>
  <c r="O89"/>
  <c r="O92"/>
  <c r="I17" i="40"/>
  <c r="J17" s="1"/>
  <c r="R17" s="1"/>
  <c r="E60" i="134"/>
  <c r="F25" i="40"/>
  <c r="G25" s="1"/>
  <c r="G53" i="67"/>
  <c r="K53"/>
  <c r="E6" i="134" s="1"/>
  <c r="F9" i="116" s="1"/>
  <c r="F13" s="1"/>
  <c r="O32" i="67"/>
  <c r="O33"/>
  <c r="J53"/>
  <c r="O24"/>
  <c r="O86"/>
  <c r="N47"/>
  <c r="O65"/>
  <c r="O87"/>
  <c r="Q25" i="40" l="1"/>
  <c r="H87" i="134"/>
  <c r="L17" i="40"/>
  <c r="S17" s="1"/>
  <c r="L17" i="201"/>
  <c r="N16" i="40"/>
  <c r="T16" s="1"/>
  <c r="N16" i="201"/>
  <c r="I32" i="40"/>
  <c r="J32" s="1"/>
  <c r="R32" s="1"/>
  <c r="I32" i="201"/>
  <c r="J32" s="1"/>
  <c r="O64" i="67"/>
  <c r="O103" s="1"/>
  <c r="N103"/>
  <c r="N53"/>
  <c r="H9" i="116"/>
  <c r="O53" i="67"/>
  <c r="N17" i="40" l="1"/>
  <c r="T17" s="1"/>
  <c r="N17" i="201"/>
  <c r="D53" i="150"/>
  <c r="G47" l="1"/>
  <c r="E44"/>
  <c r="D44"/>
  <c r="F21" l="1"/>
  <c r="E20" l="1"/>
  <c r="D20"/>
  <c r="E9" l="1"/>
  <c r="E11" s="1"/>
  <c r="F7"/>
  <c r="F9" s="1"/>
  <c r="D7"/>
  <c r="A6"/>
  <c r="G5"/>
  <c r="F33" i="107"/>
  <c r="D33"/>
  <c r="C33"/>
  <c r="H30"/>
  <c r="E30"/>
  <c r="H28"/>
  <c r="E28"/>
  <c r="H26"/>
  <c r="E26"/>
  <c r="H24"/>
  <c r="E24"/>
  <c r="H22"/>
  <c r="E22"/>
  <c r="G22" s="1"/>
  <c r="H20"/>
  <c r="E20"/>
  <c r="H18"/>
  <c r="E18"/>
  <c r="H16"/>
  <c r="E16"/>
  <c r="H14"/>
  <c r="E14"/>
  <c r="M64" i="52"/>
  <c r="L64"/>
  <c r="N64" i="51"/>
  <c r="M64"/>
  <c r="L64"/>
  <c r="T56" i="125"/>
  <c r="R56"/>
  <c r="Q56"/>
  <c r="P56"/>
  <c r="O56"/>
  <c r="N56"/>
  <c r="M56"/>
  <c r="L56"/>
  <c r="K56"/>
  <c r="J56"/>
  <c r="I56"/>
  <c r="H56"/>
  <c r="G56"/>
  <c r="V55"/>
  <c r="T54"/>
  <c r="R54"/>
  <c r="Q54"/>
  <c r="P54"/>
  <c r="O54"/>
  <c r="N54"/>
  <c r="M54"/>
  <c r="L54"/>
  <c r="K54"/>
  <c r="J54"/>
  <c r="I54"/>
  <c r="H54"/>
  <c r="G54"/>
  <c r="V53"/>
  <c r="T52"/>
  <c r="R52"/>
  <c r="Q52"/>
  <c r="P52"/>
  <c r="O52"/>
  <c r="N52"/>
  <c r="M52"/>
  <c r="L52"/>
  <c r="K52"/>
  <c r="J52"/>
  <c r="I52"/>
  <c r="H52"/>
  <c r="G52"/>
  <c r="V51"/>
  <c r="T50"/>
  <c r="R50"/>
  <c r="Q50"/>
  <c r="I22" i="107" l="1"/>
  <c r="G26"/>
  <c r="G30"/>
  <c r="G16"/>
  <c r="G20"/>
  <c r="G24"/>
  <c r="E33"/>
  <c r="I28"/>
  <c r="G14"/>
  <c r="I16"/>
  <c r="A7" i="150"/>
  <c r="I14" i="107"/>
  <c r="G18"/>
  <c r="G28"/>
  <c r="D9" i="150"/>
  <c r="D11" s="1"/>
  <c r="V54" i="125"/>
  <c r="V52"/>
  <c r="P50"/>
  <c r="O50"/>
  <c r="N50"/>
  <c r="M50"/>
  <c r="L50"/>
  <c r="K50"/>
  <c r="J50"/>
  <c r="I50"/>
  <c r="H50"/>
  <c r="G50"/>
  <c r="V49"/>
  <c r="T48"/>
  <c r="R48"/>
  <c r="Q48"/>
  <c r="P48"/>
  <c r="O48"/>
  <c r="N48"/>
  <c r="M48"/>
  <c r="L48"/>
  <c r="K48"/>
  <c r="J48"/>
  <c r="I48"/>
  <c r="H48"/>
  <c r="G48"/>
  <c r="V47"/>
  <c r="T46"/>
  <c r="R46"/>
  <c r="Q46"/>
  <c r="P46"/>
  <c r="O46"/>
  <c r="N46"/>
  <c r="M46"/>
  <c r="L46"/>
  <c r="K46"/>
  <c r="J46"/>
  <c r="I46"/>
  <c r="H46"/>
  <c r="G46"/>
  <c r="V45"/>
  <c r="T44"/>
  <c r="R44"/>
  <c r="Q44"/>
  <c r="P44"/>
  <c r="O44"/>
  <c r="N44"/>
  <c r="M44"/>
  <c r="L44"/>
  <c r="K44"/>
  <c r="J44"/>
  <c r="I44"/>
  <c r="H44"/>
  <c r="G44"/>
  <c r="V43"/>
  <c r="T42"/>
  <c r="R42"/>
  <c r="Q42"/>
  <c r="P42"/>
  <c r="O42"/>
  <c r="N42"/>
  <c r="M42"/>
  <c r="L42"/>
  <c r="K42"/>
  <c r="J42"/>
  <c r="I42"/>
  <c r="H42"/>
  <c r="G42"/>
  <c r="V41"/>
  <c r="T40"/>
  <c r="R40"/>
  <c r="Q40"/>
  <c r="P40"/>
  <c r="O40"/>
  <c r="N40"/>
  <c r="M40"/>
  <c r="L40"/>
  <c r="K40"/>
  <c r="J40"/>
  <c r="I40"/>
  <c r="H40"/>
  <c r="G40"/>
  <c r="V39"/>
  <c r="T38"/>
  <c r="R38"/>
  <c r="Q38"/>
  <c r="P38"/>
  <c r="O38"/>
  <c r="N38"/>
  <c r="M38"/>
  <c r="L38"/>
  <c r="K38"/>
  <c r="J38"/>
  <c r="I38"/>
  <c r="H38"/>
  <c r="G38"/>
  <c r="V37"/>
  <c r="T36"/>
  <c r="R36"/>
  <c r="Q36"/>
  <c r="P36"/>
  <c r="O36"/>
  <c r="N36"/>
  <c r="M36"/>
  <c r="L36"/>
  <c r="K36"/>
  <c r="J36"/>
  <c r="I36"/>
  <c r="H36"/>
  <c r="G36"/>
  <c r="V35"/>
  <c r="T34"/>
  <c r="R34"/>
  <c r="Q34"/>
  <c r="P34"/>
  <c r="O34"/>
  <c r="N34"/>
  <c r="M34"/>
  <c r="L34"/>
  <c r="K34"/>
  <c r="J34"/>
  <c r="I34"/>
  <c r="H34"/>
  <c r="G34"/>
  <c r="V33"/>
  <c r="T32"/>
  <c r="R32"/>
  <c r="Q32"/>
  <c r="P32"/>
  <c r="O32"/>
  <c r="N32"/>
  <c r="M32"/>
  <c r="L32"/>
  <c r="K32"/>
  <c r="J32"/>
  <c r="I32"/>
  <c r="H32"/>
  <c r="G32"/>
  <c r="V31"/>
  <c r="T30"/>
  <c r="R30"/>
  <c r="Q30"/>
  <c r="P30"/>
  <c r="O30"/>
  <c r="N30"/>
  <c r="M30"/>
  <c r="L30"/>
  <c r="K30"/>
  <c r="J30"/>
  <c r="I30"/>
  <c r="H30"/>
  <c r="G30"/>
  <c r="V29"/>
  <c r="T28"/>
  <c r="R28"/>
  <c r="Q28"/>
  <c r="I33" i="107" l="1"/>
  <c r="H33" s="1"/>
  <c r="G33"/>
  <c r="V34" i="125"/>
  <c r="V46"/>
  <c r="V30"/>
  <c r="V38"/>
  <c r="U30"/>
  <c r="V36"/>
  <c r="V50"/>
  <c r="V32"/>
  <c r="V48"/>
  <c r="V40"/>
  <c r="V44"/>
  <c r="V42"/>
  <c r="P28"/>
  <c r="O28"/>
  <c r="N28"/>
  <c r="M28"/>
  <c r="L28"/>
  <c r="K28"/>
  <c r="J28"/>
  <c r="I28"/>
  <c r="H28"/>
  <c r="G28"/>
  <c r="V27"/>
  <c r="T26"/>
  <c r="R26"/>
  <c r="Q26"/>
  <c r="P26"/>
  <c r="O26"/>
  <c r="N26"/>
  <c r="M26"/>
  <c r="L26"/>
  <c r="K26"/>
  <c r="J26"/>
  <c r="I26"/>
  <c r="H26"/>
  <c r="G26"/>
  <c r="V25"/>
  <c r="T24"/>
  <c r="R24"/>
  <c r="Q24"/>
  <c r="P24"/>
  <c r="O24"/>
  <c r="N24"/>
  <c r="M24"/>
  <c r="L24"/>
  <c r="K24"/>
  <c r="J24"/>
  <c r="I24"/>
  <c r="H24"/>
  <c r="G24"/>
  <c r="V23"/>
  <c r="T22"/>
  <c r="R22"/>
  <c r="Q22"/>
  <c r="P22"/>
  <c r="O22"/>
  <c r="N22"/>
  <c r="M22"/>
  <c r="L22"/>
  <c r="K22"/>
  <c r="I22"/>
  <c r="H22"/>
  <c r="G22"/>
  <c r="V21"/>
  <c r="T20"/>
  <c r="R20"/>
  <c r="Q20"/>
  <c r="V26" l="1"/>
  <c r="V28"/>
  <c r="V22"/>
  <c r="V24"/>
  <c r="P20"/>
  <c r="O20"/>
  <c r="N20"/>
  <c r="M20"/>
  <c r="L20"/>
  <c r="K20"/>
  <c r="J20"/>
  <c r="I20"/>
  <c r="H20"/>
  <c r="G20"/>
  <c r="V19"/>
  <c r="T18"/>
  <c r="R18"/>
  <c r="Q18"/>
  <c r="P18"/>
  <c r="O18"/>
  <c r="N18"/>
  <c r="M18"/>
  <c r="L18"/>
  <c r="K18"/>
  <c r="J18"/>
  <c r="I18"/>
  <c r="H18"/>
  <c r="G18"/>
  <c r="V17"/>
  <c r="T16"/>
  <c r="R16"/>
  <c r="Q16"/>
  <c r="P16"/>
  <c r="O16"/>
  <c r="N16"/>
  <c r="M16"/>
  <c r="L16"/>
  <c r="K16"/>
  <c r="J16"/>
  <c r="I16"/>
  <c r="G16"/>
  <c r="V15"/>
  <c r="T14"/>
  <c r="R14"/>
  <c r="Q14"/>
  <c r="P14"/>
  <c r="O14"/>
  <c r="N14"/>
  <c r="M14"/>
  <c r="L14"/>
  <c r="K14"/>
  <c r="J14"/>
  <c r="I14"/>
  <c r="H14"/>
  <c r="G14"/>
  <c r="V13"/>
  <c r="T12"/>
  <c r="R12"/>
  <c r="Q12"/>
  <c r="P12"/>
  <c r="O12"/>
  <c r="N12"/>
  <c r="M12"/>
  <c r="L12"/>
  <c r="K12"/>
  <c r="J12"/>
  <c r="I12"/>
  <c r="H12"/>
  <c r="G12"/>
  <c r="V11"/>
  <c r="T10"/>
  <c r="R10"/>
  <c r="Q10"/>
  <c r="V12" l="1"/>
  <c r="V16"/>
  <c r="V20"/>
  <c r="V14"/>
  <c r="V18"/>
  <c r="P10"/>
  <c r="O10"/>
  <c r="O58" s="1"/>
  <c r="N10"/>
  <c r="M10"/>
  <c r="M58" s="1"/>
  <c r="L10"/>
  <c r="L58" s="1"/>
  <c r="K10"/>
  <c r="J10"/>
  <c r="J58" s="1"/>
  <c r="I10"/>
  <c r="I58" s="1"/>
  <c r="H10"/>
  <c r="H58" s="1"/>
  <c r="G10"/>
  <c r="G58" s="1"/>
  <c r="V56" s="1"/>
  <c r="V9"/>
  <c r="V10" l="1"/>
  <c r="K8"/>
  <c r="N8" s="1"/>
  <c r="N58" s="1"/>
  <c r="E52" i="114"/>
  <c r="I38"/>
  <c r="H38"/>
  <c r="I37"/>
  <c r="H37"/>
  <c r="K58" i="125" l="1"/>
  <c r="P8"/>
  <c r="I34" i="114"/>
  <c r="H34"/>
  <c r="I32"/>
  <c r="H32"/>
  <c r="I31"/>
  <c r="H31"/>
  <c r="I30"/>
  <c r="H30"/>
  <c r="I29"/>
  <c r="H29"/>
  <c r="I28"/>
  <c r="H28"/>
  <c r="I27"/>
  <c r="H27"/>
  <c r="I26"/>
  <c r="H26"/>
  <c r="I25"/>
  <c r="H25"/>
  <c r="I24"/>
  <c r="H24"/>
  <c r="I23"/>
  <c r="H23"/>
  <c r="I22"/>
  <c r="H22"/>
  <c r="I21"/>
  <c r="H21"/>
  <c r="I20"/>
  <c r="H20"/>
  <c r="I19"/>
  <c r="H19"/>
  <c r="I18"/>
  <c r="H18"/>
  <c r="I17"/>
  <c r="H17"/>
  <c r="I16"/>
  <c r="H16"/>
  <c r="I15"/>
  <c r="H15"/>
  <c r="I14"/>
  <c r="H14"/>
  <c r="I13"/>
  <c r="H13"/>
  <c r="I12"/>
  <c r="H12"/>
  <c r="I11"/>
  <c r="H11"/>
  <c r="I10"/>
  <c r="H10"/>
  <c r="L9"/>
  <c r="I9"/>
  <c r="H9"/>
  <c r="I8"/>
  <c r="H8"/>
  <c r="P58" i="125" l="1"/>
  <c r="P63" s="1"/>
  <c r="M60" s="1"/>
  <c r="T58" s="1"/>
  <c r="R58" s="1"/>
  <c r="Q58" s="1"/>
  <c r="V8"/>
  <c r="AK45" i="159" l="1"/>
  <c r="AI45"/>
  <c r="AH45"/>
  <c r="AG45"/>
  <c r="AE45"/>
  <c r="AC45"/>
  <c r="AB45"/>
  <c r="AA45"/>
  <c r="Y45"/>
  <c r="V45" l="1"/>
  <c r="T45"/>
  <c r="S45"/>
  <c r="R45"/>
  <c r="P45"/>
  <c r="M45"/>
  <c r="L45"/>
  <c r="K45"/>
  <c r="I45"/>
  <c r="H45"/>
  <c r="F45"/>
  <c r="E45"/>
  <c r="C45"/>
  <c r="O43"/>
  <c r="Q43" s="1"/>
  <c r="J43"/>
  <c r="D43"/>
  <c r="O42"/>
  <c r="Q42" s="1"/>
  <c r="J42"/>
  <c r="O41"/>
  <c r="Q41" s="1"/>
  <c r="J41"/>
  <c r="O40"/>
  <c r="Q40" s="1"/>
  <c r="J40"/>
  <c r="O39"/>
  <c r="Q39" s="1"/>
  <c r="J39"/>
  <c r="O38"/>
  <c r="Q38" s="1"/>
  <c r="J38"/>
  <c r="O37"/>
  <c r="Q37" s="1"/>
  <c r="J37"/>
  <c r="AK34"/>
  <c r="AI34"/>
  <c r="AH34"/>
  <c r="AG34"/>
  <c r="AE34"/>
  <c r="AC34"/>
  <c r="AB34"/>
  <c r="AA34"/>
  <c r="Y34"/>
  <c r="V34"/>
  <c r="S34"/>
  <c r="R34"/>
  <c r="P34"/>
  <c r="L34"/>
  <c r="K34"/>
  <c r="I34"/>
  <c r="H34"/>
  <c r="F34"/>
  <c r="E34"/>
  <c r="C34"/>
  <c r="AJ32"/>
  <c r="AF32"/>
  <c r="M32"/>
  <c r="J32"/>
  <c r="AJ31"/>
  <c r="AF31"/>
  <c r="O31"/>
  <c r="Q31" s="1"/>
  <c r="M31"/>
  <c r="J31"/>
  <c r="AJ30"/>
  <c r="AF30"/>
  <c r="T30"/>
  <c r="M30"/>
  <c r="O30" s="1"/>
  <c r="Q30" s="1"/>
  <c r="J30"/>
  <c r="AJ29"/>
  <c r="AF29"/>
  <c r="T29"/>
  <c r="M29"/>
  <c r="O29" s="1"/>
  <c r="Q29" s="1"/>
  <c r="J29"/>
  <c r="AJ28"/>
  <c r="AF28"/>
  <c r="M28"/>
  <c r="J28"/>
  <c r="AJ27"/>
  <c r="AF27"/>
  <c r="M27"/>
  <c r="O27" s="1"/>
  <c r="Q27" s="1"/>
  <c r="J27"/>
  <c r="AJ26"/>
  <c r="AF26"/>
  <c r="M26"/>
  <c r="J26"/>
  <c r="D26"/>
  <c r="AJ25"/>
  <c r="AF25"/>
  <c r="M25"/>
  <c r="J25"/>
  <c r="AJ24"/>
  <c r="AL24" s="1"/>
  <c r="AF24"/>
  <c r="M24"/>
  <c r="O24" s="1"/>
  <c r="Q24" s="1"/>
  <c r="J24"/>
  <c r="O23"/>
  <c r="Q23" s="1"/>
  <c r="J23"/>
  <c r="AK20"/>
  <c r="AI20"/>
  <c r="AH20"/>
  <c r="AG20"/>
  <c r="AN35" s="1"/>
  <c r="AE20"/>
  <c r="AC20"/>
  <c r="AB20"/>
  <c r="AA20"/>
  <c r="Y20"/>
  <c r="Y47" s="1"/>
  <c r="V20"/>
  <c r="T20"/>
  <c r="S20"/>
  <c r="R20"/>
  <c r="P20"/>
  <c r="M20"/>
  <c r="L20"/>
  <c r="K20"/>
  <c r="I20"/>
  <c r="H20"/>
  <c r="F20"/>
  <c r="E20"/>
  <c r="C20"/>
  <c r="O18"/>
  <c r="Q18" s="1"/>
  <c r="J18"/>
  <c r="O17"/>
  <c r="Q17" s="1"/>
  <c r="J17"/>
  <c r="O16"/>
  <c r="Q16" s="1"/>
  <c r="J16"/>
  <c r="D16"/>
  <c r="O15"/>
  <c r="Q15" s="1"/>
  <c r="J15"/>
  <c r="O14"/>
  <c r="Q14" s="1"/>
  <c r="J14"/>
  <c r="O13"/>
  <c r="Q13" s="1"/>
  <c r="J13"/>
  <c r="O12"/>
  <c r="Q12" s="1"/>
  <c r="J12"/>
  <c r="AE45" i="96"/>
  <c r="U45"/>
  <c r="Q45"/>
  <c r="P45"/>
  <c r="N45"/>
  <c r="K45"/>
  <c r="J45"/>
  <c r="H45"/>
  <c r="F45"/>
  <c r="E45"/>
  <c r="C45"/>
  <c r="Z43"/>
  <c r="X43"/>
  <c r="D43"/>
  <c r="D45" s="1"/>
  <c r="AB42"/>
  <c r="R42"/>
  <c r="L42"/>
  <c r="G42"/>
  <c r="I42" s="1"/>
  <c r="AB41"/>
  <c r="R41"/>
  <c r="L41"/>
  <c r="G41"/>
  <c r="I41" s="1"/>
  <c r="G40"/>
  <c r="M40" s="1"/>
  <c r="I40" s="1"/>
  <c r="AB39"/>
  <c r="Z39"/>
  <c r="R39"/>
  <c r="L39"/>
  <c r="G39"/>
  <c r="I39" s="1"/>
  <c r="AB38"/>
  <c r="X38"/>
  <c r="R38"/>
  <c r="L38"/>
  <c r="G38"/>
  <c r="I38" s="1"/>
  <c r="AB37"/>
  <c r="R37"/>
  <c r="L37"/>
  <c r="G37"/>
  <c r="I37" s="1"/>
  <c r="AA35"/>
  <c r="AE34"/>
  <c r="U34"/>
  <c r="N34"/>
  <c r="J34"/>
  <c r="H34"/>
  <c r="F34"/>
  <c r="E34"/>
  <c r="C34"/>
  <c r="AB32"/>
  <c r="X32"/>
  <c r="G32"/>
  <c r="I32" s="1"/>
  <c r="G31"/>
  <c r="M31" s="1"/>
  <c r="I31" s="1"/>
  <c r="G30"/>
  <c r="M30" s="1"/>
  <c r="AB29"/>
  <c r="R29"/>
  <c r="L29"/>
  <c r="I29"/>
  <c r="G29"/>
  <c r="X28"/>
  <c r="R28"/>
  <c r="L28"/>
  <c r="M28" s="1"/>
  <c r="O28" s="1"/>
  <c r="G28"/>
  <c r="I28" s="1"/>
  <c r="X27"/>
  <c r="R27"/>
  <c r="L27"/>
  <c r="G27"/>
  <c r="I27" s="1"/>
  <c r="Z26"/>
  <c r="X26"/>
  <c r="R26"/>
  <c r="P26"/>
  <c r="L26"/>
  <c r="D26"/>
  <c r="G26" s="1"/>
  <c r="I26" s="1"/>
  <c r="AB25"/>
  <c r="Z25"/>
  <c r="X25"/>
  <c r="R25"/>
  <c r="L25"/>
  <c r="M25" s="1"/>
  <c r="O25" s="1"/>
  <c r="G25"/>
  <c r="I25" s="1"/>
  <c r="AB24"/>
  <c r="Z24"/>
  <c r="X24"/>
  <c r="R24"/>
  <c r="Q24"/>
  <c r="L24"/>
  <c r="K24"/>
  <c r="G24"/>
  <c r="I24" s="1"/>
  <c r="G23"/>
  <c r="I23" s="1"/>
  <c r="AE20"/>
  <c r="Z20"/>
  <c r="Y20" s="1"/>
  <c r="X20"/>
  <c r="U20"/>
  <c r="V20" s="1"/>
  <c r="Q20"/>
  <c r="P20"/>
  <c r="N20"/>
  <c r="K20"/>
  <c r="J20"/>
  <c r="H20"/>
  <c r="F20"/>
  <c r="E20"/>
  <c r="C20"/>
  <c r="M18"/>
  <c r="I18" s="1"/>
  <c r="G18"/>
  <c r="AB17"/>
  <c r="AB20" s="1"/>
  <c r="R17"/>
  <c r="L17"/>
  <c r="M17" s="1"/>
  <c r="G17"/>
  <c r="I17" s="1"/>
  <c r="D16"/>
  <c r="G16" s="1"/>
  <c r="G15"/>
  <c r="G14"/>
  <c r="M14" s="1"/>
  <c r="G13"/>
  <c r="G12"/>
  <c r="M12" s="1"/>
  <c r="G74" i="160"/>
  <c r="G73"/>
  <c r="G72"/>
  <c r="G71"/>
  <c r="G70"/>
  <c r="G69"/>
  <c r="J41"/>
  <c r="G41"/>
  <c r="F41"/>
  <c r="E41"/>
  <c r="C41"/>
  <c r="I39"/>
  <c r="I38"/>
  <c r="I37"/>
  <c r="K36" s="1"/>
  <c r="I36"/>
  <c r="I35"/>
  <c r="I34"/>
  <c r="K33"/>
  <c r="I33"/>
  <c r="J31"/>
  <c r="G31"/>
  <c r="F31"/>
  <c r="E31"/>
  <c r="C31"/>
  <c r="I29"/>
  <c r="K29" s="1"/>
  <c r="I28"/>
  <c r="K28" s="1"/>
  <c r="I27"/>
  <c r="K27" s="1"/>
  <c r="I26"/>
  <c r="K26" s="1"/>
  <c r="I25"/>
  <c r="K25" s="1"/>
  <c r="I24"/>
  <c r="K24" s="1"/>
  <c r="I23"/>
  <c r="K23" s="1"/>
  <c r="I22"/>
  <c r="K22" s="1"/>
  <c r="I21"/>
  <c r="K21" s="1"/>
  <c r="I20"/>
  <c r="J18"/>
  <c r="G18"/>
  <c r="F18"/>
  <c r="E18"/>
  <c r="C18"/>
  <c r="I16"/>
  <c r="I15"/>
  <c r="I14"/>
  <c r="I13"/>
  <c r="I12"/>
  <c r="I11"/>
  <c r="I10"/>
  <c r="K10" s="1"/>
  <c r="J45" i="159" l="1"/>
  <c r="K34" i="160"/>
  <c r="K38"/>
  <c r="K13"/>
  <c r="AL31" i="159"/>
  <c r="I14" i="96"/>
  <c r="O14"/>
  <c r="M16"/>
  <c r="I16"/>
  <c r="J20" i="159"/>
  <c r="AE47"/>
  <c r="K12" i="160"/>
  <c r="K16"/>
  <c r="Z34" i="96"/>
  <c r="AB47" i="159"/>
  <c r="AL27"/>
  <c r="AL28"/>
  <c r="AG47"/>
  <c r="I12" i="96"/>
  <c r="O12"/>
  <c r="AA20"/>
  <c r="M26"/>
  <c r="O26" s="1"/>
  <c r="D34"/>
  <c r="P47" i="159"/>
  <c r="G34" i="96"/>
  <c r="I34" s="1"/>
  <c r="M27"/>
  <c r="O27" s="1"/>
  <c r="S40"/>
  <c r="W40" s="1"/>
  <c r="Z45"/>
  <c r="N47"/>
  <c r="AK47" i="159"/>
  <c r="J47" i="96"/>
  <c r="H47"/>
  <c r="AH47" i="159"/>
  <c r="K11" i="160"/>
  <c r="K15"/>
  <c r="K37"/>
  <c r="M38" i="96"/>
  <c r="S38" s="1"/>
  <c r="W38" s="1"/>
  <c r="O40"/>
  <c r="X45"/>
  <c r="AL30" i="159"/>
  <c r="AC47"/>
  <c r="AI47"/>
  <c r="S47"/>
  <c r="S17" i="96"/>
  <c r="W17" s="1"/>
  <c r="I30"/>
  <c r="S30"/>
  <c r="O30"/>
  <c r="S16"/>
  <c r="O16"/>
  <c r="D45" i="159"/>
  <c r="E47"/>
  <c r="C47"/>
  <c r="K47"/>
  <c r="O20"/>
  <c r="O45"/>
  <c r="S18" i="96"/>
  <c r="H21" i="36" s="1"/>
  <c r="D20" i="96"/>
  <c r="S31"/>
  <c r="C47"/>
  <c r="D34" i="159"/>
  <c r="J34"/>
  <c r="AN36"/>
  <c r="I47"/>
  <c r="R47"/>
  <c r="V47"/>
  <c r="I31" i="160"/>
  <c r="G20" i="96"/>
  <c r="I20" s="1"/>
  <c r="U47"/>
  <c r="F47" i="159"/>
  <c r="I18" i="160"/>
  <c r="K18" s="1"/>
  <c r="D20" i="159"/>
  <c r="K14" i="160"/>
  <c r="K20"/>
  <c r="K31"/>
  <c r="K35"/>
  <c r="K39"/>
  <c r="I41"/>
  <c r="S12" i="96"/>
  <c r="M13"/>
  <c r="S14"/>
  <c r="M15"/>
  <c r="O18"/>
  <c r="M29"/>
  <c r="S29" s="1"/>
  <c r="W29" s="1"/>
  <c r="O31"/>
  <c r="M39"/>
  <c r="O39" s="1"/>
  <c r="M41"/>
  <c r="O41" s="1"/>
  <c r="AL25" i="159"/>
  <c r="AL26"/>
  <c r="AL29"/>
  <c r="AL32"/>
  <c r="H47"/>
  <c r="J47" s="1"/>
  <c r="L47"/>
  <c r="AA47"/>
  <c r="L34" i="96"/>
  <c r="R34"/>
  <c r="AB45"/>
  <c r="L45"/>
  <c r="M24"/>
  <c r="S24" s="1"/>
  <c r="Q34"/>
  <c r="Q47" s="1"/>
  <c r="M37"/>
  <c r="S37" s="1"/>
  <c r="AD37" s="1"/>
  <c r="AG37" s="1"/>
  <c r="AB34"/>
  <c r="AC34" s="1"/>
  <c r="O17"/>
  <c r="K34"/>
  <c r="R45"/>
  <c r="Z47"/>
  <c r="P34"/>
  <c r="P47" s="1"/>
  <c r="Z35"/>
  <c r="C34" i="172"/>
  <c r="B34"/>
  <c r="C33"/>
  <c r="B33"/>
  <c r="C32"/>
  <c r="B32"/>
  <c r="C31"/>
  <c r="B31"/>
  <c r="C30"/>
  <c r="B30"/>
  <c r="C29"/>
  <c r="B29"/>
  <c r="AA34" i="96" l="1"/>
  <c r="AA33" s="1"/>
  <c r="O38"/>
  <c r="W37"/>
  <c r="AD24"/>
  <c r="AG24" s="1"/>
  <c r="D47" i="159"/>
  <c r="O29" i="96"/>
  <c r="S27"/>
  <c r="AD40"/>
  <c r="AG40" s="1"/>
  <c r="S41"/>
  <c r="W41" s="1"/>
  <c r="K41" i="160"/>
  <c r="I43"/>
  <c r="W18" i="96"/>
  <c r="AD18"/>
  <c r="AG18" s="1"/>
  <c r="W12"/>
  <c r="AD12"/>
  <c r="AG12" s="1"/>
  <c r="I13"/>
  <c r="O13"/>
  <c r="S13"/>
  <c r="H12" i="36" s="1"/>
  <c r="W31" i="96"/>
  <c r="AD31"/>
  <c r="AG31" s="1"/>
  <c r="I15"/>
  <c r="S15"/>
  <c r="O15"/>
  <c r="U45" i="159"/>
  <c r="Q45"/>
  <c r="AD30" i="96"/>
  <c r="AG30" s="1"/>
  <c r="W30"/>
  <c r="AD14"/>
  <c r="AG14" s="1"/>
  <c r="W14"/>
  <c r="U20" i="159"/>
  <c r="Q20"/>
  <c r="AD16" i="96"/>
  <c r="AG16" s="1"/>
  <c r="W16"/>
  <c r="AD29"/>
  <c r="AG29" s="1"/>
  <c r="M34"/>
  <c r="O34" s="1"/>
  <c r="C35" i="172"/>
  <c r="W24" i="96"/>
  <c r="O37"/>
  <c r="O24"/>
  <c r="AB47"/>
  <c r="AC35"/>
  <c r="AB35" s="1"/>
  <c r="AC33"/>
  <c r="B35" i="172"/>
  <c r="C26"/>
  <c r="B26"/>
  <c r="C25"/>
  <c r="B25"/>
  <c r="C24"/>
  <c r="B24"/>
  <c r="C23"/>
  <c r="B23"/>
  <c r="C22"/>
  <c r="B22"/>
  <c r="C21"/>
  <c r="B21"/>
  <c r="C19"/>
  <c r="B19"/>
  <c r="C18"/>
  <c r="B18"/>
  <c r="C16"/>
  <c r="B16"/>
  <c r="C15"/>
  <c r="B15"/>
  <c r="C13"/>
  <c r="B13"/>
  <c r="C12"/>
  <c r="B12"/>
  <c r="C11"/>
  <c r="B11"/>
  <c r="C10"/>
  <c r="B10"/>
  <c r="C9"/>
  <c r="B9"/>
  <c r="C8"/>
  <c r="B8"/>
  <c r="C6"/>
  <c r="B6"/>
  <c r="C5"/>
  <c r="B5"/>
  <c r="C4"/>
  <c r="B4"/>
  <c r="K111" i="49"/>
  <c r="K110"/>
  <c r="J109"/>
  <c r="I109"/>
  <c r="I112" s="1"/>
  <c r="H109"/>
  <c r="G109"/>
  <c r="K108"/>
  <c r="K107"/>
  <c r="K106"/>
  <c r="K105"/>
  <c r="K104"/>
  <c r="K103"/>
  <c r="K102"/>
  <c r="K101"/>
  <c r="K100"/>
  <c r="K99"/>
  <c r="K98"/>
  <c r="K97"/>
  <c r="K96"/>
  <c r="K95"/>
  <c r="K94"/>
  <c r="K93"/>
  <c r="K92"/>
  <c r="K91"/>
  <c r="K90"/>
  <c r="K89"/>
  <c r="K88"/>
  <c r="K87"/>
  <c r="K86"/>
  <c r="K85"/>
  <c r="A85"/>
  <c r="K84"/>
  <c r="C73"/>
  <c r="J69"/>
  <c r="J71" s="1"/>
  <c r="I69"/>
  <c r="H69"/>
  <c r="H71" s="1"/>
  <c r="G69"/>
  <c r="K68"/>
  <c r="K67"/>
  <c r="K66"/>
  <c r="K65"/>
  <c r="K64"/>
  <c r="K63"/>
  <c r="K62"/>
  <c r="K61"/>
  <c r="K60"/>
  <c r="K59"/>
  <c r="K58"/>
  <c r="K57"/>
  <c r="A57"/>
  <c r="K56"/>
  <c r="K42"/>
  <c r="J41"/>
  <c r="J43" s="1"/>
  <c r="I41"/>
  <c r="I43" s="1"/>
  <c r="H41"/>
  <c r="H43" s="1"/>
  <c r="G41"/>
  <c r="G43" s="1"/>
  <c r="K40"/>
  <c r="K39"/>
  <c r="K38"/>
  <c r="K37"/>
  <c r="K36"/>
  <c r="K35"/>
  <c r="K34"/>
  <c r="K33"/>
  <c r="K32"/>
  <c r="K31"/>
  <c r="K30"/>
  <c r="K29"/>
  <c r="K28"/>
  <c r="K27"/>
  <c r="K26"/>
  <c r="K25"/>
  <c r="K24"/>
  <c r="K23"/>
  <c r="K22"/>
  <c r="K21"/>
  <c r="K20"/>
  <c r="K19"/>
  <c r="K18"/>
  <c r="K17"/>
  <c r="K16"/>
  <c r="K15"/>
  <c r="K14"/>
  <c r="K13"/>
  <c r="K12"/>
  <c r="K11"/>
  <c r="K10"/>
  <c r="K9"/>
  <c r="K8"/>
  <c r="K7"/>
  <c r="A7"/>
  <c r="K6"/>
  <c r="R36" i="50"/>
  <c r="Q36"/>
  <c r="P36"/>
  <c r="O36"/>
  <c r="J36"/>
  <c r="I36"/>
  <c r="H36"/>
  <c r="G36"/>
  <c r="S35"/>
  <c r="H16" i="118" s="1"/>
  <c r="S34" i="50"/>
  <c r="H15" i="118" s="1"/>
  <c r="S33" i="50"/>
  <c r="H9" i="118" s="1"/>
  <c r="S32" i="50"/>
  <c r="K32"/>
  <c r="S31"/>
  <c r="H14" i="118" s="1"/>
  <c r="K31" i="50"/>
  <c r="S30"/>
  <c r="H7" i="118" s="1"/>
  <c r="K30" i="50"/>
  <c r="B30"/>
  <c r="S28"/>
  <c r="K28"/>
  <c r="C25"/>
  <c r="B25"/>
  <c r="S22"/>
  <c r="H8" i="118" s="1"/>
  <c r="K22" i="50"/>
  <c r="S18"/>
  <c r="H18" i="118" s="1"/>
  <c r="K18" i="50"/>
  <c r="C16"/>
  <c r="S12"/>
  <c r="K12"/>
  <c r="G23" i="118"/>
  <c r="G22"/>
  <c r="F20"/>
  <c r="F19"/>
  <c r="F18"/>
  <c r="F13"/>
  <c r="F10"/>
  <c r="F9"/>
  <c r="F8"/>
  <c r="B8"/>
  <c r="B22" i="168"/>
  <c r="B23" s="1"/>
  <c r="B24" s="1"/>
  <c r="B14"/>
  <c r="B15" s="1"/>
  <c r="B16" s="1"/>
  <c r="B5"/>
  <c r="B6" s="1"/>
  <c r="J17" i="166"/>
  <c r="J16"/>
  <c r="J15"/>
  <c r="J14"/>
  <c r="J13"/>
  <c r="J12"/>
  <c r="J11"/>
  <c r="J10"/>
  <c r="J9"/>
  <c r="J8"/>
  <c r="P7"/>
  <c r="J7"/>
  <c r="P6"/>
  <c r="J6"/>
  <c r="P5"/>
  <c r="J5"/>
  <c r="B5"/>
  <c r="B6" s="1"/>
  <c r="C36" i="50" l="1"/>
  <c r="H112" i="49"/>
  <c r="I71"/>
  <c r="S34" i="96"/>
  <c r="W34" s="1"/>
  <c r="V34" s="1"/>
  <c r="W27"/>
  <c r="H15" i="36"/>
  <c r="A8" i="49"/>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K36" i="50"/>
  <c r="G71" i="49"/>
  <c r="AD41" i="96"/>
  <c r="AG41" s="1"/>
  <c r="K43" i="49"/>
  <c r="B36" i="50"/>
  <c r="C37"/>
  <c r="AD13" i="96"/>
  <c r="AG13" s="1"/>
  <c r="W13"/>
  <c r="G43" i="160"/>
  <c r="F43" s="1"/>
  <c r="E43" s="1"/>
  <c r="C43" s="1"/>
  <c r="AD45" i="159"/>
  <c r="W45"/>
  <c r="G112" i="49"/>
  <c r="X20" i="159"/>
  <c r="Z20" s="1"/>
  <c r="B7" i="166"/>
  <c r="B8" s="1"/>
  <c r="B9" s="1"/>
  <c r="B10" s="1"/>
  <c r="B11" s="1"/>
  <c r="B12" s="1"/>
  <c r="B13" s="1"/>
  <c r="B14" s="1"/>
  <c r="B15" s="1"/>
  <c r="B16" s="1"/>
  <c r="B17" s="1"/>
  <c r="A58" i="49"/>
  <c r="A59" s="1"/>
  <c r="A60" s="1"/>
  <c r="A61" s="1"/>
  <c r="A62" s="1"/>
  <c r="A63" s="1"/>
  <c r="A64" s="1"/>
  <c r="A65" s="1"/>
  <c r="A66" s="1"/>
  <c r="A67" s="1"/>
  <c r="A68" s="1"/>
  <c r="A69" s="1"/>
  <c r="AD20" i="159"/>
  <c r="W20"/>
  <c r="AD15" i="96"/>
  <c r="AG15" s="1"/>
  <c r="W15"/>
  <c r="K41" i="49"/>
  <c r="K109"/>
  <c r="O8" i="166"/>
  <c r="B17" i="168"/>
  <c r="B9" i="118"/>
  <c r="B10" s="1"/>
  <c r="K69" i="49"/>
  <c r="A86"/>
  <c r="A87" s="1"/>
  <c r="A88" s="1"/>
  <c r="A89" s="1"/>
  <c r="A90" s="1"/>
  <c r="A91" s="1"/>
  <c r="A92" s="1"/>
  <c r="A93" s="1"/>
  <c r="A94" s="1"/>
  <c r="A95" s="1"/>
  <c r="A96" s="1"/>
  <c r="A97" s="1"/>
  <c r="A98" s="1"/>
  <c r="A99" s="1"/>
  <c r="A100" s="1"/>
  <c r="A101" s="1"/>
  <c r="A102" s="1"/>
  <c r="A103" s="1"/>
  <c r="A104" s="1"/>
  <c r="A105" s="1"/>
  <c r="A106" s="1"/>
  <c r="A107" s="1"/>
  <c r="A108" s="1"/>
  <c r="A109" s="1"/>
  <c r="A110" s="1"/>
  <c r="A111" s="1"/>
  <c r="C27" i="172"/>
  <c r="X45" i="159"/>
  <c r="Z45" s="1"/>
  <c r="F17" i="118"/>
  <c r="C7" i="172"/>
  <c r="C14"/>
  <c r="B7"/>
  <c r="B14"/>
  <c r="B17"/>
  <c r="B20"/>
  <c r="B27"/>
  <c r="C17"/>
  <c r="C20"/>
  <c r="H17" i="118"/>
  <c r="F21"/>
  <c r="H21"/>
  <c r="H86" i="153"/>
  <c r="G84"/>
  <c r="F84"/>
  <c r="C84"/>
  <c r="B84"/>
  <c r="A84"/>
  <c r="H82"/>
  <c r="H81"/>
  <c r="H80"/>
  <c r="H79"/>
  <c r="H78"/>
  <c r="H77"/>
  <c r="H76"/>
  <c r="H75"/>
  <c r="H74"/>
  <c r="H73"/>
  <c r="H72"/>
  <c r="H71"/>
  <c r="H70"/>
  <c r="H69"/>
  <c r="F66"/>
  <c r="C66"/>
  <c r="B66"/>
  <c r="A66"/>
  <c r="H64"/>
  <c r="G63"/>
  <c r="H63" s="1"/>
  <c r="H62"/>
  <c r="H61"/>
  <c r="H60"/>
  <c r="H59"/>
  <c r="H58"/>
  <c r="H57"/>
  <c r="H56"/>
  <c r="H55"/>
  <c r="H54"/>
  <c r="H53"/>
  <c r="H52"/>
  <c r="H51"/>
  <c r="H48"/>
  <c r="G48"/>
  <c r="F48"/>
  <c r="C48"/>
  <c r="B48"/>
  <c r="A48"/>
  <c r="D47"/>
  <c r="F41"/>
  <c r="C41"/>
  <c r="B41"/>
  <c r="A41"/>
  <c r="G39"/>
  <c r="G41" s="1"/>
  <c r="H38"/>
  <c r="H37"/>
  <c r="H36"/>
  <c r="H35"/>
  <c r="H34"/>
  <c r="H33"/>
  <c r="H32"/>
  <c r="H30"/>
  <c r="H29"/>
  <c r="H28"/>
  <c r="H27"/>
  <c r="H26"/>
  <c r="G23"/>
  <c r="F23"/>
  <c r="C23"/>
  <c r="B23"/>
  <c r="A23"/>
  <c r="H21"/>
  <c r="H20"/>
  <c r="H19"/>
  <c r="H18"/>
  <c r="H17"/>
  <c r="H16"/>
  <c r="H15"/>
  <c r="H14"/>
  <c r="H13"/>
  <c r="H12"/>
  <c r="H11"/>
  <c r="H10"/>
  <c r="H9"/>
  <c r="H8"/>
  <c r="K62" i="144"/>
  <c r="J62"/>
  <c r="G62"/>
  <c r="B58"/>
  <c r="E47"/>
  <c r="E46"/>
  <c r="D46"/>
  <c r="E45"/>
  <c r="D45"/>
  <c r="B45"/>
  <c r="E44"/>
  <c r="D44"/>
  <c r="G34"/>
  <c r="G29"/>
  <c r="B24"/>
  <c r="K14"/>
  <c r="I14"/>
  <c r="H14"/>
  <c r="G14"/>
  <c r="K13"/>
  <c r="G35" l="1"/>
  <c r="J14"/>
  <c r="B37" i="172"/>
  <c r="E48" i="144"/>
  <c r="E49" s="1"/>
  <c r="AJ45" i="159"/>
  <c r="AL45" s="1"/>
  <c r="AF45"/>
  <c r="AJ20"/>
  <c r="AL20" s="1"/>
  <c r="AF20"/>
  <c r="H23" i="153"/>
  <c r="H84"/>
  <c r="A112" i="49"/>
  <c r="B37" i="50"/>
  <c r="S36" s="1"/>
  <c r="H66" i="153"/>
  <c r="G66" s="1"/>
  <c r="B46" i="144"/>
  <c r="B47" s="1"/>
  <c r="B48" s="1"/>
  <c r="H39" i="153"/>
  <c r="H41" s="1"/>
  <c r="F25" i="118"/>
  <c r="C37" i="172"/>
  <c r="A11" i="165"/>
  <c r="A12" s="1"/>
  <c r="A13" s="1"/>
  <c r="A14" s="1"/>
  <c r="H25" i="118"/>
  <c r="I13" i="144"/>
  <c r="H13"/>
  <c r="G13"/>
  <c r="H88" i="153" l="1"/>
  <c r="G88" s="1"/>
  <c r="F88" s="1"/>
  <c r="C88" s="1"/>
  <c r="B88" s="1"/>
  <c r="A88" s="1"/>
  <c r="A17" i="165"/>
  <c r="A15"/>
  <c r="J13" i="144"/>
  <c r="F27" i="118"/>
  <c r="K12" i="144"/>
  <c r="I12"/>
  <c r="H12"/>
  <c r="G12"/>
  <c r="K11"/>
  <c r="I11"/>
  <c r="H11"/>
  <c r="G11"/>
  <c r="K10"/>
  <c r="I10"/>
  <c r="H10"/>
  <c r="G10"/>
  <c r="K9"/>
  <c r="I9"/>
  <c r="H9"/>
  <c r="K8"/>
  <c r="I8"/>
  <c r="H8"/>
  <c r="G8"/>
  <c r="K7"/>
  <c r="I7"/>
  <c r="H7"/>
  <c r="G7"/>
  <c r="K6"/>
  <c r="I6"/>
  <c r="H6"/>
  <c r="G6"/>
  <c r="B6"/>
  <c r="K5"/>
  <c r="A18" i="165" l="1"/>
  <c r="A19" s="1"/>
  <c r="A20" s="1"/>
  <c r="A21" s="1"/>
  <c r="A22" s="1"/>
  <c r="A23" s="1"/>
  <c r="A24" s="1"/>
  <c r="A25" s="1"/>
  <c r="J6" i="144"/>
  <c r="J8"/>
  <c r="J9"/>
  <c r="J7"/>
  <c r="K15"/>
  <c r="J11"/>
  <c r="J12"/>
  <c r="B7"/>
  <c r="B8" s="1"/>
  <c r="B9" s="1"/>
  <c r="B10" s="1"/>
  <c r="B11" s="1"/>
  <c r="B12" s="1"/>
  <c r="B13" s="1"/>
  <c r="B14" s="1"/>
  <c r="I5"/>
  <c r="H5"/>
  <c r="G5"/>
  <c r="H86" i="103"/>
  <c r="C86"/>
  <c r="G84"/>
  <c r="B84"/>
  <c r="A84"/>
  <c r="I82"/>
  <c r="C82"/>
  <c r="H81"/>
  <c r="C81"/>
  <c r="H80"/>
  <c r="C80"/>
  <c r="H79"/>
  <c r="C79"/>
  <c r="H78"/>
  <c r="C78"/>
  <c r="H77"/>
  <c r="C77"/>
  <c r="H76"/>
  <c r="C76"/>
  <c r="H75"/>
  <c r="C75"/>
  <c r="H74"/>
  <c r="C74"/>
  <c r="H73"/>
  <c r="C73"/>
  <c r="H72"/>
  <c r="C72"/>
  <c r="H71"/>
  <c r="C71"/>
  <c r="H70"/>
  <c r="C70"/>
  <c r="H69"/>
  <c r="C69"/>
  <c r="G66"/>
  <c r="B66"/>
  <c r="A66"/>
  <c r="H64"/>
  <c r="C64"/>
  <c r="H63"/>
  <c r="C63"/>
  <c r="H62"/>
  <c r="C62"/>
  <c r="H61"/>
  <c r="C61"/>
  <c r="H60"/>
  <c r="C60"/>
  <c r="H59"/>
  <c r="C59"/>
  <c r="H58"/>
  <c r="C58"/>
  <c r="H57"/>
  <c r="I57" s="1"/>
  <c r="C57"/>
  <c r="H56"/>
  <c r="C56"/>
  <c r="H55"/>
  <c r="C55"/>
  <c r="H54"/>
  <c r="C54"/>
  <c r="H53"/>
  <c r="C53"/>
  <c r="H52"/>
  <c r="C52"/>
  <c r="H51"/>
  <c r="I51" s="1"/>
  <c r="C51"/>
  <c r="E47"/>
  <c r="G41"/>
  <c r="B41"/>
  <c r="A41"/>
  <c r="I39"/>
  <c r="C39"/>
  <c r="H38"/>
  <c r="C38"/>
  <c r="H37"/>
  <c r="C37"/>
  <c r="H36"/>
  <c r="I36" s="1"/>
  <c r="C36"/>
  <c r="H35"/>
  <c r="C35"/>
  <c r="H34"/>
  <c r="C34"/>
  <c r="H33"/>
  <c r="C33"/>
  <c r="H32"/>
  <c r="C32"/>
  <c r="H31"/>
  <c r="C31"/>
  <c r="H30"/>
  <c r="C30"/>
  <c r="H29"/>
  <c r="C29"/>
  <c r="H28"/>
  <c r="C28"/>
  <c r="H27"/>
  <c r="C27"/>
  <c r="H26"/>
  <c r="I26" s="1"/>
  <c r="C26"/>
  <c r="G23"/>
  <c r="B23"/>
  <c r="A23"/>
  <c r="I21"/>
  <c r="C21"/>
  <c r="H20"/>
  <c r="C20"/>
  <c r="H19"/>
  <c r="C19"/>
  <c r="H18"/>
  <c r="I18" s="1"/>
  <c r="C18"/>
  <c r="H17"/>
  <c r="C17"/>
  <c r="H16"/>
  <c r="C16"/>
  <c r="H15"/>
  <c r="C15"/>
  <c r="H14"/>
  <c r="C14"/>
  <c r="H13"/>
  <c r="C13"/>
  <c r="H12"/>
  <c r="C12"/>
  <c r="H11"/>
  <c r="I11" s="1"/>
  <c r="C11"/>
  <c r="H10"/>
  <c r="C10"/>
  <c r="H9"/>
  <c r="C9"/>
  <c r="H8"/>
  <c r="I8" s="1"/>
  <c r="C8"/>
  <c r="H144" i="101"/>
  <c r="H138"/>
  <c r="I137"/>
  <c r="I136"/>
  <c r="H132"/>
  <c r="I131"/>
  <c r="D131"/>
  <c r="I130"/>
  <c r="D125"/>
  <c r="H123"/>
  <c r="H121"/>
  <c r="H120"/>
  <c r="D116"/>
  <c r="D110"/>
  <c r="C109"/>
  <c r="C108"/>
  <c r="D96"/>
  <c r="D90"/>
  <c r="D84"/>
  <c r="H71"/>
  <c r="I71" s="1"/>
  <c r="H68"/>
  <c r="H66"/>
  <c r="D66"/>
  <c r="I60" s="1"/>
  <c r="C66" s="1"/>
  <c r="H65"/>
  <c r="I63"/>
  <c r="D63"/>
  <c r="H61"/>
  <c r="H62" s="1"/>
  <c r="C61"/>
  <c r="D60"/>
  <c r="C60" s="1"/>
  <c r="I59"/>
  <c r="I57"/>
  <c r="H56"/>
  <c r="H58" s="1"/>
  <c r="I55"/>
  <c r="C55" s="1"/>
  <c r="D54"/>
  <c r="I54" s="1"/>
  <c r="D51"/>
  <c r="H50"/>
  <c r="D49"/>
  <c r="I49" s="1"/>
  <c r="D48"/>
  <c r="K45"/>
  <c r="I45"/>
  <c r="H44"/>
  <c r="K43"/>
  <c r="I43"/>
  <c r="C43" s="1"/>
  <c r="D42"/>
  <c r="H37"/>
  <c r="H35"/>
  <c r="I35" s="1"/>
  <c r="H34"/>
  <c r="D34"/>
  <c r="F30"/>
  <c r="D30"/>
  <c r="I25"/>
  <c r="H24"/>
  <c r="D24"/>
  <c r="I23"/>
  <c r="C23" s="1"/>
  <c r="I22"/>
  <c r="C22" s="1"/>
  <c r="I19"/>
  <c r="H18"/>
  <c r="I17"/>
  <c r="C17" s="1"/>
  <c r="D16"/>
  <c r="I15"/>
  <c r="I13"/>
  <c r="H12"/>
  <c r="I11"/>
  <c r="C11" s="1"/>
  <c r="D10"/>
  <c r="I10" s="1"/>
  <c r="J21" i="100"/>
  <c r="I21"/>
  <c r="H21"/>
  <c r="G21"/>
  <c r="F21"/>
  <c r="E21"/>
  <c r="D21"/>
  <c r="I20"/>
  <c r="G20"/>
  <c r="F20"/>
  <c r="E20"/>
  <c r="D20"/>
  <c r="K18"/>
  <c r="H18"/>
  <c r="J18" s="1"/>
  <c r="K17"/>
  <c r="H17"/>
  <c r="J17" s="1"/>
  <c r="K16"/>
  <c r="H16"/>
  <c r="J16" s="1"/>
  <c r="K15"/>
  <c r="J15"/>
  <c r="H15"/>
  <c r="K14"/>
  <c r="H14"/>
  <c r="J14" s="1"/>
  <c r="K13"/>
  <c r="H13"/>
  <c r="J13" s="1"/>
  <c r="K12"/>
  <c r="H12"/>
  <c r="J12" s="1"/>
  <c r="K11"/>
  <c r="H11"/>
  <c r="J11" s="1"/>
  <c r="K10"/>
  <c r="H10"/>
  <c r="J10" s="1"/>
  <c r="K9"/>
  <c r="H9"/>
  <c r="K585" i="98"/>
  <c r="K582"/>
  <c r="J582"/>
  <c r="I579"/>
  <c r="H579"/>
  <c r="G579"/>
  <c r="F579"/>
  <c r="E579"/>
  <c r="D579"/>
  <c r="C579"/>
  <c r="I578"/>
  <c r="H578"/>
  <c r="G578"/>
  <c r="F578"/>
  <c r="E578"/>
  <c r="D578"/>
  <c r="C578"/>
  <c r="I577"/>
  <c r="H577"/>
  <c r="G577"/>
  <c r="F577"/>
  <c r="E577"/>
  <c r="D577"/>
  <c r="C577"/>
  <c r="I576"/>
  <c r="H576"/>
  <c r="G576"/>
  <c r="F576"/>
  <c r="E576"/>
  <c r="D576"/>
  <c r="C576"/>
  <c r="BB575"/>
  <c r="I575"/>
  <c r="H575"/>
  <c r="G575"/>
  <c r="F575"/>
  <c r="E575"/>
  <c r="D575"/>
  <c r="C575"/>
  <c r="I574"/>
  <c r="H574"/>
  <c r="G574"/>
  <c r="F574"/>
  <c r="E574"/>
  <c r="D574"/>
  <c r="C574"/>
  <c r="I573"/>
  <c r="H573"/>
  <c r="G573"/>
  <c r="F573"/>
  <c r="E573"/>
  <c r="D573"/>
  <c r="C573"/>
  <c r="I572"/>
  <c r="H572"/>
  <c r="G572"/>
  <c r="F572"/>
  <c r="E572"/>
  <c r="D572"/>
  <c r="C572"/>
  <c r="I571"/>
  <c r="H571"/>
  <c r="G571"/>
  <c r="F571"/>
  <c r="E571"/>
  <c r="D571"/>
  <c r="C571"/>
  <c r="I570"/>
  <c r="H570"/>
  <c r="G570"/>
  <c r="F570"/>
  <c r="E570"/>
  <c r="D570"/>
  <c r="C570"/>
  <c r="I569"/>
  <c r="H569"/>
  <c r="G569"/>
  <c r="F569"/>
  <c r="C569"/>
  <c r="BC567"/>
  <c r="BC566"/>
  <c r="BC565"/>
  <c r="G550"/>
  <c r="E550"/>
  <c r="G542"/>
  <c r="E542"/>
  <c r="G530"/>
  <c r="E530"/>
  <c r="G525"/>
  <c r="E525"/>
  <c r="E510"/>
  <c r="G509"/>
  <c r="G501"/>
  <c r="E501"/>
  <c r="E86" s="1"/>
  <c r="G499"/>
  <c r="E499"/>
  <c r="D499"/>
  <c r="G498"/>
  <c r="E498"/>
  <c r="D498"/>
  <c r="G497"/>
  <c r="E497"/>
  <c r="D497"/>
  <c r="G496"/>
  <c r="E496"/>
  <c r="D496"/>
  <c r="G495"/>
  <c r="E495"/>
  <c r="D495"/>
  <c r="G494"/>
  <c r="E494"/>
  <c r="D494"/>
  <c r="G493"/>
  <c r="E493"/>
  <c r="D493"/>
  <c r="G492"/>
  <c r="E492"/>
  <c r="D492"/>
  <c r="G491"/>
  <c r="E491"/>
  <c r="D491"/>
  <c r="G490"/>
  <c r="E490"/>
  <c r="D490"/>
  <c r="G489"/>
  <c r="E489"/>
  <c r="D489"/>
  <c r="G488"/>
  <c r="E488"/>
  <c r="D488"/>
  <c r="G487"/>
  <c r="E487"/>
  <c r="D487"/>
  <c r="G486"/>
  <c r="E486"/>
  <c r="D486"/>
  <c r="G485"/>
  <c r="E485"/>
  <c r="D485"/>
  <c r="G484"/>
  <c r="E484"/>
  <c r="D484"/>
  <c r="G483"/>
  <c r="E483"/>
  <c r="D483"/>
  <c r="G482"/>
  <c r="E482"/>
  <c r="D482"/>
  <c r="G481"/>
  <c r="E481"/>
  <c r="D481"/>
  <c r="G480"/>
  <c r="E480"/>
  <c r="D480"/>
  <c r="G479"/>
  <c r="E479"/>
  <c r="D479"/>
  <c r="G478"/>
  <c r="E478"/>
  <c r="D478"/>
  <c r="G477"/>
  <c r="E477"/>
  <c r="D477"/>
  <c r="G476"/>
  <c r="E476"/>
  <c r="D476"/>
  <c r="G475"/>
  <c r="E475"/>
  <c r="D475"/>
  <c r="G474"/>
  <c r="E474"/>
  <c r="D474"/>
  <c r="G473"/>
  <c r="E473"/>
  <c r="D473"/>
  <c r="G472"/>
  <c r="E472"/>
  <c r="D472"/>
  <c r="G471"/>
  <c r="E471"/>
  <c r="D471"/>
  <c r="G470"/>
  <c r="E470"/>
  <c r="D470"/>
  <c r="G469"/>
  <c r="E469"/>
  <c r="D469"/>
  <c r="G468"/>
  <c r="E468"/>
  <c r="D468"/>
  <c r="G467"/>
  <c r="E467"/>
  <c r="D467"/>
  <c r="G466"/>
  <c r="E466"/>
  <c r="D466"/>
  <c r="G465"/>
  <c r="E465"/>
  <c r="D465"/>
  <c r="G464"/>
  <c r="E464"/>
  <c r="D464"/>
  <c r="G463"/>
  <c r="E463"/>
  <c r="D463"/>
  <c r="G462"/>
  <c r="E462"/>
  <c r="D462"/>
  <c r="G461"/>
  <c r="E461"/>
  <c r="D461"/>
  <c r="G460"/>
  <c r="E460"/>
  <c r="D460"/>
  <c r="G459"/>
  <c r="E459"/>
  <c r="D459"/>
  <c r="E431"/>
  <c r="G429"/>
  <c r="G421" s="1"/>
  <c r="G412"/>
  <c r="E412"/>
  <c r="G402"/>
  <c r="E402"/>
  <c r="E81" s="1"/>
  <c r="N400"/>
  <c r="G384"/>
  <c r="E384"/>
  <c r="E46" s="1"/>
  <c r="G376"/>
  <c r="E376"/>
  <c r="G373"/>
  <c r="E373"/>
  <c r="G42" s="1"/>
  <c r="G367"/>
  <c r="G41" s="1"/>
  <c r="E41" s="1"/>
  <c r="E367"/>
  <c r="G361"/>
  <c r="E361"/>
  <c r="D361"/>
  <c r="G360"/>
  <c r="E360"/>
  <c r="D360"/>
  <c r="G359"/>
  <c r="E359"/>
  <c r="D359"/>
  <c r="G358"/>
  <c r="E358"/>
  <c r="D358"/>
  <c r="G357"/>
  <c r="E357"/>
  <c r="D357"/>
  <c r="G349"/>
  <c r="E349"/>
  <c r="D349"/>
  <c r="G348"/>
  <c r="E348"/>
  <c r="D348"/>
  <c r="G347"/>
  <c r="E347"/>
  <c r="D347"/>
  <c r="G346"/>
  <c r="E346"/>
  <c r="D346"/>
  <c r="G345"/>
  <c r="E345"/>
  <c r="D345"/>
  <c r="G344"/>
  <c r="E344"/>
  <c r="D344"/>
  <c r="D343"/>
  <c r="G342"/>
  <c r="E342"/>
  <c r="D342"/>
  <c r="G341"/>
  <c r="E341"/>
  <c r="D341"/>
  <c r="G340"/>
  <c r="E340"/>
  <c r="D340"/>
  <c r="G339"/>
  <c r="E339"/>
  <c r="D339"/>
  <c r="G338"/>
  <c r="E338"/>
  <c r="D338"/>
  <c r="G337"/>
  <c r="E337"/>
  <c r="D337"/>
  <c r="G336"/>
  <c r="E336"/>
  <c r="D336"/>
  <c r="D335"/>
  <c r="G334"/>
  <c r="E334"/>
  <c r="D334"/>
  <c r="G333"/>
  <c r="E333"/>
  <c r="D333"/>
  <c r="G332"/>
  <c r="E332"/>
  <c r="D332"/>
  <c r="G331"/>
  <c r="E331"/>
  <c r="D331"/>
  <c r="G330"/>
  <c r="E330"/>
  <c r="D330"/>
  <c r="G329"/>
  <c r="E329"/>
  <c r="D329"/>
  <c r="G328"/>
  <c r="E328"/>
  <c r="D328"/>
  <c r="N327"/>
  <c r="G325"/>
  <c r="E325"/>
  <c r="D325"/>
  <c r="G324"/>
  <c r="E324"/>
  <c r="D324"/>
  <c r="G323"/>
  <c r="E323"/>
  <c r="D323"/>
  <c r="G322"/>
  <c r="E322"/>
  <c r="D322"/>
  <c r="G321"/>
  <c r="E321"/>
  <c r="D321"/>
  <c r="G318"/>
  <c r="E318"/>
  <c r="D318"/>
  <c r="G317"/>
  <c r="E317"/>
  <c r="D317"/>
  <c r="G316"/>
  <c r="E316"/>
  <c r="D316"/>
  <c r="S311"/>
  <c r="G307"/>
  <c r="E307"/>
  <c r="G296"/>
  <c r="E296"/>
  <c r="E301" s="1"/>
  <c r="G294"/>
  <c r="E294"/>
  <c r="D294"/>
  <c r="G293"/>
  <c r="E293"/>
  <c r="G292"/>
  <c r="E292"/>
  <c r="D292"/>
  <c r="G291"/>
  <c r="E291"/>
  <c r="D291"/>
  <c r="G286"/>
  <c r="D286"/>
  <c r="G285"/>
  <c r="D285"/>
  <c r="G281"/>
  <c r="D281"/>
  <c r="G280"/>
  <c r="D280"/>
  <c r="G279"/>
  <c r="D279"/>
  <c r="G278"/>
  <c r="D278"/>
  <c r="G274"/>
  <c r="D274"/>
  <c r="G273"/>
  <c r="D273"/>
  <c r="G272"/>
  <c r="D272"/>
  <c r="G271"/>
  <c r="D271"/>
  <c r="G270"/>
  <c r="D270"/>
  <c r="G269"/>
  <c r="D269"/>
  <c r="G268"/>
  <c r="D268"/>
  <c r="G267"/>
  <c r="D267"/>
  <c r="G266"/>
  <c r="D266"/>
  <c r="G265"/>
  <c r="D265"/>
  <c r="G264"/>
  <c r="D264"/>
  <c r="G263"/>
  <c r="D263"/>
  <c r="G262"/>
  <c r="D262"/>
  <c r="G261"/>
  <c r="D261"/>
  <c r="G260"/>
  <c r="D260"/>
  <c r="G259"/>
  <c r="D259"/>
  <c r="G254"/>
  <c r="E254"/>
  <c r="G246"/>
  <c r="E246"/>
  <c r="G243"/>
  <c r="E241"/>
  <c r="G230"/>
  <c r="E230"/>
  <c r="G227"/>
  <c r="E226"/>
  <c r="E227" s="1"/>
  <c r="E36" s="1"/>
  <c r="G211"/>
  <c r="E211"/>
  <c r="G207"/>
  <c r="E207"/>
  <c r="N196"/>
  <c r="G196"/>
  <c r="G198" s="1"/>
  <c r="E196"/>
  <c r="G192"/>
  <c r="G194" s="1"/>
  <c r="E192"/>
  <c r="G189"/>
  <c r="E189"/>
  <c r="G180"/>
  <c r="E180"/>
  <c r="G173"/>
  <c r="G170"/>
  <c r="E170"/>
  <c r="G166"/>
  <c r="N164"/>
  <c r="N163"/>
  <c r="E162"/>
  <c r="O160"/>
  <c r="G156"/>
  <c r="F156"/>
  <c r="E156"/>
  <c r="G141"/>
  <c r="E141"/>
  <c r="G135"/>
  <c r="G18" s="1"/>
  <c r="E133"/>
  <c r="IP97"/>
  <c r="G90"/>
  <c r="G83"/>
  <c r="G55"/>
  <c r="F44"/>
  <c r="G26"/>
  <c r="E26"/>
  <c r="G14"/>
  <c r="E14"/>
  <c r="G13"/>
  <c r="E13"/>
  <c r="J9" i="100" l="1"/>
  <c r="I58" i="103"/>
  <c r="I60"/>
  <c r="I62"/>
  <c r="I64"/>
  <c r="H84"/>
  <c r="I30"/>
  <c r="I34"/>
  <c r="I28"/>
  <c r="I32"/>
  <c r="E421" i="98"/>
  <c r="D22" i="100"/>
  <c r="I22"/>
  <c r="G22"/>
  <c r="I12" i="101"/>
  <c r="I14" s="1"/>
  <c r="H14" s="1"/>
  <c r="I34"/>
  <c r="H67"/>
  <c r="E198" i="98"/>
  <c r="E22" i="100"/>
  <c r="I20" i="103"/>
  <c r="E90" i="98"/>
  <c r="I65" i="101"/>
  <c r="C96" s="1"/>
  <c r="I138"/>
  <c r="H23" i="103"/>
  <c r="I13"/>
  <c r="I15"/>
  <c r="I17"/>
  <c r="I70"/>
  <c r="I72"/>
  <c r="I74"/>
  <c r="I76"/>
  <c r="I78"/>
  <c r="I80"/>
  <c r="C580" i="98"/>
  <c r="K579" s="1"/>
  <c r="J579" s="1"/>
  <c r="K574"/>
  <c r="B88" i="103"/>
  <c r="G175" i="98"/>
  <c r="I9" i="103"/>
  <c r="I59"/>
  <c r="I61"/>
  <c r="I63"/>
  <c r="I36" i="101"/>
  <c r="H36" s="1"/>
  <c r="D36" s="1"/>
  <c r="D44"/>
  <c r="K576" i="98"/>
  <c r="J576" s="1"/>
  <c r="C54" i="101"/>
  <c r="H66" i="103"/>
  <c r="G532" i="98"/>
  <c r="BC575"/>
  <c r="G580"/>
  <c r="D580"/>
  <c r="D80" i="101"/>
  <c r="C34"/>
  <c r="C106"/>
  <c r="D118"/>
  <c r="I12" i="103"/>
  <c r="I14"/>
  <c r="I16"/>
  <c r="I37"/>
  <c r="O402" i="98"/>
  <c r="O404" s="1"/>
  <c r="J574"/>
  <c r="H20" i="100"/>
  <c r="H22" s="1"/>
  <c r="E194" i="98"/>
  <c r="E580"/>
  <c r="F580"/>
  <c r="I42" i="101"/>
  <c r="C42" s="1"/>
  <c r="D112"/>
  <c r="I132"/>
  <c r="A88" i="103"/>
  <c r="I86" s="1"/>
  <c r="H41"/>
  <c r="I27"/>
  <c r="I29"/>
  <c r="I31"/>
  <c r="I33"/>
  <c r="I35"/>
  <c r="I53"/>
  <c r="I55"/>
  <c r="I69"/>
  <c r="J5" i="144"/>
  <c r="J20" i="100"/>
  <c r="J573" i="98"/>
  <c r="G43"/>
  <c r="E43" s="1"/>
  <c r="G551"/>
  <c r="E551" s="1"/>
  <c r="K569"/>
  <c r="J569" s="1"/>
  <c r="K570"/>
  <c r="J570" s="1"/>
  <c r="K577"/>
  <c r="J577" s="1"/>
  <c r="D18" i="101"/>
  <c r="I18" s="1"/>
  <c r="D82"/>
  <c r="C23" i="103"/>
  <c r="B15" i="144"/>
  <c r="G431" i="98"/>
  <c r="K571"/>
  <c r="J571" s="1"/>
  <c r="K578"/>
  <c r="J578" s="1"/>
  <c r="D12" i="101"/>
  <c r="D50"/>
  <c r="I56"/>
  <c r="I58" s="1"/>
  <c r="D62"/>
  <c r="D81"/>
  <c r="C66" i="103"/>
  <c r="E166" i="98"/>
  <c r="E175" s="1"/>
  <c r="G206"/>
  <c r="K575"/>
  <c r="J575" s="1"/>
  <c r="F22" i="100"/>
  <c r="C49" i="101"/>
  <c r="I48" s="1"/>
  <c r="C48" s="1"/>
  <c r="G20" i="98"/>
  <c r="N41"/>
  <c r="E135"/>
  <c r="E18" s="1"/>
  <c r="E20" s="1"/>
  <c r="E243"/>
  <c r="E250" s="1"/>
  <c r="G510"/>
  <c r="E532"/>
  <c r="K572"/>
  <c r="J572" s="1"/>
  <c r="K573"/>
  <c r="K20" i="100"/>
  <c r="C10" i="101"/>
  <c r="I16"/>
  <c r="C16" s="1"/>
  <c r="I24"/>
  <c r="C35"/>
  <c r="D56"/>
  <c r="D58" s="1"/>
  <c r="D68"/>
  <c r="D71" s="1"/>
  <c r="I120"/>
  <c r="I122" s="1"/>
  <c r="I10" i="103"/>
  <c r="I19"/>
  <c r="I38"/>
  <c r="C41"/>
  <c r="I52"/>
  <c r="I54"/>
  <c r="I56"/>
  <c r="I71"/>
  <c r="I73"/>
  <c r="I75"/>
  <c r="I77"/>
  <c r="I79"/>
  <c r="I81"/>
  <c r="C84"/>
  <c r="G88"/>
  <c r="M74" i="90"/>
  <c r="I74"/>
  <c r="Y73"/>
  <c r="W73" s="1"/>
  <c r="U73"/>
  <c r="S73" s="1"/>
  <c r="O73"/>
  <c r="K73"/>
  <c r="H73"/>
  <c r="Y72"/>
  <c r="X72" s="1"/>
  <c r="Q72"/>
  <c r="U72" s="1"/>
  <c r="S72" s="1"/>
  <c r="K72"/>
  <c r="H72"/>
  <c r="Y71"/>
  <c r="W71" s="1"/>
  <c r="D14" i="101" l="1"/>
  <c r="C14" s="1"/>
  <c r="D160"/>
  <c r="E206" i="98"/>
  <c r="G200" s="1"/>
  <c r="E200" s="1"/>
  <c r="H88" i="103"/>
  <c r="K580" i="98"/>
  <c r="J580" s="1"/>
  <c r="I580" s="1"/>
  <c r="H580" s="1"/>
  <c r="I23" i="103"/>
  <c r="I84"/>
  <c r="I66"/>
  <c r="C58" i="101"/>
  <c r="I41" i="103"/>
  <c r="G208" i="98"/>
  <c r="E208" s="1"/>
  <c r="I44" i="101"/>
  <c r="I46" s="1"/>
  <c r="H46" s="1"/>
  <c r="D46" s="1"/>
  <c r="H122"/>
  <c r="I121" s="1"/>
  <c r="I61"/>
  <c r="D64"/>
  <c r="C64" s="1"/>
  <c r="J22" i="100"/>
  <c r="C88" i="103"/>
  <c r="I50" i="101"/>
  <c r="E30" i="98"/>
  <c r="G28" s="1"/>
  <c r="E28" s="1"/>
  <c r="O72" i="90"/>
  <c r="Q71"/>
  <c r="U71" s="1"/>
  <c r="R71" s="1"/>
  <c r="J71"/>
  <c r="G71"/>
  <c r="Y70"/>
  <c r="W70" s="1"/>
  <c r="Q70"/>
  <c r="U70" s="1"/>
  <c r="R70" s="1"/>
  <c r="J70"/>
  <c r="G70"/>
  <c r="Y69"/>
  <c r="W69" s="1"/>
  <c r="Q69"/>
  <c r="K69"/>
  <c r="K74" s="1"/>
  <c r="J69"/>
  <c r="H69"/>
  <c r="H74" s="1"/>
  <c r="G69"/>
  <c r="Y66"/>
  <c r="X66"/>
  <c r="W66"/>
  <c r="M66"/>
  <c r="I66"/>
  <c r="H66"/>
  <c r="G66"/>
  <c r="Y65"/>
  <c r="X65" s="1"/>
  <c r="Q65"/>
  <c r="T65" s="1"/>
  <c r="P65"/>
  <c r="L65"/>
  <c r="K65"/>
  <c r="H65"/>
  <c r="Y64"/>
  <c r="X64" s="1"/>
  <c r="Q64"/>
  <c r="U64" s="1"/>
  <c r="T64" s="1"/>
  <c r="P64"/>
  <c r="L64"/>
  <c r="K64"/>
  <c r="H64"/>
  <c r="Y63"/>
  <c r="X63" s="1"/>
  <c r="Q63"/>
  <c r="T63" s="1"/>
  <c r="P63"/>
  <c r="L63"/>
  <c r="K63"/>
  <c r="H63"/>
  <c r="Y62"/>
  <c r="X62" s="1"/>
  <c r="Q62"/>
  <c r="U62" s="1"/>
  <c r="T62" s="1"/>
  <c r="P62"/>
  <c r="L62"/>
  <c r="K62"/>
  <c r="H62"/>
  <c r="Y61"/>
  <c r="X61" s="1"/>
  <c r="Q61"/>
  <c r="T61" s="1"/>
  <c r="P61"/>
  <c r="L61"/>
  <c r="K61"/>
  <c r="H61"/>
  <c r="Y60"/>
  <c r="X60" s="1"/>
  <c r="Q60"/>
  <c r="O60" s="1"/>
  <c r="P60"/>
  <c r="L60"/>
  <c r="K60"/>
  <c r="H60"/>
  <c r="AA59"/>
  <c r="Y59"/>
  <c r="Q59"/>
  <c r="U59" s="1"/>
  <c r="P59"/>
  <c r="L59"/>
  <c r="K59"/>
  <c r="J59"/>
  <c r="H59"/>
  <c r="Y58"/>
  <c r="X58" s="1"/>
  <c r="Q58"/>
  <c r="U58" s="1"/>
  <c r="T58" s="1"/>
  <c r="P58"/>
  <c r="L58"/>
  <c r="Y57"/>
  <c r="X57" s="1"/>
  <c r="Q57"/>
  <c r="O57" s="1"/>
  <c r="P57"/>
  <c r="L57"/>
  <c r="K57"/>
  <c r="H57"/>
  <c r="Y56"/>
  <c r="X56"/>
  <c r="W56"/>
  <c r="Q56"/>
  <c r="U56" s="1"/>
  <c r="T56" s="1"/>
  <c r="P56"/>
  <c r="L56"/>
  <c r="K56"/>
  <c r="H56"/>
  <c r="AA55"/>
  <c r="Y55"/>
  <c r="W55"/>
  <c r="Q55"/>
  <c r="U55" s="1"/>
  <c r="T55" s="1"/>
  <c r="P55"/>
  <c r="L55"/>
  <c r="J55"/>
  <c r="G55"/>
  <c r="Y54"/>
  <c r="X54" s="1"/>
  <c r="Q54"/>
  <c r="U54" s="1"/>
  <c r="P54"/>
  <c r="L54"/>
  <c r="K54"/>
  <c r="H54"/>
  <c r="Y53"/>
  <c r="X53" s="1"/>
  <c r="Q53"/>
  <c r="O53" s="1"/>
  <c r="P53"/>
  <c r="L53"/>
  <c r="K53"/>
  <c r="H53"/>
  <c r="Y52"/>
  <c r="X52" s="1"/>
  <c r="Q52"/>
  <c r="U52" s="1"/>
  <c r="P52"/>
  <c r="L52"/>
  <c r="K52"/>
  <c r="H52"/>
  <c r="Y51"/>
  <c r="X51" s="1"/>
  <c r="Q51"/>
  <c r="T51" s="1"/>
  <c r="P51"/>
  <c r="L51"/>
  <c r="K51"/>
  <c r="H51"/>
  <c r="AE50"/>
  <c r="Y50"/>
  <c r="X50" s="1"/>
  <c r="Q50"/>
  <c r="T50" s="1"/>
  <c r="P50"/>
  <c r="L50"/>
  <c r="K50"/>
  <c r="Y49"/>
  <c r="X49" s="1"/>
  <c r="Q49"/>
  <c r="T49" s="1"/>
  <c r="P49"/>
  <c r="L49"/>
  <c r="K49"/>
  <c r="H49"/>
  <c r="Y48"/>
  <c r="X48" s="1"/>
  <c r="Q48"/>
  <c r="U48" s="1"/>
  <c r="P48"/>
  <c r="L48"/>
  <c r="Y47"/>
  <c r="X47" s="1"/>
  <c r="Q47"/>
  <c r="U47" s="1"/>
  <c r="P47"/>
  <c r="L47"/>
  <c r="Y46"/>
  <c r="X46" s="1"/>
  <c r="Q46"/>
  <c r="U46" s="1"/>
  <c r="T46" s="1"/>
  <c r="P46"/>
  <c r="L46"/>
  <c r="K46"/>
  <c r="H46"/>
  <c r="Y45"/>
  <c r="X45" s="1"/>
  <c r="Q45"/>
  <c r="U45" s="1"/>
  <c r="P45"/>
  <c r="L45"/>
  <c r="K45"/>
  <c r="H45"/>
  <c r="Y44"/>
  <c r="X44" s="1"/>
  <c r="Q44"/>
  <c r="U44" s="1"/>
  <c r="T44" s="1"/>
  <c r="P44"/>
  <c r="L44"/>
  <c r="K44"/>
  <c r="H44"/>
  <c r="Y36"/>
  <c r="X36" s="1"/>
  <c r="Q36"/>
  <c r="T36" s="1"/>
  <c r="P36"/>
  <c r="L36"/>
  <c r="K36"/>
  <c r="H36"/>
  <c r="Y35"/>
  <c r="X35" s="1"/>
  <c r="Q35"/>
  <c r="U35" s="1"/>
  <c r="P35"/>
  <c r="L35"/>
  <c r="K35"/>
  <c r="H35"/>
  <c r="Y34"/>
  <c r="X34" s="1"/>
  <c r="Q34"/>
  <c r="O34" s="1"/>
  <c r="P34"/>
  <c r="L34"/>
  <c r="K34"/>
  <c r="H34"/>
  <c r="Y33"/>
  <c r="X33" s="1"/>
  <c r="Q33"/>
  <c r="U33" s="1"/>
  <c r="P33"/>
  <c r="L33"/>
  <c r="K33"/>
  <c r="H33"/>
  <c r="Y32"/>
  <c r="X32" s="1"/>
  <c r="Q32"/>
  <c r="T32" s="1"/>
  <c r="P32"/>
  <c r="L32"/>
  <c r="K32"/>
  <c r="H32"/>
  <c r="Y31"/>
  <c r="X31"/>
  <c r="W31"/>
  <c r="Q31"/>
  <c r="N31" s="1"/>
  <c r="P31"/>
  <c r="L31"/>
  <c r="K31"/>
  <c r="J31"/>
  <c r="H31"/>
  <c r="G31"/>
  <c r="Y30"/>
  <c r="X30" s="1"/>
  <c r="Q30"/>
  <c r="U30" s="1"/>
  <c r="P30"/>
  <c r="L30"/>
  <c r="K30"/>
  <c r="H30"/>
  <c r="Y29"/>
  <c r="X29" s="1"/>
  <c r="Q29"/>
  <c r="O29" s="1"/>
  <c r="P29"/>
  <c r="L29"/>
  <c r="K29"/>
  <c r="H29"/>
  <c r="Y28"/>
  <c r="X28" s="1"/>
  <c r="Q28"/>
  <c r="U28" s="1"/>
  <c r="P28"/>
  <c r="L28"/>
  <c r="K28"/>
  <c r="H28"/>
  <c r="Y27"/>
  <c r="X27" s="1"/>
  <c r="Q27"/>
  <c r="T27" s="1"/>
  <c r="P27"/>
  <c r="L27"/>
  <c r="K27"/>
  <c r="H27"/>
  <c r="Y26"/>
  <c r="X26" s="1"/>
  <c r="Q26"/>
  <c r="U26" s="1"/>
  <c r="P26"/>
  <c r="L26"/>
  <c r="Y25"/>
  <c r="X25" s="1"/>
  <c r="Q25"/>
  <c r="U25" s="1"/>
  <c r="P25"/>
  <c r="L25"/>
  <c r="Y24"/>
  <c r="X24" s="1"/>
  <c r="Q24"/>
  <c r="U24" s="1"/>
  <c r="P24"/>
  <c r="L24"/>
  <c r="Y23"/>
  <c r="X23" s="1"/>
  <c r="Q23"/>
  <c r="O23" s="1"/>
  <c r="P23"/>
  <c r="L23"/>
  <c r="K23"/>
  <c r="H23"/>
  <c r="Y22"/>
  <c r="X22" s="1"/>
  <c r="Q22"/>
  <c r="T22" s="1"/>
  <c r="P22"/>
  <c r="L22"/>
  <c r="K22"/>
  <c r="H22"/>
  <c r="Y21"/>
  <c r="X21" s="1"/>
  <c r="Q21"/>
  <c r="U21" s="1"/>
  <c r="T21" s="1"/>
  <c r="P21"/>
  <c r="L21"/>
  <c r="K21"/>
  <c r="H21"/>
  <c r="Y20"/>
  <c r="X20" s="1"/>
  <c r="Q20"/>
  <c r="T20" s="1"/>
  <c r="P20"/>
  <c r="L20"/>
  <c r="K20"/>
  <c r="H20"/>
  <c r="Y19"/>
  <c r="X19" s="1"/>
  <c r="Q19"/>
  <c r="O19" s="1"/>
  <c r="P19"/>
  <c r="L19"/>
  <c r="K19"/>
  <c r="H19"/>
  <c r="Y18"/>
  <c r="X18" s="1"/>
  <c r="Q18"/>
  <c r="T18" s="1"/>
  <c r="P18"/>
  <c r="L18"/>
  <c r="K18"/>
  <c r="H18"/>
  <c r="Y17"/>
  <c r="X17" s="1"/>
  <c r="Q17"/>
  <c r="U17" s="1"/>
  <c r="T17" s="1"/>
  <c r="P17"/>
  <c r="L17"/>
  <c r="K17"/>
  <c r="H17"/>
  <c r="AA16"/>
  <c r="Y16"/>
  <c r="Q16"/>
  <c r="U16" s="1"/>
  <c r="P16"/>
  <c r="L16"/>
  <c r="K16"/>
  <c r="H16"/>
  <c r="AA15"/>
  <c r="Y15"/>
  <c r="W15"/>
  <c r="Q15"/>
  <c r="T15" s="1"/>
  <c r="P15"/>
  <c r="L15"/>
  <c r="J15"/>
  <c r="G15"/>
  <c r="AA14"/>
  <c r="Y14"/>
  <c r="W14"/>
  <c r="Q14"/>
  <c r="U14" s="1"/>
  <c r="P14"/>
  <c r="L14"/>
  <c r="J14"/>
  <c r="G14"/>
  <c r="Y13"/>
  <c r="X13" s="1"/>
  <c r="Q13"/>
  <c r="T13" s="1"/>
  <c r="P13"/>
  <c r="L13"/>
  <c r="K13"/>
  <c r="H13"/>
  <c r="Y12"/>
  <c r="X12" s="1"/>
  <c r="Q12"/>
  <c r="U12" s="1"/>
  <c r="P12"/>
  <c r="L12"/>
  <c r="K12"/>
  <c r="H12"/>
  <c r="Y11"/>
  <c r="X11" s="1"/>
  <c r="Q11"/>
  <c r="T11" s="1"/>
  <c r="P11"/>
  <c r="L11"/>
  <c r="K11"/>
  <c r="H11"/>
  <c r="Y10"/>
  <c r="X10" s="1"/>
  <c r="Q10"/>
  <c r="U10" s="1"/>
  <c r="P10"/>
  <c r="L10"/>
  <c r="K10"/>
  <c r="H10"/>
  <c r="Y9"/>
  <c r="X9" s="1"/>
  <c r="Q9"/>
  <c r="T9" s="1"/>
  <c r="P9"/>
  <c r="L9"/>
  <c r="K9"/>
  <c r="H9"/>
  <c r="Y8"/>
  <c r="X8" s="1"/>
  <c r="Q8"/>
  <c r="U8" s="1"/>
  <c r="P8"/>
  <c r="L8"/>
  <c r="K8"/>
  <c r="H8"/>
  <c r="Y7"/>
  <c r="X7" s="1"/>
  <c r="Q7"/>
  <c r="T7" s="1"/>
  <c r="P7"/>
  <c r="L7"/>
  <c r="K7"/>
  <c r="H7"/>
  <c r="Y6"/>
  <c r="X6" s="1"/>
  <c r="Q6"/>
  <c r="U6" s="1"/>
  <c r="P6"/>
  <c r="L6"/>
  <c r="K6"/>
  <c r="H6"/>
  <c r="K43" i="89"/>
  <c r="H43"/>
  <c r="T42"/>
  <c r="R42" s="1"/>
  <c r="Q42"/>
  <c r="P42" s="1"/>
  <c r="T41"/>
  <c r="S41" s="1"/>
  <c r="N41"/>
  <c r="M41" s="1"/>
  <c r="J41"/>
  <c r="G41"/>
  <c r="T40"/>
  <c r="R40" s="1"/>
  <c r="N40"/>
  <c r="L40" s="1"/>
  <c r="I40"/>
  <c r="F40"/>
  <c r="T39"/>
  <c r="R39" s="1"/>
  <c r="N39"/>
  <c r="L39" s="1"/>
  <c r="I39"/>
  <c r="F39"/>
  <c r="T38"/>
  <c r="N38"/>
  <c r="L38" s="1"/>
  <c r="J38"/>
  <c r="I38"/>
  <c r="G38"/>
  <c r="F38"/>
  <c r="K35"/>
  <c r="H35"/>
  <c r="T34"/>
  <c r="S34" s="1"/>
  <c r="N34"/>
  <c r="M34" s="1"/>
  <c r="J34"/>
  <c r="G34"/>
  <c r="T33"/>
  <c r="S33" s="1"/>
  <c r="N33"/>
  <c r="M33" s="1"/>
  <c r="J33"/>
  <c r="G33"/>
  <c r="T32"/>
  <c r="S32" s="1"/>
  <c r="Q32"/>
  <c r="P32" s="1"/>
  <c r="M32"/>
  <c r="J32"/>
  <c r="T31"/>
  <c r="S31" s="1"/>
  <c r="N31"/>
  <c r="L31" s="1"/>
  <c r="J31"/>
  <c r="G31"/>
  <c r="F31"/>
  <c r="T30"/>
  <c r="S30" s="1"/>
  <c r="N30"/>
  <c r="M30" s="1"/>
  <c r="J30"/>
  <c r="G30"/>
  <c r="T29"/>
  <c r="S29" s="1"/>
  <c r="N29"/>
  <c r="M29" s="1"/>
  <c r="J29"/>
  <c r="G29"/>
  <c r="T28"/>
  <c r="S28" s="1"/>
  <c r="N28"/>
  <c r="M28" s="1"/>
  <c r="J28"/>
  <c r="G28"/>
  <c r="T27"/>
  <c r="S27" s="1"/>
  <c r="Q27"/>
  <c r="P27" s="1"/>
  <c r="M27"/>
  <c r="J27"/>
  <c r="T26"/>
  <c r="S26" s="1"/>
  <c r="Q26"/>
  <c r="P26" s="1"/>
  <c r="M26"/>
  <c r="J26"/>
  <c r="T25"/>
  <c r="S25" s="1"/>
  <c r="N25"/>
  <c r="M25" s="1"/>
  <c r="J25"/>
  <c r="G25"/>
  <c r="AB24"/>
  <c r="T24"/>
  <c r="S24" s="1"/>
  <c r="N24"/>
  <c r="M24" s="1"/>
  <c r="J24"/>
  <c r="T23"/>
  <c r="S23" s="1"/>
  <c r="N23"/>
  <c r="M23" s="1"/>
  <c r="J23"/>
  <c r="G23"/>
  <c r="T22"/>
  <c r="S22" s="1"/>
  <c r="N22"/>
  <c r="M22" s="1"/>
  <c r="J22"/>
  <c r="G22"/>
  <c r="T21"/>
  <c r="S21" s="1"/>
  <c r="N21"/>
  <c r="M21" s="1"/>
  <c r="J21"/>
  <c r="G21"/>
  <c r="T20"/>
  <c r="S20" s="1"/>
  <c r="N20"/>
  <c r="M20" s="1"/>
  <c r="J20"/>
  <c r="G20"/>
  <c r="T19"/>
  <c r="S19" s="1"/>
  <c r="N19"/>
  <c r="M19" s="1"/>
  <c r="J19"/>
  <c r="G19"/>
  <c r="T18"/>
  <c r="S18" s="1"/>
  <c r="N18"/>
  <c r="M18" s="1"/>
  <c r="J18"/>
  <c r="G18"/>
  <c r="T17"/>
  <c r="S17" s="1"/>
  <c r="N17"/>
  <c r="M17" s="1"/>
  <c r="J17"/>
  <c r="I17"/>
  <c r="G17"/>
  <c r="F17"/>
  <c r="Q16"/>
  <c r="P16" s="1"/>
  <c r="M16"/>
  <c r="J16"/>
  <c r="G16"/>
  <c r="T15"/>
  <c r="S15" s="1"/>
  <c r="N15"/>
  <c r="M15" s="1"/>
  <c r="J15"/>
  <c r="G15"/>
  <c r="T14"/>
  <c r="S14" s="1"/>
  <c r="N14"/>
  <c r="M14" s="1"/>
  <c r="J14"/>
  <c r="G14"/>
  <c r="T13"/>
  <c r="S13" s="1"/>
  <c r="N13"/>
  <c r="M13" s="1"/>
  <c r="J13"/>
  <c r="G13"/>
  <c r="T12"/>
  <c r="S12" s="1"/>
  <c r="N12"/>
  <c r="M12" s="1"/>
  <c r="J12"/>
  <c r="G12"/>
  <c r="T11"/>
  <c r="S11" s="1"/>
  <c r="N11"/>
  <c r="M11" s="1"/>
  <c r="J11"/>
  <c r="G11"/>
  <c r="T10"/>
  <c r="S10" s="1"/>
  <c r="N10"/>
  <c r="M10" s="1"/>
  <c r="J10"/>
  <c r="G10"/>
  <c r="T9"/>
  <c r="S9" s="1"/>
  <c r="N9"/>
  <c r="M9" s="1"/>
  <c r="J9"/>
  <c r="G9"/>
  <c r="T8"/>
  <c r="S8" s="1"/>
  <c r="N8"/>
  <c r="M8" s="1"/>
  <c r="J8"/>
  <c r="G8"/>
  <c r="T7"/>
  <c r="S7" s="1"/>
  <c r="N7"/>
  <c r="M7" s="1"/>
  <c r="J7"/>
  <c r="G7"/>
  <c r="T6"/>
  <c r="S6" s="1"/>
  <c r="N6"/>
  <c r="M6" s="1"/>
  <c r="J6"/>
  <c r="G6"/>
  <c r="T5"/>
  <c r="N5"/>
  <c r="Q5" s="1"/>
  <c r="J5"/>
  <c r="G5"/>
  <c r="K43" i="87"/>
  <c r="H43"/>
  <c r="S42"/>
  <c r="Q42"/>
  <c r="P42" s="1"/>
  <c r="M42"/>
  <c r="J42"/>
  <c r="G42"/>
  <c r="R41"/>
  <c r="Q41"/>
  <c r="O41" s="1"/>
  <c r="L41"/>
  <c r="I41"/>
  <c r="F41"/>
  <c r="Q40"/>
  <c r="O40" s="1"/>
  <c r="L40"/>
  <c r="I40"/>
  <c r="F40"/>
  <c r="T39"/>
  <c r="S39" s="1"/>
  <c r="N39"/>
  <c r="L39" s="1"/>
  <c r="J39"/>
  <c r="I39"/>
  <c r="G39"/>
  <c r="F39"/>
  <c r="K36"/>
  <c r="H36"/>
  <c r="T35"/>
  <c r="S35" s="1"/>
  <c r="N35"/>
  <c r="M35" s="1"/>
  <c r="J35"/>
  <c r="G35"/>
  <c r="T34"/>
  <c r="S34" s="1"/>
  <c r="N34"/>
  <c r="M34" s="1"/>
  <c r="J34"/>
  <c r="G34"/>
  <c r="T33"/>
  <c r="S33" s="1"/>
  <c r="N33"/>
  <c r="M33" s="1"/>
  <c r="J33"/>
  <c r="G33"/>
  <c r="T32"/>
  <c r="S32" s="1"/>
  <c r="N32"/>
  <c r="M32" s="1"/>
  <c r="J32"/>
  <c r="I32"/>
  <c r="G32"/>
  <c r="T31"/>
  <c r="S31" s="1"/>
  <c r="N31"/>
  <c r="M31" s="1"/>
  <c r="J31"/>
  <c r="G31"/>
  <c r="T30"/>
  <c r="S30" s="1"/>
  <c r="N30"/>
  <c r="M30" s="1"/>
  <c r="J30"/>
  <c r="G30"/>
  <c r="T29"/>
  <c r="S29"/>
  <c r="R29"/>
  <c r="N29"/>
  <c r="M29" s="1"/>
  <c r="J29"/>
  <c r="G29"/>
  <c r="T28"/>
  <c r="R28" s="1"/>
  <c r="N28"/>
  <c r="L28" s="1"/>
  <c r="I28"/>
  <c r="F28"/>
  <c r="T27"/>
  <c r="S27" s="1"/>
  <c r="Q27"/>
  <c r="P27" s="1"/>
  <c r="M27"/>
  <c r="J27"/>
  <c r="G27"/>
  <c r="T26"/>
  <c r="S26" s="1"/>
  <c r="N26"/>
  <c r="M26" s="1"/>
  <c r="J26"/>
  <c r="G26"/>
  <c r="T25"/>
  <c r="S25" s="1"/>
  <c r="N25"/>
  <c r="M25" s="1"/>
  <c r="J25"/>
  <c r="G25"/>
  <c r="T24"/>
  <c r="S24" s="1"/>
  <c r="N24"/>
  <c r="M24" s="1"/>
  <c r="J24"/>
  <c r="G24"/>
  <c r="T23"/>
  <c r="S23" s="1"/>
  <c r="N23"/>
  <c r="M23" s="1"/>
  <c r="J23"/>
  <c r="G23"/>
  <c r="T22"/>
  <c r="S22" s="1"/>
  <c r="N22"/>
  <c r="M22" s="1"/>
  <c r="J22"/>
  <c r="G22"/>
  <c r="T21"/>
  <c r="S21" s="1"/>
  <c r="N21"/>
  <c r="L21" s="1"/>
  <c r="J21"/>
  <c r="I21"/>
  <c r="G21"/>
  <c r="F21"/>
  <c r="T20"/>
  <c r="S20" s="1"/>
  <c r="N20"/>
  <c r="M20" s="1"/>
  <c r="J20"/>
  <c r="G20"/>
  <c r="T19"/>
  <c r="S19" s="1"/>
  <c r="N19"/>
  <c r="M19" s="1"/>
  <c r="J19"/>
  <c r="G19"/>
  <c r="T18"/>
  <c r="S18" s="1"/>
  <c r="N18"/>
  <c r="M18" s="1"/>
  <c r="J18"/>
  <c r="G18"/>
  <c r="T17"/>
  <c r="S17" s="1"/>
  <c r="N17"/>
  <c r="M17" s="1"/>
  <c r="J17"/>
  <c r="G17"/>
  <c r="T16"/>
  <c r="S16" s="1"/>
  <c r="N16"/>
  <c r="M16" s="1"/>
  <c r="J16"/>
  <c r="G16"/>
  <c r="T15"/>
  <c r="S15" s="1"/>
  <c r="N15"/>
  <c r="M15" s="1"/>
  <c r="J15"/>
  <c r="G15"/>
  <c r="T14"/>
  <c r="S14" s="1"/>
  <c r="N14"/>
  <c r="M14" s="1"/>
  <c r="J14"/>
  <c r="G14"/>
  <c r="T13"/>
  <c r="S13" s="1"/>
  <c r="N13"/>
  <c r="M13" s="1"/>
  <c r="J13"/>
  <c r="G13"/>
  <c r="T12"/>
  <c r="S12" s="1"/>
  <c r="N12"/>
  <c r="M12" s="1"/>
  <c r="J12"/>
  <c r="G12"/>
  <c r="T11"/>
  <c r="S11" s="1"/>
  <c r="N11"/>
  <c r="M11" s="1"/>
  <c r="J11"/>
  <c r="G11"/>
  <c r="T10"/>
  <c r="S10" s="1"/>
  <c r="N10"/>
  <c r="M10" s="1"/>
  <c r="J10"/>
  <c r="G10"/>
  <c r="T9"/>
  <c r="S9" s="1"/>
  <c r="N9"/>
  <c r="M9" s="1"/>
  <c r="J9"/>
  <c r="G9"/>
  <c r="T8"/>
  <c r="R8" s="1"/>
  <c r="N8"/>
  <c r="L8" s="1"/>
  <c r="I8"/>
  <c r="F8"/>
  <c r="T7"/>
  <c r="R7" s="1"/>
  <c r="N7"/>
  <c r="L7" s="1"/>
  <c r="I7"/>
  <c r="F7"/>
  <c r="T6"/>
  <c r="S6" s="1"/>
  <c r="N6"/>
  <c r="M6" s="1"/>
  <c r="J6"/>
  <c r="G6"/>
  <c r="T5"/>
  <c r="N5"/>
  <c r="J5"/>
  <c r="G5"/>
  <c r="T50" i="86"/>
  <c r="S50"/>
  <c r="R50"/>
  <c r="N50"/>
  <c r="K50"/>
  <c r="H50"/>
  <c r="Q49"/>
  <c r="P49" s="1"/>
  <c r="M49"/>
  <c r="J49"/>
  <c r="G49"/>
  <c r="Q48"/>
  <c r="O48" s="1"/>
  <c r="L48"/>
  <c r="I48"/>
  <c r="F48"/>
  <c r="Q47"/>
  <c r="O47" s="1"/>
  <c r="L47"/>
  <c r="I47"/>
  <c r="F47"/>
  <c r="U46"/>
  <c r="Q46"/>
  <c r="O46" s="1"/>
  <c r="M46"/>
  <c r="L46"/>
  <c r="J46"/>
  <c r="I46"/>
  <c r="G46"/>
  <c r="F46"/>
  <c r="T43"/>
  <c r="U43" s="1"/>
  <c r="S43"/>
  <c r="R43"/>
  <c r="N43"/>
  <c r="K43"/>
  <c r="H43"/>
  <c r="Q42"/>
  <c r="P42" s="1"/>
  <c r="M42"/>
  <c r="J42"/>
  <c r="G42"/>
  <c r="Q41"/>
  <c r="P41" s="1"/>
  <c r="M41"/>
  <c r="J41"/>
  <c r="G41"/>
  <c r="Q40"/>
  <c r="P40" s="1"/>
  <c r="M40"/>
  <c r="J40"/>
  <c r="G40"/>
  <c r="Q39"/>
  <c r="P39" s="1"/>
  <c r="M39"/>
  <c r="Q38"/>
  <c r="P38" s="1"/>
  <c r="M38"/>
  <c r="J38"/>
  <c r="G38"/>
  <c r="Q37"/>
  <c r="P37" s="1"/>
  <c r="M37"/>
  <c r="J37"/>
  <c r="G37"/>
  <c r="Q36"/>
  <c r="O36" s="1"/>
  <c r="L36"/>
  <c r="I36"/>
  <c r="F36"/>
  <c r="Q35"/>
  <c r="P35" s="1"/>
  <c r="Q34"/>
  <c r="P34" s="1"/>
  <c r="M34"/>
  <c r="Q33"/>
  <c r="P33" s="1"/>
  <c r="M33"/>
  <c r="J33"/>
  <c r="G33"/>
  <c r="Q32"/>
  <c r="P32" s="1"/>
  <c r="M32"/>
  <c r="J32"/>
  <c r="G32"/>
  <c r="Q31"/>
  <c r="P31" s="1"/>
  <c r="M31"/>
  <c r="J31"/>
  <c r="G31"/>
  <c r="Q30"/>
  <c r="P30" s="1"/>
  <c r="M30"/>
  <c r="J30"/>
  <c r="G30"/>
  <c r="Q29"/>
  <c r="P29" s="1"/>
  <c r="M29"/>
  <c r="J29"/>
  <c r="G29"/>
  <c r="Q28"/>
  <c r="P28" s="1"/>
  <c r="M28"/>
  <c r="J28"/>
  <c r="G28"/>
  <c r="Q27"/>
  <c r="P27" s="1"/>
  <c r="M27"/>
  <c r="J27"/>
  <c r="G27"/>
  <c r="Q26"/>
  <c r="P26" s="1"/>
  <c r="M26"/>
  <c r="J26"/>
  <c r="G26"/>
  <c r="Q25"/>
  <c r="P25" s="1"/>
  <c r="O25" s="1"/>
  <c r="M25"/>
  <c r="L25"/>
  <c r="J25"/>
  <c r="I25"/>
  <c r="G25"/>
  <c r="F25"/>
  <c r="Q24"/>
  <c r="P24" s="1"/>
  <c r="M24"/>
  <c r="J24"/>
  <c r="G24"/>
  <c r="Q23"/>
  <c r="P23" s="1"/>
  <c r="M23"/>
  <c r="J23"/>
  <c r="G23"/>
  <c r="Q22"/>
  <c r="P22" s="1"/>
  <c r="M22"/>
  <c r="Q21"/>
  <c r="P21" s="1"/>
  <c r="M21"/>
  <c r="Q20"/>
  <c r="P20" s="1"/>
  <c r="M20"/>
  <c r="Q19"/>
  <c r="P19" s="1"/>
  <c r="M19"/>
  <c r="J19"/>
  <c r="G19"/>
  <c r="Q18"/>
  <c r="P18" s="1"/>
  <c r="M18"/>
  <c r="J18"/>
  <c r="G18"/>
  <c r="Q17"/>
  <c r="P17" s="1"/>
  <c r="M17"/>
  <c r="J17"/>
  <c r="G17"/>
  <c r="Q16"/>
  <c r="P16" s="1"/>
  <c r="M16"/>
  <c r="J16"/>
  <c r="G16"/>
  <c r="Q15"/>
  <c r="P15" s="1"/>
  <c r="M15"/>
  <c r="J15"/>
  <c r="G15"/>
  <c r="Q14"/>
  <c r="P14" s="1"/>
  <c r="M14"/>
  <c r="J14"/>
  <c r="G14"/>
  <c r="Q13"/>
  <c r="P13" s="1"/>
  <c r="M13"/>
  <c r="J13"/>
  <c r="G13"/>
  <c r="Q12"/>
  <c r="P12" s="1"/>
  <c r="M12"/>
  <c r="J12"/>
  <c r="G12"/>
  <c r="Q11"/>
  <c r="O11" s="1"/>
  <c r="L11"/>
  <c r="I11"/>
  <c r="F11"/>
  <c r="Q10"/>
  <c r="O10" s="1"/>
  <c r="L10"/>
  <c r="L43" s="1"/>
  <c r="I10"/>
  <c r="F10"/>
  <c r="Q9"/>
  <c r="P9" s="1"/>
  <c r="M9"/>
  <c r="J9"/>
  <c r="G9"/>
  <c r="Q8"/>
  <c r="P8" s="1"/>
  <c r="M8"/>
  <c r="J8"/>
  <c r="G8"/>
  <c r="Q7"/>
  <c r="P7" s="1"/>
  <c r="M7"/>
  <c r="J7"/>
  <c r="G7"/>
  <c r="Q6"/>
  <c r="P6" s="1"/>
  <c r="M6"/>
  <c r="J6"/>
  <c r="G6"/>
  <c r="Q5"/>
  <c r="P5" s="1"/>
  <c r="M5"/>
  <c r="J5"/>
  <c r="G5"/>
  <c r="L55" i="85"/>
  <c r="T49"/>
  <c r="N49"/>
  <c r="K49"/>
  <c r="H49"/>
  <c r="S48"/>
  <c r="Q48"/>
  <c r="P48" s="1"/>
  <c r="M48"/>
  <c r="J48"/>
  <c r="G48"/>
  <c r="R47"/>
  <c r="Q47"/>
  <c r="O47" s="1"/>
  <c r="L47"/>
  <c r="I47"/>
  <c r="F47"/>
  <c r="Q46"/>
  <c r="O46" s="1"/>
  <c r="L46"/>
  <c r="I46"/>
  <c r="F46"/>
  <c r="S45"/>
  <c r="R45"/>
  <c r="Q45"/>
  <c r="P45" s="1"/>
  <c r="M45"/>
  <c r="L45"/>
  <c r="J45"/>
  <c r="I45"/>
  <c r="G45"/>
  <c r="F45"/>
  <c r="T42"/>
  <c r="S42"/>
  <c r="R42"/>
  <c r="N42"/>
  <c r="K42"/>
  <c r="H42"/>
  <c r="Q41"/>
  <c r="P41" s="1"/>
  <c r="M41"/>
  <c r="J41"/>
  <c r="G41"/>
  <c r="Q40"/>
  <c r="P40" s="1"/>
  <c r="M40"/>
  <c r="J40"/>
  <c r="G40"/>
  <c r="Q39"/>
  <c r="P39" s="1"/>
  <c r="M39"/>
  <c r="J39"/>
  <c r="G39"/>
  <c r="Q38"/>
  <c r="P38" s="1"/>
  <c r="M38"/>
  <c r="J38"/>
  <c r="G38"/>
  <c r="Q37"/>
  <c r="P37" s="1"/>
  <c r="M37"/>
  <c r="J37"/>
  <c r="G37"/>
  <c r="Q36"/>
  <c r="O36" s="1"/>
  <c r="L36"/>
  <c r="I36"/>
  <c r="F36"/>
  <c r="Q35"/>
  <c r="P35" s="1"/>
  <c r="M35"/>
  <c r="J35"/>
  <c r="G35"/>
  <c r="Q34"/>
  <c r="P34" s="1"/>
  <c r="M34"/>
  <c r="J34"/>
  <c r="G34"/>
  <c r="Q33"/>
  <c r="P33" s="1"/>
  <c r="M33"/>
  <c r="J33"/>
  <c r="G33"/>
  <c r="Q32"/>
  <c r="P32" s="1"/>
  <c r="M32"/>
  <c r="J32"/>
  <c r="G32"/>
  <c r="Q31"/>
  <c r="P31" s="1"/>
  <c r="M31"/>
  <c r="J31"/>
  <c r="G31"/>
  <c r="Q30"/>
  <c r="P30" s="1"/>
  <c r="M30"/>
  <c r="J30"/>
  <c r="G30"/>
  <c r="Q29"/>
  <c r="P29" s="1"/>
  <c r="M29"/>
  <c r="J29"/>
  <c r="G29"/>
  <c r="Q28"/>
  <c r="P28" s="1"/>
  <c r="M28"/>
  <c r="J28"/>
  <c r="G28"/>
  <c r="Q27"/>
  <c r="P27" s="1"/>
  <c r="M27"/>
  <c r="J27"/>
  <c r="G27"/>
  <c r="Q26"/>
  <c r="P26" s="1"/>
  <c r="M26"/>
  <c r="L26"/>
  <c r="J26"/>
  <c r="I26"/>
  <c r="G26"/>
  <c r="F26"/>
  <c r="Q25"/>
  <c r="P25" s="1"/>
  <c r="M25"/>
  <c r="J25"/>
  <c r="G25"/>
  <c r="Q24"/>
  <c r="P24" s="1"/>
  <c r="M24"/>
  <c r="J24"/>
  <c r="G24"/>
  <c r="Q23"/>
  <c r="P23" s="1"/>
  <c r="M23"/>
  <c r="J23"/>
  <c r="G23"/>
  <c r="Q22"/>
  <c r="P22" s="1"/>
  <c r="M22"/>
  <c r="J22"/>
  <c r="G22"/>
  <c r="Q21"/>
  <c r="P21" s="1"/>
  <c r="M21"/>
  <c r="J21"/>
  <c r="G21"/>
  <c r="Q20"/>
  <c r="P20" s="1"/>
  <c r="M20"/>
  <c r="J20"/>
  <c r="G20"/>
  <c r="Q19"/>
  <c r="P19" s="1"/>
  <c r="M19"/>
  <c r="J19"/>
  <c r="G19"/>
  <c r="Q18"/>
  <c r="P18" s="1"/>
  <c r="M18"/>
  <c r="J18"/>
  <c r="G18"/>
  <c r="Q17"/>
  <c r="P17" s="1"/>
  <c r="M17"/>
  <c r="J17"/>
  <c r="G17"/>
  <c r="Q16"/>
  <c r="P16" s="1"/>
  <c r="M16"/>
  <c r="J16"/>
  <c r="G16"/>
  <c r="Q15"/>
  <c r="P15" s="1"/>
  <c r="M15"/>
  <c r="J15"/>
  <c r="G15"/>
  <c r="Q14"/>
  <c r="O14" s="1"/>
  <c r="L14"/>
  <c r="I14"/>
  <c r="F14"/>
  <c r="Q13"/>
  <c r="O13" s="1"/>
  <c r="L13"/>
  <c r="I13"/>
  <c r="F13"/>
  <c r="Q12"/>
  <c r="P12" s="1"/>
  <c r="M12"/>
  <c r="J12"/>
  <c r="G12"/>
  <c r="Q11"/>
  <c r="P11" s="1"/>
  <c r="M11"/>
  <c r="J11"/>
  <c r="G11"/>
  <c r="Q10"/>
  <c r="P10" s="1"/>
  <c r="M10"/>
  <c r="J10"/>
  <c r="G10"/>
  <c r="Q9"/>
  <c r="P9" s="1"/>
  <c r="M9"/>
  <c r="J9"/>
  <c r="G9"/>
  <c r="Q8"/>
  <c r="P8" s="1"/>
  <c r="M8"/>
  <c r="J8"/>
  <c r="G8"/>
  <c r="Q7"/>
  <c r="P7" s="1"/>
  <c r="M7"/>
  <c r="J7"/>
  <c r="G7"/>
  <c r="Q6"/>
  <c r="P6" s="1"/>
  <c r="M6"/>
  <c r="J6"/>
  <c r="G6"/>
  <c r="Q5"/>
  <c r="P5" s="1"/>
  <c r="M5"/>
  <c r="J5"/>
  <c r="G5"/>
  <c r="D33" i="83"/>
  <c r="C33"/>
  <c r="F31"/>
  <c r="H30"/>
  <c r="E30"/>
  <c r="H28"/>
  <c r="E28"/>
  <c r="F27"/>
  <c r="F33" s="1"/>
  <c r="H26"/>
  <c r="E26"/>
  <c r="H24"/>
  <c r="E24"/>
  <c r="H22"/>
  <c r="E22"/>
  <c r="H20"/>
  <c r="E20"/>
  <c r="H18"/>
  <c r="E18"/>
  <c r="H16"/>
  <c r="E16"/>
  <c r="H14"/>
  <c r="E14"/>
  <c r="K24" i="81"/>
  <c r="K18"/>
  <c r="K14"/>
  <c r="F32" i="117"/>
  <c r="E32"/>
  <c r="C332" i="99"/>
  <c r="E330"/>
  <c r="E329"/>
  <c r="E328"/>
  <c r="E327"/>
  <c r="E326"/>
  <c r="E325"/>
  <c r="E323"/>
  <c r="E321"/>
  <c r="E320"/>
  <c r="E319"/>
  <c r="D318"/>
  <c r="D317"/>
  <c r="E317" s="1"/>
  <c r="E315"/>
  <c r="E314"/>
  <c r="C313"/>
  <c r="E312"/>
  <c r="E311"/>
  <c r="E310"/>
  <c r="E309"/>
  <c r="D308"/>
  <c r="D307"/>
  <c r="D306"/>
  <c r="D305"/>
  <c r="D304"/>
  <c r="E304" s="1"/>
  <c r="E303"/>
  <c r="D302"/>
  <c r="D299"/>
  <c r="D298"/>
  <c r="D297"/>
  <c r="D296"/>
  <c r="D295"/>
  <c r="D294"/>
  <c r="D293"/>
  <c r="D292"/>
  <c r="D291"/>
  <c r="E291" s="1"/>
  <c r="C280"/>
  <c r="E278"/>
  <c r="E277"/>
  <c r="E276"/>
  <c r="E275"/>
  <c r="E274"/>
  <c r="E273"/>
  <c r="E271"/>
  <c r="E269"/>
  <c r="E268"/>
  <c r="E267"/>
  <c r="D266"/>
  <c r="D265"/>
  <c r="E265" s="1"/>
  <c r="E263"/>
  <c r="E262"/>
  <c r="C261"/>
  <c r="E260"/>
  <c r="E259"/>
  <c r="E258"/>
  <c r="E257"/>
  <c r="D256"/>
  <c r="E256" s="1"/>
  <c r="D255"/>
  <c r="D254"/>
  <c r="D253"/>
  <c r="D252"/>
  <c r="E252" s="1"/>
  <c r="E251"/>
  <c r="D250"/>
  <c r="D247"/>
  <c r="D246"/>
  <c r="D245"/>
  <c r="D244"/>
  <c r="D243"/>
  <c r="D242"/>
  <c r="E241"/>
  <c r="D240"/>
  <c r="E240" s="1"/>
  <c r="D239"/>
  <c r="E239" s="1"/>
  <c r="D227"/>
  <c r="E225"/>
  <c r="E224"/>
  <c r="E223"/>
  <c r="E222"/>
  <c r="E221"/>
  <c r="E220"/>
  <c r="E218"/>
  <c r="C216"/>
  <c r="C215"/>
  <c r="C214"/>
  <c r="C213"/>
  <c r="E213" s="1"/>
  <c r="E212"/>
  <c r="E210"/>
  <c r="E209"/>
  <c r="D208"/>
  <c r="C208"/>
  <c r="E207"/>
  <c r="E206"/>
  <c r="E205"/>
  <c r="E204"/>
  <c r="E203"/>
  <c r="E202"/>
  <c r="E201"/>
  <c r="E200"/>
  <c r="E199"/>
  <c r="E198"/>
  <c r="E195"/>
  <c r="E194"/>
  <c r="E193"/>
  <c r="E192"/>
  <c r="E191"/>
  <c r="E190"/>
  <c r="E189"/>
  <c r="E188"/>
  <c r="E187"/>
  <c r="D171"/>
  <c r="C171"/>
  <c r="E169"/>
  <c r="E168"/>
  <c r="E167"/>
  <c r="E166"/>
  <c r="E165"/>
  <c r="E164"/>
  <c r="E162"/>
  <c r="E160"/>
  <c r="E159"/>
  <c r="E158"/>
  <c r="E157"/>
  <c r="E156"/>
  <c r="E154"/>
  <c r="E153"/>
  <c r="D152"/>
  <c r="C152"/>
  <c r="E151"/>
  <c r="E150"/>
  <c r="E149"/>
  <c r="E148"/>
  <c r="E147"/>
  <c r="E146"/>
  <c r="E145"/>
  <c r="E144"/>
  <c r="E143"/>
  <c r="E142"/>
  <c r="E141"/>
  <c r="E140"/>
  <c r="E139"/>
  <c r="E138"/>
  <c r="E137"/>
  <c r="E136"/>
  <c r="E135"/>
  <c r="E134"/>
  <c r="E133"/>
  <c r="E132"/>
  <c r="E131"/>
  <c r="D119"/>
  <c r="C119"/>
  <c r="E118"/>
  <c r="E117"/>
  <c r="E116"/>
  <c r="E115"/>
  <c r="E114"/>
  <c r="E113"/>
  <c r="E112"/>
  <c r="E111"/>
  <c r="E110"/>
  <c r="E109"/>
  <c r="E108"/>
  <c r="E107"/>
  <c r="E106"/>
  <c r="E105"/>
  <c r="E104"/>
  <c r="E103"/>
  <c r="E102"/>
  <c r="E101"/>
  <c r="E100"/>
  <c r="E99"/>
  <c r="E98"/>
  <c r="E97"/>
  <c r="E96"/>
  <c r="E95"/>
  <c r="D91"/>
  <c r="C91"/>
  <c r="E89"/>
  <c r="E88"/>
  <c r="E87"/>
  <c r="E86"/>
  <c r="E85"/>
  <c r="E84"/>
  <c r="E83"/>
  <c r="E82"/>
  <c r="E81"/>
  <c r="E80"/>
  <c r="E79"/>
  <c r="E78"/>
  <c r="E77"/>
  <c r="E76"/>
  <c r="E75"/>
  <c r="E74"/>
  <c r="E73"/>
  <c r="E72"/>
  <c r="E71"/>
  <c r="E70"/>
  <c r="J57"/>
  <c r="D57"/>
  <c r="J56"/>
  <c r="E56"/>
  <c r="E55"/>
  <c r="C54"/>
  <c r="I53"/>
  <c r="E53"/>
  <c r="E52"/>
  <c r="E51"/>
  <c r="E50"/>
  <c r="E49"/>
  <c r="E48"/>
  <c r="E47"/>
  <c r="E46"/>
  <c r="E45"/>
  <c r="E44"/>
  <c r="E43"/>
  <c r="E42"/>
  <c r="E41"/>
  <c r="E40"/>
  <c r="E39"/>
  <c r="E38"/>
  <c r="C37"/>
  <c r="E36"/>
  <c r="E35"/>
  <c r="E34"/>
  <c r="C33"/>
  <c r="E33" s="1"/>
  <c r="E27"/>
  <c r="E26"/>
  <c r="C25"/>
  <c r="D24"/>
  <c r="C24"/>
  <c r="E23"/>
  <c r="E22"/>
  <c r="E21"/>
  <c r="E20"/>
  <c r="E19"/>
  <c r="E18"/>
  <c r="E17"/>
  <c r="E16"/>
  <c r="E15"/>
  <c r="E14"/>
  <c r="E13"/>
  <c r="E12"/>
  <c r="E11"/>
  <c r="E10"/>
  <c r="E9"/>
  <c r="E8"/>
  <c r="B37" i="120"/>
  <c r="B36"/>
  <c r="B35"/>
  <c r="G29"/>
  <c r="B28"/>
  <c r="G26"/>
  <c r="J26" s="1"/>
  <c r="G25"/>
  <c r="J25" s="1"/>
  <c r="G24"/>
  <c r="I23"/>
  <c r="G23"/>
  <c r="I22"/>
  <c r="G22"/>
  <c r="D21"/>
  <c r="G20"/>
  <c r="G19"/>
  <c r="G18"/>
  <c r="G17"/>
  <c r="I16"/>
  <c r="F16"/>
  <c r="G15"/>
  <c r="G14"/>
  <c r="G13"/>
  <c r="G12"/>
  <c r="G11"/>
  <c r="G10"/>
  <c r="G9"/>
  <c r="G8"/>
  <c r="K13" i="56"/>
  <c r="J13"/>
  <c r="I13"/>
  <c r="H13"/>
  <c r="L11"/>
  <c r="B11"/>
  <c r="L9"/>
  <c r="F33" i="76"/>
  <c r="D33"/>
  <c r="C33"/>
  <c r="H30"/>
  <c r="E30"/>
  <c r="H28"/>
  <c r="E28"/>
  <c r="H26"/>
  <c r="E26"/>
  <c r="H24"/>
  <c r="E24"/>
  <c r="H22"/>
  <c r="E22"/>
  <c r="G22" s="1"/>
  <c r="H20"/>
  <c r="E20"/>
  <c r="H18"/>
  <c r="E18"/>
  <c r="H16"/>
  <c r="E16"/>
  <c r="G16" s="1"/>
  <c r="H14"/>
  <c r="I14" s="1"/>
  <c r="E14"/>
  <c r="G14" s="1"/>
  <c r="E203" i="106"/>
  <c r="G203" s="1"/>
  <c r="E202"/>
  <c r="G202" s="1"/>
  <c r="E201"/>
  <c r="E196"/>
  <c r="G196" s="1"/>
  <c r="E192"/>
  <c r="E190"/>
  <c r="E189"/>
  <c r="D189"/>
  <c r="E188"/>
  <c r="E187"/>
  <c r="G187" s="1"/>
  <c r="H182"/>
  <c r="G182"/>
  <c r="G171"/>
  <c r="E171"/>
  <c r="E167"/>
  <c r="G167" s="1"/>
  <c r="E166"/>
  <c r="G166" s="1"/>
  <c r="H164"/>
  <c r="E164"/>
  <c r="E163"/>
  <c r="G163" s="1"/>
  <c r="E157"/>
  <c r="G157" s="1"/>
  <c r="E156"/>
  <c r="E155"/>
  <c r="G155" s="1"/>
  <c r="E146"/>
  <c r="E143"/>
  <c r="E140"/>
  <c r="D136"/>
  <c r="D135"/>
  <c r="D132"/>
  <c r="D131"/>
  <c r="M66" i="94"/>
  <c r="L66"/>
  <c r="K66"/>
  <c r="J66"/>
  <c r="C66"/>
  <c r="O65"/>
  <c r="O64"/>
  <c r="O63"/>
  <c r="O62"/>
  <c r="O61"/>
  <c r="O60"/>
  <c r="O59"/>
  <c r="O58"/>
  <c r="O31"/>
  <c r="M46" i="95"/>
  <c r="M43"/>
  <c r="M40"/>
  <c r="M38"/>
  <c r="M37"/>
  <c r="M36"/>
  <c r="M35"/>
  <c r="M34"/>
  <c r="M32"/>
  <c r="M31"/>
  <c r="H30"/>
  <c r="G30"/>
  <c r="F30"/>
  <c r="D30"/>
  <c r="M29"/>
  <c r="M28"/>
  <c r="M27"/>
  <c r="M26"/>
  <c r="M25"/>
  <c r="M24"/>
  <c r="M23"/>
  <c r="M22"/>
  <c r="M21"/>
  <c r="M20"/>
  <c r="M19"/>
  <c r="M18"/>
  <c r="M17"/>
  <c r="M16"/>
  <c r="M15"/>
  <c r="M14"/>
  <c r="L13"/>
  <c r="L12"/>
  <c r="L11"/>
  <c r="A11"/>
  <c r="K10"/>
  <c r="J10"/>
  <c r="I10"/>
  <c r="E10"/>
  <c r="L9"/>
  <c r="K9"/>
  <c r="J9"/>
  <c r="I9"/>
  <c r="M50" i="86" l="1"/>
  <c r="E318" i="99"/>
  <c r="I16" i="83"/>
  <c r="G28"/>
  <c r="E307" i="99"/>
  <c r="E136" i="106"/>
  <c r="H163"/>
  <c r="J66" i="90"/>
  <c r="E208" i="99"/>
  <c r="E33" i="83"/>
  <c r="N51" i="86"/>
  <c r="L50"/>
  <c r="L51" s="1"/>
  <c r="K51" s="1"/>
  <c r="G35" i="98"/>
  <c r="E35" s="1"/>
  <c r="H155" i="106"/>
  <c r="J9" i="120"/>
  <c r="J13"/>
  <c r="J20"/>
  <c r="E253" i="99"/>
  <c r="C333"/>
  <c r="G16" i="83"/>
  <c r="G20"/>
  <c r="G24"/>
  <c r="E24" i="99"/>
  <c r="I88" i="103"/>
  <c r="C29" i="99"/>
  <c r="I43" i="87"/>
  <c r="K30" i="95"/>
  <c r="E132" i="106"/>
  <c r="G156"/>
  <c r="G164"/>
  <c r="G26" i="76"/>
  <c r="G30"/>
  <c r="J19" i="120"/>
  <c r="D120" i="99"/>
  <c r="E292"/>
  <c r="E296"/>
  <c r="E302"/>
  <c r="O45" i="85"/>
  <c r="J35" i="89"/>
  <c r="I35" s="1"/>
  <c r="F35"/>
  <c r="K44"/>
  <c r="H201" i="106"/>
  <c r="G201" s="1"/>
  <c r="E152" i="99"/>
  <c r="A12" i="95"/>
  <c r="A13" s="1"/>
  <c r="E33" i="76"/>
  <c r="F49" i="85"/>
  <c r="G43" i="87"/>
  <c r="G35" i="89"/>
  <c r="O64" i="90"/>
  <c r="C46" i="101"/>
  <c r="D156"/>
  <c r="P43" i="86"/>
  <c r="O43"/>
  <c r="L42" i="85"/>
  <c r="M43" i="86"/>
  <c r="O66" i="94"/>
  <c r="E182" i="106"/>
  <c r="G190"/>
  <c r="I16" i="76"/>
  <c r="B13" i="56"/>
  <c r="J11" i="120"/>
  <c r="J15"/>
  <c r="E171" i="99"/>
  <c r="D228"/>
  <c r="D261"/>
  <c r="E261" s="1"/>
  <c r="E245"/>
  <c r="E266"/>
  <c r="E295"/>
  <c r="E299"/>
  <c r="E305"/>
  <c r="O26" i="85"/>
  <c r="O42" s="1"/>
  <c r="R49"/>
  <c r="Q49" s="1"/>
  <c r="P49" s="1"/>
  <c r="L49"/>
  <c r="M49"/>
  <c r="H51" i="86"/>
  <c r="S51"/>
  <c r="R51" s="1"/>
  <c r="J43" i="89"/>
  <c r="L37" i="90"/>
  <c r="K66"/>
  <c r="G74"/>
  <c r="G75" s="1"/>
  <c r="G205" i="106"/>
  <c r="T50" i="85"/>
  <c r="E91" i="99"/>
  <c r="Q42" i="85"/>
  <c r="Q50" s="1"/>
  <c r="O49"/>
  <c r="P37" i="90"/>
  <c r="J74"/>
  <c r="H187" i="106"/>
  <c r="H197" s="1"/>
  <c r="G197" s="1"/>
  <c r="E197" s="1"/>
  <c r="H196" s="1"/>
  <c r="H189"/>
  <c r="G20" i="76"/>
  <c r="J10" i="120"/>
  <c r="J14"/>
  <c r="J17"/>
  <c r="J23"/>
  <c r="C120" i="99"/>
  <c r="E119" s="1"/>
  <c r="E244"/>
  <c r="E250"/>
  <c r="E254"/>
  <c r="D280"/>
  <c r="E308"/>
  <c r="G14" i="83"/>
  <c r="M42" i="85"/>
  <c r="J42"/>
  <c r="I42" s="1"/>
  <c r="F42"/>
  <c r="F50" s="1"/>
  <c r="G43" i="86"/>
  <c r="F43" s="1"/>
  <c r="J36" i="87"/>
  <c r="I36" s="1"/>
  <c r="I44" s="1"/>
  <c r="H44" s="1"/>
  <c r="P42" i="85"/>
  <c r="I62" i="101"/>
  <c r="I64" s="1"/>
  <c r="C67"/>
  <c r="I66" s="1"/>
  <c r="I67" s="1"/>
  <c r="J43" i="86"/>
  <c r="I43" s="1"/>
  <c r="E332" i="99"/>
  <c r="D332" s="1"/>
  <c r="F43" i="87"/>
  <c r="I28" i="76"/>
  <c r="D28" i="120"/>
  <c r="C57" i="99"/>
  <c r="E243"/>
  <c r="E247"/>
  <c r="E255"/>
  <c r="E294"/>
  <c r="E298"/>
  <c r="G30" i="83"/>
  <c r="J49" i="85"/>
  <c r="I49" s="1"/>
  <c r="Q43" i="86"/>
  <c r="P46"/>
  <c r="J50"/>
  <c r="I50" s="1"/>
  <c r="Q50"/>
  <c r="G36" i="87"/>
  <c r="J43"/>
  <c r="L13" i="56"/>
  <c r="G43" i="89"/>
  <c r="F43" s="1"/>
  <c r="E176" i="106"/>
  <c r="H202"/>
  <c r="E57" i="99"/>
  <c r="S49" i="85"/>
  <c r="S50" s="1"/>
  <c r="H156" i="106"/>
  <c r="E165"/>
  <c r="G165" s="1"/>
  <c r="G169" s="1"/>
  <c r="H166"/>
  <c r="H188"/>
  <c r="E205"/>
  <c r="H203" s="1"/>
  <c r="G18" i="76"/>
  <c r="G24"/>
  <c r="G28"/>
  <c r="J8" i="120"/>
  <c r="J12"/>
  <c r="G16"/>
  <c r="J18"/>
  <c r="J29"/>
  <c r="B38"/>
  <c r="E242" i="99"/>
  <c r="E246"/>
  <c r="E293"/>
  <c r="E297"/>
  <c r="E306"/>
  <c r="I14" i="83"/>
  <c r="G18"/>
  <c r="G22"/>
  <c r="G26"/>
  <c r="I28"/>
  <c r="G42" i="85"/>
  <c r="G49"/>
  <c r="G50" i="86"/>
  <c r="F50" s="1"/>
  <c r="I43" i="89"/>
  <c r="O9" i="90"/>
  <c r="O49"/>
  <c r="Q74"/>
  <c r="O44"/>
  <c r="O56"/>
  <c r="Q35" i="87"/>
  <c r="P35" s="1"/>
  <c r="Q8" i="89"/>
  <c r="P8" s="1"/>
  <c r="Q21"/>
  <c r="P21" s="1"/>
  <c r="Q7" i="87"/>
  <c r="O7" s="1"/>
  <c r="J30" i="95"/>
  <c r="M11"/>
  <c r="Q12" i="87"/>
  <c r="P12" s="1"/>
  <c r="Q15" i="89"/>
  <c r="P15" s="1"/>
  <c r="Q18"/>
  <c r="P18" s="1"/>
  <c r="Q25"/>
  <c r="P25" s="1"/>
  <c r="T36" i="87"/>
  <c r="Y36" s="1"/>
  <c r="N36"/>
  <c r="Q17"/>
  <c r="P17" s="1"/>
  <c r="O17" i="90"/>
  <c r="M12" i="95"/>
  <c r="Q16" i="87"/>
  <c r="P16" s="1"/>
  <c r="Q22"/>
  <c r="P22" s="1"/>
  <c r="Q24"/>
  <c r="P24" s="1"/>
  <c r="Q25"/>
  <c r="P25" s="1"/>
  <c r="Q26"/>
  <c r="P26" s="1"/>
  <c r="Q33"/>
  <c r="P33" s="1"/>
  <c r="Q11"/>
  <c r="P11" s="1"/>
  <c r="Q11" i="89"/>
  <c r="P11" s="1"/>
  <c r="Q22"/>
  <c r="P22" s="1"/>
  <c r="U29" i="90"/>
  <c r="T29" s="1"/>
  <c r="T34"/>
  <c r="AA35"/>
  <c r="AA46"/>
  <c r="AA51"/>
  <c r="T53"/>
  <c r="AA57"/>
  <c r="AA58"/>
  <c r="N59"/>
  <c r="U60"/>
  <c r="T60" s="1"/>
  <c r="Q39" i="89"/>
  <c r="O39" s="1"/>
  <c r="AA10" i="90"/>
  <c r="O13"/>
  <c r="O21"/>
  <c r="AA21"/>
  <c r="AA23"/>
  <c r="AA26"/>
  <c r="AA31"/>
  <c r="AA62"/>
  <c r="M5" i="87"/>
  <c r="Q30"/>
  <c r="P30" s="1"/>
  <c r="Q31"/>
  <c r="P31" s="1"/>
  <c r="Q14" i="89"/>
  <c r="P14" s="1"/>
  <c r="AA6" i="90"/>
  <c r="O27"/>
  <c r="AA50"/>
  <c r="O59"/>
  <c r="T24"/>
  <c r="V24"/>
  <c r="T47"/>
  <c r="V47"/>
  <c r="Q8" i="87"/>
  <c r="O8" s="1"/>
  <c r="Q13"/>
  <c r="P13" s="1"/>
  <c r="Q19"/>
  <c r="P19" s="1"/>
  <c r="Q20"/>
  <c r="P20" s="1"/>
  <c r="R39"/>
  <c r="Q10" i="89"/>
  <c r="P10" s="1"/>
  <c r="L43"/>
  <c r="AA17" i="90"/>
  <c r="U19"/>
  <c r="T19" s="1"/>
  <c r="U23"/>
  <c r="T23" s="1"/>
  <c r="M13" i="95"/>
  <c r="M31" i="89"/>
  <c r="T43"/>
  <c r="S5" i="87"/>
  <c r="S36" s="1"/>
  <c r="S35" i="89"/>
  <c r="Q7"/>
  <c r="P7" s="1"/>
  <c r="Q12"/>
  <c r="P12" s="1"/>
  <c r="S38"/>
  <c r="O7" i="90"/>
  <c r="O11"/>
  <c r="AA19"/>
  <c r="AA28"/>
  <c r="O32"/>
  <c r="O36"/>
  <c r="O46"/>
  <c r="O51"/>
  <c r="N55"/>
  <c r="O62"/>
  <c r="X69"/>
  <c r="N70"/>
  <c r="Q5" i="87"/>
  <c r="P5" s="1"/>
  <c r="Q9"/>
  <c r="P9" s="1"/>
  <c r="Q15"/>
  <c r="P15" s="1"/>
  <c r="L36"/>
  <c r="Q28"/>
  <c r="O28" s="1"/>
  <c r="Q29"/>
  <c r="P29" s="1"/>
  <c r="Q6" i="89"/>
  <c r="P6" s="1"/>
  <c r="Q28"/>
  <c r="P28" s="1"/>
  <c r="R31"/>
  <c r="Q31" s="1"/>
  <c r="P31" s="1"/>
  <c r="R38"/>
  <c r="Q40"/>
  <c r="O40" s="1"/>
  <c r="Q41"/>
  <c r="P41" s="1"/>
  <c r="AA8" i="90"/>
  <c r="AA12"/>
  <c r="AA30"/>
  <c r="AA33"/>
  <c r="AA44"/>
  <c r="AA47"/>
  <c r="AA49"/>
  <c r="AA53"/>
  <c r="U57"/>
  <c r="S57" s="1"/>
  <c r="AA60"/>
  <c r="AA64"/>
  <c r="P5" i="89"/>
  <c r="T28" i="90"/>
  <c r="S28"/>
  <c r="V28"/>
  <c r="T8"/>
  <c r="V8"/>
  <c r="S8"/>
  <c r="T12"/>
  <c r="V12"/>
  <c r="S12"/>
  <c r="T30"/>
  <c r="S30"/>
  <c r="V30"/>
  <c r="T33"/>
  <c r="V33"/>
  <c r="S33"/>
  <c r="T48"/>
  <c r="S48"/>
  <c r="V48"/>
  <c r="T52"/>
  <c r="S52"/>
  <c r="V52"/>
  <c r="T25"/>
  <c r="S25"/>
  <c r="V25"/>
  <c r="T26"/>
  <c r="V26"/>
  <c r="S26"/>
  <c r="T59"/>
  <c r="R59"/>
  <c r="V59"/>
  <c r="S59"/>
  <c r="T6"/>
  <c r="V6"/>
  <c r="S6"/>
  <c r="T10"/>
  <c r="S10"/>
  <c r="V10"/>
  <c r="T14"/>
  <c r="V14"/>
  <c r="R14"/>
  <c r="T16"/>
  <c r="S16"/>
  <c r="V16"/>
  <c r="T35"/>
  <c r="V35"/>
  <c r="S35"/>
  <c r="T45"/>
  <c r="S45"/>
  <c r="V45"/>
  <c r="T54"/>
  <c r="S54"/>
  <c r="V54"/>
  <c r="T35" i="89"/>
  <c r="Q37" i="90"/>
  <c r="R17" i="89"/>
  <c r="S23" i="90"/>
  <c r="T31"/>
  <c r="S46"/>
  <c r="S56"/>
  <c r="S58"/>
  <c r="S62"/>
  <c r="S64"/>
  <c r="M21" i="87"/>
  <c r="R21"/>
  <c r="Q21" s="1"/>
  <c r="M39"/>
  <c r="Q39"/>
  <c r="M5" i="89"/>
  <c r="L17"/>
  <c r="L35" s="1"/>
  <c r="Q20"/>
  <c r="P20" s="1"/>
  <c r="Q24"/>
  <c r="P24" s="1"/>
  <c r="Q30"/>
  <c r="P30" s="1"/>
  <c r="Q34"/>
  <c r="P34" s="1"/>
  <c r="M38"/>
  <c r="M43" s="1"/>
  <c r="Q38"/>
  <c r="AA7" i="90"/>
  <c r="AA9"/>
  <c r="AA11"/>
  <c r="AA13"/>
  <c r="O18"/>
  <c r="O20"/>
  <c r="O22"/>
  <c r="S24"/>
  <c r="AA24"/>
  <c r="AA27"/>
  <c r="AA29"/>
  <c r="O31"/>
  <c r="AA32"/>
  <c r="AA34"/>
  <c r="AA36"/>
  <c r="O45"/>
  <c r="S47"/>
  <c r="O52"/>
  <c r="O54"/>
  <c r="O61"/>
  <c r="O63"/>
  <c r="O65"/>
  <c r="O69"/>
  <c r="O74" s="1"/>
  <c r="U69"/>
  <c r="N71"/>
  <c r="R32" i="87"/>
  <c r="Q32" s="1"/>
  <c r="N35" i="89"/>
  <c r="S17" i="90"/>
  <c r="S21"/>
  <c r="S44"/>
  <c r="R55"/>
  <c r="Q6" i="87"/>
  <c r="P6" s="1"/>
  <c r="Q10"/>
  <c r="P10" s="1"/>
  <c r="Q14"/>
  <c r="P14" s="1"/>
  <c r="Q18"/>
  <c r="P18" s="1"/>
  <c r="Q23"/>
  <c r="P23" s="1"/>
  <c r="Q34"/>
  <c r="P34" s="1"/>
  <c r="Q9" i="89"/>
  <c r="P9" s="1"/>
  <c r="Q13"/>
  <c r="P13" s="1"/>
  <c r="Q19"/>
  <c r="P19" s="1"/>
  <c r="Q23"/>
  <c r="P23" s="1"/>
  <c r="Q29"/>
  <c r="P29" s="1"/>
  <c r="Q33"/>
  <c r="P33" s="1"/>
  <c r="O6" i="90"/>
  <c r="O8"/>
  <c r="O10"/>
  <c r="O12"/>
  <c r="N14"/>
  <c r="N15"/>
  <c r="O16"/>
  <c r="V17"/>
  <c r="AA18"/>
  <c r="AA20"/>
  <c r="V21"/>
  <c r="AA22"/>
  <c r="AA25"/>
  <c r="O28"/>
  <c r="O30"/>
  <c r="O33"/>
  <c r="O35"/>
  <c r="V44"/>
  <c r="AA45"/>
  <c r="V46"/>
  <c r="AA48"/>
  <c r="O50"/>
  <c r="AA52"/>
  <c r="AA54"/>
  <c r="V55"/>
  <c r="V56"/>
  <c r="AA56"/>
  <c r="V58"/>
  <c r="AA61"/>
  <c r="V62"/>
  <c r="AA63"/>
  <c r="V64"/>
  <c r="AA65"/>
  <c r="N69"/>
  <c r="Y74"/>
  <c r="E25" i="99"/>
  <c r="E29" s="1"/>
  <c r="E37"/>
  <c r="E216"/>
  <c r="I30" i="95"/>
  <c r="C227" i="99"/>
  <c r="C228" s="1"/>
  <c r="E215"/>
  <c r="L10" i="95"/>
  <c r="M10" s="1"/>
  <c r="E54" i="99"/>
  <c r="M9" i="95"/>
  <c r="E214" i="99"/>
  <c r="M51" i="86" l="1"/>
  <c r="E172" i="99"/>
  <c r="D172" s="1"/>
  <c r="C172" s="1"/>
  <c r="J75" i="90"/>
  <c r="I75" s="1"/>
  <c r="H75" s="1"/>
  <c r="J44" i="89"/>
  <c r="I50" i="85"/>
  <c r="H50" s="1"/>
  <c r="I44" i="89"/>
  <c r="H44" s="1"/>
  <c r="C58" i="99"/>
  <c r="Q51" i="86"/>
  <c r="G44" i="89"/>
  <c r="F44" s="1"/>
  <c r="I33" i="83"/>
  <c r="H33" s="1"/>
  <c r="E120" i="99"/>
  <c r="I33" i="76"/>
  <c r="H33" s="1"/>
  <c r="G33"/>
  <c r="G33" i="83"/>
  <c r="P50" i="85"/>
  <c r="O50" s="1"/>
  <c r="N50" s="1"/>
  <c r="M50" s="1"/>
  <c r="L50" s="1"/>
  <c r="K50" s="1"/>
  <c r="J50" s="1"/>
  <c r="R50"/>
  <c r="V23" i="90"/>
  <c r="V60"/>
  <c r="J16" i="120"/>
  <c r="G50" i="85"/>
  <c r="J51" i="86"/>
  <c r="I51" s="1"/>
  <c r="P50"/>
  <c r="O50" s="1"/>
  <c r="H165" i="106"/>
  <c r="F36" i="87"/>
  <c r="F44" s="1"/>
  <c r="G44"/>
  <c r="H64" i="101"/>
  <c r="C71"/>
  <c r="E169" i="106"/>
  <c r="H167" s="1"/>
  <c r="G51" i="86"/>
  <c r="F51" s="1"/>
  <c r="M35" i="89"/>
  <c r="M44" s="1"/>
  <c r="V19" i="90"/>
  <c r="O31" i="89"/>
  <c r="L44"/>
  <c r="S60" i="90"/>
  <c r="S29"/>
  <c r="V29"/>
  <c r="N66"/>
  <c r="S43" i="89"/>
  <c r="S44" s="1"/>
  <c r="S19" i="90"/>
  <c r="M36" i="87"/>
  <c r="R43" i="89"/>
  <c r="E227" i="99"/>
  <c r="E228" s="1"/>
  <c r="R36" i="87"/>
  <c r="W36" s="1"/>
  <c r="O32"/>
  <c r="P32"/>
  <c r="P38" i="89"/>
  <c r="Q43"/>
  <c r="O38"/>
  <c r="X36" i="87"/>
  <c r="P21"/>
  <c r="O21"/>
  <c r="N74" i="90"/>
  <c r="T37"/>
  <c r="P39" i="87"/>
  <c r="Q43"/>
  <c r="O39"/>
  <c r="Q17" i="89"/>
  <c r="Q35" s="1"/>
  <c r="R35"/>
  <c r="X74" i="90"/>
  <c r="W74" s="1"/>
  <c r="Y75"/>
  <c r="U74"/>
  <c r="S69"/>
  <c r="R69"/>
  <c r="R74" s="1"/>
  <c r="O66"/>
  <c r="Q36" i="87"/>
  <c r="D29" i="99"/>
  <c r="D58" s="1"/>
  <c r="E58"/>
  <c r="K44" i="123"/>
  <c r="J44"/>
  <c r="I44"/>
  <c r="H44"/>
  <c r="G44"/>
  <c r="F44"/>
  <c r="E44"/>
  <c r="D44"/>
  <c r="C44"/>
  <c r="B44"/>
  <c r="P51" i="86" l="1"/>
  <c r="O51" s="1"/>
  <c r="O36" i="87"/>
  <c r="H169" i="106"/>
  <c r="P43" i="89"/>
  <c r="R44"/>
  <c r="Q44"/>
  <c r="P36" i="87"/>
  <c r="Q44"/>
  <c r="X75" i="90"/>
  <c r="W75" s="1"/>
  <c r="O17" i="89"/>
  <c r="O35" s="1"/>
  <c r="P17"/>
  <c r="P35" s="1"/>
  <c r="P43" i="87"/>
  <c r="O43" s="1"/>
  <c r="N43" s="1"/>
  <c r="M43" s="1"/>
  <c r="L43" s="1"/>
  <c r="S74" i="90"/>
  <c r="O43" i="89"/>
  <c r="N43" s="1"/>
  <c r="K43" i="123"/>
  <c r="J43"/>
  <c r="I43"/>
  <c r="H43"/>
  <c r="G43"/>
  <c r="F43"/>
  <c r="E43"/>
  <c r="D43"/>
  <c r="C43"/>
  <c r="B43"/>
  <c r="K42"/>
  <c r="J42"/>
  <c r="I42"/>
  <c r="H42"/>
  <c r="G42"/>
  <c r="F42"/>
  <c r="E42"/>
  <c r="D42"/>
  <c r="C42"/>
  <c r="B42"/>
  <c r="K41"/>
  <c r="J41"/>
  <c r="I41"/>
  <c r="H41"/>
  <c r="G41"/>
  <c r="F41"/>
  <c r="E41"/>
  <c r="D41"/>
  <c r="C41"/>
  <c r="B41"/>
  <c r="P44" i="89" l="1"/>
  <c r="O44" i="87"/>
  <c r="N44" s="1"/>
  <c r="M44" s="1"/>
  <c r="L44" s="1"/>
  <c r="K44" s="1"/>
  <c r="J44" s="1"/>
  <c r="O44" i="89"/>
  <c r="N44" s="1"/>
  <c r="P44" i="87"/>
  <c r="K40" i="123"/>
  <c r="J40"/>
  <c r="I40"/>
  <c r="H40"/>
  <c r="G40"/>
  <c r="F40"/>
  <c r="E40"/>
  <c r="D40"/>
  <c r="C40"/>
  <c r="B40"/>
  <c r="K39"/>
  <c r="J39"/>
  <c r="I39"/>
  <c r="H39"/>
  <c r="G39"/>
  <c r="F39"/>
  <c r="E39"/>
  <c r="D39"/>
  <c r="C39"/>
  <c r="B39"/>
  <c r="K36"/>
  <c r="J36"/>
  <c r="I36"/>
  <c r="H36"/>
  <c r="G36"/>
  <c r="F36"/>
  <c r="E36"/>
  <c r="D36"/>
  <c r="C36"/>
  <c r="B36"/>
  <c r="K35"/>
  <c r="J35"/>
  <c r="I35"/>
  <c r="H35"/>
  <c r="G35"/>
  <c r="F35"/>
  <c r="E35"/>
  <c r="D35"/>
  <c r="C35"/>
  <c r="B35"/>
  <c r="K34"/>
  <c r="J34"/>
  <c r="I34"/>
  <c r="H34"/>
  <c r="G34"/>
  <c r="F34"/>
  <c r="E34"/>
  <c r="D34"/>
  <c r="C34"/>
  <c r="B34"/>
  <c r="K32"/>
  <c r="J32"/>
  <c r="I32"/>
  <c r="H32"/>
  <c r="G32"/>
  <c r="F32"/>
  <c r="E32"/>
  <c r="D32"/>
  <c r="C32"/>
  <c r="B32"/>
  <c r="K30"/>
  <c r="J30"/>
  <c r="I30"/>
  <c r="H30"/>
  <c r="G30"/>
  <c r="F30"/>
  <c r="E30"/>
  <c r="D30"/>
  <c r="C30"/>
  <c r="B30"/>
  <c r="K28"/>
  <c r="J28"/>
  <c r="I28"/>
  <c r="H28"/>
  <c r="G28"/>
  <c r="F28"/>
  <c r="E28"/>
  <c r="D28"/>
  <c r="C28"/>
  <c r="B28"/>
  <c r="K25"/>
  <c r="J25"/>
  <c r="I25"/>
  <c r="H25"/>
  <c r="G25"/>
  <c r="F25"/>
  <c r="E25"/>
  <c r="D25"/>
  <c r="C25"/>
  <c r="B25"/>
  <c r="K24"/>
  <c r="J24"/>
  <c r="I24"/>
  <c r="H24"/>
  <c r="G24"/>
  <c r="F24"/>
  <c r="E24"/>
  <c r="D24"/>
  <c r="C24"/>
  <c r="B24"/>
  <c r="K21"/>
  <c r="J21"/>
  <c r="I21"/>
  <c r="H21"/>
  <c r="G21"/>
  <c r="F21"/>
  <c r="E21"/>
  <c r="D21"/>
  <c r="C21"/>
  <c r="B21"/>
  <c r="K20"/>
  <c r="J20"/>
  <c r="I20"/>
  <c r="H20"/>
  <c r="G20"/>
  <c r="F20"/>
  <c r="E20"/>
  <c r="D20"/>
  <c r="C20"/>
  <c r="B20"/>
  <c r="F37" l="1"/>
  <c r="J37"/>
  <c r="D45"/>
  <c r="H45"/>
  <c r="H22"/>
  <c r="E37"/>
  <c r="I37"/>
  <c r="G45"/>
  <c r="C22"/>
  <c r="D37"/>
  <c r="C37" s="1"/>
  <c r="B37" s="1"/>
  <c r="H37"/>
  <c r="G37" s="1"/>
  <c r="F45"/>
  <c r="G22"/>
  <c r="F22" s="1"/>
  <c r="E22" s="1"/>
  <c r="D22" s="1"/>
  <c r="C45"/>
  <c r="J26"/>
  <c r="I26" s="1"/>
  <c r="H26" s="1"/>
  <c r="G26" s="1"/>
  <c r="F26" s="1"/>
  <c r="E26" s="1"/>
  <c r="D26" s="1"/>
  <c r="C26" s="1"/>
  <c r="B26" s="1"/>
  <c r="J45"/>
  <c r="B22"/>
  <c r="I22"/>
  <c r="K37"/>
  <c r="B45"/>
  <c r="K26"/>
  <c r="K22"/>
  <c r="J22" s="1"/>
  <c r="E45"/>
  <c r="I45"/>
  <c r="K17"/>
  <c r="J17"/>
  <c r="I17"/>
  <c r="H17"/>
  <c r="G17"/>
  <c r="F17"/>
  <c r="E17"/>
  <c r="D17"/>
  <c r="C17"/>
  <c r="B17"/>
  <c r="K16"/>
  <c r="J16"/>
  <c r="I16"/>
  <c r="H16"/>
  <c r="G16"/>
  <c r="F16"/>
  <c r="E16"/>
  <c r="D16"/>
  <c r="C16"/>
  <c r="B16"/>
  <c r="K15"/>
  <c r="J15"/>
  <c r="I15"/>
  <c r="H15"/>
  <c r="G15"/>
  <c r="F15"/>
  <c r="E15"/>
  <c r="D15"/>
  <c r="C15"/>
  <c r="B15"/>
  <c r="K14"/>
  <c r="J14"/>
  <c r="I14"/>
  <c r="H14"/>
  <c r="G14"/>
  <c r="F14"/>
  <c r="E14"/>
  <c r="D14"/>
  <c r="C14"/>
  <c r="B14"/>
  <c r="K13"/>
  <c r="J13"/>
  <c r="I13"/>
  <c r="H13"/>
  <c r="G13"/>
  <c r="F13"/>
  <c r="E13"/>
  <c r="D13"/>
  <c r="C13"/>
  <c r="B13"/>
  <c r="K12"/>
  <c r="J12"/>
  <c r="I12"/>
  <c r="H12"/>
  <c r="G12"/>
  <c r="F12"/>
  <c r="E12"/>
  <c r="D12"/>
  <c r="C12"/>
  <c r="B12"/>
  <c r="K9"/>
  <c r="J9"/>
  <c r="I9"/>
  <c r="H9"/>
  <c r="G9"/>
  <c r="F9"/>
  <c r="E9"/>
  <c r="D9"/>
  <c r="C9"/>
  <c r="B9"/>
  <c r="K8"/>
  <c r="J8"/>
  <c r="I8"/>
  <c r="H8"/>
  <c r="G8"/>
  <c r="F8"/>
  <c r="E8"/>
  <c r="D8"/>
  <c r="C8"/>
  <c r="B8"/>
  <c r="K6"/>
  <c r="J6"/>
  <c r="I6"/>
  <c r="H6"/>
  <c r="G6"/>
  <c r="F6"/>
  <c r="E6"/>
  <c r="D6"/>
  <c r="C6"/>
  <c r="B6"/>
  <c r="C10" l="1"/>
  <c r="G18"/>
  <c r="K18"/>
  <c r="C18"/>
  <c r="D10"/>
  <c r="H10"/>
  <c r="H18"/>
  <c r="B10"/>
  <c r="B18"/>
  <c r="J10"/>
  <c r="F18"/>
  <c r="J18"/>
  <c r="E10"/>
  <c r="I10"/>
  <c r="E18"/>
  <c r="D18" s="1"/>
  <c r="I18"/>
  <c r="G10"/>
  <c r="F10" s="1"/>
  <c r="K10"/>
  <c r="F47" l="1"/>
  <c r="H47"/>
  <c r="D47"/>
  <c r="C47" s="1"/>
  <c r="I47"/>
  <c r="J47"/>
  <c r="E47"/>
  <c r="B47"/>
  <c r="K45" s="1"/>
  <c r="K47" s="1"/>
  <c r="G47"/>
  <c r="AK45" i="156"/>
  <c r="AI45"/>
  <c r="AH45"/>
  <c r="AG45"/>
  <c r="AE45"/>
  <c r="AC45"/>
  <c r="AB45"/>
  <c r="AA45"/>
  <c r="Y45"/>
  <c r="V45"/>
  <c r="T45"/>
  <c r="S45"/>
  <c r="R45"/>
  <c r="P45"/>
  <c r="M45"/>
  <c r="L45"/>
  <c r="K45"/>
  <c r="I45"/>
  <c r="H45"/>
  <c r="F45"/>
  <c r="E45"/>
  <c r="C45"/>
  <c r="O43"/>
  <c r="Q43" s="1"/>
  <c r="J43"/>
  <c r="D43"/>
  <c r="O42"/>
  <c r="Q42" s="1"/>
  <c r="J42"/>
  <c r="O41"/>
  <c r="Q41" s="1"/>
  <c r="J41"/>
  <c r="O40"/>
  <c r="Q40" s="1"/>
  <c r="J40"/>
  <c r="O39"/>
  <c r="Q39" s="1"/>
  <c r="J39"/>
  <c r="O38"/>
  <c r="Q38" s="1"/>
  <c r="J38"/>
  <c r="O37"/>
  <c r="Q37" s="1"/>
  <c r="J37"/>
  <c r="AK34"/>
  <c r="AI34"/>
  <c r="AH34"/>
  <c r="AG34"/>
  <c r="AE34"/>
  <c r="AC34"/>
  <c r="AB34"/>
  <c r="AA34"/>
  <c r="Y34"/>
  <c r="V34"/>
  <c r="S34"/>
  <c r="R34"/>
  <c r="P34"/>
  <c r="L34"/>
  <c r="K34"/>
  <c r="I34"/>
  <c r="H34"/>
  <c r="F34"/>
  <c r="E34"/>
  <c r="C34"/>
  <c r="AJ32"/>
  <c r="AF32"/>
  <c r="M32"/>
  <c r="J32"/>
  <c r="AJ31"/>
  <c r="AL31" s="1"/>
  <c r="AF31"/>
  <c r="M31"/>
  <c r="O31" s="1"/>
  <c r="Q31" s="1"/>
  <c r="J31"/>
  <c r="AJ30"/>
  <c r="AF30"/>
  <c r="T30"/>
  <c r="M30"/>
  <c r="O30" s="1"/>
  <c r="Q30" s="1"/>
  <c r="J30"/>
  <c r="AJ29"/>
  <c r="AF29"/>
  <c r="T29"/>
  <c r="M29"/>
  <c r="O29" s="1"/>
  <c r="Q29" s="1"/>
  <c r="J29"/>
  <c r="AJ28"/>
  <c r="AF28"/>
  <c r="M28"/>
  <c r="J28"/>
  <c r="AJ27"/>
  <c r="AL27" s="1"/>
  <c r="AF27"/>
  <c r="M27"/>
  <c r="O27" s="1"/>
  <c r="Q27" s="1"/>
  <c r="J27"/>
  <c r="AJ26"/>
  <c r="AF26"/>
  <c r="M26"/>
  <c r="J26"/>
  <c r="D26"/>
  <c r="AJ25"/>
  <c r="AF25"/>
  <c r="M25"/>
  <c r="J25"/>
  <c r="AJ24"/>
  <c r="AL24" s="1"/>
  <c r="AF24"/>
  <c r="M24"/>
  <c r="O24" s="1"/>
  <c r="Q24" s="1"/>
  <c r="J24"/>
  <c r="O23"/>
  <c r="Q23" s="1"/>
  <c r="J23"/>
  <c r="AK20"/>
  <c r="AI20"/>
  <c r="AH20"/>
  <c r="AG20"/>
  <c r="AE20"/>
  <c r="AC20"/>
  <c r="AB20"/>
  <c r="AA20"/>
  <c r="Y20"/>
  <c r="V20"/>
  <c r="T20"/>
  <c r="S20"/>
  <c r="R20"/>
  <c r="P20"/>
  <c r="M20"/>
  <c r="L20"/>
  <c r="K20"/>
  <c r="I20"/>
  <c r="H20"/>
  <c r="F20"/>
  <c r="E20"/>
  <c r="C20"/>
  <c r="O18"/>
  <c r="Q18" s="1"/>
  <c r="J18"/>
  <c r="O17"/>
  <c r="Q17" s="1"/>
  <c r="J17"/>
  <c r="O16"/>
  <c r="Q16" s="1"/>
  <c r="J16"/>
  <c r="D16"/>
  <c r="D20" s="1"/>
  <c r="O15"/>
  <c r="Q15" s="1"/>
  <c r="J15"/>
  <c r="O14"/>
  <c r="Q14" s="1"/>
  <c r="J14"/>
  <c r="O13"/>
  <c r="Q13" s="1"/>
  <c r="J13"/>
  <c r="O12"/>
  <c r="U12" s="1"/>
  <c r="Q12" s="1"/>
  <c r="X12" s="1"/>
  <c r="J12"/>
  <c r="J34" l="1"/>
  <c r="O45"/>
  <c r="U45" s="1"/>
  <c r="AD45" s="1"/>
  <c r="J20"/>
  <c r="AL29"/>
  <c r="AL28"/>
  <c r="AL32"/>
  <c r="D45"/>
  <c r="J45"/>
  <c r="AL25"/>
  <c r="AL26"/>
  <c r="AL30"/>
  <c r="AD12"/>
  <c r="W12"/>
  <c r="O20"/>
  <c r="E4" i="168"/>
  <c r="E6" s="1"/>
  <c r="D34" i="156"/>
  <c r="D33" i="154"/>
  <c r="D47" i="156" l="1"/>
  <c r="C47" s="1"/>
  <c r="Q45"/>
  <c r="X45" s="1"/>
  <c r="Z45" s="1"/>
  <c r="W45"/>
  <c r="Z12"/>
  <c r="AJ12"/>
  <c r="AL12" s="1"/>
  <c r="AF12"/>
  <c r="AF45"/>
  <c r="AJ45"/>
  <c r="AL45" s="1"/>
  <c r="U20"/>
  <c r="Q20"/>
  <c r="D29" i="154"/>
  <c r="D28"/>
  <c r="E28" s="1"/>
  <c r="D27"/>
  <c r="C27"/>
  <c r="D24"/>
  <c r="E24" s="1"/>
  <c r="X20" i="156" l="1"/>
  <c r="Z20" s="1"/>
  <c r="W20"/>
  <c r="AD20"/>
  <c r="E27" i="154"/>
  <c r="D23"/>
  <c r="D22"/>
  <c r="AF20" i="156" l="1"/>
  <c r="AJ20"/>
  <c r="C22" i="154"/>
  <c r="E21"/>
  <c r="C19"/>
  <c r="A19" s="1"/>
  <c r="C18"/>
  <c r="D17"/>
  <c r="C17"/>
  <c r="C16"/>
  <c r="D15"/>
  <c r="D14"/>
  <c r="AL20" i="156" l="1"/>
  <c r="C15" i="154"/>
  <c r="A15" s="1"/>
  <c r="E22"/>
  <c r="E17"/>
  <c r="C14"/>
  <c r="E14" s="1"/>
  <c r="D13"/>
  <c r="C13"/>
  <c r="D12"/>
  <c r="C12"/>
  <c r="D11"/>
  <c r="C11"/>
  <c r="A10"/>
  <c r="C8"/>
  <c r="U49" i="162"/>
  <c r="L46"/>
  <c r="I46"/>
  <c r="U45"/>
  <c r="S45" s="1"/>
  <c r="O45"/>
  <c r="N45" s="1"/>
  <c r="J45"/>
  <c r="G45"/>
  <c r="U44"/>
  <c r="T44" s="1"/>
  <c r="O44"/>
  <c r="N44" s="1"/>
  <c r="K44"/>
  <c r="H44"/>
  <c r="U43"/>
  <c r="S43" s="1"/>
  <c r="O43"/>
  <c r="M43" s="1"/>
  <c r="J43"/>
  <c r="G43"/>
  <c r="U42"/>
  <c r="S42" s="1"/>
  <c r="O42"/>
  <c r="M42" s="1"/>
  <c r="J42"/>
  <c r="G42"/>
  <c r="U41"/>
  <c r="U46" s="1"/>
  <c r="T46" s="1"/>
  <c r="S46" s="1"/>
  <c r="O41"/>
  <c r="M41" s="1"/>
  <c r="K41"/>
  <c r="J41"/>
  <c r="H41"/>
  <c r="G41"/>
  <c r="S38"/>
  <c r="L38"/>
  <c r="I38"/>
  <c r="U37"/>
  <c r="T37" s="1"/>
  <c r="R37"/>
  <c r="Q37" s="1"/>
  <c r="N37"/>
  <c r="K37"/>
  <c r="H37"/>
  <c r="U36"/>
  <c r="T36" s="1"/>
  <c r="O36"/>
  <c r="N36" s="1"/>
  <c r="K36"/>
  <c r="H36"/>
  <c r="U35"/>
  <c r="T35" s="1"/>
  <c r="O35"/>
  <c r="N35" s="1"/>
  <c r="K35"/>
  <c r="H35"/>
  <c r="U34"/>
  <c r="T34" s="1"/>
  <c r="O34"/>
  <c r="N34" s="1"/>
  <c r="K34"/>
  <c r="H34"/>
  <c r="U33"/>
  <c r="T33" s="1"/>
  <c r="O33"/>
  <c r="N33" s="1"/>
  <c r="K33"/>
  <c r="H33"/>
  <c r="U32"/>
  <c r="T32" s="1"/>
  <c r="R32"/>
  <c r="Q32" s="1"/>
  <c r="N32"/>
  <c r="K32"/>
  <c r="H32"/>
  <c r="U31"/>
  <c r="T31" s="1"/>
  <c r="O31"/>
  <c r="N31" s="1"/>
  <c r="K31"/>
  <c r="H31"/>
  <c r="U30"/>
  <c r="T30" s="1"/>
  <c r="O30"/>
  <c r="N30" s="1"/>
  <c r="K30"/>
  <c r="H30"/>
  <c r="U29"/>
  <c r="T29" s="1"/>
  <c r="O29"/>
  <c r="N29" s="1"/>
  <c r="K29"/>
  <c r="H29"/>
  <c r="U28"/>
  <c r="E11" i="154" l="1"/>
  <c r="K46" i="162"/>
  <c r="J46" s="1"/>
  <c r="H46"/>
  <c r="G46" s="1"/>
  <c r="E15" i="154"/>
  <c r="R35" i="162"/>
  <c r="Q35" s="1"/>
  <c r="R33"/>
  <c r="Q33" s="1"/>
  <c r="R34"/>
  <c r="Q34" s="1"/>
  <c r="R36"/>
  <c r="Q36" s="1"/>
  <c r="R42"/>
  <c r="P42" s="1"/>
  <c r="R43"/>
  <c r="P43" s="1"/>
  <c r="R44"/>
  <c r="Q44" s="1"/>
  <c r="R45"/>
  <c r="P45" s="1"/>
  <c r="R31"/>
  <c r="Q31" s="1"/>
  <c r="N41"/>
  <c r="R41"/>
  <c r="O46"/>
  <c r="R30"/>
  <c r="Q30" s="1"/>
  <c r="R29"/>
  <c r="Q29" s="1"/>
  <c r="E12" i="154"/>
  <c r="E13"/>
  <c r="O28" i="162"/>
  <c r="R28" s="1"/>
  <c r="K28"/>
  <c r="J28"/>
  <c r="H28"/>
  <c r="G28"/>
  <c r="T27"/>
  <c r="R27"/>
  <c r="Q27" s="1"/>
  <c r="N27"/>
  <c r="K27"/>
  <c r="H27"/>
  <c r="T26"/>
  <c r="R26"/>
  <c r="Q26" s="1"/>
  <c r="N26"/>
  <c r="K26"/>
  <c r="H26"/>
  <c r="U25"/>
  <c r="T25" s="1"/>
  <c r="O25"/>
  <c r="N25" s="1"/>
  <c r="K25"/>
  <c r="H25"/>
  <c r="U24"/>
  <c r="O24"/>
  <c r="N24" s="1"/>
  <c r="K24"/>
  <c r="J24"/>
  <c r="H24"/>
  <c r="G24"/>
  <c r="U23"/>
  <c r="T23" s="1"/>
  <c r="O23"/>
  <c r="N23" s="1"/>
  <c r="K23"/>
  <c r="H23"/>
  <c r="U22"/>
  <c r="T22" s="1"/>
  <c r="O22"/>
  <c r="N22" s="1"/>
  <c r="K22"/>
  <c r="H22"/>
  <c r="U21"/>
  <c r="T21" s="1"/>
  <c r="O21"/>
  <c r="N21" s="1"/>
  <c r="K21"/>
  <c r="H21"/>
  <c r="U20"/>
  <c r="T20" s="1"/>
  <c r="O20"/>
  <c r="N20" s="1"/>
  <c r="K20"/>
  <c r="H20"/>
  <c r="U19"/>
  <c r="T19" s="1"/>
  <c r="O19"/>
  <c r="N19" s="1"/>
  <c r="K19"/>
  <c r="H19"/>
  <c r="U18"/>
  <c r="T18" s="1"/>
  <c r="O18"/>
  <c r="N18" s="1"/>
  <c r="K18"/>
  <c r="H18"/>
  <c r="U17"/>
  <c r="T17" s="1"/>
  <c r="O17"/>
  <c r="N17" s="1"/>
  <c r="K17"/>
  <c r="H17"/>
  <c r="U16"/>
  <c r="T16" s="1"/>
  <c r="O16"/>
  <c r="N16" s="1"/>
  <c r="K16"/>
  <c r="H16"/>
  <c r="T15"/>
  <c r="R15"/>
  <c r="Q15" s="1"/>
  <c r="N15"/>
  <c r="K15"/>
  <c r="H15"/>
  <c r="T14"/>
  <c r="R14"/>
  <c r="Q14" s="1"/>
  <c r="N14"/>
  <c r="K14"/>
  <c r="H14"/>
  <c r="T13"/>
  <c r="R13"/>
  <c r="Q13" s="1"/>
  <c r="N13"/>
  <c r="K13"/>
  <c r="H13"/>
  <c r="U12"/>
  <c r="O12"/>
  <c r="N12" s="1"/>
  <c r="K12"/>
  <c r="H12"/>
  <c r="T11"/>
  <c r="R11"/>
  <c r="Q11" s="1"/>
  <c r="K11"/>
  <c r="H11"/>
  <c r="T10"/>
  <c r="R10"/>
  <c r="Q10" s="1"/>
  <c r="K10"/>
  <c r="H10"/>
  <c r="T9"/>
  <c r="R9"/>
  <c r="Q9" s="1"/>
  <c r="K9"/>
  <c r="H9"/>
  <c r="T8"/>
  <c r="R8"/>
  <c r="Q8" s="1"/>
  <c r="N8"/>
  <c r="K8"/>
  <c r="H8"/>
  <c r="T7"/>
  <c r="R7"/>
  <c r="Q7" s="1"/>
  <c r="N7"/>
  <c r="K7"/>
  <c r="H7"/>
  <c r="T6"/>
  <c r="R6"/>
  <c r="Q6" s="1"/>
  <c r="N6"/>
  <c r="K6"/>
  <c r="H6"/>
  <c r="T5"/>
  <c r="R5"/>
  <c r="N5"/>
  <c r="K5"/>
  <c r="H5"/>
  <c r="Q46" i="161"/>
  <c r="H38" i="162" l="1"/>
  <c r="G38" s="1"/>
  <c r="K38"/>
  <c r="J38" s="1"/>
  <c r="U38"/>
  <c r="M24"/>
  <c r="R24"/>
  <c r="Q24" s="1"/>
  <c r="R21"/>
  <c r="Q21" s="1"/>
  <c r="R46"/>
  <c r="R17"/>
  <c r="Q17" s="1"/>
  <c r="R19"/>
  <c r="Q19" s="1"/>
  <c r="T12"/>
  <c r="R23"/>
  <c r="Q23" s="1"/>
  <c r="R20"/>
  <c r="Q20" s="1"/>
  <c r="R25"/>
  <c r="Q25" s="1"/>
  <c r="T38"/>
  <c r="U47"/>
  <c r="Q28"/>
  <c r="P28"/>
  <c r="Q5"/>
  <c r="R12"/>
  <c r="Q12" s="1"/>
  <c r="R16"/>
  <c r="Q16" s="1"/>
  <c r="P24"/>
  <c r="N28"/>
  <c r="P41"/>
  <c r="Q41"/>
  <c r="Q46" s="1"/>
  <c r="M28"/>
  <c r="R18"/>
  <c r="Q18" s="1"/>
  <c r="R22"/>
  <c r="Q22" s="1"/>
  <c r="N46"/>
  <c r="M46" s="1"/>
  <c r="U45" i="161"/>
  <c r="U41"/>
  <c r="L38"/>
  <c r="I38"/>
  <c r="U37"/>
  <c r="S37" s="1"/>
  <c r="O37"/>
  <c r="N37" s="1"/>
  <c r="J37"/>
  <c r="G37"/>
  <c r="U36"/>
  <c r="T36" s="1"/>
  <c r="O36"/>
  <c r="N36" s="1"/>
  <c r="K36"/>
  <c r="H36"/>
  <c r="U35"/>
  <c r="S35" s="1"/>
  <c r="O35"/>
  <c r="M35" s="1"/>
  <c r="J35"/>
  <c r="G35"/>
  <c r="U34"/>
  <c r="S34" s="1"/>
  <c r="O34"/>
  <c r="M34" s="1"/>
  <c r="J34"/>
  <c r="G34"/>
  <c r="U33"/>
  <c r="T33" s="1"/>
  <c r="O33"/>
  <c r="N33" s="1"/>
  <c r="K33"/>
  <c r="J33"/>
  <c r="H33"/>
  <c r="G33"/>
  <c r="K38" l="1"/>
  <c r="J38" s="1"/>
  <c r="H38"/>
  <c r="G38" s="1"/>
  <c r="R36"/>
  <c r="Q36" s="1"/>
  <c r="R34"/>
  <c r="P34" s="1"/>
  <c r="N38"/>
  <c r="P46" i="162"/>
  <c r="M33" i="161"/>
  <c r="M38" s="1"/>
  <c r="R33"/>
  <c r="R35"/>
  <c r="P35" s="1"/>
  <c r="P38" i="162"/>
  <c r="O38" s="1"/>
  <c r="N38" s="1"/>
  <c r="M38" s="1"/>
  <c r="T47"/>
  <c r="S47" s="1"/>
  <c r="R38"/>
  <c r="Q38" s="1"/>
  <c r="R37" i="161"/>
  <c r="P37" s="1"/>
  <c r="L30"/>
  <c r="I30"/>
  <c r="U29"/>
  <c r="T29" s="1"/>
  <c r="O29"/>
  <c r="N29" s="1"/>
  <c r="K29"/>
  <c r="H29"/>
  <c r="U28"/>
  <c r="T28" s="1"/>
  <c r="O28"/>
  <c r="N28" s="1"/>
  <c r="K28"/>
  <c r="H28"/>
  <c r="U27"/>
  <c r="T27" s="1"/>
  <c r="O27"/>
  <c r="N27" s="1"/>
  <c r="K27"/>
  <c r="H27"/>
  <c r="U26"/>
  <c r="T26" s="1"/>
  <c r="O26"/>
  <c r="N26" s="1"/>
  <c r="K26"/>
  <c r="U25"/>
  <c r="T25" s="1"/>
  <c r="O25"/>
  <c r="N25" s="1"/>
  <c r="K25"/>
  <c r="H25"/>
  <c r="U24"/>
  <c r="T24" s="1"/>
  <c r="O24"/>
  <c r="N24" s="1"/>
  <c r="K24"/>
  <c r="J24"/>
  <c r="H24"/>
  <c r="G24"/>
  <c r="U23"/>
  <c r="T23" s="1"/>
  <c r="O23"/>
  <c r="H23"/>
  <c r="U22"/>
  <c r="T22" s="1"/>
  <c r="O22"/>
  <c r="N22" s="1"/>
  <c r="K22"/>
  <c r="H22"/>
  <c r="U21"/>
  <c r="T21" s="1"/>
  <c r="O21"/>
  <c r="N21" s="1"/>
  <c r="K21"/>
  <c r="H21"/>
  <c r="U20"/>
  <c r="T20" s="1"/>
  <c r="O20"/>
  <c r="N20" s="1"/>
  <c r="K20"/>
  <c r="H20"/>
  <c r="U19"/>
  <c r="T19" s="1"/>
  <c r="O19"/>
  <c r="N19" s="1"/>
  <c r="K19"/>
  <c r="H19"/>
  <c r="U18"/>
  <c r="T18" s="1"/>
  <c r="O18"/>
  <c r="N18" s="1"/>
  <c r="K18"/>
  <c r="H18"/>
  <c r="U17"/>
  <c r="T17" s="1"/>
  <c r="O17"/>
  <c r="N17" s="1"/>
  <c r="K17"/>
  <c r="H17"/>
  <c r="U16"/>
  <c r="T16" s="1"/>
  <c r="O16"/>
  <c r="N16" s="1"/>
  <c r="K16"/>
  <c r="H16"/>
  <c r="U15"/>
  <c r="T15" s="1"/>
  <c r="O15"/>
  <c r="N15" s="1"/>
  <c r="K15"/>
  <c r="H15"/>
  <c r="U14"/>
  <c r="T14" s="1"/>
  <c r="O14"/>
  <c r="N14" s="1"/>
  <c r="K14"/>
  <c r="H14"/>
  <c r="U13"/>
  <c r="T13" s="1"/>
  <c r="O13"/>
  <c r="N13" s="1"/>
  <c r="K13"/>
  <c r="H13"/>
  <c r="U12"/>
  <c r="T12" s="1"/>
  <c r="O12"/>
  <c r="N12" s="1"/>
  <c r="K12"/>
  <c r="H12"/>
  <c r="U11"/>
  <c r="T11" s="1"/>
  <c r="O11"/>
  <c r="K11"/>
  <c r="H11"/>
  <c r="U10"/>
  <c r="T10" s="1"/>
  <c r="O10"/>
  <c r="K10"/>
  <c r="H10"/>
  <c r="U9"/>
  <c r="T9" s="1"/>
  <c r="O9"/>
  <c r="K9"/>
  <c r="H9"/>
  <c r="U8"/>
  <c r="T8" s="1"/>
  <c r="O8"/>
  <c r="N8" s="1"/>
  <c r="K8"/>
  <c r="H8"/>
  <c r="U7"/>
  <c r="T7" s="1"/>
  <c r="O7"/>
  <c r="N7" s="1"/>
  <c r="K7"/>
  <c r="H7"/>
  <c r="U6"/>
  <c r="T6" s="1"/>
  <c r="O6"/>
  <c r="N6" s="1"/>
  <c r="K6"/>
  <c r="H6"/>
  <c r="U5"/>
  <c r="O5"/>
  <c r="R5" s="1"/>
  <c r="K5"/>
  <c r="H5"/>
  <c r="K30" l="1"/>
  <c r="J30" s="1"/>
  <c r="H30"/>
  <c r="G30" s="1"/>
  <c r="R6"/>
  <c r="Q6" s="1"/>
  <c r="R8"/>
  <c r="Q8" s="1"/>
  <c r="R16"/>
  <c r="Q16" s="1"/>
  <c r="M24"/>
  <c r="R24"/>
  <c r="Q24" s="1"/>
  <c r="R27"/>
  <c r="Q27" s="1"/>
  <c r="R22"/>
  <c r="Q22" s="1"/>
  <c r="R23"/>
  <c r="Q23" s="1"/>
  <c r="R7"/>
  <c r="Q7" s="1"/>
  <c r="R14"/>
  <c r="Q14" s="1"/>
  <c r="R18"/>
  <c r="Q18" s="1"/>
  <c r="R25"/>
  <c r="Q25" s="1"/>
  <c r="R29"/>
  <c r="Q29" s="1"/>
  <c r="N5"/>
  <c r="U30"/>
  <c r="T5"/>
  <c r="T30" s="1"/>
  <c r="P24"/>
  <c r="R10"/>
  <c r="Q10" s="1"/>
  <c r="R11"/>
  <c r="Q11" s="1"/>
  <c r="R12"/>
  <c r="Q12" s="1"/>
  <c r="R20"/>
  <c r="Q20" s="1"/>
  <c r="Q5"/>
  <c r="S24"/>
  <c r="U44" s="1"/>
  <c r="Q44" s="1"/>
  <c r="Q47" s="1"/>
  <c r="U46" s="1"/>
  <c r="R9"/>
  <c r="Q9" s="1"/>
  <c r="R15"/>
  <c r="Q15" s="1"/>
  <c r="R19"/>
  <c r="Q19" s="1"/>
  <c r="R26"/>
  <c r="Q26" s="1"/>
  <c r="Q33"/>
  <c r="R38"/>
  <c r="P33"/>
  <c r="R13"/>
  <c r="Q13" s="1"/>
  <c r="R17"/>
  <c r="Q17" s="1"/>
  <c r="R21"/>
  <c r="Q21" s="1"/>
  <c r="R28"/>
  <c r="Q28" s="1"/>
  <c r="R47" i="162"/>
  <c r="Q47" s="1"/>
  <c r="P47" s="1"/>
  <c r="O47" s="1"/>
  <c r="N47" s="1"/>
  <c r="M47" s="1"/>
  <c r="L47" s="1"/>
  <c r="K47" s="1"/>
  <c r="J47" s="1"/>
  <c r="I47" s="1"/>
  <c r="H47" s="1"/>
  <c r="G47" s="1"/>
  <c r="S30" i="161" l="1"/>
  <c r="Q38"/>
  <c r="P38" s="1"/>
  <c r="O38" s="1"/>
  <c r="R30"/>
  <c r="Q30" s="1"/>
  <c r="P30" s="1"/>
  <c r="O30" s="1"/>
  <c r="F24" i="152"/>
  <c r="D18" i="154" s="1"/>
  <c r="B24" i="152"/>
  <c r="J20"/>
  <c r="K11"/>
  <c r="D32" i="154" s="1"/>
  <c r="G11" i="152"/>
  <c r="E10"/>
  <c r="D6" i="154" s="1"/>
  <c r="B10" i="152"/>
  <c r="B9" s="1"/>
  <c r="B13" s="1"/>
  <c r="E56" i="158"/>
  <c r="E54"/>
  <c r="G21" i="152" l="1"/>
  <c r="K20" s="1"/>
  <c r="E9"/>
  <c r="F12" s="1"/>
  <c r="N30" i="161"/>
  <c r="M30" s="1"/>
  <c r="O39"/>
  <c r="E48" i="158"/>
  <c r="E46"/>
  <c r="E44"/>
  <c r="E43"/>
  <c r="E42"/>
  <c r="G40"/>
  <c r="E40"/>
  <c r="E37"/>
  <c r="D31" i="154" l="1"/>
  <c r="E31" s="1"/>
  <c r="K30" i="152"/>
  <c r="G30" s="1"/>
  <c r="E52" i="158"/>
  <c r="D5" i="154"/>
  <c r="F37" i="152"/>
  <c r="N39" i="161"/>
  <c r="M39"/>
  <c r="L39" s="1"/>
  <c r="K39" s="1"/>
  <c r="J39" s="1"/>
  <c r="I39" s="1"/>
  <c r="H39" s="1"/>
  <c r="G39" s="1"/>
  <c r="U38" s="1"/>
  <c r="H40" i="158"/>
  <c r="E36"/>
  <c r="E35"/>
  <c r="E30"/>
  <c r="E25"/>
  <c r="G22"/>
  <c r="E20"/>
  <c r="A20"/>
  <c r="A25" s="1"/>
  <c r="G16"/>
  <c r="E16"/>
  <c r="E15"/>
  <c r="G11"/>
  <c r="E11"/>
  <c r="B37" i="152" l="1"/>
  <c r="A30" i="158"/>
  <c r="T38" i="161"/>
  <c r="S38" s="1"/>
  <c r="U39"/>
  <c r="E23" i="158"/>
  <c r="H22" s="1"/>
  <c r="E4"/>
  <c r="E17" s="1"/>
  <c r="H16" s="1"/>
  <c r="AC29" i="164"/>
  <c r="Q62" i="163"/>
  <c r="M62"/>
  <c r="S59"/>
  <c r="L62" s="1"/>
  <c r="P23" i="80"/>
  <c r="F23"/>
  <c r="B23"/>
  <c r="O22"/>
  <c r="O21"/>
  <c r="O20"/>
  <c r="K20"/>
  <c r="J20" s="1"/>
  <c r="G20"/>
  <c r="K10"/>
  <c r="G10"/>
  <c r="E9"/>
  <c r="G18" i="118" s="1"/>
  <c r="G21" s="1"/>
  <c r="B9" i="80"/>
  <c r="Q21" l="1"/>
  <c r="G29"/>
  <c r="E8"/>
  <c r="F11" s="1"/>
  <c r="F36" s="1"/>
  <c r="O23"/>
  <c r="Q22"/>
  <c r="K29"/>
  <c r="S64" i="163"/>
  <c r="B8" i="80"/>
  <c r="B36" s="1"/>
  <c r="Q20"/>
  <c r="T39" i="161"/>
  <c r="S39" s="1"/>
  <c r="R39" s="1"/>
  <c r="Q39" s="1"/>
  <c r="P39" s="1"/>
  <c r="E68" i="79"/>
  <c r="E66"/>
  <c r="E59"/>
  <c r="E55"/>
  <c r="E53"/>
  <c r="E51"/>
  <c r="E50"/>
  <c r="G7" i="118" l="1"/>
  <c r="G17" s="1"/>
  <c r="G25" s="1"/>
  <c r="B25" i="168"/>
  <c r="E64" i="79"/>
  <c r="E48" l="1"/>
  <c r="E45"/>
  <c r="E40" l="1"/>
  <c r="E39"/>
  <c r="E35"/>
  <c r="G34"/>
  <c r="G33"/>
  <c r="E28"/>
  <c r="E22"/>
  <c r="E19"/>
  <c r="E13"/>
  <c r="E10"/>
  <c r="G7"/>
  <c r="E6"/>
  <c r="A6"/>
  <c r="K39" i="157"/>
  <c r="K17"/>
  <c r="H33" i="79" l="1"/>
  <c r="A10"/>
  <c r="A22" s="1"/>
  <c r="A28" s="1"/>
  <c r="E25"/>
  <c r="H22" s="1"/>
  <c r="E20"/>
  <c r="H10" s="1"/>
  <c r="E8"/>
  <c r="E41"/>
  <c r="H34"/>
  <c r="G14" i="167"/>
  <c r="B14"/>
  <c r="F13"/>
  <c r="J9"/>
  <c r="F10" i="119"/>
  <c r="D10"/>
  <c r="K13" i="167" l="1"/>
  <c r="E4" i="79"/>
  <c r="B9" i="119"/>
  <c r="B10" s="1"/>
  <c r="J53" i="102" l="1"/>
  <c r="J50"/>
  <c r="J49"/>
  <c r="J48"/>
  <c r="J47"/>
  <c r="J45"/>
  <c r="J44"/>
  <c r="J43"/>
  <c r="J42"/>
  <c r="J41"/>
  <c r="I39"/>
  <c r="H39"/>
  <c r="G39"/>
  <c r="F39"/>
  <c r="I38"/>
  <c r="H38"/>
  <c r="G38"/>
  <c r="F38"/>
  <c r="E38"/>
  <c r="I37"/>
  <c r="H37"/>
  <c r="G37"/>
  <c r="F37"/>
  <c r="E37"/>
  <c r="I36"/>
  <c r="H36"/>
  <c r="G36"/>
  <c r="F36"/>
  <c r="E36"/>
  <c r="I35"/>
  <c r="H35"/>
  <c r="G35"/>
  <c r="F35"/>
  <c r="E35"/>
  <c r="I34"/>
  <c r="H34"/>
  <c r="G34"/>
  <c r="F34"/>
  <c r="E34"/>
  <c r="I33"/>
  <c r="H33"/>
  <c r="G33"/>
  <c r="F33"/>
  <c r="E33"/>
  <c r="D33"/>
  <c r="I32"/>
  <c r="H32"/>
  <c r="G32"/>
  <c r="F32"/>
  <c r="E32"/>
  <c r="D32"/>
  <c r="I31"/>
  <c r="H31"/>
  <c r="G31"/>
  <c r="F31"/>
  <c r="E31"/>
  <c r="D31"/>
  <c r="I30"/>
  <c r="H30"/>
  <c r="G30"/>
  <c r="F30"/>
  <c r="E30"/>
  <c r="D30"/>
  <c r="I29"/>
  <c r="H29"/>
  <c r="G29"/>
  <c r="F29"/>
  <c r="E29"/>
  <c r="D29"/>
  <c r="I28"/>
  <c r="H28"/>
  <c r="G28"/>
  <c r="F28"/>
  <c r="E28"/>
  <c r="D28"/>
  <c r="I27"/>
  <c r="H27"/>
  <c r="G27"/>
  <c r="F27"/>
  <c r="I26"/>
  <c r="H26"/>
  <c r="G26"/>
  <c r="F26"/>
  <c r="E26"/>
  <c r="D26"/>
  <c r="I25"/>
  <c r="H25"/>
  <c r="G25"/>
  <c r="F25"/>
  <c r="E25"/>
  <c r="D25"/>
  <c r="I24"/>
  <c r="H24"/>
  <c r="G24"/>
  <c r="F24"/>
  <c r="E24"/>
  <c r="D24"/>
  <c r="I23"/>
  <c r="H23"/>
  <c r="G23"/>
  <c r="F23"/>
  <c r="E23"/>
  <c r="D23"/>
  <c r="I22"/>
  <c r="H22"/>
  <c r="G22"/>
  <c r="F22"/>
  <c r="E22"/>
  <c r="D22"/>
  <c r="I21"/>
  <c r="H21"/>
  <c r="G21"/>
  <c r="F21"/>
  <c r="I20"/>
  <c r="H20"/>
  <c r="G20"/>
  <c r="F20"/>
  <c r="I19"/>
  <c r="H19"/>
  <c r="G19"/>
  <c r="F19"/>
  <c r="I18"/>
  <c r="H18"/>
  <c r="G18"/>
  <c r="F18"/>
  <c r="I17"/>
  <c r="H17"/>
  <c r="G17"/>
  <c r="F17"/>
  <c r="E17"/>
  <c r="D17"/>
  <c r="I16"/>
  <c r="H16"/>
  <c r="G16"/>
  <c r="F16"/>
  <c r="E16"/>
  <c r="D16"/>
  <c r="I15"/>
  <c r="H15"/>
  <c r="G15"/>
  <c r="F15"/>
  <c r="E15"/>
  <c r="D15"/>
  <c r="I14"/>
  <c r="H14"/>
  <c r="G14"/>
  <c r="F14"/>
  <c r="E14"/>
  <c r="D14"/>
  <c r="I13"/>
  <c r="H13"/>
  <c r="G13"/>
  <c r="F13"/>
  <c r="I12"/>
  <c r="H12"/>
  <c r="G12"/>
  <c r="F12"/>
  <c r="I11"/>
  <c r="H11"/>
  <c r="G11"/>
  <c r="F11"/>
  <c r="I10"/>
  <c r="H10"/>
  <c r="G10"/>
  <c r="F10"/>
  <c r="I9"/>
  <c r="H9"/>
  <c r="G9"/>
  <c r="F9"/>
  <c r="E9"/>
  <c r="D9"/>
  <c r="I8"/>
  <c r="H8"/>
  <c r="G8"/>
  <c r="F8"/>
  <c r="E8"/>
  <c r="D8"/>
  <c r="I7"/>
  <c r="H7"/>
  <c r="G7"/>
  <c r="F7"/>
  <c r="E7"/>
  <c r="D7"/>
  <c r="I6"/>
  <c r="H6"/>
  <c r="G6"/>
  <c r="F6"/>
  <c r="E6"/>
  <c r="D6"/>
  <c r="I5"/>
  <c r="H5"/>
  <c r="G5"/>
  <c r="F5"/>
  <c r="E5"/>
  <c r="D5"/>
  <c r="AB147" i="137"/>
  <c r="AA147"/>
  <c r="Z147"/>
  <c r="Y147"/>
  <c r="X147"/>
  <c r="W147"/>
  <c r="V147"/>
  <c r="U147"/>
  <c r="T147"/>
  <c r="S147"/>
  <c r="R147"/>
  <c r="Q147"/>
  <c r="AB144"/>
  <c r="AA144"/>
  <c r="Z144"/>
  <c r="Y144"/>
  <c r="X144"/>
  <c r="W144"/>
  <c r="V144"/>
  <c r="U144"/>
  <c r="T144"/>
  <c r="S144"/>
  <c r="R144"/>
  <c r="Q144"/>
  <c r="AB142"/>
  <c r="AA142"/>
  <c r="Z142"/>
  <c r="Y142"/>
  <c r="X142"/>
  <c r="W142"/>
  <c r="V142"/>
  <c r="U142"/>
  <c r="T142"/>
  <c r="S142"/>
  <c r="R142"/>
  <c r="Q142"/>
  <c r="AB141"/>
  <c r="AA141"/>
  <c r="Z141"/>
  <c r="Y141"/>
  <c r="X141"/>
  <c r="W141"/>
  <c r="V141"/>
  <c r="U141"/>
  <c r="T141"/>
  <c r="S141"/>
  <c r="R141"/>
  <c r="Q141"/>
  <c r="AB140"/>
  <c r="AA140"/>
  <c r="Z140"/>
  <c r="Y140"/>
  <c r="X140"/>
  <c r="W140"/>
  <c r="V140"/>
  <c r="U140"/>
  <c r="T140"/>
  <c r="S140"/>
  <c r="R140"/>
  <c r="Q140"/>
  <c r="AB139"/>
  <c r="AA139"/>
  <c r="Z139"/>
  <c r="Y139"/>
  <c r="X139"/>
  <c r="W139"/>
  <c r="V139"/>
  <c r="U139"/>
  <c r="T139"/>
  <c r="S139"/>
  <c r="R139"/>
  <c r="Q139"/>
  <c r="AB138"/>
  <c r="AA138"/>
  <c r="Z138"/>
  <c r="Y138"/>
  <c r="X138"/>
  <c r="W138"/>
  <c r="V138"/>
  <c r="U138"/>
  <c r="T138"/>
  <c r="S138"/>
  <c r="R138"/>
  <c r="Q138"/>
  <c r="AB137"/>
  <c r="AA137"/>
  <c r="Z137"/>
  <c r="Y137"/>
  <c r="X137"/>
  <c r="W137"/>
  <c r="V137"/>
  <c r="U137"/>
  <c r="T137"/>
  <c r="S137"/>
  <c r="R137"/>
  <c r="Q137"/>
  <c r="AB136"/>
  <c r="AA136"/>
  <c r="Z136"/>
  <c r="Y136"/>
  <c r="X136"/>
  <c r="W136"/>
  <c r="V136"/>
  <c r="U136"/>
  <c r="T136"/>
  <c r="S136"/>
  <c r="R136"/>
  <c r="Q136"/>
  <c r="Q143" s="1"/>
  <c r="AB135"/>
  <c r="AA135"/>
  <c r="Z135"/>
  <c r="Y135"/>
  <c r="X135"/>
  <c r="W135"/>
  <c r="V135"/>
  <c r="U135"/>
  <c r="T135"/>
  <c r="S135"/>
  <c r="R135"/>
  <c r="Q135"/>
  <c r="N128"/>
  <c r="N127"/>
  <c r="N126"/>
  <c r="N125"/>
  <c r="N124"/>
  <c r="N121"/>
  <c r="N120"/>
  <c r="N119"/>
  <c r="N118"/>
  <c r="N116"/>
  <c r="N115"/>
  <c r="N114"/>
  <c r="N113"/>
  <c r="N112"/>
  <c r="E111"/>
  <c r="D111"/>
  <c r="M110"/>
  <c r="L110"/>
  <c r="K110"/>
  <c r="J110"/>
  <c r="K109"/>
  <c r="M108"/>
  <c r="L108"/>
  <c r="J108"/>
  <c r="I108"/>
  <c r="M107"/>
  <c r="L107"/>
  <c r="J107"/>
  <c r="I107"/>
  <c r="K106"/>
  <c r="M105"/>
  <c r="L105"/>
  <c r="J105"/>
  <c r="I105"/>
  <c r="M104"/>
  <c r="L104"/>
  <c r="J104"/>
  <c r="I104"/>
  <c r="M103"/>
  <c r="L103"/>
  <c r="J103"/>
  <c r="I103"/>
  <c r="K102"/>
  <c r="M101"/>
  <c r="L101"/>
  <c r="J101"/>
  <c r="I101"/>
  <c r="M100"/>
  <c r="L100"/>
  <c r="J100"/>
  <c r="I100"/>
  <c r="M99"/>
  <c r="L99"/>
  <c r="J99"/>
  <c r="I99"/>
  <c r="K98"/>
  <c r="M97"/>
  <c r="L97"/>
  <c r="J97"/>
  <c r="I97"/>
  <c r="M96"/>
  <c r="L96"/>
  <c r="J96"/>
  <c r="I96"/>
  <c r="M95"/>
  <c r="L95"/>
  <c r="J95"/>
  <c r="I95"/>
  <c r="K94"/>
  <c r="M93"/>
  <c r="L93"/>
  <c r="J93"/>
  <c r="I93"/>
  <c r="M92"/>
  <c r="L92"/>
  <c r="J92"/>
  <c r="I92"/>
  <c r="M91"/>
  <c r="L91"/>
  <c r="J91"/>
  <c r="I91"/>
  <c r="K90"/>
  <c r="M89"/>
  <c r="L89"/>
  <c r="J89"/>
  <c r="I89"/>
  <c r="M88"/>
  <c r="L88"/>
  <c r="J88"/>
  <c r="I88"/>
  <c r="K87"/>
  <c r="M86"/>
  <c r="L86"/>
  <c r="J86"/>
  <c r="I86"/>
  <c r="M85"/>
  <c r="L85"/>
  <c r="J85"/>
  <c r="I85"/>
  <c r="K84"/>
  <c r="M83"/>
  <c r="L83"/>
  <c r="J83"/>
  <c r="I83"/>
  <c r="M82"/>
  <c r="L82"/>
  <c r="J82"/>
  <c r="I82"/>
  <c r="M81"/>
  <c r="L81"/>
  <c r="J81"/>
  <c r="I81"/>
  <c r="K80"/>
  <c r="M79"/>
  <c r="L79"/>
  <c r="J79"/>
  <c r="I79"/>
  <c r="M78"/>
  <c r="L78"/>
  <c r="J78"/>
  <c r="I78"/>
  <c r="M77"/>
  <c r="L77"/>
  <c r="J77"/>
  <c r="I77"/>
  <c r="K76"/>
  <c r="M75"/>
  <c r="L75"/>
  <c r="J75"/>
  <c r="I75"/>
  <c r="M74"/>
  <c r="L74"/>
  <c r="J74"/>
  <c r="I74"/>
  <c r="M73"/>
  <c r="L73"/>
  <c r="J73"/>
  <c r="I73"/>
  <c r="K72"/>
  <c r="M71"/>
  <c r="L71"/>
  <c r="J71"/>
  <c r="I71"/>
  <c r="M70"/>
  <c r="L70"/>
  <c r="J70"/>
  <c r="I70"/>
  <c r="M69"/>
  <c r="L69"/>
  <c r="J69"/>
  <c r="I69"/>
  <c r="K68"/>
  <c r="M67"/>
  <c r="L67"/>
  <c r="J67"/>
  <c r="I67"/>
  <c r="M66"/>
  <c r="L66"/>
  <c r="J66"/>
  <c r="I66"/>
  <c r="M65"/>
  <c r="L65"/>
  <c r="J65"/>
  <c r="I65"/>
  <c r="K64"/>
  <c r="M63"/>
  <c r="L63"/>
  <c r="J63"/>
  <c r="I63"/>
  <c r="M62"/>
  <c r="L62"/>
  <c r="J62"/>
  <c r="I62"/>
  <c r="M61"/>
  <c r="L61"/>
  <c r="J61"/>
  <c r="I61"/>
  <c r="K60"/>
  <c r="M59"/>
  <c r="L59"/>
  <c r="J59"/>
  <c r="I59"/>
  <c r="M58"/>
  <c r="L58"/>
  <c r="J58"/>
  <c r="I58"/>
  <c r="M57"/>
  <c r="L57"/>
  <c r="J57"/>
  <c r="I57"/>
  <c r="K56"/>
  <c r="M55"/>
  <c r="L55"/>
  <c r="J55"/>
  <c r="I55"/>
  <c r="M54"/>
  <c r="L54"/>
  <c r="J54"/>
  <c r="I54"/>
  <c r="M53"/>
  <c r="L53"/>
  <c r="J53"/>
  <c r="I53"/>
  <c r="K52"/>
  <c r="M50"/>
  <c r="L50"/>
  <c r="J50"/>
  <c r="I50"/>
  <c r="M49"/>
  <c r="L49"/>
  <c r="J49"/>
  <c r="I49"/>
  <c r="M48"/>
  <c r="L48"/>
  <c r="J48"/>
  <c r="I48"/>
  <c r="M47"/>
  <c r="L47"/>
  <c r="J47"/>
  <c r="I47"/>
  <c r="M46"/>
  <c r="L46"/>
  <c r="J46"/>
  <c r="I46"/>
  <c r="M45"/>
  <c r="L45"/>
  <c r="J45"/>
  <c r="I45"/>
  <c r="M44"/>
  <c r="L44"/>
  <c r="J44"/>
  <c r="I44"/>
  <c r="M43"/>
  <c r="L43"/>
  <c r="J43"/>
  <c r="I43"/>
  <c r="K42"/>
  <c r="M41"/>
  <c r="L41"/>
  <c r="J41"/>
  <c r="I41"/>
  <c r="M40"/>
  <c r="L40"/>
  <c r="J40"/>
  <c r="I40"/>
  <c r="M39"/>
  <c r="L39"/>
  <c r="J39"/>
  <c r="I39"/>
  <c r="K38"/>
  <c r="M37"/>
  <c r="L37"/>
  <c r="J37"/>
  <c r="I37"/>
  <c r="M36"/>
  <c r="L36"/>
  <c r="J36"/>
  <c r="I36"/>
  <c r="M35"/>
  <c r="L35"/>
  <c r="J35"/>
  <c r="I35"/>
  <c r="K34"/>
  <c r="M32"/>
  <c r="L32"/>
  <c r="J32"/>
  <c r="I32"/>
  <c r="M31"/>
  <c r="L31"/>
  <c r="J31"/>
  <c r="I31"/>
  <c r="M30"/>
  <c r="L30"/>
  <c r="J30"/>
  <c r="I30"/>
  <c r="M29"/>
  <c r="L29"/>
  <c r="J29"/>
  <c r="I29"/>
  <c r="M28"/>
  <c r="L28"/>
  <c r="J28"/>
  <c r="I28"/>
  <c r="M27"/>
  <c r="L27"/>
  <c r="J27"/>
  <c r="I27"/>
  <c r="M26"/>
  <c r="L26"/>
  <c r="J26"/>
  <c r="I26"/>
  <c r="M25"/>
  <c r="L25"/>
  <c r="J25"/>
  <c r="I25"/>
  <c r="K24"/>
  <c r="M20"/>
  <c r="L20"/>
  <c r="J20"/>
  <c r="I20"/>
  <c r="M19"/>
  <c r="L19"/>
  <c r="J19"/>
  <c r="I19"/>
  <c r="M18"/>
  <c r="L18"/>
  <c r="J18"/>
  <c r="I18"/>
  <c r="M17"/>
  <c r="L17"/>
  <c r="J17"/>
  <c r="I17"/>
  <c r="M16"/>
  <c r="L16"/>
  <c r="J16"/>
  <c r="I16"/>
  <c r="M15"/>
  <c r="L15"/>
  <c r="J15"/>
  <c r="I15"/>
  <c r="M14"/>
  <c r="L14"/>
  <c r="J14"/>
  <c r="I14"/>
  <c r="M13"/>
  <c r="L13"/>
  <c r="J13"/>
  <c r="I13"/>
  <c r="M12"/>
  <c r="L12"/>
  <c r="J12"/>
  <c r="I12"/>
  <c r="M11"/>
  <c r="L11"/>
  <c r="J11"/>
  <c r="I11"/>
  <c r="M10"/>
  <c r="L10"/>
  <c r="J10"/>
  <c r="I10"/>
  <c r="M9"/>
  <c r="L9"/>
  <c r="J9"/>
  <c r="I9"/>
  <c r="K8"/>
  <c r="M7"/>
  <c r="L7"/>
  <c r="J7"/>
  <c r="I7"/>
  <c r="M6"/>
  <c r="L6"/>
  <c r="J6"/>
  <c r="I6"/>
  <c r="M5"/>
  <c r="L5"/>
  <c r="J5"/>
  <c r="I5"/>
  <c r="J38" i="102" l="1"/>
  <c r="K38" s="1"/>
  <c r="J39"/>
  <c r="E40"/>
  <c r="I40"/>
  <c r="J24"/>
  <c r="K24" s="1"/>
  <c r="J26"/>
  <c r="K26" s="1"/>
  <c r="J27"/>
  <c r="K27" s="1"/>
  <c r="J31"/>
  <c r="J33"/>
  <c r="K33" s="1"/>
  <c r="F40"/>
  <c r="AC138" i="137"/>
  <c r="AC139"/>
  <c r="AC140"/>
  <c r="AC141"/>
  <c r="AC142"/>
  <c r="AC144"/>
  <c r="H40" i="102"/>
  <c r="J36"/>
  <c r="K36" s="1"/>
  <c r="N122" i="137"/>
  <c r="N129"/>
  <c r="G40" i="102"/>
  <c r="J17"/>
  <c r="K17" s="1"/>
  <c r="J25"/>
  <c r="K25" s="1"/>
  <c r="J28"/>
  <c r="K28" s="1"/>
  <c r="J30"/>
  <c r="K30" s="1"/>
  <c r="J32"/>
  <c r="K32" s="1"/>
  <c r="J35"/>
  <c r="K35" s="1"/>
  <c r="J34" i="137"/>
  <c r="L52"/>
  <c r="S152"/>
  <c r="W152"/>
  <c r="AA152"/>
  <c r="S145"/>
  <c r="W145"/>
  <c r="AA145"/>
  <c r="J34" i="102"/>
  <c r="K34" s="1"/>
  <c r="M8" i="137"/>
  <c r="L8"/>
  <c r="I34"/>
  <c r="J52"/>
  <c r="R152"/>
  <c r="V152"/>
  <c r="Z152"/>
  <c r="R145"/>
  <c r="V145"/>
  <c r="Z145"/>
  <c r="J8"/>
  <c r="M34"/>
  <c r="I52"/>
  <c r="N110"/>
  <c r="Q152"/>
  <c r="U152"/>
  <c r="Y152"/>
  <c r="U145"/>
  <c r="Y145"/>
  <c r="AC147"/>
  <c r="I8"/>
  <c r="L34"/>
  <c r="M52"/>
  <c r="T152"/>
  <c r="X152"/>
  <c r="AB152"/>
  <c r="T145"/>
  <c r="X145"/>
  <c r="AB145"/>
  <c r="Q146"/>
  <c r="Q149"/>
  <c r="J24"/>
  <c r="I24" s="1"/>
  <c r="M23" s="1"/>
  <c r="L23" s="1"/>
  <c r="J23" s="1"/>
  <c r="I23" s="1"/>
  <c r="M22" s="1"/>
  <c r="L22" s="1"/>
  <c r="J22" s="1"/>
  <c r="I22" s="1"/>
  <c r="J87"/>
  <c r="J94"/>
  <c r="Q145"/>
  <c r="J38"/>
  <c r="J64"/>
  <c r="J72"/>
  <c r="J80"/>
  <c r="J98"/>
  <c r="J106"/>
  <c r="AC137"/>
  <c r="J6" i="102"/>
  <c r="K6" s="1"/>
  <c r="J10"/>
  <c r="K10" s="1"/>
  <c r="J18"/>
  <c r="K18" s="1"/>
  <c r="J29"/>
  <c r="K29" s="1"/>
  <c r="J56" i="137"/>
  <c r="J84"/>
  <c r="J90"/>
  <c r="AC136"/>
  <c r="J37" i="102"/>
  <c r="K37" s="1"/>
  <c r="M24" i="137"/>
  <c r="L24" s="1"/>
  <c r="J42"/>
  <c r="J60"/>
  <c r="J68"/>
  <c r="J76"/>
  <c r="J102"/>
  <c r="J109"/>
  <c r="K111"/>
  <c r="AC135"/>
  <c r="AC145" s="1"/>
  <c r="J5" i="102"/>
  <c r="K5" s="1"/>
  <c r="J16"/>
  <c r="K16" s="1"/>
  <c r="D40"/>
  <c r="K31"/>
  <c r="N8" i="137" l="1"/>
  <c r="O8" s="1"/>
  <c r="AC143"/>
  <c r="AC149" s="1"/>
  <c r="I102"/>
  <c r="I68"/>
  <c r="I90"/>
  <c r="I98"/>
  <c r="I87"/>
  <c r="Q151"/>
  <c r="Q148"/>
  <c r="I42"/>
  <c r="AB143"/>
  <c r="I56"/>
  <c r="I72"/>
  <c r="I38"/>
  <c r="J40" i="102"/>
  <c r="J46" s="1"/>
  <c r="I109" i="137"/>
  <c r="I76"/>
  <c r="I60"/>
  <c r="I84"/>
  <c r="I106"/>
  <c r="I94"/>
  <c r="I80"/>
  <c r="I64"/>
  <c r="AC152"/>
  <c r="K40" i="102" l="1"/>
  <c r="AC146" i="137"/>
  <c r="AC148" s="1"/>
  <c r="AA143"/>
  <c r="AB149"/>
  <c r="AB146"/>
  <c r="J52" i="102"/>
  <c r="J51"/>
  <c r="J54"/>
  <c r="J56" s="1"/>
  <c r="AC151" i="137" l="1"/>
  <c r="Z143"/>
  <c r="AA149"/>
  <c r="AA146"/>
  <c r="AB148"/>
  <c r="AB151"/>
  <c r="Y143" l="1"/>
  <c r="Z149"/>
  <c r="Z146"/>
  <c r="AA148"/>
  <c r="AA151"/>
  <c r="Z151" l="1"/>
  <c r="Z148"/>
  <c r="X143"/>
  <c r="Y146"/>
  <c r="Y149"/>
  <c r="H41" i="146"/>
  <c r="D41"/>
  <c r="D47" s="1"/>
  <c r="J40"/>
  <c r="W143" i="137" l="1"/>
  <c r="X149"/>
  <c r="X146"/>
  <c r="Y151"/>
  <c r="Y148"/>
  <c r="G97" i="1"/>
  <c r="H96"/>
  <c r="G96" s="1"/>
  <c r="F96" s="1"/>
  <c r="E96"/>
  <c r="D96"/>
  <c r="E95"/>
  <c r="D95"/>
  <c r="G94"/>
  <c r="F94" s="1"/>
  <c r="E94"/>
  <c r="D94"/>
  <c r="E93"/>
  <c r="D93"/>
  <c r="G92"/>
  <c r="F92" s="1"/>
  <c r="E92"/>
  <c r="D92"/>
  <c r="E91"/>
  <c r="D91"/>
  <c r="G90"/>
  <c r="F90" s="1"/>
  <c r="E90"/>
  <c r="D90"/>
  <c r="E89"/>
  <c r="D89"/>
  <c r="G88"/>
  <c r="F88" s="1"/>
  <c r="E88"/>
  <c r="D88"/>
  <c r="E87"/>
  <c r="D87"/>
  <c r="G86"/>
  <c r="F86" s="1"/>
  <c r="E86"/>
  <c r="D86"/>
  <c r="E85"/>
  <c r="D85"/>
  <c r="G84"/>
  <c r="F84" s="1"/>
  <c r="E84"/>
  <c r="D84"/>
  <c r="E83"/>
  <c r="D83"/>
  <c r="G82"/>
  <c r="F82" s="1"/>
  <c r="E82"/>
  <c r="D82"/>
  <c r="J81" s="1"/>
  <c r="I81" s="1"/>
  <c r="H81" s="1"/>
  <c r="G81" s="1"/>
  <c r="F81" s="1"/>
  <c r="E81"/>
  <c r="D81"/>
  <c r="H80"/>
  <c r="E80"/>
  <c r="D80"/>
  <c r="G79"/>
  <c r="F79" s="1"/>
  <c r="E79"/>
  <c r="D79"/>
  <c r="E78"/>
  <c r="D78"/>
  <c r="J77" s="1"/>
  <c r="I77" s="1"/>
  <c r="G77" s="1"/>
  <c r="F77" s="1"/>
  <c r="E77"/>
  <c r="D77"/>
  <c r="E76"/>
  <c r="D76"/>
  <c r="J75" s="1"/>
  <c r="I75" s="1"/>
  <c r="G75" s="1"/>
  <c r="F75" s="1"/>
  <c r="E75"/>
  <c r="D75"/>
  <c r="J74" s="1"/>
  <c r="I74" s="1"/>
  <c r="G74" s="1"/>
  <c r="F74" s="1"/>
  <c r="E74"/>
  <c r="D74"/>
  <c r="J73" s="1"/>
  <c r="I73" s="1"/>
  <c r="G73" s="1"/>
  <c r="F73" s="1"/>
  <c r="E73"/>
  <c r="D73"/>
  <c r="E72"/>
  <c r="D72"/>
  <c r="G71"/>
  <c r="F71" s="1"/>
  <c r="E71"/>
  <c r="D71"/>
  <c r="J60"/>
  <c r="M60" s="1"/>
  <c r="J59"/>
  <c r="M59" s="1"/>
  <c r="J58"/>
  <c r="M58" s="1"/>
  <c r="J57"/>
  <c r="M57" s="1"/>
  <c r="J56"/>
  <c r="M56" s="1"/>
  <c r="J55"/>
  <c r="M55" s="1"/>
  <c r="J54"/>
  <c r="M54" s="1"/>
  <c r="J53"/>
  <c r="M53" s="1"/>
  <c r="J52"/>
  <c r="M52" s="1"/>
  <c r="G47" i="146"/>
  <c r="J50" i="1"/>
  <c r="M50" s="1"/>
  <c r="J49"/>
  <c r="M49" s="1"/>
  <c r="J48"/>
  <c r="J47"/>
  <c r="M47" s="1"/>
  <c r="J46"/>
  <c r="M46" s="1"/>
  <c r="J45"/>
  <c r="M45" s="1"/>
  <c r="I45"/>
  <c r="H45"/>
  <c r="G45"/>
  <c r="F45"/>
  <c r="I8" i="29" s="1"/>
  <c r="I9" s="1"/>
  <c r="E45" i="1"/>
  <c r="D45"/>
  <c r="J44"/>
  <c r="I44"/>
  <c r="H44"/>
  <c r="G44"/>
  <c r="F44"/>
  <c r="F40" i="146" s="1"/>
  <c r="J43" i="1"/>
  <c r="I43"/>
  <c r="H43"/>
  <c r="G43"/>
  <c r="F43"/>
  <c r="E43"/>
  <c r="J42"/>
  <c r="I42"/>
  <c r="H42"/>
  <c r="G42"/>
  <c r="F42"/>
  <c r="E42"/>
  <c r="J41"/>
  <c r="I41"/>
  <c r="H41"/>
  <c r="G41"/>
  <c r="F41"/>
  <c r="E41"/>
  <c r="J40"/>
  <c r="I40"/>
  <c r="H40"/>
  <c r="G40"/>
  <c r="F40"/>
  <c r="E40"/>
  <c r="J39"/>
  <c r="I39"/>
  <c r="H39"/>
  <c r="G39"/>
  <c r="F39"/>
  <c r="E39"/>
  <c r="J38"/>
  <c r="I38"/>
  <c r="H38"/>
  <c r="G38"/>
  <c r="F38"/>
  <c r="E38"/>
  <c r="D38"/>
  <c r="J37"/>
  <c r="I37"/>
  <c r="H37"/>
  <c r="G37"/>
  <c r="F37"/>
  <c r="E37"/>
  <c r="D37"/>
  <c r="J36"/>
  <c r="I36"/>
  <c r="H36"/>
  <c r="G36"/>
  <c r="F36"/>
  <c r="E36"/>
  <c r="D36"/>
  <c r="J35"/>
  <c r="I35"/>
  <c r="H35"/>
  <c r="G35"/>
  <c r="F35"/>
  <c r="E35"/>
  <c r="D35"/>
  <c r="J34"/>
  <c r="I34"/>
  <c r="H34"/>
  <c r="G34"/>
  <c r="F34"/>
  <c r="E34"/>
  <c r="D34"/>
  <c r="J33"/>
  <c r="I33"/>
  <c r="H33"/>
  <c r="G33"/>
  <c r="F33"/>
  <c r="F29" i="146" s="1"/>
  <c r="E33" i="1"/>
  <c r="D33"/>
  <c r="J32"/>
  <c r="I32"/>
  <c r="H32"/>
  <c r="G32"/>
  <c r="F32"/>
  <c r="J31"/>
  <c r="I31"/>
  <c r="H31"/>
  <c r="G31"/>
  <c r="F31"/>
  <c r="E31"/>
  <c r="D31"/>
  <c r="J30"/>
  <c r="I30"/>
  <c r="H30"/>
  <c r="G30"/>
  <c r="F30"/>
  <c r="E30"/>
  <c r="D30"/>
  <c r="J29"/>
  <c r="I29"/>
  <c r="H29"/>
  <c r="G29"/>
  <c r="F29"/>
  <c r="E29"/>
  <c r="D29"/>
  <c r="I28"/>
  <c r="G28"/>
  <c r="F28"/>
  <c r="F24" i="146" s="1"/>
  <c r="E28" i="1"/>
  <c r="D28"/>
  <c r="I27"/>
  <c r="G27"/>
  <c r="F27"/>
  <c r="F23" i="146" s="1"/>
  <c r="E27" i="1"/>
  <c r="D27"/>
  <c r="I26"/>
  <c r="G26"/>
  <c r="F26"/>
  <c r="F22" i="146" s="1"/>
  <c r="I25" i="1"/>
  <c r="G25"/>
  <c r="F25"/>
  <c r="F21" i="146" s="1"/>
  <c r="I24" i="1"/>
  <c r="G24"/>
  <c r="F24"/>
  <c r="F20" i="146" s="1"/>
  <c r="J23" i="1"/>
  <c r="I23"/>
  <c r="H23"/>
  <c r="G23"/>
  <c r="F23"/>
  <c r="F19" i="146" s="1"/>
  <c r="J22" i="1"/>
  <c r="I22"/>
  <c r="H22"/>
  <c r="G22"/>
  <c r="F22"/>
  <c r="E22"/>
  <c r="D22"/>
  <c r="J21"/>
  <c r="I21"/>
  <c r="H21"/>
  <c r="G21"/>
  <c r="F21"/>
  <c r="E21"/>
  <c r="D21"/>
  <c r="I20"/>
  <c r="G20"/>
  <c r="F20"/>
  <c r="F16" i="146" s="1"/>
  <c r="E20" i="1"/>
  <c r="D20"/>
  <c r="I19"/>
  <c r="G19"/>
  <c r="F15" i="146"/>
  <c r="E19" i="1"/>
  <c r="D19"/>
  <c r="I18"/>
  <c r="G18"/>
  <c r="F18"/>
  <c r="F14" i="146" s="1"/>
  <c r="I17" i="1"/>
  <c r="G17"/>
  <c r="F17"/>
  <c r="F13" i="146" s="1"/>
  <c r="I16" i="1"/>
  <c r="G16"/>
  <c r="F16"/>
  <c r="F12" i="146" s="1"/>
  <c r="J15" i="1"/>
  <c r="I15"/>
  <c r="H15"/>
  <c r="G15"/>
  <c r="F15"/>
  <c r="I14"/>
  <c r="G14"/>
  <c r="F14"/>
  <c r="F10" i="146" s="1"/>
  <c r="E14" i="1"/>
  <c r="D14"/>
  <c r="I13"/>
  <c r="G13"/>
  <c r="F13"/>
  <c r="F9" i="146" s="1"/>
  <c r="E13" i="1"/>
  <c r="D13"/>
  <c r="I12"/>
  <c r="G12"/>
  <c r="F12"/>
  <c r="F8" i="146" s="1"/>
  <c r="E12" i="1"/>
  <c r="D12"/>
  <c r="J11"/>
  <c r="I11"/>
  <c r="H11"/>
  <c r="G11"/>
  <c r="F11"/>
  <c r="E11"/>
  <c r="D11"/>
  <c r="G6" i="146"/>
  <c r="I10" i="1"/>
  <c r="H10"/>
  <c r="G10"/>
  <c r="F10"/>
  <c r="D10"/>
  <c r="G26" i="146" l="1"/>
  <c r="M30" i="1"/>
  <c r="G28" i="146"/>
  <c r="M32" i="1"/>
  <c r="G35" i="146"/>
  <c r="M39" i="1"/>
  <c r="G37" i="146"/>
  <c r="M41" i="1"/>
  <c r="G39" i="146"/>
  <c r="M43" i="1"/>
  <c r="G17" i="146"/>
  <c r="M21" i="1"/>
  <c r="G19" i="146"/>
  <c r="M23" i="1"/>
  <c r="G27" i="146"/>
  <c r="M31" i="1"/>
  <c r="G29" i="146"/>
  <c r="M33" i="1"/>
  <c r="G33" i="146"/>
  <c r="M37" i="1"/>
  <c r="G44" i="146"/>
  <c r="M48" i="1"/>
  <c r="G32" i="146"/>
  <c r="M36" i="1"/>
  <c r="G18" i="146"/>
  <c r="M22" i="1"/>
  <c r="G30" i="146"/>
  <c r="M34" i="1"/>
  <c r="G34" i="146"/>
  <c r="M38" i="1"/>
  <c r="G36" i="146"/>
  <c r="M40" i="1"/>
  <c r="G38" i="146"/>
  <c r="M42" i="1"/>
  <c r="G7" i="146"/>
  <c r="M11" i="1"/>
  <c r="G11" i="146"/>
  <c r="M15" i="1"/>
  <c r="G25" i="146"/>
  <c r="M29" i="1"/>
  <c r="G31" i="146"/>
  <c r="M35" i="1"/>
  <c r="G40" i="146"/>
  <c r="M44" i="1"/>
  <c r="G34" i="192"/>
  <c r="G41" s="1"/>
  <c r="F49" i="201"/>
  <c r="G45" i="146"/>
  <c r="E156" i="1"/>
  <c r="G43" i="146"/>
  <c r="E157" i="1"/>
  <c r="G42" i="146"/>
  <c r="E154" i="1"/>
  <c r="G46" i="146"/>
  <c r="E155" i="1"/>
  <c r="E72" i="134"/>
  <c r="V143" i="137"/>
  <c r="W149"/>
  <c r="W146"/>
  <c r="X148"/>
  <c r="X151"/>
  <c r="G17" i="112"/>
  <c r="G22" s="1"/>
  <c r="J8" i="146"/>
  <c r="G41"/>
  <c r="J61" i="1"/>
  <c r="J9" i="146"/>
  <c r="F41"/>
  <c r="F47" s="1"/>
  <c r="F24" i="145"/>
  <c r="E11" s="1"/>
  <c r="E98" i="1"/>
  <c r="D98" s="1"/>
  <c r="F25" i="146"/>
  <c r="F31"/>
  <c r="F26"/>
  <c r="F28"/>
  <c r="F32"/>
  <c r="F35"/>
  <c r="F37"/>
  <c r="F39"/>
  <c r="F6"/>
  <c r="J18"/>
  <c r="F27"/>
  <c r="F33"/>
  <c r="J25"/>
  <c r="J27"/>
  <c r="J31"/>
  <c r="J33"/>
  <c r="J35"/>
  <c r="J37"/>
  <c r="J39"/>
  <c r="F7"/>
  <c r="F17"/>
  <c r="F30"/>
  <c r="F34"/>
  <c r="F36"/>
  <c r="F38"/>
  <c r="J6"/>
  <c r="F11"/>
  <c r="J10" s="1"/>
  <c r="F18"/>
  <c r="H11" i="29"/>
  <c r="J10"/>
  <c r="K17" s="1"/>
  <c r="E49" i="201" l="1"/>
  <c r="G49"/>
  <c r="F36" i="40"/>
  <c r="G36" s="1"/>
  <c r="M61" i="1"/>
  <c r="F36" i="201"/>
  <c r="E36" s="1"/>
  <c r="E13" i="145"/>
  <c r="J64" i="1"/>
  <c r="M64" s="1"/>
  <c r="I17" i="112"/>
  <c r="I22" s="1"/>
  <c r="F72" i="134"/>
  <c r="J11" i="29"/>
  <c r="F77" i="134" s="1"/>
  <c r="G77" s="1"/>
  <c r="L11" i="29" s="1"/>
  <c r="L10" s="1"/>
  <c r="E77" i="134"/>
  <c r="U143" i="137"/>
  <c r="V149"/>
  <c r="V146"/>
  <c r="W148"/>
  <c r="W151"/>
  <c r="H9" i="29"/>
  <c r="B9"/>
  <c r="F173" i="60" l="1"/>
  <c r="L8" i="29"/>
  <c r="M17"/>
  <c r="G36" i="201"/>
  <c r="H77" i="134"/>
  <c r="N11" i="29" s="1"/>
  <c r="N10" s="1"/>
  <c r="T143" i="137"/>
  <c r="U146"/>
  <c r="U149"/>
  <c r="V151"/>
  <c r="V148"/>
  <c r="E14" i="145"/>
  <c r="G68" i="79"/>
  <c r="H68" s="1"/>
  <c r="G25" i="145"/>
  <c r="F9" s="1"/>
  <c r="E9"/>
  <c r="G43" i="40" l="1"/>
  <c r="G45" s="1"/>
  <c r="Q36"/>
  <c r="N8" i="29"/>
  <c r="F30" i="138"/>
  <c r="S143" i="137"/>
  <c r="T149"/>
  <c r="T146"/>
  <c r="U151"/>
  <c r="U148"/>
  <c r="B25" i="145"/>
  <c r="B26" s="1"/>
  <c r="R143" i="137" l="1"/>
  <c r="S149"/>
  <c r="S146"/>
  <c r="T148"/>
  <c r="T151"/>
  <c r="B10" i="145"/>
  <c r="B11" s="1"/>
  <c r="H15" i="116"/>
  <c r="G15"/>
  <c r="G18" s="1"/>
  <c r="D13"/>
  <c r="B10"/>
  <c r="H25" i="40" l="1"/>
  <c r="H25" i="201"/>
  <c r="H18" i="116"/>
  <c r="J15"/>
  <c r="R149" i="137"/>
  <c r="R146"/>
  <c r="S148"/>
  <c r="S151"/>
  <c r="D33" i="73"/>
  <c r="E27" i="201" s="1"/>
  <c r="C33" i="73"/>
  <c r="D27" i="201" s="1"/>
  <c r="G31" i="73"/>
  <c r="K31" s="1"/>
  <c r="E31"/>
  <c r="G22"/>
  <c r="E22"/>
  <c r="G21"/>
  <c r="E21"/>
  <c r="G18"/>
  <c r="E18"/>
  <c r="G17"/>
  <c r="G15"/>
  <c r="E15"/>
  <c r="G14"/>
  <c r="E13"/>
  <c r="F12"/>
  <c r="F11"/>
  <c r="E11"/>
  <c r="A11"/>
  <c r="G10"/>
  <c r="E10"/>
  <c r="G33" i="72"/>
  <c r="H33"/>
  <c r="E33"/>
  <c r="G32"/>
  <c r="H32"/>
  <c r="E32"/>
  <c r="G31"/>
  <c r="E31"/>
  <c r="D31"/>
  <c r="F31" s="1"/>
  <c r="H31" s="1"/>
  <c r="G30"/>
  <c r="E30"/>
  <c r="D30"/>
  <c r="G29"/>
  <c r="E29"/>
  <c r="D29"/>
  <c r="G28"/>
  <c r="E28"/>
  <c r="D28"/>
  <c r="G18"/>
  <c r="H18" i="201" s="1"/>
  <c r="G59" i="79"/>
  <c r="E18" i="72"/>
  <c r="E18" i="201" s="1"/>
  <c r="D18" i="72"/>
  <c r="D18" i="201" s="1"/>
  <c r="H13" i="72"/>
  <c r="H12"/>
  <c r="H11"/>
  <c r="H10"/>
  <c r="E25" i="57"/>
  <c r="I12" s="1"/>
  <c r="L19"/>
  <c r="K19"/>
  <c r="B7" i="128"/>
  <c r="B8" s="1"/>
  <c r="I25" i="40" l="1"/>
  <c r="J25" s="1"/>
  <c r="R25" s="1"/>
  <c r="I25" i="201"/>
  <c r="J25" s="1"/>
  <c r="G33" i="73"/>
  <c r="G34" i="72"/>
  <c r="E34"/>
  <c r="I19" i="57"/>
  <c r="A12" i="73"/>
  <c r="A13" s="1"/>
  <c r="A14" s="1"/>
  <c r="A15" s="1"/>
  <c r="L15" i="116"/>
  <c r="L18" s="1"/>
  <c r="J18"/>
  <c r="F60" i="134"/>
  <c r="K10" i="73"/>
  <c r="L27" i="40"/>
  <c r="S27" s="1"/>
  <c r="R151" i="137"/>
  <c r="R148"/>
  <c r="F30" i="72"/>
  <c r="H30" s="1"/>
  <c r="D34"/>
  <c r="F28"/>
  <c r="H28" s="1"/>
  <c r="H18"/>
  <c r="I18" i="201" s="1"/>
  <c r="J18" s="1"/>
  <c r="F29" i="72"/>
  <c r="E33" i="73"/>
  <c r="F27" i="201" s="1"/>
  <c r="G27" s="1"/>
  <c r="F33" i="73"/>
  <c r="K33" l="1"/>
  <c r="N27" i="40" s="1"/>
  <c r="T27" s="1"/>
  <c r="N25"/>
  <c r="T25" s="1"/>
  <c r="N25" i="201"/>
  <c r="L25" i="40"/>
  <c r="S25" s="1"/>
  <c r="L25" i="201"/>
  <c r="H27" i="40"/>
  <c r="H27" i="201"/>
  <c r="I27" i="40"/>
  <c r="J27" s="1"/>
  <c r="I27" i="201"/>
  <c r="J27" s="1"/>
  <c r="F34" i="72"/>
  <c r="H29"/>
  <c r="H34" s="1"/>
  <c r="H60" i="134"/>
  <c r="G52" i="158"/>
  <c r="H52" s="1"/>
  <c r="G66" i="79"/>
  <c r="H66" s="1"/>
  <c r="F27" i="40"/>
  <c r="G27" s="1"/>
  <c r="C20" i="154"/>
  <c r="G48" i="158"/>
  <c r="R27" i="40" l="1"/>
  <c r="N27" i="201"/>
  <c r="A20" i="154"/>
  <c r="A21" s="1"/>
  <c r="A22" s="1"/>
  <c r="E18"/>
  <c r="G13" i="44" l="1"/>
  <c r="G15" s="1"/>
  <c r="E13"/>
  <c r="E15" s="1"/>
  <c r="E32" s="1"/>
  <c r="E33" s="1"/>
  <c r="D13"/>
  <c r="B11"/>
  <c r="E35" i="71"/>
  <c r="E34"/>
  <c r="E36" s="1"/>
  <c r="E26"/>
  <c r="F14"/>
  <c r="G32" i="44" l="1"/>
  <c r="G33" s="1"/>
  <c r="D15"/>
  <c r="B12"/>
  <c r="B13" s="1"/>
  <c r="B11" i="116"/>
  <c r="G17" i="44"/>
  <c r="I10" s="1"/>
  <c r="D14" i="71"/>
  <c r="C14"/>
  <c r="A13"/>
  <c r="A14" s="1"/>
  <c r="M50" i="75"/>
  <c r="M47"/>
  <c r="M44"/>
  <c r="M42"/>
  <c r="M41"/>
  <c r="M40"/>
  <c r="M39"/>
  <c r="M38"/>
  <c r="M36"/>
  <c r="M35"/>
  <c r="H34"/>
  <c r="G34"/>
  <c r="F34"/>
  <c r="F37" s="1"/>
  <c r="D34"/>
  <c r="M33"/>
  <c r="M32"/>
  <c r="M31"/>
  <c r="M30"/>
  <c r="M29"/>
  <c r="M28"/>
  <c r="M27"/>
  <c r="M26"/>
  <c r="M25"/>
  <c r="M24"/>
  <c r="M23"/>
  <c r="G15" i="70" s="1"/>
  <c r="M22" i="75"/>
  <c r="M21"/>
  <c r="M20"/>
  <c r="M19"/>
  <c r="M18"/>
  <c r="L17"/>
  <c r="L16"/>
  <c r="L15"/>
  <c r="A15"/>
  <c r="K14"/>
  <c r="J14"/>
  <c r="I14"/>
  <c r="E14"/>
  <c r="L13"/>
  <c r="K13"/>
  <c r="J13"/>
  <c r="I13"/>
  <c r="G49" i="158"/>
  <c r="A13" i="70"/>
  <c r="E87" i="134" l="1"/>
  <c r="F17" i="201"/>
  <c r="G17" s="1"/>
  <c r="I20" i="44"/>
  <c r="I22" s="1"/>
  <c r="I17"/>
  <c r="K10" s="1"/>
  <c r="K34" i="75"/>
  <c r="A16"/>
  <c r="A17" s="1"/>
  <c r="D37"/>
  <c r="D41" s="1"/>
  <c r="J34"/>
  <c r="L14"/>
  <c r="M14" s="1"/>
  <c r="M16"/>
  <c r="M17"/>
  <c r="M13"/>
  <c r="I34"/>
  <c r="M15"/>
  <c r="B15" i="44"/>
  <c r="B16" s="1"/>
  <c r="G60" i="79"/>
  <c r="A49" i="142"/>
  <c r="A50" s="1"/>
  <c r="A37"/>
  <c r="A38" s="1"/>
  <c r="D27"/>
  <c r="K24" i="40" l="1"/>
  <c r="K26" s="1"/>
  <c r="K28" s="1"/>
  <c r="K30" s="1"/>
  <c r="K24" i="201"/>
  <c r="K20" i="44"/>
  <c r="K22" s="1"/>
  <c r="K17"/>
  <c r="D26" i="142"/>
  <c r="C26"/>
  <c r="D25"/>
  <c r="C25"/>
  <c r="A25"/>
  <c r="D24"/>
  <c r="C24"/>
  <c r="M24" i="40" l="1"/>
  <c r="M26" s="1"/>
  <c r="M28" s="1"/>
  <c r="M30" s="1"/>
  <c r="M24" i="201"/>
  <c r="K47"/>
  <c r="K26"/>
  <c r="K28" s="1"/>
  <c r="K30" s="1"/>
  <c r="D28" i="142"/>
  <c r="A26"/>
  <c r="A27" s="1"/>
  <c r="F18"/>
  <c r="F12"/>
  <c r="A7"/>
  <c r="E203" i="115"/>
  <c r="G203" s="1"/>
  <c r="E202"/>
  <c r="G202" s="1"/>
  <c r="E201"/>
  <c r="E196"/>
  <c r="G196" s="1"/>
  <c r="E192"/>
  <c r="E190"/>
  <c r="E189"/>
  <c r="D189"/>
  <c r="E188"/>
  <c r="E187"/>
  <c r="E197" s="1"/>
  <c r="H182"/>
  <c r="G182"/>
  <c r="G171"/>
  <c r="E171"/>
  <c r="E167"/>
  <c r="G167" s="1"/>
  <c r="E166"/>
  <c r="G166" s="1"/>
  <c r="H164"/>
  <c r="E164"/>
  <c r="E165" s="1"/>
  <c r="H165" s="1"/>
  <c r="G165" s="1"/>
  <c r="E163"/>
  <c r="H163" s="1"/>
  <c r="E157"/>
  <c r="H157" s="1"/>
  <c r="E156"/>
  <c r="G156" s="1"/>
  <c r="E155"/>
  <c r="G155" s="1"/>
  <c r="E146"/>
  <c r="E176" s="1"/>
  <c r="E143"/>
  <c r="E140"/>
  <c r="D136"/>
  <c r="H152" s="1"/>
  <c r="D135"/>
  <c r="D132"/>
  <c r="D131"/>
  <c r="B22" i="110"/>
  <c r="B23" s="1"/>
  <c r="B24" s="1"/>
  <c r="J21" i="143"/>
  <c r="I21"/>
  <c r="H21"/>
  <c r="G21"/>
  <c r="C21"/>
  <c r="K34" i="55"/>
  <c r="J34"/>
  <c r="I34"/>
  <c r="H34"/>
  <c r="D34"/>
  <c r="L33"/>
  <c r="F72" i="198" s="1"/>
  <c r="L32" i="55"/>
  <c r="F71" i="198" s="1"/>
  <c r="L31" i="55"/>
  <c r="F70" i="198" s="1"/>
  <c r="L30" i="55"/>
  <c r="F69" i="198" s="1"/>
  <c r="L29" i="55"/>
  <c r="F68" i="198" s="1"/>
  <c r="L28" i="55"/>
  <c r="F67" i="198" s="1"/>
  <c r="L27" i="55"/>
  <c r="F66" i="198" s="1"/>
  <c r="L26" i="55"/>
  <c r="F65" i="198" s="1"/>
  <c r="L25" i="55"/>
  <c r="F64" i="198" s="1"/>
  <c r="L24" i="55"/>
  <c r="F63" i="198" s="1"/>
  <c r="L23" i="55"/>
  <c r="F62" i="198" s="1"/>
  <c r="L22" i="55"/>
  <c r="F61" i="198" s="1"/>
  <c r="L21" i="55"/>
  <c r="F60" i="198" s="1"/>
  <c r="L20" i="55"/>
  <c r="F59" i="198" s="1"/>
  <c r="L19" i="55"/>
  <c r="F58" i="198" s="1"/>
  <c r="L18" i="55"/>
  <c r="F57" i="198" s="1"/>
  <c r="L17" i="55"/>
  <c r="F56" i="198" s="1"/>
  <c r="L16" i="55"/>
  <c r="F55" i="198" s="1"/>
  <c r="L15" i="55"/>
  <c r="F54" i="198" s="1"/>
  <c r="L14" i="55"/>
  <c r="F53" i="198" s="1"/>
  <c r="L13" i="55"/>
  <c r="F52" i="198" s="1"/>
  <c r="L12" i="55"/>
  <c r="F51" i="198" s="1"/>
  <c r="L11" i="55"/>
  <c r="F50" i="198" s="1"/>
  <c r="L10" i="55"/>
  <c r="F49" i="198" s="1"/>
  <c r="B10" i="55"/>
  <c r="L9"/>
  <c r="F24" i="127"/>
  <c r="M85" i="59"/>
  <c r="L85"/>
  <c r="J45"/>
  <c r="I45"/>
  <c r="H45"/>
  <c r="G45"/>
  <c r="C45"/>
  <c r="I30" i="171"/>
  <c r="H30"/>
  <c r="G30"/>
  <c r="F30"/>
  <c r="E30"/>
  <c r="I29"/>
  <c r="H29"/>
  <c r="G29"/>
  <c r="F29"/>
  <c r="E29"/>
  <c r="I28"/>
  <c r="H28"/>
  <c r="G28"/>
  <c r="F28"/>
  <c r="E28"/>
  <c r="I27"/>
  <c r="H27"/>
  <c r="G27"/>
  <c r="F27"/>
  <c r="E27"/>
  <c r="I22"/>
  <c r="H22"/>
  <c r="G22"/>
  <c r="F22"/>
  <c r="E22"/>
  <c r="I21"/>
  <c r="H21"/>
  <c r="G21"/>
  <c r="F21"/>
  <c r="E21"/>
  <c r="I20"/>
  <c r="H20"/>
  <c r="G20"/>
  <c r="F20"/>
  <c r="E20"/>
  <c r="I14"/>
  <c r="I13"/>
  <c r="H13"/>
  <c r="I95" i="198" s="1"/>
  <c r="G13" i="171"/>
  <c r="F13"/>
  <c r="E13"/>
  <c r="I12"/>
  <c r="H12"/>
  <c r="I94" i="198" s="1"/>
  <c r="G12" i="171"/>
  <c r="F12"/>
  <c r="E12"/>
  <c r="I8"/>
  <c r="I7"/>
  <c r="H7"/>
  <c r="G7"/>
  <c r="F7"/>
  <c r="E7"/>
  <c r="D95" i="198" s="1"/>
  <c r="I6" i="171"/>
  <c r="H6"/>
  <c r="G6"/>
  <c r="F6"/>
  <c r="E6"/>
  <c r="D94" i="198" s="1"/>
  <c r="I36" i="170"/>
  <c r="H36"/>
  <c r="G36"/>
  <c r="F36"/>
  <c r="E36"/>
  <c r="I35"/>
  <c r="H35"/>
  <c r="G35"/>
  <c r="F35"/>
  <c r="E35"/>
  <c r="I34"/>
  <c r="H34"/>
  <c r="G34"/>
  <c r="F34"/>
  <c r="E34"/>
  <c r="I33"/>
  <c r="H33"/>
  <c r="G33"/>
  <c r="F33"/>
  <c r="E33"/>
  <c r="I32"/>
  <c r="H32"/>
  <c r="G32"/>
  <c r="F32"/>
  <c r="E32"/>
  <c r="I27"/>
  <c r="H27"/>
  <c r="G27"/>
  <c r="F27"/>
  <c r="E27"/>
  <c r="I26"/>
  <c r="H26"/>
  <c r="G26"/>
  <c r="F26"/>
  <c r="E26"/>
  <c r="I25"/>
  <c r="H25"/>
  <c r="G25"/>
  <c r="F25"/>
  <c r="E25"/>
  <c r="F17"/>
  <c r="H17" s="1"/>
  <c r="F15"/>
  <c r="H15" s="1"/>
  <c r="F14"/>
  <c r="F9"/>
  <c r="I8"/>
  <c r="H86" i="198" s="1"/>
  <c r="H89" s="1"/>
  <c r="G8" i="170"/>
  <c r="F8"/>
  <c r="F7"/>
  <c r="F6"/>
  <c r="G152" i="115" l="1"/>
  <c r="H203"/>
  <c r="A28" i="142"/>
  <c r="M47" i="201"/>
  <c r="M48" s="1"/>
  <c r="M50" s="1"/>
  <c r="M26"/>
  <c r="M28" s="1"/>
  <c r="M30" s="1"/>
  <c r="K48"/>
  <c r="K50" s="1"/>
  <c r="F94" i="198"/>
  <c r="H95"/>
  <c r="G94"/>
  <c r="F95"/>
  <c r="H96"/>
  <c r="L34" i="55"/>
  <c r="F48" i="198"/>
  <c r="F74" s="1"/>
  <c r="F75" s="1"/>
  <c r="H196" i="115"/>
  <c r="F85" i="198"/>
  <c r="F87"/>
  <c r="H94"/>
  <c r="H156" i="115"/>
  <c r="F84" i="198"/>
  <c r="G95"/>
  <c r="G163" i="115"/>
  <c r="H188"/>
  <c r="G206" i="60"/>
  <c r="G86" i="198"/>
  <c r="J205" i="60"/>
  <c r="I85" i="198"/>
  <c r="F206" i="60"/>
  <c r="F86" i="198"/>
  <c r="J207" i="60"/>
  <c r="I87" i="198"/>
  <c r="F215" i="60"/>
  <c r="E132" i="115"/>
  <c r="E182"/>
  <c r="F204" i="60"/>
  <c r="E136" i="115"/>
  <c r="E152" s="1"/>
  <c r="G164"/>
  <c r="H187"/>
  <c r="G187" s="1"/>
  <c r="H189"/>
  <c r="G157"/>
  <c r="H151"/>
  <c r="F19" i="142"/>
  <c r="B25" i="110"/>
  <c r="G151" i="115"/>
  <c r="H153"/>
  <c r="H201"/>
  <c r="B11" i="55"/>
  <c r="B12" s="1"/>
  <c r="B13" s="1"/>
  <c r="B14" s="1"/>
  <c r="B15" s="1"/>
  <c r="B16" s="1"/>
  <c r="B17" s="1"/>
  <c r="B18" s="1"/>
  <c r="B19" s="1"/>
  <c r="B20" s="1"/>
  <c r="B21" s="1"/>
  <c r="B22" s="1"/>
  <c r="B23" s="1"/>
  <c r="B24" s="1"/>
  <c r="B25" s="1"/>
  <c r="B26" s="1"/>
  <c r="B27" s="1"/>
  <c r="B28" s="1"/>
  <c r="B29" s="1"/>
  <c r="B30" s="1"/>
  <c r="B31" s="1"/>
  <c r="B32" s="1"/>
  <c r="B33" s="1"/>
  <c r="B34" s="1"/>
  <c r="H171" i="115"/>
  <c r="G201"/>
  <c r="G205" s="1"/>
  <c r="E205" s="1"/>
  <c r="F205" i="60"/>
  <c r="F207"/>
  <c r="H155" i="115"/>
  <c r="H166"/>
  <c r="G190"/>
  <c r="H197"/>
  <c r="G197" s="1"/>
  <c r="H202"/>
  <c r="I10" i="170"/>
  <c r="I206" i="60"/>
  <c r="F19" i="170"/>
  <c r="H14"/>
  <c r="I84" i="198" s="1"/>
  <c r="H8" i="170"/>
  <c r="G10"/>
  <c r="F10"/>
  <c r="F214" i="60"/>
  <c r="G169" i="115" l="1"/>
  <c r="E169" s="1"/>
  <c r="H167" s="1"/>
  <c r="H169" s="1"/>
  <c r="H97" i="198"/>
  <c r="H159" i="115"/>
  <c r="F208" i="60"/>
  <c r="F88" i="198"/>
  <c r="I209" i="60"/>
  <c r="E151" i="115"/>
  <c r="G153"/>
  <c r="J204" i="60"/>
  <c r="H19" i="170"/>
  <c r="E16"/>
  <c r="E19" s="1"/>
  <c r="H10"/>
  <c r="I216" i="60"/>
  <c r="J215"/>
  <c r="I215"/>
  <c r="G215"/>
  <c r="D215"/>
  <c r="B215"/>
  <c r="J214"/>
  <c r="I214"/>
  <c r="G214"/>
  <c r="E214"/>
  <c r="D214"/>
  <c r="I217" l="1"/>
  <c r="H173" i="115"/>
  <c r="F15" i="40"/>
  <c r="F15" i="201"/>
  <c r="E153" i="115"/>
  <c r="G159"/>
  <c r="B216" i="60"/>
  <c r="B205"/>
  <c r="E159" i="115" l="1"/>
  <c r="G173"/>
  <c r="B206" i="60"/>
  <c r="B207" s="1"/>
  <c r="B208" s="1"/>
  <c r="B209" s="1"/>
  <c r="E173" i="115" l="1"/>
  <c r="G183"/>
  <c r="G44" i="158"/>
  <c r="H44" s="1"/>
  <c r="G192" i="60"/>
  <c r="H16" i="201" s="1"/>
  <c r="E16"/>
  <c r="B189" i="60"/>
  <c r="F184"/>
  <c r="B184"/>
  <c r="G181"/>
  <c r="G185" s="1"/>
  <c r="H14" i="201" s="1"/>
  <c r="E183" i="115" l="1"/>
  <c r="G196" i="60"/>
  <c r="H14" i="40"/>
  <c r="B192" i="60"/>
  <c r="D181"/>
  <c r="G50" i="158"/>
  <c r="H48" s="1"/>
  <c r="F176" i="60"/>
  <c r="G61" i="79" s="1"/>
  <c r="G64" s="1"/>
  <c r="H59" s="1"/>
  <c r="B171" i="60"/>
  <c r="B172" s="1"/>
  <c r="B173" s="1"/>
  <c r="E126" l="1"/>
  <c r="B126"/>
  <c r="E125"/>
  <c r="B127" l="1"/>
  <c r="B128" s="1"/>
  <c r="B129" s="1"/>
  <c r="B130" s="1"/>
  <c r="F125"/>
  <c r="F126"/>
  <c r="E131"/>
  <c r="E114"/>
  <c r="B114"/>
  <c r="E113"/>
  <c r="F113" s="1"/>
  <c r="E119" l="1"/>
  <c r="B131"/>
  <c r="B132" s="1"/>
  <c r="F131"/>
  <c r="F132" s="1"/>
  <c r="B115"/>
  <c r="F114" s="1"/>
  <c r="B97"/>
  <c r="F40" i="134" l="1"/>
  <c r="J105" i="60" s="1"/>
  <c r="G105"/>
  <c r="B98"/>
  <c r="B99" s="1"/>
  <c r="F119"/>
  <c r="F120" s="1"/>
  <c r="E40" i="134" s="1"/>
  <c r="B116" i="60"/>
  <c r="B117" s="1"/>
  <c r="B118" s="1"/>
  <c r="B119" s="1"/>
  <c r="B120" s="1"/>
  <c r="L105" l="1"/>
  <c r="E105"/>
  <c r="G88"/>
  <c r="G43" i="158" l="1"/>
  <c r="E88" i="60"/>
  <c r="G42" i="158" l="1"/>
  <c r="H42" s="1"/>
  <c r="H43"/>
  <c r="G85" i="60"/>
  <c r="F39" i="134" s="1"/>
  <c r="E85" i="60"/>
  <c r="E39" i="134" s="1"/>
  <c r="G84" i="60"/>
  <c r="E84"/>
  <c r="B84"/>
  <c r="G83"/>
  <c r="E83"/>
  <c r="E76"/>
  <c r="D76"/>
  <c r="G86" l="1"/>
  <c r="G87" s="1"/>
  <c r="B85"/>
  <c r="E86"/>
  <c r="E87" s="1"/>
  <c r="D75"/>
  <c r="G72"/>
  <c r="F72" s="1"/>
  <c r="G70"/>
  <c r="F70" s="1"/>
  <c r="G69"/>
  <c r="F69" s="1"/>
  <c r="G68"/>
  <c r="F68" s="1"/>
  <c r="G67"/>
  <c r="F67" s="1"/>
  <c r="G66"/>
  <c r="F66" s="1"/>
  <c r="G65"/>
  <c r="F65" s="1"/>
  <c r="G64"/>
  <c r="F64" s="1"/>
  <c r="G63"/>
  <c r="F63" s="1"/>
  <c r="G62"/>
  <c r="F62" s="1"/>
  <c r="G61"/>
  <c r="F61" s="1"/>
  <c r="G60"/>
  <c r="F60" s="1"/>
  <c r="G59"/>
  <c r="F59" s="1"/>
  <c r="G58"/>
  <c r="F58" s="1"/>
  <c r="G55"/>
  <c r="F55" s="1"/>
  <c r="G54"/>
  <c r="F54" s="1"/>
  <c r="G53"/>
  <c r="F53" s="1"/>
  <c r="G52"/>
  <c r="F52" s="1"/>
  <c r="G51"/>
  <c r="F51" s="1"/>
  <c r="G50"/>
  <c r="F50" s="1"/>
  <c r="B50"/>
  <c r="G49"/>
  <c r="B51" l="1"/>
  <c r="B52" s="1"/>
  <c r="B53" s="1"/>
  <c r="B54" s="1"/>
  <c r="B55" s="1"/>
  <c r="B86"/>
  <c r="F49"/>
  <c r="G75"/>
  <c r="G76" s="1"/>
  <c r="F39"/>
  <c r="F38" l="1"/>
  <c r="F37"/>
  <c r="F36"/>
  <c r="F35"/>
  <c r="F34"/>
  <c r="F33"/>
  <c r="F32"/>
  <c r="F31"/>
  <c r="F30"/>
  <c r="F29"/>
  <c r="F28"/>
  <c r="F27"/>
  <c r="F26"/>
  <c r="F25"/>
  <c r="D25"/>
  <c r="F24"/>
  <c r="D24"/>
  <c r="F23"/>
  <c r="F22"/>
  <c r="F21"/>
  <c r="F20"/>
  <c r="F19"/>
  <c r="F18"/>
  <c r="F17"/>
  <c r="F16"/>
  <c r="F15"/>
  <c r="F14"/>
  <c r="B14"/>
  <c r="F13"/>
  <c r="F21" i="132"/>
  <c r="D21"/>
  <c r="C21"/>
  <c r="H20"/>
  <c r="E20"/>
  <c r="H19"/>
  <c r="E19"/>
  <c r="H18"/>
  <c r="E18"/>
  <c r="H17"/>
  <c r="E17"/>
  <c r="H16"/>
  <c r="E16"/>
  <c r="H15"/>
  <c r="E15"/>
  <c r="H14"/>
  <c r="E14"/>
  <c r="H13"/>
  <c r="E13"/>
  <c r="H12"/>
  <c r="I12" s="1"/>
  <c r="E12"/>
  <c r="G145" i="36"/>
  <c r="E145"/>
  <c r="C145"/>
  <c r="D143"/>
  <c r="H142"/>
  <c r="F142"/>
  <c r="A142"/>
  <c r="A135"/>
  <c r="G124"/>
  <c r="F124"/>
  <c r="F125" s="1"/>
  <c r="E124"/>
  <c r="D124"/>
  <c r="D125" s="1"/>
  <c r="B124"/>
  <c r="G118"/>
  <c r="F118"/>
  <c r="E118"/>
  <c r="D118"/>
  <c r="B106"/>
  <c r="B125" l="1"/>
  <c r="G14" i="132"/>
  <c r="G16"/>
  <c r="G18"/>
  <c r="G20"/>
  <c r="E21"/>
  <c r="A143" i="36"/>
  <c r="G13" i="132"/>
  <c r="G15"/>
  <c r="G17"/>
  <c r="G19"/>
  <c r="I16"/>
  <c r="H21"/>
  <c r="G12"/>
  <c r="I13"/>
  <c r="I19"/>
  <c r="B15" i="60"/>
  <c r="B16" s="1"/>
  <c r="B17" s="1"/>
  <c r="B18" s="1"/>
  <c r="B19" s="1"/>
  <c r="B20" s="1"/>
  <c r="B21" s="1"/>
  <c r="B22" s="1"/>
  <c r="B23" s="1"/>
  <c r="B24" s="1"/>
  <c r="B25" s="1"/>
  <c r="B26" s="1"/>
  <c r="B27" s="1"/>
  <c r="B28" s="1"/>
  <c r="B29" s="1"/>
  <c r="B30" s="1"/>
  <c r="B31" s="1"/>
  <c r="B32" s="1"/>
  <c r="B33" s="1"/>
  <c r="B34" s="1"/>
  <c r="B35" s="1"/>
  <c r="B36" s="1"/>
  <c r="B37" s="1"/>
  <c r="B38" s="1"/>
  <c r="B39" s="1"/>
  <c r="F40"/>
  <c r="D40"/>
  <c r="B87" i="36"/>
  <c r="I21" i="132" l="1"/>
  <c r="G21"/>
  <c r="B72" i="36"/>
  <c r="I49"/>
  <c r="I48"/>
  <c r="I47"/>
  <c r="I46"/>
  <c r="I45"/>
  <c r="M44"/>
  <c r="M42" l="1"/>
  <c r="I42"/>
  <c r="K41"/>
  <c r="L41" s="1"/>
  <c r="O41" s="1"/>
  <c r="H41"/>
  <c r="N39"/>
  <c r="M39" l="1"/>
  <c r="K39"/>
  <c r="L39" s="1"/>
  <c r="I39"/>
  <c r="H39"/>
  <c r="O39" l="1"/>
  <c r="J39"/>
  <c r="M38"/>
  <c r="K38"/>
  <c r="L38" s="1"/>
  <c r="I38"/>
  <c r="H38"/>
  <c r="M37"/>
  <c r="K37"/>
  <c r="L37" s="1"/>
  <c r="I37"/>
  <c r="H37"/>
  <c r="M36"/>
  <c r="K36"/>
  <c r="L36" s="1"/>
  <c r="I36"/>
  <c r="H36"/>
  <c r="M35"/>
  <c r="K35"/>
  <c r="L35" s="1"/>
  <c r="I35"/>
  <c r="H35"/>
  <c r="J37" l="1"/>
  <c r="J36"/>
  <c r="J35"/>
  <c r="J38"/>
  <c r="M34"/>
  <c r="K34"/>
  <c r="L34" s="1"/>
  <c r="I34"/>
  <c r="H34"/>
  <c r="J34" l="1"/>
  <c r="M33"/>
  <c r="K33"/>
  <c r="L33" s="1"/>
  <c r="I33" l="1"/>
  <c r="H33"/>
  <c r="M32"/>
  <c r="K32"/>
  <c r="L32" s="1"/>
  <c r="I32"/>
  <c r="H32"/>
  <c r="J32" l="1"/>
  <c r="J33"/>
  <c r="M31"/>
  <c r="K31"/>
  <c r="K43" s="1"/>
  <c r="L31" l="1"/>
  <c r="I31"/>
  <c r="H31"/>
  <c r="B31"/>
  <c r="B32" s="1"/>
  <c r="N30"/>
  <c r="M30"/>
  <c r="L30"/>
  <c r="I30"/>
  <c r="H30"/>
  <c r="P21"/>
  <c r="O21"/>
  <c r="N21"/>
  <c r="L21"/>
  <c r="K116" s="1"/>
  <c r="K21"/>
  <c r="J31" l="1"/>
  <c r="L43"/>
  <c r="O30"/>
  <c r="O105" s="1"/>
  <c r="J30"/>
  <c r="N31"/>
  <c r="O31" s="1"/>
  <c r="B33"/>
  <c r="I43"/>
  <c r="H43"/>
  <c r="J21"/>
  <c r="J116" s="1"/>
  <c r="I21"/>
  <c r="P20"/>
  <c r="O20"/>
  <c r="N20"/>
  <c r="K20"/>
  <c r="J20"/>
  <c r="I20"/>
  <c r="G20"/>
  <c r="F20"/>
  <c r="E20"/>
  <c r="D20"/>
  <c r="P19"/>
  <c r="O19"/>
  <c r="N19"/>
  <c r="K19"/>
  <c r="J19"/>
  <c r="I19"/>
  <c r="H19"/>
  <c r="G19"/>
  <c r="F19"/>
  <c r="E19"/>
  <c r="D19"/>
  <c r="P18"/>
  <c r="O18"/>
  <c r="N18"/>
  <c r="L18"/>
  <c r="K112" s="1"/>
  <c r="K18"/>
  <c r="J18"/>
  <c r="I18"/>
  <c r="H18" s="1"/>
  <c r="G18"/>
  <c r="F18"/>
  <c r="E18"/>
  <c r="D18"/>
  <c r="Q17"/>
  <c r="P17"/>
  <c r="O17"/>
  <c r="N17"/>
  <c r="M17"/>
  <c r="J17"/>
  <c r="I17"/>
  <c r="H17"/>
  <c r="G17"/>
  <c r="F17"/>
  <c r="E17"/>
  <c r="D17"/>
  <c r="Q16"/>
  <c r="P16"/>
  <c r="O16"/>
  <c r="N16"/>
  <c r="M16"/>
  <c r="E91" s="1"/>
  <c r="K16"/>
  <c r="J16"/>
  <c r="I16"/>
  <c r="G16"/>
  <c r="F16"/>
  <c r="E16"/>
  <c r="D16"/>
  <c r="Q15"/>
  <c r="P15"/>
  <c r="O15"/>
  <c r="N15"/>
  <c r="M15"/>
  <c r="E90" s="1"/>
  <c r="K15"/>
  <c r="J15"/>
  <c r="I15"/>
  <c r="G15"/>
  <c r="F15"/>
  <c r="E15"/>
  <c r="D15"/>
  <c r="Q14"/>
  <c r="P14"/>
  <c r="O14"/>
  <c r="N14"/>
  <c r="M14"/>
  <c r="K14"/>
  <c r="J14"/>
  <c r="I14"/>
  <c r="G14"/>
  <c r="F14"/>
  <c r="E14"/>
  <c r="D14"/>
  <c r="P13"/>
  <c r="O13"/>
  <c r="N13"/>
  <c r="M107" s="1"/>
  <c r="I13"/>
  <c r="G13"/>
  <c r="F13"/>
  <c r="E13"/>
  <c r="D13"/>
  <c r="P12"/>
  <c r="O12"/>
  <c r="N12"/>
  <c r="M106" s="1"/>
  <c r="L12"/>
  <c r="K12" s="1"/>
  <c r="J12" s="1"/>
  <c r="I12"/>
  <c r="G12"/>
  <c r="F12"/>
  <c r="E12"/>
  <c r="D12"/>
  <c r="B12"/>
  <c r="P11"/>
  <c r="O11"/>
  <c r="N11"/>
  <c r="K11"/>
  <c r="J11"/>
  <c r="I11"/>
  <c r="G11"/>
  <c r="F11"/>
  <c r="E11"/>
  <c r="D11"/>
  <c r="J106" l="1"/>
  <c r="B13"/>
  <c r="B14" s="1"/>
  <c r="B15" s="1"/>
  <c r="B16" s="1"/>
  <c r="B17" s="1"/>
  <c r="B18" s="1"/>
  <c r="B19" s="1"/>
  <c r="B20" s="1"/>
  <c r="B21" s="1"/>
  <c r="L50"/>
  <c r="N32"/>
  <c r="O32" s="1"/>
  <c r="B34"/>
  <c r="E23"/>
  <c r="I116"/>
  <c r="H116" s="1"/>
  <c r="P23"/>
  <c r="D144" s="1"/>
  <c r="A144" s="1"/>
  <c r="A145" s="1"/>
  <c r="M105"/>
  <c r="N23"/>
  <c r="H112"/>
  <c r="E78"/>
  <c r="I23"/>
  <c r="B88"/>
  <c r="F91"/>
  <c r="L17"/>
  <c r="E77" s="1"/>
  <c r="E92"/>
  <c r="D23"/>
  <c r="I106"/>
  <c r="J108"/>
  <c r="I108" s="1"/>
  <c r="J112"/>
  <c r="I112" s="1"/>
  <c r="M114"/>
  <c r="K13"/>
  <c r="J13" s="1"/>
  <c r="J23" s="1"/>
  <c r="F90"/>
  <c r="G23"/>
  <c r="F23" s="1"/>
  <c r="J110"/>
  <c r="I110" s="1"/>
  <c r="J114"/>
  <c r="I114" s="1"/>
  <c r="L108"/>
  <c r="E89"/>
  <c r="H106"/>
  <c r="E72"/>
  <c r="F72" s="1"/>
  <c r="B73"/>
  <c r="B74" s="1"/>
  <c r="B75" s="1"/>
  <c r="O23"/>
  <c r="G36" i="158" s="1"/>
  <c r="H36" s="1"/>
  <c r="I109" i="36"/>
  <c r="H109" s="1"/>
  <c r="I113"/>
  <c r="H113" s="1"/>
  <c r="E36" i="169"/>
  <c r="B36"/>
  <c r="D24"/>
  <c r="B24"/>
  <c r="G37" i="158" l="1"/>
  <c r="H37" s="1"/>
  <c r="N33" i="36"/>
  <c r="O33" s="1"/>
  <c r="B35"/>
  <c r="B76"/>
  <c r="B77" s="1"/>
  <c r="B78" s="1"/>
  <c r="F77"/>
  <c r="F78"/>
  <c r="G35" i="158"/>
  <c r="H35" s="1"/>
  <c r="D142" i="36"/>
  <c r="B89"/>
  <c r="B90" s="1"/>
  <c r="B91" s="1"/>
  <c r="B92" s="1"/>
  <c r="B93" s="1"/>
  <c r="B94" s="1"/>
  <c r="B95" s="1"/>
  <c r="F89"/>
  <c r="J105"/>
  <c r="I105" s="1"/>
  <c r="K17"/>
  <c r="K23" s="1"/>
  <c r="G45" i="79" s="1"/>
  <c r="H45" s="1"/>
  <c r="K111" i="36"/>
  <c r="J111" s="1"/>
  <c r="I111" s="1"/>
  <c r="H111" s="1"/>
  <c r="F92"/>
  <c r="G44" i="79"/>
  <c r="J107" i="36"/>
  <c r="I107" s="1"/>
  <c r="F14" i="169"/>
  <c r="D14"/>
  <c r="E13"/>
  <c r="B12"/>
  <c r="B13" l="1"/>
  <c r="B14" s="1"/>
  <c r="N34" i="36"/>
  <c r="O34" s="1"/>
  <c r="B36"/>
  <c r="F16" i="169"/>
  <c r="I118" i="36"/>
  <c r="I50"/>
  <c r="E26" i="134" l="1"/>
  <c r="D56" i="36"/>
  <c r="N35"/>
  <c r="O35" s="1"/>
  <c r="B37"/>
  <c r="A43" i="79"/>
  <c r="A48" s="1"/>
  <c r="A50" s="1"/>
  <c r="A53" s="1"/>
  <c r="A55" s="1"/>
  <c r="A57" s="1"/>
  <c r="A59" s="1"/>
  <c r="A66" s="1"/>
  <c r="A68" s="1"/>
  <c r="O118" i="36"/>
  <c r="G48" i="79"/>
  <c r="H48" s="1"/>
  <c r="H18" i="112"/>
  <c r="H23" s="1"/>
  <c r="N36" i="36" l="1"/>
  <c r="O36" s="1"/>
  <c r="B38"/>
  <c r="F18" i="112"/>
  <c r="F23" s="1"/>
  <c r="H16"/>
  <c r="H21" s="1"/>
  <c r="H24" s="1"/>
  <c r="F16"/>
  <c r="F21" s="1"/>
  <c r="Q13"/>
  <c r="C11"/>
  <c r="G30" i="158"/>
  <c r="H30" s="1"/>
  <c r="D20" i="34"/>
  <c r="E14" i="47" s="1"/>
  <c r="B11" i="34"/>
  <c r="F27" i="33"/>
  <c r="H13" i="47" s="1"/>
  <c r="D25" i="33"/>
  <c r="B11"/>
  <c r="J27" i="32"/>
  <c r="I27"/>
  <c r="G20" i="158"/>
  <c r="H20" s="1"/>
  <c r="F26" i="32"/>
  <c r="G6" i="79" s="1"/>
  <c r="D26" i="32"/>
  <c r="J25"/>
  <c r="I25"/>
  <c r="J24"/>
  <c r="I24"/>
  <c r="J23"/>
  <c r="L23" s="1"/>
  <c r="I23"/>
  <c r="K23" s="1"/>
  <c r="J22"/>
  <c r="I22"/>
  <c r="J21"/>
  <c r="I21"/>
  <c r="J20"/>
  <c r="I20"/>
  <c r="J19"/>
  <c r="I19"/>
  <c r="F24" i="112" l="1"/>
  <c r="O11"/>
  <c r="N37" i="36"/>
  <c r="O37" s="1"/>
  <c r="B39"/>
  <c r="N38" s="1"/>
  <c r="O38" s="1"/>
  <c r="G22" i="79"/>
  <c r="G10"/>
  <c r="H27" i="33"/>
  <c r="G25" i="158" s="1"/>
  <c r="H25" s="1"/>
  <c r="D27" i="33"/>
  <c r="E13" i="47" s="1"/>
  <c r="J26" i="32"/>
  <c r="D28"/>
  <c r="E12" i="47" s="1"/>
  <c r="H28" i="32"/>
  <c r="F28"/>
  <c r="I26"/>
  <c r="K26" s="1"/>
  <c r="O13" i="112"/>
  <c r="Q11"/>
  <c r="J18" i="32"/>
  <c r="I18"/>
  <c r="J17"/>
  <c r="I17"/>
  <c r="J16"/>
  <c r="I16"/>
  <c r="J15"/>
  <c r="I15"/>
  <c r="J14"/>
  <c r="I14"/>
  <c r="J13"/>
  <c r="I13"/>
  <c r="J12"/>
  <c r="I12"/>
  <c r="J11"/>
  <c r="I11"/>
  <c r="B11"/>
  <c r="J10"/>
  <c r="L10" l="1"/>
  <c r="G8" i="79"/>
  <c r="H8" s="1"/>
  <c r="I28" i="32"/>
  <c r="G23" i="158"/>
  <c r="J28" i="32"/>
  <c r="B12"/>
  <c r="L11" s="1"/>
  <c r="K16"/>
  <c r="K12"/>
  <c r="K17"/>
  <c r="F26" i="112"/>
  <c r="I10" i="32"/>
  <c r="K10" s="1"/>
  <c r="J16" i="47"/>
  <c r="B13" i="32" l="1"/>
  <c r="L12" s="1"/>
  <c r="F28" i="112"/>
  <c r="K14" i="47"/>
  <c r="B14" i="32" l="1"/>
  <c r="B15" s="1"/>
  <c r="B16" s="1"/>
  <c r="L14"/>
  <c r="K13" i="47"/>
  <c r="K14" i="32" l="1"/>
  <c r="L15"/>
  <c r="B17"/>
  <c r="L16" l="1"/>
  <c r="B18"/>
  <c r="I17" i="47"/>
  <c r="H11" i="40" l="1"/>
  <c r="H11" i="201"/>
  <c r="L17" i="32"/>
  <c r="B19"/>
  <c r="B20" s="1"/>
  <c r="B21" s="1"/>
  <c r="B22" s="1"/>
  <c r="B23" s="1"/>
  <c r="B24" s="1"/>
  <c r="B25" s="1"/>
  <c r="F17" i="47"/>
  <c r="E15"/>
  <c r="D11" i="201" s="1"/>
  <c r="B12" i="47"/>
  <c r="B13" s="1"/>
  <c r="B14" s="1"/>
  <c r="B15" s="1"/>
  <c r="B16" s="1"/>
  <c r="B17" s="1"/>
  <c r="D21" i="77"/>
  <c r="D22" s="1"/>
  <c r="F14"/>
  <c r="E14"/>
  <c r="H13"/>
  <c r="C13"/>
  <c r="E13" s="1"/>
  <c r="F12"/>
  <c r="C12"/>
  <c r="F11"/>
  <c r="E11"/>
  <c r="F9"/>
  <c r="E9"/>
  <c r="A7"/>
  <c r="F6"/>
  <c r="E6"/>
  <c r="G24" i="136"/>
  <c r="D22"/>
  <c r="C22"/>
  <c r="H16"/>
  <c r="H13"/>
  <c r="E13"/>
  <c r="H11"/>
  <c r="E11"/>
  <c r="H10"/>
  <c r="E10"/>
  <c r="E9"/>
  <c r="A9"/>
  <c r="H8"/>
  <c r="E8"/>
  <c r="D30" i="25"/>
  <c r="D10" i="201" s="1"/>
  <c r="E22" i="136" l="1"/>
  <c r="E171" i="60"/>
  <c r="E181" s="1"/>
  <c r="E11" i="201"/>
  <c r="E12" i="77"/>
  <c r="C7" i="154"/>
  <c r="G13" i="158"/>
  <c r="C6" i="154"/>
  <c r="G12" i="158"/>
  <c r="D23" i="136"/>
  <c r="A10"/>
  <c r="A11" s="1"/>
  <c r="C23" i="154"/>
  <c r="G15" i="158"/>
  <c r="H15" s="1"/>
  <c r="G12" i="71"/>
  <c r="P23" i="25"/>
  <c r="F90" i="134" s="1"/>
  <c r="C9" i="154"/>
  <c r="G14" i="158"/>
  <c r="H14" s="1"/>
  <c r="G13" i="71"/>
  <c r="P28" i="25"/>
  <c r="G8" i="158" s="1"/>
  <c r="G22" i="136"/>
  <c r="G25" s="1"/>
  <c r="L24" i="32"/>
  <c r="L26" s="1"/>
  <c r="B26"/>
  <c r="B27" s="1"/>
  <c r="B28" s="1"/>
  <c r="F21" i="77"/>
  <c r="E21" s="1"/>
  <c r="H11"/>
  <c r="H14"/>
  <c r="H12"/>
  <c r="E13" i="71"/>
  <c r="H6" i="77"/>
  <c r="H9"/>
  <c r="E12" i="71"/>
  <c r="C30" i="25"/>
  <c r="G14" i="71" l="1"/>
  <c r="E6" i="154"/>
  <c r="A23"/>
  <c r="A24" s="1"/>
  <c r="E23"/>
  <c r="H11" i="158"/>
  <c r="K24" i="32"/>
  <c r="K28" s="1"/>
  <c r="L28"/>
  <c r="E14" i="71"/>
  <c r="G53" i="79"/>
  <c r="H53" s="1"/>
  <c r="D31" i="25"/>
  <c r="E30"/>
  <c r="G7" i="158"/>
  <c r="O26" i="25"/>
  <c r="N26"/>
  <c r="M26"/>
  <c r="L26"/>
  <c r="J26"/>
  <c r="O25"/>
  <c r="N25"/>
  <c r="M25"/>
  <c r="L25"/>
  <c r="P24"/>
  <c r="F91" i="134" s="1"/>
  <c r="G91" s="1"/>
  <c r="H91" s="1"/>
  <c r="O24" i="25"/>
  <c r="N24"/>
  <c r="M24"/>
  <c r="L24"/>
  <c r="J24" s="1"/>
  <c r="E91" i="134" s="1"/>
  <c r="I24" i="25"/>
  <c r="O23"/>
  <c r="N23"/>
  <c r="M23"/>
  <c r="L23"/>
  <c r="J23"/>
  <c r="I23"/>
  <c r="P22"/>
  <c r="F89" i="134" s="1"/>
  <c r="O22" i="25"/>
  <c r="N22"/>
  <c r="M22"/>
  <c r="L22"/>
  <c r="J22"/>
  <c r="G39" i="79" s="1"/>
  <c r="H39" s="1"/>
  <c r="I22" i="25"/>
  <c r="P21"/>
  <c r="N21"/>
  <c r="M21"/>
  <c r="L21"/>
  <c r="J21"/>
  <c r="H21"/>
  <c r="H16" i="47" l="1"/>
  <c r="H12" s="1"/>
  <c r="H15" s="1"/>
  <c r="H17" s="1"/>
  <c r="F11" i="201" s="1"/>
  <c r="E127" i="134"/>
  <c r="F127"/>
  <c r="K16" i="47"/>
  <c r="K12" s="1"/>
  <c r="K15" s="1"/>
  <c r="G38" i="79"/>
  <c r="E90" i="134"/>
  <c r="H21" i="77"/>
  <c r="G22"/>
  <c r="Q21" i="25"/>
  <c r="I21"/>
  <c r="K21" s="1"/>
  <c r="G36" i="79"/>
  <c r="G55"/>
  <c r="H55" s="1"/>
  <c r="G40"/>
  <c r="H40" s="1"/>
  <c r="P20" i="25"/>
  <c r="N20"/>
  <c r="M20"/>
  <c r="J20"/>
  <c r="K20" s="1"/>
  <c r="H20"/>
  <c r="E20"/>
  <c r="P19"/>
  <c r="O19" s="1"/>
  <c r="N19"/>
  <c r="M19"/>
  <c r="L19"/>
  <c r="I19"/>
  <c r="F19"/>
  <c r="F30" s="1"/>
  <c r="P18"/>
  <c r="M18"/>
  <c r="L18"/>
  <c r="J18"/>
  <c r="I18" s="1"/>
  <c r="H18"/>
  <c r="E18"/>
  <c r="P16"/>
  <c r="O16"/>
  <c r="M16"/>
  <c r="L16"/>
  <c r="J16"/>
  <c r="P15"/>
  <c r="O15"/>
  <c r="M15"/>
  <c r="L15"/>
  <c r="P14"/>
  <c r="O14"/>
  <c r="M14"/>
  <c r="L14"/>
  <c r="P13"/>
  <c r="O13"/>
  <c r="M13"/>
  <c r="L13"/>
  <c r="E13"/>
  <c r="A13"/>
  <c r="P12"/>
  <c r="O12"/>
  <c r="M12"/>
  <c r="L12"/>
  <c r="J12"/>
  <c r="H12"/>
  <c r="E12"/>
  <c r="L30" l="1"/>
  <c r="H49" i="40" s="1"/>
  <c r="K17" i="47"/>
  <c r="I11" i="40" s="1"/>
  <c r="M30" i="25"/>
  <c r="H10" i="201" s="1"/>
  <c r="H23" s="1"/>
  <c r="O30" i="25"/>
  <c r="P30"/>
  <c r="I10" i="201" s="1"/>
  <c r="J10" s="1"/>
  <c r="D60" i="40"/>
  <c r="D58" i="201"/>
  <c r="G127" i="134"/>
  <c r="H127"/>
  <c r="N26" i="80"/>
  <c r="N25" s="1"/>
  <c r="G4" i="79"/>
  <c r="H4" s="1"/>
  <c r="Q15" i="25"/>
  <c r="N13"/>
  <c r="N14"/>
  <c r="Q14"/>
  <c r="K18"/>
  <c r="N15"/>
  <c r="A14"/>
  <c r="A15" s="1"/>
  <c r="A16" s="1"/>
  <c r="G6" i="158"/>
  <c r="N18" i="25"/>
  <c r="H19"/>
  <c r="I12"/>
  <c r="G28" i="79"/>
  <c r="N12" i="25"/>
  <c r="Q12"/>
  <c r="G5" i="158"/>
  <c r="G4"/>
  <c r="B30" i="138"/>
  <c r="B9"/>
  <c r="B10" s="1"/>
  <c r="B11" s="1"/>
  <c r="G28" i="145" l="1"/>
  <c r="G26" s="1"/>
  <c r="I11" i="201"/>
  <c r="F102" i="134"/>
  <c r="H171" i="60"/>
  <c r="K12" i="29"/>
  <c r="J49" i="40"/>
  <c r="I10"/>
  <c r="N30" i="25"/>
  <c r="A17"/>
  <c r="A18" s="1"/>
  <c r="A19" s="1"/>
  <c r="A20" s="1"/>
  <c r="Q18"/>
  <c r="H10" i="40"/>
  <c r="H48" s="1"/>
  <c r="H50" s="1"/>
  <c r="M32" i="25"/>
  <c r="F171" i="60"/>
  <c r="F11" i="40"/>
  <c r="E102" i="134"/>
  <c r="H180" i="60"/>
  <c r="E28" i="145"/>
  <c r="E26" s="1"/>
  <c r="E24" s="1"/>
  <c r="G31" i="25"/>
  <c r="H30"/>
  <c r="M31"/>
  <c r="K12"/>
  <c r="G17" i="158"/>
  <c r="H17" s="1"/>
  <c r="H4"/>
  <c r="J12" i="29"/>
  <c r="E27" i="40"/>
  <c r="D24"/>
  <c r="K19" i="29" l="1"/>
  <c r="D27" i="40"/>
  <c r="Q27"/>
  <c r="K11" i="29"/>
  <c r="D186" i="182"/>
  <c r="F186" s="1"/>
  <c r="I186" s="1"/>
  <c r="I18" i="40"/>
  <c r="D18"/>
  <c r="F17"/>
  <c r="G17" s="1"/>
  <c r="Q17" s="1"/>
  <c r="D17"/>
  <c r="I16"/>
  <c r="J16" s="1"/>
  <c r="H16"/>
  <c r="R16" l="1"/>
  <c r="H18"/>
  <c r="J18"/>
  <c r="D16"/>
  <c r="R18" l="1"/>
  <c r="F18"/>
  <c r="G18" s="1"/>
  <c r="H23"/>
  <c r="E18"/>
  <c r="Q18" l="1"/>
  <c r="D13"/>
  <c r="D12" l="1"/>
  <c r="E11" l="1"/>
  <c r="D11" s="1"/>
  <c r="B11"/>
  <c r="B12" s="1"/>
  <c r="B13" s="1"/>
  <c r="J10"/>
  <c r="D10"/>
  <c r="E71" i="134"/>
  <c r="J48" i="40" l="1"/>
  <c r="J50" s="1"/>
  <c r="R10"/>
  <c r="G16" i="112"/>
  <c r="G21" s="1"/>
  <c r="P11" l="1"/>
  <c r="E20" i="44" l="1"/>
  <c r="E21"/>
  <c r="G20"/>
  <c r="G21"/>
  <c r="F32" i="134"/>
  <c r="E32"/>
  <c r="E101" i="60" l="1"/>
  <c r="E100"/>
  <c r="G101"/>
  <c r="G15" i="169"/>
  <c r="G100" i="60"/>
  <c r="F16" i="44"/>
  <c r="H16"/>
  <c r="B100" i="60"/>
  <c r="B101" s="1"/>
  <c r="E15" i="169"/>
  <c r="B15" s="1"/>
  <c r="E30" i="134"/>
  <c r="E35" i="169" l="1"/>
  <c r="E11"/>
  <c r="E23" s="1"/>
  <c r="E33" i="134"/>
  <c r="G18" i="112"/>
  <c r="F7" i="134"/>
  <c r="G13" i="169" s="1"/>
  <c r="G14" s="1"/>
  <c r="G23" i="112" l="1"/>
  <c r="G24" s="1"/>
  <c r="G26" s="1"/>
  <c r="G15" i="47" s="1"/>
  <c r="G11" i="40" s="1"/>
  <c r="E37" i="169"/>
  <c r="F20" i="201" s="1"/>
  <c r="G20" s="1"/>
  <c r="P13" i="112"/>
  <c r="H10" i="116"/>
  <c r="H13" s="1"/>
  <c r="F8" i="134"/>
  <c r="H11" i="44" s="1"/>
  <c r="Q11" i="40" l="1"/>
  <c r="G11" i="201"/>
  <c r="H13" i="44"/>
  <c r="H15" s="1"/>
  <c r="H32" s="1"/>
  <c r="F32" i="174" s="1"/>
  <c r="F31" i="134"/>
  <c r="G17" i="47"/>
  <c r="F14" i="134"/>
  <c r="G97" i="60" s="1"/>
  <c r="E12" i="169"/>
  <c r="E8" i="134"/>
  <c r="E31" s="1"/>
  <c r="G99" i="60" l="1"/>
  <c r="G102" s="1"/>
  <c r="E34" i="134"/>
  <c r="F30" s="1"/>
  <c r="F17"/>
  <c r="F18"/>
  <c r="G46" i="158"/>
  <c r="H46" s="1"/>
  <c r="F11" i="44"/>
  <c r="F13" s="1"/>
  <c r="F15" s="1"/>
  <c r="H21"/>
  <c r="G57" i="79"/>
  <c r="E14" i="169"/>
  <c r="E16" s="1"/>
  <c r="G11" s="1"/>
  <c r="G16" s="1"/>
  <c r="E14" i="134"/>
  <c r="E97" i="60" s="1"/>
  <c r="E99" s="1"/>
  <c r="E102" s="1"/>
  <c r="F32" i="44" l="1"/>
  <c r="F33" s="1"/>
  <c r="F17"/>
  <c r="H10" s="1"/>
  <c r="G23" i="169"/>
  <c r="F34" i="134"/>
  <c r="F33"/>
  <c r="G35" i="169"/>
  <c r="F21" i="44"/>
  <c r="F22" s="1"/>
  <c r="I18" i="112"/>
  <c r="I23" s="1"/>
  <c r="D16" i="169"/>
  <c r="B16" s="1"/>
  <c r="E18" i="134"/>
  <c r="E17"/>
  <c r="F34" i="44" l="1"/>
  <c r="F35" s="1"/>
  <c r="F24" i="201"/>
  <c r="D33" i="174"/>
  <c r="D32"/>
  <c r="B102" i="60"/>
  <c r="B103" s="1"/>
  <c r="B104" s="1"/>
  <c r="B105" s="1"/>
  <c r="F24" i="40"/>
  <c r="G24" s="1"/>
  <c r="E56" i="134"/>
  <c r="H17" i="44"/>
  <c r="J10" s="1"/>
  <c r="H31"/>
  <c r="E22"/>
  <c r="E24" i="201" s="1"/>
  <c r="E47" s="1"/>
  <c r="E48" s="1"/>
  <c r="E50" s="1"/>
  <c r="E52" s="1"/>
  <c r="E17" i="44"/>
  <c r="B17" s="1"/>
  <c r="H20"/>
  <c r="H22" s="1"/>
  <c r="R13" i="112"/>
  <c r="G24" i="201" l="1"/>
  <c r="I24" i="40"/>
  <c r="J24" s="1"/>
  <c r="I24" i="201"/>
  <c r="F36" i="44"/>
  <c r="F22" i="201"/>
  <c r="G22" s="1"/>
  <c r="H33" i="44"/>
  <c r="F31" i="174"/>
  <c r="J20" i="44"/>
  <c r="F56" i="134"/>
  <c r="G37" i="169"/>
  <c r="E24" i="40"/>
  <c r="Q24" s="1"/>
  <c r="H26" i="112"/>
  <c r="H28" s="1"/>
  <c r="G28" s="1"/>
  <c r="F37" i="169"/>
  <c r="I20" i="40" l="1"/>
  <c r="J20" s="1"/>
  <c r="R20" s="1"/>
  <c r="I20" i="201"/>
  <c r="J20" s="1"/>
  <c r="J24"/>
  <c r="J47" s="1"/>
  <c r="J48" s="1"/>
  <c r="G25" i="192"/>
  <c r="F33" i="174"/>
  <c r="H34" i="44"/>
  <c r="H35" s="1"/>
  <c r="D34" i="174"/>
  <c r="D37" i="169"/>
  <c r="B37" s="1"/>
  <c r="F20" i="40"/>
  <c r="G20" s="1"/>
  <c r="Q20" s="1"/>
  <c r="F34" i="174" l="1"/>
  <c r="D35"/>
  <c r="G22" i="40" s="1"/>
  <c r="Q22" s="1"/>
  <c r="D36" i="174"/>
  <c r="I22" i="201"/>
  <c r="G22" i="44"/>
  <c r="B106" i="60"/>
  <c r="B217"/>
  <c r="F11" i="119"/>
  <c r="B11"/>
  <c r="H29" i="40" l="1"/>
  <c r="H29" i="201"/>
  <c r="H24" i="40"/>
  <c r="R24" s="1"/>
  <c r="H24" i="201"/>
  <c r="I15" i="40"/>
  <c r="I15" i="201"/>
  <c r="J22"/>
  <c r="H36" i="44"/>
  <c r="F36" i="174" s="1"/>
  <c r="F35"/>
  <c r="J22" i="40" s="1"/>
  <c r="R22" s="1"/>
  <c r="G51" i="79"/>
  <c r="H51" s="1"/>
  <c r="J15" i="25"/>
  <c r="J19"/>
  <c r="K19" s="1"/>
  <c r="H71" i="1"/>
  <c r="I71"/>
  <c r="J71"/>
  <c r="H72"/>
  <c r="H76"/>
  <c r="G78"/>
  <c r="H78"/>
  <c r="H79"/>
  <c r="H82"/>
  <c r="G83"/>
  <c r="H83"/>
  <c r="H84"/>
  <c r="G85"/>
  <c r="H85"/>
  <c r="H86"/>
  <c r="G87"/>
  <c r="H87"/>
  <c r="H88"/>
  <c r="G89"/>
  <c r="H89"/>
  <c r="H90"/>
  <c r="G91"/>
  <c r="H91"/>
  <c r="H92"/>
  <c r="G93"/>
  <c r="H93"/>
  <c r="H94"/>
  <c r="G95"/>
  <c r="H95"/>
  <c r="H97"/>
  <c r="I97"/>
  <c r="J97"/>
  <c r="K100"/>
  <c r="M100" s="1"/>
  <c r="K101"/>
  <c r="M101" s="1"/>
  <c r="K102"/>
  <c r="K103"/>
  <c r="M103" s="1"/>
  <c r="K104"/>
  <c r="M104" s="1"/>
  <c r="E10" i="40"/>
  <c r="F24" i="169"/>
  <c r="F78" i="1"/>
  <c r="J17" i="146" s="1"/>
  <c r="F83" i="1"/>
  <c r="F85"/>
  <c r="J28" i="146" s="1"/>
  <c r="F87" i="1"/>
  <c r="J30" i="146" s="1"/>
  <c r="F89" i="1"/>
  <c r="J32" i="146" s="1"/>
  <c r="F91" i="1"/>
  <c r="F93"/>
  <c r="J36" i="146" s="1"/>
  <c r="F95" i="1"/>
  <c r="J38" i="146" s="1"/>
  <c r="I15" i="25"/>
  <c r="G24" i="145"/>
  <c r="G29" i="79"/>
  <c r="G31"/>
  <c r="G35"/>
  <c r="B79" i="36"/>
  <c r="B80" s="1"/>
  <c r="B81" s="1"/>
  <c r="B96"/>
  <c r="B25" i="169"/>
  <c r="D185" i="60"/>
  <c r="D14" i="201" s="1"/>
  <c r="D23" s="1"/>
  <c r="D26" s="1"/>
  <c r="D28" s="1"/>
  <c r="D30" s="1"/>
  <c r="B185" i="60"/>
  <c r="B12" i="145"/>
  <c r="B13" s="1"/>
  <c r="B14" s="1"/>
  <c r="B15" s="1"/>
  <c r="B16" s="1"/>
  <c r="B17" s="1"/>
  <c r="B10" i="29"/>
  <c r="B11" s="1"/>
  <c r="B12" s="1"/>
  <c r="J29" i="146"/>
  <c r="H47"/>
  <c r="D34" i="154"/>
  <c r="K44" i="146" l="1"/>
  <c r="M102" i="1"/>
  <c r="H47" i="201"/>
  <c r="H48" s="1"/>
  <c r="H50" s="1"/>
  <c r="H26"/>
  <c r="H28" s="1"/>
  <c r="H30" s="1"/>
  <c r="G30" i="79"/>
  <c r="G32" s="1"/>
  <c r="J30" i="25"/>
  <c r="I30"/>
  <c r="I12" i="29" s="1"/>
  <c r="K43" i="146"/>
  <c r="F157" i="1"/>
  <c r="K45" i="146"/>
  <c r="F156" i="1"/>
  <c r="G156" s="1"/>
  <c r="K46" i="146"/>
  <c r="F155" i="1"/>
  <c r="G155" s="1"/>
  <c r="K42" i="146"/>
  <c r="F154" i="1"/>
  <c r="G154" s="1"/>
  <c r="K15" i="25"/>
  <c r="D14" i="40"/>
  <c r="D23" s="1"/>
  <c r="D26" s="1"/>
  <c r="D28" s="1"/>
  <c r="D30" s="1"/>
  <c r="D196" i="60"/>
  <c r="G37" i="79"/>
  <c r="H35" s="1"/>
  <c r="K97" i="1"/>
  <c r="K71"/>
  <c r="H26" i="40"/>
  <c r="H28" s="1"/>
  <c r="H30" s="1"/>
  <c r="E185" i="60"/>
  <c r="E14" i="201" s="1"/>
  <c r="E23" s="1"/>
  <c r="E26" s="1"/>
  <c r="E28" s="1"/>
  <c r="E30" s="1"/>
  <c r="E35" s="1"/>
  <c r="E39" s="1"/>
  <c r="B14" i="40"/>
  <c r="B15" s="1"/>
  <c r="J26" i="146"/>
  <c r="H98" i="1"/>
  <c r="J34" i="146"/>
  <c r="K6" l="1"/>
  <c r="M71" i="1"/>
  <c r="K40" i="146"/>
  <c r="M97" i="1"/>
  <c r="F28" i="145"/>
  <c r="F27" s="1"/>
  <c r="E155" i="182"/>
  <c r="E156" s="1"/>
  <c r="E163" s="1"/>
  <c r="E30" s="1"/>
  <c r="I11" i="29"/>
  <c r="D185" i="182"/>
  <c r="F185" s="1"/>
  <c r="I185" s="1"/>
  <c r="J185" s="1"/>
  <c r="J186" s="1"/>
  <c r="F180" i="60"/>
  <c r="F181" s="1"/>
  <c r="F185" s="1"/>
  <c r="F10" i="201"/>
  <c r="G10" s="1"/>
  <c r="B16" i="40"/>
  <c r="B17" s="1"/>
  <c r="B18" s="1"/>
  <c r="D30" i="182"/>
  <c r="F25" i="145"/>
  <c r="G41" i="79"/>
  <c r="H41" s="1"/>
  <c r="J31" i="25"/>
  <c r="F10" i="40"/>
  <c r="E14"/>
  <c r="E23" s="1"/>
  <c r="E26" s="1"/>
  <c r="E196" i="60"/>
  <c r="L71" i="1"/>
  <c r="K30" i="25"/>
  <c r="E75" i="134"/>
  <c r="H28" i="79"/>
  <c r="E10" i="145" l="1"/>
  <c r="E12" s="1"/>
  <c r="E15" s="1"/>
  <c r="E16" s="1"/>
  <c r="F21" i="201" s="1"/>
  <c r="G21" s="1"/>
  <c r="F14" i="40"/>
  <c r="F14" i="201"/>
  <c r="G14" s="1"/>
  <c r="F196" i="60"/>
  <c r="G10" i="40"/>
  <c r="Q10" s="1"/>
  <c r="E28"/>
  <c r="E30" s="1"/>
  <c r="G14" l="1"/>
  <c r="E17" i="145"/>
  <c r="G21" i="40"/>
  <c r="Q21" s="1"/>
  <c r="E35"/>
  <c r="E39" s="1"/>
  <c r="B18" i="44"/>
  <c r="B19" s="1"/>
  <c r="B20" s="1"/>
  <c r="B21" s="1"/>
  <c r="B22" s="1"/>
  <c r="A16" i="73"/>
  <c r="A17" s="1"/>
  <c r="A18" s="1"/>
  <c r="A19" s="1"/>
  <c r="A20" s="1"/>
  <c r="A21" s="1"/>
  <c r="A22" s="1"/>
  <c r="Q14" i="40" l="1"/>
  <c r="A23" i="73"/>
  <c r="A31"/>
  <c r="B12" i="116"/>
  <c r="B13" s="1"/>
  <c r="B16" s="1"/>
  <c r="B17" s="1"/>
  <c r="B18" s="1"/>
  <c r="B27" i="145"/>
  <c r="B28" s="1"/>
  <c r="A24" i="73" l="1"/>
  <c r="A25" s="1"/>
  <c r="A26" s="1"/>
  <c r="A27" s="1"/>
  <c r="A28" s="1"/>
  <c r="A29" s="1"/>
  <c r="A30" s="1"/>
  <c r="A32"/>
  <c r="F56" i="60"/>
  <c r="F57"/>
  <c r="F71"/>
  <c r="F73"/>
  <c r="B87"/>
  <c r="B88" s="1"/>
  <c r="B56"/>
  <c r="B57" s="1"/>
  <c r="B58" s="1"/>
  <c r="B59" s="1"/>
  <c r="B60" s="1"/>
  <c r="B61" s="1"/>
  <c r="B62" s="1"/>
  <c r="B63" s="1"/>
  <c r="B64" s="1"/>
  <c r="B65" s="1"/>
  <c r="B66" s="1"/>
  <c r="B67" s="1"/>
  <c r="B68" s="1"/>
  <c r="B69" s="1"/>
  <c r="B70" s="1"/>
  <c r="B71" s="1"/>
  <c r="B72" s="1"/>
  <c r="B73" s="1"/>
  <c r="B74" s="1"/>
  <c r="B75" s="1"/>
  <c r="B76" s="1"/>
  <c r="F75" l="1"/>
  <c r="A21" i="25"/>
  <c r="A22" s="1"/>
  <c r="A23" s="1"/>
  <c r="A24" s="1"/>
  <c r="A25" s="1"/>
  <c r="A26" s="1"/>
  <c r="A27" s="1"/>
  <c r="A28" s="1"/>
  <c r="L30" i="95"/>
  <c r="M30" s="1"/>
  <c r="M33" s="1"/>
  <c r="M44" s="1"/>
  <c r="M48" s="1"/>
  <c r="K33"/>
  <c r="K44" s="1"/>
  <c r="K48" s="1"/>
  <c r="J33"/>
  <c r="J44" s="1"/>
  <c r="J48" s="1"/>
  <c r="I33"/>
  <c r="I44" s="1"/>
  <c r="I48" s="1"/>
  <c r="M47"/>
  <c r="H33"/>
  <c r="G33"/>
  <c r="F33"/>
  <c r="D33"/>
  <c r="D37" s="1"/>
  <c r="D44" s="1"/>
  <c r="A29" i="25" l="1"/>
  <c r="A30" s="1"/>
  <c r="A31" s="1"/>
  <c r="F76" i="60"/>
  <c r="G50" i="79"/>
  <c r="H50" s="1"/>
  <c r="L33" i="95"/>
  <c r="L44" s="1"/>
  <c r="L48" s="1"/>
  <c r="B19" i="40"/>
  <c r="B20" s="1"/>
  <c r="B21" s="1"/>
  <c r="S25" i="96"/>
  <c r="S26"/>
  <c r="H14" i="36" s="1"/>
  <c r="S28" i="96"/>
  <c r="H16" i="36" s="1"/>
  <c r="H110" s="1"/>
  <c r="L20" i="96"/>
  <c r="M20" s="1"/>
  <c r="R20"/>
  <c r="R47" s="1"/>
  <c r="AD27"/>
  <c r="L15" i="36" s="1"/>
  <c r="E75" s="1"/>
  <c r="F75" s="1"/>
  <c r="AD17" i="96"/>
  <c r="L19" i="36" s="1"/>
  <c r="E79" s="1"/>
  <c r="F79" s="1"/>
  <c r="J113"/>
  <c r="B107"/>
  <c r="B108" s="1"/>
  <c r="B109" s="1"/>
  <c r="J109"/>
  <c r="O109"/>
  <c r="M109"/>
  <c r="L109"/>
  <c r="L34" i="75"/>
  <c r="L37" s="1"/>
  <c r="L48" s="1"/>
  <c r="L52" s="1"/>
  <c r="K37"/>
  <c r="K48" s="1"/>
  <c r="K52" s="1"/>
  <c r="J37"/>
  <c r="J48" s="1"/>
  <c r="J52" s="1"/>
  <c r="I37"/>
  <c r="I48" s="1"/>
  <c r="I52" s="1"/>
  <c r="M51"/>
  <c r="D48"/>
  <c r="H37"/>
  <c r="G37"/>
  <c r="U7" i="90"/>
  <c r="V7" s="1"/>
  <c r="U9"/>
  <c r="V9" s="1"/>
  <c r="U11"/>
  <c r="V11" s="1"/>
  <c r="U13"/>
  <c r="V13" s="1"/>
  <c r="U15"/>
  <c r="R15" s="1"/>
  <c r="U18"/>
  <c r="V18" s="1"/>
  <c r="U20"/>
  <c r="S20" s="1"/>
  <c r="U22"/>
  <c r="S22" s="1"/>
  <c r="U27"/>
  <c r="S27" s="1"/>
  <c r="U31"/>
  <c r="V31" s="1"/>
  <c r="U32"/>
  <c r="S32" s="1"/>
  <c r="U34"/>
  <c r="S34" s="1"/>
  <c r="U36"/>
  <c r="S36" s="1"/>
  <c r="U49"/>
  <c r="V49" s="1"/>
  <c r="U50"/>
  <c r="S50" s="1"/>
  <c r="U51"/>
  <c r="S51" s="1"/>
  <c r="U53"/>
  <c r="S53" s="1"/>
  <c r="U61"/>
  <c r="S61" s="1"/>
  <c r="U63"/>
  <c r="S63" s="1"/>
  <c r="U65"/>
  <c r="S65" s="1"/>
  <c r="S7"/>
  <c r="S9"/>
  <c r="S11"/>
  <c r="S13"/>
  <c r="Q43"/>
  <c r="Q66" s="1"/>
  <c r="Q75" s="1"/>
  <c r="O75"/>
  <c r="N75"/>
  <c r="M75"/>
  <c r="K75"/>
  <c r="T43"/>
  <c r="T66" s="1"/>
  <c r="S43" i="87"/>
  <c r="S44" s="1"/>
  <c r="X44" s="1"/>
  <c r="R43"/>
  <c r="W43" s="1"/>
  <c r="T43"/>
  <c r="Y43" s="1"/>
  <c r="P43" i="90"/>
  <c r="P66" s="1"/>
  <c r="L43"/>
  <c r="L66" s="1"/>
  <c r="S39" i="96"/>
  <c r="AD39" s="1"/>
  <c r="AG39" s="1"/>
  <c r="AD38"/>
  <c r="AG38" s="1"/>
  <c r="M42"/>
  <c r="S42" s="1"/>
  <c r="K47"/>
  <c r="AE47"/>
  <c r="AF20"/>
  <c r="L47" l="1"/>
  <c r="W28"/>
  <c r="AG17"/>
  <c r="AD28"/>
  <c r="L16" i="36" s="1"/>
  <c r="K110" s="1"/>
  <c r="H13"/>
  <c r="H107" s="1"/>
  <c r="V65" i="90"/>
  <c r="V51"/>
  <c r="V22"/>
  <c r="V34"/>
  <c r="O108" i="36"/>
  <c r="M108" s="1"/>
  <c r="B110"/>
  <c r="B111" s="1"/>
  <c r="B112" s="1"/>
  <c r="AG27" i="96"/>
  <c r="R31" i="90"/>
  <c r="R37" s="1"/>
  <c r="R43" s="1"/>
  <c r="R66" s="1"/>
  <c r="R75" s="1"/>
  <c r="S18"/>
  <c r="S49"/>
  <c r="O110" i="36"/>
  <c r="M110" s="1"/>
  <c r="L110" s="1"/>
  <c r="V50" i="90"/>
  <c r="V20"/>
  <c r="V63"/>
  <c r="V32"/>
  <c r="J118" i="36"/>
  <c r="V53" i="90"/>
  <c r="V36"/>
  <c r="V27"/>
  <c r="V15"/>
  <c r="S31"/>
  <c r="V61"/>
  <c r="W25" i="96"/>
  <c r="X43" i="87"/>
  <c r="AD25" i="96"/>
  <c r="L13" i="36" s="1"/>
  <c r="W26" i="96"/>
  <c r="AD26"/>
  <c r="T44" i="87"/>
  <c r="Y44" s="1"/>
  <c r="W39" i="96"/>
  <c r="U37" i="90"/>
  <c r="U43" s="1"/>
  <c r="U66" s="1"/>
  <c r="U75" s="1"/>
  <c r="M34" i="75"/>
  <c r="M37" s="1"/>
  <c r="M48" s="1"/>
  <c r="M52" s="1"/>
  <c r="H108" i="36"/>
  <c r="O20" i="96"/>
  <c r="S20"/>
  <c r="S21" s="1"/>
  <c r="AD42"/>
  <c r="AG42" s="1"/>
  <c r="W42"/>
  <c r="O42"/>
  <c r="K113" i="36"/>
  <c r="R44" i="87"/>
  <c r="W44" s="1"/>
  <c r="K109" i="36"/>
  <c r="B22" i="40"/>
  <c r="B23" s="1"/>
  <c r="E76" i="36" l="1"/>
  <c r="F76" s="1"/>
  <c r="AG28" i="96"/>
  <c r="E73" i="36"/>
  <c r="F73" s="1"/>
  <c r="K107"/>
  <c r="S37" i="90"/>
  <c r="S43" s="1"/>
  <c r="S66" s="1"/>
  <c r="S75" s="1"/>
  <c r="AG25" i="96"/>
  <c r="V37" i="90"/>
  <c r="V43" s="1"/>
  <c r="V66" s="1"/>
  <c r="O111" i="36"/>
  <c r="M111" s="1"/>
  <c r="B113"/>
  <c r="B24" i="40"/>
  <c r="B25" s="1"/>
  <c r="B26" s="1"/>
  <c r="B27" s="1"/>
  <c r="B28" s="1"/>
  <c r="B29" s="1"/>
  <c r="B30" s="1"/>
  <c r="B31" s="1"/>
  <c r="B32" s="1"/>
  <c r="B33" s="1"/>
  <c r="L14" i="36"/>
  <c r="AG26" i="96"/>
  <c r="AD20"/>
  <c r="T20"/>
  <c r="T34" s="1"/>
  <c r="E43" i="79" s="1"/>
  <c r="W20" i="96"/>
  <c r="L111" i="36" l="1"/>
  <c r="B34" i="40"/>
  <c r="B35" s="1"/>
  <c r="B36" s="1"/>
  <c r="B37" s="1"/>
  <c r="B38" s="1"/>
  <c r="B39" s="1"/>
  <c r="K108" i="36"/>
  <c r="E74"/>
  <c r="F74" s="1"/>
  <c r="AG20" i="96"/>
  <c r="C5" i="154"/>
  <c r="E5" s="1"/>
  <c r="Q52" i="162"/>
  <c r="J21" i="137" l="1"/>
  <c r="G72" i="1" s="1"/>
  <c r="L21" i="137"/>
  <c r="I72" i="1" s="1"/>
  <c r="M21" i="137"/>
  <c r="J72" i="1" s="1"/>
  <c r="J33" i="137"/>
  <c r="G76" i="1" s="1"/>
  <c r="L33" i="137"/>
  <c r="I76" i="1" s="1"/>
  <c r="M33" i="137"/>
  <c r="J76" i="1" s="1"/>
  <c r="L38" i="137"/>
  <c r="I78" i="1" s="1"/>
  <c r="M38" i="137"/>
  <c r="J78" i="1" s="1"/>
  <c r="L42" i="137"/>
  <c r="I79" i="1" s="1"/>
  <c r="M42" i="137"/>
  <c r="J79" i="1" s="1"/>
  <c r="J51" i="137"/>
  <c r="G80" i="1" s="1"/>
  <c r="L51" i="137"/>
  <c r="I80" i="1" s="1"/>
  <c r="M51" i="137"/>
  <c r="J80" i="1" s="1"/>
  <c r="L56" i="137"/>
  <c r="I82" i="1" s="1"/>
  <c r="M56" i="137"/>
  <c r="J82" i="1" s="1"/>
  <c r="L60" i="137"/>
  <c r="I83" i="1" s="1"/>
  <c r="M60" i="137"/>
  <c r="J83" i="1" s="1"/>
  <c r="L64" i="137"/>
  <c r="I84" i="1" s="1"/>
  <c r="M64" i="137"/>
  <c r="J84" i="1" s="1"/>
  <c r="L68" i="137"/>
  <c r="I85" i="1" s="1"/>
  <c r="M68" i="137"/>
  <c r="J85" i="1" s="1"/>
  <c r="L72" i="137"/>
  <c r="I86" i="1" s="1"/>
  <c r="M72" i="137"/>
  <c r="J86" i="1" s="1"/>
  <c r="L76" i="137"/>
  <c r="I87" i="1" s="1"/>
  <c r="M76" i="137"/>
  <c r="J87" i="1" s="1"/>
  <c r="L80" i="137"/>
  <c r="I88" i="1" s="1"/>
  <c r="M80" i="137"/>
  <c r="L84"/>
  <c r="I89" i="1" s="1"/>
  <c r="M84" i="137"/>
  <c r="J89" i="1" s="1"/>
  <c r="L87" i="137"/>
  <c r="I90" i="1" s="1"/>
  <c r="M87" i="137"/>
  <c r="J90" i="1" s="1"/>
  <c r="L90" i="137"/>
  <c r="I91" i="1" s="1"/>
  <c r="M90" i="137"/>
  <c r="J91" i="1" s="1"/>
  <c r="L94" i="137"/>
  <c r="I92" i="1" s="1"/>
  <c r="M94" i="137"/>
  <c r="J92" i="1" s="1"/>
  <c r="L98" i="137"/>
  <c r="I93" i="1" s="1"/>
  <c r="M98" i="137"/>
  <c r="J93" i="1" s="1"/>
  <c r="L102" i="137"/>
  <c r="I94" i="1" s="1"/>
  <c r="M102" i="137"/>
  <c r="J94" i="1" s="1"/>
  <c r="L106" i="137"/>
  <c r="I95" i="1" s="1"/>
  <c r="M106" i="137"/>
  <c r="J95" i="1" s="1"/>
  <c r="L109" i="137"/>
  <c r="I96" i="1" s="1"/>
  <c r="M109" i="137"/>
  <c r="I21"/>
  <c r="F72" i="1" s="1"/>
  <c r="I33" i="137"/>
  <c r="F76" i="1" s="1"/>
  <c r="J11" i="146" s="1"/>
  <c r="I51" i="137"/>
  <c r="F80" i="1" s="1"/>
  <c r="Q155" i="137"/>
  <c r="R155"/>
  <c r="S155"/>
  <c r="T155"/>
  <c r="U155"/>
  <c r="V155"/>
  <c r="W155"/>
  <c r="X155"/>
  <c r="Y155"/>
  <c r="Z155"/>
  <c r="AA155"/>
  <c r="AB155"/>
  <c r="AC153"/>
  <c r="AB153"/>
  <c r="AA153"/>
  <c r="Z153"/>
  <c r="Y153"/>
  <c r="X153"/>
  <c r="W153"/>
  <c r="V153"/>
  <c r="U153"/>
  <c r="T153"/>
  <c r="S153"/>
  <c r="R153"/>
  <c r="Q153"/>
  <c r="N33" l="1"/>
  <c r="O33" s="1"/>
  <c r="N60"/>
  <c r="O60" s="1"/>
  <c r="N87"/>
  <c r="O87" s="1"/>
  <c r="N42"/>
  <c r="O42" s="1"/>
  <c r="N68"/>
  <c r="O68" s="1"/>
  <c r="N106"/>
  <c r="O106" s="1"/>
  <c r="K85" i="1"/>
  <c r="K78"/>
  <c r="N109" i="137"/>
  <c r="O109" s="1"/>
  <c r="K82" i="1"/>
  <c r="M111" i="137"/>
  <c r="J111"/>
  <c r="AC155"/>
  <c r="N38"/>
  <c r="O38" s="1"/>
  <c r="N56"/>
  <c r="O56" s="1"/>
  <c r="N64"/>
  <c r="O64" s="1"/>
  <c r="N72"/>
  <c r="O72" s="1"/>
  <c r="N102"/>
  <c r="O102" s="1"/>
  <c r="I111"/>
  <c r="J96" i="1"/>
  <c r="K96" s="1"/>
  <c r="K94"/>
  <c r="N80" i="137"/>
  <c r="O80" s="1"/>
  <c r="K84" i="1"/>
  <c r="K76"/>
  <c r="J7" i="146"/>
  <c r="N76" i="137"/>
  <c r="O76" s="1"/>
  <c r="N90"/>
  <c r="O90" s="1"/>
  <c r="K92" i="1"/>
  <c r="K91"/>
  <c r="N21" i="137"/>
  <c r="O21" s="1"/>
  <c r="N51"/>
  <c r="O51" s="1"/>
  <c r="N84"/>
  <c r="O84" s="1"/>
  <c r="N98"/>
  <c r="O98" s="1"/>
  <c r="K90" i="1"/>
  <c r="J88"/>
  <c r="K88" s="1"/>
  <c r="M88" s="1"/>
  <c r="K87"/>
  <c r="L111" i="137"/>
  <c r="N94"/>
  <c r="O94" s="1"/>
  <c r="K95" i="1"/>
  <c r="K83"/>
  <c r="K93"/>
  <c r="M93" s="1"/>
  <c r="K89"/>
  <c r="M89" s="1"/>
  <c r="K72"/>
  <c r="M72" s="1"/>
  <c r="G98"/>
  <c r="K80"/>
  <c r="M80" s="1"/>
  <c r="J19" i="146"/>
  <c r="F98" i="1"/>
  <c r="I98"/>
  <c r="K86"/>
  <c r="M86" s="1"/>
  <c r="K79"/>
  <c r="M79" s="1"/>
  <c r="L91" l="1"/>
  <c r="M91"/>
  <c r="K37" i="146"/>
  <c r="M94" i="1"/>
  <c r="K33" i="146"/>
  <c r="M90" i="1"/>
  <c r="L82"/>
  <c r="M82"/>
  <c r="K38" i="146"/>
  <c r="M95" i="1"/>
  <c r="L84"/>
  <c r="M84"/>
  <c r="K28" i="146"/>
  <c r="M85" i="1"/>
  <c r="K26" i="146"/>
  <c r="M83" i="1"/>
  <c r="L87"/>
  <c r="M87"/>
  <c r="L92"/>
  <c r="M92"/>
  <c r="L76"/>
  <c r="M76"/>
  <c r="K39" i="146"/>
  <c r="M96" i="1"/>
  <c r="K17" i="146"/>
  <c r="M78" i="1"/>
  <c r="H34" i="192"/>
  <c r="H41" s="1"/>
  <c r="I49" i="201"/>
  <c r="J49" s="1"/>
  <c r="J50" s="1"/>
  <c r="K27" i="146"/>
  <c r="L85" i="1"/>
  <c r="K25" i="146"/>
  <c r="K34"/>
  <c r="L90" i="1"/>
  <c r="L78"/>
  <c r="K35" i="146"/>
  <c r="L83" i="1"/>
  <c r="K11" i="146"/>
  <c r="K30"/>
  <c r="L94" i="1"/>
  <c r="L88"/>
  <c r="K31" i="146"/>
  <c r="J98" i="1"/>
  <c r="L95"/>
  <c r="N111" i="137"/>
  <c r="L96" i="1"/>
  <c r="L80"/>
  <c r="K19" i="146"/>
  <c r="K29"/>
  <c r="L86" i="1"/>
  <c r="K36" i="146"/>
  <c r="L93" i="1"/>
  <c r="L79"/>
  <c r="K18" i="146"/>
  <c r="K98" i="1"/>
  <c r="L72"/>
  <c r="K7" i="146"/>
  <c r="K32"/>
  <c r="L89" i="1"/>
  <c r="H24" i="145"/>
  <c r="F11" s="1"/>
  <c r="K8" i="29"/>
  <c r="J41" i="146"/>
  <c r="J47" s="1"/>
  <c r="F71" i="134"/>
  <c r="I16" i="112" s="1"/>
  <c r="I21" s="1"/>
  <c r="I24" s="1"/>
  <c r="K105" i="1" l="1"/>
  <c r="M98"/>
  <c r="K9" i="29"/>
  <c r="K15"/>
  <c r="N117" i="137"/>
  <c r="F13" i="145" s="1"/>
  <c r="F14" s="1"/>
  <c r="N133" i="137"/>
  <c r="O111"/>
  <c r="I26" i="112"/>
  <c r="R11"/>
  <c r="L98" i="1"/>
  <c r="K41" i="146"/>
  <c r="K47" s="1"/>
  <c r="I36" i="40" l="1"/>
  <c r="M105" i="1"/>
  <c r="I36" i="201"/>
  <c r="J36" s="1"/>
  <c r="N123" i="137"/>
  <c r="N130"/>
  <c r="N131" s="1"/>
  <c r="C32" i="154"/>
  <c r="C34" s="1"/>
  <c r="E34" s="1"/>
  <c r="K108" i="1"/>
  <c r="M108" s="1"/>
  <c r="G56" i="158"/>
  <c r="H56" s="1"/>
  <c r="I28" i="112"/>
  <c r="J15" i="47"/>
  <c r="J11" i="40" l="1"/>
  <c r="R11" s="1"/>
  <c r="J11" i="201"/>
  <c r="J17" i="47"/>
  <c r="J36" i="40" l="1"/>
  <c r="H173" i="60"/>
  <c r="H181" s="1"/>
  <c r="H185" s="1"/>
  <c r="J43" i="40" l="1"/>
  <c r="J45" s="1"/>
  <c r="H196" i="60"/>
  <c r="I14" i="201"/>
  <c r="J14" s="1"/>
  <c r="I14" i="40"/>
  <c r="B12" i="138"/>
  <c r="B13" s="1"/>
  <c r="B14" s="1"/>
  <c r="B15" s="1"/>
  <c r="B16" s="1"/>
  <c r="B17" s="1"/>
  <c r="B18" s="1"/>
  <c r="B19" s="1"/>
  <c r="B21" s="1"/>
  <c r="B22" s="1"/>
  <c r="B24" s="1"/>
  <c r="J14" i="40" l="1"/>
  <c r="U15"/>
  <c r="A14" i="70"/>
  <c r="A16" s="1"/>
  <c r="R14" i="40" l="1"/>
  <c r="U16"/>
  <c r="U17" s="1"/>
  <c r="U18" s="1"/>
  <c r="F34" i="180"/>
  <c r="M34" s="1"/>
  <c r="O34" s="1"/>
  <c r="F35" i="181"/>
  <c r="M35" s="1"/>
  <c r="F34"/>
  <c r="M34" s="1"/>
  <c r="O34" s="1"/>
  <c r="F35" i="180"/>
  <c r="M35" s="1"/>
  <c r="F18"/>
  <c r="M18" s="1"/>
  <c r="O18" s="1"/>
  <c r="G23" i="178" l="1"/>
  <c r="K19" i="180" s="1"/>
  <c r="G39" i="178"/>
  <c r="K35" i="180" s="1"/>
  <c r="L35" s="1"/>
  <c r="G27" i="178"/>
  <c r="K22" i="180" s="1"/>
  <c r="G22" i="178"/>
  <c r="G38"/>
  <c r="K34" i="180" s="1"/>
  <c r="F19"/>
  <c r="M19" s="1"/>
  <c r="O19" s="1"/>
  <c r="F22" i="181"/>
  <c r="F22" i="180"/>
  <c r="M22" s="1"/>
  <c r="O22" s="1"/>
  <c r="K18" l="1"/>
  <c r="G24" i="178"/>
  <c r="M22" i="181"/>
  <c r="O22" s="1"/>
  <c r="F18"/>
  <c r="F19"/>
  <c r="M19" l="1"/>
  <c r="O19" s="1"/>
  <c r="M18"/>
  <c r="O18" s="1"/>
  <c r="C6" i="179"/>
  <c r="G6"/>
  <c r="S6" s="1"/>
  <c r="D7"/>
  <c r="D8"/>
  <c r="D9"/>
  <c r="D10"/>
  <c r="D11"/>
  <c r="D12"/>
  <c r="D13"/>
  <c r="D14"/>
  <c r="D15"/>
  <c r="D16"/>
  <c r="D17"/>
  <c r="D18"/>
  <c r="D21"/>
  <c r="D22"/>
  <c r="D23"/>
  <c r="D24"/>
  <c r="F6"/>
  <c r="C7"/>
  <c r="G7"/>
  <c r="S7" s="1"/>
  <c r="C8"/>
  <c r="G8"/>
  <c r="C9"/>
  <c r="G9"/>
  <c r="S9" s="1"/>
  <c r="C10"/>
  <c r="G10"/>
  <c r="S10" s="1"/>
  <c r="C11"/>
  <c r="G11"/>
  <c r="S11" s="1"/>
  <c r="C12"/>
  <c r="G12"/>
  <c r="C13"/>
  <c r="G13"/>
  <c r="S13" s="1"/>
  <c r="C14"/>
  <c r="G14"/>
  <c r="S14" s="1"/>
  <c r="C15"/>
  <c r="G15"/>
  <c r="S15" s="1"/>
  <c r="C16"/>
  <c r="G16"/>
  <c r="C17"/>
  <c r="G17"/>
  <c r="S17" s="1"/>
  <c r="C18"/>
  <c r="G18"/>
  <c r="S18" s="1"/>
  <c r="C21"/>
  <c r="G21"/>
  <c r="S21" s="1"/>
  <c r="C22"/>
  <c r="G22"/>
  <c r="C23"/>
  <c r="G23"/>
  <c r="S23" s="1"/>
  <c r="C24"/>
  <c r="G24"/>
  <c r="E6"/>
  <c r="F7"/>
  <c r="V7" s="1"/>
  <c r="W7" s="1"/>
  <c r="F8"/>
  <c r="F9"/>
  <c r="F10"/>
  <c r="F11"/>
  <c r="V11" s="1"/>
  <c r="W11" s="1"/>
  <c r="F12"/>
  <c r="F13"/>
  <c r="F14"/>
  <c r="F15"/>
  <c r="V15" s="1"/>
  <c r="W15" s="1"/>
  <c r="F16"/>
  <c r="F17"/>
  <c r="F18"/>
  <c r="F21"/>
  <c r="F22"/>
  <c r="F23"/>
  <c r="F24"/>
  <c r="D6"/>
  <c r="E7"/>
  <c r="E8"/>
  <c r="E9"/>
  <c r="E10"/>
  <c r="E11"/>
  <c r="E12"/>
  <c r="E13"/>
  <c r="E14"/>
  <c r="E15"/>
  <c r="E16"/>
  <c r="E17"/>
  <c r="E18"/>
  <c r="E21"/>
  <c r="E22"/>
  <c r="E23"/>
  <c r="E24"/>
  <c r="V6" l="1"/>
  <c r="W6" s="1"/>
  <c r="S16"/>
  <c r="G32"/>
  <c r="S32" s="1"/>
  <c r="F32"/>
  <c r="S12"/>
  <c r="V12" s="1"/>
  <c r="W12" s="1"/>
  <c r="G31"/>
  <c r="S31" s="1"/>
  <c r="V23"/>
  <c r="W23" s="1"/>
  <c r="V17"/>
  <c r="W17" s="1"/>
  <c r="V13"/>
  <c r="W13" s="1"/>
  <c r="F31"/>
  <c r="V14"/>
  <c r="W14" s="1"/>
  <c r="G30"/>
  <c r="S30" s="1"/>
  <c r="S22"/>
  <c r="G28"/>
  <c r="S28" s="1"/>
  <c r="S8"/>
  <c r="V8" s="1"/>
  <c r="W8" s="1"/>
  <c r="V18"/>
  <c r="W18" s="1"/>
  <c r="V10"/>
  <c r="W10" s="1"/>
  <c r="V16"/>
  <c r="W16" s="1"/>
  <c r="G29"/>
  <c r="S29" s="1"/>
  <c r="V22"/>
  <c r="W22" s="1"/>
  <c r="F30"/>
  <c r="V9"/>
  <c r="W9" s="1"/>
  <c r="F29"/>
  <c r="F28"/>
  <c r="F27"/>
  <c r="V21"/>
  <c r="W21" s="1"/>
  <c r="G27"/>
  <c r="S27" s="1"/>
  <c r="D27"/>
  <c r="E27"/>
  <c r="C27"/>
  <c r="F13" i="180" l="1"/>
  <c r="M13" s="1"/>
  <c r="O13" s="1"/>
  <c r="F10"/>
  <c r="M10" s="1"/>
  <c r="O10" s="1"/>
  <c r="F11"/>
  <c r="M11" s="1"/>
  <c r="O11" s="1"/>
  <c r="F12"/>
  <c r="M12" s="1"/>
  <c r="O12" s="1"/>
  <c r="F33" i="181" l="1"/>
  <c r="M33" s="1"/>
  <c r="F27"/>
  <c r="F26"/>
  <c r="F20"/>
  <c r="M20" s="1"/>
  <c r="F27" i="180"/>
  <c r="M27" s="1"/>
  <c r="O27" s="1"/>
  <c r="F26"/>
  <c r="M26" s="1"/>
  <c r="O26" s="1"/>
  <c r="F23"/>
  <c r="M23" s="1"/>
  <c r="F17"/>
  <c r="M17" s="1"/>
  <c r="F10" i="181"/>
  <c r="F28" i="180"/>
  <c r="M28" s="1"/>
  <c r="F16"/>
  <c r="M16" s="1"/>
  <c r="E37" i="205"/>
  <c r="G36" i="178"/>
  <c r="K32" i="180" s="1"/>
  <c r="L32" s="1"/>
  <c r="G35" i="178"/>
  <c r="K31" i="180" s="1"/>
  <c r="L31" s="1"/>
  <c r="G25" i="178"/>
  <c r="K20" i="180" s="1"/>
  <c r="L20" s="1"/>
  <c r="G31" i="178"/>
  <c r="K26" i="180" s="1"/>
  <c r="F32" i="181"/>
  <c r="M32" s="1"/>
  <c r="G13" i="178"/>
  <c r="K11" i="180" s="1"/>
  <c r="D36"/>
  <c r="F31"/>
  <c r="M31" s="1"/>
  <c r="G12" i="178"/>
  <c r="G15"/>
  <c r="K13" i="180" s="1"/>
  <c r="G37" i="178"/>
  <c r="K33" i="180" s="1"/>
  <c r="L33" s="1"/>
  <c r="F32"/>
  <c r="M32" s="1"/>
  <c r="F25"/>
  <c r="M25" s="1"/>
  <c r="O25" s="1"/>
  <c r="E36"/>
  <c r="F33"/>
  <c r="M33" s="1"/>
  <c r="F20"/>
  <c r="M20" s="1"/>
  <c r="K10" l="1"/>
  <c r="U10" s="1"/>
  <c r="M10" i="181"/>
  <c r="O10" s="1"/>
  <c r="M27"/>
  <c r="O27" s="1"/>
  <c r="M26"/>
  <c r="O26" s="1"/>
  <c r="F11"/>
  <c r="F21"/>
  <c r="M21" s="1"/>
  <c r="F21" i="180"/>
  <c r="M21" s="1"/>
  <c r="U26"/>
  <c r="F31" i="181"/>
  <c r="M31" s="1"/>
  <c r="F12"/>
  <c r="F13"/>
  <c r="F14"/>
  <c r="U22" i="180"/>
  <c r="E29"/>
  <c r="E37" s="1"/>
  <c r="U32"/>
  <c r="U34"/>
  <c r="F15" i="181"/>
  <c r="G32" i="178"/>
  <c r="K27" i="180" s="1"/>
  <c r="G17" i="178"/>
  <c r="D36" i="181"/>
  <c r="F36" s="1"/>
  <c r="F14" i="180"/>
  <c r="M14" s="1"/>
  <c r="O14" s="1"/>
  <c r="F15"/>
  <c r="M15" s="1"/>
  <c r="O15" s="1"/>
  <c r="U33"/>
  <c r="U35"/>
  <c r="G14" i="178"/>
  <c r="K12" i="180" s="1"/>
  <c r="U12" s="1"/>
  <c r="G26" i="178"/>
  <c r="K21" i="180" s="1"/>
  <c r="F9"/>
  <c r="M9" s="1"/>
  <c r="G33" i="178"/>
  <c r="K28" i="180" s="1"/>
  <c r="U13"/>
  <c r="U31"/>
  <c r="U18"/>
  <c r="F25" i="181"/>
  <c r="G20" i="178"/>
  <c r="K16" i="180" s="1"/>
  <c r="L16" s="1"/>
  <c r="U11"/>
  <c r="U20"/>
  <c r="U19"/>
  <c r="F16" i="181"/>
  <c r="M16" s="1"/>
  <c r="F36" i="180"/>
  <c r="F28" i="181"/>
  <c r="M28" s="1"/>
  <c r="D37" i="205" l="1"/>
  <c r="G16" i="178"/>
  <c r="K14" i="180"/>
  <c r="U14" s="1"/>
  <c r="G21" i="178"/>
  <c r="K17" i="180" s="1"/>
  <c r="R17" s="1"/>
  <c r="M14" i="181"/>
  <c r="O14" s="1"/>
  <c r="M13"/>
  <c r="O13" s="1"/>
  <c r="M25"/>
  <c r="O25" s="1"/>
  <c r="U28" i="180"/>
  <c r="L28"/>
  <c r="N28" s="1"/>
  <c r="O28" s="1"/>
  <c r="M15" i="181"/>
  <c r="O15" s="1"/>
  <c r="M11"/>
  <c r="O11" s="1"/>
  <c r="U21" i="180"/>
  <c r="L21"/>
  <c r="N21" s="1"/>
  <c r="O21" s="1"/>
  <c r="M12" i="181"/>
  <c r="O12" s="1"/>
  <c r="O9" i="180"/>
  <c r="F24"/>
  <c r="M24" s="1"/>
  <c r="O24" s="1"/>
  <c r="F17" i="181"/>
  <c r="M17" s="1"/>
  <c r="D29" i="180"/>
  <c r="D37" s="1"/>
  <c r="P11"/>
  <c r="Q11" s="1"/>
  <c r="R11"/>
  <c r="G29" i="178"/>
  <c r="K24" i="180" s="1"/>
  <c r="U24" s="1"/>
  <c r="U27"/>
  <c r="P19"/>
  <c r="Q19" s="1"/>
  <c r="R19"/>
  <c r="P12"/>
  <c r="Q12" s="1"/>
  <c r="R12"/>
  <c r="G30" i="178"/>
  <c r="K25" i="180" s="1"/>
  <c r="G28" i="178"/>
  <c r="K23" i="180" s="1"/>
  <c r="K36"/>
  <c r="X36" s="1"/>
  <c r="N31"/>
  <c r="O31" s="1"/>
  <c r="R31"/>
  <c r="P31"/>
  <c r="P28"/>
  <c r="R28"/>
  <c r="P33"/>
  <c r="R33"/>
  <c r="N33"/>
  <c r="O33" s="1"/>
  <c r="R10"/>
  <c r="P10"/>
  <c r="Q10" s="1"/>
  <c r="G18" i="178"/>
  <c r="K15" i="180" s="1"/>
  <c r="F24" i="181"/>
  <c r="E29"/>
  <c r="E37" s="1"/>
  <c r="F23"/>
  <c r="M23" s="1"/>
  <c r="P20" i="180"/>
  <c r="N20"/>
  <c r="O20" s="1"/>
  <c r="R20"/>
  <c r="D29" i="181"/>
  <c r="F9"/>
  <c r="P18" i="180"/>
  <c r="Q18" s="1"/>
  <c r="R18"/>
  <c r="P13"/>
  <c r="Q13" s="1"/>
  <c r="R13"/>
  <c r="N35"/>
  <c r="O35" s="1"/>
  <c r="P35"/>
  <c r="R35"/>
  <c r="P26"/>
  <c r="Q26" s="1"/>
  <c r="R26"/>
  <c r="R34"/>
  <c r="P34"/>
  <c r="Q34" s="1"/>
  <c r="P32"/>
  <c r="N32"/>
  <c r="O32" s="1"/>
  <c r="R32"/>
  <c r="G11" i="178"/>
  <c r="R22" i="180"/>
  <c r="P22"/>
  <c r="Q22" s="1"/>
  <c r="U16"/>
  <c r="P21"/>
  <c r="R21"/>
  <c r="G19" i="178" l="1"/>
  <c r="G40" s="1"/>
  <c r="L44" i="40" s="1"/>
  <c r="L45" s="1"/>
  <c r="K9" i="180"/>
  <c r="U9" s="1"/>
  <c r="N89" i="179"/>
  <c r="N123" s="1"/>
  <c r="I30" i="178" s="1"/>
  <c r="O24" i="212" s="1"/>
  <c r="P24" s="1"/>
  <c r="S24" s="1"/>
  <c r="H24" s="1"/>
  <c r="I24" s="1"/>
  <c r="T25" i="181" s="1"/>
  <c r="U17" i="180"/>
  <c r="P17"/>
  <c r="L17"/>
  <c r="N17" s="1"/>
  <c r="O17" s="1"/>
  <c r="L133" i="179"/>
  <c r="M24" i="181"/>
  <c r="O24" s="1"/>
  <c r="M37" i="180"/>
  <c r="M9" i="181"/>
  <c r="O9" s="1"/>
  <c r="U23" i="180"/>
  <c r="L23"/>
  <c r="N23" s="1"/>
  <c r="O23" s="1"/>
  <c r="S26"/>
  <c r="V26" s="1"/>
  <c r="S13"/>
  <c r="V13" s="1"/>
  <c r="X13" s="1"/>
  <c r="D99" i="186" s="1"/>
  <c r="S19" i="180"/>
  <c r="V19" s="1"/>
  <c r="X19" s="1"/>
  <c r="D105" i="186" s="1"/>
  <c r="S11" i="180"/>
  <c r="V11" s="1"/>
  <c r="X11" s="1"/>
  <c r="D97" i="186" s="1"/>
  <c r="S22" i="180"/>
  <c r="V22" s="1"/>
  <c r="S34"/>
  <c r="V34" s="1"/>
  <c r="S10"/>
  <c r="V10" s="1"/>
  <c r="S18"/>
  <c r="V18" s="1"/>
  <c r="S12"/>
  <c r="V12" s="1"/>
  <c r="X12" s="1"/>
  <c r="D98" i="186" s="1"/>
  <c r="Q33" i="180"/>
  <c r="F29"/>
  <c r="F37" s="1"/>
  <c r="Q28"/>
  <c r="U15"/>
  <c r="U25"/>
  <c r="P23"/>
  <c r="R23"/>
  <c r="N16"/>
  <c r="P16"/>
  <c r="R16"/>
  <c r="P24"/>
  <c r="Q24" s="1"/>
  <c r="R24"/>
  <c r="D37" i="181"/>
  <c r="F29"/>
  <c r="F37" s="1"/>
  <c r="P27" i="180"/>
  <c r="Q27" s="1"/>
  <c r="R27"/>
  <c r="Q21"/>
  <c r="Q32"/>
  <c r="Q31"/>
  <c r="R14"/>
  <c r="P14"/>
  <c r="Q14" s="1"/>
  <c r="Q35"/>
  <c r="Q20"/>
  <c r="W22" l="1"/>
  <c r="D77" i="186" s="1"/>
  <c r="E77" s="1"/>
  <c r="X22" i="180"/>
  <c r="D108" i="186" s="1"/>
  <c r="W34" i="180"/>
  <c r="D88" i="186" s="1"/>
  <c r="E88" s="1"/>
  <c r="X34" i="180"/>
  <c r="D119" i="186" s="1"/>
  <c r="W10" i="180"/>
  <c r="D70" i="186" s="1"/>
  <c r="E70" s="1"/>
  <c r="X10" i="180"/>
  <c r="D96" i="186" s="1"/>
  <c r="X26" i="180"/>
  <c r="D112" i="186" s="1"/>
  <c r="W26" i="180"/>
  <c r="D81" i="186" s="1"/>
  <c r="E81" s="1"/>
  <c r="W18" i="180"/>
  <c r="D74" i="186" s="1"/>
  <c r="E74" s="1"/>
  <c r="X18" i="180"/>
  <c r="D104" i="186" s="1"/>
  <c r="R9" i="180"/>
  <c r="P9"/>
  <c r="Q9" s="1"/>
  <c r="Q17"/>
  <c r="S17" s="1"/>
  <c r="V17" s="1"/>
  <c r="K25" i="181"/>
  <c r="K25" i="205" s="1"/>
  <c r="L25" i="185"/>
  <c r="M37" i="181"/>
  <c r="N88" i="179"/>
  <c r="N122" s="1"/>
  <c r="I29" i="178" s="1"/>
  <c r="O23" i="212" s="1"/>
  <c r="P23" s="1"/>
  <c r="S23" s="1"/>
  <c r="H23" s="1"/>
  <c r="I23" s="1"/>
  <c r="T24" i="181" s="1"/>
  <c r="N93" i="179"/>
  <c r="N127" s="1"/>
  <c r="N87"/>
  <c r="N121" s="1"/>
  <c r="I28" i="178" s="1"/>
  <c r="O22" i="212" s="1"/>
  <c r="P22" s="1"/>
  <c r="S22" s="1"/>
  <c r="H22" s="1"/>
  <c r="I22" s="1"/>
  <c r="T23" i="181" s="1"/>
  <c r="N83" i="179"/>
  <c r="N117" s="1"/>
  <c r="I23" i="178" s="1"/>
  <c r="O18" i="212" s="1"/>
  <c r="P18" s="1"/>
  <c r="S18" s="1"/>
  <c r="H18" s="1"/>
  <c r="I18" s="1"/>
  <c r="T19" i="181" s="1"/>
  <c r="N98" i="179"/>
  <c r="N132" s="1"/>
  <c r="I39" i="178" s="1"/>
  <c r="O33" i="212" s="1"/>
  <c r="P33" s="1"/>
  <c r="S33" s="1"/>
  <c r="H34" s="1"/>
  <c r="I34" s="1"/>
  <c r="T35" i="181" s="1"/>
  <c r="N97" i="179"/>
  <c r="N131" s="1"/>
  <c r="I38" i="178" s="1"/>
  <c r="O32" i="212" s="1"/>
  <c r="P32" s="1"/>
  <c r="S32" s="1"/>
  <c r="H33" s="1"/>
  <c r="I33" s="1"/>
  <c r="T34" i="181" s="1"/>
  <c r="N82" i="179"/>
  <c r="N116" s="1"/>
  <c r="I22" i="178" s="1"/>
  <c r="O17" i="212" s="1"/>
  <c r="P17" s="1"/>
  <c r="S17" s="1"/>
  <c r="H17" s="1"/>
  <c r="I17" s="1"/>
  <c r="T18" i="181" s="1"/>
  <c r="N86" i="179"/>
  <c r="N120" s="1"/>
  <c r="I27" i="178" s="1"/>
  <c r="O21" i="212" s="1"/>
  <c r="P21" s="1"/>
  <c r="S21" s="1"/>
  <c r="H21" s="1"/>
  <c r="I21" s="1"/>
  <c r="T22" i="181" s="1"/>
  <c r="N74" i="179"/>
  <c r="N108" s="1"/>
  <c r="I12" i="178" s="1"/>
  <c r="O9" i="212" s="1"/>
  <c r="P9" s="1"/>
  <c r="S9" s="1"/>
  <c r="H9" s="1"/>
  <c r="I9" s="1"/>
  <c r="T10" i="181" s="1"/>
  <c r="N95" i="179"/>
  <c r="N129" s="1"/>
  <c r="I36" i="178" s="1"/>
  <c r="O30" i="212" s="1"/>
  <c r="P30" s="1"/>
  <c r="S30" s="1"/>
  <c r="H31" s="1"/>
  <c r="I31" s="1"/>
  <c r="T32" i="181" s="1"/>
  <c r="N94" i="179"/>
  <c r="N128" s="1"/>
  <c r="I35" i="178" s="1"/>
  <c r="O29" i="212" s="1"/>
  <c r="P29" s="1"/>
  <c r="S29" s="1"/>
  <c r="H30" s="1"/>
  <c r="I30" s="1"/>
  <c r="T31" i="181" s="1"/>
  <c r="N84" i="179"/>
  <c r="N118" s="1"/>
  <c r="I25" i="178" s="1"/>
  <c r="O19" i="212" s="1"/>
  <c r="P19" s="1"/>
  <c r="S19" s="1"/>
  <c r="H19" s="1"/>
  <c r="I19" s="1"/>
  <c r="T20" i="181" s="1"/>
  <c r="N96" i="179"/>
  <c r="N130" s="1"/>
  <c r="I37" i="178" s="1"/>
  <c r="O31" i="212" s="1"/>
  <c r="P31" s="1"/>
  <c r="S31" s="1"/>
  <c r="H32" s="1"/>
  <c r="I32" s="1"/>
  <c r="T33" i="181" s="1"/>
  <c r="N75" i="179"/>
  <c r="N109" s="1"/>
  <c r="I13" i="178" s="1"/>
  <c r="O10" i="212" s="1"/>
  <c r="P10" s="1"/>
  <c r="S10" s="1"/>
  <c r="H10" s="1"/>
  <c r="I10" s="1"/>
  <c r="T11" i="181" s="1"/>
  <c r="N77" i="179"/>
  <c r="N111" s="1"/>
  <c r="I15" i="178" s="1"/>
  <c r="O12" i="212" s="1"/>
  <c r="P12" s="1"/>
  <c r="S12" s="1"/>
  <c r="H12" s="1"/>
  <c r="I12" s="1"/>
  <c r="T13" i="181" s="1"/>
  <c r="N90" i="179"/>
  <c r="N124" s="1"/>
  <c r="I31" i="178" s="1"/>
  <c r="O25" i="212" s="1"/>
  <c r="P25" s="1"/>
  <c r="S25" s="1"/>
  <c r="H25" s="1"/>
  <c r="I25" s="1"/>
  <c r="T26" i="181" s="1"/>
  <c r="N92" i="179"/>
  <c r="N126" s="1"/>
  <c r="I33" i="178" s="1"/>
  <c r="O27" i="212" s="1"/>
  <c r="P27" s="1"/>
  <c r="S27" s="1"/>
  <c r="H27" s="1"/>
  <c r="I27" s="1"/>
  <c r="T28" i="181" s="1"/>
  <c r="N81" i="179"/>
  <c r="N115" s="1"/>
  <c r="I21" i="178" s="1"/>
  <c r="O16" i="212" s="1"/>
  <c r="P16" s="1"/>
  <c r="S16" s="1"/>
  <c r="H16" s="1"/>
  <c r="I16" s="1"/>
  <c r="T17" i="181" s="1"/>
  <c r="N85" i="179"/>
  <c r="N119" s="1"/>
  <c r="I26" i="178" s="1"/>
  <c r="O20" i="212" s="1"/>
  <c r="P20" s="1"/>
  <c r="S20" s="1"/>
  <c r="H20" s="1"/>
  <c r="I20" s="1"/>
  <c r="T21" i="181" s="1"/>
  <c r="N78" i="179"/>
  <c r="N112" s="1"/>
  <c r="I17" i="178" s="1"/>
  <c r="O13" i="212" s="1"/>
  <c r="P13" s="1"/>
  <c r="S13" s="1"/>
  <c r="H13" s="1"/>
  <c r="I13" s="1"/>
  <c r="T14" i="181" s="1"/>
  <c r="N76" i="179"/>
  <c r="N110" s="1"/>
  <c r="I14" i="178" s="1"/>
  <c r="O11" i="212" s="1"/>
  <c r="P11" s="1"/>
  <c r="S11" s="1"/>
  <c r="H11" s="1"/>
  <c r="I11" s="1"/>
  <c r="T12" i="181" s="1"/>
  <c r="N80" i="179"/>
  <c r="N114" s="1"/>
  <c r="I20" i="178" s="1"/>
  <c r="O15" i="212" s="1"/>
  <c r="P15" s="1"/>
  <c r="S15" s="1"/>
  <c r="H15" s="1"/>
  <c r="I15" s="1"/>
  <c r="T16" i="181" s="1"/>
  <c r="N91" i="179"/>
  <c r="N125" s="1"/>
  <c r="I32" i="178" s="1"/>
  <c r="O26" i="212" s="1"/>
  <c r="P26" s="1"/>
  <c r="S26" s="1"/>
  <c r="H26" s="1"/>
  <c r="I26" s="1"/>
  <c r="T27" i="181" s="1"/>
  <c r="N73" i="179"/>
  <c r="N107" s="1"/>
  <c r="I11" i="178" s="1"/>
  <c r="N79" i="179"/>
  <c r="N113" s="1"/>
  <c r="I18" i="178" s="1"/>
  <c r="O16" i="180"/>
  <c r="O37" s="1"/>
  <c r="N37"/>
  <c r="G71" i="134"/>
  <c r="M8" i="29" s="1"/>
  <c r="I40" i="192"/>
  <c r="S14" i="180"/>
  <c r="V14" s="1"/>
  <c r="S24"/>
  <c r="V24" s="1"/>
  <c r="S28"/>
  <c r="V28" s="1"/>
  <c r="S35"/>
  <c r="V35" s="1"/>
  <c r="S31"/>
  <c r="V31" s="1"/>
  <c r="S27"/>
  <c r="V27" s="1"/>
  <c r="S20"/>
  <c r="V20" s="1"/>
  <c r="S21"/>
  <c r="V21" s="1"/>
  <c r="S32"/>
  <c r="V32" s="1"/>
  <c r="S33"/>
  <c r="V33" s="1"/>
  <c r="K29"/>
  <c r="U37"/>
  <c r="Q23"/>
  <c r="P15"/>
  <c r="Q15" s="1"/>
  <c r="R15"/>
  <c r="P25"/>
  <c r="Q25" s="1"/>
  <c r="R25"/>
  <c r="K9" i="181" l="1"/>
  <c r="R9" s="1"/>
  <c r="O8" i="212"/>
  <c r="K15" i="181"/>
  <c r="P15" s="1"/>
  <c r="Q15" s="1"/>
  <c r="O14" i="212"/>
  <c r="P14" s="1"/>
  <c r="S14" s="1"/>
  <c r="H14" s="1"/>
  <c r="I14" s="1"/>
  <c r="T15" i="181" s="1"/>
  <c r="M9" i="29"/>
  <c r="E4" i="182" s="1"/>
  <c r="M15" i="29"/>
  <c r="X21" i="180"/>
  <c r="D107" i="186" s="1"/>
  <c r="W21" i="180"/>
  <c r="D76" i="186" s="1"/>
  <c r="E76" s="1"/>
  <c r="W31" i="180"/>
  <c r="D85" i="186" s="1"/>
  <c r="E85" s="1"/>
  <c r="X31" i="180"/>
  <c r="D116" i="186" s="1"/>
  <c r="X14" i="180"/>
  <c r="D100" i="186" s="1"/>
  <c r="R25" i="205"/>
  <c r="P25"/>
  <c r="Q25" s="1"/>
  <c r="U25"/>
  <c r="W33" i="180"/>
  <c r="D87" i="186" s="1"/>
  <c r="E87" s="1"/>
  <c r="X33" i="180"/>
  <c r="D118" i="186" s="1"/>
  <c r="W27" i="180"/>
  <c r="D82" i="186" s="1"/>
  <c r="E82" s="1"/>
  <c r="X27" i="180"/>
  <c r="D113" i="186" s="1"/>
  <c r="X24" i="180"/>
  <c r="D110" i="186" s="1"/>
  <c r="W24" i="180"/>
  <c r="D79" i="186" s="1"/>
  <c r="E79" s="1"/>
  <c r="X35" i="180"/>
  <c r="D120" i="186" s="1"/>
  <c r="W35" i="180"/>
  <c r="D89" i="186" s="1"/>
  <c r="E89" s="1"/>
  <c r="X17" i="180"/>
  <c r="D103" i="186" s="1"/>
  <c r="W17" i="180"/>
  <c r="D73" i="186" s="1"/>
  <c r="E73" s="1"/>
  <c r="X32" i="180"/>
  <c r="D117" i="186" s="1"/>
  <c r="W32" i="180"/>
  <c r="D86" i="186" s="1"/>
  <c r="E86" s="1"/>
  <c r="K37" i="180"/>
  <c r="X29"/>
  <c r="X20"/>
  <c r="D106" i="186" s="1"/>
  <c r="W20" i="180"/>
  <c r="D75" i="186" s="1"/>
  <c r="E75" s="1"/>
  <c r="X28" i="180"/>
  <c r="D114" i="186" s="1"/>
  <c r="W28" i="180"/>
  <c r="D83" i="186" s="1"/>
  <c r="E83" s="1"/>
  <c r="P9" i="181"/>
  <c r="Q9" s="1"/>
  <c r="I24" i="178"/>
  <c r="K16" i="112"/>
  <c r="S9" i="180"/>
  <c r="I19" i="178"/>
  <c r="I16"/>
  <c r="L9" i="185"/>
  <c r="U9" s="1"/>
  <c r="K17" i="181"/>
  <c r="K17" i="205" s="1"/>
  <c r="L17" i="185"/>
  <c r="L34"/>
  <c r="K34" i="181"/>
  <c r="K34" i="205" s="1"/>
  <c r="R25" i="181"/>
  <c r="L27" i="185"/>
  <c r="K27" i="181"/>
  <c r="K27" i="205" s="1"/>
  <c r="K21" i="181"/>
  <c r="K21" i="205" s="1"/>
  <c r="L21" i="185"/>
  <c r="K13" i="181"/>
  <c r="K13" i="205" s="1"/>
  <c r="L13" i="185"/>
  <c r="K31" i="181"/>
  <c r="K31" i="205" s="1"/>
  <c r="L31" i="185"/>
  <c r="K18" i="181"/>
  <c r="K18" i="205" s="1"/>
  <c r="L18" i="185"/>
  <c r="L23"/>
  <c r="K23" i="181"/>
  <c r="K23" i="205" s="1"/>
  <c r="G20" i="188"/>
  <c r="U25" i="185"/>
  <c r="S25"/>
  <c r="P25" i="181"/>
  <c r="Q25" s="1"/>
  <c r="L15" i="185"/>
  <c r="G10" i="188" s="1"/>
  <c r="K16" i="181"/>
  <c r="K16" i="205" s="1"/>
  <c r="L16" i="185"/>
  <c r="K32" i="181"/>
  <c r="K32" i="205" s="1"/>
  <c r="L32" i="185"/>
  <c r="K14" i="181"/>
  <c r="K14" i="205" s="1"/>
  <c r="L14" i="185"/>
  <c r="K26" i="181"/>
  <c r="K26" i="205" s="1"/>
  <c r="L26" i="185"/>
  <c r="K20" i="181"/>
  <c r="K20" i="205" s="1"/>
  <c r="L20" i="185"/>
  <c r="K22" i="181"/>
  <c r="K22" i="205" s="1"/>
  <c r="L22" i="185"/>
  <c r="L19"/>
  <c r="K19" i="181"/>
  <c r="K19" i="205" s="1"/>
  <c r="Q16" i="180"/>
  <c r="S16" s="1"/>
  <c r="V16" s="1"/>
  <c r="N133" i="179"/>
  <c r="L11" i="185"/>
  <c r="K11" i="181"/>
  <c r="K11" i="205" s="1"/>
  <c r="K12" i="181"/>
  <c r="K12" i="205" s="1"/>
  <c r="L12" i="185"/>
  <c r="L28"/>
  <c r="K28" i="181"/>
  <c r="K28" i="205" s="1"/>
  <c r="K33" i="181"/>
  <c r="K33" i="205" s="1"/>
  <c r="L33" i="185"/>
  <c r="K10" i="181"/>
  <c r="K10" i="205" s="1"/>
  <c r="L10" i="185"/>
  <c r="L35"/>
  <c r="K35" i="181"/>
  <c r="K35" i="205" s="1"/>
  <c r="K24" i="181"/>
  <c r="K24" i="205" s="1"/>
  <c r="L24" i="185"/>
  <c r="R15" i="181"/>
  <c r="S15" i="180"/>
  <c r="V15" s="1"/>
  <c r="X15" s="1"/>
  <c r="D101" i="186" s="1"/>
  <c r="S25" i="180"/>
  <c r="V25" s="1"/>
  <c r="S23"/>
  <c r="V23" s="1"/>
  <c r="P37"/>
  <c r="R37"/>
  <c r="K9" i="205" l="1"/>
  <c r="R9" s="1"/>
  <c r="K15"/>
  <c r="O34" i="212"/>
  <c r="P8"/>
  <c r="I40" i="178"/>
  <c r="S15" i="181"/>
  <c r="U15" s="1"/>
  <c r="W15" s="1"/>
  <c r="F101" i="186" s="1"/>
  <c r="X25" i="180"/>
  <c r="D111" i="186" s="1"/>
  <c r="W25" i="180"/>
  <c r="D80" i="186" s="1"/>
  <c r="E80" s="1"/>
  <c r="R11" i="205"/>
  <c r="U11"/>
  <c r="P11"/>
  <c r="Q11" s="1"/>
  <c r="R31"/>
  <c r="P31"/>
  <c r="U31"/>
  <c r="W23" i="180"/>
  <c r="D78" i="186" s="1"/>
  <c r="E78" s="1"/>
  <c r="X23" i="180"/>
  <c r="D109" i="186" s="1"/>
  <c r="X16" i="180"/>
  <c r="D102" i="186" s="1"/>
  <c r="W16" i="180"/>
  <c r="D72" i="186" s="1"/>
  <c r="E72" s="1"/>
  <c r="P22" i="205"/>
  <c r="Q22" s="1"/>
  <c r="R22"/>
  <c r="U22"/>
  <c r="U32"/>
  <c r="R32"/>
  <c r="P32"/>
  <c r="P23"/>
  <c r="R23"/>
  <c r="U23"/>
  <c r="R18"/>
  <c r="U18"/>
  <c r="P18"/>
  <c r="Q18" s="1"/>
  <c r="R13"/>
  <c r="U13"/>
  <c r="P13"/>
  <c r="Q13" s="1"/>
  <c r="K29"/>
  <c r="S25"/>
  <c r="V25" s="1"/>
  <c r="S9" i="181"/>
  <c r="W14" i="180"/>
  <c r="D71" i="186" s="1"/>
  <c r="E71" s="1"/>
  <c r="U28" i="205"/>
  <c r="R28"/>
  <c r="P28"/>
  <c r="R19"/>
  <c r="U19"/>
  <c r="P19"/>
  <c r="Q19" s="1"/>
  <c r="R21"/>
  <c r="U21"/>
  <c r="P21"/>
  <c r="U17"/>
  <c r="P17"/>
  <c r="R17"/>
  <c r="R33"/>
  <c r="P33"/>
  <c r="U33"/>
  <c r="P12"/>
  <c r="Q12" s="1"/>
  <c r="U12"/>
  <c r="R12"/>
  <c r="P26"/>
  <c r="Q26" s="1"/>
  <c r="U26"/>
  <c r="R26"/>
  <c r="P35"/>
  <c r="U35"/>
  <c r="R35"/>
  <c r="R24"/>
  <c r="P24"/>
  <c r="Q24" s="1"/>
  <c r="U24"/>
  <c r="P10"/>
  <c r="Q10" s="1"/>
  <c r="R10"/>
  <c r="U10"/>
  <c r="P20"/>
  <c r="R20"/>
  <c r="U20"/>
  <c r="R14"/>
  <c r="U14"/>
  <c r="P14"/>
  <c r="Q14" s="1"/>
  <c r="R16"/>
  <c r="P16"/>
  <c r="U16"/>
  <c r="U27"/>
  <c r="P27"/>
  <c r="Q27" s="1"/>
  <c r="R27"/>
  <c r="R34"/>
  <c r="P34"/>
  <c r="Q34" s="1"/>
  <c r="U34"/>
  <c r="R15"/>
  <c r="U15"/>
  <c r="P15"/>
  <c r="Q15" s="1"/>
  <c r="T11" i="112"/>
  <c r="K21"/>
  <c r="V9" i="180"/>
  <c r="I34" i="192"/>
  <c r="I41" s="1"/>
  <c r="L50" i="201"/>
  <c r="E3" i="182"/>
  <c r="S9" i="185"/>
  <c r="G4" i="188"/>
  <c r="L29" i="185"/>
  <c r="G24" i="188" s="1"/>
  <c r="K29" i="181"/>
  <c r="W29" s="1"/>
  <c r="S15" i="185"/>
  <c r="U15"/>
  <c r="Q37" i="180"/>
  <c r="S25" i="181"/>
  <c r="U25" s="1"/>
  <c r="U10" i="185"/>
  <c r="S10"/>
  <c r="G5" i="188"/>
  <c r="L28" i="181"/>
  <c r="R28"/>
  <c r="P28"/>
  <c r="U20" i="185"/>
  <c r="G15" i="188"/>
  <c r="S20" i="185"/>
  <c r="M20"/>
  <c r="O20" s="1"/>
  <c r="P20" s="1"/>
  <c r="G9" i="188"/>
  <c r="S14" i="185"/>
  <c r="U14"/>
  <c r="M23"/>
  <c r="O23" s="1"/>
  <c r="P23" s="1"/>
  <c r="G18" i="188"/>
  <c r="S23" i="185"/>
  <c r="U23"/>
  <c r="G30" i="188"/>
  <c r="U35" i="185"/>
  <c r="S35"/>
  <c r="M35"/>
  <c r="O35" s="1"/>
  <c r="P35" s="1"/>
  <c r="L33" i="181"/>
  <c r="R33"/>
  <c r="P33"/>
  <c r="R12"/>
  <c r="P12"/>
  <c r="Q12" s="1"/>
  <c r="R22"/>
  <c r="P22"/>
  <c r="Q22" s="1"/>
  <c r="R26"/>
  <c r="P26"/>
  <c r="Q26" s="1"/>
  <c r="L32"/>
  <c r="R32"/>
  <c r="P32"/>
  <c r="L23"/>
  <c r="R23"/>
  <c r="P23"/>
  <c r="G26" i="188"/>
  <c r="L36" i="185"/>
  <c r="G31" i="188" s="1"/>
  <c r="U31" i="185"/>
  <c r="M31"/>
  <c r="S31"/>
  <c r="M21"/>
  <c r="O21" s="1"/>
  <c r="P21" s="1"/>
  <c r="U21"/>
  <c r="S21"/>
  <c r="G16" i="188"/>
  <c r="G12"/>
  <c r="S17" i="185"/>
  <c r="M17"/>
  <c r="O17" s="1"/>
  <c r="P17" s="1"/>
  <c r="U17"/>
  <c r="G19" i="188"/>
  <c r="U24" i="185"/>
  <c r="S24"/>
  <c r="R19" i="181"/>
  <c r="P19"/>
  <c r="Q19" s="1"/>
  <c r="G11" i="188"/>
  <c r="S16" i="185"/>
  <c r="U16"/>
  <c r="M16"/>
  <c r="L31" i="181"/>
  <c r="L31" i="205" s="1"/>
  <c r="N31" s="1"/>
  <c r="O31" s="1"/>
  <c r="R31" i="181"/>
  <c r="K36"/>
  <c r="P31"/>
  <c r="L21"/>
  <c r="R21"/>
  <c r="P21"/>
  <c r="L35"/>
  <c r="R35"/>
  <c r="P35"/>
  <c r="G28" i="188"/>
  <c r="U33" i="185"/>
  <c r="M33"/>
  <c r="O33" s="1"/>
  <c r="P33" s="1"/>
  <c r="S33"/>
  <c r="U12"/>
  <c r="S12"/>
  <c r="G7" i="188"/>
  <c r="G17"/>
  <c r="U22" i="185"/>
  <c r="S22"/>
  <c r="G21" i="188"/>
  <c r="S26" i="185"/>
  <c r="U26"/>
  <c r="S32"/>
  <c r="M32"/>
  <c r="O32" s="1"/>
  <c r="P32" s="1"/>
  <c r="U32"/>
  <c r="G27" i="188"/>
  <c r="R18" i="181"/>
  <c r="P18"/>
  <c r="Q18" s="1"/>
  <c r="R13"/>
  <c r="P13"/>
  <c r="Q13" s="1"/>
  <c r="G22" i="188"/>
  <c r="S27" i="185"/>
  <c r="U27"/>
  <c r="G29" i="188"/>
  <c r="S34" i="185"/>
  <c r="U34"/>
  <c r="R11" i="181"/>
  <c r="P11"/>
  <c r="Q11" s="1"/>
  <c r="L17"/>
  <c r="R17"/>
  <c r="P17"/>
  <c r="P24"/>
  <c r="Q24" s="1"/>
  <c r="R24"/>
  <c r="R10"/>
  <c r="P10"/>
  <c r="M28" i="185"/>
  <c r="O28" s="1"/>
  <c r="P28" s="1"/>
  <c r="G23" i="188"/>
  <c r="S28" i="185"/>
  <c r="U28"/>
  <c r="S11"/>
  <c r="G6" i="188"/>
  <c r="U11" i="185"/>
  <c r="G14" i="188"/>
  <c r="S19" i="185"/>
  <c r="U19"/>
  <c r="L20" i="181"/>
  <c r="R20"/>
  <c r="P20"/>
  <c r="P14"/>
  <c r="Q14" s="1"/>
  <c r="R14"/>
  <c r="L16"/>
  <c r="L16" i="205" s="1"/>
  <c r="N16" s="1"/>
  <c r="R16" i="181"/>
  <c r="P16"/>
  <c r="U18" i="185"/>
  <c r="G13" i="188"/>
  <c r="S18" i="185"/>
  <c r="U13"/>
  <c r="S13"/>
  <c r="G8" i="188"/>
  <c r="P27" i="181"/>
  <c r="Q27" s="1"/>
  <c r="R27"/>
  <c r="R34"/>
  <c r="P34"/>
  <c r="Q34" s="1"/>
  <c r="S37" i="180"/>
  <c r="E5" i="182"/>
  <c r="E7"/>
  <c r="P9" i="205" l="1"/>
  <c r="P37" s="1"/>
  <c r="U9"/>
  <c r="P34" i="212"/>
  <c r="P35" s="1"/>
  <c r="S8"/>
  <c r="H71" i="134"/>
  <c r="N44" i="40"/>
  <c r="S15" i="205"/>
  <c r="V15" s="1"/>
  <c r="S14"/>
  <c r="V14" s="1"/>
  <c r="S10"/>
  <c r="V10" s="1"/>
  <c r="X10" s="1"/>
  <c r="S12"/>
  <c r="V12" s="1"/>
  <c r="AA12" s="1"/>
  <c r="E98" i="186" s="1"/>
  <c r="Q31" i="205"/>
  <c r="S31" s="1"/>
  <c r="V31" s="1"/>
  <c r="X31" s="1"/>
  <c r="S26"/>
  <c r="V26" s="1"/>
  <c r="AA26" s="1"/>
  <c r="E112" i="186" s="1"/>
  <c r="S22" i="205"/>
  <c r="V22" s="1"/>
  <c r="W22" s="1"/>
  <c r="G77" i="186" s="1"/>
  <c r="S11" i="205"/>
  <c r="V11" s="1"/>
  <c r="X11" s="1"/>
  <c r="S24"/>
  <c r="V24" s="1"/>
  <c r="E12" i="182"/>
  <c r="E117" s="1"/>
  <c r="F187"/>
  <c r="I187" s="1"/>
  <c r="J187" s="1"/>
  <c r="W36" i="181"/>
  <c r="K36" i="205"/>
  <c r="AA36" s="1"/>
  <c r="V37" i="180"/>
  <c r="V42" s="1"/>
  <c r="W9"/>
  <c r="D69" i="186" s="1"/>
  <c r="E69" s="1"/>
  <c r="X9" i="180"/>
  <c r="D95" i="186" s="1"/>
  <c r="O16" i="205"/>
  <c r="Q16" s="1"/>
  <c r="S16" s="1"/>
  <c r="V16" s="1"/>
  <c r="N33" i="181"/>
  <c r="O33" s="1"/>
  <c r="Q33" s="1"/>
  <c r="S33" s="1"/>
  <c r="U33" s="1"/>
  <c r="L33" i="205"/>
  <c r="N33" s="1"/>
  <c r="O33" s="1"/>
  <c r="Q33" s="1"/>
  <c r="S33" s="1"/>
  <c r="V33" s="1"/>
  <c r="N20" i="181"/>
  <c r="O20" s="1"/>
  <c r="Q20" s="1"/>
  <c r="S20" s="1"/>
  <c r="U20" s="1"/>
  <c r="L20" i="205"/>
  <c r="N20" s="1"/>
  <c r="O20" s="1"/>
  <c r="Q20" s="1"/>
  <c r="S20" s="1"/>
  <c r="V20" s="1"/>
  <c r="N17" i="181"/>
  <c r="O17" s="1"/>
  <c r="Q17" s="1"/>
  <c r="S17" s="1"/>
  <c r="U17" s="1"/>
  <c r="L17" i="205"/>
  <c r="N17" s="1"/>
  <c r="O17" s="1"/>
  <c r="Q17" s="1"/>
  <c r="S17" s="1"/>
  <c r="V17" s="1"/>
  <c r="N35" i="181"/>
  <c r="O35" s="1"/>
  <c r="Q35" s="1"/>
  <c r="S35" s="1"/>
  <c r="U35" s="1"/>
  <c r="L35" i="205"/>
  <c r="N35" s="1"/>
  <c r="O35" s="1"/>
  <c r="Q35" s="1"/>
  <c r="S35" s="1"/>
  <c r="V35" s="1"/>
  <c r="N21" i="181"/>
  <c r="O21" s="1"/>
  <c r="Q21" s="1"/>
  <c r="S21" s="1"/>
  <c r="U21" s="1"/>
  <c r="L21" i="205"/>
  <c r="N21" s="1"/>
  <c r="O21" s="1"/>
  <c r="Q21" s="1"/>
  <c r="S21" s="1"/>
  <c r="V21" s="1"/>
  <c r="N23" i="181"/>
  <c r="O23" s="1"/>
  <c r="Q23" s="1"/>
  <c r="S23" s="1"/>
  <c r="U23" s="1"/>
  <c r="L23" i="205"/>
  <c r="N23" s="1"/>
  <c r="O23" s="1"/>
  <c r="Q23" s="1"/>
  <c r="S23" s="1"/>
  <c r="V23" s="1"/>
  <c r="N32" i="181"/>
  <c r="O32" s="1"/>
  <c r="Q32" s="1"/>
  <c r="S32" s="1"/>
  <c r="U32" s="1"/>
  <c r="L32" i="205"/>
  <c r="N32" s="1"/>
  <c r="O32" s="1"/>
  <c r="Q32" s="1"/>
  <c r="S32" s="1"/>
  <c r="V32" s="1"/>
  <c r="N28" i="181"/>
  <c r="O28" s="1"/>
  <c r="Q28" s="1"/>
  <c r="S28" s="1"/>
  <c r="U28" s="1"/>
  <c r="L28" i="205"/>
  <c r="N28" s="1"/>
  <c r="O28" s="1"/>
  <c r="Q28" s="1"/>
  <c r="S28" s="1"/>
  <c r="V28" s="1"/>
  <c r="V25" i="181"/>
  <c r="H80" i="186" s="1"/>
  <c r="W25" i="181"/>
  <c r="F111" i="186" s="1"/>
  <c r="J40" i="192"/>
  <c r="D45"/>
  <c r="D49" s="1"/>
  <c r="D77" i="184"/>
  <c r="E77" s="1"/>
  <c r="F77" s="1"/>
  <c r="G77" s="1"/>
  <c r="H77" s="1"/>
  <c r="AA29" i="205"/>
  <c r="U37"/>
  <c r="S34"/>
  <c r="V34" s="1"/>
  <c r="S27"/>
  <c r="V27" s="1"/>
  <c r="S13"/>
  <c r="V13" s="1"/>
  <c r="AA25"/>
  <c r="E111" i="186" s="1"/>
  <c r="W25" i="205"/>
  <c r="G80" i="186" s="1"/>
  <c r="X25" i="205"/>
  <c r="Q9"/>
  <c r="R37"/>
  <c r="S19"/>
  <c r="V19" s="1"/>
  <c r="S18"/>
  <c r="V18" s="1"/>
  <c r="O31" i="185"/>
  <c r="P31" s="1"/>
  <c r="M36"/>
  <c r="O16"/>
  <c r="P16" s="1"/>
  <c r="M29"/>
  <c r="N16" i="181"/>
  <c r="O16" s="1"/>
  <c r="L29"/>
  <c r="N31"/>
  <c r="O31" s="1"/>
  <c r="Q31" s="1"/>
  <c r="S31" s="1"/>
  <c r="U31" s="1"/>
  <c r="L36"/>
  <c r="L36" i="205" s="1"/>
  <c r="L37" s="1"/>
  <c r="G32" i="188"/>
  <c r="G38" s="1"/>
  <c r="U37" i="185"/>
  <c r="Z37" s="1"/>
  <c r="AA16" s="1"/>
  <c r="K37" i="181"/>
  <c r="L37" i="185"/>
  <c r="S14" i="181"/>
  <c r="U14" s="1"/>
  <c r="S22"/>
  <c r="S37" i="185"/>
  <c r="R37" i="181"/>
  <c r="D50" i="192" s="1"/>
  <c r="S11" i="181"/>
  <c r="U11" s="1"/>
  <c r="W11" s="1"/>
  <c r="F97" i="186" s="1"/>
  <c r="S18" i="181"/>
  <c r="U18" s="1"/>
  <c r="S26"/>
  <c r="U26" s="1"/>
  <c r="Q10"/>
  <c r="P37"/>
  <c r="S12"/>
  <c r="U12" s="1"/>
  <c r="W12" s="1"/>
  <c r="F98" i="186" s="1"/>
  <c r="S34" i="181"/>
  <c r="U34" s="1"/>
  <c r="S27"/>
  <c r="U27" s="1"/>
  <c r="S24"/>
  <c r="U24" s="1"/>
  <c r="S13"/>
  <c r="U13" s="1"/>
  <c r="W13" s="1"/>
  <c r="F99" i="186" s="1"/>
  <c r="S19" i="181"/>
  <c r="U19" s="1"/>
  <c r="W19" s="1"/>
  <c r="F105" i="186" s="1"/>
  <c r="E14" i="182"/>
  <c r="U84" i="179"/>
  <c r="W84" s="1"/>
  <c r="H8" i="212" l="1"/>
  <c r="S34"/>
  <c r="M16" i="112"/>
  <c r="O8" i="29"/>
  <c r="F25" i="184"/>
  <c r="E37"/>
  <c r="N37" s="1"/>
  <c r="O37" s="1"/>
  <c r="P37" s="1"/>
  <c r="AA22" i="205"/>
  <c r="E108" i="186" s="1"/>
  <c r="AA10" i="205"/>
  <c r="E96" i="186" s="1"/>
  <c r="W31" i="205"/>
  <c r="G85" i="186" s="1"/>
  <c r="K37" i="205"/>
  <c r="X22"/>
  <c r="W26"/>
  <c r="G81" i="186" s="1"/>
  <c r="X26" i="205"/>
  <c r="W10"/>
  <c r="G70" i="186" s="1"/>
  <c r="X12" i="205"/>
  <c r="I98" i="186"/>
  <c r="X24" i="205"/>
  <c r="W24"/>
  <c r="G79" i="186" s="1"/>
  <c r="AA24" i="205"/>
  <c r="E110" i="186" s="1"/>
  <c r="AA11" i="205"/>
  <c r="E97" i="186" s="1"/>
  <c r="I97" s="1"/>
  <c r="AA31" i="205"/>
  <c r="E116" i="186" s="1"/>
  <c r="N37" i="205"/>
  <c r="I111" i="186"/>
  <c r="V32" i="181"/>
  <c r="H86" i="186" s="1"/>
  <c r="W32" i="181"/>
  <c r="F117" i="186" s="1"/>
  <c r="V21" i="181"/>
  <c r="H76" i="186" s="1"/>
  <c r="W21" i="181"/>
  <c r="F107" i="186" s="1"/>
  <c r="AA34" i="205"/>
  <c r="E119" i="186" s="1"/>
  <c r="W34" i="205"/>
  <c r="G88" i="186" s="1"/>
  <c r="X34" i="205"/>
  <c r="V17" i="181"/>
  <c r="H73" i="186" s="1"/>
  <c r="W17" i="181"/>
  <c r="F103" i="186" s="1"/>
  <c r="V33" i="181"/>
  <c r="H87" i="186" s="1"/>
  <c r="W33" i="181"/>
  <c r="F118" i="186" s="1"/>
  <c r="W23" i="181"/>
  <c r="F109" i="186" s="1"/>
  <c r="V23" i="181"/>
  <c r="H78" i="186" s="1"/>
  <c r="AA28" i="205"/>
  <c r="E114" i="186" s="1"/>
  <c r="W28" i="205"/>
  <c r="G83" i="186" s="1"/>
  <c r="X28" i="205"/>
  <c r="X13"/>
  <c r="AA13"/>
  <c r="E99" i="186" s="1"/>
  <c r="I99" s="1"/>
  <c r="W27" i="181"/>
  <c r="F113" i="186" s="1"/>
  <c r="V27" i="181"/>
  <c r="H82" i="186" s="1"/>
  <c r="X19" i="205"/>
  <c r="AA19"/>
  <c r="E105" i="186" s="1"/>
  <c r="I105" s="1"/>
  <c r="W14" i="205"/>
  <c r="G71" i="186" s="1"/>
  <c r="AA14" i="205"/>
  <c r="E100" i="186" s="1"/>
  <c r="X14" i="205"/>
  <c r="AA32"/>
  <c r="E117" i="186" s="1"/>
  <c r="W32" i="205"/>
  <c r="G86" i="186" s="1"/>
  <c r="X32" i="205"/>
  <c r="AA21"/>
  <c r="E107" i="186" s="1"/>
  <c r="X21" i="205"/>
  <c r="W21"/>
  <c r="G76" i="186" s="1"/>
  <c r="W17" i="205"/>
  <c r="G73" i="186" s="1"/>
  <c r="AA17" i="205"/>
  <c r="E103" i="186" s="1"/>
  <c r="X17" i="205"/>
  <c r="W24" i="181"/>
  <c r="F110" i="186" s="1"/>
  <c r="V24" i="181"/>
  <c r="H79" i="186" s="1"/>
  <c r="W18" i="181"/>
  <c r="F104" i="186" s="1"/>
  <c r="V18" i="181"/>
  <c r="H74" i="186" s="1"/>
  <c r="W35" i="181"/>
  <c r="F120" i="186" s="1"/>
  <c r="V35" i="181"/>
  <c r="H89" i="186" s="1"/>
  <c r="V20" i="181"/>
  <c r="H75" i="186" s="1"/>
  <c r="W20" i="181"/>
  <c r="F106" i="186" s="1"/>
  <c r="AA18" i="205"/>
  <c r="E104" i="186" s="1"/>
  <c r="X18" i="205"/>
  <c r="W18"/>
  <c r="G74" i="186" s="1"/>
  <c r="X15" i="205"/>
  <c r="AA15"/>
  <c r="E101" i="186" s="1"/>
  <c r="I101" s="1"/>
  <c r="S9" i="205"/>
  <c r="Q37"/>
  <c r="W37" i="180"/>
  <c r="X37"/>
  <c r="K80" i="186"/>
  <c r="O37" i="205"/>
  <c r="W34" i="181"/>
  <c r="F119" i="186" s="1"/>
  <c r="V34" i="181"/>
  <c r="H88" i="186" s="1"/>
  <c r="D51" i="192"/>
  <c r="D52"/>
  <c r="AA16" i="205"/>
  <c r="E102" i="186" s="1"/>
  <c r="X16" i="205"/>
  <c r="W16"/>
  <c r="G72" i="186" s="1"/>
  <c r="W26" i="181"/>
  <c r="F112" i="186" s="1"/>
  <c r="I112" s="1"/>
  <c r="V26" i="181"/>
  <c r="H81" i="186" s="1"/>
  <c r="W14" i="181"/>
  <c r="F100" i="186" s="1"/>
  <c r="V14" i="181"/>
  <c r="H71" i="186" s="1"/>
  <c r="V28" i="181"/>
  <c r="H83" i="186" s="1"/>
  <c r="W28" i="181"/>
  <c r="F114" i="186" s="1"/>
  <c r="I114" s="1"/>
  <c r="W31" i="181"/>
  <c r="F116" i="186" s="1"/>
  <c r="V31" i="181"/>
  <c r="H85" i="186" s="1"/>
  <c r="AA27" i="205"/>
  <c r="E113" i="186" s="1"/>
  <c r="X27" i="205"/>
  <c r="W27"/>
  <c r="G82" i="186" s="1"/>
  <c r="AA23" i="205"/>
  <c r="E109" i="186" s="1"/>
  <c r="W23" i="205"/>
  <c r="G78" i="186" s="1"/>
  <c r="X23" i="205"/>
  <c r="AA35"/>
  <c r="E120" i="186" s="1"/>
  <c r="X35" i="205"/>
  <c r="W35"/>
  <c r="G89" i="186" s="1"/>
  <c r="AA20" i="205"/>
  <c r="E106" i="186" s="1"/>
  <c r="X20" i="205"/>
  <c r="W20"/>
  <c r="G75" i="186" s="1"/>
  <c r="AA33" i="205"/>
  <c r="E118" i="186" s="1"/>
  <c r="W33" i="205"/>
  <c r="G87" i="186" s="1"/>
  <c r="X33" i="205"/>
  <c r="U22" i="181"/>
  <c r="J34" i="192"/>
  <c r="J41" s="1"/>
  <c r="N49" i="201"/>
  <c r="P37" i="185"/>
  <c r="M37"/>
  <c r="N37" i="181"/>
  <c r="L37"/>
  <c r="E15" i="182"/>
  <c r="Q16" i="181"/>
  <c r="S16" s="1"/>
  <c r="U16" s="1"/>
  <c r="O37"/>
  <c r="S10"/>
  <c r="AA11" i="185"/>
  <c r="AA12"/>
  <c r="AA25"/>
  <c r="AA17"/>
  <c r="AA27"/>
  <c r="AA10"/>
  <c r="AA22"/>
  <c r="AA33"/>
  <c r="AA35"/>
  <c r="AA23"/>
  <c r="AA21"/>
  <c r="AA31"/>
  <c r="AA15"/>
  <c r="AA14"/>
  <c r="AA20"/>
  <c r="AA13"/>
  <c r="AA34"/>
  <c r="AA9"/>
  <c r="AA24"/>
  <c r="AA28"/>
  <c r="AA26"/>
  <c r="AA32"/>
  <c r="AA18"/>
  <c r="AA19"/>
  <c r="E118" i="182"/>
  <c r="E146" s="1"/>
  <c r="D29" s="1"/>
  <c r="D34" s="1"/>
  <c r="U85" i="179"/>
  <c r="W85" s="1"/>
  <c r="B12" i="33"/>
  <c r="B13" s="1"/>
  <c r="B14" s="1"/>
  <c r="B15" s="1"/>
  <c r="B16" s="1"/>
  <c r="B17" s="1"/>
  <c r="B18" s="1"/>
  <c r="B19" s="1"/>
  <c r="B20" s="1"/>
  <c r="B21" s="1"/>
  <c r="B22" s="1"/>
  <c r="B23" s="1"/>
  <c r="B24" s="1"/>
  <c r="B12" i="34"/>
  <c r="B13" s="1"/>
  <c r="B14" s="1"/>
  <c r="B15" s="1"/>
  <c r="B16" s="1"/>
  <c r="B17" s="1"/>
  <c r="B18" s="1"/>
  <c r="B19" s="1"/>
  <c r="B20" s="1"/>
  <c r="M12" i="186" l="1"/>
  <c r="M14" s="1"/>
  <c r="M15" s="1"/>
  <c r="H36" i="212"/>
  <c r="I8"/>
  <c r="P49" i="201"/>
  <c r="P53" s="1"/>
  <c r="O10" i="29"/>
  <c r="O12" s="1"/>
  <c r="O15"/>
  <c r="F3" i="182"/>
  <c r="M21" i="112"/>
  <c r="V11"/>
  <c r="K85" i="186"/>
  <c r="I100"/>
  <c r="I110"/>
  <c r="K81"/>
  <c r="K71"/>
  <c r="K79"/>
  <c r="I116"/>
  <c r="K83"/>
  <c r="K75"/>
  <c r="I104"/>
  <c r="K86"/>
  <c r="W22" i="181"/>
  <c r="F108" i="186" s="1"/>
  <c r="I108" s="1"/>
  <c r="V22" i="181"/>
  <c r="H77" i="186" s="1"/>
  <c r="K77" s="1"/>
  <c r="K78"/>
  <c r="K74"/>
  <c r="K87"/>
  <c r="I117"/>
  <c r="K88"/>
  <c r="I120"/>
  <c r="I113"/>
  <c r="I118"/>
  <c r="K76"/>
  <c r="V16" i="181"/>
  <c r="H72" i="186" s="1"/>
  <c r="K72" s="1"/>
  <c r="W16" i="181"/>
  <c r="F102" i="186" s="1"/>
  <c r="I102" s="1"/>
  <c r="S37" i="205"/>
  <c r="X9"/>
  <c r="V9"/>
  <c r="I103" i="186"/>
  <c r="I119"/>
  <c r="I106"/>
  <c r="K89"/>
  <c r="K82"/>
  <c r="I109"/>
  <c r="K73"/>
  <c r="I107"/>
  <c r="F5" i="182"/>
  <c r="O38" i="184"/>
  <c r="N50" i="201"/>
  <c r="B25" i="33"/>
  <c r="B26" s="1"/>
  <c r="B27" s="1"/>
  <c r="U10" i="181"/>
  <c r="S37"/>
  <c r="Q37"/>
  <c r="K173" i="60"/>
  <c r="K181" s="1"/>
  <c r="E148" i="182"/>
  <c r="E173" s="1"/>
  <c r="E172"/>
  <c r="E176" s="1"/>
  <c r="E20" s="1"/>
  <c r="E119"/>
  <c r="I36" i="212" l="1"/>
  <c r="T9" i="181"/>
  <c r="O17" i="29"/>
  <c r="P51" i="201"/>
  <c r="W10" i="181"/>
  <c r="F96" i="186" s="1"/>
  <c r="I96" s="1"/>
  <c r="V10" i="181"/>
  <c r="H70" i="186" s="1"/>
  <c r="K70" s="1"/>
  <c r="W9" i="205"/>
  <c r="G69" i="186" s="1"/>
  <c r="AA9" i="205"/>
  <c r="E95" i="186" s="1"/>
  <c r="V37" i="205"/>
  <c r="F201" i="182"/>
  <c r="F203" s="1"/>
  <c r="U9" i="181" l="1"/>
  <c r="T37"/>
  <c r="O19" i="29"/>
  <c r="F7" i="182"/>
  <c r="D188"/>
  <c r="F188" s="1"/>
  <c r="AA37" i="205"/>
  <c r="V42"/>
  <c r="V43" s="1"/>
  <c r="W37"/>
  <c r="X37"/>
  <c r="Y37" s="1"/>
  <c r="E31" i="182"/>
  <c r="E29"/>
  <c r="E34" s="1"/>
  <c r="E177"/>
  <c r="W9" i="181" l="1"/>
  <c r="F95" i="186" s="1"/>
  <c r="I95" s="1"/>
  <c r="V9" i="181"/>
  <c r="H69" i="186" s="1"/>
  <c r="K69" s="1"/>
  <c r="U37" i="181"/>
  <c r="F14" i="182"/>
  <c r="F12"/>
  <c r="F117" s="1"/>
  <c r="F189"/>
  <c r="H188"/>
  <c r="Z22" i="205"/>
  <c r="Z31"/>
  <c r="Z24"/>
  <c r="Z11"/>
  <c r="Z25"/>
  <c r="Z10"/>
  <c r="Z12"/>
  <c r="Z26"/>
  <c r="Z21"/>
  <c r="Z20"/>
  <c r="Z13"/>
  <c r="Z18"/>
  <c r="Z28"/>
  <c r="Z15"/>
  <c r="Z16"/>
  <c r="Z17"/>
  <c r="Z19"/>
  <c r="Z33"/>
  <c r="Z14"/>
  <c r="Z35"/>
  <c r="Z34"/>
  <c r="Z23"/>
  <c r="Z32"/>
  <c r="Z27"/>
  <c r="Z9"/>
  <c r="D31" i="182"/>
  <c r="L10" i="201"/>
  <c r="E32" i="182"/>
  <c r="F15" l="1"/>
  <c r="U41" i="181"/>
  <c r="V37"/>
  <c r="W37"/>
  <c r="X37"/>
  <c r="F118" i="182"/>
  <c r="F146" s="1"/>
  <c r="I188"/>
  <c r="J188" s="1"/>
  <c r="H189"/>
  <c r="F159"/>
  <c r="D32"/>
  <c r="W15" i="25"/>
  <c r="Y20" i="181" l="1"/>
  <c r="Y33"/>
  <c r="Y12"/>
  <c r="Y13"/>
  <c r="Y9"/>
  <c r="Y27"/>
  <c r="Y11"/>
  <c r="Y17"/>
  <c r="Y35"/>
  <c r="Y10"/>
  <c r="Y19"/>
  <c r="Y24"/>
  <c r="Y22"/>
  <c r="Y26"/>
  <c r="Y32"/>
  <c r="Y21"/>
  <c r="Y15"/>
  <c r="Y14"/>
  <c r="Y18"/>
  <c r="Y34"/>
  <c r="Y31"/>
  <c r="Y23"/>
  <c r="Y28"/>
  <c r="Y25"/>
  <c r="Y16"/>
  <c r="N36" i="40"/>
  <c r="N36" i="201"/>
  <c r="N38" i="184" s="1"/>
  <c r="P38" s="1"/>
  <c r="W42" i="187"/>
  <c r="W43" s="1"/>
  <c r="F163" i="182"/>
  <c r="G30" s="1"/>
  <c r="AB17" i="25" s="1"/>
  <c r="F30" i="182"/>
  <c r="AA17" i="25" s="1"/>
  <c r="F148" i="182"/>
  <c r="F29"/>
  <c r="F172"/>
  <c r="F176" s="1"/>
  <c r="F20" s="1"/>
  <c r="G201" s="1"/>
  <c r="F31" s="1"/>
  <c r="AA18" i="25" s="1"/>
  <c r="F119" i="182"/>
  <c r="G202"/>
  <c r="L10" i="40"/>
  <c r="N43" l="1"/>
  <c r="E38" i="184"/>
  <c r="F26"/>
  <c r="M173" i="60"/>
  <c r="G203" i="182"/>
  <c r="G31" s="1"/>
  <c r="AB18" i="25" s="1"/>
  <c r="AC18" s="1"/>
  <c r="L48" i="40"/>
  <c r="L50" s="1"/>
  <c r="S10"/>
  <c r="AA15" i="25"/>
  <c r="AA34" s="1"/>
  <c r="F34" i="182"/>
  <c r="F32"/>
  <c r="G29"/>
  <c r="F173"/>
  <c r="F177" s="1"/>
  <c r="AC17" i="25"/>
  <c r="U33"/>
  <c r="V31"/>
  <c r="U12" i="159"/>
  <c r="AD12" s="1"/>
  <c r="U23"/>
  <c r="W23" s="1"/>
  <c r="U13"/>
  <c r="W13" s="1"/>
  <c r="U15"/>
  <c r="W15" s="1"/>
  <c r="U14"/>
  <c r="U17"/>
  <c r="AD17" s="1"/>
  <c r="AF17" s="1"/>
  <c r="U16"/>
  <c r="U18"/>
  <c r="AD18" s="1"/>
  <c r="M43" i="36"/>
  <c r="M23" i="96"/>
  <c r="O23" s="1"/>
  <c r="M32"/>
  <c r="S32" s="1"/>
  <c r="K27" i="167"/>
  <c r="F35"/>
  <c r="K106" i="36"/>
  <c r="M112"/>
  <c r="M113"/>
  <c r="G43" i="96"/>
  <c r="G45" s="1"/>
  <c r="X34"/>
  <c r="X47" s="1"/>
  <c r="F11" i="150"/>
  <c r="F12" s="1"/>
  <c r="E22"/>
  <c r="E25" s="1"/>
  <c r="E26" s="1"/>
  <c r="E28" s="1"/>
  <c r="E32" s="1"/>
  <c r="E33" s="1"/>
  <c r="E35" s="1"/>
  <c r="E38" s="1"/>
  <c r="D22"/>
  <c r="D25" s="1"/>
  <c r="D26" s="1"/>
  <c r="D28" s="1"/>
  <c r="D32" s="1"/>
  <c r="D33" s="1"/>
  <c r="D35" s="1"/>
  <c r="D38" s="1"/>
  <c r="A8"/>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U23" i="156"/>
  <c r="AD23" s="1"/>
  <c r="A12" i="136"/>
  <c r="A13" s="1"/>
  <c r="A14" s="1"/>
  <c r="A15" s="1"/>
  <c r="A16" s="1"/>
  <c r="A17" s="1"/>
  <c r="A18" s="1"/>
  <c r="A19" s="1"/>
  <c r="A20" s="1"/>
  <c r="A21" s="1"/>
  <c r="A22" s="1"/>
  <c r="A23" s="1"/>
  <c r="A24" s="1"/>
  <c r="A25" s="1"/>
  <c r="A26" s="1"/>
  <c r="A8" i="77"/>
  <c r="A9" s="1"/>
  <c r="A10" s="1"/>
  <c r="A11" s="1"/>
  <c r="A12" s="1"/>
  <c r="A13" s="1"/>
  <c r="A14" s="1"/>
  <c r="A15" s="1"/>
  <c r="A16" s="1"/>
  <c r="A17" s="1"/>
  <c r="A18" s="1"/>
  <c r="D25" i="136"/>
  <c r="C25"/>
  <c r="C12" i="112"/>
  <c r="C13" s="1"/>
  <c r="C15" s="1"/>
  <c r="C16" s="1"/>
  <c r="C17" s="1"/>
  <c r="C18" s="1"/>
  <c r="B40" i="36"/>
  <c r="B41" s="1"/>
  <c r="B42" s="1"/>
  <c r="B43" s="1"/>
  <c r="B44" s="1"/>
  <c r="B45" s="1"/>
  <c r="B46" s="1"/>
  <c r="B47" s="1"/>
  <c r="B48" s="1"/>
  <c r="B49" s="1"/>
  <c r="B50" s="1"/>
  <c r="B114"/>
  <c r="B115" s="1"/>
  <c r="B116" s="1"/>
  <c r="B117" s="1"/>
  <c r="B22"/>
  <c r="B23" s="1"/>
  <c r="N42"/>
  <c r="A10" i="142"/>
  <c r="A11" s="1"/>
  <c r="A12" s="1"/>
  <c r="A13" s="1"/>
  <c r="A14" s="1"/>
  <c r="A15" s="1"/>
  <c r="A16" s="1"/>
  <c r="A17" s="1"/>
  <c r="A18" s="1"/>
  <c r="A19" s="1"/>
  <c r="E184" i="115"/>
  <c r="E207" s="1"/>
  <c r="H205"/>
  <c r="H183" s="1"/>
  <c r="H184" s="1"/>
  <c r="H207" s="1"/>
  <c r="G192"/>
  <c r="H192" s="1"/>
  <c r="G184"/>
  <c r="G207" s="1"/>
  <c r="A39" i="142"/>
  <c r="A40" s="1"/>
  <c r="A41" s="1"/>
  <c r="A42" s="1"/>
  <c r="A51"/>
  <c r="A52" s="1"/>
  <c r="A55" s="1"/>
  <c r="A57" s="1"/>
  <c r="A59" s="1"/>
  <c r="B9" i="128"/>
  <c r="B10" s="1"/>
  <c r="B11" s="1"/>
  <c r="B12" s="1"/>
  <c r="B13" s="1"/>
  <c r="B14" s="1"/>
  <c r="B15" s="1"/>
  <c r="G27" i="167"/>
  <c r="G35" s="1"/>
  <c r="B35"/>
  <c r="F37" i="80"/>
  <c r="F39" s="1"/>
  <c r="K39" s="1"/>
  <c r="G39"/>
  <c r="B39"/>
  <c r="F38" i="152"/>
  <c r="F40" s="1"/>
  <c r="K40" s="1"/>
  <c r="A34" i="158"/>
  <c r="A40" s="1"/>
  <c r="A42" s="1"/>
  <c r="A46" s="1"/>
  <c r="A48" s="1"/>
  <c r="A52" s="1"/>
  <c r="A54" s="1"/>
  <c r="A56" s="1"/>
  <c r="A25" i="154"/>
  <c r="A31" s="1"/>
  <c r="A32" s="1"/>
  <c r="A33" s="1"/>
  <c r="A34" s="1"/>
  <c r="G40" i="152"/>
  <c r="B40"/>
  <c r="U43" i="156"/>
  <c r="AD43" s="1"/>
  <c r="U41"/>
  <c r="X41" s="1"/>
  <c r="Z41" s="1"/>
  <c r="U16"/>
  <c r="AD16" s="1"/>
  <c r="U39"/>
  <c r="AD39" s="1"/>
  <c r="AF39" s="1"/>
  <c r="U42"/>
  <c r="W42" s="1"/>
  <c r="T34"/>
  <c r="T47" s="1"/>
  <c r="S47"/>
  <c r="R47"/>
  <c r="M34"/>
  <c r="M47" s="1"/>
  <c r="O25"/>
  <c r="U25" s="1"/>
  <c r="W25" s="1"/>
  <c r="U31"/>
  <c r="X31" s="1"/>
  <c r="Z31" s="1"/>
  <c r="U30"/>
  <c r="X30" s="1"/>
  <c r="Z30" s="1"/>
  <c r="U40"/>
  <c r="AD40" s="1"/>
  <c r="AF40" s="1"/>
  <c r="U24"/>
  <c r="X24" s="1"/>
  <c r="Z24" s="1"/>
  <c r="U14"/>
  <c r="AD14" s="1"/>
  <c r="AJ14" s="1"/>
  <c r="AL14" s="1"/>
  <c r="U17"/>
  <c r="AD17" s="1"/>
  <c r="AF17" s="1"/>
  <c r="O26"/>
  <c r="Q26" s="1"/>
  <c r="O32"/>
  <c r="U32" s="1"/>
  <c r="W32" s="1"/>
  <c r="U27"/>
  <c r="X27" s="1"/>
  <c r="Z27" s="1"/>
  <c r="U13"/>
  <c r="AD13" s="1"/>
  <c r="AF13" s="1"/>
  <c r="U18"/>
  <c r="AD18" s="1"/>
  <c r="AF18" s="1"/>
  <c r="U29"/>
  <c r="X29" s="1"/>
  <c r="Z29" s="1"/>
  <c r="U37"/>
  <c r="AD37" s="1"/>
  <c r="AF37" s="1"/>
  <c r="U15"/>
  <c r="W15" s="1"/>
  <c r="U38"/>
  <c r="X38" s="1"/>
  <c r="Z38" s="1"/>
  <c r="O28"/>
  <c r="U28" s="1"/>
  <c r="W28" s="1"/>
  <c r="L47"/>
  <c r="K47"/>
  <c r="H47"/>
  <c r="I47"/>
  <c r="F47"/>
  <c r="E47"/>
  <c r="P47"/>
  <c r="W17"/>
  <c r="X13"/>
  <c r="Z13" s="1"/>
  <c r="W13"/>
  <c r="W16"/>
  <c r="W39"/>
  <c r="AG47"/>
  <c r="AH47"/>
  <c r="AI47"/>
  <c r="AE47"/>
  <c r="AC47"/>
  <c r="AB47"/>
  <c r="AA47"/>
  <c r="V47"/>
  <c r="Y47"/>
  <c r="AK47"/>
  <c r="G21" i="120"/>
  <c r="J21" s="1"/>
  <c r="J28" s="1"/>
  <c r="J32" s="1"/>
  <c r="I68" i="101"/>
  <c r="I69" s="1"/>
  <c r="H69"/>
  <c r="H171" i="106"/>
  <c r="H157"/>
  <c r="H151"/>
  <c r="H152"/>
  <c r="G151"/>
  <c r="G152"/>
  <c r="E151"/>
  <c r="E152"/>
  <c r="H205"/>
  <c r="G192"/>
  <c r="H192" s="1"/>
  <c r="T51" i="86"/>
  <c r="U51" s="1"/>
  <c r="I51" i="101"/>
  <c r="I52" s="1"/>
  <c r="H52"/>
  <c r="D52"/>
  <c r="I28" i="120"/>
  <c r="I32" s="1"/>
  <c r="F28"/>
  <c r="F32" s="1"/>
  <c r="D32"/>
  <c r="B32"/>
  <c r="E280" i="99"/>
  <c r="E281" s="1"/>
  <c r="D281"/>
  <c r="C281"/>
  <c r="G36" i="98"/>
  <c r="G250"/>
  <c r="G252" s="1"/>
  <c r="G37" s="1"/>
  <c r="G301"/>
  <c r="G303" s="1"/>
  <c r="G38" s="1"/>
  <c r="I123" i="101"/>
  <c r="I124" s="1"/>
  <c r="H124"/>
  <c r="D313" i="99"/>
  <c r="E313" s="1"/>
  <c r="E333" s="1"/>
  <c r="D92" i="101"/>
  <c r="D94" s="1"/>
  <c r="E252" i="98"/>
  <c r="E37" s="1"/>
  <c r="E303"/>
  <c r="E38" s="1"/>
  <c r="E82"/>
  <c r="E83" s="1"/>
  <c r="E92" s="1"/>
  <c r="E94"/>
  <c r="E95"/>
  <c r="G92"/>
  <c r="G97" s="1"/>
  <c r="E93" s="1"/>
  <c r="D38" i="101"/>
  <c r="D86"/>
  <c r="D88" s="1"/>
  <c r="D98"/>
  <c r="D100" s="1"/>
  <c r="I37"/>
  <c r="I38" s="1"/>
  <c r="H38"/>
  <c r="D20"/>
  <c r="H20"/>
  <c r="H146"/>
  <c r="H147"/>
  <c r="D26"/>
  <c r="D28" s="1"/>
  <c r="I26"/>
  <c r="H26"/>
  <c r="C97"/>
  <c r="B11" i="118"/>
  <c r="B12" s="1"/>
  <c r="B13" s="1"/>
  <c r="B14" s="1"/>
  <c r="B15" s="1"/>
  <c r="B16" s="1"/>
  <c r="B18" s="1"/>
  <c r="B19" s="1"/>
  <c r="B20" s="1"/>
  <c r="B22" s="1"/>
  <c r="B23" s="1"/>
  <c r="B24" s="1"/>
  <c r="B25" s="1"/>
  <c r="B26" s="1"/>
  <c r="B27" s="1"/>
  <c r="B59" i="144"/>
  <c r="B60" s="1"/>
  <c r="B61" s="1"/>
  <c r="B62" s="1"/>
  <c r="B25"/>
  <c r="B26" s="1"/>
  <c r="B27" s="1"/>
  <c r="B28" s="1"/>
  <c r="B29" s="1"/>
  <c r="B30" s="1"/>
  <c r="B31" s="1"/>
  <c r="B32" s="1"/>
  <c r="B33" s="1"/>
  <c r="B34" s="1"/>
  <c r="B35" s="1"/>
  <c r="J112" i="49"/>
  <c r="K112" s="1"/>
  <c r="J43" i="160"/>
  <c r="K43" s="1"/>
  <c r="A70" i="49"/>
  <c r="A71" s="1"/>
  <c r="A72" s="1"/>
  <c r="A73" s="1"/>
  <c r="A74" s="1"/>
  <c r="A75" s="1"/>
  <c r="B18" i="166"/>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J18"/>
  <c r="K71" i="49"/>
  <c r="K73" s="1"/>
  <c r="A44"/>
  <c r="A45" s="1"/>
  <c r="AF34" i="96"/>
  <c r="M34" i="159"/>
  <c r="T34"/>
  <c r="T47" s="1"/>
  <c r="U27"/>
  <c r="W27" s="1"/>
  <c r="U24"/>
  <c r="W24" s="1"/>
  <c r="U30"/>
  <c r="W30" s="1"/>
  <c r="U29"/>
  <c r="X29" s="1"/>
  <c r="Z29" s="1"/>
  <c r="O25"/>
  <c r="Q25" s="1"/>
  <c r="O32"/>
  <c r="U32" s="1"/>
  <c r="W32" s="1"/>
  <c r="O28"/>
  <c r="U42"/>
  <c r="AD42" s="1"/>
  <c r="AJ42" s="1"/>
  <c r="AL42" s="1"/>
  <c r="O26"/>
  <c r="Q26" s="1"/>
  <c r="U43"/>
  <c r="X43" s="1"/>
  <c r="Z43" s="1"/>
  <c r="U39"/>
  <c r="AD39" s="1"/>
  <c r="U40"/>
  <c r="AD40" s="1"/>
  <c r="AF40" s="1"/>
  <c r="U37"/>
  <c r="W37" s="1"/>
  <c r="U38"/>
  <c r="AD38" s="1"/>
  <c r="U41"/>
  <c r="AD41" s="1"/>
  <c r="AF41" s="1"/>
  <c r="U31"/>
  <c r="W31" s="1"/>
  <c r="F47" i="96"/>
  <c r="E47"/>
  <c r="D47"/>
  <c r="W14" i="159"/>
  <c r="W12"/>
  <c r="W40"/>
  <c r="D12" i="150"/>
  <c r="D14" s="1"/>
  <c r="D17" s="1"/>
  <c r="E12"/>
  <c r="E14" s="1"/>
  <c r="E17" s="1"/>
  <c r="G44"/>
  <c r="W43" i="159" l="1"/>
  <c r="X31"/>
  <c r="Z31" s="1"/>
  <c r="AD43"/>
  <c r="AF43" s="1"/>
  <c r="H148" i="101"/>
  <c r="D333" i="99"/>
  <c r="W27" i="156"/>
  <c r="S23" i="96"/>
  <c r="H11" i="36" s="1"/>
  <c r="X17" i="159"/>
  <c r="Z17" s="1"/>
  <c r="I43" i="96"/>
  <c r="W14" i="156"/>
  <c r="W43"/>
  <c r="AD42"/>
  <c r="AF42" s="1"/>
  <c r="AD41"/>
  <c r="AJ41" s="1"/>
  <c r="AL41" s="1"/>
  <c r="W17" i="159"/>
  <c r="X37"/>
  <c r="Z37" s="1"/>
  <c r="X40"/>
  <c r="Z40" s="1"/>
  <c r="M43" i="96"/>
  <c r="O43" s="1"/>
  <c r="X40" i="156"/>
  <c r="Z40" s="1"/>
  <c r="X14"/>
  <c r="Z14" s="1"/>
  <c r="X37"/>
  <c r="Z37" s="1"/>
  <c r="W23"/>
  <c r="W37"/>
  <c r="X42" i="159"/>
  <c r="Z42" s="1"/>
  <c r="X38"/>
  <c r="Z38" s="1"/>
  <c r="O32" i="96"/>
  <c r="J47" i="156"/>
  <c r="X39" i="159"/>
  <c r="Z39" s="1"/>
  <c r="W38"/>
  <c r="X42" i="156"/>
  <c r="Z42" s="1"/>
  <c r="W18"/>
  <c r="U26"/>
  <c r="W26" s="1"/>
  <c r="K29" i="167"/>
  <c r="AA30" i="25"/>
  <c r="N49" i="40" s="1"/>
  <c r="N45"/>
  <c r="P43"/>
  <c r="G32" i="182"/>
  <c r="U26" i="159"/>
  <c r="W26" s="1"/>
  <c r="AJ43"/>
  <c r="AL43" s="1"/>
  <c r="X30"/>
  <c r="Z30" s="1"/>
  <c r="X27"/>
  <c r="Z27" s="1"/>
  <c r="W31" i="156"/>
  <c r="I46" i="201"/>
  <c r="P46" s="1"/>
  <c r="G34" i="182"/>
  <c r="AB15" i="25"/>
  <c r="AB30" s="1"/>
  <c r="W39" i="159"/>
  <c r="W29"/>
  <c r="E153" i="106"/>
  <c r="E159" s="1"/>
  <c r="E173" s="1"/>
  <c r="E183" s="1"/>
  <c r="E184" s="1"/>
  <c r="E207" s="1"/>
  <c r="H153"/>
  <c r="H159" s="1"/>
  <c r="H173" s="1"/>
  <c r="X15" i="156"/>
  <c r="Z15" s="1"/>
  <c r="X18"/>
  <c r="Z18" s="1"/>
  <c r="AJ18"/>
  <c r="AL18" s="1"/>
  <c r="C20" i="112"/>
  <c r="C21" s="1"/>
  <c r="C22" s="1"/>
  <c r="C23" s="1"/>
  <c r="C24" s="1"/>
  <c r="C25" s="1"/>
  <c r="C26" s="1"/>
  <c r="C27" s="1"/>
  <c r="C28" s="1"/>
  <c r="AJ43" i="156"/>
  <c r="AL43" s="1"/>
  <c r="AF43"/>
  <c r="AJ39" i="159"/>
  <c r="AL39" s="1"/>
  <c r="AF39"/>
  <c r="F14" i="150"/>
  <c r="F17" s="1"/>
  <c r="F18" s="1"/>
  <c r="G12"/>
  <c r="H20" i="36"/>
  <c r="H114" s="1"/>
  <c r="W32" i="96"/>
  <c r="AD32"/>
  <c r="L20" i="36" s="1"/>
  <c r="K114" s="1"/>
  <c r="AF16" i="156"/>
  <c r="AJ16"/>
  <c r="AL16" s="1"/>
  <c r="A19" i="77"/>
  <c r="A20" s="1"/>
  <c r="A21" s="1"/>
  <c r="A22" s="1"/>
  <c r="AD37" i="159"/>
  <c r="D75" i="101"/>
  <c r="W40" i="156"/>
  <c r="AJ17"/>
  <c r="AL17" s="1"/>
  <c r="Y34" i="96"/>
  <c r="E44" i="79" s="1"/>
  <c r="H44" s="1"/>
  <c r="X41" i="159"/>
  <c r="Z41" s="1"/>
  <c r="W41"/>
  <c r="W42"/>
  <c r="U25"/>
  <c r="W25" s="1"/>
  <c r="G153" i="106"/>
  <c r="G159" s="1"/>
  <c r="G173" s="1"/>
  <c r="G183" s="1"/>
  <c r="G184" s="1"/>
  <c r="G207" s="1"/>
  <c r="X39" i="156"/>
  <c r="Z39" s="1"/>
  <c r="W38"/>
  <c r="W30"/>
  <c r="G39" i="98"/>
  <c r="G44" s="1"/>
  <c r="G52" s="1"/>
  <c r="E53" s="1"/>
  <c r="W23" i="96"/>
  <c r="S43"/>
  <c r="W43" s="1"/>
  <c r="Q32" i="159"/>
  <c r="X32" s="1"/>
  <c r="Z32" s="1"/>
  <c r="AD34" i="96"/>
  <c r="E46" i="79" s="1"/>
  <c r="I20" i="101"/>
  <c r="C20" s="1"/>
  <c r="W29" i="156"/>
  <c r="O34"/>
  <c r="U34" s="1"/>
  <c r="W34" s="1"/>
  <c r="X24" i="159"/>
  <c r="Z24" s="1"/>
  <c r="C26" i="101"/>
  <c r="E39" i="98"/>
  <c r="E44" s="1"/>
  <c r="G28" i="120"/>
  <c r="G32" s="1"/>
  <c r="X43" i="156"/>
  <c r="Z43" s="1"/>
  <c r="W41"/>
  <c r="X17"/>
  <c r="Z17" s="1"/>
  <c r="X16"/>
  <c r="Z16" s="1"/>
  <c r="W24"/>
  <c r="N43" i="36"/>
  <c r="N50" s="1"/>
  <c r="O42"/>
  <c r="M50"/>
  <c r="M118"/>
  <c r="E41" i="150"/>
  <c r="E43" s="1"/>
  <c r="E45" s="1"/>
  <c r="E49" s="1"/>
  <c r="E50" s="1"/>
  <c r="E52" s="1"/>
  <c r="E55" s="1"/>
  <c r="E56" s="1"/>
  <c r="E58" s="1"/>
  <c r="E61" s="1"/>
  <c r="E63" s="1"/>
  <c r="E40"/>
  <c r="D40"/>
  <c r="D41"/>
  <c r="D43" s="1"/>
  <c r="D45" s="1"/>
  <c r="D49" s="1"/>
  <c r="D50" s="1"/>
  <c r="D52" s="1"/>
  <c r="D55" s="1"/>
  <c r="D56" s="1"/>
  <c r="D58" s="1"/>
  <c r="D61" s="1"/>
  <c r="D63" s="1"/>
  <c r="AJ23" i="156"/>
  <c r="AL23" s="1"/>
  <c r="AF23"/>
  <c r="AD34"/>
  <c r="I45" i="96"/>
  <c r="M45"/>
  <c r="Q28" i="159"/>
  <c r="U28"/>
  <c r="W28" s="1"/>
  <c r="D40" i="101"/>
  <c r="D103" s="1"/>
  <c r="C38"/>
  <c r="AF12" i="159"/>
  <c r="AJ12"/>
  <c r="AJ38"/>
  <c r="AL38" s="1"/>
  <c r="AF38"/>
  <c r="E25" i="136"/>
  <c r="D26"/>
  <c r="X16" i="159"/>
  <c r="Z16" s="1"/>
  <c r="W16"/>
  <c r="AD16"/>
  <c r="X13"/>
  <c r="Z13" s="1"/>
  <c r="AD13"/>
  <c r="E97" i="98"/>
  <c r="E51" s="1"/>
  <c r="E52" s="1"/>
  <c r="E54" s="1"/>
  <c r="H183" i="106"/>
  <c r="H184" s="1"/>
  <c r="H207" s="1"/>
  <c r="X18" i="159"/>
  <c r="Z18" s="1"/>
  <c r="W18"/>
  <c r="AJ41"/>
  <c r="AL41" s="1"/>
  <c r="AJ40"/>
  <c r="AL40" s="1"/>
  <c r="AF42"/>
  <c r="AD43" i="96"/>
  <c r="AG43" s="1"/>
  <c r="C52" i="101"/>
  <c r="H82"/>
  <c r="AF41" i="156"/>
  <c r="O47"/>
  <c r="AF14"/>
  <c r="AD38"/>
  <c r="AJ40"/>
  <c r="AL40" s="1"/>
  <c r="AJ39"/>
  <c r="AL39" s="1"/>
  <c r="AD35" i="96"/>
  <c r="AJ18" i="159"/>
  <c r="Q21" i="36" s="1"/>
  <c r="M21"/>
  <c r="AF18" i="159"/>
  <c r="AD15"/>
  <c r="X15"/>
  <c r="Z15" s="1"/>
  <c r="K35" i="167"/>
  <c r="AD14" i="159"/>
  <c r="X14"/>
  <c r="Z14" s="1"/>
  <c r="M47"/>
  <c r="O47" s="1"/>
  <c r="O34"/>
  <c r="AD23" i="96"/>
  <c r="AJ17" i="159"/>
  <c r="M19" i="36"/>
  <c r="AD23" i="159"/>
  <c r="X23"/>
  <c r="Z23" s="1"/>
  <c r="Q28" i="156"/>
  <c r="X28" s="1"/>
  <c r="Z28" s="1"/>
  <c r="AD15"/>
  <c r="AJ13"/>
  <c r="AL13" s="1"/>
  <c r="Q25"/>
  <c r="X25" s="1"/>
  <c r="Z25" s="1"/>
  <c r="B118" i="36"/>
  <c r="G47" i="96"/>
  <c r="C100" i="101"/>
  <c r="AJ37" i="156"/>
  <c r="AL37" s="1"/>
  <c r="Q32"/>
  <c r="X32" s="1"/>
  <c r="Z32" s="1"/>
  <c r="AJ42"/>
  <c r="AL42" s="1"/>
  <c r="X12" i="159"/>
  <c r="Z12" s="1"/>
  <c r="X23" i="156"/>
  <c r="Z23" s="1"/>
  <c r="AG32" i="96" l="1"/>
  <c r="X26" i="156"/>
  <c r="Z26" s="1"/>
  <c r="Q34"/>
  <c r="X34" s="1"/>
  <c r="Z34" s="1"/>
  <c r="E57" i="79"/>
  <c r="H57" s="1"/>
  <c r="AB34" i="25"/>
  <c r="AC34" s="1"/>
  <c r="AC15"/>
  <c r="X25" i="159"/>
  <c r="Z25" s="1"/>
  <c r="X28"/>
  <c r="Z28" s="1"/>
  <c r="X26"/>
  <c r="Z26" s="1"/>
  <c r="AG34" i="96"/>
  <c r="X35"/>
  <c r="Y35" s="1"/>
  <c r="D4" i="168"/>
  <c r="D6" s="1"/>
  <c r="AJ37" i="159"/>
  <c r="AL37" s="1"/>
  <c r="AF37"/>
  <c r="E80" i="36"/>
  <c r="F80" s="1"/>
  <c r="G18" i="150"/>
  <c r="F20"/>
  <c r="F22" s="1"/>
  <c r="G17"/>
  <c r="F26" i="134"/>
  <c r="O50" i="36"/>
  <c r="O43"/>
  <c r="AJ23" i="159"/>
  <c r="AL23" s="1"/>
  <c r="AF23"/>
  <c r="AD34"/>
  <c r="AJ14"/>
  <c r="AF14"/>
  <c r="M18" i="36"/>
  <c r="L11"/>
  <c r="E71" s="1"/>
  <c r="F71" s="1"/>
  <c r="AG23" i="96"/>
  <c r="M47"/>
  <c r="I47"/>
  <c r="AJ15" i="156"/>
  <c r="AL15" s="1"/>
  <c r="AF15"/>
  <c r="L113" i="36"/>
  <c r="U34" i="159"/>
  <c r="W34" s="1"/>
  <c r="Q34"/>
  <c r="AL18"/>
  <c r="AJ13"/>
  <c r="M12" i="36"/>
  <c r="AF13" i="159"/>
  <c r="O45" i="96"/>
  <c r="S45"/>
  <c r="AF34" i="156"/>
  <c r="AJ34"/>
  <c r="AD47"/>
  <c r="E34" i="158"/>
  <c r="D26" i="154"/>
  <c r="E26" s="1"/>
  <c r="H105" i="36"/>
  <c r="H118" s="1"/>
  <c r="H23"/>
  <c r="D55" s="1"/>
  <c r="D57" s="1"/>
  <c r="U47" i="156"/>
  <c r="W47" s="1"/>
  <c r="Q47"/>
  <c r="AJ16" i="159"/>
  <c r="M20" i="36"/>
  <c r="AF16" i="159"/>
  <c r="AL12"/>
  <c r="Q19" i="36"/>
  <c r="O113" s="1"/>
  <c r="AL17" i="159"/>
  <c r="U47"/>
  <c r="W47" s="1"/>
  <c r="Q47"/>
  <c r="AJ15"/>
  <c r="M13" i="36"/>
  <c r="AF15" i="159"/>
  <c r="AJ38" i="156"/>
  <c r="AL38" s="1"/>
  <c r="AF38"/>
  <c r="M11" i="36"/>
  <c r="Q11" l="1"/>
  <c r="E86" s="1"/>
  <c r="F86" s="1"/>
  <c r="X47" i="159"/>
  <c r="Z47" s="1"/>
  <c r="N10" i="201"/>
  <c r="AB31" i="25"/>
  <c r="N10" i="40"/>
  <c r="M180" i="60"/>
  <c r="AC30" i="25"/>
  <c r="H25" i="192"/>
  <c r="F81" i="36"/>
  <c r="I23" i="150"/>
  <c r="F25"/>
  <c r="F26" s="1"/>
  <c r="Q20" i="36"/>
  <c r="O114" s="1"/>
  <c r="AL16" i="159"/>
  <c r="AJ47" i="156"/>
  <c r="AL47" s="1"/>
  <c r="AF47"/>
  <c r="Q18" i="36"/>
  <c r="O112" s="1"/>
  <c r="AL14" i="159"/>
  <c r="Q13" i="36"/>
  <c r="O107" s="1"/>
  <c r="AL15" i="159"/>
  <c r="L114" i="36"/>
  <c r="E25" i="134"/>
  <c r="E27" s="1"/>
  <c r="G43" i="79"/>
  <c r="H43" s="1"/>
  <c r="E123" i="36"/>
  <c r="E125" s="1"/>
  <c r="W45" i="96"/>
  <c r="AD45"/>
  <c r="AG45" s="1"/>
  <c r="AL13" i="159"/>
  <c r="Q12" i="36"/>
  <c r="O106" s="1"/>
  <c r="K105"/>
  <c r="K118" s="1"/>
  <c r="L23"/>
  <c r="G46" i="79" s="1"/>
  <c r="H46" s="1"/>
  <c r="E88" i="36"/>
  <c r="F88" s="1"/>
  <c r="L107"/>
  <c r="L106"/>
  <c r="L112"/>
  <c r="L105"/>
  <c r="M23"/>
  <c r="F25" i="134" s="1"/>
  <c r="D30" i="154"/>
  <c r="E38" i="158"/>
  <c r="AL34" i="156"/>
  <c r="S47" i="96"/>
  <c r="O47"/>
  <c r="AF34" i="159"/>
  <c r="AJ34"/>
  <c r="AL34" s="1"/>
  <c r="AD47"/>
  <c r="X34"/>
  <c r="Z34" s="1"/>
  <c r="X47" i="156"/>
  <c r="Z47" s="1"/>
  <c r="E94" i="36"/>
  <c r="F94" s="1"/>
  <c r="Q23" l="1"/>
  <c r="G25" i="134" s="1"/>
  <c r="N48" i="40"/>
  <c r="N50" s="1"/>
  <c r="T10"/>
  <c r="K25" i="192"/>
  <c r="G26" i="150"/>
  <c r="F28"/>
  <c r="F32" s="1"/>
  <c r="E93" i="36"/>
  <c r="F93" s="1"/>
  <c r="W47" i="96"/>
  <c r="AD47"/>
  <c r="AG47" s="1"/>
  <c r="D141" i="36"/>
  <c r="D145" s="1"/>
  <c r="F141" s="1"/>
  <c r="F145" s="1"/>
  <c r="H141" s="1"/>
  <c r="H145" s="1"/>
  <c r="F27" i="134"/>
  <c r="G34" i="158"/>
  <c r="H34" s="1"/>
  <c r="G123" i="36"/>
  <c r="G125" s="1"/>
  <c r="G54" i="158" s="1"/>
  <c r="H54" s="1"/>
  <c r="AJ47" i="159"/>
  <c r="AL47" s="1"/>
  <c r="AF47"/>
  <c r="E35" i="134"/>
  <c r="E24" i="169"/>
  <c r="E25" s="1"/>
  <c r="E95" i="36"/>
  <c r="F95" s="1"/>
  <c r="L118"/>
  <c r="E87"/>
  <c r="F87" s="1"/>
  <c r="G30" i="134" l="1"/>
  <c r="I11" i="169" s="1"/>
  <c r="G27" i="134"/>
  <c r="E103" i="60"/>
  <c r="E104" s="1"/>
  <c r="G96" s="1"/>
  <c r="F12" i="201"/>
  <c r="F33" i="150"/>
  <c r="G32"/>
  <c r="F96" i="36"/>
  <c r="G38" i="158"/>
  <c r="H38" s="1"/>
  <c r="F12" i="40"/>
  <c r="F35" i="134"/>
  <c r="G24" i="169"/>
  <c r="G25" s="1"/>
  <c r="G12" i="201" l="1"/>
  <c r="G103" i="60"/>
  <c r="G104" s="1"/>
  <c r="J96" s="1"/>
  <c r="I12" i="201"/>
  <c r="G33" i="150"/>
  <c r="F35"/>
  <c r="F38" s="1"/>
  <c r="F40" s="1"/>
  <c r="J21" i="44"/>
  <c r="J22" s="1"/>
  <c r="L24" i="201" s="1"/>
  <c r="L47" s="1"/>
  <c r="J17" i="44"/>
  <c r="J100" i="60"/>
  <c r="G33" i="134"/>
  <c r="E106" i="60"/>
  <c r="G12" i="40"/>
  <c r="Q12" s="1"/>
  <c r="K18" i="112"/>
  <c r="G34" i="134"/>
  <c r="H30" s="1"/>
  <c r="I12" i="40"/>
  <c r="H27" i="134"/>
  <c r="G35"/>
  <c r="I24" i="169"/>
  <c r="H32" i="134" l="1"/>
  <c r="L100" i="60" s="1"/>
  <c r="H35" i="134"/>
  <c r="K23" i="112"/>
  <c r="K24" s="1"/>
  <c r="K26" s="1"/>
  <c r="M15" i="47" s="1"/>
  <c r="J12" i="201"/>
  <c r="F13" i="40"/>
  <c r="G13" s="1"/>
  <c r="F13" i="201"/>
  <c r="G40" i="150"/>
  <c r="F41"/>
  <c r="F43" s="1"/>
  <c r="F45" s="1"/>
  <c r="F49" s="1"/>
  <c r="G106" i="60"/>
  <c r="I23" i="169"/>
  <c r="I25" s="1"/>
  <c r="I35"/>
  <c r="I37" s="1"/>
  <c r="K24"/>
  <c r="M18" i="112"/>
  <c r="M23" s="1"/>
  <c r="M24" s="1"/>
  <c r="K11" i="169"/>
  <c r="T13" i="112"/>
  <c r="J12" i="40"/>
  <c r="R12" s="1"/>
  <c r="I15" i="169"/>
  <c r="I16" s="1"/>
  <c r="G23" i="40" l="1"/>
  <c r="Q13"/>
  <c r="F23"/>
  <c r="F26" s="1"/>
  <c r="F28" s="1"/>
  <c r="J103" i="60"/>
  <c r="J104" s="1"/>
  <c r="L12" i="201"/>
  <c r="G13"/>
  <c r="G23" s="1"/>
  <c r="G26" s="1"/>
  <c r="G28" s="1"/>
  <c r="F23"/>
  <c r="F26" s="1"/>
  <c r="F28" s="1"/>
  <c r="L20" i="40"/>
  <c r="S20" s="1"/>
  <c r="L20" i="201"/>
  <c r="I13" i="40"/>
  <c r="J13" s="1"/>
  <c r="R13" s="1"/>
  <c r="I13" i="201"/>
  <c r="G49" i="150"/>
  <c r="F50"/>
  <c r="L12" i="40"/>
  <c r="S12" s="1"/>
  <c r="H34" i="134"/>
  <c r="L10" i="44"/>
  <c r="V13" i="112"/>
  <c r="M26"/>
  <c r="L16" i="44"/>
  <c r="L21" s="1"/>
  <c r="H33" i="134"/>
  <c r="K15" i="169"/>
  <c r="K16" s="1"/>
  <c r="K28" i="112"/>
  <c r="M17" i="47"/>
  <c r="K23" i="169"/>
  <c r="K25" s="1"/>
  <c r="N12" i="201" s="1"/>
  <c r="D59" s="1"/>
  <c r="K35" i="169"/>
  <c r="K37" s="1"/>
  <c r="N12" i="40" l="1"/>
  <c r="T12" s="1"/>
  <c r="L103" i="60"/>
  <c r="G26" i="40"/>
  <c r="Q23"/>
  <c r="J13" i="201"/>
  <c r="N20" i="40"/>
  <c r="T20" s="1"/>
  <c r="N20" i="201"/>
  <c r="G50" i="150"/>
  <c r="F52"/>
  <c r="F55" s="1"/>
  <c r="L24" i="40"/>
  <c r="S24" s="1"/>
  <c r="L96" i="60"/>
  <c r="J106"/>
  <c r="G102" i="134"/>
  <c r="G56"/>
  <c r="I9" i="119" s="1"/>
  <c r="I10" s="1"/>
  <c r="I11" s="1"/>
  <c r="L29" i="40" s="1"/>
  <c r="L20" i="44"/>
  <c r="L22" s="1"/>
  <c r="N24" i="201" s="1"/>
  <c r="N47" s="1"/>
  <c r="L17" i="44"/>
  <c r="M28" i="112"/>
  <c r="P15" i="47"/>
  <c r="P17" s="1"/>
  <c r="D61" i="40" l="1"/>
  <c r="S29"/>
  <c r="G28"/>
  <c r="Q26"/>
  <c r="L13"/>
  <c r="S13" s="1"/>
  <c r="L13" i="201"/>
  <c r="I8" i="192"/>
  <c r="I12" s="1"/>
  <c r="I33"/>
  <c r="L29" i="201"/>
  <c r="G55" i="150"/>
  <c r="F56"/>
  <c r="L104" i="60"/>
  <c r="L106" s="1"/>
  <c r="G107" i="134"/>
  <c r="G103"/>
  <c r="G104"/>
  <c r="G108"/>
  <c r="G105"/>
  <c r="G106"/>
  <c r="M181" i="60"/>
  <c r="H102" i="134"/>
  <c r="N24" i="40"/>
  <c r="T24" s="1"/>
  <c r="H56" i="134"/>
  <c r="K9" i="119" s="1"/>
  <c r="K10" s="1"/>
  <c r="K11" s="1"/>
  <c r="N29" i="40" s="1"/>
  <c r="T29" l="1"/>
  <c r="M185" i="60"/>
  <c r="M196" s="1"/>
  <c r="Q28" i="40"/>
  <c r="N13"/>
  <c r="T13" s="1"/>
  <c r="N13" i="201"/>
  <c r="J8" i="192"/>
  <c r="J12" s="1"/>
  <c r="J33"/>
  <c r="N29" i="201"/>
  <c r="G56" i="150"/>
  <c r="F58"/>
  <c r="F61" s="1"/>
  <c r="F63" s="1"/>
  <c r="G63" s="1"/>
  <c r="K185" i="60"/>
  <c r="H107" i="134"/>
  <c r="H108"/>
  <c r="H104"/>
  <c r="H106"/>
  <c r="G109"/>
  <c r="H103"/>
  <c r="H105"/>
  <c r="N14" i="201" l="1"/>
  <c r="N14" i="40"/>
  <c r="T14" s="1"/>
  <c r="L14"/>
  <c r="S14" s="1"/>
  <c r="L14" i="201"/>
  <c r="L23" s="1"/>
  <c r="L26" s="1"/>
  <c r="L28" s="1"/>
  <c r="L30" s="1"/>
  <c r="K196" i="60"/>
  <c r="L15" i="72"/>
  <c r="L18" s="1"/>
  <c r="H109" i="134"/>
  <c r="L23" i="40" l="1"/>
  <c r="S23" s="1"/>
  <c r="N18"/>
  <c r="T18" s="1"/>
  <c r="N18" i="201"/>
  <c r="N23" s="1"/>
  <c r="N26" s="1"/>
  <c r="N28" s="1"/>
  <c r="N30" s="1"/>
  <c r="N23" i="40" l="1"/>
  <c r="T23" s="1"/>
  <c r="L26"/>
  <c r="S26" s="1"/>
  <c r="N26" l="1"/>
  <c r="T26" s="1"/>
  <c r="L28"/>
  <c r="S28" s="1"/>
  <c r="N28" l="1"/>
  <c r="T28" s="1"/>
  <c r="L30"/>
  <c r="S30" s="1"/>
  <c r="N30" l="1"/>
  <c r="T30" s="1"/>
  <c r="H25" i="145"/>
  <c r="F75" i="134" l="1"/>
  <c r="J9" i="185"/>
  <c r="Q9" s="1"/>
  <c r="R9" l="1"/>
  <c r="V9" l="1"/>
  <c r="I4" i="188" l="1"/>
  <c r="W9" i="185"/>
  <c r="D40" i="186" s="1"/>
  <c r="H4" i="188" l="1"/>
  <c r="G40" i="186"/>
  <c r="J10" i="185"/>
  <c r="Q10" s="1"/>
  <c r="R10" s="1"/>
  <c r="J11"/>
  <c r="Q11" s="1"/>
  <c r="R11" s="1"/>
  <c r="V11" s="1"/>
  <c r="I6" i="188" s="1"/>
  <c r="H6" s="1"/>
  <c r="J12" i="185"/>
  <c r="Q12" s="1"/>
  <c r="R12" s="1"/>
  <c r="V12" s="1"/>
  <c r="I7" i="188" s="1"/>
  <c r="H7" s="1"/>
  <c r="J13" i="185"/>
  <c r="Q13" s="1"/>
  <c r="R13" s="1"/>
  <c r="V13" s="1"/>
  <c r="I8" i="188" s="1"/>
  <c r="H8" s="1"/>
  <c r="J14" i="185"/>
  <c r="Q14" s="1"/>
  <c r="R14" s="1"/>
  <c r="V14" s="1"/>
  <c r="J15"/>
  <c r="Q15" s="1"/>
  <c r="R15" s="1"/>
  <c r="V15" s="1"/>
  <c r="I10" i="188" s="1"/>
  <c r="H10" s="1"/>
  <c r="J16" i="185"/>
  <c r="Q16" s="1"/>
  <c r="R16" s="1"/>
  <c r="V16" s="1"/>
  <c r="J17"/>
  <c r="Q17" s="1"/>
  <c r="R17" s="1"/>
  <c r="V17" s="1"/>
  <c r="J18"/>
  <c r="Q18" s="1"/>
  <c r="R18" s="1"/>
  <c r="V18" s="1"/>
  <c r="J19"/>
  <c r="Q19" s="1"/>
  <c r="R19" s="1"/>
  <c r="V19" s="1"/>
  <c r="I14" i="188" s="1"/>
  <c r="H14" s="1"/>
  <c r="J20" i="185"/>
  <c r="Q20" s="1"/>
  <c r="R20" s="1"/>
  <c r="V20" s="1"/>
  <c r="J21"/>
  <c r="Q21" s="1"/>
  <c r="R21" s="1"/>
  <c r="V21" s="1"/>
  <c r="J22"/>
  <c r="Q22" s="1"/>
  <c r="R22" s="1"/>
  <c r="V22" s="1"/>
  <c r="J23"/>
  <c r="Q23" s="1"/>
  <c r="R23" s="1"/>
  <c r="V23" s="1"/>
  <c r="J24"/>
  <c r="Q24" s="1"/>
  <c r="R24" s="1"/>
  <c r="V24" s="1"/>
  <c r="J25"/>
  <c r="Q25" s="1"/>
  <c r="R25" s="1"/>
  <c r="V25" s="1"/>
  <c r="J26"/>
  <c r="Q26" s="1"/>
  <c r="R26" s="1"/>
  <c r="V26" s="1"/>
  <c r="J27"/>
  <c r="Q27" s="1"/>
  <c r="R27" s="1"/>
  <c r="V27" s="1"/>
  <c r="J28"/>
  <c r="Q28" s="1"/>
  <c r="R28" s="1"/>
  <c r="V28" s="1"/>
  <c r="W14" l="1"/>
  <c r="D42" i="186" s="1"/>
  <c r="W21" i="185"/>
  <c r="D47" i="186" s="1"/>
  <c r="I16" i="188"/>
  <c r="H16" s="1"/>
  <c r="W17" i="185"/>
  <c r="D44" i="186" s="1"/>
  <c r="I12" i="188"/>
  <c r="H12" s="1"/>
  <c r="I23"/>
  <c r="H23" s="1"/>
  <c r="W28" i="185"/>
  <c r="D54" i="186" s="1"/>
  <c r="I17" i="188"/>
  <c r="H17" s="1"/>
  <c r="W22" i="185"/>
  <c r="D48" i="186" s="1"/>
  <c r="I9" i="188"/>
  <c r="H9" s="1"/>
  <c r="I19"/>
  <c r="H19" s="1"/>
  <c r="W24" i="185"/>
  <c r="D50" i="186" s="1"/>
  <c r="I21" i="188"/>
  <c r="H21" s="1"/>
  <c r="W26" i="185"/>
  <c r="D52" i="186" s="1"/>
  <c r="W23" i="185"/>
  <c r="D49" i="186" s="1"/>
  <c r="I18" i="188"/>
  <c r="H18" s="1"/>
  <c r="W27" i="185"/>
  <c r="D53" i="186" s="1"/>
  <c r="I22" i="188"/>
  <c r="H22" s="1"/>
  <c r="I20"/>
  <c r="H20" s="1"/>
  <c r="W25" i="185"/>
  <c r="D51" i="186" s="1"/>
  <c r="I15" i="188"/>
  <c r="H15" s="1"/>
  <c r="W20" i="185"/>
  <c r="D46" i="186" s="1"/>
  <c r="W18" i="185"/>
  <c r="D45" i="186" s="1"/>
  <c r="I13" i="188"/>
  <c r="H13" s="1"/>
  <c r="I11"/>
  <c r="H11" s="1"/>
  <c r="W16" i="185"/>
  <c r="D43" i="186" s="1"/>
  <c r="V10" i="185"/>
  <c r="G42" i="186" l="1"/>
  <c r="G46"/>
  <c r="G52"/>
  <c r="W10" i="185"/>
  <c r="D41" i="186" s="1"/>
  <c r="I5" i="188"/>
  <c r="G51" i="186"/>
  <c r="G47"/>
  <c r="G53"/>
  <c r="G54"/>
  <c r="G43"/>
  <c r="G44"/>
  <c r="G45"/>
  <c r="G49"/>
  <c r="G50"/>
  <c r="G48"/>
  <c r="G41" l="1"/>
  <c r="H5" i="188"/>
  <c r="I24"/>
  <c r="J31" i="185"/>
  <c r="Q31" s="1"/>
  <c r="J32"/>
  <c r="Q32" s="1"/>
  <c r="R32" s="1"/>
  <c r="V32" s="1"/>
  <c r="J33"/>
  <c r="Q33" s="1"/>
  <c r="R33" s="1"/>
  <c r="V33" s="1"/>
  <c r="J34"/>
  <c r="Q34" s="1"/>
  <c r="R34" s="1"/>
  <c r="V34" s="1"/>
  <c r="J35"/>
  <c r="Q35" s="1"/>
  <c r="R35" s="1"/>
  <c r="V35" s="1"/>
  <c r="I30" i="188" l="1"/>
  <c r="H30" s="1"/>
  <c r="W35" i="185"/>
  <c r="D60" i="186" s="1"/>
  <c r="R31" i="185"/>
  <c r="Q37"/>
  <c r="W34"/>
  <c r="D59" i="186" s="1"/>
  <c r="I29" i="188"/>
  <c r="H29" s="1"/>
  <c r="W32" i="185"/>
  <c r="D57" i="186" s="1"/>
  <c r="I27" i="188"/>
  <c r="H27" s="1"/>
  <c r="W33" i="185"/>
  <c r="D58" i="186" s="1"/>
  <c r="I28" i="188"/>
  <c r="H28" s="1"/>
  <c r="G58" i="186" l="1"/>
  <c r="G60"/>
  <c r="V31" i="185"/>
  <c r="R37"/>
  <c r="G59" i="186"/>
  <c r="G57"/>
  <c r="V37" i="185" l="1"/>
  <c r="V42" s="1"/>
  <c r="E50" i="184" s="1"/>
  <c r="I26" i="188"/>
  <c r="W31" i="185"/>
  <c r="D56" i="186" s="1"/>
  <c r="M6" l="1"/>
  <c r="I31" i="188"/>
  <c r="I32" s="1"/>
  <c r="H26"/>
  <c r="G56" i="186"/>
  <c r="B56" l="1"/>
  <c r="B40"/>
  <c r="I38" i="188"/>
  <c r="H38" s="1"/>
  <c r="H32"/>
  <c r="E53" i="186" l="1"/>
  <c r="E54"/>
  <c r="E51"/>
  <c r="E44"/>
  <c r="E49"/>
  <c r="E41"/>
  <c r="E42"/>
  <c r="E46"/>
  <c r="E48"/>
  <c r="E47"/>
  <c r="E52"/>
  <c r="E43"/>
  <c r="E40"/>
  <c r="E50"/>
  <c r="E45"/>
  <c r="F40"/>
  <c r="F46"/>
  <c r="F47"/>
  <c r="F54"/>
  <c r="F49"/>
  <c r="F48"/>
  <c r="F43"/>
  <c r="F44"/>
  <c r="F51"/>
  <c r="F42"/>
  <c r="F53"/>
  <c r="F45"/>
  <c r="F52"/>
  <c r="F50"/>
  <c r="F41"/>
  <c r="E57"/>
  <c r="E56"/>
  <c r="E59"/>
  <c r="E58"/>
  <c r="E60"/>
  <c r="F60"/>
  <c r="F58"/>
  <c r="F57"/>
  <c r="F59"/>
  <c r="F56"/>
  <c r="F22" i="136"/>
  <c r="H22" l="1"/>
  <c r="F25"/>
  <c r="G23"/>
  <c r="H15"/>
  <c r="G26" l="1"/>
  <c r="H25"/>
  <c r="Q20" i="25"/>
  <c r="Q30" l="1"/>
  <c r="P31"/>
  <c r="H28" i="145"/>
  <c r="H27" l="1"/>
  <c r="F10" s="1"/>
  <c r="F12" s="1"/>
  <c r="F15" s="1"/>
  <c r="F16" l="1"/>
  <c r="J21" i="40" l="1"/>
  <c r="R21" s="1"/>
  <c r="I21" i="201"/>
  <c r="I23" i="40"/>
  <c r="F17" i="145"/>
  <c r="J21" i="201" l="1"/>
  <c r="J23" s="1"/>
  <c r="J26" s="1"/>
  <c r="J28" s="1"/>
  <c r="I23"/>
  <c r="I26" s="1"/>
  <c r="I28" s="1"/>
  <c r="J23" i="40"/>
  <c r="I26"/>
  <c r="I28" s="1"/>
  <c r="J26" l="1"/>
  <c r="R23"/>
  <c r="J28" l="1"/>
  <c r="R26"/>
  <c r="R28" l="1"/>
  <c r="G9" i="119" l="1"/>
  <c r="G12" s="1"/>
  <c r="I47" i="201" l="1"/>
  <c r="J29" i="40"/>
  <c r="E9" i="119"/>
  <c r="F47" i="201" l="1"/>
  <c r="G47" s="1"/>
  <c r="G48" s="1"/>
  <c r="G50" s="1"/>
  <c r="G52" s="1"/>
  <c r="P21" i="138" s="1"/>
  <c r="E12" i="119"/>
  <c r="G29" i="40" s="1"/>
  <c r="G10" i="119"/>
  <c r="E10"/>
  <c r="F48" i="201" l="1"/>
  <c r="F50" s="1"/>
  <c r="F52" s="1"/>
  <c r="P24" i="138" s="1"/>
  <c r="E11" i="119"/>
  <c r="F29" i="40" s="1"/>
  <c r="I48" i="201"/>
  <c r="I50" s="1"/>
  <c r="G11" i="119"/>
  <c r="N53" i="138" l="1"/>
  <c r="N54" s="1"/>
  <c r="V38"/>
  <c r="I29" i="40"/>
  <c r="I30" s="1"/>
  <c r="I29" i="201"/>
  <c r="H8" i="192"/>
  <c r="H12" s="1"/>
  <c r="H13" s="1"/>
  <c r="H15" s="1"/>
  <c r="G8"/>
  <c r="G12" s="1"/>
  <c r="F29" i="201"/>
  <c r="J29" l="1"/>
  <c r="J30" s="1"/>
  <c r="I30"/>
  <c r="O54" i="138"/>
  <c r="P54" s="1"/>
  <c r="G29" i="201"/>
  <c r="G30" s="1"/>
  <c r="G35" s="1"/>
  <c r="G39" s="1"/>
  <c r="O21" i="138" s="1"/>
  <c r="F30" i="201"/>
  <c r="F35" s="1"/>
  <c r="F39" s="1"/>
  <c r="F30" i="40"/>
  <c r="F35" s="1"/>
  <c r="V39" i="138"/>
  <c r="W39" s="1"/>
  <c r="X39" s="1"/>
  <c r="G13" i="192"/>
  <c r="K12"/>
  <c r="F39" i="40" l="1"/>
  <c r="V40" i="138"/>
  <c r="W38" s="1"/>
  <c r="W40" s="1"/>
  <c r="N55"/>
  <c r="O53" s="1"/>
  <c r="O55" s="1"/>
  <c r="H33" i="192"/>
  <c r="R29" i="40"/>
  <c r="J30"/>
  <c r="G33" i="192"/>
  <c r="Q29" i="40"/>
  <c r="G30"/>
  <c r="V41" i="138"/>
  <c r="V43" s="1"/>
  <c r="V44" s="1"/>
  <c r="H51" i="201" s="1"/>
  <c r="H52" s="1"/>
  <c r="N56" i="138"/>
  <c r="N58" s="1"/>
  <c r="N59" s="1"/>
  <c r="I51" i="201" s="1"/>
  <c r="G15" i="192"/>
  <c r="K15" s="1"/>
  <c r="M15" s="1"/>
  <c r="K13"/>
  <c r="M13" s="1"/>
  <c r="M18"/>
  <c r="M16"/>
  <c r="M17"/>
  <c r="M14"/>
  <c r="Q21" i="138"/>
  <c r="O24"/>
  <c r="I52" i="201" l="1"/>
  <c r="O8" i="184" s="1"/>
  <c r="O9" s="1"/>
  <c r="J51" i="201"/>
  <c r="J52" s="1"/>
  <c r="Q24" i="138"/>
  <c r="X38"/>
  <c r="X40" s="1"/>
  <c r="X41" s="1"/>
  <c r="X43" s="1"/>
  <c r="X44" s="1"/>
  <c r="M51" i="201" s="1"/>
  <c r="M52" s="1"/>
  <c r="W41" i="138"/>
  <c r="W43" s="1"/>
  <c r="W44" s="1"/>
  <c r="K51" i="201" s="1"/>
  <c r="K52" s="1"/>
  <c r="P53" i="138"/>
  <c r="P55" s="1"/>
  <c r="P56" s="1"/>
  <c r="P58" s="1"/>
  <c r="P59" s="1"/>
  <c r="N51" i="201" s="1"/>
  <c r="O34" i="184" s="1"/>
  <c r="O56" i="138"/>
  <c r="O58" s="1"/>
  <c r="O59" s="1"/>
  <c r="L51" i="201" s="1"/>
  <c r="L52" s="1"/>
  <c r="O13" i="184" s="1"/>
  <c r="O14" s="1"/>
  <c r="O15" s="1"/>
  <c r="F29" i="138"/>
  <c r="Q30" i="40"/>
  <c r="G35"/>
  <c r="R30"/>
  <c r="N30" i="138"/>
  <c r="V30"/>
  <c r="G35" i="192"/>
  <c r="G36" s="1"/>
  <c r="G38" s="1"/>
  <c r="G39" s="1"/>
  <c r="H32" s="1"/>
  <c r="H35" s="1"/>
  <c r="H36" s="1"/>
  <c r="H38" s="1"/>
  <c r="H39" s="1"/>
  <c r="I32" s="1"/>
  <c r="I35" s="1"/>
  <c r="I36" s="1"/>
  <c r="I38" s="1"/>
  <c r="I39" s="1"/>
  <c r="J32" s="1"/>
  <c r="J35" s="1"/>
  <c r="J36" s="1"/>
  <c r="J38" s="1"/>
  <c r="J39" s="1"/>
  <c r="K33"/>
  <c r="O10" i="184" l="1"/>
  <c r="O11" s="1"/>
  <c r="O17" s="1"/>
  <c r="O35" s="1"/>
  <c r="O36" s="1"/>
  <c r="O39" s="1"/>
  <c r="F33" i="138"/>
  <c r="G21" s="1"/>
  <c r="G24" s="1"/>
  <c r="E42" s="1"/>
  <c r="N52" i="201"/>
  <c r="O57" i="184" s="1"/>
  <c r="V46" i="138"/>
  <c r="V31"/>
  <c r="W31" s="1"/>
  <c r="X31" s="1"/>
  <c r="Q35" i="40"/>
  <c r="G39"/>
  <c r="Q39" s="1"/>
  <c r="N66" i="138"/>
  <c r="N67" s="1"/>
  <c r="N31"/>
  <c r="O31" s="1"/>
  <c r="P31" s="1"/>
  <c r="E66" l="1"/>
  <c r="E67" s="1"/>
  <c r="F67" s="1"/>
  <c r="G67" s="1"/>
  <c r="O56" i="184"/>
  <c r="O59" s="1"/>
  <c r="O60" s="1"/>
  <c r="G43" i="138"/>
  <c r="F43"/>
  <c r="E43"/>
  <c r="N32"/>
  <c r="V32"/>
  <c r="N68"/>
  <c r="O67"/>
  <c r="V47"/>
  <c r="E68" l="1"/>
  <c r="E69" s="1"/>
  <c r="E71" s="1"/>
  <c r="E72" s="1"/>
  <c r="N69"/>
  <c r="N71" s="1"/>
  <c r="N72" s="1"/>
  <c r="N83" s="1"/>
  <c r="O66"/>
  <c r="O68" s="1"/>
  <c r="O30"/>
  <c r="N33"/>
  <c r="N35" s="1"/>
  <c r="N36" s="1"/>
  <c r="N47" s="1"/>
  <c r="W30"/>
  <c r="V33"/>
  <c r="V35" s="1"/>
  <c r="V36" s="1"/>
  <c r="H31" i="201" s="1"/>
  <c r="H35" s="1"/>
  <c r="P67" i="138"/>
  <c r="E44"/>
  <c r="V48"/>
  <c r="W47"/>
  <c r="X47" s="1"/>
  <c r="N85" l="1"/>
  <c r="F66"/>
  <c r="F68" s="1"/>
  <c r="G66" s="1"/>
  <c r="G68" s="1"/>
  <c r="G69" s="1"/>
  <c r="G71" s="1"/>
  <c r="G72" s="1"/>
  <c r="I31" i="201"/>
  <c r="I31" i="40"/>
  <c r="E83" i="138"/>
  <c r="N84" s="1"/>
  <c r="F42"/>
  <c r="E45"/>
  <c r="E47" s="1"/>
  <c r="E48" s="1"/>
  <c r="W32"/>
  <c r="X30" s="1"/>
  <c r="X32" s="1"/>
  <c r="X33" s="1"/>
  <c r="X35" s="1"/>
  <c r="X36" s="1"/>
  <c r="M31" i="201" s="1"/>
  <c r="M35" s="1"/>
  <c r="O69" i="138"/>
  <c r="O71" s="1"/>
  <c r="O72" s="1"/>
  <c r="O83" s="1"/>
  <c r="P66"/>
  <c r="P68" s="1"/>
  <c r="P69" s="1"/>
  <c r="P71" s="1"/>
  <c r="P72" s="1"/>
  <c r="P83" s="1"/>
  <c r="W46"/>
  <c r="V49"/>
  <c r="V51" s="1"/>
  <c r="V52" s="1"/>
  <c r="O32"/>
  <c r="P30" s="1"/>
  <c r="P32" s="1"/>
  <c r="P33" s="1"/>
  <c r="P35" s="1"/>
  <c r="P36" s="1"/>
  <c r="P47" s="1"/>
  <c r="P85" l="1"/>
  <c r="O33"/>
  <c r="O35" s="1"/>
  <c r="O36" s="1"/>
  <c r="O47" s="1"/>
  <c r="O85" s="1"/>
  <c r="N31" i="201"/>
  <c r="N35" s="1"/>
  <c r="N31" i="40"/>
  <c r="G83" i="138"/>
  <c r="P84" s="1"/>
  <c r="W48"/>
  <c r="X46" s="1"/>
  <c r="X48" s="1"/>
  <c r="X49" s="1"/>
  <c r="X51" s="1"/>
  <c r="X52" s="1"/>
  <c r="H31" i="40"/>
  <c r="H35" s="1"/>
  <c r="C6" i="177" s="1"/>
  <c r="E59" i="138"/>
  <c r="J31" i="201"/>
  <c r="J35" s="1"/>
  <c r="J39" s="1"/>
  <c r="N8" i="184" s="1"/>
  <c r="I35" i="201"/>
  <c r="I39" s="1"/>
  <c r="F69" i="138"/>
  <c r="F71" s="1"/>
  <c r="F72" s="1"/>
  <c r="J31" i="40"/>
  <c r="I35"/>
  <c r="W33" i="138"/>
  <c r="W35" s="1"/>
  <c r="W36" s="1"/>
  <c r="K31" i="201" s="1"/>
  <c r="K35" s="1"/>
  <c r="F44" i="138"/>
  <c r="G42" s="1"/>
  <c r="G44" s="1"/>
  <c r="G45" s="1"/>
  <c r="G47" s="1"/>
  <c r="G48" s="1"/>
  <c r="I39" i="40" l="1"/>
  <c r="W49" i="138"/>
  <c r="W51" s="1"/>
  <c r="W52" s="1"/>
  <c r="F45"/>
  <c r="F47" s="1"/>
  <c r="F48" s="1"/>
  <c r="K31" i="40" s="1"/>
  <c r="K35" s="1"/>
  <c r="N39" i="201"/>
  <c r="N57" i="184" s="1"/>
  <c r="P57" s="1"/>
  <c r="N34"/>
  <c r="F83" i="138"/>
  <c r="O84" s="1"/>
  <c r="L31" i="40"/>
  <c r="L31" i="201"/>
  <c r="L35" s="1"/>
  <c r="L39" s="1"/>
  <c r="N13" i="184" s="1"/>
  <c r="C10" i="177"/>
  <c r="C9"/>
  <c r="C11" s="1"/>
  <c r="N35" i="40"/>
  <c r="M31"/>
  <c r="M35" s="1"/>
  <c r="E22" i="184" s="1"/>
  <c r="E24" s="1"/>
  <c r="E28" s="1"/>
  <c r="E45" s="1"/>
  <c r="E48" s="1"/>
  <c r="G59" i="138"/>
  <c r="R31" i="40"/>
  <c r="J35"/>
  <c r="P8" i="184"/>
  <c r="N9"/>
  <c r="P9" s="1"/>
  <c r="N10"/>
  <c r="P10" s="1"/>
  <c r="F59" i="138" l="1"/>
  <c r="C12" i="177"/>
  <c r="T31" i="40"/>
  <c r="C116" i="186"/>
  <c r="B85"/>
  <c r="C95"/>
  <c r="B69"/>
  <c r="P13" i="184"/>
  <c r="N14"/>
  <c r="P14" s="1"/>
  <c r="J39" i="40"/>
  <c r="R35"/>
  <c r="L35"/>
  <c r="S31"/>
  <c r="P34" i="184"/>
  <c r="T35" i="40"/>
  <c r="N39"/>
  <c r="F22" i="184"/>
  <c r="E34"/>
  <c r="C22" i="177"/>
  <c r="C24" s="1"/>
  <c r="C16"/>
  <c r="N11" i="184"/>
  <c r="P11" l="1"/>
  <c r="F8"/>
  <c r="J82" i="186"/>
  <c r="J83"/>
  <c r="I75"/>
  <c r="I73"/>
  <c r="I72"/>
  <c r="J78"/>
  <c r="J76"/>
  <c r="I82"/>
  <c r="J69"/>
  <c r="I79"/>
  <c r="I83"/>
  <c r="I70"/>
  <c r="I81"/>
  <c r="I78"/>
  <c r="J73"/>
  <c r="J79"/>
  <c r="J70"/>
  <c r="J74"/>
  <c r="I76"/>
  <c r="J72"/>
  <c r="J71"/>
  <c r="I69"/>
  <c r="J81"/>
  <c r="J75"/>
  <c r="I77"/>
  <c r="J77"/>
  <c r="I71"/>
  <c r="J80"/>
  <c r="I80"/>
  <c r="I74"/>
  <c r="G117"/>
  <c r="G116"/>
  <c r="H116"/>
  <c r="G118"/>
  <c r="H117"/>
  <c r="H118"/>
  <c r="H120"/>
  <c r="G119"/>
  <c r="G120"/>
  <c r="H119"/>
  <c r="C26" i="177"/>
  <c r="I24" s="1"/>
  <c r="L39" i="40"/>
  <c r="F13" i="184" s="1"/>
  <c r="F14" s="1"/>
  <c r="F15" s="1"/>
  <c r="S35" i="40"/>
  <c r="I87" i="186"/>
  <c r="J85"/>
  <c r="I85"/>
  <c r="I89"/>
  <c r="I86"/>
  <c r="J89"/>
  <c r="J87"/>
  <c r="I88"/>
  <c r="J86"/>
  <c r="J88"/>
  <c r="C17" i="177"/>
  <c r="D16"/>
  <c r="E57" i="184"/>
  <c r="H105" i="186"/>
  <c r="H97"/>
  <c r="G108"/>
  <c r="G107"/>
  <c r="H101"/>
  <c r="G101"/>
  <c r="H102"/>
  <c r="G95"/>
  <c r="G110"/>
  <c r="G106"/>
  <c r="H110"/>
  <c r="H111"/>
  <c r="G114"/>
  <c r="H98"/>
  <c r="G102"/>
  <c r="H109"/>
  <c r="H106"/>
  <c r="G111"/>
  <c r="G100"/>
  <c r="H113"/>
  <c r="G112"/>
  <c r="G97"/>
  <c r="G98"/>
  <c r="G103"/>
  <c r="H96"/>
  <c r="H100"/>
  <c r="H103"/>
  <c r="H114"/>
  <c r="H99"/>
  <c r="G99"/>
  <c r="G113"/>
  <c r="G96"/>
  <c r="G105"/>
  <c r="H112"/>
  <c r="G104"/>
  <c r="H95"/>
  <c r="H108"/>
  <c r="H104"/>
  <c r="G109"/>
  <c r="H107"/>
  <c r="N15" i="184"/>
  <c r="P15" s="1"/>
  <c r="D17" i="177" l="1"/>
  <c r="E16"/>
  <c r="E17" s="1"/>
  <c r="N17" i="184"/>
  <c r="P17"/>
  <c r="H22" i="177"/>
  <c r="H25" s="1"/>
  <c r="I22" s="1"/>
  <c r="I25" s="1"/>
  <c r="H36" i="201"/>
  <c r="H39" s="1"/>
  <c r="H36" i="40"/>
  <c r="C19" i="177"/>
  <c r="C18" s="1"/>
  <c r="F10" i="184"/>
  <c r="F9"/>
  <c r="F11" l="1"/>
  <c r="F17" s="1"/>
  <c r="F23" s="1"/>
  <c r="F24" s="1"/>
  <c r="D19" i="177"/>
  <c r="D18" s="1"/>
  <c r="K36" i="201"/>
  <c r="K39" s="1"/>
  <c r="K36" i="40"/>
  <c r="M36"/>
  <c r="E19" i="177"/>
  <c r="E18" s="1"/>
  <c r="M36" i="201"/>
  <c r="M39" s="1"/>
  <c r="R36" i="40"/>
  <c r="H43"/>
  <c r="H39"/>
  <c r="R39" s="1"/>
  <c r="N56" i="184"/>
  <c r="N35"/>
  <c r="E35" l="1"/>
  <c r="E36" s="1"/>
  <c r="N59"/>
  <c r="P59" s="1"/>
  <c r="P56"/>
  <c r="P35"/>
  <c r="N36"/>
  <c r="K43" i="40"/>
  <c r="K45" s="1"/>
  <c r="K39"/>
  <c r="S39" s="1"/>
  <c r="S36"/>
  <c r="H45"/>
  <c r="M39"/>
  <c r="T39" s="1"/>
  <c r="M43"/>
  <c r="M45" s="1"/>
  <c r="T36"/>
  <c r="E26" i="184"/>
  <c r="E27" s="1"/>
  <c r="F28"/>
  <c r="F27"/>
  <c r="E56" l="1"/>
  <c r="E59" s="1"/>
  <c r="E60" s="1"/>
  <c r="D68" s="1"/>
  <c r="D69" s="1"/>
  <c r="E69" s="1"/>
  <c r="F69" s="1"/>
  <c r="G69" s="1"/>
  <c r="H69" s="1"/>
  <c r="O43" i="40"/>
  <c r="Q43" s="1"/>
  <c r="P36" i="184"/>
  <c r="P39" s="1"/>
  <c r="N39"/>
  <c r="E40"/>
  <c r="E39"/>
  <c r="E46" s="1"/>
  <c r="M5" i="186" s="1"/>
  <c r="N60" i="184"/>
  <c r="P60" s="1"/>
  <c r="E41" l="1"/>
  <c r="E49" s="1"/>
  <c r="O18" i="186" s="1"/>
  <c r="D70" i="184"/>
  <c r="E68" s="1"/>
  <c r="E70" s="1"/>
  <c r="F68" s="1"/>
  <c r="M7" i="186"/>
  <c r="M11"/>
  <c r="O26" l="1"/>
  <c r="O15"/>
  <c r="O25"/>
  <c r="O13"/>
  <c r="O4"/>
  <c r="O22"/>
  <c r="O19"/>
  <c r="O17"/>
  <c r="O23"/>
  <c r="O10"/>
  <c r="D72" i="184"/>
  <c r="D74" s="1"/>
  <c r="D76" s="1"/>
  <c r="D78" s="1"/>
  <c r="O28" i="186"/>
  <c r="O8"/>
  <c r="O29"/>
  <c r="O16"/>
  <c r="O20"/>
  <c r="O12"/>
  <c r="O6"/>
  <c r="O32"/>
  <c r="O27"/>
  <c r="O30"/>
  <c r="O24"/>
  <c r="E42" i="184"/>
  <c r="O21" i="186"/>
  <c r="O5"/>
  <c r="O11"/>
  <c r="O14"/>
  <c r="O7"/>
  <c r="O9"/>
  <c r="E72" i="184"/>
  <c r="E74" s="1"/>
  <c r="E76" s="1"/>
  <c r="E78" s="1"/>
  <c r="F70"/>
  <c r="G68" s="1"/>
  <c r="G70" l="1"/>
  <c r="H68" s="1"/>
  <c r="H70" s="1"/>
  <c r="H72" s="1"/>
  <c r="H74" s="1"/>
  <c r="H76" s="1"/>
  <c r="H78" s="1"/>
  <c r="F72"/>
  <c r="F74" s="1"/>
  <c r="F76" s="1"/>
  <c r="F78" s="1"/>
  <c r="G72" l="1"/>
  <c r="G74" s="1"/>
  <c r="G76" s="1"/>
  <c r="G78" s="1"/>
</calcChain>
</file>

<file path=xl/comments1.xml><?xml version="1.0" encoding="utf-8"?>
<comments xmlns="http://schemas.openxmlformats.org/spreadsheetml/2006/main">
  <authors>
    <author>Author</author>
  </authors>
  <commentList>
    <comment ref="C41" authorId="0">
      <text>
        <r>
          <rPr>
            <b/>
            <sz val="10"/>
            <color indexed="81"/>
            <rFont val="Tahoma"/>
            <family val="2"/>
          </rPr>
          <t>Anand:
As considered in MYT Order</t>
        </r>
      </text>
    </comment>
    <comment ref="G89" authorId="0">
      <text>
        <r>
          <rPr>
            <b/>
            <sz val="9"/>
            <color indexed="81"/>
            <rFont val="Tahoma"/>
            <family val="2"/>
          </rPr>
          <t>Author:</t>
        </r>
        <r>
          <rPr>
            <sz val="9"/>
            <color indexed="81"/>
            <rFont val="Tahoma"/>
            <family val="2"/>
          </rPr>
          <t xml:space="preserve">
Taken from InSTS Order dated 14 August 2014 in Case No. 123 of 2014</t>
        </r>
      </text>
    </comment>
    <comment ref="H89" authorId="0">
      <text>
        <r>
          <rPr>
            <b/>
            <sz val="9"/>
            <color indexed="81"/>
            <rFont val="Tahoma"/>
            <family val="2"/>
          </rPr>
          <t>Author:</t>
        </r>
        <r>
          <rPr>
            <sz val="9"/>
            <color indexed="81"/>
            <rFont val="Tahoma"/>
            <family val="2"/>
          </rPr>
          <t xml:space="preserve">
Taken from InSTS Order dated 14 August 2014 in Case No. 123 of 2014</t>
        </r>
      </text>
    </comment>
    <comment ref="G90" authorId="0">
      <text>
        <r>
          <rPr>
            <b/>
            <sz val="9"/>
            <color indexed="81"/>
            <rFont val="Tahoma"/>
            <family val="2"/>
          </rPr>
          <t>Author:</t>
        </r>
        <r>
          <rPr>
            <sz val="9"/>
            <color indexed="81"/>
            <rFont val="Tahoma"/>
            <family val="2"/>
          </rPr>
          <t xml:space="preserve">
As per MSLDC Budget for FY 2014-15 Order dated 7 March 2014 in Case No. 178 of 2013 ( 
page no. 47)
</t>
        </r>
      </text>
    </comment>
    <comment ref="H90" authorId="0">
      <text>
        <r>
          <rPr>
            <b/>
            <sz val="9"/>
            <color indexed="81"/>
            <rFont val="Tahoma"/>
            <family val="2"/>
          </rPr>
          <t>Author:</t>
        </r>
        <r>
          <rPr>
            <sz val="9"/>
            <color indexed="81"/>
            <rFont val="Tahoma"/>
            <family val="2"/>
          </rPr>
          <t xml:space="preserve">
As per MSLDC Budget for FY 2014-15 Order dated 7 March 2014 in Case No. 178 of 2013 ( 
page no. 47)
</t>
        </r>
      </text>
    </comment>
    <comment ref="E106" authorId="0">
      <text>
        <r>
          <rPr>
            <b/>
            <sz val="9"/>
            <color indexed="81"/>
            <rFont val="Tahoma"/>
            <family val="2"/>
          </rPr>
          <t>Author:</t>
        </r>
        <r>
          <rPr>
            <sz val="9"/>
            <color indexed="81"/>
            <rFont val="Tahoma"/>
            <family val="2"/>
          </rPr>
          <t xml:space="preserve">
in word file, it is Rs. 0.38 Crore</t>
        </r>
      </text>
    </comment>
  </commentList>
</comments>
</file>

<file path=xl/comments10.xml><?xml version="1.0" encoding="utf-8"?>
<comments xmlns="http://schemas.openxmlformats.org/spreadsheetml/2006/main">
  <authors>
    <author>Author</author>
  </authors>
  <commentList>
    <comment ref="E20" authorId="0">
      <text>
        <r>
          <rPr>
            <b/>
            <sz val="9"/>
            <color indexed="81"/>
            <rFont val="Tahoma"/>
            <family val="2"/>
          </rPr>
          <t>Author:</t>
        </r>
        <r>
          <rPr>
            <sz val="9"/>
            <color indexed="81"/>
            <rFont val="Tahoma"/>
            <family val="2"/>
          </rPr>
          <t xml:space="preserve">
This data is mentioned in TueUp_Audited12-13 Word File.This data is not given in petition. </t>
        </r>
      </text>
    </comment>
  </commentList>
</comments>
</file>

<file path=xl/comments11.xml><?xml version="1.0" encoding="utf-8"?>
<comments xmlns="http://schemas.openxmlformats.org/spreadsheetml/2006/main">
  <authors>
    <author>Author</author>
  </authors>
  <commentList>
    <comment ref="J117" authorId="0">
      <text>
        <r>
          <rPr>
            <sz val="12"/>
            <color indexed="81"/>
            <rFont val="Tahoma"/>
            <family val="2"/>
          </rPr>
          <t>1.38 Nimkar Marg Tr.
(REC)+0.1 Navl Dock
+0.09 other civil work</t>
        </r>
      </text>
    </comment>
    <comment ref="K117" authorId="0">
      <text>
        <r>
          <rPr>
            <sz val="12"/>
            <color indexed="81"/>
            <rFont val="Tahoma"/>
            <family val="2"/>
          </rPr>
          <t>1.38 Nimkar Marg Tr.
(REC)+0.1 Navl Dock
+0.09 other civil work</t>
        </r>
      </text>
    </comment>
    <comment ref="J118" authorId="0">
      <text>
        <r>
          <rPr>
            <sz val="12"/>
            <color indexed="81"/>
            <rFont val="Tahoma"/>
            <family val="2"/>
          </rPr>
          <t>0.5 Cr. VSNLRepairedTr</t>
        </r>
        <r>
          <rPr>
            <sz val="9"/>
            <color indexed="81"/>
            <rFont val="Tahoma"/>
            <family val="2"/>
          </rPr>
          <t xml:space="preserve">
</t>
        </r>
        <r>
          <rPr>
            <sz val="12"/>
            <color indexed="81"/>
            <rFont val="Tahoma"/>
            <family val="2"/>
          </rPr>
          <t>(Non-REC)</t>
        </r>
      </text>
    </comment>
    <comment ref="K118" authorId="0">
      <text>
        <r>
          <rPr>
            <sz val="12"/>
            <color indexed="81"/>
            <rFont val="Tahoma"/>
            <family val="2"/>
          </rPr>
          <t>0.5 Cr. VSNLRepairedTr</t>
        </r>
        <r>
          <rPr>
            <sz val="9"/>
            <color indexed="81"/>
            <rFont val="Tahoma"/>
            <family val="2"/>
          </rPr>
          <t xml:space="preserve">
</t>
        </r>
        <r>
          <rPr>
            <sz val="12"/>
            <color indexed="81"/>
            <rFont val="Tahoma"/>
            <family val="2"/>
          </rPr>
          <t>(Non-REC)</t>
        </r>
      </text>
    </comment>
    <comment ref="J119" authorId="0">
      <text>
        <r>
          <rPr>
            <sz val="12"/>
            <color indexed="81"/>
            <rFont val="Tahoma"/>
            <family val="2"/>
          </rPr>
          <t>Simplex-&gt;3.05 Cable+2.39 Eq
Std.Mill FF-&gt;0.28</t>
        </r>
      </text>
    </comment>
    <comment ref="K119" authorId="0">
      <text>
        <r>
          <rPr>
            <sz val="12"/>
            <color indexed="81"/>
            <rFont val="Tahoma"/>
            <family val="2"/>
          </rPr>
          <t>Simplex-&gt;3.05 Cable+2.39 Eq
Std.Mill FF-&gt;0.28</t>
        </r>
      </text>
    </comment>
    <comment ref="J121" authorId="0">
      <text>
        <r>
          <rPr>
            <sz val="12"/>
            <color indexed="81"/>
            <rFont val="Tahoma"/>
            <family val="2"/>
          </rPr>
          <t xml:space="preserve">MzDock(SY)-0.08civil+3.91 Cable+2.29Eq
</t>
        </r>
      </text>
    </comment>
    <comment ref="K121" authorId="0">
      <text>
        <r>
          <rPr>
            <sz val="12"/>
            <color indexed="81"/>
            <rFont val="Tahoma"/>
            <family val="2"/>
          </rPr>
          <t xml:space="preserve">MzDock(SY)-0.08civil+3.91 Cable+2.29Eq
</t>
        </r>
      </text>
    </comment>
    <comment ref="J122" authorId="0">
      <text>
        <r>
          <rPr>
            <sz val="12"/>
            <color indexed="81"/>
            <rFont val="Tahoma"/>
            <family val="2"/>
          </rPr>
          <t xml:space="preserve">Hind Mill-civil-0.1+Apollo Mill 2.51 Eq+Parshad Batt0.9+Nish 2.19 Equip
</t>
        </r>
      </text>
    </comment>
    <comment ref="K122" authorId="0">
      <text>
        <r>
          <rPr>
            <sz val="12"/>
            <color indexed="81"/>
            <rFont val="Tahoma"/>
            <family val="2"/>
          </rPr>
          <t xml:space="preserve">Hind Mill-civil-0.1+Apollo Mill 2.51 Eq+Parshad Batt0.9+Nish 2.19 Equip
</t>
        </r>
      </text>
    </comment>
    <comment ref="J124" authorId="0">
      <text>
        <r>
          <rPr>
            <sz val="12"/>
            <color indexed="81"/>
            <rFont val="Tahoma"/>
            <family val="2"/>
          </rPr>
          <t>ElphMill&gt;3.43civil+Pratiksha Nagar +0.1civil+18.25 Cable</t>
        </r>
      </text>
    </comment>
    <comment ref="K124" authorId="0">
      <text>
        <r>
          <rPr>
            <sz val="12"/>
            <color indexed="81"/>
            <rFont val="Tahoma"/>
            <family val="2"/>
          </rPr>
          <t>ElphMill&gt;3.43civil+Pratiksha Nagar +0.1civil+18.25 Cable</t>
        </r>
      </text>
    </comment>
    <comment ref="J131" authorId="0">
      <text>
        <r>
          <rPr>
            <b/>
            <sz val="12"/>
            <color indexed="81"/>
            <rFont val="Tahoma"/>
            <family val="2"/>
          </rPr>
          <t>FF</t>
        </r>
        <r>
          <rPr>
            <sz val="12"/>
            <color indexed="81"/>
            <rFont val="Tahoma"/>
            <family val="2"/>
          </rPr>
          <t xml:space="preserve">CO2-1+WM-4
</t>
        </r>
      </text>
    </comment>
    <comment ref="J132" authorId="0">
      <text>
        <r>
          <rPr>
            <sz val="10"/>
            <color indexed="81"/>
            <rFont val="Tahoma"/>
            <family val="2"/>
          </rPr>
          <t>Tr-Bycull-1,Parel-2, 
33KVswgrEspl(Ad)-1
Mazgaon Dock-1 11KVswgr-CumballHill-1</t>
        </r>
      </text>
    </comment>
    <comment ref="J133" authorId="0">
      <text>
        <r>
          <rPr>
            <sz val="10"/>
            <color indexed="81"/>
            <rFont val="Tahoma"/>
            <family val="2"/>
          </rPr>
          <t>33KVswgrNavlDock2 11KVswgr-ByCentral-1 LoveGrove-1 Bal CapReactor</t>
        </r>
      </text>
    </comment>
    <comment ref="J134" authorId="0">
      <text>
        <r>
          <rPr>
            <sz val="12"/>
            <color indexed="81"/>
            <rFont val="Tahoma"/>
            <family val="2"/>
          </rPr>
          <t xml:space="preserve">PMGP -2 Tr
</t>
        </r>
      </text>
    </comment>
    <comment ref="J152" authorId="0">
      <text>
        <r>
          <rPr>
            <sz val="11"/>
            <color indexed="81"/>
            <rFont val="Tahoma"/>
            <family val="2"/>
          </rPr>
          <t xml:space="preserve">Civil work
Tr-Raoli Hill-1
</t>
        </r>
      </text>
    </comment>
    <comment ref="J219" authorId="0">
      <text>
        <r>
          <rPr>
            <sz val="12"/>
            <color indexed="81"/>
            <rFont val="Tahoma"/>
            <family val="2"/>
          </rPr>
          <t>1.38 Nimkar Marg Tr.
(REC)+0.1 Navl Dock
+0.09 other civil work</t>
        </r>
      </text>
    </comment>
    <comment ref="K219" authorId="0">
      <text>
        <r>
          <rPr>
            <sz val="12"/>
            <color indexed="81"/>
            <rFont val="Tahoma"/>
            <family val="2"/>
          </rPr>
          <t>1.38 Nimkar Marg Tr.
(REC)+0.1 Navl Dock
+0.09 other civil work</t>
        </r>
      </text>
    </comment>
    <comment ref="J220" authorId="0">
      <text>
        <r>
          <rPr>
            <sz val="12"/>
            <color indexed="81"/>
            <rFont val="Tahoma"/>
            <family val="2"/>
          </rPr>
          <t>0.5 Cr. VSNLRepairedTr</t>
        </r>
        <r>
          <rPr>
            <sz val="9"/>
            <color indexed="81"/>
            <rFont val="Tahoma"/>
            <family val="2"/>
          </rPr>
          <t xml:space="preserve">
</t>
        </r>
        <r>
          <rPr>
            <sz val="12"/>
            <color indexed="81"/>
            <rFont val="Tahoma"/>
            <family val="2"/>
          </rPr>
          <t>(Non-REC)</t>
        </r>
      </text>
    </comment>
    <comment ref="K220" authorId="0">
      <text>
        <r>
          <rPr>
            <sz val="12"/>
            <color indexed="81"/>
            <rFont val="Tahoma"/>
            <family val="2"/>
          </rPr>
          <t>0.5 Cr. VSNLRepairedTr</t>
        </r>
        <r>
          <rPr>
            <sz val="9"/>
            <color indexed="81"/>
            <rFont val="Tahoma"/>
            <family val="2"/>
          </rPr>
          <t xml:space="preserve">
</t>
        </r>
        <r>
          <rPr>
            <sz val="12"/>
            <color indexed="81"/>
            <rFont val="Tahoma"/>
            <family val="2"/>
          </rPr>
          <t>(Non-REC)</t>
        </r>
      </text>
    </comment>
    <comment ref="J221" authorId="0">
      <text>
        <r>
          <rPr>
            <sz val="12"/>
            <color indexed="81"/>
            <rFont val="Tahoma"/>
            <family val="2"/>
          </rPr>
          <t>Simplex-&gt;3.05 Cable+2.39 Eq
Std.Mill FF-&gt;0.28</t>
        </r>
      </text>
    </comment>
    <comment ref="K221" authorId="0">
      <text>
        <r>
          <rPr>
            <sz val="12"/>
            <color indexed="81"/>
            <rFont val="Tahoma"/>
            <family val="2"/>
          </rPr>
          <t>Simplex-&gt;3.05 Cable+2.39 Eq
Std.Mill FF-&gt;0.28</t>
        </r>
      </text>
    </comment>
    <comment ref="J223" authorId="0">
      <text>
        <r>
          <rPr>
            <sz val="12"/>
            <color indexed="81"/>
            <rFont val="Tahoma"/>
            <family val="2"/>
          </rPr>
          <t xml:space="preserve">MzDock(SY)-0.08civil+3.91 Cable+2.29Eq
</t>
        </r>
      </text>
    </comment>
    <comment ref="K223" authorId="0">
      <text>
        <r>
          <rPr>
            <sz val="12"/>
            <color indexed="81"/>
            <rFont val="Tahoma"/>
            <family val="2"/>
          </rPr>
          <t xml:space="preserve">MzDock(SY)-0.08civil+3.91 Cable+2.29Eq
</t>
        </r>
      </text>
    </comment>
    <comment ref="J224" authorId="0">
      <text>
        <r>
          <rPr>
            <sz val="12"/>
            <color indexed="81"/>
            <rFont val="Tahoma"/>
            <family val="2"/>
          </rPr>
          <t xml:space="preserve">Hind Mill-civil-0.1+Apollo Mill 2.51 Eq+Parshad Batt0.9+Nish 2.19 Equip
</t>
        </r>
      </text>
    </comment>
    <comment ref="K224" authorId="0">
      <text>
        <r>
          <rPr>
            <sz val="12"/>
            <color indexed="81"/>
            <rFont val="Tahoma"/>
            <family val="2"/>
          </rPr>
          <t xml:space="preserve">Hind Mill-civil-0.1+Apollo Mill 2.51 Eq+Parshad Batt0.9+Nish 2.19 Equip
</t>
        </r>
      </text>
    </comment>
    <comment ref="J226" authorId="0">
      <text>
        <r>
          <rPr>
            <sz val="12"/>
            <color indexed="81"/>
            <rFont val="Tahoma"/>
            <family val="2"/>
          </rPr>
          <t>ElphMill&gt;3.43civil+Pratiksha Nagar +0.1civil+18.25 Cable</t>
        </r>
      </text>
    </comment>
    <comment ref="K226" authorId="0">
      <text>
        <r>
          <rPr>
            <sz val="12"/>
            <color indexed="81"/>
            <rFont val="Tahoma"/>
            <family val="2"/>
          </rPr>
          <t>ElphMill&gt;3.43civil+Pratiksha Nagar +0.1civil+18.25 Cable</t>
        </r>
      </text>
    </comment>
    <comment ref="J233" authorId="0">
      <text>
        <r>
          <rPr>
            <b/>
            <sz val="12"/>
            <color indexed="81"/>
            <rFont val="Tahoma"/>
            <family val="2"/>
          </rPr>
          <t>FF</t>
        </r>
        <r>
          <rPr>
            <sz val="12"/>
            <color indexed="81"/>
            <rFont val="Tahoma"/>
            <family val="2"/>
          </rPr>
          <t xml:space="preserve">CO2-1+WM-4
</t>
        </r>
      </text>
    </comment>
    <comment ref="J234" authorId="0">
      <text>
        <r>
          <rPr>
            <sz val="10"/>
            <color indexed="81"/>
            <rFont val="Tahoma"/>
            <family val="2"/>
          </rPr>
          <t>Tr-Bycull-1,Parel-2, 
33KVswgrEspl(Ad)-1
Mazgaon Dock-1 11KVswgr-CumballHill-1</t>
        </r>
      </text>
    </comment>
    <comment ref="J235" authorId="0">
      <text>
        <r>
          <rPr>
            <sz val="10"/>
            <color indexed="81"/>
            <rFont val="Tahoma"/>
            <family val="2"/>
          </rPr>
          <t>33KVswgrNavlDock2 11KVswgr-ByCentral-1 LoveGrove-1 Bal CapReactor</t>
        </r>
      </text>
    </comment>
    <comment ref="J236" authorId="0">
      <text>
        <r>
          <rPr>
            <sz val="12"/>
            <color indexed="81"/>
            <rFont val="Tahoma"/>
            <family val="2"/>
          </rPr>
          <t xml:space="preserve">PMGP -2 Tr
</t>
        </r>
      </text>
    </comment>
    <comment ref="J254" authorId="0">
      <text>
        <r>
          <rPr>
            <sz val="11"/>
            <color indexed="81"/>
            <rFont val="Tahoma"/>
            <family val="2"/>
          </rPr>
          <t xml:space="preserve">Civil work
Tr-Raoli Hill-1
</t>
        </r>
      </text>
    </comment>
  </commentList>
</comments>
</file>

<file path=xl/comments12.xml><?xml version="1.0" encoding="utf-8"?>
<comments xmlns="http://schemas.openxmlformats.org/spreadsheetml/2006/main">
  <authors>
    <author>Author</author>
  </authors>
  <commentList>
    <comment ref="E37" authorId="0">
      <text>
        <r>
          <rPr>
            <b/>
            <sz val="9"/>
            <color indexed="81"/>
            <rFont val="Tahoma"/>
            <family val="2"/>
          </rPr>
          <t>Author:</t>
        </r>
        <r>
          <rPr>
            <sz val="9"/>
            <color indexed="81"/>
            <rFont val="Tahoma"/>
            <family val="2"/>
          </rPr>
          <t xml:space="preserve">
As per Audited Accounts</t>
        </r>
      </text>
    </comment>
    <comment ref="G37" authorId="0">
      <text>
        <r>
          <rPr>
            <b/>
            <sz val="9"/>
            <color indexed="81"/>
            <rFont val="Tahoma"/>
            <family val="2"/>
          </rPr>
          <t>Author:</t>
        </r>
        <r>
          <rPr>
            <sz val="9"/>
            <color indexed="81"/>
            <rFont val="Tahoma"/>
            <family val="2"/>
          </rPr>
          <t xml:space="preserve">
As per Audited Accounts</t>
        </r>
      </text>
    </comment>
  </commentList>
</comments>
</file>

<file path=xl/comments13.xml><?xml version="1.0" encoding="utf-8"?>
<comments xmlns="http://schemas.openxmlformats.org/spreadsheetml/2006/main">
  <authors>
    <author>Author</author>
  </authors>
  <commentList>
    <comment ref="E23" authorId="0">
      <text>
        <r>
          <rPr>
            <b/>
            <sz val="10"/>
            <color indexed="81"/>
            <rFont val="Tahoma"/>
            <family val="2"/>
          </rPr>
          <t>Anand:
 It Includes IDC amount of Rs 10.48 Crore for F.Y 2009-10 &amp; Rs .13.80 Crore. for F.Y 2010-11 respectively as approved by MERC is now brought into Books of Account for F.Y.  2011-12.</t>
        </r>
      </text>
    </comment>
    <comment ref="K23" authorId="0">
      <text>
        <r>
          <rPr>
            <b/>
            <sz val="10"/>
            <color indexed="81"/>
            <rFont val="Tahoma"/>
            <family val="2"/>
          </rPr>
          <t>Anand:
IDC amount of Rs. 3.73 Crs. For F.Y. 2009-10 &amp; 2010-11 is reverted</t>
        </r>
      </text>
    </comment>
    <comment ref="N23" authorId="0">
      <text>
        <r>
          <rPr>
            <b/>
            <sz val="10"/>
            <color indexed="81"/>
            <rFont val="Tahoma"/>
            <family val="2"/>
          </rPr>
          <t>Anand:
 IDC of Rs. 0.73 Crs of 2011-12 &amp; Rs. 0.83 Crs of 2012-13 brought into books of accounts in F.Y. 2013-14.Total IDC Rs. 1.56 Crore included here.</t>
        </r>
      </text>
    </comment>
    <comment ref="P23" authorId="0">
      <text>
        <r>
          <rPr>
            <b/>
            <sz val="10"/>
            <color indexed="81"/>
            <rFont val="Tahoma"/>
            <family val="2"/>
          </rPr>
          <t>Anand:
IDC Rs. 10.58 Crs of 2010-11 reverted in 2013-14</t>
        </r>
      </text>
    </comment>
    <comment ref="C44" authorId="0">
      <text>
        <r>
          <rPr>
            <b/>
            <sz val="10"/>
            <color indexed="81"/>
            <rFont val="Tahoma"/>
            <family val="2"/>
          </rPr>
          <t>Anand:
Adjustments given in URIM</t>
        </r>
      </text>
    </comment>
  </commentList>
</comments>
</file>

<file path=xl/comments14.xml><?xml version="1.0" encoding="utf-8"?>
<comments xmlns="http://schemas.openxmlformats.org/spreadsheetml/2006/main">
  <authors>
    <author>Author</author>
  </authors>
  <commentList>
    <comment ref="E115" authorId="0">
      <text>
        <r>
          <rPr>
            <b/>
            <sz val="10"/>
            <color indexed="81"/>
            <rFont val="Tahoma"/>
            <family val="2"/>
          </rPr>
          <t>Anand:
These tranches details given in BEST reply to IMaCS query on 3Sept, 2014.</t>
        </r>
      </text>
    </comment>
    <comment ref="E127" authorId="0">
      <text>
        <r>
          <rPr>
            <b/>
            <sz val="10"/>
            <color indexed="81"/>
            <rFont val="Tahoma"/>
            <family val="2"/>
          </rPr>
          <t xml:space="preserve">Anand:
</t>
        </r>
        <r>
          <rPr>
            <b/>
            <sz val="18"/>
            <color indexed="81"/>
            <rFont val="Tahoma"/>
            <family val="2"/>
          </rPr>
          <t>These tranches details given in BEST reply to IMaCS query on 3Sept, 2014.</t>
        </r>
      </text>
    </comment>
    <comment ref="E139" authorId="0">
      <text>
        <r>
          <rPr>
            <b/>
            <sz val="10"/>
            <color indexed="81"/>
            <rFont val="Tahoma"/>
            <family val="2"/>
          </rPr>
          <t>Anand:
These tranches details given in BEST reply to IMaCS query on 3Sept, 2014.</t>
        </r>
      </text>
    </comment>
    <comment ref="F172" authorId="0">
      <text>
        <r>
          <rPr>
            <b/>
            <sz val="10"/>
            <color indexed="81"/>
            <rFont val="Tahoma"/>
            <family val="2"/>
          </rPr>
          <t>Anand:</t>
        </r>
        <r>
          <rPr>
            <sz val="10"/>
            <color indexed="81"/>
            <rFont val="Tahoma"/>
            <family val="2"/>
          </rPr>
          <t xml:space="preserve">
Considered based on closing value for supply portio only</t>
        </r>
      </text>
    </comment>
    <comment ref="K172" authorId="0">
      <text>
        <r>
          <rPr>
            <b/>
            <sz val="10"/>
            <color indexed="81"/>
            <rFont val="Tahoma"/>
            <family val="2"/>
          </rPr>
          <t>Anand:
This value is taken same as FY 2013-14</t>
        </r>
      </text>
    </comment>
    <comment ref="M172" authorId="0">
      <text>
        <r>
          <rPr>
            <b/>
            <sz val="10"/>
            <color indexed="81"/>
            <rFont val="Tahoma"/>
            <family val="2"/>
          </rPr>
          <t>Anand:
This value is taken same as FY 2013-14</t>
        </r>
      </text>
    </comment>
    <comment ref="H173" authorId="0">
      <text>
        <r>
          <rPr>
            <b/>
            <sz val="10"/>
            <color indexed="81"/>
            <rFont val="Tahoma"/>
            <family val="2"/>
          </rPr>
          <t>Anand:
In word fie Rs. 646.70 Crore value is taken.</t>
        </r>
      </text>
    </comment>
  </commentList>
</comments>
</file>

<file path=xl/comments15.xml><?xml version="1.0" encoding="utf-8"?>
<comments xmlns="http://schemas.openxmlformats.org/spreadsheetml/2006/main">
  <authors>
    <author>Author</author>
  </authors>
  <commentList>
    <comment ref="F13" authorId="0">
      <text>
        <r>
          <rPr>
            <b/>
            <sz val="9"/>
            <color indexed="81"/>
            <rFont val="Tahoma"/>
            <family val="2"/>
          </rPr>
          <t>Author:</t>
        </r>
        <r>
          <rPr>
            <sz val="9"/>
            <color indexed="81"/>
            <rFont val="Tahoma"/>
            <family val="2"/>
          </rPr>
          <t xml:space="preserve">
in word file, it is Rs. 0.38 Crore</t>
        </r>
      </text>
    </comment>
  </commentList>
</comments>
</file>

<file path=xl/comments16.xml><?xml version="1.0" encoding="utf-8"?>
<comments xmlns="http://schemas.openxmlformats.org/spreadsheetml/2006/main">
  <authors>
    <author>Author</author>
  </authors>
  <commentList>
    <comment ref="E16" authorId="0">
      <text>
        <r>
          <rPr>
            <sz val="8"/>
            <color indexed="81"/>
            <rFont val="Tahoma"/>
            <family val="2"/>
          </rPr>
          <t xml:space="preserve">Anand:
Commission accepted the submission of BEST which is given below for reference
</t>
        </r>
      </text>
    </comment>
  </commentList>
</comments>
</file>

<file path=xl/comments17.xml><?xml version="1.0" encoding="utf-8"?>
<comments xmlns="http://schemas.openxmlformats.org/spreadsheetml/2006/main">
  <authors>
    <author>Author</author>
  </authors>
  <commentList>
    <comment ref="J62" authorId="0">
      <text>
        <r>
          <rPr>
            <b/>
            <sz val="8"/>
            <color indexed="81"/>
            <rFont val="Tahoma"/>
            <family val="2"/>
          </rPr>
          <t>Anand:
These are adjustments mentioned in BEST reply to our question related to revenue.</t>
        </r>
      </text>
    </comment>
    <comment ref="J63" authorId="0">
      <text>
        <r>
          <rPr>
            <b/>
            <sz val="8"/>
            <color indexed="81"/>
            <rFont val="Tahoma"/>
            <family val="2"/>
          </rPr>
          <t>Anand:
These are adjustments mentioned in BEST reply to our question related to revenue.</t>
        </r>
      </text>
    </comment>
    <comment ref="K106" authorId="0">
      <text>
        <r>
          <rPr>
            <b/>
            <sz val="10"/>
            <color indexed="81"/>
            <rFont val="Tahoma"/>
            <family val="2"/>
          </rPr>
          <t>Anand:
Reverse Calculation .Need to confirm with BEST Vigillance data.</t>
        </r>
      </text>
    </comment>
  </commentList>
</comments>
</file>

<file path=xl/comments18.xml><?xml version="1.0" encoding="utf-8"?>
<comments xmlns="http://schemas.openxmlformats.org/spreadsheetml/2006/main">
  <authors>
    <author>Author</author>
  </authors>
  <commentList>
    <comment ref="E11" authorId="0">
      <text>
        <r>
          <rPr>
            <b/>
            <sz val="10"/>
            <color indexed="81"/>
            <rFont val="Tahoma"/>
            <family val="2"/>
          </rPr>
          <t>Anand:
Reconciliation asked to BEST</t>
        </r>
      </text>
    </comment>
    <comment ref="E23" authorId="0">
      <text>
        <r>
          <rPr>
            <b/>
            <sz val="10"/>
            <color indexed="81"/>
            <rFont val="Tahoma"/>
            <family val="2"/>
          </rPr>
          <t>Anand:
Shown in BEST Reply.</t>
        </r>
      </text>
    </comment>
  </commentList>
</comments>
</file>

<file path=xl/comments19.xml><?xml version="1.0" encoding="utf-8"?>
<comments xmlns="http://schemas.openxmlformats.org/spreadsheetml/2006/main">
  <authors>
    <author>Author</author>
  </authors>
  <commentList>
    <comment ref="E46" authorId="0">
      <text>
        <r>
          <rPr>
            <b/>
            <sz val="8"/>
            <color indexed="81"/>
            <rFont val="Tahoma"/>
            <family val="2"/>
          </rPr>
          <t>Anand:
IDC of Rs. 0.73 Crs of 2011-12 &amp; Rs. 0.83 Crs of 2012-13 and IDC of Rs. 10.58 Crore of FY 2010-11 brought into books of accounts in F.Y. 2013-14</t>
        </r>
      </text>
    </comment>
  </commentList>
</comments>
</file>

<file path=xl/comments2.xml><?xml version="1.0" encoding="utf-8"?>
<comments xmlns="http://schemas.openxmlformats.org/spreadsheetml/2006/main">
  <authors>
    <author>Author</author>
  </authors>
  <commentList>
    <comment ref="E36" authorId="0">
      <text>
        <r>
          <rPr>
            <b/>
            <sz val="8"/>
            <color indexed="81"/>
            <rFont val="Tahoma"/>
            <family val="2"/>
          </rPr>
          <t>Anand:</t>
        </r>
        <r>
          <rPr>
            <sz val="8"/>
            <color indexed="81"/>
            <rFont val="Tahoma"/>
            <family val="2"/>
          </rPr>
          <t xml:space="preserve">
Taken from order</t>
        </r>
      </text>
    </comment>
  </commentList>
</comments>
</file>

<file path=xl/comments20.xml><?xml version="1.0" encoding="utf-8"?>
<comments xmlns="http://schemas.openxmlformats.org/spreadsheetml/2006/main">
  <authors>
    <author>Author</author>
  </authors>
  <commentList>
    <comment ref="D25" authorId="0">
      <text>
        <r>
          <rPr>
            <b/>
            <sz val="8"/>
            <color indexed="81"/>
            <rFont val="Tahoma"/>
            <family val="2"/>
          </rPr>
          <t>Anand:
63 Crore loan taken for working capital</t>
        </r>
      </text>
    </comment>
  </commentList>
</comments>
</file>

<file path=xl/comments21.xml><?xml version="1.0" encoding="utf-8"?>
<comments xmlns="http://schemas.openxmlformats.org/spreadsheetml/2006/main">
  <authors>
    <author>Author</author>
  </authors>
  <commentList>
    <comment ref="B43" authorId="0">
      <text>
        <r>
          <rPr>
            <b/>
            <sz val="12"/>
            <color indexed="8"/>
            <rFont val="Tahoma"/>
            <family val="2"/>
          </rPr>
          <t xml:space="preserve">Pal:
</t>
        </r>
        <r>
          <rPr>
            <sz val="12"/>
            <color indexed="8"/>
            <rFont val="Tahoma"/>
            <family val="2"/>
          </rPr>
          <t>if it is assumed that wheeling function is handled by Distribution Licensee</t>
        </r>
      </text>
    </comment>
  </commentList>
</comments>
</file>

<file path=xl/comments22.xml><?xml version="1.0" encoding="utf-8"?>
<comments xmlns="http://schemas.openxmlformats.org/spreadsheetml/2006/main">
  <authors>
    <author>Author</author>
  </authors>
  <commentList>
    <comment ref="K33" authorId="0">
      <text>
        <r>
          <rPr>
            <b/>
            <sz val="10"/>
            <color indexed="81"/>
            <rFont val="Tahoma"/>
            <family val="2"/>
          </rPr>
          <t>Anand:
This data used in F2.1</t>
        </r>
      </text>
    </comment>
  </commentList>
</comments>
</file>

<file path=xl/comments23.xml><?xml version="1.0" encoding="utf-8"?>
<comments xmlns="http://schemas.openxmlformats.org/spreadsheetml/2006/main">
  <authors>
    <author>Author</author>
  </authors>
  <commentList>
    <comment ref="D27" authorId="0">
      <text>
        <r>
          <rPr>
            <b/>
            <sz val="8"/>
            <color indexed="81"/>
            <rFont val="Tahoma"/>
            <family val="2"/>
          </rPr>
          <t>Anand:
IDC of Rs. 0.73 Crs of 2011-12 &amp; Rs. 0.83 Crs of 2012-13 brought into books of accounts in F.Y. 2013-14</t>
        </r>
      </text>
    </comment>
  </commentList>
</comments>
</file>

<file path=xl/comments24.xml><?xml version="1.0" encoding="utf-8"?>
<comments xmlns="http://schemas.openxmlformats.org/spreadsheetml/2006/main">
  <authors>
    <author>Author</author>
  </authors>
  <commentList>
    <comment ref="G409" authorId="0">
      <text>
        <r>
          <rPr>
            <b/>
            <sz val="8"/>
            <color indexed="81"/>
            <rFont val="Tahoma"/>
            <family val="2"/>
          </rPr>
          <t>Author:</t>
        </r>
        <r>
          <rPr>
            <sz val="8"/>
            <color indexed="81"/>
            <rFont val="Tahoma"/>
            <family val="2"/>
          </rPr>
          <t xml:space="preserve">
less 
salel of assets
</t>
        </r>
      </text>
    </comment>
    <comment ref="G444" authorId="0">
      <text>
        <r>
          <rPr>
            <b/>
            <sz val="8"/>
            <color indexed="81"/>
            <rFont val="Tahoma"/>
            <family val="2"/>
          </rPr>
          <t>Author:</t>
        </r>
        <r>
          <rPr>
            <sz val="8"/>
            <color indexed="81"/>
            <rFont val="Tahoma"/>
            <family val="2"/>
          </rPr>
          <t xml:space="preserve">
it includes stores balance
 Prior period exp is 17406575</t>
        </r>
      </text>
    </comment>
    <comment ref="G450" authorId="0">
      <text>
        <r>
          <rPr>
            <b/>
            <sz val="8"/>
            <color indexed="81"/>
            <rFont val="Tahoma"/>
            <family val="2"/>
          </rPr>
          <t>Author:</t>
        </r>
        <r>
          <rPr>
            <sz val="8"/>
            <color indexed="81"/>
            <rFont val="Tahoma"/>
            <family val="2"/>
          </rPr>
          <t xml:space="preserve">
prior perod 1.83</t>
        </r>
      </text>
    </comment>
    <comment ref="G455" authorId="0">
      <text>
        <r>
          <rPr>
            <b/>
            <sz val="8"/>
            <color indexed="81"/>
            <rFont val="Tahoma"/>
            <family val="2"/>
          </rPr>
          <t xml:space="preserve">Ali:
15.33 lac is related to exgratia payment
</t>
        </r>
        <r>
          <rPr>
            <sz val="8"/>
            <color indexed="81"/>
            <rFont val="Tahoma"/>
            <family val="2"/>
          </rPr>
          <t xml:space="preserve">
</t>
        </r>
      </text>
    </comment>
    <comment ref="D482" authorId="0">
      <text>
        <r>
          <rPr>
            <b/>
            <sz val="8"/>
            <color indexed="81"/>
            <rFont val="Tahoma"/>
            <family val="2"/>
          </rPr>
          <t xml:space="preserve">Ali:
This Include figure of "Material Dr./Cr. Book Adjustment" A/c Code 587
</t>
        </r>
      </text>
    </comment>
    <comment ref="D491" authorId="0">
      <text>
        <r>
          <rPr>
            <b/>
            <sz val="8"/>
            <color indexed="81"/>
            <rFont val="Tahoma"/>
            <family val="2"/>
          </rPr>
          <t xml:space="preserve">Ali:
It exclude amount of Fidility insurance fund 7022.5
</t>
        </r>
      </text>
    </comment>
    <comment ref="G527" authorId="0">
      <text>
        <r>
          <rPr>
            <b/>
            <sz val="8"/>
            <color indexed="81"/>
            <rFont val="Tahoma"/>
            <family val="2"/>
          </rPr>
          <t>Author:</t>
        </r>
        <r>
          <rPr>
            <sz val="8"/>
            <color indexed="81"/>
            <rFont val="Tahoma"/>
            <family val="2"/>
          </rPr>
          <t xml:space="preserve">
Prior period exp as per Best of Rs. 2120859/-</t>
        </r>
      </text>
    </comment>
    <comment ref="G528" authorId="0">
      <text>
        <r>
          <rPr>
            <b/>
            <sz val="8"/>
            <color indexed="81"/>
            <rFont val="Tahoma"/>
            <family val="2"/>
          </rPr>
          <t>Author:</t>
        </r>
        <r>
          <rPr>
            <sz val="8"/>
            <color indexed="81"/>
            <rFont val="Tahoma"/>
            <family val="2"/>
          </rPr>
          <t xml:space="preserve">
Prior period exp as per Best of Rs. 2120859/-</t>
        </r>
      </text>
    </comment>
    <comment ref="G529" authorId="0">
      <text>
        <r>
          <rPr>
            <b/>
            <sz val="8"/>
            <color indexed="81"/>
            <rFont val="Tahoma"/>
            <family val="2"/>
          </rPr>
          <t>Author:</t>
        </r>
        <r>
          <rPr>
            <sz val="8"/>
            <color indexed="81"/>
            <rFont val="Tahoma"/>
            <family val="2"/>
          </rPr>
          <t xml:space="preserve">
prior period of Best of Rs. 63936678 is distributed @ 36%
</t>
        </r>
      </text>
    </comment>
    <comment ref="D545" authorId="0">
      <text>
        <r>
          <rPr>
            <sz val="8"/>
            <color indexed="81"/>
            <rFont val="Tahoma"/>
            <family val="2"/>
          </rPr>
          <t xml:space="preserve">Rohit: from other operating expenses
</t>
        </r>
      </text>
    </comment>
    <comment ref="K582" authorId="0">
      <text>
        <r>
          <rPr>
            <b/>
            <sz val="8"/>
            <color indexed="81"/>
            <rFont val="Tahoma"/>
            <family val="2"/>
          </rPr>
          <t xml:space="preserve">Ali :
It Include Figure of Stores Rs 1439.92 Lacs
</t>
        </r>
      </text>
    </comment>
  </commentList>
</comments>
</file>

<file path=xl/comments25.xml><?xml version="1.0" encoding="utf-8"?>
<comments xmlns="http://schemas.openxmlformats.org/spreadsheetml/2006/main">
  <authors>
    <author>Author</author>
  </authors>
  <commentList>
    <comment ref="C7" authorId="0">
      <text>
        <r>
          <rPr>
            <b/>
            <sz val="8"/>
            <color indexed="81"/>
            <rFont val="Tahoma"/>
            <family val="2"/>
          </rPr>
          <t>Anand:
These values are considered in long term loans.</t>
        </r>
      </text>
    </comment>
    <comment ref="C12" authorId="0">
      <text>
        <r>
          <rPr>
            <b/>
            <sz val="8"/>
            <color indexed="81"/>
            <rFont val="Tahoma"/>
            <family val="2"/>
          </rPr>
          <t>Anand:
These values are considered in long term loans.</t>
        </r>
      </text>
    </comment>
    <comment ref="C13" authorId="0">
      <text>
        <r>
          <rPr>
            <b/>
            <sz val="8"/>
            <color indexed="81"/>
            <rFont val="Tahoma"/>
            <family val="2"/>
          </rPr>
          <t>Anand:
These values are considered in long term loans.</t>
        </r>
      </text>
    </comment>
    <comment ref="E45" authorId="0">
      <text>
        <r>
          <rPr>
            <b/>
            <sz val="8"/>
            <color indexed="81"/>
            <rFont val="Tahoma"/>
            <family val="2"/>
          </rPr>
          <t>Anand:
63 Crore loan taken for working capital</t>
        </r>
      </text>
    </comment>
    <comment ref="D47" authorId="0">
      <text>
        <r>
          <rPr>
            <sz val="8"/>
            <color indexed="81"/>
            <rFont val="Tahoma"/>
            <family val="2"/>
          </rPr>
          <t xml:space="preserve">Anand:
Given in URIM
</t>
        </r>
      </text>
    </comment>
    <comment ref="G60" authorId="0">
      <text>
        <r>
          <rPr>
            <sz val="8"/>
            <color indexed="81"/>
            <rFont val="Tahoma"/>
            <family val="2"/>
          </rPr>
          <t xml:space="preserve">Anand:
This entry is in Working capital loans details as well
</t>
        </r>
      </text>
    </comment>
  </commentList>
</comments>
</file>

<file path=xl/comments26.xml><?xml version="1.0" encoding="utf-8"?>
<comments xmlns="http://schemas.openxmlformats.org/spreadsheetml/2006/main">
  <authors>
    <author>Author</author>
  </authors>
  <commentList>
    <comment ref="B43" authorId="0">
      <text>
        <r>
          <rPr>
            <b/>
            <sz val="12"/>
            <color indexed="8"/>
            <rFont val="Tahoma"/>
            <family val="2"/>
          </rPr>
          <t xml:space="preserve">Pal:
</t>
        </r>
        <r>
          <rPr>
            <sz val="12"/>
            <color indexed="8"/>
            <rFont val="Tahoma"/>
            <family val="2"/>
          </rPr>
          <t>if it is assumed that wheeling function is handled by Distribution Licensee</t>
        </r>
      </text>
    </comment>
  </commentList>
</comments>
</file>

<file path=xl/comments27.xml><?xml version="1.0" encoding="utf-8"?>
<comments xmlns="http://schemas.openxmlformats.org/spreadsheetml/2006/main">
  <authors>
    <author>Author</author>
  </authors>
  <commentList>
    <comment ref="D39" authorId="0">
      <text>
        <r>
          <rPr>
            <b/>
            <sz val="8"/>
            <color indexed="8"/>
            <rFont val="Tahoma"/>
            <family val="2"/>
          </rPr>
          <t xml:space="preserve">amitra:
</t>
        </r>
        <r>
          <rPr>
            <sz val="8"/>
            <color indexed="8"/>
            <rFont val="Tahoma"/>
            <family val="2"/>
          </rPr>
          <t>This included Rs 8.16 CR on account of Power Factor Incentive which are now dedcuted from here and are now dedcuted from Revenue from power sale as it is more logical</t>
        </r>
      </text>
    </comment>
  </commentList>
</comments>
</file>

<file path=xl/comments3.xml><?xml version="1.0" encoding="utf-8"?>
<comments xmlns="http://schemas.openxmlformats.org/spreadsheetml/2006/main">
  <authors>
    <author>Author</author>
  </authors>
  <commentList>
    <comment ref="F25" authorId="0">
      <text>
        <r>
          <rPr>
            <sz val="10"/>
            <color indexed="81"/>
            <rFont val="Tahoma"/>
            <family val="2"/>
          </rPr>
          <t xml:space="preserve">Anand:
Actual distribution loss incurred by BEST given in Case No.26 Order
</t>
        </r>
      </text>
    </comment>
    <comment ref="G25" authorId="0">
      <text>
        <r>
          <rPr>
            <b/>
            <sz val="8"/>
            <color indexed="81"/>
            <rFont val="Tahoma"/>
            <family val="2"/>
          </rPr>
          <t>Anand:
Target set by the Commission. Given in Case No. 26 Order.</t>
        </r>
      </text>
    </comment>
  </commentList>
</comments>
</file>

<file path=xl/comments4.xml><?xml version="1.0" encoding="utf-8"?>
<comments xmlns="http://schemas.openxmlformats.org/spreadsheetml/2006/main">
  <authors>
    <author>Author</author>
  </authors>
  <commentList>
    <comment ref="AN12" authorId="0">
      <text>
        <r>
          <rPr>
            <b/>
            <sz val="9"/>
            <color indexed="81"/>
            <rFont val="Tahoma"/>
            <family val="2"/>
          </rPr>
          <t>Author:</t>
        </r>
        <r>
          <rPr>
            <sz val="9"/>
            <color indexed="81"/>
            <rFont val="Tahoma"/>
            <family val="2"/>
          </rPr>
          <t xml:space="preserve">
1) BEST has not paid Unit 8 fixed charges for Apr to Oct 2014 as unit was under forced outage (9.37*10)
2) Adjustment in FAC charges Unit 6 = Rs. 8.81 Crore
</t>
        </r>
      </text>
    </comment>
  </commentList>
</comments>
</file>

<file path=xl/comments5.xml><?xml version="1.0" encoding="utf-8"?>
<comments xmlns="http://schemas.openxmlformats.org/spreadsheetml/2006/main">
  <authors>
    <author>Author</author>
  </authors>
  <commentList>
    <comment ref="J40" authorId="0">
      <text>
        <r>
          <rPr>
            <b/>
            <sz val="9"/>
            <color indexed="81"/>
            <rFont val="Tahoma"/>
            <family val="2"/>
          </rPr>
          <t>Author:</t>
        </r>
        <r>
          <rPr>
            <sz val="9"/>
            <color indexed="81"/>
            <rFont val="Tahoma"/>
            <family val="2"/>
          </rPr>
          <t xml:space="preserve">
As per Commission Philosophy in MYT Order
</t>
        </r>
      </text>
    </comment>
    <comment ref="K40" authorId="0">
      <text>
        <r>
          <rPr>
            <b/>
            <sz val="9"/>
            <color indexed="81"/>
            <rFont val="Tahoma"/>
            <family val="2"/>
          </rPr>
          <t>Author:
As per Commission Philosophy in MYT Order</t>
        </r>
      </text>
    </comment>
    <comment ref="J42" authorId="0">
      <text>
        <r>
          <rPr>
            <b/>
            <sz val="9"/>
            <color indexed="81"/>
            <rFont val="Tahoma"/>
            <family val="2"/>
          </rPr>
          <t>Author:</t>
        </r>
        <r>
          <rPr>
            <sz val="9"/>
            <color indexed="81"/>
            <rFont val="Tahoma"/>
            <family val="2"/>
          </rPr>
          <t xml:space="preserve">
As per Commission Philosophy in MYT Order</t>
        </r>
      </text>
    </comment>
    <comment ref="K42" authorId="0">
      <text>
        <r>
          <rPr>
            <b/>
            <sz val="9"/>
            <color indexed="81"/>
            <rFont val="Tahoma"/>
            <family val="2"/>
          </rPr>
          <t>Author:</t>
        </r>
        <r>
          <rPr>
            <sz val="9"/>
            <color indexed="81"/>
            <rFont val="Tahoma"/>
            <family val="2"/>
          </rPr>
          <t xml:space="preserve">
As per Commission Philosophy in MYT Order</t>
        </r>
      </text>
    </comment>
    <comment ref="E159" authorId="0">
      <text>
        <r>
          <rPr>
            <b/>
            <sz val="8"/>
            <color indexed="81"/>
            <rFont val="Tahoma"/>
            <family val="2"/>
          </rPr>
          <t>Author:</t>
        </r>
        <r>
          <rPr>
            <sz val="8"/>
            <color indexed="81"/>
            <rFont val="Tahoma"/>
            <family val="2"/>
          </rPr>
          <t xml:space="preserve">
based on contracted energy- short term</t>
        </r>
      </text>
    </comment>
    <comment ref="F159" authorId="0">
      <text>
        <r>
          <rPr>
            <b/>
            <sz val="8"/>
            <color indexed="81"/>
            <rFont val="Tahoma"/>
            <family val="2"/>
          </rPr>
          <t>Ketan:
Based on the table submitted by RE dept</t>
        </r>
      </text>
    </comment>
  </commentList>
</comments>
</file>

<file path=xl/comments6.xml><?xml version="1.0" encoding="utf-8"?>
<comments xmlns="http://schemas.openxmlformats.org/spreadsheetml/2006/main">
  <authors>
    <author>Author</author>
  </authors>
  <commentList>
    <comment ref="J21" authorId="0">
      <text>
        <r>
          <rPr>
            <sz val="12"/>
            <color indexed="81"/>
            <rFont val="Tahoma"/>
            <family val="2"/>
          </rPr>
          <t xml:space="preserve">BEST share for Unit6  separately computed in this sheet below  </t>
        </r>
      </text>
    </comment>
  </commentList>
</comments>
</file>

<file path=xl/comments7.xml><?xml version="1.0" encoding="utf-8"?>
<comments xmlns="http://schemas.openxmlformats.org/spreadsheetml/2006/main">
  <authors>
    <author>Author</author>
  </authors>
  <commentList>
    <comment ref="J21" authorId="0">
      <text>
        <r>
          <rPr>
            <sz val="12"/>
            <color indexed="81"/>
            <rFont val="Tahoma"/>
            <family val="2"/>
          </rPr>
          <t xml:space="preserve">BEST share for Unit6  separately computed in this sheet below  </t>
        </r>
      </text>
    </comment>
  </commentList>
</comments>
</file>

<file path=xl/comments8.xml><?xml version="1.0" encoding="utf-8"?>
<comments xmlns="http://schemas.openxmlformats.org/spreadsheetml/2006/main">
  <authors>
    <author>Author</author>
  </authors>
  <commentList>
    <comment ref="L11" authorId="0">
      <text>
        <r>
          <rPr>
            <b/>
            <sz val="10"/>
            <color indexed="81"/>
            <rFont val="Tahoma"/>
            <family val="2"/>
          </rPr>
          <t>Anand:
Employee Expenses mainly increased on account of Dearness Allowance payment as Index has been increased from 26622  in the month of April 2013 to 28736 in the month of March 2014.</t>
        </r>
      </text>
    </comment>
    <comment ref="E28" authorId="0">
      <text>
        <r>
          <rPr>
            <b/>
            <sz val="9"/>
            <color indexed="81"/>
            <rFont val="Tahoma"/>
            <family val="2"/>
          </rPr>
          <t>Author:</t>
        </r>
        <r>
          <rPr>
            <sz val="9"/>
            <color indexed="81"/>
            <rFont val="Tahoma"/>
            <family val="2"/>
          </rPr>
          <t xml:space="preserve">
This data is mentioned in TueUp_Audited12-13 Word File.This data is not given in petition. </t>
        </r>
      </text>
    </comment>
  </commentList>
</comments>
</file>

<file path=xl/comments9.xml><?xml version="1.0" encoding="utf-8"?>
<comments xmlns="http://schemas.openxmlformats.org/spreadsheetml/2006/main">
  <authors>
    <author>Author</author>
  </authors>
  <commentList>
    <comment ref="E27" authorId="0">
      <text>
        <r>
          <rPr>
            <b/>
            <sz val="9"/>
            <color indexed="81"/>
            <rFont val="Tahoma"/>
            <family val="2"/>
          </rPr>
          <t>Anand:</t>
        </r>
        <r>
          <rPr>
            <sz val="9"/>
            <color indexed="81"/>
            <rFont val="Tahoma"/>
            <family val="2"/>
          </rPr>
          <t xml:space="preserve">
This data is mentioned in TueUp_Audited12-13 Word File.This data is not given in petition. </t>
        </r>
      </text>
    </comment>
  </commentList>
</comments>
</file>

<file path=xl/sharedStrings.xml><?xml version="1.0" encoding="utf-8"?>
<sst xmlns="http://schemas.openxmlformats.org/spreadsheetml/2006/main" count="17942" uniqueCount="3929">
  <si>
    <t>Units sold and Revenue Earned for the FY 2012-13</t>
  </si>
  <si>
    <t>Category</t>
  </si>
  <si>
    <t>Slabs</t>
  </si>
  <si>
    <t>Billing Meters for billing month of Mar 13 as per Vidushi 5.0</t>
  </si>
  <si>
    <t>Units Sold</t>
  </si>
  <si>
    <t>Tariff Charges</t>
  </si>
  <si>
    <t>Fixed/Demand Chgs.</t>
  </si>
  <si>
    <t>Traffic loss Charges</t>
  </si>
  <si>
    <t>Total Revenue</t>
  </si>
  <si>
    <t>Avg.selling Rate in Rs./kwh w/o FAC</t>
  </si>
  <si>
    <t>FAC billed as per RM009 Apr 12</t>
  </si>
  <si>
    <t>Avg.FAC Rate in Rs./kwh</t>
  </si>
  <si>
    <t>1 ph.</t>
  </si>
  <si>
    <t>3 ph.</t>
  </si>
  <si>
    <t>BPL</t>
  </si>
  <si>
    <t>0 - 30</t>
  </si>
  <si>
    <t>LT-1 old</t>
  </si>
  <si>
    <t>0 - 100</t>
  </si>
  <si>
    <t>101 - 300</t>
  </si>
  <si>
    <t>301 - 500</t>
  </si>
  <si>
    <t>&gt; 501</t>
  </si>
  <si>
    <t>LT2 (a)</t>
  </si>
  <si>
    <t>0 - 300</t>
  </si>
  <si>
    <t>501- 1000</t>
  </si>
  <si>
    <t>&gt; 1000</t>
  </si>
  <si>
    <t>0 - 500</t>
  </si>
  <si>
    <t>&gt; 500</t>
  </si>
  <si>
    <t>LT2 (b)</t>
  </si>
  <si>
    <t>all units</t>
  </si>
  <si>
    <t xml:space="preserve">LT2 (c) </t>
  </si>
  <si>
    <t>LT-3</t>
  </si>
  <si>
    <t>LT-4 (a)</t>
  </si>
  <si>
    <t>LT-4 (b)</t>
  </si>
  <si>
    <t>LT-5</t>
  </si>
  <si>
    <t>LT-6 Public Ltg</t>
  </si>
  <si>
    <t>LT-6 others</t>
  </si>
  <si>
    <t>LT-7a</t>
  </si>
  <si>
    <t>LT-7b</t>
  </si>
  <si>
    <t>LT-8</t>
  </si>
  <si>
    <t>LT-9a</t>
  </si>
  <si>
    <t>LT-9b</t>
  </si>
  <si>
    <t xml:space="preserve">HT - I </t>
  </si>
  <si>
    <t xml:space="preserve">HT - II </t>
  </si>
  <si>
    <t>HT - III</t>
  </si>
  <si>
    <t>HT - IV</t>
  </si>
  <si>
    <t>HT - V</t>
  </si>
  <si>
    <t>Diff</t>
  </si>
  <si>
    <t>Total</t>
  </si>
  <si>
    <t>Penalty (PF)</t>
  </si>
  <si>
    <t>FAC</t>
  </si>
  <si>
    <t>DIFF. IN M'TAX</t>
  </si>
  <si>
    <t>TOD CHARGES</t>
  </si>
  <si>
    <t>Penalty (CD)</t>
  </si>
  <si>
    <t>Prompt Payment Disc</t>
  </si>
  <si>
    <t>PF incentive</t>
  </si>
  <si>
    <t>ECS incentive</t>
  </si>
  <si>
    <t>LF incentive</t>
  </si>
  <si>
    <t>Net Income</t>
  </si>
  <si>
    <t>Selling Rate</t>
  </si>
  <si>
    <t>Other Incomes</t>
  </si>
  <si>
    <t>Total Income</t>
  </si>
  <si>
    <t>Units sold and Revenue Earned for the April 2012</t>
  </si>
  <si>
    <t>Billing Meters</t>
  </si>
  <si>
    <t>Avg.selling Rate in Rs./kwh</t>
  </si>
  <si>
    <t>Units sold and Revenue Earned for the May 2012</t>
  </si>
  <si>
    <t>FAC billed as per RM009 May 12</t>
  </si>
  <si>
    <t>Units sold and Revenue Earned for the June 2012</t>
  </si>
  <si>
    <t>FAC billed as per RM009 Jun 12</t>
  </si>
  <si>
    <t>Units sold and Revenue Earned for the July 2012</t>
  </si>
  <si>
    <t>FAC billed as per RM009 Jul 12</t>
  </si>
  <si>
    <t>Units sold and Revenue Earned for the August 2012</t>
  </si>
  <si>
    <t>FAC billed as per RM009 Aug 12</t>
  </si>
  <si>
    <t>Units sold and Revenue Earned for the September 2012</t>
  </si>
  <si>
    <t>FAC billed as per RM009 Sep 12</t>
  </si>
  <si>
    <t>Units sold and Revenue Earned for the October 2012</t>
  </si>
  <si>
    <t>FAC billed as per RM009 Oct 12</t>
  </si>
  <si>
    <t>Units sold and Revenue Earned for the November 2012</t>
  </si>
  <si>
    <t>Units sold and Revenue Earned for the December 2012</t>
  </si>
  <si>
    <t>Units sold and Revenue Earned for the January 13</t>
  </si>
  <si>
    <t>Units sold and Revenue Earned for the February 13</t>
  </si>
  <si>
    <t>Units sold and Revenue Earned for the March 13</t>
  </si>
  <si>
    <t>Particulars</t>
  </si>
  <si>
    <t>FY 2012-13</t>
  </si>
  <si>
    <t>MU</t>
  </si>
  <si>
    <t>Sr.No.</t>
  </si>
  <si>
    <t>Unit</t>
  </si>
  <si>
    <t>Actuals</t>
  </si>
  <si>
    <t>Energy Sales</t>
  </si>
  <si>
    <t>Distribution Loss</t>
  </si>
  <si>
    <t>%</t>
  </si>
  <si>
    <t>Energy Requirement at T&lt; &gt;D interface</t>
  </si>
  <si>
    <t>Intra-State Transmission Loss</t>
  </si>
  <si>
    <t>Energy Requirement at G&lt; &gt;T interface</t>
  </si>
  <si>
    <t>RPS</t>
  </si>
  <si>
    <t xml:space="preserve"> </t>
  </si>
  <si>
    <t>Source of Power</t>
  </si>
  <si>
    <t>Actual</t>
  </si>
  <si>
    <t>RPS-Solar</t>
  </si>
  <si>
    <t>Audited</t>
  </si>
  <si>
    <t>OLA Sale</t>
  </si>
  <si>
    <t>Brihanmumbai electric supply and transport</t>
  </si>
  <si>
    <t>S.No.</t>
  </si>
  <si>
    <t>Basic Salary</t>
  </si>
  <si>
    <t>Dearness Allowance (DA)</t>
  </si>
  <si>
    <t>House Rent Allowance</t>
  </si>
  <si>
    <t>Conveyance Allowance</t>
  </si>
  <si>
    <t>Leave Travel Allowance</t>
  </si>
  <si>
    <t>Earned Leave Encashment</t>
  </si>
  <si>
    <t>Medical Allowance</t>
  </si>
  <si>
    <t>Overtime Payment</t>
  </si>
  <si>
    <t>Bonus/Ex-Gratia Payments</t>
  </si>
  <si>
    <t xml:space="preserve">Interim Relief / Wage Settlement </t>
  </si>
  <si>
    <t xml:space="preserve">Functional Allowance as per Agreement </t>
  </si>
  <si>
    <t>VRS Expenses/Retrenchment Compensation</t>
  </si>
  <si>
    <t>Special Benefit</t>
  </si>
  <si>
    <t>Provident Fund Contribution</t>
  </si>
  <si>
    <t>Gratuity Payment</t>
  </si>
  <si>
    <t>Cost of bus token / passes</t>
  </si>
  <si>
    <t xml:space="preserve">Gross Employee Expenses </t>
  </si>
  <si>
    <t>Less: Expenses Capitalised</t>
  </si>
  <si>
    <t>Less: Establishment of CAS (0.81), T&amp;E(0.48)&amp; ST.LTG.(28.91) &amp; Electrical Works(1.37) Dept.</t>
  </si>
  <si>
    <t xml:space="preserve">Net Employee Expenses </t>
  </si>
  <si>
    <t>Rent Rates &amp; Taxes</t>
  </si>
  <si>
    <t>Insurance</t>
  </si>
  <si>
    <t>Telephone &amp; Postage, etc.</t>
  </si>
  <si>
    <t>Legal charges &amp; Audit fee</t>
  </si>
  <si>
    <t>Professional, Consultancy, Technical fee</t>
  </si>
  <si>
    <t>Electricity charges</t>
  </si>
  <si>
    <t>Security arrangements</t>
  </si>
  <si>
    <t>Printing &amp; Stationery</t>
  </si>
  <si>
    <t xml:space="preserve">Advertisements </t>
  </si>
  <si>
    <t>License Fee  and other related fee</t>
  </si>
  <si>
    <t>Vehicle Running Expenses</t>
  </si>
  <si>
    <t>Training</t>
  </si>
  <si>
    <t>Bank Charges</t>
  </si>
  <si>
    <t>Property Insurance Fund</t>
  </si>
  <si>
    <t>Other costs</t>
  </si>
  <si>
    <t>Share of General Administration Expenses</t>
  </si>
  <si>
    <t>Gross A&amp;G Expenses</t>
  </si>
  <si>
    <t>Central Office and Service of Office Equipment etc.</t>
  </si>
  <si>
    <t>Material</t>
  </si>
  <si>
    <t>Stock Adjustment</t>
  </si>
  <si>
    <t>Dead Stock</t>
  </si>
  <si>
    <t>Repairs &amp; Maintenance R&amp;D S/S</t>
  </si>
  <si>
    <t>Mains Aerial (Cable Network)</t>
  </si>
  <si>
    <t>Meter Installation</t>
  </si>
  <si>
    <t>Meter Testing</t>
  </si>
  <si>
    <t>Reinstatement Charges</t>
  </si>
  <si>
    <t>R &amp; M charges for BPAP(KLG)</t>
  </si>
  <si>
    <t>Business Process Automation</t>
  </si>
  <si>
    <t xml:space="preserve">       </t>
  </si>
  <si>
    <t>Rs. Crore</t>
  </si>
  <si>
    <t>Balance at the beginning of the year</t>
  </si>
  <si>
    <t>Additions during the year</t>
  </si>
  <si>
    <t>Retirement/Adjustments of assets during the year</t>
  </si>
  <si>
    <t>Balance at the end of the year</t>
  </si>
  <si>
    <t xml:space="preserve">Land             </t>
  </si>
  <si>
    <t>Buildings</t>
  </si>
  <si>
    <t xml:space="preserve">Plant &amp; Machinery                          </t>
  </si>
  <si>
    <t>Cables And Mains</t>
  </si>
  <si>
    <t>Meters And Installations</t>
  </si>
  <si>
    <t>Street Lighting Lamps</t>
  </si>
  <si>
    <t>D. E. A. On Hire</t>
  </si>
  <si>
    <t>Motor Vehicles</t>
  </si>
  <si>
    <t>Tools And Equipments</t>
  </si>
  <si>
    <t>Furniture And Office Equipments</t>
  </si>
  <si>
    <t>Accumulated depreciation at the beginning of the year</t>
  </si>
  <si>
    <t>Withdrawals during the year</t>
  </si>
  <si>
    <t>Accumulated depreciation at the end of the year</t>
  </si>
  <si>
    <t>Retirement of assets during the year</t>
  </si>
  <si>
    <t>Brihanmumbai Electric Supply and Transport Undertaking</t>
  </si>
  <si>
    <t>Title</t>
  </si>
  <si>
    <t>Reference</t>
  </si>
  <si>
    <t>Aggregate Revenue Requirement - Summary Sheet</t>
  </si>
  <si>
    <t>Form 1</t>
  </si>
  <si>
    <t>Power Purchase Expenses</t>
  </si>
  <si>
    <t>Form 2</t>
  </si>
  <si>
    <t>Operations and Maintenance Expenses</t>
  </si>
  <si>
    <t>Form 3</t>
  </si>
  <si>
    <t>Employee Expenses</t>
  </si>
  <si>
    <t xml:space="preserve">Form 3.1 </t>
  </si>
  <si>
    <t>Administration &amp; General Expenses</t>
  </si>
  <si>
    <t>Form 3.2</t>
  </si>
  <si>
    <t>Repair &amp; Maintenance Expenses</t>
  </si>
  <si>
    <t>Form 3.3</t>
  </si>
  <si>
    <t>Assets &amp; Depreciation</t>
  </si>
  <si>
    <t>Form 4</t>
  </si>
  <si>
    <t>Interest Expenses</t>
  </si>
  <si>
    <t>Form 5</t>
  </si>
  <si>
    <t>Form 5.1</t>
  </si>
  <si>
    <t>Bad Debts Written Off</t>
  </si>
  <si>
    <t>Form 7</t>
  </si>
  <si>
    <t>Return on Regulatory Equity</t>
  </si>
  <si>
    <t>Form 8</t>
  </si>
  <si>
    <t>Other Expenses</t>
  </si>
  <si>
    <t>Form 9</t>
  </si>
  <si>
    <t>Non-tariff Income</t>
  </si>
  <si>
    <t>Form 10</t>
  </si>
  <si>
    <t>Form 11</t>
  </si>
  <si>
    <t>Operation &amp; Maintenance Expenses</t>
  </si>
  <si>
    <t>Depreciation, including advance against depreciation</t>
  </si>
  <si>
    <t>Interest on Long-term Loan Capital &amp; Short Term Finance</t>
  </si>
  <si>
    <t>Interest on Working Capital (normative)</t>
  </si>
  <si>
    <t>Interest on Working Capital(actual)</t>
  </si>
  <si>
    <t>Interest on Consumer Deposits</t>
  </si>
  <si>
    <t>Bad Debts Written off</t>
  </si>
  <si>
    <t>Power Purchase Expenses (including External Power Purchase)</t>
  </si>
  <si>
    <t>Income Tax</t>
  </si>
  <si>
    <t>Contribution to contingency reserves</t>
  </si>
  <si>
    <t>Total Revenue Expenditure</t>
  </si>
  <si>
    <t>Return as Interest on Internal funds</t>
  </si>
  <si>
    <t>Aggregate Revenue Requirement</t>
  </si>
  <si>
    <t>Less: Non Tariff Income</t>
  </si>
  <si>
    <t>Total ARR</t>
  </si>
  <si>
    <t>Add: Deficit of Transport Division</t>
  </si>
  <si>
    <t>Gross ARR</t>
  </si>
  <si>
    <t>Less Revenue  from Existing Tariff</t>
  </si>
  <si>
    <t xml:space="preserve">Add Revenue collected from Vig. drive </t>
  </si>
  <si>
    <t>Less Payment of ED &amp; M.Tax</t>
  </si>
  <si>
    <t>Net Revenue Gap</t>
  </si>
  <si>
    <t>S. No.</t>
  </si>
  <si>
    <t>Debt</t>
  </si>
  <si>
    <t>Regulatory Equity at the beginning of the year</t>
  </si>
  <si>
    <t>Allowable Capitalization amount</t>
  </si>
  <si>
    <t>(less) Capital connection fee</t>
  </si>
  <si>
    <t>Net Allowable Capitalisation amount</t>
  </si>
  <si>
    <t>Equity portion of capitalization</t>
  </si>
  <si>
    <t>Reduction in Equity-Retirement/Replacement of Assets</t>
  </si>
  <si>
    <t>Regulatory Equity at the end of the year</t>
  </si>
  <si>
    <t>Return Computation</t>
  </si>
  <si>
    <t>Total Return on Regulatory Equity (5) + (6)</t>
  </si>
  <si>
    <t xml:space="preserve">Difference </t>
  </si>
  <si>
    <t>Power factor discount</t>
  </si>
  <si>
    <t>a</t>
  </si>
  <si>
    <t>b</t>
  </si>
  <si>
    <t>O&amp;M Expenses</t>
  </si>
  <si>
    <t xml:space="preserve">Employee Expenses </t>
  </si>
  <si>
    <t xml:space="preserve">A&amp;G Expenses </t>
  </si>
  <si>
    <t>R&amp;M Expenses</t>
  </si>
  <si>
    <t>Total Operation &amp; Maintenance Expenses (net of capitalisation)</t>
  </si>
  <si>
    <t>Depreciation</t>
  </si>
  <si>
    <t>Capitalisation during the year</t>
  </si>
  <si>
    <t>Form 2: Power Purchase Expenses</t>
  </si>
  <si>
    <t>MYT Order (Case No. 26 of 2013)</t>
  </si>
  <si>
    <t>Rs/kWh</t>
  </si>
  <si>
    <t>TPC-G</t>
  </si>
  <si>
    <t>RPS (Spark Green)</t>
  </si>
  <si>
    <t>External power purchase/(Sale)</t>
  </si>
  <si>
    <t>Pool Imbalances</t>
  </si>
  <si>
    <t>Delayed payment Charges &amp; Interest to TPC-G</t>
  </si>
  <si>
    <t>Average Power Purchase Cost (Rs./kWh)</t>
  </si>
  <si>
    <t>s</t>
  </si>
  <si>
    <t>Return on Equity Capital</t>
  </si>
  <si>
    <t xml:space="preserve">FORMAT  9.1    -      A and G Expenses     </t>
  </si>
  <si>
    <t>Rs. In Crores             2012-13</t>
  </si>
  <si>
    <t>F.Y -2011-12</t>
  </si>
  <si>
    <t>Electrcity Regulated Maharashtra Business</t>
  </si>
  <si>
    <t xml:space="preserve">          Sub</t>
  </si>
  <si>
    <t>-segments</t>
  </si>
  <si>
    <t>Retail Supply</t>
  </si>
  <si>
    <t>Grand Total</t>
  </si>
  <si>
    <t>Generation</t>
  </si>
  <si>
    <t>Transmission</t>
  </si>
  <si>
    <t>Wire</t>
  </si>
  <si>
    <t>Apr-Jun</t>
  </si>
  <si>
    <t>Jul-Sept</t>
  </si>
  <si>
    <t>Oct-Dec</t>
  </si>
  <si>
    <t>Jan-Mar13</t>
  </si>
  <si>
    <t>Conveyance &amp; Travel</t>
  </si>
  <si>
    <t>Water charges</t>
  </si>
  <si>
    <t>Demand side management expenses</t>
  </si>
  <si>
    <t>Fees &amp; subscription</t>
  </si>
  <si>
    <t>RPO MEDA</t>
  </si>
  <si>
    <t>Computer Stationery</t>
  </si>
  <si>
    <t>Purchase Related Advertisement Expenses</t>
  </si>
  <si>
    <t>Contribution/Donations</t>
  </si>
  <si>
    <t>Vehicle Running Expenses Truck / Delivery Van</t>
  </si>
  <si>
    <t xml:space="preserve">  </t>
  </si>
  <si>
    <t>Vehicle Hiring Expenses Truck / Delivery Van</t>
  </si>
  <si>
    <t>Cost of Training</t>
  </si>
  <si>
    <t>Outsourcing of metering and billing system</t>
  </si>
  <si>
    <t>Freight On Capital Equipments</t>
  </si>
  <si>
    <t>V-sat, Internet and related charges</t>
  </si>
  <si>
    <t>Amenities to Staff</t>
  </si>
  <si>
    <t>Miscellaneous Expenses</t>
  </si>
  <si>
    <t>Rebate on advance payment</t>
  </si>
  <si>
    <t>Power factor incentive</t>
  </si>
  <si>
    <t>Contingency Reserve Fund</t>
  </si>
  <si>
    <t>Lease Rent On Meters</t>
  </si>
  <si>
    <t>Service Charges on Gas Insulated Switches</t>
  </si>
  <si>
    <t>Other expenses</t>
  </si>
  <si>
    <t>Less: Expenses  of DSM</t>
  </si>
  <si>
    <t xml:space="preserve">Net A&amp;G Expenses </t>
  </si>
  <si>
    <t xml:space="preserve">Net Expenses of Supply Business </t>
  </si>
  <si>
    <t>Net Expenses of Wire Business</t>
  </si>
  <si>
    <t xml:space="preserve">BEST is exempted from the provisions of "Open Access". Hence information/data for both </t>
  </si>
  <si>
    <t>"Wire &amp; Supply business" are given under the common column</t>
  </si>
  <si>
    <t>FORMAT  9.2   -  R  AND  M  EXPENSES</t>
  </si>
  <si>
    <t>Rs. In Crores                         2012-13</t>
  </si>
  <si>
    <t xml:space="preserve">Central Office &amp; Hire &amp; Services </t>
  </si>
  <si>
    <t>Materials</t>
  </si>
  <si>
    <t>Receiving &amp; Distribution</t>
  </si>
  <si>
    <t>Reinstatment charges</t>
  </si>
  <si>
    <t>Mains &amp; Arials</t>
  </si>
  <si>
    <t>Furniture &amp; Fixtures</t>
  </si>
  <si>
    <t>Office Equipment</t>
  </si>
  <si>
    <t>Telephone rentals, repairs, etc.</t>
  </si>
  <si>
    <t>R&amp;M charges for BPAP (KLG)</t>
  </si>
  <si>
    <t>Gross R&amp;M Expenses</t>
  </si>
  <si>
    <t xml:space="preserve">Net R&amp;M Expenses </t>
  </si>
  <si>
    <t>Gross Fixed Assets at beginning of year</t>
  </si>
  <si>
    <t>R&amp;M Expenses as % of GFA at beginning of year</t>
  </si>
  <si>
    <t>FORMAT  9.3        EMPLOYEES  EXPENSES</t>
  </si>
  <si>
    <t>Rs. In Crores                 2012-13</t>
  </si>
  <si>
    <t xml:space="preserve">Audited  </t>
  </si>
  <si>
    <t>Retail Supply.</t>
  </si>
  <si>
    <t>Other Allowances</t>
  </si>
  <si>
    <t>Interim Relief / Wage Settlement (Ex-employee)</t>
  </si>
  <si>
    <t>Interim DA</t>
  </si>
  <si>
    <t>Functional allowance,Incentive,EDIE</t>
  </si>
  <si>
    <t>Special Benefit to Employees</t>
  </si>
  <si>
    <t>Training Expenses</t>
  </si>
  <si>
    <t>Payment under Workmen's Compensation Act</t>
  </si>
  <si>
    <t>Net Employee Costs</t>
  </si>
  <si>
    <t>Terminal Benefits</t>
  </si>
  <si>
    <t>Provision for PF Fund</t>
  </si>
  <si>
    <t>Pension Payments</t>
  </si>
  <si>
    <t>Others</t>
  </si>
  <si>
    <t>Less: Expenses Capitalised **</t>
  </si>
  <si>
    <t>Less:Estb. Of CAS ,T&amp;E &amp; ST.LTG. Dept.&amp;DSM</t>
  </si>
  <si>
    <t>UNITS MUS April 09</t>
  </si>
  <si>
    <t>UNITS MUS May 09</t>
  </si>
  <si>
    <t>UNITS MUS 2011- 12</t>
  </si>
  <si>
    <t>Audited Amt Rs. Crs.</t>
  </si>
  <si>
    <t>Jan-Mar</t>
  </si>
  <si>
    <t>April to march</t>
  </si>
  <si>
    <t>Electricity regulated Maharashtra Buiness  Sub- segments Rs. Crs</t>
  </si>
  <si>
    <t>march</t>
  </si>
  <si>
    <t>Jan- Mar13</t>
  </si>
  <si>
    <t>11-12 (Rs in crs)</t>
  </si>
  <si>
    <t>12-13 (unit)</t>
  </si>
  <si>
    <t>Gen</t>
  </si>
  <si>
    <t>Trans</t>
  </si>
  <si>
    <t>Dist. Wire</t>
  </si>
  <si>
    <t>12-13 (Rs in crs)</t>
  </si>
  <si>
    <t>Sources of Energy :</t>
  </si>
  <si>
    <t>Owen Generation</t>
  </si>
  <si>
    <t>Source 1</t>
  </si>
  <si>
    <t>Source 2</t>
  </si>
  <si>
    <t>Central Sector Purchase</t>
  </si>
  <si>
    <t>Biomass</t>
  </si>
  <si>
    <t>Small Hydro</t>
  </si>
  <si>
    <t>Solar</t>
  </si>
  <si>
    <t>Bagass</t>
  </si>
  <si>
    <t>Muncipal Solid Waste</t>
  </si>
  <si>
    <t>CPP/IPP</t>
  </si>
  <si>
    <t>Bilateral</t>
  </si>
  <si>
    <t>Imbalance Pool settlement</t>
  </si>
  <si>
    <t>Traders</t>
  </si>
  <si>
    <t>Source- 1 MPMG</t>
  </si>
  <si>
    <t>Source- 2 Contracted Sale</t>
  </si>
  <si>
    <t xml:space="preserve"> Surplus Amount refunded by TPCG </t>
  </si>
  <si>
    <t>IBSM / FBSM  Settlement</t>
  </si>
  <si>
    <t>UI</t>
  </si>
  <si>
    <t>Contracted power TPC-G excluding U-8</t>
  </si>
  <si>
    <t xml:space="preserve"> TPC-G Unit-08</t>
  </si>
  <si>
    <t>Less: Sale</t>
  </si>
  <si>
    <t>DPC levied bt TPC(G)</t>
  </si>
  <si>
    <t>Disc. On RPS</t>
  </si>
  <si>
    <t>Disc. OnCPP/IPP</t>
  </si>
  <si>
    <t xml:space="preserve">                    Electicity Regulated Maharashtra Business Sub-segments    (Rs. crores)</t>
  </si>
  <si>
    <t xml:space="preserve">Sr. No. </t>
  </si>
  <si>
    <t xml:space="preserve">             Asset Particulars</t>
  </si>
  <si>
    <t xml:space="preserve">                                                      </t>
  </si>
  <si>
    <t>Audited Amount</t>
  </si>
  <si>
    <t xml:space="preserve">                          Generation</t>
  </si>
  <si>
    <t xml:space="preserve">                                Transmission</t>
  </si>
  <si>
    <t xml:space="preserve">                         Distribution wire</t>
  </si>
  <si>
    <t>Dis</t>
  </si>
  <si>
    <t>(Rs. Cr) 08-09</t>
  </si>
  <si>
    <t>2011-12</t>
  </si>
  <si>
    <t>upto</t>
  </si>
  <si>
    <t xml:space="preserve">  Audited (D)         </t>
  </si>
  <si>
    <t>Adjustment</t>
  </si>
  <si>
    <t>Audited ( E)</t>
  </si>
  <si>
    <t>Audited(F)</t>
  </si>
  <si>
    <t>Adj</t>
  </si>
  <si>
    <t>Mar'13</t>
  </si>
  <si>
    <t xml:space="preserve">Land </t>
  </si>
  <si>
    <t xml:space="preserve">Buildings </t>
  </si>
  <si>
    <t>Intangible Assets</t>
  </si>
  <si>
    <t>Hydraulic Works</t>
  </si>
  <si>
    <t>Other Civil works</t>
  </si>
  <si>
    <t>Plant &amp; Machinery</t>
  </si>
  <si>
    <t xml:space="preserve">    Generators</t>
  </si>
  <si>
    <t>Convnetronal</t>
  </si>
  <si>
    <t xml:space="preserve">      Hydel</t>
  </si>
  <si>
    <t xml:space="preserve">      Thermal</t>
  </si>
  <si>
    <t xml:space="preserve">      Nuclear</t>
  </si>
  <si>
    <t>Renewables</t>
  </si>
  <si>
    <t xml:space="preserve">     Wind</t>
  </si>
  <si>
    <t xml:space="preserve">     Small Hydric</t>
  </si>
  <si>
    <t xml:space="preserve">     Biomass</t>
  </si>
  <si>
    <t xml:space="preserve">     Solar</t>
  </si>
  <si>
    <t xml:space="preserve">     Bagasse</t>
  </si>
  <si>
    <t xml:space="preserve">     Muncipal solid waste</t>
  </si>
  <si>
    <t xml:space="preserve">     Others</t>
  </si>
  <si>
    <t xml:space="preserve">     Transmission &amp; distribution</t>
  </si>
  <si>
    <t xml:space="preserve">   Plant and Machinery - 33 KV</t>
  </si>
  <si>
    <t xml:space="preserve">      Transformsers</t>
  </si>
  <si>
    <t xml:space="preserve">      T kiosks substation equipments switchgear</t>
  </si>
  <si>
    <t xml:space="preserve">      Switchgear including cable connections</t>
  </si>
  <si>
    <t xml:space="preserve">    Plant and Machinery   - 22 KV</t>
  </si>
  <si>
    <t xml:space="preserve">    Plant and Machinery   ----------------KV</t>
  </si>
  <si>
    <t>Volatge wise Details of</t>
  </si>
  <si>
    <t xml:space="preserve">   Line Cable Network  -33KV</t>
  </si>
  <si>
    <t xml:space="preserve">          Overhead Lines</t>
  </si>
  <si>
    <t xml:space="preserve">           Underground Cables</t>
  </si>
  <si>
    <t xml:space="preserve">           Metering Equipemnts</t>
  </si>
  <si>
    <t xml:space="preserve">   Line Cable Network  -22KV</t>
  </si>
  <si>
    <t xml:space="preserve">   Line Cable Network  ---------   KV</t>
  </si>
  <si>
    <t>Meters</t>
  </si>
  <si>
    <t>Street Lighting</t>
  </si>
  <si>
    <t>Vehicles</t>
  </si>
  <si>
    <t>Furniture &amp; Office quipments</t>
  </si>
  <si>
    <t>Tools &amp; Equipments</t>
  </si>
  <si>
    <t>Others-D EA on Hire</t>
  </si>
  <si>
    <t>Security  Equipment</t>
  </si>
  <si>
    <t>SCADA</t>
  </si>
  <si>
    <t>Interest During Constrution of Meter Rs.2.25 crs, St.Lighting Rs.0.27 crs &amp; Furniture &amp; Office Equipments Rs.1.21 crs.are reverted as per TVS</t>
  </si>
  <si>
    <t>additional data gap query in case no. 26 of 2013 &amp; the same is shown under adjustment column after management decided to accept the same.</t>
  </si>
  <si>
    <t>Security Equipments</t>
  </si>
  <si>
    <t>FORMAT  2 Accumulated Depreciaiton  _ 2</t>
  </si>
  <si>
    <t xml:space="preserve">             Discription of assets</t>
  </si>
  <si>
    <t xml:space="preserve">  Electicity Regulated Maharashtra Business Sub-segments   </t>
  </si>
  <si>
    <t>Rs. In Crores</t>
  </si>
  <si>
    <t>DIS</t>
  </si>
  <si>
    <t>LAST YR</t>
  </si>
  <si>
    <t>Upto Mar'13</t>
  </si>
  <si>
    <t>Audit</t>
  </si>
  <si>
    <t>Act..</t>
  </si>
  <si>
    <t>Adj.</t>
  </si>
  <si>
    <t xml:space="preserve">Volatge wise Details of </t>
  </si>
  <si>
    <t>Volatge wise -Cables  and  Mains</t>
  </si>
  <si>
    <t>Furniture &amp;Equipments</t>
  </si>
  <si>
    <t xml:space="preserve"> Grand Total</t>
  </si>
  <si>
    <t xml:space="preserve"> Net Fixed Assets</t>
  </si>
  <si>
    <t>Gross Fixed Assets</t>
  </si>
  <si>
    <t xml:space="preserve"> Depreciation</t>
  </si>
  <si>
    <t>FORMAT 10 Long Term Interest Charges - 1</t>
  </si>
  <si>
    <t>Sr.</t>
  </si>
  <si>
    <t xml:space="preserve">Electricity Regulated Maharashtra </t>
  </si>
  <si>
    <t>No.</t>
  </si>
  <si>
    <t xml:space="preserve">                     Business Sub-segments</t>
  </si>
  <si>
    <t>Loan Details</t>
  </si>
  <si>
    <t>Gen.</t>
  </si>
  <si>
    <t>Dist.</t>
  </si>
  <si>
    <t xml:space="preserve">    Dist         Retail Supply</t>
  </si>
  <si>
    <t>wire</t>
  </si>
  <si>
    <t xml:space="preserve">Electricity </t>
  </si>
  <si>
    <t>Grand total</t>
  </si>
  <si>
    <t xml:space="preserve">11.5% Rs. 75 lacs </t>
  </si>
  <si>
    <t>11.5% Rs. 174 lacs</t>
  </si>
  <si>
    <t>11.5% Rs. 50 lacs</t>
  </si>
  <si>
    <t>12% Rs. 50 lacs</t>
  </si>
  <si>
    <t xml:space="preserve">3% Central/State govt.loan for Mega City </t>
  </si>
  <si>
    <t xml:space="preserve">6% Central/State govt.loan for Mega City </t>
  </si>
  <si>
    <t>15% Central/State govt.loan for Mega City (10% with effect from 28/5/04)</t>
  </si>
  <si>
    <t>District Planning &amp; devpt council(14.25%)</t>
  </si>
  <si>
    <t>Loan under APDRP scheme 12%</t>
  </si>
  <si>
    <t>10.75%  Term Loan fromCanara Bank (PCB).</t>
  </si>
  <si>
    <t>11.75 % Short Term Financial Assistance fm UBI</t>
  </si>
  <si>
    <t>11.50 % Short Term Financial Assistance fm Canara Bk</t>
  </si>
  <si>
    <t>10 % Short Term Financial Assistance fm Vijaya Bk</t>
  </si>
  <si>
    <t xml:space="preserve">11.25%Short Term Finance from Vijaya Bank </t>
  </si>
  <si>
    <t>7.25% Short Term Assistance  from Canara Bank 18-12</t>
  </si>
  <si>
    <t>7.25% Short Term Assistance  from Canara Bank 1/10</t>
  </si>
  <si>
    <t xml:space="preserve">7.50% Short Term Assistance  from Vijaya bank25.11 </t>
  </si>
  <si>
    <t>7.25% Short Term Assistance  from Canara Bank 29/09</t>
  </si>
  <si>
    <t xml:space="preserve">7.50% Short Term Assistance  from Vijaya bank10.12 </t>
  </si>
  <si>
    <t>9.50% Short Term Assistance  from Canara Bank 30.11</t>
  </si>
  <si>
    <t>9.50% Short Term Assistance  from Vijaya bank06.01</t>
  </si>
  <si>
    <t>9.50% Short Term Assistance  from Vijaya bank11.01</t>
  </si>
  <si>
    <t>10.65% Short Term Assist  from Vijaya Bank 09-01-12</t>
  </si>
  <si>
    <t>11.00% Short Term Assist from Bank of India 20-12-12</t>
  </si>
  <si>
    <t>Gross Total</t>
  </si>
  <si>
    <t>FORMAT 11 Interest on Working Capital - 1</t>
  </si>
  <si>
    <t>(Rs. In Crs.)</t>
  </si>
  <si>
    <t xml:space="preserve">Electricity Regulated Maharashtra Business Sub-segment </t>
  </si>
  <si>
    <t xml:space="preserve">                                                       C=A-B</t>
  </si>
  <si>
    <t xml:space="preserve">    </t>
  </si>
  <si>
    <t>Particular</t>
  </si>
  <si>
    <t>Dist</t>
  </si>
  <si>
    <t>Dist.Retail supply</t>
  </si>
  <si>
    <t>Jan-Mar 2013</t>
  </si>
  <si>
    <t xml:space="preserve">Total interest on Working </t>
  </si>
  <si>
    <t>Capital</t>
  </si>
  <si>
    <t>Total interest on consumer</t>
  </si>
  <si>
    <t>security deposits</t>
  </si>
  <si>
    <t>TOTAL</t>
  </si>
  <si>
    <t xml:space="preserve">FORMAT 13     Return on Equity </t>
  </si>
  <si>
    <t>Data Required</t>
  </si>
  <si>
    <t xml:space="preserve"> Electricity Regulated Maharashtra Business Sub-segment</t>
  </si>
  <si>
    <t>Ref</t>
  </si>
  <si>
    <t xml:space="preserve">Rs. In Crores                </t>
  </si>
  <si>
    <t xml:space="preserve">Distribution </t>
  </si>
  <si>
    <t xml:space="preserve">Actual Equity at the </t>
  </si>
  <si>
    <t>Beginning of the Quarter</t>
  </si>
  <si>
    <t>Internal  Source  (Normative Equity)</t>
  </si>
  <si>
    <t xml:space="preserve">Actual equity at the end </t>
  </si>
  <si>
    <t>of the Quarter</t>
  </si>
  <si>
    <t xml:space="preserve">Less - Adjustment </t>
  </si>
  <si>
    <t>Actual Equity at the end of year</t>
  </si>
  <si>
    <t>FORMAT 5 Loans - 1</t>
  </si>
  <si>
    <t>Electicity Regulated Maharashtra</t>
  </si>
  <si>
    <t>Amount</t>
  </si>
  <si>
    <t>Business Sub-segment</t>
  </si>
  <si>
    <t>Loan Type</t>
  </si>
  <si>
    <t>GEN</t>
  </si>
  <si>
    <t>TRAN</t>
  </si>
  <si>
    <t xml:space="preserve">  Distribution wire</t>
  </si>
  <si>
    <t>Distribution retail Supply</t>
  </si>
  <si>
    <t>A</t>
  </si>
  <si>
    <t>B</t>
  </si>
  <si>
    <t>C</t>
  </si>
  <si>
    <t>D</t>
  </si>
  <si>
    <t>Upto</t>
  </si>
  <si>
    <t xml:space="preserve"> Apr-Jun</t>
  </si>
  <si>
    <t xml:space="preserve">  11.25%Short Term Finance from Vijaya Bank </t>
  </si>
  <si>
    <t>7.25% Short Term Assistance  from Canara Bank (i)</t>
  </si>
  <si>
    <t>7.25% Short Term Assistance  from Canara Bank (ii)</t>
  </si>
  <si>
    <t>7.50% Short Term Assistance  from Vijaya bank 25.11</t>
  </si>
  <si>
    <t xml:space="preserve">7.25% Short Term Assistance  from Canara Bank </t>
  </si>
  <si>
    <t>9.50% Short Term Assist  from Vijaya bank 06-01</t>
  </si>
  <si>
    <t>9.50% Short Term Assist  from Vijaya bank  11-01</t>
  </si>
  <si>
    <t>9.50% Short Term Assist  from Canara bank 30-11</t>
  </si>
  <si>
    <t>10.65% Short Term Assist  from Vijaya Bank 09-01-12(Rs 75.00 Crs)</t>
  </si>
  <si>
    <t>11.00% Short Term Assist  from  Bank of India 20-12-12 (Rs.90.00 Crs)</t>
  </si>
  <si>
    <t>FORMAT 5 Loans - 2</t>
  </si>
  <si>
    <t>Electricity Regulated Maharashtra Business Sub-segment (Rs Crore)</t>
  </si>
  <si>
    <t>Trasimission</t>
  </si>
  <si>
    <t>Dist Wire</t>
  </si>
  <si>
    <t xml:space="preserve">Distribution retail supply </t>
  </si>
  <si>
    <t>Audited(D)</t>
  </si>
  <si>
    <t>Audited(E)</t>
  </si>
  <si>
    <t>upto Mar-13</t>
  </si>
  <si>
    <t xml:space="preserve">9.50% Short Term Assistance  from Canara bank 30.11 </t>
  </si>
  <si>
    <t>9.50% Short Term Assistance  from Vijaya bank06-01</t>
  </si>
  <si>
    <t>9.50% Short Term Assistance  from Vijaya bank11-01</t>
  </si>
  <si>
    <t>10.65% Short Term Assist  from Vijaya Bank 09-01-12(Rs. 75.00Crs)</t>
  </si>
  <si>
    <t>11.00% Short Term Assist  from Bank  of India 20-12-12(Rs.90.00Crs)</t>
  </si>
  <si>
    <t>Existing Long-term Loans</t>
  </si>
  <si>
    <t>Source of Loan</t>
  </si>
  <si>
    <t>(b)</t>
  </si>
  <si>
    <t xml:space="preserve">Net Interest Expenses </t>
  </si>
  <si>
    <t>S.no.</t>
  </si>
  <si>
    <t>Interest expense for FY 2012-13</t>
  </si>
  <si>
    <t>2012-13</t>
  </si>
  <si>
    <t>2013-14</t>
  </si>
  <si>
    <t>BEST/FY13/03</t>
  </si>
  <si>
    <t>-</t>
  </si>
  <si>
    <t>31.03.13</t>
  </si>
  <si>
    <t>BEST/FY13/04</t>
  </si>
  <si>
    <t>Completed</t>
  </si>
  <si>
    <t>BEST/FY08/01</t>
  </si>
  <si>
    <t>BEST/FY08/07</t>
  </si>
  <si>
    <t>BEST/FY08/02</t>
  </si>
  <si>
    <t>BEST/FY09/01</t>
  </si>
  <si>
    <t>BEST/FY10/01</t>
  </si>
  <si>
    <t>BEST/FY10/02</t>
  </si>
  <si>
    <t>BEST/FY11/01</t>
  </si>
  <si>
    <t>BEST/FY13/01</t>
  </si>
  <si>
    <t>BEST/FY13/02</t>
  </si>
  <si>
    <t>BEST/FY14/02</t>
  </si>
  <si>
    <t>BEST/FY15/02</t>
  </si>
  <si>
    <t>Sr. No.</t>
  </si>
  <si>
    <t>Energy Meters</t>
  </si>
  <si>
    <t>BEST/FY08/09</t>
  </si>
  <si>
    <t>BEST/FY08/08</t>
  </si>
  <si>
    <t>Distribution Substation Automation</t>
  </si>
  <si>
    <t>BEST/FY11/05</t>
  </si>
  <si>
    <t>(Rs. Crore)</t>
  </si>
  <si>
    <t>Project Number</t>
  </si>
  <si>
    <t>Rate of Interest (% p.a.)</t>
  </si>
  <si>
    <t>Loan repayment during the year</t>
  </si>
  <si>
    <t>Vijaya Bank</t>
  </si>
  <si>
    <t>`</t>
  </si>
  <si>
    <t>Project Title</t>
  </si>
  <si>
    <t>Project Approved Cost</t>
  </si>
  <si>
    <t xml:space="preserve">Cumulative Expenditure Incurred </t>
  </si>
  <si>
    <t>Expenditure Capitalised</t>
  </si>
  <si>
    <t>Opening CWIP</t>
  </si>
  <si>
    <t>Investment during the year</t>
  </si>
  <si>
    <t>Closing CWIP</t>
  </si>
  <si>
    <t>Expense Capitalised</t>
  </si>
  <si>
    <t>Total Capitalisation</t>
  </si>
  <si>
    <t>New RSS Commissioning</t>
  </si>
  <si>
    <t xml:space="preserve">Augementation / Replacement at existing RSS </t>
  </si>
  <si>
    <t>Augementation of  RSS (06-07)</t>
  </si>
  <si>
    <t>New Distribution Substation &amp; Augmentation &amp; alteration to existing DSS</t>
  </si>
  <si>
    <t xml:space="preserve">Extension of Distribution Netwrok </t>
  </si>
  <si>
    <t>SCADA,Computerisation &amp; digitisation</t>
  </si>
  <si>
    <t>Year: FY 11-12</t>
  </si>
  <si>
    <t>Street lighting (lamps &amp; cables)</t>
  </si>
  <si>
    <t>Difference</t>
  </si>
  <si>
    <t>Sub Total</t>
  </si>
  <si>
    <t>Share of General Administration</t>
  </si>
  <si>
    <t>Equity</t>
  </si>
  <si>
    <t>Loan</t>
  </si>
  <si>
    <t>Apr-Sep             (Actual)</t>
  </si>
  <si>
    <t>Oct-Mar     (Provisional)</t>
  </si>
  <si>
    <t xml:space="preserve">(c) </t>
  </si>
  <si>
    <t>Receivables</t>
  </si>
  <si>
    <t>Income Billed</t>
  </si>
  <si>
    <t xml:space="preserve">Number of days of receivables </t>
  </si>
  <si>
    <t>Bad Debts Written Off as % of Receivables</t>
  </si>
  <si>
    <t>Name of Transmission/Distribution Network Provider</t>
  </si>
  <si>
    <t>Contracted Capacity</t>
  </si>
  <si>
    <t>Transmission Charges</t>
  </si>
  <si>
    <t>(MW)</t>
  </si>
  <si>
    <t>Transmission charges</t>
  </si>
  <si>
    <t>SLDC fees &amp; Charges</t>
  </si>
  <si>
    <t>Annual SLDC fees &amp; charges</t>
  </si>
  <si>
    <t>Order (e)</t>
  </si>
  <si>
    <t xml:space="preserve">                    (f) = (d) - (e)</t>
  </si>
  <si>
    <t xml:space="preserve">Prompt payment Discount      </t>
  </si>
  <si>
    <t>Power factor Incentive</t>
  </si>
  <si>
    <t>ECS discount</t>
  </si>
  <si>
    <t>Load factor Incentive</t>
  </si>
  <si>
    <t>DSM</t>
  </si>
  <si>
    <t>Form 10:  Non-tariff Income</t>
  </si>
  <si>
    <t>Contract Charges</t>
  </si>
  <si>
    <t>Other receipts</t>
  </si>
  <si>
    <t>Meter Hire</t>
  </si>
  <si>
    <t>Electricity Duty Collection Charges</t>
  </si>
  <si>
    <t>Delayed Payment Charges and Interest on arrears</t>
  </si>
  <si>
    <t>Requisition / Reconnection / Electrical appliance charges</t>
  </si>
  <si>
    <t>Advertisement Receipts</t>
  </si>
  <si>
    <t>Prompt payment discount from TPC-G</t>
  </si>
  <si>
    <t>Penalty /LDs from parties</t>
  </si>
  <si>
    <t>Share of Receipt of General Administration</t>
  </si>
  <si>
    <t>Interest on Contingency Reserve Investments</t>
  </si>
  <si>
    <t>Interest on Other Investments</t>
  </si>
  <si>
    <t>Ancillary and Incidental Income</t>
  </si>
  <si>
    <t>Recovery from theft of power</t>
  </si>
  <si>
    <t>Interest on staff loans &amp; Advances</t>
  </si>
  <si>
    <t>Interest on advances to suppliers</t>
  </si>
  <si>
    <t>Dividend on Investments</t>
  </si>
  <si>
    <t>Training Fees</t>
  </si>
  <si>
    <t>Royalty</t>
  </si>
  <si>
    <t>NIL</t>
  </si>
  <si>
    <t>S.No</t>
  </si>
  <si>
    <t>For the Period</t>
  </si>
  <si>
    <t>Profit  and  Loss  Account    -  I</t>
  </si>
  <si>
    <t>Electricity Regulated Maharashtra Business Sub-segments</t>
  </si>
  <si>
    <t>Format</t>
  </si>
  <si>
    <t>Provisional</t>
  </si>
  <si>
    <t>Trans.</t>
  </si>
  <si>
    <t>Dist.R</t>
  </si>
  <si>
    <t>Approval</t>
  </si>
  <si>
    <t>Supply</t>
  </si>
  <si>
    <t>April-June</t>
  </si>
  <si>
    <t>July-Sept</t>
  </si>
  <si>
    <t xml:space="preserve">Oct- Dec </t>
  </si>
  <si>
    <t>Power Purchase Expenses ( including External Power Purchase)</t>
  </si>
  <si>
    <t>9.1,9.2,9.3</t>
  </si>
  <si>
    <t>Interest on Working Capital  ( Normative)</t>
  </si>
  <si>
    <t>Interest on Working Capital  (Actual )</t>
  </si>
  <si>
    <t xml:space="preserve">Other Expenses </t>
  </si>
  <si>
    <t>Stand-by charges payable to MSEDCL</t>
  </si>
  <si>
    <t>Transmission Charges payable to MSETCL</t>
  </si>
  <si>
    <t>Adjustment for profit/loss on account controllable/uncontrollable factors/D P charges</t>
  </si>
  <si>
    <t>Under recovered FAC of TPC</t>
  </si>
  <si>
    <t>Under recovered FAC of BEST</t>
  </si>
  <si>
    <t>Incentive on reduction Dist Loss</t>
  </si>
  <si>
    <t>R O E  (04-05 &amp; 05-06)</t>
  </si>
  <si>
    <t>Revenue Gap Of 06-07</t>
  </si>
  <si>
    <t>Surplus from TPC</t>
  </si>
  <si>
    <t>Less:  Impact of 07-08 after cost benefit analysis</t>
  </si>
  <si>
    <t>Less: Income from Other Business</t>
  </si>
  <si>
    <t>Add: Impact of Review order No 44 of 2009</t>
  </si>
  <si>
    <t>Less: Receipt on account of additional surcharge on charge of wheeling</t>
  </si>
  <si>
    <t xml:space="preserve">Aggregate Revenue Requirement </t>
  </si>
  <si>
    <t>Revenuue from Sale of Power (With Vlg.amt)</t>
  </si>
  <si>
    <t xml:space="preserve">Surplus /Gap </t>
  </si>
  <si>
    <t xml:space="preserve">                                                                                                     </t>
  </si>
  <si>
    <t xml:space="preserve">          Prior Period Items</t>
  </si>
  <si>
    <t>Approved in Case 26</t>
  </si>
  <si>
    <t xml:space="preserve">Impact of Wage Agreement </t>
  </si>
  <si>
    <t>Electricity</t>
  </si>
  <si>
    <t>FORMAT 8 Cost of Power purchase</t>
  </si>
  <si>
    <t>Computation of Working Capital</t>
  </si>
  <si>
    <t>One-twelfth of the amount of Operations and Maintenance Expenses</t>
  </si>
  <si>
    <t xml:space="preserve">One-twelfth of the sum of the book value of stores, materials and supplies </t>
  </si>
  <si>
    <t>One-sixth of the revenue from sale of electricity at the prevailing tariffs</t>
  </si>
  <si>
    <t xml:space="preserve">Less:  </t>
  </si>
  <si>
    <t>Amount of Security Deposit</t>
  </si>
  <si>
    <t>From Consumers</t>
  </si>
  <si>
    <t>From Distribution System users</t>
  </si>
  <si>
    <t>Total Working Capital = (1.1 + 1.2 + 1.3 ) - ( 1.4 + 1.5)</t>
  </si>
  <si>
    <t>Computation of working capital interest</t>
  </si>
  <si>
    <t xml:space="preserve">Interest on Working Capital </t>
  </si>
  <si>
    <t>Approved by Commission</t>
  </si>
  <si>
    <t>Interest on Security Deposit</t>
  </si>
  <si>
    <t>Intt. On security deposits of FY08-09 paid in FY09-10</t>
  </si>
  <si>
    <t>Intt. On security deposits of earlier years paid in FY10-11</t>
  </si>
  <si>
    <t>Guarantee Charges</t>
  </si>
  <si>
    <t>Finance Charges</t>
  </si>
  <si>
    <t>Total Other Interest &amp; Finance Charges =  (2.2 + 3.2 + 4 + 5 )</t>
  </si>
  <si>
    <t xml:space="preserve"> CAPITALISATION DURING THE YEAR 2012-2013CWIP CARRY FORWARDED TO F.Y.2013-14 CALCULATION OF IDC</t>
  </si>
  <si>
    <t xml:space="preserve">                                                 </t>
  </si>
  <si>
    <t xml:space="preserve">                                                                                 (Rs. in Crores )</t>
  </si>
  <si>
    <t>Scheme</t>
  </si>
  <si>
    <t>Name of the Scheme</t>
  </si>
  <si>
    <t>CWIP</t>
  </si>
  <si>
    <t>Addi cap.</t>
  </si>
  <si>
    <t>Balance</t>
  </si>
  <si>
    <t>IDC</t>
  </si>
  <si>
    <t>Head code</t>
  </si>
  <si>
    <t>expenditure</t>
  </si>
  <si>
    <t>(3+4)</t>
  </si>
  <si>
    <t>during</t>
  </si>
  <si>
    <t>c/f to</t>
  </si>
  <si>
    <t xml:space="preserve"> of work</t>
  </si>
  <si>
    <t xml:space="preserve">11.% for </t>
  </si>
  <si>
    <t xml:space="preserve">during </t>
  </si>
  <si>
    <t>completed</t>
  </si>
  <si>
    <t xml:space="preserve">Half year </t>
  </si>
  <si>
    <t>(WIP)</t>
  </si>
  <si>
    <t>column-6</t>
  </si>
  <si>
    <t>DPR</t>
  </si>
  <si>
    <t>New Receiving Station of 33-22/11 kv</t>
  </si>
  <si>
    <t>.</t>
  </si>
  <si>
    <t>Augmentation &amp; Replacement at existing RSS</t>
  </si>
  <si>
    <t xml:space="preserve">New DSS Augmentation &amp; Alteration </t>
  </si>
  <si>
    <t>Laying of HV &amp; LV Cable</t>
  </si>
  <si>
    <t xml:space="preserve">Scada </t>
  </si>
  <si>
    <t>Energy Meter</t>
  </si>
  <si>
    <t>Non DPR</t>
  </si>
  <si>
    <t xml:space="preserve">Street Lighting </t>
  </si>
  <si>
    <t>Furniture, Office Equip , Tools, MV &amp; Share of  GA</t>
  </si>
  <si>
    <t xml:space="preserve">                    TOTAL</t>
  </si>
  <si>
    <t>Standby Energy Purchase</t>
  </si>
  <si>
    <t>SLDC Charges</t>
  </si>
  <si>
    <t>Standby Charges</t>
  </si>
  <si>
    <t>(Rebate from TPC G)</t>
  </si>
  <si>
    <t>Stand by Charges</t>
  </si>
  <si>
    <t>Stand by Purchases</t>
  </si>
  <si>
    <t>Annexure-I</t>
  </si>
  <si>
    <t xml:space="preserve"> Summary  of  Power  Purchase  Expenses  for  FY 2012-13.</t>
  </si>
  <si>
    <t>RPS-Other non-solar</t>
  </si>
  <si>
    <t>RPS-REC (with  Rebate)</t>
  </si>
  <si>
    <t>Rebate from TPC</t>
  </si>
  <si>
    <t>Add: Share of General Administration Expenses</t>
  </si>
  <si>
    <t>Sub-Total</t>
  </si>
  <si>
    <t>Approved in MYT Order</t>
  </si>
  <si>
    <t>Approval in MYT Order</t>
  </si>
  <si>
    <t>Form 3.1</t>
  </si>
  <si>
    <t>Petition</t>
  </si>
  <si>
    <t xml:space="preserve">Head </t>
  </si>
  <si>
    <t>Head</t>
  </si>
  <si>
    <t>E2</t>
  </si>
  <si>
    <t>A&amp;G Expenses</t>
  </si>
  <si>
    <t>Power purchase expenses</t>
  </si>
  <si>
    <t xml:space="preserve">                             APPENDIX NO. E-2</t>
  </si>
  <si>
    <t xml:space="preserve">         DIVISIONAL INCOME AND EXPENDITURE STATEMENT FOR THE YEAR ENDED 31ST MARCH, 2013</t>
  </si>
  <si>
    <t xml:space="preserve">                                   ELECTRIC SUPPLY</t>
  </si>
  <si>
    <t>EXPENDITURE</t>
  </si>
  <si>
    <t>INCOME</t>
  </si>
  <si>
    <t xml:space="preserve"> Cost of Energy Purchased</t>
  </si>
  <si>
    <t xml:space="preserve"> Distribution of Energy by Meter</t>
  </si>
  <si>
    <t xml:space="preserve"> External Power Purchased</t>
  </si>
  <si>
    <t xml:space="preserve"> Intra State Transmission charges</t>
  </si>
  <si>
    <t xml:space="preserve"> Street Lighting Sale of Energy</t>
  </si>
  <si>
    <t xml:space="preserve"> Standby Charges </t>
  </si>
  <si>
    <t xml:space="preserve"> Street lighting -R &amp; M</t>
  </si>
  <si>
    <t xml:space="preserve"> Establishment Cost   (Supply)</t>
  </si>
  <si>
    <t xml:space="preserve">    Other Receipts</t>
  </si>
  <si>
    <t xml:space="preserve"> Establishment Cost   (Gen.Admn.)</t>
  </si>
  <si>
    <t xml:space="preserve"> Electricity Duty Collection</t>
  </si>
  <si>
    <t xml:space="preserve"> Delayed payment Charges</t>
  </si>
  <si>
    <t xml:space="preserve"> Admn.and Gen.Expenses (Supply)</t>
  </si>
  <si>
    <t xml:space="preserve"> Rent of Land Building</t>
  </si>
  <si>
    <t xml:space="preserve"> Admn.and Gen.Expenses (Gen.Admn.)</t>
  </si>
  <si>
    <t xml:space="preserve"> Discount on Bulk Power Purchase</t>
  </si>
  <si>
    <t xml:space="preserve"> Advertisement</t>
  </si>
  <si>
    <t xml:space="preserve"> Repairs and Maintenance (Supply)</t>
  </si>
  <si>
    <t xml:space="preserve"> Miscellaneous</t>
  </si>
  <si>
    <t xml:space="preserve"> Repairs and Maintenance (Gen.Admn.)</t>
  </si>
  <si>
    <t xml:space="preserve"> Other Cost   (Supply)</t>
  </si>
  <si>
    <t xml:space="preserve"> Other Cost   (Gen.Admn.)</t>
  </si>
  <si>
    <t xml:space="preserve"> Share of General Administration</t>
  </si>
  <si>
    <t xml:space="preserve"> Depreciation    (Supply)</t>
  </si>
  <si>
    <t xml:space="preserve"> Receipts</t>
  </si>
  <si>
    <t xml:space="preserve"> Depreciation    (Gen.Admn.)</t>
  </si>
  <si>
    <t xml:space="preserve"> Interest on loans   (Supply)</t>
  </si>
  <si>
    <t xml:space="preserve"> Interest on loans   (Gen.Admn.)</t>
  </si>
  <si>
    <t xml:space="preserve"> Provisions towards Electric Supply</t>
  </si>
  <si>
    <t>Deficit Transferred to Appropriation A/C</t>
  </si>
  <si>
    <t xml:space="preserve"> Contingencies Reserve Fund</t>
  </si>
  <si>
    <t xml:space="preserve"> Return on Equity</t>
  </si>
  <si>
    <t>**</t>
  </si>
  <si>
    <t xml:space="preserve"> Surplus Trf.  to Appropriation A/c</t>
  </si>
  <si>
    <r>
      <t>**   Includes past year's expenditure amounting to</t>
    </r>
    <r>
      <rPr>
        <sz val="11"/>
        <color indexed="8"/>
        <rFont val="Rupee Foradian"/>
        <family val="2"/>
      </rPr>
      <t xml:space="preserve"> `</t>
    </r>
    <r>
      <rPr>
        <sz val="11"/>
        <color theme="1"/>
        <rFont val="Calibri"/>
        <family val="2"/>
        <scheme val="minor"/>
      </rPr>
      <t xml:space="preserve">.10,69,67,790 &amp; </t>
    </r>
    <r>
      <rPr>
        <sz val="11"/>
        <color indexed="8"/>
        <rFont val="Rupee Foradian"/>
        <family val="2"/>
      </rPr>
      <t>`</t>
    </r>
    <r>
      <rPr>
        <sz val="11"/>
        <color theme="1"/>
        <rFont val="Calibri"/>
        <family val="2"/>
        <scheme val="minor"/>
      </rPr>
      <t>.97,43,18,456 not covered by Current Budget Grant but awaiting Corporation's sacntion</t>
    </r>
  </si>
  <si>
    <t>Other Cost</t>
  </si>
  <si>
    <t xml:space="preserve">                           THE BRIHAN MUMBAI ELECTRIC SUPPLY AND TRANSPORT UNDERTAKING</t>
  </si>
  <si>
    <t>APPENDIX NO. E-1</t>
  </si>
  <si>
    <t>GENERAL FINANCIAL STATISTICS 2012-2013</t>
  </si>
  <si>
    <t>2011-2012</t>
  </si>
  <si>
    <t>PARTICULARS</t>
  </si>
  <si>
    <t>2012-2013</t>
  </si>
  <si>
    <t>ELECTRIC SUPPLY INCOME</t>
  </si>
  <si>
    <t xml:space="preserve">Excess of Expenditure over Income </t>
  </si>
  <si>
    <t>Distribution of Energy by Meter</t>
  </si>
  <si>
    <t>Buses</t>
  </si>
  <si>
    <t>Street lighting sale of Energy</t>
  </si>
  <si>
    <t>Excess of Income  over Expenditure</t>
  </si>
  <si>
    <t>Street lighting -R.&amp;M</t>
  </si>
  <si>
    <t>Other Receipts</t>
  </si>
  <si>
    <t>Share of General Admn. Receipts</t>
  </si>
  <si>
    <t>Previous Balance Brought Forward</t>
  </si>
  <si>
    <t>ELECTRIC SUPPLY EXPENDITURE</t>
  </si>
  <si>
    <t>Cost of Energy Purchased</t>
  </si>
  <si>
    <t>External Power Purchased</t>
  </si>
  <si>
    <t>Minimum Cash Balance required as</t>
  </si>
  <si>
    <t>Intra State Transmission charges</t>
  </si>
  <si>
    <r>
      <t xml:space="preserve">per Section </t>
    </r>
    <r>
      <rPr>
        <sz val="10"/>
        <color indexed="8"/>
        <rFont val="Calibri"/>
        <family val="2"/>
      </rPr>
      <t>460KK(1) of MMC Act 1888</t>
    </r>
  </si>
  <si>
    <t xml:space="preserve">Standby Charges </t>
  </si>
  <si>
    <t xml:space="preserve">Establishment Cost   </t>
  </si>
  <si>
    <t>Balance appropriated as under:-</t>
  </si>
  <si>
    <t xml:space="preserve">Admn.and Gen.Expenses </t>
  </si>
  <si>
    <t>Transferred to Municipal Fund</t>
  </si>
  <si>
    <t>under section 460KK 2 (e)</t>
  </si>
  <si>
    <t>Repairs and Maintenance</t>
  </si>
  <si>
    <t>Minimum Cash Balance required</t>
  </si>
  <si>
    <t>under section 460KK (1)</t>
  </si>
  <si>
    <t xml:space="preserve">Depreciation    </t>
  </si>
  <si>
    <t>Transferred to Generation of</t>
  </si>
  <si>
    <t>Electricity Fund</t>
  </si>
  <si>
    <t>Share of Gen. Admn.</t>
  </si>
  <si>
    <t>Prior Period Adjustment (E-4) (CR)</t>
  </si>
  <si>
    <t xml:space="preserve">Interest on loans   </t>
  </si>
  <si>
    <t>Return on Equity</t>
  </si>
  <si>
    <t>Balance C/F to Balance Sheet</t>
  </si>
  <si>
    <t>SURPLUS / DEFICIT</t>
  </si>
  <si>
    <t xml:space="preserve"> Contd….</t>
  </si>
  <si>
    <t xml:space="preserve">                                                                                                                                                                                                                                               APPENDIX   E-1   Contd….</t>
  </si>
  <si>
    <t>BUSES INCOME</t>
  </si>
  <si>
    <t>Passenger Receipts</t>
  </si>
  <si>
    <t>Share of Gen. Admn. Receipts</t>
  </si>
  <si>
    <t>BUSES EXPENDITURE</t>
  </si>
  <si>
    <t>Fuel and Operating Materials</t>
  </si>
  <si>
    <t xml:space="preserve">Interest on loans  </t>
  </si>
  <si>
    <t>Share of Gen.Admn.</t>
  </si>
  <si>
    <t>Jt. CAO</t>
  </si>
  <si>
    <t>General Manager</t>
  </si>
  <si>
    <t>S.NO.</t>
  </si>
  <si>
    <t>BANK NAME</t>
  </si>
  <si>
    <t>INT.</t>
  </si>
  <si>
    <t>LOAN PERIOD</t>
  </si>
  <si>
    <t>OUTSTANDING ON 01.10.2012</t>
  </si>
  <si>
    <t>LOAN RAISED</t>
  </si>
  <si>
    <t>LOAN REPAID</t>
  </si>
  <si>
    <t>OUTSTANDING ON 31.03.2013</t>
  </si>
  <si>
    <t>INTEREST PD IN 2ND HALF</t>
  </si>
  <si>
    <t>RATE</t>
  </si>
  <si>
    <t xml:space="preserve">FROM </t>
  </si>
  <si>
    <t>TO</t>
  </si>
  <si>
    <t>SUPPLY</t>
  </si>
  <si>
    <t>BUSES</t>
  </si>
  <si>
    <t>(A)</t>
  </si>
  <si>
    <t xml:space="preserve">SHORT TERM LOANS </t>
  </si>
  <si>
    <t>CANARA BANK</t>
  </si>
  <si>
    <t>13.10.2011</t>
  </si>
  <si>
    <t>12.10.2012</t>
  </si>
  <si>
    <t>14.11.2011</t>
  </si>
  <si>
    <t>13.11.2012</t>
  </si>
  <si>
    <t>02.12.2011</t>
  </si>
  <si>
    <t>01.12.2012</t>
  </si>
  <si>
    <t>21.12.2011</t>
  </si>
  <si>
    <t>20.12.2012</t>
  </si>
  <si>
    <t>06.01.2012</t>
  </si>
  <si>
    <t>05.01.2013</t>
  </si>
  <si>
    <t>10.01.2012</t>
  </si>
  <si>
    <t>09.01.2013</t>
  </si>
  <si>
    <t>08.02.2012</t>
  </si>
  <si>
    <t>07.02.2013</t>
  </si>
  <si>
    <t>05.03.2012</t>
  </si>
  <si>
    <t>04.03.2013</t>
  </si>
  <si>
    <t>07.04.2012</t>
  </si>
  <si>
    <t>06.04.2013</t>
  </si>
  <si>
    <t>05.05.2012</t>
  </si>
  <si>
    <t>03.05.2013</t>
  </si>
  <si>
    <t>24.05.2012</t>
  </si>
  <si>
    <t>23.05.2013</t>
  </si>
  <si>
    <t>11.06.2012</t>
  </si>
  <si>
    <t>10.06.2013</t>
  </si>
  <si>
    <t>05.07.2012</t>
  </si>
  <si>
    <t>04.07.2012</t>
  </si>
  <si>
    <t>06.07.2012</t>
  </si>
  <si>
    <t>05.07.2013</t>
  </si>
  <si>
    <t>28.09.2012</t>
  </si>
  <si>
    <t>27.09.2013</t>
  </si>
  <si>
    <t>15.03.2013</t>
  </si>
  <si>
    <t>14.03.2014</t>
  </si>
  <si>
    <t>VIJAYA BANK</t>
  </si>
  <si>
    <t>08.12.2011</t>
  </si>
  <si>
    <t>07.12.2012</t>
  </si>
  <si>
    <t>09.01.2012</t>
  </si>
  <si>
    <t>08.01.2013</t>
  </si>
  <si>
    <t>06.02.2012</t>
  </si>
  <si>
    <t>05.02.2013</t>
  </si>
  <si>
    <t>10.02.2012</t>
  </si>
  <si>
    <t>09.02.2013</t>
  </si>
  <si>
    <t>23.04.2012</t>
  </si>
  <si>
    <t>22.04.2013</t>
  </si>
  <si>
    <t>DENA BANK</t>
  </si>
  <si>
    <t>07.08.2012</t>
  </si>
  <si>
    <t>06.02.2013</t>
  </si>
  <si>
    <t>20.09.2012</t>
  </si>
  <si>
    <t>19.03.2013</t>
  </si>
  <si>
    <t>24.12.2012</t>
  </si>
  <si>
    <t>22.06.2013</t>
  </si>
  <si>
    <t>27.02.2013</t>
  </si>
  <si>
    <t>13.04.2013</t>
  </si>
  <si>
    <t>03.09.2013</t>
  </si>
  <si>
    <t>22.03.2013</t>
  </si>
  <si>
    <t>21.09.2013</t>
  </si>
  <si>
    <t>26.03.2013</t>
  </si>
  <si>
    <t>25.09.2013</t>
  </si>
  <si>
    <t>BANK OF INDIA</t>
  </si>
  <si>
    <t>07.10.2011</t>
  </si>
  <si>
    <t>06.10.2012</t>
  </si>
  <si>
    <t>27.03.2012</t>
  </si>
  <si>
    <t>03.04.2012</t>
  </si>
  <si>
    <t>02.04.2012</t>
  </si>
  <si>
    <t>01.08.2012</t>
  </si>
  <si>
    <t>31.07.2013</t>
  </si>
  <si>
    <t>19.12.2013</t>
  </si>
  <si>
    <t>28.03.2013</t>
  </si>
  <si>
    <t>27.03.2014</t>
  </si>
  <si>
    <t>BANK OF MAHARASHTRA</t>
  </si>
  <si>
    <t>12.11.2012</t>
  </si>
  <si>
    <t>11.11.2013</t>
  </si>
  <si>
    <t>SYNDICATE BANK</t>
  </si>
  <si>
    <t>09.11.2011</t>
  </si>
  <si>
    <t>08.04.2012</t>
  </si>
  <si>
    <t>14.12.2012</t>
  </si>
  <si>
    <t>13.12.2013</t>
  </si>
  <si>
    <t>SHORT TERM LOAN TOTAL  -  ( A )</t>
  </si>
  <si>
    <t>(B)</t>
  </si>
  <si>
    <t>TERM LOANS</t>
  </si>
  <si>
    <t>CANARA BANK TERM LOAN</t>
  </si>
  <si>
    <t>29.11.2006</t>
  </si>
  <si>
    <t>26.03.2017</t>
  </si>
  <si>
    <t xml:space="preserve">D.P.D.C. LOAN </t>
  </si>
  <si>
    <t>14.25%</t>
  </si>
  <si>
    <t>01.04.1998</t>
  </si>
  <si>
    <t>01.04.2022</t>
  </si>
  <si>
    <t>APDRP SCHEME LOAN</t>
  </si>
  <si>
    <t>11.50,10.50,9%</t>
  </si>
  <si>
    <t>21.11.2003</t>
  </si>
  <si>
    <t>15.03.2026</t>
  </si>
  <si>
    <t>WORLD BANK LOAN</t>
  </si>
  <si>
    <t>9%</t>
  </si>
  <si>
    <t>15.04.2005</t>
  </si>
  <si>
    <t>15.03.2030</t>
  </si>
  <si>
    <t>MCGM ADVANCE</t>
  </si>
  <si>
    <t>23.03.2013</t>
  </si>
  <si>
    <t>22.03.2018</t>
  </si>
  <si>
    <t>TOTAL TERM LOANS  -  (  B  )</t>
  </si>
  <si>
    <t>E13</t>
  </si>
  <si>
    <t>Interest on Working Capital</t>
  </si>
  <si>
    <t>Rs .Crore</t>
  </si>
  <si>
    <t>OUTSTANDING ON 31.03.2012</t>
  </si>
  <si>
    <t>OUTSTANDING ON 30.06.2012</t>
  </si>
  <si>
    <t>INTEREST PD IN Q-1</t>
  </si>
  <si>
    <t>08.04.2011</t>
  </si>
  <si>
    <t>03.05.2011</t>
  </si>
  <si>
    <t>02.05.2012</t>
  </si>
  <si>
    <t>10.06.2011</t>
  </si>
  <si>
    <t>09.06.2011</t>
  </si>
  <si>
    <t>13.07.2011</t>
  </si>
  <si>
    <t>12.07.2012</t>
  </si>
  <si>
    <t>08.08.2011</t>
  </si>
  <si>
    <t>07.08.2011</t>
  </si>
  <si>
    <t>13.09.2011</t>
  </si>
  <si>
    <t>12.09.2012</t>
  </si>
  <si>
    <t>01.06.2011</t>
  </si>
  <si>
    <t>31.05.2011</t>
  </si>
  <si>
    <t>07.07.2011</t>
  </si>
  <si>
    <t>09.05.2012</t>
  </si>
  <si>
    <t>08.08.2013</t>
  </si>
  <si>
    <t>21.06.2012</t>
  </si>
  <si>
    <t>21.08.2012</t>
  </si>
  <si>
    <t>04.08.2012</t>
  </si>
  <si>
    <t>09.03.2012</t>
  </si>
  <si>
    <t>08.09.2012</t>
  </si>
  <si>
    <t>08.06.2012</t>
  </si>
  <si>
    <t>07.09.2012</t>
  </si>
  <si>
    <t>14.06.2011</t>
  </si>
  <si>
    <t>13.06.2012</t>
  </si>
  <si>
    <t>02.09.2011</t>
  </si>
  <si>
    <t>01.09.2012</t>
  </si>
  <si>
    <t>08.09.2011</t>
  </si>
  <si>
    <t>OUTSTANDING ON 30.09.2012</t>
  </si>
  <si>
    <t>INTEREST PD IN Q-2</t>
  </si>
  <si>
    <t>OUTSTANDING ON 31.12.2012</t>
  </si>
  <si>
    <t>INTEREST PD IN Q-3</t>
  </si>
  <si>
    <t>INTEREST UPTO DEC 12</t>
  </si>
  <si>
    <t>OUTSTANDING ON 01.04.2012</t>
  </si>
  <si>
    <t>INTEREST PD IN 1ST HALF</t>
  </si>
  <si>
    <t>INTEREST PD IN Q-4</t>
  </si>
  <si>
    <t>12.12.2013</t>
  </si>
  <si>
    <t xml:space="preserve">   APPENDIX NO.13</t>
  </si>
  <si>
    <t>SANCTION</t>
  </si>
  <si>
    <t>OUTSTANDING ON 01.04.2011</t>
  </si>
  <si>
    <t xml:space="preserve">O/S AS ON </t>
  </si>
  <si>
    <t>S.T.F.A.</t>
  </si>
  <si>
    <t>o/s</t>
  </si>
  <si>
    <t>O/S AS ON</t>
  </si>
  <si>
    <t>INTEREST PD F.Y.2011-12</t>
  </si>
  <si>
    <t>AMOUNT</t>
  </si>
  <si>
    <t>31.03.2011</t>
  </si>
  <si>
    <t>31.03.2012</t>
  </si>
  <si>
    <t>RAISED</t>
  </si>
  <si>
    <t>REPAID</t>
  </si>
  <si>
    <t>31.03.2013</t>
  </si>
  <si>
    <t>09.06.2012</t>
  </si>
  <si>
    <t>04.05.2013</t>
  </si>
  <si>
    <t>04.07.2013</t>
  </si>
  <si>
    <t>08/08/2012</t>
  </si>
  <si>
    <t xml:space="preserve">TOTAL C/F TO PAGE NO. 2 </t>
  </si>
  <si>
    <t>….2/-</t>
  </si>
  <si>
    <t xml:space="preserve">   APPENDIX NO.13(contd.)</t>
  </si>
  <si>
    <t>TOTAL B/F FROM PAGE NO.1</t>
  </si>
  <si>
    <t>05.08.2012</t>
  </si>
  <si>
    <t>23.06.2013</t>
  </si>
  <si>
    <t>02.04.2013</t>
  </si>
  <si>
    <t>08.11.2012</t>
  </si>
  <si>
    <t xml:space="preserve">SHORT TERM  FINANCIAL ASSISTANCE TOTAL  </t>
  </si>
  <si>
    <t>* Rate of Interest shown is for the month of March 13 or interest rate at the final payment of the STFA as interest rates are fluctuated during the financial year</t>
  </si>
  <si>
    <t>World Bank Loan Under MUTP</t>
  </si>
  <si>
    <t>Actual/Audited</t>
  </si>
  <si>
    <t xml:space="preserve">(Rs. crore) </t>
  </si>
  <si>
    <t xml:space="preserve">                                                       (Rs. crores)</t>
  </si>
  <si>
    <t>Sub-Segments</t>
  </si>
  <si>
    <t>Rs. In Cr</t>
  </si>
  <si>
    <t>F Y 12-13</t>
  </si>
  <si>
    <t xml:space="preserve">    Transmission</t>
  </si>
  <si>
    <t>Distribution retail</t>
  </si>
  <si>
    <t xml:space="preserve">   Supply Jan-Mar13</t>
  </si>
  <si>
    <t>E</t>
  </si>
  <si>
    <t>F</t>
  </si>
  <si>
    <t xml:space="preserve">         G</t>
  </si>
  <si>
    <t xml:space="preserve">Capitalisation amount of Rs.1.76 Crs.towards Test Benches for Meter Testing  is shown under  </t>
  </si>
  <si>
    <t>Meter instead of Tools &amp; Equipments in 4th quarter.</t>
  </si>
  <si>
    <r>
      <t xml:space="preserve">        </t>
    </r>
    <r>
      <rPr>
        <b/>
        <sz val="12"/>
        <rFont val="Times New Roman"/>
        <family val="1"/>
      </rPr>
      <t xml:space="preserve"> FORMAT 1 Gross Fixed Asset _1</t>
    </r>
  </si>
  <si>
    <r>
      <t xml:space="preserve"> </t>
    </r>
    <r>
      <rPr>
        <b/>
        <sz val="12"/>
        <rFont val="Times New Roman"/>
        <family val="1"/>
      </rPr>
      <t>Difference (f) = Audited - Order</t>
    </r>
  </si>
  <si>
    <t>APPENDIX NO. E-6</t>
  </si>
  <si>
    <t xml:space="preserve"> FIXED CAPITAL EXPENDITURE AS AT 31ST MARCH, 2010</t>
  </si>
  <si>
    <t xml:space="preserve"> FIXED CAPITAL EXPENDITURE AS AT 31st MARCH, 2011</t>
  </si>
  <si>
    <t>DEDUCTION IN</t>
  </si>
  <si>
    <t>ACCUMULATED</t>
  </si>
  <si>
    <t>NET BLOCK</t>
  </si>
  <si>
    <t xml:space="preserve">ADJUSTMENT </t>
  </si>
  <si>
    <t>TOTAL AS AT</t>
  </si>
  <si>
    <t>ADDITIONS</t>
  </si>
  <si>
    <t xml:space="preserve"> RESPECT OF ASSETS</t>
  </si>
  <si>
    <t xml:space="preserve">ADJUSTED IN </t>
  </si>
  <si>
    <t>DEPRECIATION</t>
  </si>
  <si>
    <t xml:space="preserve">AS ON </t>
  </si>
  <si>
    <t xml:space="preserve"> IN RESPECT </t>
  </si>
  <si>
    <t xml:space="preserve"> RESPECT OF </t>
  </si>
  <si>
    <t>31st MARCH 2009</t>
  </si>
  <si>
    <t xml:space="preserve">SCRAPPED,VALUE </t>
  </si>
  <si>
    <t xml:space="preserve">RESPECT OF </t>
  </si>
  <si>
    <t>31st MAR, 2010</t>
  </si>
  <si>
    <t xml:space="preserve">  31st MARCH,2010</t>
  </si>
  <si>
    <t>SCRAPPED</t>
  </si>
  <si>
    <t xml:space="preserve"> OF TRANSFER</t>
  </si>
  <si>
    <t>31st MAR, 2011</t>
  </si>
  <si>
    <t xml:space="preserve">  31st MARCH,2011</t>
  </si>
  <si>
    <t>ASSETS</t>
  </si>
  <si>
    <t>31st MAR, 2012</t>
  </si>
  <si>
    <t xml:space="preserve">  31st MARCH,2012</t>
  </si>
  <si>
    <t>31st MAR, 2013</t>
  </si>
  <si>
    <t xml:space="preserve">  31st MARCH,2013</t>
  </si>
  <si>
    <t>RECD OR CREDITED</t>
  </si>
  <si>
    <t>(+)OR(-)</t>
  </si>
  <si>
    <t>31st MARCH,2010</t>
  </si>
  <si>
    <t>31st MARCH,2011</t>
  </si>
  <si>
    <t>31st MAR,2012</t>
  </si>
  <si>
    <t>31st MAR,2013</t>
  </si>
  <si>
    <t>RS</t>
  </si>
  <si>
    <t>RS.</t>
  </si>
  <si>
    <t>GENERAL ADMINISTRATION</t>
  </si>
  <si>
    <t>LAND</t>
  </si>
  <si>
    <t>BUILDINGS</t>
  </si>
  <si>
    <t>MOTOR VEHICLES</t>
  </si>
  <si>
    <t>PLANT AND MACHINARY</t>
  </si>
  <si>
    <t>FURNITURE AND OFFICE EQUIPMENTS</t>
  </si>
  <si>
    <t>TOOLS AND EQUIPMENTS</t>
  </si>
  <si>
    <t>SECURITY EQUIPMENTS</t>
  </si>
  <si>
    <t>ELECTRIC SUPPLY</t>
  </si>
  <si>
    <t xml:space="preserve">LAND             </t>
  </si>
  <si>
    <t>PLANT &amp; MACHINERY</t>
  </si>
  <si>
    <t>CABLES AND MAINS</t>
  </si>
  <si>
    <t>METERS AND INSTALLATIONS</t>
  </si>
  <si>
    <t>STREET LIGHTING LAMPS</t>
  </si>
  <si>
    <t>D. E. A. ON HIRE</t>
  </si>
  <si>
    <t>PLANT AND MACHINERY</t>
  </si>
  <si>
    <t>GRAND TOTAL</t>
  </si>
  <si>
    <t xml:space="preserve">               </t>
  </si>
  <si>
    <t>S. No</t>
  </si>
  <si>
    <t>Customer Charges/ Contract Charges</t>
  </si>
  <si>
    <t>c</t>
  </si>
  <si>
    <t>Other Receipts (Reconnection, Requisition, Damaged meter charges, etc.)</t>
  </si>
  <si>
    <t>Interest on Contingency Reserve</t>
  </si>
  <si>
    <t>Approved  in MYT Order</t>
  </si>
  <si>
    <t>Rent of Buildings</t>
  </si>
  <si>
    <t xml:space="preserve">Delayed payment </t>
  </si>
  <si>
    <t xml:space="preserve">Interest on Arrears </t>
  </si>
  <si>
    <t>E6</t>
  </si>
  <si>
    <t>Non Tariff Income</t>
  </si>
  <si>
    <t>BRIHAN MUMBAI ELECTRIC SUPPLY &amp; TRANSPORT UNDERTAKING</t>
  </si>
  <si>
    <t>BALANCE SHEET OF ELECTRIC SUPPLY AS AT MARCH 31, 2013</t>
  </si>
  <si>
    <t>(As at 31st March,2013)</t>
  </si>
  <si>
    <t>(As at 31st March, 2012)</t>
  </si>
  <si>
    <t>SCHEDULE 3</t>
  </si>
  <si>
    <t>Schedule</t>
  </si>
  <si>
    <t>Rupees</t>
  </si>
  <si>
    <t>FIXED ASSETS</t>
  </si>
  <si>
    <t>in lacs</t>
  </si>
  <si>
    <t>Amount in Rs in Lacs.</t>
  </si>
  <si>
    <t>SOURCES OF FUNDS</t>
  </si>
  <si>
    <t>G R O S  B L O C K</t>
  </si>
  <si>
    <t>D E P R E C I A T I O N</t>
  </si>
  <si>
    <t>N E T  B L O C K</t>
  </si>
  <si>
    <t>As at
01-04-2006</t>
  </si>
  <si>
    <t>Additions during the Year</t>
  </si>
  <si>
    <t>Deductions/Adjustments during the Year</t>
  </si>
  <si>
    <t>As at
31-03-2007</t>
  </si>
  <si>
    <t>Upto
01-04-2006</t>
  </si>
  <si>
    <t>Upto
31-03-2007</t>
  </si>
  <si>
    <t>As at
31-03-2006</t>
  </si>
  <si>
    <t>Shareholders' Funds</t>
  </si>
  <si>
    <t>Reserves and Surplus</t>
  </si>
  <si>
    <t>Other reserves</t>
  </si>
  <si>
    <t>Loan Funds</t>
  </si>
  <si>
    <t xml:space="preserve">Secured Loan </t>
  </si>
  <si>
    <t>(Secured against first charge on Plant &amp; Machinery)</t>
  </si>
  <si>
    <t>Land</t>
  </si>
  <si>
    <t>Unsecured Loans</t>
  </si>
  <si>
    <t>APPLICATION OF FUNDS</t>
  </si>
  <si>
    <t>Fixed Assets</t>
  </si>
  <si>
    <t>Gross Block</t>
  </si>
  <si>
    <t>Less : Depreciation</t>
  </si>
  <si>
    <t>Net Block</t>
  </si>
  <si>
    <t>Furniture &amp; Office Equip</t>
  </si>
  <si>
    <t>Capital work in Progress</t>
  </si>
  <si>
    <t>Investments</t>
  </si>
  <si>
    <t xml:space="preserve">Capital Work-in-Progress </t>
  </si>
  <si>
    <t>Current Assets, Loans and Advances</t>
  </si>
  <si>
    <t>A. Current Assets</t>
  </si>
  <si>
    <t xml:space="preserve">Inventories </t>
  </si>
  <si>
    <t>Sundry Debtors</t>
  </si>
  <si>
    <t>Cash and Bank Balances</t>
  </si>
  <si>
    <t>Other Current Assets</t>
  </si>
  <si>
    <t>B. Loans and Advances</t>
  </si>
  <si>
    <t>Less : Current Liabilities and Provisions</t>
  </si>
  <si>
    <t>Liabilities</t>
  </si>
  <si>
    <t>Provisions</t>
  </si>
  <si>
    <t>Net Current Assets</t>
  </si>
  <si>
    <t>Miscellaneous Expenditure</t>
  </si>
  <si>
    <t>(to the extent not written off or adjusted)</t>
  </si>
  <si>
    <t>Profit and Loss Account</t>
  </si>
  <si>
    <t>Significant Accounting Policies and Notes on Accounts</t>
  </si>
  <si>
    <t>As per our attached report of even date</t>
  </si>
  <si>
    <t>For S. M PRADHAN &amp; CO.</t>
  </si>
  <si>
    <t>For Brihan Mumbai Electric Supply  &amp; Transport Undertaking</t>
  </si>
  <si>
    <t>Chartered Accountants</t>
  </si>
  <si>
    <t>Membership No. 12160</t>
  </si>
  <si>
    <t>O. P.GUPTA, I.A.S</t>
  </si>
  <si>
    <t>Place: Mumbai</t>
  </si>
  <si>
    <t>Dated:</t>
  </si>
  <si>
    <t>PROFIT AND LOSS ACCOUNT OF ELECTRIC SUPPLY FOR THE YEAR ENDED 31ST MARCH, 2012</t>
  </si>
  <si>
    <t>Year ended</t>
  </si>
  <si>
    <t>31st March, 2013</t>
  </si>
  <si>
    <t>31st March, 2012</t>
  </si>
  <si>
    <t>in Lacs</t>
  </si>
  <si>
    <t>REVENUE</t>
  </si>
  <si>
    <t>Gross Sales</t>
  </si>
  <si>
    <t>Other Income</t>
  </si>
  <si>
    <t>Purchase of Electricity</t>
  </si>
  <si>
    <t>Administrative Expenses</t>
  </si>
  <si>
    <t>Interest &amp; Finance Charges</t>
  </si>
  <si>
    <t>Selling &amp; Distribution Expenses</t>
  </si>
  <si>
    <t>Profit / (Loss) before Taxes</t>
  </si>
  <si>
    <t>Balance Brought Forward from Previous year</t>
  </si>
  <si>
    <t>Less : Prior Period Adjustments</t>
  </si>
  <si>
    <t>Appropriation of Fund</t>
  </si>
  <si>
    <t>Diff. in Accumalted Deficit</t>
  </si>
  <si>
    <t>Balance carried to Balance Sheet</t>
  </si>
  <si>
    <t>Significant Accounting Policies</t>
  </si>
  <si>
    <t>and Notes on Accounts</t>
  </si>
  <si>
    <t>O.P. GUPTA , I.A.S</t>
  </si>
  <si>
    <t>Place:Mumbai</t>
  </si>
  <si>
    <t xml:space="preserve">Dated : </t>
  </si>
  <si>
    <t>SCHEDULES FORMING PART OF THE BALANCE SHEET</t>
  </si>
  <si>
    <t>SCHEDULE 2</t>
  </si>
  <si>
    <t>(As at 31st March,2012)</t>
  </si>
  <si>
    <t>UNSECURED LOAN</t>
  </si>
  <si>
    <t>From Others (Unsecured Loan)</t>
  </si>
  <si>
    <t>Mega City Project</t>
  </si>
  <si>
    <t xml:space="preserve">Loan From Dist. Planning &amp; Dev. Council Govt. </t>
  </si>
  <si>
    <t xml:space="preserve">Public Loans </t>
  </si>
  <si>
    <t>APDRP Loan</t>
  </si>
  <si>
    <t xml:space="preserve">Short Term Finance </t>
  </si>
  <si>
    <t xml:space="preserve">Interest Accrued &amp; Due on Above </t>
  </si>
  <si>
    <t>SCHEDULE 4</t>
  </si>
  <si>
    <t>Unquoted Bond</t>
  </si>
  <si>
    <t>General Securities  :</t>
  </si>
  <si>
    <t xml:space="preserve">6.75% Bank of India  F. D   </t>
  </si>
  <si>
    <t>8.20% Oil Bond 2023</t>
  </si>
  <si>
    <t>8.83%IRFC Bond 2034</t>
  </si>
  <si>
    <t>9.97%APPFCL Bond 2024</t>
  </si>
  <si>
    <t>5.85%APPFCL Bond 2024</t>
  </si>
  <si>
    <t>13.25% KERALA STATE ELECTRICITY BOARD BONDS 2008</t>
  </si>
  <si>
    <t>11.50% BOMBAY MUNICIPAL CORPORATION LOAN OF 2009</t>
  </si>
  <si>
    <t>13.50% KERALA INDUSTRIAL REVITILISATION FUND 2007</t>
  </si>
  <si>
    <t>Sinking Fund Investment in Securities :</t>
  </si>
  <si>
    <t>11.5% BOMBAY MUNICIPAL CORPORATION LOAN OF 2009</t>
  </si>
  <si>
    <t xml:space="preserve">6.75%Bank of India  F D </t>
  </si>
  <si>
    <t>6.50% THE SARASWAT CO-OP BANK LTD.</t>
  </si>
  <si>
    <t>14.95% HARYANA POWER GENERATION CORPN LTD 2005</t>
  </si>
  <si>
    <t xml:space="preserve">Generation of Electricity Fund Investment  </t>
  </si>
  <si>
    <t>Renewal Power Purchase Investment</t>
  </si>
  <si>
    <t>Investment in Treasury Bill</t>
  </si>
  <si>
    <t>Unquoted  Shares</t>
  </si>
  <si>
    <t xml:space="preserve">Shares in Saraswat Co-op Bank </t>
  </si>
  <si>
    <t xml:space="preserve">Contingencies  Reserve Fund Investment </t>
  </si>
  <si>
    <t>SCHEDULE 5</t>
  </si>
  <si>
    <t>SUNDRY DEBTORS</t>
  </si>
  <si>
    <t xml:space="preserve">Electric Supply Debtors </t>
  </si>
  <si>
    <t xml:space="preserve">Miscellaneous Debtors </t>
  </si>
  <si>
    <t xml:space="preserve">Bills Receivables </t>
  </si>
  <si>
    <t xml:space="preserve">Dishonoured Cheques </t>
  </si>
  <si>
    <t>Debts outstanding for a period less than six months</t>
  </si>
  <si>
    <t>Considered good</t>
  </si>
  <si>
    <t>Considered doubtful</t>
  </si>
  <si>
    <t>Debts outstanding for a period Exceeding  six months</t>
  </si>
  <si>
    <t>NOTES:</t>
  </si>
  <si>
    <t>(As at 31st March,2007)</t>
  </si>
  <si>
    <t>(As at 31st March,2006)</t>
  </si>
  <si>
    <t>SCHEDULE 6</t>
  </si>
  <si>
    <t>CASH AND BANK BALANCES</t>
  </si>
  <si>
    <t xml:space="preserve">Cash on hand </t>
  </si>
  <si>
    <t>Bank Balances</t>
  </si>
  <si>
    <t>a)</t>
  </si>
  <si>
    <t>Minimum cash balance</t>
  </si>
  <si>
    <t xml:space="preserve">In Current Accounts </t>
  </si>
  <si>
    <t>In Savings Accounts</t>
  </si>
  <si>
    <t>In Deposit Accounts :</t>
  </si>
  <si>
    <t>Sinking Fund Investment</t>
  </si>
  <si>
    <t xml:space="preserve">Staff Benefit Fund Investment </t>
  </si>
  <si>
    <t>Call Deposits</t>
  </si>
  <si>
    <t xml:space="preserve">Fixed Deposit with Chetna Co - operative Bank </t>
  </si>
  <si>
    <t>SCHEDULE 7</t>
  </si>
  <si>
    <t>OTHER CURRENT ASSETS</t>
  </si>
  <si>
    <t>Interest Accrued but not received :</t>
  </si>
  <si>
    <t xml:space="preserve">Accrued Interest On contingencey reserve </t>
  </si>
  <si>
    <t xml:space="preserve">Interest Accrued On Fixed And Call Deposit </t>
  </si>
  <si>
    <t xml:space="preserve">Accrued Interest On Sinking Fund </t>
  </si>
  <si>
    <t xml:space="preserve">Accrued Interest On Generation Of Elect Fund </t>
  </si>
  <si>
    <t>Accrued Interest On Staff Benefit Fund</t>
  </si>
  <si>
    <t>Accrued Interest On Staff benefit Fund</t>
  </si>
  <si>
    <t>Advance to Transport Division</t>
  </si>
  <si>
    <t xml:space="preserve">IEX Margine Deposit </t>
  </si>
  <si>
    <t>NOTES :</t>
  </si>
  <si>
    <t>SCHEDULE 8</t>
  </si>
  <si>
    <t>LOANS AND ADVANCES</t>
  </si>
  <si>
    <t xml:space="preserve">Due From Staff </t>
  </si>
  <si>
    <t>Motor Car Advance</t>
  </si>
  <si>
    <t>Festival Advance</t>
  </si>
  <si>
    <t>Advance To Flood Affected Staff</t>
  </si>
  <si>
    <t>Advance For Co-Op. Housing To Staff</t>
  </si>
  <si>
    <t>Advance Against Wage Settlement</t>
  </si>
  <si>
    <t>On Account Payment</t>
  </si>
  <si>
    <t>Outstanding Receivables</t>
  </si>
  <si>
    <t>Hire Purchase housing Scheme</t>
  </si>
  <si>
    <t>Festivals Grant To Staff</t>
  </si>
  <si>
    <t>D. E. A. On Hire Debtors</t>
  </si>
  <si>
    <t>Issue Of Materials On Sale To Staff</t>
  </si>
  <si>
    <t>Issue Of Grains To Staff</t>
  </si>
  <si>
    <t>Credit Balance Due From Employees</t>
  </si>
  <si>
    <t>Ex-Employees Recovery</t>
  </si>
  <si>
    <t>Clearing Account For Short Accounting Of Revenue By Employees</t>
  </si>
  <si>
    <t>Bag Advance To Conductors</t>
  </si>
  <si>
    <t>Due From Suppliers</t>
  </si>
  <si>
    <t>Cash Advance To Suppliers</t>
  </si>
  <si>
    <t>Cloth Advance To Clothing Contractors</t>
  </si>
  <si>
    <t>Other Material Advance To Suppliers</t>
  </si>
  <si>
    <t>Material Issued To Other Parties</t>
  </si>
  <si>
    <t xml:space="preserve">Due From Others </t>
  </si>
  <si>
    <t>Advance  To Solicitors / Pleaders</t>
  </si>
  <si>
    <t>Miscellaneous Advances</t>
  </si>
  <si>
    <t xml:space="preserve">Prepaid Expenses </t>
  </si>
  <si>
    <t xml:space="preserve">Deposit </t>
  </si>
  <si>
    <t>Permanent Deposit With Outside Parties</t>
  </si>
  <si>
    <t>Government Securities in Lieu of Deposit</t>
  </si>
  <si>
    <t>Custom Duty Deposit</t>
  </si>
  <si>
    <t>Alexendra Docks Dues Deposits Reserve A/C</t>
  </si>
  <si>
    <t>SCHEDULE 9</t>
  </si>
  <si>
    <t>CURRENT LIABILITIES</t>
  </si>
  <si>
    <t>Sundry Creditors( For Good Supplied)</t>
  </si>
  <si>
    <t xml:space="preserve">For Expenses </t>
  </si>
  <si>
    <t/>
  </si>
  <si>
    <t xml:space="preserve">Provision For Outstanding Creditors </t>
  </si>
  <si>
    <t>Amount Payable Against Wage Settlement</t>
  </si>
  <si>
    <t xml:space="preserve">For Employee Liabilities </t>
  </si>
  <si>
    <t>Family Welfare Fund</t>
  </si>
  <si>
    <t>Unpaid Emoluments Of Current Employees</t>
  </si>
  <si>
    <t>Unpaid Emoluments Of Ex-Employees</t>
  </si>
  <si>
    <t>Excess Collection Repayable To Employees</t>
  </si>
  <si>
    <t>Advance Salary</t>
  </si>
  <si>
    <t xml:space="preserve">Deposits from Customer, Employee &amp; Others </t>
  </si>
  <si>
    <t>Recoveries In Respect Of H. P. H. Scheme</t>
  </si>
  <si>
    <t>Employees Deposits</t>
  </si>
  <si>
    <t>Rent Deposit</t>
  </si>
  <si>
    <t>Recoveries Of Security Deposit Through Paysheet</t>
  </si>
  <si>
    <t>Security Deposit Form Employees</t>
  </si>
  <si>
    <t>Rent Deposit For Officers Qrts.</t>
  </si>
  <si>
    <t>D. E. A. On Hire Deposit</t>
  </si>
  <si>
    <t>Advance Payment Scheme For Consumers</t>
  </si>
  <si>
    <t>Service Cable Charges</t>
  </si>
  <si>
    <t>Consumer's Deposit (South)</t>
  </si>
  <si>
    <t>Consumer's Deposit (North)</t>
  </si>
  <si>
    <t>Retention Money Due To Contractors</t>
  </si>
  <si>
    <t>Outwards Bill Deposit</t>
  </si>
  <si>
    <t>Earnest Money Deposits Form Contractors</t>
  </si>
  <si>
    <t>Security Deposit Form Contractors</t>
  </si>
  <si>
    <t>Deposits Form Students</t>
  </si>
  <si>
    <t>Deposit Against Smart Card</t>
  </si>
  <si>
    <t>Advance Against Smart Card</t>
  </si>
  <si>
    <t>Dues To Co-Op. Hsg. Societies</t>
  </si>
  <si>
    <t>Deposit For Entry Passes To Outside Parties</t>
  </si>
  <si>
    <t>Government Securities in lieu of deposit</t>
  </si>
  <si>
    <t xml:space="preserve">Other Deposits                          </t>
  </si>
  <si>
    <t xml:space="preserve">For Accrued Interest But Not Due </t>
  </si>
  <si>
    <t>Accured Interest On Public Loan</t>
  </si>
  <si>
    <t>Due to Bank (cc a/c 876 &amp; Working capital short term)</t>
  </si>
  <si>
    <t xml:space="preserve">Other Liabilities </t>
  </si>
  <si>
    <t xml:space="preserve">Other Payments </t>
  </si>
  <si>
    <t>Miscellaneous Creditors</t>
  </si>
  <si>
    <t>Contractors Unpaid Final Bills</t>
  </si>
  <si>
    <t>Work In Progress (Expenses Payable)</t>
  </si>
  <si>
    <t>Due To Third Parties</t>
  </si>
  <si>
    <t>Ratio Balancing A/c</t>
  </si>
  <si>
    <t>SCHEDULE 10</t>
  </si>
  <si>
    <t>PROVISIONS</t>
  </si>
  <si>
    <t>Op. Balance</t>
  </si>
  <si>
    <t xml:space="preserve">Less: Written off during the year </t>
  </si>
  <si>
    <t>SCHEDULES FORMING PART OF THE PROFIT AND LOSS ACCOUNT</t>
  </si>
  <si>
    <t>SCHEDULE 11</t>
  </si>
  <si>
    <t>GROSS SALE</t>
  </si>
  <si>
    <t xml:space="preserve">Distribution of energy by meter </t>
  </si>
  <si>
    <t xml:space="preserve">Distribution of energy through street lighting </t>
  </si>
  <si>
    <t xml:space="preserve">Repairs &amp; Maintenance of Street lighting  </t>
  </si>
  <si>
    <t xml:space="preserve">E. D  and D.P charges </t>
  </si>
  <si>
    <t>SCHEDULE 12</t>
  </si>
  <si>
    <t>OTHER INCOME</t>
  </si>
  <si>
    <t xml:space="preserve">Rent of Building &amp; land </t>
  </si>
  <si>
    <t xml:space="preserve">Advertisement  Receipt </t>
  </si>
  <si>
    <t xml:space="preserve">Discount, Sundry Balances written back and sundry receipt </t>
  </si>
  <si>
    <t xml:space="preserve">Profit on Sale of Assets </t>
  </si>
  <si>
    <t xml:space="preserve">Hire &amp; Repairs </t>
  </si>
  <si>
    <t xml:space="preserve">General Administration Incomes </t>
  </si>
  <si>
    <t xml:space="preserve">Interest on Deposit &amp; general Investment </t>
  </si>
  <si>
    <t xml:space="preserve">Interest from employees </t>
  </si>
  <si>
    <t xml:space="preserve">Apprentices Premium (Trainer) e.t.c </t>
  </si>
  <si>
    <t>Rent of Building &amp; Lands</t>
  </si>
  <si>
    <t>Sale of Stores &amp; Scrap Material e.t.c</t>
  </si>
  <si>
    <t>Discount, Sundry Balances written back and sundry receipt</t>
  </si>
  <si>
    <t>Interest on Investment in Treasury Bill</t>
  </si>
  <si>
    <t>Advertisement  Receipt</t>
  </si>
  <si>
    <t>31st March, 2007</t>
  </si>
  <si>
    <t>31st March, 2006</t>
  </si>
  <si>
    <t>SCHEDULE 13</t>
  </si>
  <si>
    <t>ADMINISTRATIVE EXPENSES</t>
  </si>
  <si>
    <t xml:space="preserve">Repair &amp; Maintenance </t>
  </si>
  <si>
    <t>Payment to &amp; provision for Employees</t>
  </si>
  <si>
    <t>Salaries, Wages &amp; Allowances</t>
  </si>
  <si>
    <t>VRS Compensation to Staff</t>
  </si>
  <si>
    <t>Payment of Variable DA</t>
  </si>
  <si>
    <t>Other Operating Expenses</t>
  </si>
  <si>
    <t>Special Benefit to Employee</t>
  </si>
  <si>
    <t>Gratuity</t>
  </si>
  <si>
    <t>General Administration Expenses</t>
  </si>
  <si>
    <t>Management &amp; Secretarial Establishment</t>
  </si>
  <si>
    <t>Public Relations Establishment</t>
  </si>
  <si>
    <t>Accounts Establishment</t>
  </si>
  <si>
    <t>Internal Audit Establishment</t>
  </si>
  <si>
    <t>Legal Establishment</t>
  </si>
  <si>
    <t>Material Management Establishment</t>
  </si>
  <si>
    <t>Security &amp; Vigilance Establishment</t>
  </si>
  <si>
    <t>Cash Establishment</t>
  </si>
  <si>
    <t>Chief Engineer Civil &amp; Drawing Office Estab.</t>
  </si>
  <si>
    <t>Time Keeping Establishment</t>
  </si>
  <si>
    <t>Electronics Data Processing Establishment</t>
  </si>
  <si>
    <t>Personnel Establishment</t>
  </si>
  <si>
    <t>Welfare Establishment</t>
  </si>
  <si>
    <t>Medical Establishment</t>
  </si>
  <si>
    <t>Grainshop Purchases &amp; Establishment</t>
  </si>
  <si>
    <t>Provision For Special Provident Fund Contb To Staff(Gratuity)</t>
  </si>
  <si>
    <t>Vrs Compensation To Staff</t>
  </si>
  <si>
    <t>Ex-Gratia Payment In Lieu Of Bonus</t>
  </si>
  <si>
    <t>Fees To B. E. S. &amp; T. Committee Members</t>
  </si>
  <si>
    <t>Electronic Data Processing Establishment</t>
  </si>
  <si>
    <t>Repairs And Maint. Of Head Offices</t>
  </si>
  <si>
    <t>External Audit Charges</t>
  </si>
  <si>
    <t>Miscellaneous Charges</t>
  </si>
  <si>
    <t>Lease Rent Payment To Bhada</t>
  </si>
  <si>
    <t>Provision For Obsolescence Of Stores</t>
  </si>
  <si>
    <t>Internal Transport Estab. (Transport Expenses)</t>
  </si>
  <si>
    <t>Proportion Cost Of Telephone &amp; Communication</t>
  </si>
  <si>
    <t>Interim Relief</t>
  </si>
  <si>
    <t>Cost of Bus Token &amp; Passes</t>
  </si>
  <si>
    <t>Interest Charges</t>
  </si>
  <si>
    <t>SCHEDULE 15</t>
  </si>
  <si>
    <t>INTEREST AND FINANCE CHARGES</t>
  </si>
  <si>
    <t>SCHEDULE 14</t>
  </si>
  <si>
    <t>PRIOR PERIOD ADJUSTMENTS</t>
  </si>
  <si>
    <t>PRIOR PERIOD INCOME</t>
  </si>
  <si>
    <t>Profit on Sale of Asset</t>
  </si>
  <si>
    <t>Supply Division</t>
  </si>
  <si>
    <t>General Administration Income</t>
  </si>
  <si>
    <t>A.</t>
  </si>
  <si>
    <t>PRIOR PERIOD EXPENSE</t>
  </si>
  <si>
    <t>General Administration</t>
  </si>
  <si>
    <t>B.</t>
  </si>
  <si>
    <t>TOTAL (A-B)</t>
  </si>
  <si>
    <t>Statutory Fund</t>
  </si>
  <si>
    <t xml:space="preserve">Contribution to motor vehicle third party insurance fund </t>
  </si>
  <si>
    <t xml:space="preserve">Contingencies Reserve Fund </t>
  </si>
  <si>
    <t xml:space="preserve">BEST Staff  Amenities Reserve </t>
  </si>
  <si>
    <t xml:space="preserve">Property Insurance Reserve </t>
  </si>
  <si>
    <t>Obsolescence of stores</t>
  </si>
  <si>
    <t>General Reserve</t>
  </si>
  <si>
    <t>BEST Staff  Benefit  Fund</t>
  </si>
  <si>
    <t>Generation  of   Electricity  Fund</t>
  </si>
  <si>
    <t xml:space="preserve">Return on Equity </t>
  </si>
  <si>
    <t>Credit</t>
  </si>
  <si>
    <t>GOVERNMENT GRANT</t>
  </si>
  <si>
    <t>Reconcialition of Profit &amp; Loss Statement 2007-08</t>
  </si>
  <si>
    <t>Company's Act</t>
  </si>
  <si>
    <t>BEST</t>
  </si>
  <si>
    <t>Whether Contra or not? Represented by "c"</t>
  </si>
  <si>
    <t>Reason of Difference</t>
  </si>
  <si>
    <t>Incomes</t>
  </si>
  <si>
    <t>Distribution of energy by meter</t>
  </si>
  <si>
    <t>Distribution of energy through street lighting</t>
  </si>
  <si>
    <t xml:space="preserve">Repairs &amp; Maintenance of Street lighting </t>
  </si>
  <si>
    <t>Services provided to consumer</t>
  </si>
  <si>
    <t>Rent of Building &amp; land</t>
  </si>
  <si>
    <t>Advertisement</t>
  </si>
  <si>
    <r>
      <t>Discount, Sundry Balances write back and sundry receipt</t>
    </r>
    <r>
      <rPr>
        <strike/>
        <sz val="10"/>
        <rFont val="Arial"/>
        <family val="2"/>
      </rPr>
      <t xml:space="preserve"> ( Other Receipt)</t>
    </r>
  </si>
  <si>
    <t>Hire &amp; Repair to electrical Appliances</t>
  </si>
  <si>
    <t>GENERAL ADMINISTRATION INCOME</t>
  </si>
  <si>
    <t>Intrest on Deposit &amp; general Investment (90%)</t>
  </si>
  <si>
    <t>ratio of Interest on depoist change fm 50% to 90%</t>
  </si>
  <si>
    <t>Apprentices Premium (Trainer) e.t.c</t>
  </si>
  <si>
    <r>
      <t xml:space="preserve">Discount, Sundry Balances write back and sundry receipt </t>
    </r>
    <r>
      <rPr>
        <strike/>
        <sz val="10"/>
        <rFont val="Arial"/>
        <family val="2"/>
      </rPr>
      <t>( Other Receipt)</t>
    </r>
  </si>
  <si>
    <t>Intrest on Investment in Treasury Bill</t>
  </si>
  <si>
    <t>Prior Period Income - supply division</t>
  </si>
  <si>
    <t>Prior Period Income - General div</t>
  </si>
  <si>
    <t>Income in Accounts as per Co's Act  has got increased  by Rs 3116.75 lacs includes prior period income and excess income which has arisen due to change in ratio</t>
  </si>
  <si>
    <t>Expenses</t>
  </si>
  <si>
    <t>Repair &amp; Maintenance</t>
  </si>
  <si>
    <t>Amount of account code 591 is added &amp; P&amp;D amount is deducted</t>
  </si>
  <si>
    <t>Salary &amp; Wages</t>
  </si>
  <si>
    <t>Prior Period</t>
  </si>
  <si>
    <t>Loss on Sale of Asset</t>
  </si>
  <si>
    <t>Other Operating Exp</t>
  </si>
  <si>
    <t>Prior Period and appropriation to property Insurance</t>
  </si>
  <si>
    <t>Contingency Reserve</t>
  </si>
  <si>
    <t>Transfer to Appropriarion</t>
  </si>
  <si>
    <t>Contribution to Third party Motor Vehicle</t>
  </si>
  <si>
    <t xml:space="preserve">Depreciation </t>
  </si>
  <si>
    <t>Additional Depreciation</t>
  </si>
  <si>
    <t>Interst on Internal Fund</t>
  </si>
  <si>
    <t>Ex Gratia</t>
  </si>
  <si>
    <t>Presonal Exp</t>
  </si>
  <si>
    <t>Rs. 5116.09  matches the figure of General admin expenditure</t>
  </si>
  <si>
    <t>Other exp of General</t>
  </si>
  <si>
    <t>dep, , property ins , motor vehicle</t>
  </si>
  <si>
    <t>Staff Aminities fund</t>
  </si>
  <si>
    <t>vrs compensation</t>
  </si>
  <si>
    <t>Payemnt of variable DA</t>
  </si>
  <si>
    <t>Fidelity Insurance Reserve</t>
  </si>
  <si>
    <t>Prior period exp - supply div</t>
  </si>
  <si>
    <t>Prior period exp included in appropriation in the main a/cs</t>
  </si>
  <si>
    <t>Prior period exp - General admin</t>
  </si>
  <si>
    <t>Income overstated</t>
  </si>
  <si>
    <t>Expense Overstated</t>
  </si>
  <si>
    <t>Reconcialition of Profit &amp; Loss Statement 2008-09</t>
  </si>
  <si>
    <t>ROE</t>
  </si>
  <si>
    <t xml:space="preserve">Negative   balnce    Sinking   fund   is adjusted </t>
  </si>
  <si>
    <t>Reconcialition of Profit &amp; Loss Statement 2009-10</t>
  </si>
  <si>
    <t xml:space="preserve"> Establishment Cost </t>
  </si>
  <si>
    <t xml:space="preserve"> Administrative  &amp;General  Expense &amp; other cost</t>
  </si>
  <si>
    <t xml:space="preserve">General Adm Expense  </t>
  </si>
  <si>
    <t>Reconcialition of Profit &amp; Loss Statement 2010-11</t>
  </si>
  <si>
    <t>Rs in lac</t>
  </si>
  <si>
    <t>E D , Collecation and  D . P chanrges</t>
  </si>
  <si>
    <t>Reconcialition of Profit &amp; Loss Statement 2011-12</t>
  </si>
  <si>
    <t>Proforma A/c</t>
  </si>
  <si>
    <t>Reconcialition of Profit &amp; Loss Statement 2012-13</t>
  </si>
  <si>
    <t>SCHEDULE :-3 2012-2013.</t>
  </si>
  <si>
    <t xml:space="preserve">LAND </t>
  </si>
  <si>
    <t>BUILDING</t>
  </si>
  <si>
    <t>METERS AND INSTALLATION</t>
  </si>
  <si>
    <t>D.E.A ON HIRE</t>
  </si>
  <si>
    <t>FURNITURES AND OFFICE EQUIPMENTS</t>
  </si>
  <si>
    <t>TOTAL GA</t>
  </si>
  <si>
    <t>TOTAL SUPPLY  INCLUDING GA</t>
  </si>
  <si>
    <t>SCHEDULE 1</t>
  </si>
  <si>
    <t>Ratio</t>
  </si>
  <si>
    <t>(As on 31st March,2013)</t>
  </si>
  <si>
    <t>(As on 31st March,2012)</t>
  </si>
  <si>
    <t>RESERVES AND SURPLUS</t>
  </si>
  <si>
    <t>STATUTORY RESERVE</t>
  </si>
  <si>
    <t>(As per BMC Act, 1888)</t>
  </si>
  <si>
    <t xml:space="preserve">Closing Balance </t>
  </si>
  <si>
    <t xml:space="preserve">Opening Balance is reduced by </t>
  </si>
  <si>
    <t>Actual opening Balance</t>
  </si>
  <si>
    <t xml:space="preserve"> opening Balance NEW</t>
  </si>
  <si>
    <t>Sinking Fund for Public Loan</t>
  </si>
  <si>
    <t>Adj. during the year</t>
  </si>
  <si>
    <t>Less: Deduction During the Year</t>
  </si>
  <si>
    <t>* Best Staff Benefit Fund</t>
  </si>
  <si>
    <t>Adj/addition during the year</t>
  </si>
  <si>
    <t>Motor Vehicles(Third Party Ins Reserve)</t>
  </si>
  <si>
    <t xml:space="preserve">Addition during the year </t>
  </si>
  <si>
    <t>Total of A+B+C</t>
  </si>
  <si>
    <t>NON- STATUTORY RESERVE</t>
  </si>
  <si>
    <t>Electric Supply Contingencies Reserve</t>
  </si>
  <si>
    <t xml:space="preserve">less: Invested amount as per regulation &amp; investable amount </t>
  </si>
  <si>
    <t xml:space="preserve"> Property Insurance Reserve </t>
  </si>
  <si>
    <t>Addition/Adj. during the year</t>
  </si>
  <si>
    <t xml:space="preserve">Less: Deduction During the Year </t>
  </si>
  <si>
    <t>I</t>
  </si>
  <si>
    <t>Third Party Insurance Reserve</t>
  </si>
  <si>
    <t>Addition during the year</t>
  </si>
  <si>
    <t xml:space="preserve">Adj. during the year  </t>
  </si>
  <si>
    <t>G</t>
  </si>
  <si>
    <t>Special Depreciation Reserve</t>
  </si>
  <si>
    <t>Less: Adj. in Depercation</t>
  </si>
  <si>
    <t>H</t>
  </si>
  <si>
    <t xml:space="preserve">Addition/Adjn during the year  </t>
  </si>
  <si>
    <t xml:space="preserve">Less: Deduction / Adjustments During the Year </t>
  </si>
  <si>
    <t>Less: Debit balance of Profit &amp; Loss Account</t>
  </si>
  <si>
    <t>N</t>
  </si>
  <si>
    <t>Profit &amp; Loss During the Year</t>
  </si>
  <si>
    <t>Closing Balance as on 31/3/2006</t>
  </si>
  <si>
    <t>O</t>
  </si>
  <si>
    <t>TotaL Opening Balance (A+B+C+D+E+F+G+H+I+J+K+L+M)</t>
  </si>
  <si>
    <t>P</t>
  </si>
  <si>
    <t>Total Addition (A+B+C+D+E+F+G+H+I+J+K+L+M+N)</t>
  </si>
  <si>
    <t>Q</t>
  </si>
  <si>
    <t>Total Deletion (A+B+C+D+E+F+G+H+I+J+K+L+M+N)</t>
  </si>
  <si>
    <t>Return On Equity</t>
  </si>
  <si>
    <t>Less: Deduction during the year</t>
  </si>
  <si>
    <t>J</t>
  </si>
  <si>
    <t>Grant/Consumer Cont.</t>
  </si>
  <si>
    <t>K</t>
  </si>
  <si>
    <t>* Generation Of Electricity Fund</t>
  </si>
  <si>
    <t>Total of D+E+F+G+H+I+J+K</t>
  </si>
  <si>
    <t>L</t>
  </si>
  <si>
    <t>* Minimum Cash Balance as per Section 460KK1</t>
  </si>
  <si>
    <t>M</t>
  </si>
  <si>
    <t>B. E. S. T. Staff Amenities Reserve</t>
  </si>
  <si>
    <t xml:space="preserve">Provided during the year </t>
  </si>
  <si>
    <t>Obsolaence of stores</t>
  </si>
  <si>
    <t>Working for Above :</t>
  </si>
  <si>
    <t>31-03-05</t>
  </si>
  <si>
    <t>Total dep fund as on</t>
  </si>
  <si>
    <t xml:space="preserve">Total dep </t>
  </si>
  <si>
    <t>profit on sale of asset as on March 31</t>
  </si>
  <si>
    <t>31-03-04</t>
  </si>
  <si>
    <t>31-03-06</t>
  </si>
  <si>
    <t>B-A</t>
  </si>
  <si>
    <t>Prior period income A/c on saleof fixed Asset</t>
  </si>
  <si>
    <t>Total depericiation fund</t>
  </si>
  <si>
    <t>Total accumulated depericiation fund</t>
  </si>
  <si>
    <t>Total Profit on Sale of Asset</t>
  </si>
  <si>
    <t>less :</t>
  </si>
  <si>
    <t>Profit for 04-05</t>
  </si>
  <si>
    <t>Profit for 05-06</t>
  </si>
  <si>
    <t>Income of 04-05</t>
  </si>
  <si>
    <t>Income of 05-06</t>
  </si>
  <si>
    <t>Prior Period Income of 04-05</t>
  </si>
  <si>
    <t>Total of L+M+N</t>
  </si>
  <si>
    <t>Audited/Actual</t>
  </si>
  <si>
    <t>Rate of return</t>
  </si>
  <si>
    <t>ANNEXURE :-B</t>
  </si>
  <si>
    <t xml:space="preserve">                            ALLOCATION OF GENERAL ADMINISTRATION EXPENDITURE FOR THE YEAR  2012-13.</t>
  </si>
  <si>
    <t xml:space="preserve">SUPPLY </t>
  </si>
  <si>
    <t>ESTABLISHMENT COST</t>
  </si>
  <si>
    <t>MANAGEMENT,SECY.TYPING,CORRESPONDENCE</t>
  </si>
  <si>
    <t>ACCOUNTS,CAO &amp; FA,BUDGET,PF,CASH</t>
  </si>
  <si>
    <t>703,704,720,721,723</t>
  </si>
  <si>
    <t>PUBLIC RELATION DEPARTEMNT</t>
  </si>
  <si>
    <t>LEGAL DEPARTMENT</t>
  </si>
  <si>
    <t>INTERNAL AUDIT</t>
  </si>
  <si>
    <t>MATERIAL MANAGEMENT</t>
  </si>
  <si>
    <t>SECURITY AND VIGILANCE</t>
  </si>
  <si>
    <t>726</t>
  </si>
  <si>
    <t>CHIEF ENGINEER CIVIL &amp; DRAWING OFFICE</t>
  </si>
  <si>
    <t>719,716,728,729,730</t>
  </si>
  <si>
    <t>TIME KEEPING</t>
  </si>
  <si>
    <t>PERSONNEL</t>
  </si>
  <si>
    <t>WELFARE</t>
  </si>
  <si>
    <t>MEDICAL</t>
  </si>
  <si>
    <t>ELECTRONIC DATA PROCESSING</t>
  </si>
  <si>
    <t>TOTAL ESTABLISHMENT COST</t>
  </si>
  <si>
    <t>ADMINISTRATION &amp; GENERAL EXPENSES</t>
  </si>
  <si>
    <t>TOTAL ADMINISTRATION &amp; GENERAL EXPENSES</t>
  </si>
  <si>
    <t>Contd…</t>
  </si>
  <si>
    <t xml:space="preserve"> Annexure B Contd…</t>
  </si>
  <si>
    <t>REPAIRS &amp; MAINTENANCE</t>
  </si>
  <si>
    <t>TOTAL REPAIRS &amp; MAINTENANCE</t>
  </si>
  <si>
    <t>OTHER COST</t>
  </si>
  <si>
    <t>TOTAL OTHER COST</t>
  </si>
  <si>
    <t>TOTAL OF GENERAL ADMINISTRATION</t>
  </si>
  <si>
    <t>Discount on RPS</t>
  </si>
  <si>
    <t>Discount on CPP/IPP</t>
  </si>
  <si>
    <t>Gross R&amp;M</t>
  </si>
  <si>
    <t>Net R&amp;M</t>
  </si>
  <si>
    <t>Total Working Capital</t>
  </si>
  <si>
    <t>Total Return on Regulatory Equity</t>
  </si>
  <si>
    <t>Audit Account</t>
  </si>
  <si>
    <t>Net A&amp;G Expenses</t>
  </si>
  <si>
    <t xml:space="preserve">Gross A&amp;G Expenses </t>
  </si>
  <si>
    <t>Less DSM Expense</t>
  </si>
  <si>
    <t>Gross Employee Expenses</t>
  </si>
  <si>
    <t>Less Expense Capitalised</t>
  </si>
  <si>
    <t>Total DPR</t>
  </si>
  <si>
    <t>Total Non DPR</t>
  </si>
  <si>
    <t xml:space="preserve"> APPENDIX NO. E- 5 </t>
  </si>
  <si>
    <t xml:space="preserve"> BALANCE SHEET AS AT 31ST MARCH, 2013.</t>
  </si>
  <si>
    <t>LIABILITIES</t>
  </si>
  <si>
    <t>FUNDS</t>
  </si>
  <si>
    <t>NET FIXED ASSETS</t>
  </si>
  <si>
    <t>1)</t>
  </si>
  <si>
    <t xml:space="preserve">Revenue Reserve Fund </t>
  </si>
  <si>
    <t>Fixed Capital Expenditure (E-6)</t>
  </si>
  <si>
    <t>Section 460 LL (1)  (a)</t>
  </si>
  <si>
    <t>Less : Accumulated Depreciation</t>
  </si>
  <si>
    <t>2)</t>
  </si>
  <si>
    <t xml:space="preserve">Best Betterment Fund </t>
  </si>
  <si>
    <t>Capital  Work - in - Progress        *</t>
  </si>
  <si>
    <t>Section 460 LL (1)   (b )</t>
  </si>
  <si>
    <t>3)</t>
  </si>
  <si>
    <t>Welfare Fund</t>
  </si>
  <si>
    <t>Section 460 LL (1) (c)</t>
  </si>
  <si>
    <t>INVESTMENT</t>
  </si>
  <si>
    <t>4)</t>
  </si>
  <si>
    <t xml:space="preserve">Property  Insurance Fund </t>
  </si>
  <si>
    <t>General Investment (E - 7)</t>
  </si>
  <si>
    <t>5)</t>
  </si>
  <si>
    <t xml:space="preserve">Electric Supply Contingencies reserve fund </t>
  </si>
  <si>
    <t>Generation of Electricity Fund Investment</t>
  </si>
  <si>
    <t>up to F.Y. 2007-2008.</t>
  </si>
  <si>
    <t>Shares in Co-Op. Banks</t>
  </si>
  <si>
    <t>6)</t>
  </si>
  <si>
    <t>Fidelity Insurance Fund</t>
  </si>
  <si>
    <t>BEST Staff Benefit Fund Investment</t>
  </si>
  <si>
    <t>7)</t>
  </si>
  <si>
    <t>General  Fund</t>
  </si>
  <si>
    <t xml:space="preserve"> Fixed  &amp; Call Deposits  with Banks.</t>
  </si>
  <si>
    <t>Contingencies Reserve Fund Investment</t>
  </si>
  <si>
    <t>8)</t>
  </si>
  <si>
    <t xml:space="preserve">Depreciation Fund </t>
  </si>
  <si>
    <t>Less - Provision</t>
  </si>
  <si>
    <t>@</t>
  </si>
  <si>
    <t>CURRENT ASSETS</t>
  </si>
  <si>
    <t>Interest Free Deposit for Renewal Power Purchase</t>
  </si>
  <si>
    <t>Interest Accrued on Fixed &amp; Call</t>
  </si>
  <si>
    <t>9)</t>
  </si>
  <si>
    <t>Deposits and General Investment</t>
  </si>
  <si>
    <t>10)</t>
  </si>
  <si>
    <t>Passenger Insurance Fund</t>
  </si>
  <si>
    <t>Deferred Revenue Expenditure</t>
  </si>
  <si>
    <t>11)</t>
  </si>
  <si>
    <t>Financial Asst. Recd. From Various Sources</t>
  </si>
  <si>
    <t>Securities Deposited by</t>
  </si>
  <si>
    <t>(1) Financial Asst. From State/Central Govt.</t>
  </si>
  <si>
    <t xml:space="preserve">  Employees,Consumers &amp; Sundry Parties</t>
  </si>
  <si>
    <t>(2) Non-Refundable Premium</t>
  </si>
  <si>
    <t>(3) Capital Connection Fees</t>
  </si>
  <si>
    <t>Stock in Hand   ##</t>
  </si>
  <si>
    <t xml:space="preserve">(a) Revenue                             </t>
  </si>
  <si>
    <t>Dedicated Fund</t>
  </si>
  <si>
    <t xml:space="preserve">Electric Supply Contingencies Reserve fund as per </t>
  </si>
  <si>
    <t>Work in Progress for outside parties</t>
  </si>
  <si>
    <r>
      <t xml:space="preserve">MERC  From F. Y. 2008-09 Onwards.      </t>
    </r>
    <r>
      <rPr>
        <sz val="20"/>
        <rFont val="Arial"/>
        <family val="2"/>
      </rPr>
      <t>**</t>
    </r>
  </si>
  <si>
    <t>Book Debts</t>
  </si>
  <si>
    <t>Staff Benefit Fund</t>
  </si>
  <si>
    <t xml:space="preserve">Cash and Bank Balance </t>
  </si>
  <si>
    <t xml:space="preserve">Generation  of Electricity Fund </t>
  </si>
  <si>
    <t>(a) Cash on Hand</t>
  </si>
  <si>
    <t>(b) With Banks</t>
  </si>
  <si>
    <t>LOAN FROM</t>
  </si>
  <si>
    <t>(c) Investment in Treasury Bill</t>
  </si>
  <si>
    <t>D. P. D. C.</t>
  </si>
  <si>
    <t>Temporary Advane From MCGM</t>
  </si>
  <si>
    <t>Canara Bank (Colaba)</t>
  </si>
  <si>
    <t>Short Term Assistance From Financial Institution</t>
  </si>
  <si>
    <t>TOTAL C/F</t>
  </si>
  <si>
    <t xml:space="preserve">                                                                                                                                                                             APPENDIX NO. E- 5. (CONTD.)</t>
  </si>
  <si>
    <t xml:space="preserve">        LIABILITIES</t>
  </si>
  <si>
    <t>TOTAL  B/F</t>
  </si>
  <si>
    <t>TOTAL   B/F</t>
  </si>
  <si>
    <t>CURRENT LIABILITES</t>
  </si>
  <si>
    <t>A:-</t>
  </si>
  <si>
    <t>DEPOSITS FROM</t>
  </si>
  <si>
    <t>Due from Staff</t>
  </si>
  <si>
    <t>(1)</t>
  </si>
  <si>
    <t>Employees</t>
  </si>
  <si>
    <t>b)</t>
  </si>
  <si>
    <t>(2)</t>
  </si>
  <si>
    <t>Consumers</t>
  </si>
  <si>
    <t>c)</t>
  </si>
  <si>
    <t>Festival Grant to Staff</t>
  </si>
  <si>
    <t>(3)</t>
  </si>
  <si>
    <t xml:space="preserve">Sundry Parties </t>
  </si>
  <si>
    <t>d)</t>
  </si>
  <si>
    <t>Due from Supliers</t>
  </si>
  <si>
    <t>(4)</t>
  </si>
  <si>
    <t xml:space="preserve">Govt. Securities </t>
  </si>
  <si>
    <t>e)</t>
  </si>
  <si>
    <t xml:space="preserve">Due from Others                                               </t>
  </si>
  <si>
    <t>f)</t>
  </si>
  <si>
    <t>Prepaid Expenses</t>
  </si>
  <si>
    <t>B:-</t>
  </si>
  <si>
    <t>OTHER LIABILITIES FOR</t>
  </si>
  <si>
    <t>g)</t>
  </si>
  <si>
    <t>Deposits with Supliers</t>
  </si>
  <si>
    <t xml:space="preserve">Goods Supplied </t>
  </si>
  <si>
    <t>REVENUE ACCOUNTS</t>
  </si>
  <si>
    <t>Other Finance</t>
  </si>
  <si>
    <t>Deficit As Per Revenue Accounts Upto 2012-2013.</t>
  </si>
  <si>
    <t>Unclaimed Interest</t>
  </si>
  <si>
    <t>(5)</t>
  </si>
  <si>
    <t>Accrued Interest</t>
  </si>
  <si>
    <t>(6)</t>
  </si>
  <si>
    <t>Third Parties</t>
  </si>
  <si>
    <t>PROVISION FOR</t>
  </si>
  <si>
    <t>Best Staff Amenities Fund</t>
  </si>
  <si>
    <t>Obsolescences Of Stores</t>
  </si>
  <si>
    <t>Third Party  Insurance Fund</t>
  </si>
  <si>
    <t>Motor Vehicle  (Third Party Insurance Fund )</t>
  </si>
  <si>
    <t xml:space="preserve">Minimum Cash Balance Required </t>
  </si>
  <si>
    <t>Under  Sec. 460KK(1)</t>
  </si>
  <si>
    <r>
      <t xml:space="preserve">*      Includes Capital stock in hand amounting to </t>
    </r>
    <r>
      <rPr>
        <sz val="14"/>
        <rFont val="Rupee"/>
      </rPr>
      <t>`</t>
    </r>
    <r>
      <rPr>
        <sz val="14"/>
        <rFont val="Arial"/>
        <family val="2"/>
      </rPr>
      <t xml:space="preserve">. 35,15,76,318. I.e Supply </t>
    </r>
    <r>
      <rPr>
        <sz val="14"/>
        <rFont val="Rupee"/>
      </rPr>
      <t xml:space="preserve">`   </t>
    </r>
    <r>
      <rPr>
        <sz val="14"/>
        <rFont val="Arial"/>
        <family val="2"/>
      </rPr>
      <t xml:space="preserve">29,50,34,960  &amp; Buses </t>
    </r>
    <r>
      <rPr>
        <sz val="14"/>
        <rFont val="Rupee"/>
      </rPr>
      <t>`</t>
    </r>
    <r>
      <rPr>
        <sz val="14"/>
        <rFont val="Arial"/>
        <family val="2"/>
      </rPr>
      <t>.   5,65,41,358.</t>
    </r>
  </si>
  <si>
    <r>
      <t xml:space="preserve">**     Electric Supply Contingencies Reserve Fund Total is </t>
    </r>
    <r>
      <rPr>
        <sz val="14"/>
        <rFont val="Rupee Foradian"/>
        <family val="2"/>
      </rPr>
      <t xml:space="preserve">`   </t>
    </r>
    <r>
      <rPr>
        <sz val="14"/>
        <rFont val="Arial"/>
        <family val="2"/>
      </rPr>
      <t xml:space="preserve">73.46 ( break-up up to 2007-08 </t>
    </r>
    <r>
      <rPr>
        <sz val="14"/>
        <rFont val="Rupee Foradian"/>
        <family val="2"/>
      </rPr>
      <t xml:space="preserve">`   </t>
    </r>
    <r>
      <rPr>
        <sz val="14"/>
        <rFont val="Arial"/>
        <family val="2"/>
      </rPr>
      <t xml:space="preserve">54.86 @ 0.5% &amp; from 2008-09 0.25% i.e. </t>
    </r>
    <r>
      <rPr>
        <sz val="14"/>
        <rFont val="Rupee Foradian"/>
        <family val="2"/>
      </rPr>
      <t xml:space="preserve">`  </t>
    </r>
    <r>
      <rPr>
        <sz val="14"/>
        <rFont val="Arial"/>
        <family val="2"/>
      </rPr>
      <t>18.60)</t>
    </r>
  </si>
  <si>
    <r>
      <t xml:space="preserve">@    Includes  Special Depreciation Amounting to </t>
    </r>
    <r>
      <rPr>
        <sz val="14"/>
        <rFont val="Rupee"/>
      </rPr>
      <t>`</t>
    </r>
    <r>
      <rPr>
        <sz val="14"/>
        <rFont val="Arial"/>
        <family val="2"/>
      </rPr>
      <t xml:space="preserve">. 358,98,66,754 &amp; Sales proceeds up to 2005-06 </t>
    </r>
    <r>
      <rPr>
        <sz val="14"/>
        <rFont val="Rupee Foradian"/>
        <family val="2"/>
      </rPr>
      <t>`</t>
    </r>
    <r>
      <rPr>
        <sz val="14"/>
        <rFont val="Arial"/>
        <family val="2"/>
      </rPr>
      <t>. 139,86,87,756.</t>
    </r>
  </si>
  <si>
    <t>##   74,87,43,995</t>
  </si>
  <si>
    <r>
      <t xml:space="preserve">Includes CAPITAL STOCK of </t>
    </r>
    <r>
      <rPr>
        <sz val="14"/>
        <rFont val="Rupee"/>
      </rPr>
      <t>`</t>
    </r>
    <r>
      <rPr>
        <sz val="14"/>
        <rFont val="Arial"/>
        <family val="2"/>
      </rPr>
      <t>. 35,15,76,318 &amp; CWIP</t>
    </r>
    <r>
      <rPr>
        <sz val="14"/>
        <rFont val="Rupee"/>
      </rPr>
      <t xml:space="preserve"> `</t>
    </r>
    <r>
      <rPr>
        <sz val="14"/>
        <rFont val="Arial"/>
        <family val="2"/>
      </rPr>
      <t>. 39,71,67,677.</t>
    </r>
  </si>
  <si>
    <t>36,48,25,583</t>
  </si>
  <si>
    <t>REVENUE STOCK</t>
  </si>
  <si>
    <t>111,35,69,578</t>
  </si>
  <si>
    <t>-71,64,01,900</t>
  </si>
  <si>
    <t>BALANCE AS PER LEDGER A/c586</t>
  </si>
  <si>
    <t>39,71,67,677</t>
  </si>
  <si>
    <t xml:space="preserve">CWIP </t>
  </si>
  <si>
    <t xml:space="preserve">    Figures are regrouped for the presentation purpose.</t>
  </si>
  <si>
    <t xml:space="preserve">                                                                                   ANNEXURE :- 'C'</t>
  </si>
  <si>
    <t>NOTES ON THE BALANCE-SHEET AS AT 31ST MARCH, 2013.</t>
  </si>
  <si>
    <t>1. Stores and Material except scrap are valued at cost, scrap is valued at average sale rates.</t>
  </si>
  <si>
    <t>2. No Provision has been made during the year for Accruing Liability for Gratuity.  The Amount of Gratuity</t>
  </si>
  <si>
    <t xml:space="preserve">    is met from revenue as and when due.</t>
  </si>
  <si>
    <t>3. Contingent Liabilities :</t>
  </si>
  <si>
    <r>
      <t xml:space="preserve">   i) Claims against the undertaking not acknoweldged as debt</t>
    </r>
    <r>
      <rPr>
        <sz val="16"/>
        <rFont val="Rupee Foradian"/>
        <family val="2"/>
      </rPr>
      <t xml:space="preserve"> `</t>
    </r>
    <r>
      <rPr>
        <sz val="16"/>
        <rFont val="Arial"/>
        <family val="2"/>
      </rPr>
      <t xml:space="preserve">.57,90,46,183  (Previous year </t>
    </r>
    <r>
      <rPr>
        <sz val="16"/>
        <rFont val="Rupee Foradian"/>
        <family val="2"/>
      </rPr>
      <t>`</t>
    </r>
    <r>
      <rPr>
        <sz val="16"/>
        <rFont val="Arial"/>
        <family val="2"/>
      </rPr>
      <t>. 43,15,83,382 )</t>
    </r>
  </si>
  <si>
    <r>
      <t xml:space="preserve"> ii) Arrears of Statutory Contribution to Municipal Fund under section 460kk (2)(e) </t>
    </r>
    <r>
      <rPr>
        <sz val="16"/>
        <rFont val="Rupee Foradian"/>
        <family val="2"/>
      </rPr>
      <t>`</t>
    </r>
    <r>
      <rPr>
        <sz val="16"/>
        <rFont val="Arial"/>
        <family val="2"/>
      </rPr>
      <t>.5,60,00,000</t>
    </r>
  </si>
  <si>
    <r>
      <t xml:space="preserve">      (Previous year </t>
    </r>
    <r>
      <rPr>
        <sz val="16"/>
        <rFont val="Rupee Foradian"/>
        <family val="2"/>
      </rPr>
      <t>`</t>
    </r>
    <r>
      <rPr>
        <sz val="16"/>
        <rFont val="Arial"/>
        <family val="2"/>
      </rPr>
      <t>.5,20,00,000)</t>
    </r>
  </si>
  <si>
    <r>
      <t xml:space="preserve">iii) Amount receivable under Court Decree Award from M/s.Madison Communication Pvt. Ltd. </t>
    </r>
    <r>
      <rPr>
        <sz val="16"/>
        <rFont val="Rupee Foradian"/>
        <family val="2"/>
      </rPr>
      <t>`</t>
    </r>
    <r>
      <rPr>
        <sz val="16"/>
        <rFont val="Arial"/>
        <family val="2"/>
      </rPr>
      <t>.13,15,31,438.</t>
    </r>
  </si>
  <si>
    <t xml:space="preserve">                                              SANJAY POTNIS</t>
  </si>
  <si>
    <t xml:space="preserve">                                                            Chairman(B.E.S. &amp; T.)</t>
  </si>
  <si>
    <t xml:space="preserve">           UTTAM  P.  KHOBRAGADE</t>
  </si>
  <si>
    <t xml:space="preserve">                      (General Manager)</t>
  </si>
  <si>
    <t>WORKING FOR BIFERCATION OF BALANCESHEET</t>
  </si>
  <si>
    <t>FOR BIFERCATION OF BALANCESHEET TO ADOPT THE FOLLOWING PROCEDURE</t>
  </si>
  <si>
    <t xml:space="preserve">1) TO INCORPORATE THE AMOUNT AFTER FINALISATION OF E1 TO E5 WHICH IS </t>
  </si>
  <si>
    <t>REFLECTED IN BOLD FORM</t>
  </si>
  <si>
    <t>CAPITAL EXPEN</t>
  </si>
  <si>
    <t>ACCUMULATED DEP.</t>
  </si>
  <si>
    <t>OC AMOUNT OF 1300</t>
  </si>
  <si>
    <t>SURPLUS OF SUPPLY</t>
  </si>
  <si>
    <t>DEFICIT OF BUSES</t>
  </si>
  <si>
    <t>WHOLE</t>
  </si>
  <si>
    <t>U'TAKING</t>
  </si>
  <si>
    <t>FIXED CAPITAL EXPENDITURE</t>
  </si>
  <si>
    <t>LESS:- ACCUMULATED DEPRI.</t>
  </si>
  <si>
    <t>WORK IN PROGRESS</t>
  </si>
  <si>
    <t>H P H S</t>
  </si>
  <si>
    <t>OTHER ASSETS INCLUDING GEN INVESTMENT</t>
  </si>
  <si>
    <t>CASH AND BANK BALANCE</t>
  </si>
  <si>
    <t>DEBTORS OF SALE OF POWER</t>
  </si>
  <si>
    <t>BOOK DEBTS</t>
  </si>
  <si>
    <t>STOCK IN HAND</t>
  </si>
  <si>
    <t>OTHER RECEIVABLES (LOANS AND ADVANCES)</t>
  </si>
  <si>
    <t>TOTAL ASSETS</t>
  </si>
  <si>
    <t>U"TAKING</t>
  </si>
  <si>
    <t>EQUITY AND LIABILITIES</t>
  </si>
  <si>
    <t>EQUITY EARNINGS</t>
  </si>
  <si>
    <t>RESERVES</t>
  </si>
  <si>
    <t>NET WORTH</t>
  </si>
  <si>
    <t>LONG TERM LOANS</t>
  </si>
  <si>
    <t xml:space="preserve">PUBLIC </t>
  </si>
  <si>
    <t>BK. OF MAHARASHTRA (FORT)</t>
  </si>
  <si>
    <t>APDRP LOAN</t>
  </si>
  <si>
    <t>M M R D A</t>
  </si>
  <si>
    <t>MEGACITY</t>
  </si>
  <si>
    <t>B M C</t>
  </si>
  <si>
    <t>WORLD BANK</t>
  </si>
  <si>
    <t>SARASWAT BANK</t>
  </si>
  <si>
    <t>D P D C</t>
  </si>
  <si>
    <t>LONG TERM LOAN</t>
  </si>
  <si>
    <t>ACCOUNT PAYABLE</t>
  </si>
  <si>
    <t>DEPOSITS FORM CONSUMERS</t>
  </si>
  <si>
    <t>OTHER DEPOSITS</t>
  </si>
  <si>
    <t>TOTAL EQUITY &amp; LIABILITIES</t>
  </si>
  <si>
    <t xml:space="preserve">  Actual/Audited</t>
  </si>
  <si>
    <t>Gen Administration</t>
  </si>
  <si>
    <t>Depreciation Rate</t>
  </si>
  <si>
    <t>TOTAL AS AT 31ST MAR,2012</t>
  </si>
  <si>
    <t>DEDUCTION IN RESPECT OF ASSETS SCRAPPED</t>
  </si>
  <si>
    <t>ADJUSTMENT IN RESPECT OF '(+) OR (-)</t>
  </si>
  <si>
    <t>TOTAL AS AT31ST MAR, 2013</t>
  </si>
  <si>
    <t>ACCUMULATED DEPRECIATION AS ON 31 ST MAR,2013.</t>
  </si>
  <si>
    <t xml:space="preserve">NET BLOCK AS ON 31ST MARCH, 2013. </t>
  </si>
  <si>
    <t>Depreciation as per Norms</t>
  </si>
  <si>
    <t>Rs.</t>
  </si>
  <si>
    <t>FY 2013-14</t>
  </si>
  <si>
    <t>Past recovery of TPC(G) under case no.177 of 2011 dt 05-06-2013.</t>
  </si>
  <si>
    <t>RPS-Other Non-Solar</t>
  </si>
  <si>
    <t>2014-15</t>
  </si>
  <si>
    <t>Unaudited</t>
  </si>
  <si>
    <t xml:space="preserve">Submission in Case No.26 of 2013 </t>
  </si>
  <si>
    <t>Provisional approved in Case No. 26 of 2013</t>
  </si>
  <si>
    <t>Unaudited Expense incurred</t>
  </si>
  <si>
    <t>Less: Establishment of CAS (0.77), T&amp;E(0.73)&amp; ST.LTG.(34.77) &amp; Electrical Works(1.12) Dept.</t>
  </si>
  <si>
    <t>Submission in Case No.26 of 2013</t>
  </si>
  <si>
    <t>Provisional approved  in case no. 26 of 2013</t>
  </si>
  <si>
    <t>Audited Expense incurred</t>
  </si>
  <si>
    <t>The allocation of General Administration to Supply division is as under</t>
  </si>
  <si>
    <t>S. no.</t>
  </si>
  <si>
    <t>Unaudited expense (Rs. Crore)</t>
  </si>
  <si>
    <t>Establishment cost</t>
  </si>
  <si>
    <t>Administration and General Expense</t>
  </si>
  <si>
    <t>Repair and Maintenance work</t>
  </si>
  <si>
    <t>Other cost including depreciation</t>
  </si>
  <si>
    <t>Sub-total</t>
  </si>
  <si>
    <t>(less) Security expense</t>
  </si>
  <si>
    <t xml:space="preserve">Net Share of General Administration </t>
  </si>
  <si>
    <t>Unaudited expense incurred</t>
  </si>
  <si>
    <t>Normative Interest Working Capital is as under</t>
  </si>
  <si>
    <t>Sr.No</t>
  </si>
  <si>
    <t xml:space="preserve">Particulars </t>
  </si>
  <si>
    <t>(FY  2013-14)</t>
  </si>
  <si>
    <t xml:space="preserve">One-twelfth of the amount of Operations and Maintenance Expenses </t>
  </si>
  <si>
    <t>One-twelfth of the sum of the book value of stores, materials and supplies</t>
  </si>
  <si>
    <t>Two months of the expected revenue from sale of electricity at the prevailing tariffs</t>
  </si>
  <si>
    <t>Less:</t>
  </si>
  <si>
    <t>Security Deposit from Consumers</t>
  </si>
  <si>
    <t>Security Deposit from Distribution System users</t>
  </si>
  <si>
    <t>One-twelfth  amount  of  Cost of power purchased (without DPC)</t>
  </si>
  <si>
    <t>Total Working Capital  = (1+2+3) – (5+6+7)</t>
  </si>
  <si>
    <t xml:space="preserve">Rate of interest </t>
  </si>
  <si>
    <t xml:space="preserve">Interest of Working Capital </t>
  </si>
  <si>
    <t>Interest  on consumer security deposit for FY 2013-14(in Rs. Crore)</t>
  </si>
  <si>
    <t>F.Y. 2013-14</t>
  </si>
  <si>
    <t>Submission in case  no 26 of 2013</t>
  </si>
  <si>
    <t>Provisional approved in case  no 26 of 2013</t>
  </si>
  <si>
    <t xml:space="preserve">Unaudited </t>
  </si>
  <si>
    <t>Projected Consumer Security deposit (in Rs. crore)</t>
  </si>
  <si>
    <t>Rate of Interest claimed</t>
  </si>
  <si>
    <t>Interest on consumer security deposit (in Rs. crore)</t>
  </si>
  <si>
    <t>Less: interest on consumer deposit amount paid in FY 2012-13 of earlier year</t>
  </si>
  <si>
    <t>Net Interest on consumer security deposit</t>
  </si>
  <si>
    <t>ee</t>
  </si>
  <si>
    <t>r&amp;m</t>
  </si>
  <si>
    <t>a&amp;g</t>
  </si>
  <si>
    <t>A/c</t>
  </si>
  <si>
    <t>Pet.</t>
  </si>
  <si>
    <t>FY 2011-12</t>
  </si>
  <si>
    <t>10.5% Vijaya Bank - Short term finance (2.12.2011)</t>
  </si>
  <si>
    <t>10.5%  Term Loan fromCanara Bank (PCB).</t>
  </si>
  <si>
    <t>( Apr - Sep)</t>
  </si>
  <si>
    <t>( Oct -Mar)</t>
  </si>
  <si>
    <t>( Apr - Mar)</t>
  </si>
  <si>
    <t>Works Capitalised</t>
  </si>
  <si>
    <t>Interest Capitalised</t>
  </si>
  <si>
    <t>(Actual)</t>
  </si>
  <si>
    <t>(Estimated)</t>
  </si>
  <si>
    <t>New Receiving Statations</t>
  </si>
  <si>
    <t>New Receiving Statation in premises of VSNL</t>
  </si>
  <si>
    <t>BEST/FY07/01D</t>
  </si>
  <si>
    <t xml:space="preserve">Revamping of existing  RSS </t>
  </si>
  <si>
    <t xml:space="preserve">New Distribution Substation </t>
  </si>
  <si>
    <t>Scheme-BEST/FY09/02- Revamping RSS (08-09) not approved</t>
  </si>
  <si>
    <t>Revamping of RSS &amp; other schemes(Non-DPR)</t>
  </si>
  <si>
    <t>Street Lighting (lamps &amp; Cables)</t>
  </si>
  <si>
    <t>Furniture, Office Eq., Tools, Civil Engg. Works, Motor Vehicle etc.</t>
  </si>
  <si>
    <t>Share of G.A.</t>
  </si>
  <si>
    <t>LT-1</t>
  </si>
  <si>
    <t>LT2 (c)</t>
  </si>
  <si>
    <t xml:space="preserve">Incentive for reduction of distribution loss </t>
  </si>
  <si>
    <t>Revenue Gap of FY 2010-11</t>
  </si>
  <si>
    <t>Units</t>
  </si>
  <si>
    <t>Composite O&amp;M Norms</t>
  </si>
  <si>
    <t>For Sales in Distribution Business</t>
  </si>
  <si>
    <t>Paise /kWh</t>
  </si>
  <si>
    <t>For No of Consumers in Distribution Business</t>
  </si>
  <si>
    <t>Rs. Lakh/'000 Consumers</t>
  </si>
  <si>
    <t>R&amp;M Expenses for Distribution Business</t>
  </si>
  <si>
    <t>% of GFA</t>
  </si>
  <si>
    <t>Sales</t>
  </si>
  <si>
    <t>No of Consumers in Distribution Business</t>
  </si>
  <si>
    <t>000 Consumers</t>
  </si>
  <si>
    <t>Opening GFA</t>
  </si>
  <si>
    <t>Total O&amp;M Expenses</t>
  </si>
  <si>
    <t>Less O&amp;M Expenses Capitalized</t>
  </si>
  <si>
    <t>Net O&amp;M Expenses</t>
  </si>
  <si>
    <t>Approved</t>
  </si>
  <si>
    <t>R&amp;M</t>
  </si>
  <si>
    <t>Tariff Category</t>
  </si>
  <si>
    <t>PARTICULAR</t>
  </si>
  <si>
    <t>GROSS FIXED ASSETS</t>
  </si>
  <si>
    <t>DEP FOR THE YEAR AS PER OLD RATE</t>
  </si>
  <si>
    <t>DEP FOR THE YEAR AS PER NEW RATE</t>
  </si>
  <si>
    <t>DIFFERENCE</t>
  </si>
  <si>
    <t>BLDG, CASH COLLECTION CHOKIES</t>
  </si>
  <si>
    <t>CABLES &amp; MAINS</t>
  </si>
  <si>
    <t>HOUSE MAINS</t>
  </si>
  <si>
    <t>CABLE &amp; MAIN</t>
  </si>
  <si>
    <t>PILLARS</t>
  </si>
  <si>
    <t>METERS</t>
  </si>
  <si>
    <t>SWITCHGEAR</t>
  </si>
  <si>
    <t>TRANSFORMER</t>
  </si>
  <si>
    <t>SCADA (SRC EQUIPMENT)</t>
  </si>
  <si>
    <t>BATTERIES</t>
  </si>
  <si>
    <t>CAPACITOR</t>
  </si>
  <si>
    <t>MOTOR VEHICLE</t>
  </si>
  <si>
    <t>MACHINE TOOLS</t>
  </si>
  <si>
    <t>ELECTRICAL EQUIPMENT</t>
  </si>
  <si>
    <t>FURNITURE</t>
  </si>
  <si>
    <t>AIRCONDITIONER</t>
  </si>
  <si>
    <t>OFFICE EQUIPMENT</t>
  </si>
  <si>
    <t>ELETRONIC EQUIPMENT</t>
  </si>
  <si>
    <t>P.C</t>
  </si>
  <si>
    <t>CYCLOSTYLE PHOTO</t>
  </si>
  <si>
    <t>BPA PROJECT (K.L.G)</t>
  </si>
  <si>
    <t>TOTAL SUPPLY</t>
  </si>
  <si>
    <t>LESS:</t>
  </si>
  <si>
    <t>HOUSEMAIN</t>
  </si>
  <si>
    <t>NET TOTAL</t>
  </si>
  <si>
    <t xml:space="preserve"> SUMMARY OF SUPPLY (Dep For F.Y 2012-13)</t>
  </si>
  <si>
    <t>Dep on IDC Amount of Rs 3.73 Crs (Capitalise in F.Y 2011-12</t>
  </si>
  <si>
    <t xml:space="preserve">Excess Provision made on Opening Assets of Meter Now revarted </t>
  </si>
  <si>
    <t xml:space="preserve">Dep Provision made on capital connection fees &amp; House service main </t>
  </si>
  <si>
    <t>Net Dep charged in F.Y 2012-13</t>
  </si>
  <si>
    <t>Return on Regulatory Equity at the beginning of the year (15.76%)</t>
  </si>
  <si>
    <t>Return on Equity portion of the capital expenditure during the year (15.76%/2)</t>
  </si>
  <si>
    <t>% of opening GFA</t>
  </si>
  <si>
    <t>Contribution to Contingency Reserve</t>
  </si>
  <si>
    <t>Capitalisation including IDC during the year</t>
  </si>
  <si>
    <t>Less: Consumer contribution received during the year</t>
  </si>
  <si>
    <t>Less: Government grant received during the year</t>
  </si>
  <si>
    <t>Allowable capital cost</t>
  </si>
  <si>
    <t>Cumulative Grants at the end of the year</t>
  </si>
  <si>
    <t>Normative debt component</t>
  </si>
  <si>
    <t>On Government assistance at the start of the year</t>
  </si>
  <si>
    <t>Opening Balance of Loan</t>
  </si>
  <si>
    <t>Loan drawal during the year (New loan)</t>
  </si>
  <si>
    <t>Closing Balance of Loan</t>
  </si>
  <si>
    <t>Applicable Interest Rate (%) (Avg. rate)</t>
  </si>
  <si>
    <t>LT Category</t>
  </si>
  <si>
    <t>LT – I</t>
  </si>
  <si>
    <t>LT - II (a)</t>
  </si>
  <si>
    <t>LT - II (b)</t>
  </si>
  <si>
    <t>LT - II (c)</t>
  </si>
  <si>
    <t>LT – III</t>
  </si>
  <si>
    <t>LT - IV (a)</t>
  </si>
  <si>
    <t>LT - IV (b)</t>
  </si>
  <si>
    <t>LT – V</t>
  </si>
  <si>
    <t>LT – VI</t>
  </si>
  <si>
    <t>LT - VII (a)</t>
  </si>
  <si>
    <t>LT - VII (b)</t>
  </si>
  <si>
    <t>LT - VIII</t>
  </si>
  <si>
    <t>LT - IX (a)</t>
  </si>
  <si>
    <t>LT - IX (b)</t>
  </si>
  <si>
    <t>HT Category</t>
  </si>
  <si>
    <t>HT – I</t>
  </si>
  <si>
    <t>HT – II</t>
  </si>
  <si>
    <t>HT – III</t>
  </si>
  <si>
    <t>HT – IV</t>
  </si>
  <si>
    <t>HT – V</t>
  </si>
  <si>
    <t>Sl. No.</t>
  </si>
  <si>
    <t>&gt;500</t>
  </si>
  <si>
    <t>Cost of Energy Purchase</t>
  </si>
  <si>
    <t>External Power Purchase</t>
  </si>
  <si>
    <t>Intra State Transmission Charges</t>
  </si>
  <si>
    <t>Total Power Purchase Cost</t>
  </si>
  <si>
    <t>Pool Imbalance</t>
  </si>
  <si>
    <t>Total Cost of Energy Purchase</t>
  </si>
  <si>
    <t>Parameters</t>
  </si>
  <si>
    <t>Deficit/Surplus for the year</t>
  </si>
  <si>
    <t>RoE &amp; RoIF for the year</t>
  </si>
  <si>
    <t>Transport Division Deficit(Net of RoE &amp; RoIF)</t>
  </si>
  <si>
    <t>Total Recovery Towards Transport Division Deficit</t>
  </si>
  <si>
    <t xml:space="preserve">FY 2011-12 </t>
  </si>
  <si>
    <t>APPENDIX E-9</t>
  </si>
  <si>
    <t xml:space="preserve">                        MOVEMENT IN INTERNAL AND SPECIAL FUNDS AND PROVISIONS FOR THE YEAR 2012-2013.</t>
  </si>
  <si>
    <t>Balance as on</t>
  </si>
  <si>
    <t>Provided During</t>
  </si>
  <si>
    <t xml:space="preserve">Amount </t>
  </si>
  <si>
    <t>1st April,2012</t>
  </si>
  <si>
    <t>The Year</t>
  </si>
  <si>
    <t xml:space="preserve">Credited </t>
  </si>
  <si>
    <t>Debited</t>
  </si>
  <si>
    <t>31st Mar.2013</t>
  </si>
  <si>
    <t>1</t>
  </si>
  <si>
    <t>2</t>
  </si>
  <si>
    <t>3</t>
  </si>
  <si>
    <t>4</t>
  </si>
  <si>
    <t>5</t>
  </si>
  <si>
    <t>6</t>
  </si>
  <si>
    <t>7</t>
  </si>
  <si>
    <t>Revenue Reserve Fund</t>
  </si>
  <si>
    <t>BEST Betterment Fund (Sec 460 LL(i)(b))</t>
  </si>
  <si>
    <t>Welfare Fund (Section 120 A)</t>
  </si>
  <si>
    <t>Third Party Insurance Fund</t>
  </si>
  <si>
    <t>Motor Vehicles (Third Party Insurance Fund)</t>
  </si>
  <si>
    <t>Electric Supply Contingencies Reserve Fund</t>
  </si>
  <si>
    <t>BEST Staff Benefit Fund (SEC 460 H. H.)</t>
  </si>
  <si>
    <t>General Fund</t>
  </si>
  <si>
    <t>Special Depreciation Fund</t>
  </si>
  <si>
    <t>Generation Of Electricity Fund</t>
  </si>
  <si>
    <t>B. E. S. T. Staff Amenities Fund</t>
  </si>
  <si>
    <t>Provision For Depreciation Fund</t>
  </si>
  <si>
    <t>*</t>
  </si>
  <si>
    <t>GRANT FROM STATE/CENTRAL GOVT.,</t>
  </si>
  <si>
    <t>CAPITAL CONNECTION FEES</t>
  </si>
  <si>
    <t>@@</t>
  </si>
  <si>
    <t>*   ASSETS WRITTEN OFF</t>
  </si>
  <si>
    <t xml:space="preserve">          @    GRANT RECEIVED</t>
  </si>
  <si>
    <t xml:space="preserve">      @@      CAPITAL CONNECTION FEE</t>
  </si>
  <si>
    <t xml:space="preserve">                  TOTAL</t>
  </si>
  <si>
    <t>Transport Deficit</t>
  </si>
  <si>
    <t>Return on Internal Fund</t>
  </si>
  <si>
    <t>Total RPS</t>
  </si>
  <si>
    <t>Intra StateTransmission Charges</t>
  </si>
  <si>
    <t>Total Power Purchase</t>
  </si>
  <si>
    <t>ASSETS DESCREPTION</t>
  </si>
  <si>
    <t>DEP. PROVIDED UPTO</t>
  </si>
  <si>
    <t>BALANCE YEAR</t>
  </si>
  <si>
    <t>ASSET USED UPTO THE YEAR</t>
  </si>
  <si>
    <t xml:space="preserve">ESTIMATED LIFE OF ASSETS </t>
  </si>
  <si>
    <t>BAL.YEAR FOR DEP. TO BE PROVIDED</t>
  </si>
  <si>
    <t>BOOK VALUE AS ON 31.03.2013</t>
  </si>
  <si>
    <t>WRITE OFF DURING THE YEAR 2012-13</t>
  </si>
  <si>
    <t xml:space="preserve">ASSET TRANSFER </t>
  </si>
  <si>
    <t>BALANCE VALUE OF ASSETS</t>
  </si>
  <si>
    <t>GOVT. GRANT</t>
  </si>
  <si>
    <t>CABEL CAPITAL CONN. FEES</t>
  </si>
  <si>
    <t>NET ASSETS VALUE AS ON 31.03.13</t>
  </si>
  <si>
    <t>RATE OF DEP.</t>
  </si>
  <si>
    <t>DEP. PROVISION FOR YEAR 2013-14</t>
  </si>
  <si>
    <t>CUMM.DEP. PROVIDED UPTO 2012-13</t>
  </si>
  <si>
    <t>CUMM. DEP. PROVIDED UPTO 2013-14</t>
  </si>
  <si>
    <t>REMARK</t>
  </si>
  <si>
    <t>(2-1)</t>
  </si>
  <si>
    <t>(7-8-/+9)</t>
  </si>
  <si>
    <t>(10-11-12)</t>
  </si>
  <si>
    <t>(13*14)</t>
  </si>
  <si>
    <t>(16+15)</t>
  </si>
  <si>
    <t xml:space="preserve">BUILDING </t>
  </si>
  <si>
    <t>ROOM A.C.</t>
  </si>
  <si>
    <t>PERSONAL COMPUTER</t>
  </si>
  <si>
    <t>TOTAL :</t>
  </si>
  <si>
    <t>DETAILS OF E-6 WISE ASSETS GROUPING - SUPPLY DIVISION</t>
  </si>
  <si>
    <t>BLDG CASH COLL CHOK</t>
  </si>
  <si>
    <t>BUSINESS PROCESSH AUTOMATION</t>
  </si>
  <si>
    <t>SWITCHGEARS</t>
  </si>
  <si>
    <t xml:space="preserve">SCADA </t>
  </si>
  <si>
    <t>CAPACITORS</t>
  </si>
  <si>
    <t>CABLE &amp; MAINS</t>
  </si>
  <si>
    <t>DIST PILLARS</t>
  </si>
  <si>
    <t>METERS ( CONVENTIONAL)</t>
  </si>
  <si>
    <t>METERS (ELECTRONICS)</t>
  </si>
  <si>
    <t>D.E.A. ON HIRE</t>
  </si>
  <si>
    <t>ELECTRONIC EQUIP SEPRATED M.T.</t>
  </si>
  <si>
    <t>LOOSE TOOLS</t>
  </si>
  <si>
    <t>ELECTRONIC EQUIP</t>
  </si>
  <si>
    <t>CYCLOSTYLE MACH</t>
  </si>
  <si>
    <t>OFFICE EQUIPMENTS</t>
  </si>
  <si>
    <t>CUMM. DEP. PROVIDED UP TO 2013-12</t>
  </si>
  <si>
    <t>BLDG CASH COLLN PORT CWK</t>
  </si>
  <si>
    <t>ST LTG LAMPS</t>
  </si>
  <si>
    <t>METERS (CONVENTIONAL)</t>
  </si>
  <si>
    <t>BUSINESS PROC AUTOMATION</t>
  </si>
  <si>
    <t>DEA ON HIRE</t>
  </si>
  <si>
    <t>SUMMARY OF DEPRECIATION CHARGED ON ASSETS OF SUPPLY DIVISION</t>
  </si>
  <si>
    <t>DURING FINANCIAL YEAR 2013-14</t>
  </si>
  <si>
    <t>DEP. CHARGED FOR YEAR 2013-14</t>
  </si>
  <si>
    <t>LESS : DEP ON IDC OF (2010-11) AMT. OF RS.10.58 CRS.</t>
  </si>
  <si>
    <t xml:space="preserve">            (CAPITALISED IN F.YR. 2011-12)</t>
  </si>
  <si>
    <t>NET DEP. CHARGES IN F.YR. 2013-14</t>
  </si>
  <si>
    <t xml:space="preserve">FY 2013-14  </t>
  </si>
  <si>
    <t>Capital Expenditure</t>
  </si>
  <si>
    <t>Capitalisation</t>
  </si>
  <si>
    <t xml:space="preserve">IDC </t>
  </si>
  <si>
    <t>Project schemes</t>
  </si>
  <si>
    <t>Submission case no 26 of 2013</t>
  </si>
  <si>
    <t xml:space="preserve"> (Unaudited)</t>
  </si>
  <si>
    <t xml:space="preserve">FY 2013-14                                                                                                                                                                  </t>
  </si>
  <si>
    <t xml:space="preserve">New receiving station of 33-22 / 11 kV   </t>
  </si>
  <si>
    <t xml:space="preserve">Augmentation and replacement at existing RSS </t>
  </si>
  <si>
    <t>New Distribution substation and augmentation &amp; alteration to existing DSS</t>
  </si>
  <si>
    <t>Extension of Distribution network (Laying of HV &amp; LV cable)</t>
  </si>
  <si>
    <t>SCADA, Digitisation &amp; Communication, Business Process Automation *</t>
  </si>
  <si>
    <t>Wadala Truck Terminal Development Project</t>
  </si>
  <si>
    <t>Furniture  &amp; office equipment (Rs.1.41 crs), Tools (Rs.0.23), Civil engineering works(Rs.0.05 crs), Motor vehicle (Rs.0.00 crs.) , Share of G.A. expenses (Rs.0.64 crs.)</t>
  </si>
  <si>
    <t>*1.31</t>
  </si>
  <si>
    <t>Approved in case no.26 of 2013</t>
  </si>
  <si>
    <t xml:space="preserve">FY 2013-14 (H1)    </t>
  </si>
  <si>
    <t>Opening Balance</t>
  </si>
  <si>
    <t>Addition</t>
  </si>
  <si>
    <t>Repayment</t>
  </si>
  <si>
    <t>Closing Balance</t>
  </si>
  <si>
    <t>Interest as per Form No.5</t>
  </si>
  <si>
    <t>Public Loan</t>
  </si>
  <si>
    <t>MMRDA (Mega city Project)</t>
  </si>
  <si>
    <t>DPDC</t>
  </si>
  <si>
    <t>Short Term Financial Assistance</t>
  </si>
  <si>
    <t>(Bank of India)</t>
  </si>
  <si>
    <t xml:space="preserve">FY 2013-14 (H2)    </t>
  </si>
  <si>
    <t>Short Term Finance   Bank of India</t>
  </si>
  <si>
    <t>20-12-2012</t>
  </si>
  <si>
    <t>Short Term Finance      from Dean Bank            27-01-2014</t>
  </si>
  <si>
    <t>Grand Total(H1+H2)</t>
  </si>
  <si>
    <t>Approved under case no.26 of 2013</t>
  </si>
  <si>
    <t>Energy Sales (MU)</t>
  </si>
  <si>
    <t>Distribution loss (%)</t>
  </si>
  <si>
    <t>Energy at T&lt; &gt;D interface (MU)</t>
  </si>
  <si>
    <t>InSTS loss (%)</t>
  </si>
  <si>
    <t>Energy at G&lt; &gt;T interface (MU)</t>
  </si>
  <si>
    <t>Sr. no.</t>
  </si>
  <si>
    <t>Submission in case no.26 of 2013</t>
  </si>
  <si>
    <t xml:space="preserve">Return on Regulatory Equity at the beginning of the year (15.76%*(1+2) </t>
  </si>
  <si>
    <t>Return on Equity portion of capital expenditure15.76%*(3) /2</t>
  </si>
  <si>
    <t>FY 2013-14 (amount in Rs. Crore)</t>
  </si>
  <si>
    <t>Submission in Case No.26 2013</t>
  </si>
  <si>
    <t>Approved in Case No.26 2013</t>
  </si>
  <si>
    <t>Power Factor Incentive</t>
  </si>
  <si>
    <t>Prompt Payment Discount</t>
  </si>
  <si>
    <t>ECS Discount</t>
  </si>
  <si>
    <t>DSM*</t>
  </si>
  <si>
    <t>Load Factor Incentive</t>
  </si>
  <si>
    <t>Total :</t>
  </si>
  <si>
    <t>Submission in case no 26 of 2013</t>
  </si>
  <si>
    <t>Approved  in case no 26 of 2013</t>
  </si>
  <si>
    <t>unaudited</t>
  </si>
  <si>
    <t>Delayed payment (Rs. 17.22 Crore), Interest on Arrears (Rs. 16.21 Crore)</t>
  </si>
  <si>
    <t>Advertisement Receipts – Rs. 15.88 Crore</t>
  </si>
  <si>
    <t>MISC [Rent of Buildings – Rs. 0.83 Crore]</t>
  </si>
  <si>
    <t xml:space="preserve"> Others – Rs. 3.45 Crore</t>
  </si>
  <si>
    <t>Ref.</t>
  </si>
  <si>
    <t>Approved in case no 26 of 2013</t>
  </si>
  <si>
    <t>.Unaudited</t>
  </si>
  <si>
    <t xml:space="preserve">Capitalisation during the year </t>
  </si>
  <si>
    <t>Less: Consumer Contribution received during the year</t>
  </si>
  <si>
    <t>Less: Govt. Grant Received during the year</t>
  </si>
  <si>
    <t>Allowable Capital cost</t>
  </si>
  <si>
    <t>Interest on Internal funds (at 6%)</t>
  </si>
  <si>
    <t>Approved in case No.26 of 2013</t>
  </si>
  <si>
    <t>Bad debts written off / provision for bad and doubtful debts</t>
  </si>
  <si>
    <t>Rs.Crore</t>
  </si>
  <si>
    <t>Retirement of assets during a year</t>
  </si>
  <si>
    <t>Actual Repayment</t>
  </si>
  <si>
    <t>Rate of Interest on Working Capital</t>
  </si>
  <si>
    <t>Average Depreciation rate</t>
  </si>
  <si>
    <t>Contigency reserve % of opening GFA</t>
  </si>
  <si>
    <t>Actual Audited</t>
  </si>
  <si>
    <t xml:space="preserve">Submission </t>
  </si>
  <si>
    <t>28.8.2013</t>
  </si>
  <si>
    <t>4=(2-3)</t>
  </si>
  <si>
    <t xml:space="preserve"> Power Purchase Expenses(including External Power Purchase)</t>
  </si>
  <si>
    <t>Employee Exp.</t>
  </si>
  <si>
    <t>A&amp;G Exp.</t>
  </si>
  <si>
    <t>R&amp;M Exp.</t>
  </si>
  <si>
    <t>132.42}</t>
  </si>
  <si>
    <t>Interest on working capital (Actual )</t>
  </si>
  <si>
    <t>0.00}</t>
  </si>
  <si>
    <t>Incentive for reduction in Distribution loss</t>
  </si>
  <si>
    <t>To be collected from DCER</t>
  </si>
  <si>
    <t>Aggaregate Revenue Requirement</t>
  </si>
  <si>
    <t>Recovery of Regulatory Assets as approved in Case No.171 of 2011 (with carrying cost)</t>
  </si>
  <si>
    <t>Add: Revenue Gap FY 2011-12 (Incremental over Commission approved Regulatory Asset) (with carrying cost)</t>
  </si>
  <si>
    <t>Past recoveries of BEST including Gap of FY 2012-13 along with carrying cost</t>
  </si>
  <si>
    <t xml:space="preserve"> Summary  of  Power  Purchase  Expenses  for  FY 2013-14.</t>
  </si>
  <si>
    <t>External powerpurchase/(Sale)</t>
  </si>
  <si>
    <t>Delayed payement charges &amp; Interest paid to TPC-G</t>
  </si>
  <si>
    <t>Past Recovery of TPC-G including carrying cost</t>
  </si>
  <si>
    <t>Add: Impact on wage agreement</t>
  </si>
  <si>
    <t>Revised Normative O&amp;M</t>
  </si>
  <si>
    <t>Units sold and Revenue Earned for the Year 2013-14</t>
  </si>
  <si>
    <t>Billing Meters as per RM03 of Mar 14 billing</t>
  </si>
  <si>
    <t>Energy Charge</t>
  </si>
  <si>
    <t>TDLR Charge</t>
  </si>
  <si>
    <t>FAC 1 Charge</t>
  </si>
  <si>
    <t>FAC (New Tariff)</t>
  </si>
  <si>
    <t>LT-1 new</t>
  </si>
  <si>
    <t>LT3</t>
  </si>
  <si>
    <t>LT 4(a)</t>
  </si>
  <si>
    <t>LT 4(b)</t>
  </si>
  <si>
    <t>LT-6 Public</t>
  </si>
  <si>
    <t>LT-6 Others</t>
  </si>
  <si>
    <t>HT-1</t>
  </si>
  <si>
    <t>HT-2</t>
  </si>
  <si>
    <t>HT-3</t>
  </si>
  <si>
    <t>HT-4</t>
  </si>
  <si>
    <t>HT-5</t>
  </si>
  <si>
    <t>Total Incentive</t>
  </si>
  <si>
    <t>MAINT. CHGS.</t>
  </si>
  <si>
    <t>D.P. CHARGES</t>
  </si>
  <si>
    <t>Interest</t>
  </si>
  <si>
    <t>REFUND D.P.CHGS.</t>
  </si>
  <si>
    <t>SUNDRIES</t>
  </si>
  <si>
    <t>Total Other Incomes</t>
  </si>
  <si>
    <t>Revenue Statement FY 2013-14</t>
  </si>
  <si>
    <t>Collection Efficiency</t>
  </si>
  <si>
    <t>Month</t>
  </si>
  <si>
    <t>Units Billed (MUs)</t>
  </si>
  <si>
    <t>Revenue from Energy &amp; Fixed chgs. in Crs.</t>
  </si>
  <si>
    <t>TDLRC in Crs.</t>
  </si>
  <si>
    <t>PF Surcharge in Crs.</t>
  </si>
  <si>
    <t>Contract Demand Penalty in Crs.</t>
  </si>
  <si>
    <t>ToD Charges in Crs.</t>
  </si>
  <si>
    <t>Diff. in M'tax in Crs.</t>
  </si>
  <si>
    <t>Tariff FAC</t>
  </si>
  <si>
    <t>Revenue From tariff (911+912) in Crs.</t>
  </si>
  <si>
    <t>FAC Billed (926+927)</t>
  </si>
  <si>
    <t>FAC rate in Rs./Unit</t>
  </si>
  <si>
    <t>Total Revenue ( 911+912+926+927 ) in Crs</t>
  </si>
  <si>
    <t>Other incomes in Crs.</t>
  </si>
  <si>
    <t>Total Revenue with other incomes</t>
  </si>
  <si>
    <t>Avg. Billing rate with out FAC in Rs./Unit</t>
  </si>
  <si>
    <t>Avg. Billing rate as appvd. by MERC in Rs./Unit</t>
  </si>
  <si>
    <t>Avg. Billing rate with FAC in Rs./Unit</t>
  </si>
  <si>
    <t>TDLR rate in Rs./Unit</t>
  </si>
  <si>
    <t>Total Earning per unit in Rs./Unit</t>
  </si>
  <si>
    <t>Total O&amp;M Expenses with Impact of Wage Agreement</t>
  </si>
  <si>
    <t>Assets</t>
  </si>
  <si>
    <t>Total ARR including Regulatory Asset Recovery</t>
  </si>
  <si>
    <t>Average Balance</t>
  </si>
  <si>
    <t>Interest Rate</t>
  </si>
  <si>
    <t>Carrying Cost</t>
  </si>
  <si>
    <t>Recovery including carrying cost</t>
  </si>
  <si>
    <t>ARR for FY 2012-13</t>
  </si>
  <si>
    <t>Revenue at existing Tariff</t>
  </si>
  <si>
    <t>Revenue (Gap)/Surplus</t>
  </si>
  <si>
    <t>Carrying Cost for FY 2011-12</t>
  </si>
  <si>
    <t>Carrying Cost for FY 2012-13</t>
  </si>
  <si>
    <t>(Gap)/Surplus of BEST for FY 2011-12</t>
  </si>
  <si>
    <t>Total regulatory assets including carrying cost</t>
  </si>
  <si>
    <t>Transport Deficit for FY 2004-05 to FY 2008-09</t>
  </si>
  <si>
    <t>Carrying Cost for FY 2012-13 for gap of FY 2011-12</t>
  </si>
  <si>
    <t>Rate</t>
  </si>
  <si>
    <t>Regulatory Assets as per Order dated 16 May, 2012 Case No. 171 of 2011</t>
  </si>
  <si>
    <t>Total Depreciation</t>
  </si>
  <si>
    <t>Depreciation Asset wise</t>
  </si>
  <si>
    <t>Building</t>
  </si>
  <si>
    <t>Plant And Machinery</t>
  </si>
  <si>
    <t>Meters And Installation</t>
  </si>
  <si>
    <t>D.E.A On Hire</t>
  </si>
  <si>
    <t>Furnitures And Office Equipments</t>
  </si>
  <si>
    <t>Housemain</t>
  </si>
  <si>
    <t>Cable &amp; Main</t>
  </si>
  <si>
    <t>Less : Dep on  IDC of  FY 2010-11 amt. of Rs.10.58 Crore</t>
  </si>
  <si>
    <t xml:space="preserve">Net Dep charged </t>
  </si>
  <si>
    <t>Interest on Working Capital for H1 of FY 2013-14</t>
  </si>
  <si>
    <t>(Rs. in Crores)</t>
  </si>
  <si>
    <t>Name of the Bank</t>
  </si>
  <si>
    <t>Rate of Interest</t>
  </si>
  <si>
    <t>Amount raised</t>
  </si>
  <si>
    <t>Amount paid during the year</t>
  </si>
  <si>
    <t>Canara</t>
  </si>
  <si>
    <t>Canara O.D.</t>
  </si>
  <si>
    <t>MCGM</t>
  </si>
  <si>
    <t xml:space="preserve">Interest on Working Capital for H2 of FY 2013-14 </t>
  </si>
  <si>
    <t>Rate of Interest %</t>
  </si>
  <si>
    <t>Total:</t>
  </si>
  <si>
    <t>Gross Total (H1+H2)</t>
  </si>
  <si>
    <t>9 days power purchased Power Purchase Cost  for FY 2010-11 to FY 2011-12</t>
  </si>
  <si>
    <t>One twelth the amount of Power Purchase for FY 2012-13 to FY 2015-16</t>
  </si>
  <si>
    <t>BOI 7/10/11</t>
  </si>
  <si>
    <t>Canara 2/12,21/12</t>
  </si>
  <si>
    <t>Bank of India(7/10/11)</t>
  </si>
  <si>
    <t>Canara.2/12&amp;21/12</t>
  </si>
  <si>
    <t>Actual Working Capital for FY 2012-13</t>
  </si>
  <si>
    <t>FY 2010-11</t>
  </si>
  <si>
    <t>(d) Non-DPR Schemes</t>
  </si>
  <si>
    <t>(a)DPR Schemes(Approved by the Commission)</t>
  </si>
  <si>
    <t>BEST/FY13/09B</t>
  </si>
  <si>
    <t>New Receiving Statations (WTT)</t>
  </si>
  <si>
    <t>BEST/FY13/09C</t>
  </si>
  <si>
    <t>New Distribution Substation (WTT)</t>
  </si>
  <si>
    <t>BEST/FY13/06</t>
  </si>
  <si>
    <t>BEST/FY14/03</t>
  </si>
  <si>
    <t>BEST/FY14/04</t>
  </si>
  <si>
    <t>BEST/FY14/06</t>
  </si>
  <si>
    <t>Assumptions</t>
  </si>
  <si>
    <t>Repair &amp; Maintanence</t>
  </si>
  <si>
    <t>Total(3+4)</t>
  </si>
  <si>
    <t>Completed during 2013-14</t>
  </si>
  <si>
    <t>Balance c/f to 2014-15</t>
  </si>
  <si>
    <t>70% of work completed</t>
  </si>
  <si>
    <t xml:space="preserve">IDC 11.% for Half year </t>
  </si>
  <si>
    <t xml:space="preserve"> FIXED CAPITAL EXPENDITURE AS AT 31ST MARCH, 2012 &amp;MARCH 2013</t>
  </si>
  <si>
    <t xml:space="preserve">Approved in Case No.26 of 2013  </t>
  </si>
  <si>
    <t>STATEMENT OF  LOANS  &amp; INTEREST FOR 1ST QUARTER OF F.Y.2012-2013   ` IN LACS</t>
  </si>
  <si>
    <t>GRAND TOTAL  ` IN LACS</t>
  </si>
  <si>
    <t>STATEMENT OF  LOANS  &amp; INTEREST FOR 2ND QUARTER OF F.Y.2012-2013   ` IN LACS</t>
  </si>
  <si>
    <t>STATEMENT OF  LOANS  &amp; INTEREST FOR 3RD QUARTER OF F.Y.2012-2013   ` IN LACS</t>
  </si>
  <si>
    <t>STATEMENT OF  LOANS  &amp; INTEREST FOR 4TH QUARTER OF F.Y.2012-2013   ` IN LACS</t>
  </si>
  <si>
    <t>STATEMENT OF  SHORT TERM FINANCIAL ASSISTANCE FOR THE F.Y.2012-13  ( ` IN CRORES)</t>
  </si>
  <si>
    <t>Diff in Cost</t>
  </si>
  <si>
    <t>RPS rebate</t>
  </si>
  <si>
    <t>Calculation of Interest of loan for FY 2012-13</t>
  </si>
  <si>
    <t>Outstanding Loan</t>
  </si>
  <si>
    <t>Bank Name</t>
  </si>
  <si>
    <t>Weigted Average Interest on Loan Calculation</t>
  </si>
  <si>
    <t>Weighted Average Interest On Loan</t>
  </si>
  <si>
    <t>Rate of Interest(%)</t>
  </si>
  <si>
    <t>Interest on Working Capital for H1 of FY 2012-13</t>
  </si>
  <si>
    <t>Interest on Working Capital for H2 of FY 2012-13</t>
  </si>
  <si>
    <t xml:space="preserve">          FORMAT 6 Current Liabilities-1</t>
  </si>
  <si>
    <t>Description</t>
  </si>
  <si>
    <t>Upto-Mar'13</t>
  </si>
  <si>
    <t>Transm.</t>
  </si>
  <si>
    <t>Distribution</t>
  </si>
  <si>
    <t xml:space="preserve">Distribuion  </t>
  </si>
  <si>
    <t>Consumer Benefits Account</t>
  </si>
  <si>
    <t>Sundry Creditors</t>
  </si>
  <si>
    <t>Working Capital Loan from Banks</t>
  </si>
  <si>
    <t>Security Deposits from Consumers</t>
  </si>
  <si>
    <t>Deposits and Advances from Consumers</t>
  </si>
  <si>
    <t>Employees&amp;Other Liabilities</t>
  </si>
  <si>
    <t>For Other  Exp(O\C)</t>
  </si>
  <si>
    <t>Accured  Interest  &amp;due(unclaimed)</t>
  </si>
  <si>
    <t>Accured  Interest  but not due</t>
  </si>
  <si>
    <t>Other Liabilities</t>
  </si>
  <si>
    <t>Total current liabillities</t>
  </si>
  <si>
    <t xml:space="preserve">Sub-segments                        </t>
  </si>
  <si>
    <t xml:space="preserve"> (Rs. In Crores)</t>
  </si>
  <si>
    <t xml:space="preserve">FY 2012-13 (H1)    </t>
  </si>
  <si>
    <t>(Vijaya Bank)</t>
  </si>
  <si>
    <t xml:space="preserve">FY 2012-13 (H2)    </t>
  </si>
  <si>
    <t>Short Term Finance Vijaya Bank &amp; Bank of India20-12-2012(90.00 Cr)</t>
  </si>
  <si>
    <t>Difference head wise FY 2012-13 and FY 2011-12</t>
  </si>
  <si>
    <t>Vig Settelment</t>
  </si>
  <si>
    <t>A&amp;G Expenses for FY 2013-14</t>
  </si>
  <si>
    <t>Employee Expenses for FY 2013-14</t>
  </si>
  <si>
    <t>Total Term Loans</t>
  </si>
  <si>
    <t>Canara Bank</t>
  </si>
  <si>
    <t xml:space="preserve">Vijaya Bank </t>
  </si>
  <si>
    <t xml:space="preserve">D.P.D.C. Loan </t>
  </si>
  <si>
    <t>Int.Rate(%)</t>
  </si>
  <si>
    <t>Total Term Loan</t>
  </si>
  <si>
    <t>Loan Period</t>
  </si>
  <si>
    <t>From</t>
  </si>
  <si>
    <t>To</t>
  </si>
  <si>
    <t>Outstanding on 1 April,2012</t>
  </si>
  <si>
    <t>Loan Raised</t>
  </si>
  <si>
    <t>Loan repaid</t>
  </si>
  <si>
    <t>Interest Paid</t>
  </si>
  <si>
    <t>Bank Of India</t>
  </si>
  <si>
    <t>Canara Bank Term Loan</t>
  </si>
  <si>
    <t>D.P.D.C.  Loan</t>
  </si>
  <si>
    <t>APDRP Scheme Loan</t>
  </si>
  <si>
    <t>MCGM Advance</t>
  </si>
  <si>
    <t>Interest on Working Capital (Actual)</t>
  </si>
  <si>
    <t>Short Term Loans</t>
  </si>
  <si>
    <t>Short Term Loan Total</t>
  </si>
  <si>
    <t>Term Loans</t>
  </si>
  <si>
    <t>In Lacs</t>
  </si>
  <si>
    <t>Statement of loan as on  1 April, 2012</t>
  </si>
  <si>
    <t>Outstanding on 31 March, 2012</t>
  </si>
  <si>
    <t>Interest on Loan Rs. Crore</t>
  </si>
  <si>
    <t>Short Term Assist  from Vijaya Bank 09-01-12(Rs 75.00 Crs)</t>
  </si>
  <si>
    <t>Short Term Assist  from  Bank of India 20-12-12 (Rs.90.00 Crs)</t>
  </si>
  <si>
    <t>Long Term Loan Details(URIM Data)</t>
  </si>
  <si>
    <t>Outstanding on 31 March 2013</t>
  </si>
  <si>
    <t>Comes by deducting Working Capital Loan from Statement of Loan as on 1April, 2012</t>
  </si>
  <si>
    <t>Debt Amount</t>
  </si>
  <si>
    <t>Normative sales considering same Energy input</t>
  </si>
  <si>
    <t>Additional sales due to actual distribution loss less than the normative target at 9.00%</t>
  </si>
  <si>
    <t>Actual revenue for the year</t>
  </si>
  <si>
    <t>Average billing rate</t>
  </si>
  <si>
    <t>Additional revenue due to actual distribution loss</t>
  </si>
  <si>
    <t>Rs. / unit</t>
  </si>
  <si>
    <t xml:space="preserve"> FY 2013-14</t>
  </si>
  <si>
    <t xml:space="preserve"> FY 2012-13</t>
  </si>
  <si>
    <t xml:space="preserve">Actual sales </t>
  </si>
  <si>
    <t>Calculation of Normative sales considering same Energy input</t>
  </si>
  <si>
    <t>Form 12</t>
  </si>
  <si>
    <t>Form 13</t>
  </si>
  <si>
    <t xml:space="preserve">                 </t>
  </si>
  <si>
    <t xml:space="preserve">   Electicity Regulated Maharashtra Business Sub-segments</t>
  </si>
  <si>
    <t>Cables&amp;Mains</t>
  </si>
  <si>
    <r>
      <t xml:space="preserve">        </t>
    </r>
    <r>
      <rPr>
        <b/>
        <sz val="12"/>
        <rFont val="Times New Roman"/>
        <family val="1"/>
      </rPr>
      <t xml:space="preserve"> FORMAT 1 Gross Fixed Asset _2</t>
    </r>
  </si>
  <si>
    <t xml:space="preserve">Cables&amp;Mains- Volatge wise Details of </t>
  </si>
  <si>
    <t>Equity Amount</t>
  </si>
  <si>
    <t>Green figure considered in Long term loan as well</t>
  </si>
  <si>
    <t>FY 2013-14 Bad Debts</t>
  </si>
  <si>
    <t>Non Tariff Income for FY 2012-13</t>
  </si>
  <si>
    <t>Power Purchase Cost for FY 2013-14</t>
  </si>
  <si>
    <t xml:space="preserve">                                                       </t>
  </si>
  <si>
    <t xml:space="preserve"> CAPITALISATION DURING THE YEAR 2012-2013</t>
  </si>
  <si>
    <t xml:space="preserve"> CAPITALISATION DURING THE YEAR 2013-2014</t>
  </si>
  <si>
    <t xml:space="preserve"> CAPITALISATION DURING THE YEAR 2013-2014 </t>
  </si>
  <si>
    <t>Units Sold(MU)</t>
  </si>
  <si>
    <t>Depreciation Asset Wise</t>
  </si>
  <si>
    <t>Gross Fix Asset</t>
  </si>
  <si>
    <t xml:space="preserve">     Rs. Crore                                                                          </t>
  </si>
  <si>
    <t>Audited  Amount</t>
  </si>
  <si>
    <t>Impact of Wage Agreement</t>
  </si>
  <si>
    <t>FY 2009-10</t>
  </si>
  <si>
    <t>FY 2014-15</t>
  </si>
  <si>
    <t>FY 2015-16</t>
  </si>
  <si>
    <t>RECONILICATION OF OPENING GFA</t>
  </si>
  <si>
    <t>F.Y.</t>
  </si>
  <si>
    <t xml:space="preserve">Description  </t>
  </si>
  <si>
    <t>Op. G.F.A. as per Books of A/c.</t>
  </si>
  <si>
    <t>BEST submission in pettion for G.F.A</t>
  </si>
  <si>
    <t>G.F.A. allowed by MERC</t>
  </si>
  <si>
    <t>Remarks if any</t>
  </si>
  <si>
    <t>2006-07</t>
  </si>
  <si>
    <t>1084.78 (revised submission in case no 73 of 2007</t>
  </si>
  <si>
    <t>Refer attached statement (I)</t>
  </si>
  <si>
    <t xml:space="preserve">Addition </t>
  </si>
  <si>
    <t>Less: Retirement</t>
  </si>
  <si>
    <t>IDC of F.Y 2006-07</t>
  </si>
  <si>
    <t>2007-08</t>
  </si>
  <si>
    <t>Refer attached statement (II)</t>
  </si>
  <si>
    <t>IDC of F.Y 2007-08</t>
  </si>
  <si>
    <t>i e (Rs 1.57 &amp; Rs 11.05)</t>
  </si>
  <si>
    <t>2008-09</t>
  </si>
  <si>
    <t>Refer attached statement (III)</t>
  </si>
  <si>
    <t>Earilar Difference of Retirement of assets now considered</t>
  </si>
  <si>
    <t>Rounding up Difference</t>
  </si>
  <si>
    <t>IDC of F.Y 2008-09</t>
  </si>
  <si>
    <t>2009-10</t>
  </si>
  <si>
    <t xml:space="preserve">Opening GFA </t>
  </si>
  <si>
    <t>i.e Rs (12.62+9.43)-2.38</t>
  </si>
  <si>
    <t xml:space="preserve">Refer attached statement (IV) </t>
  </si>
  <si>
    <t>i.e Annexure V  of volume II of</t>
  </si>
  <si>
    <t>submission in case no 26 of 2013</t>
  </si>
  <si>
    <t>IDC of F.Y 2009-10</t>
  </si>
  <si>
    <t>i. e Rs 19.67+10.24(IDC)+0.30</t>
  </si>
  <si>
    <t>2010-11</t>
  </si>
  <si>
    <t xml:space="preserve"> Opening GFA</t>
  </si>
  <si>
    <t>Adjustement considered</t>
  </si>
  <si>
    <t>IDC allowed</t>
  </si>
  <si>
    <t xml:space="preserve">IDC of FY 2009-10  &amp; F Y 2010-11 i. e Rs 10.48 &amp; 13.80 </t>
  </si>
  <si>
    <t>IDC of F.Y 2011-12</t>
  </si>
  <si>
    <t>i.e Rs 24.28-10.99-0.73-0.02</t>
  </si>
  <si>
    <t>IDC of F.Y 2009-10 Rs 2.24 &amp; Rs 1.48 F.Y 2010-11 reverted</t>
  </si>
  <si>
    <t>Less: IDC of F.Y 2010-11 Reverted</t>
  </si>
  <si>
    <t>add: IDC OF F.Y 2011-12 &amp; 2012-13</t>
  </si>
  <si>
    <t>Rs 12.54-0.83</t>
  </si>
  <si>
    <t>PROJECTION</t>
  </si>
  <si>
    <t>Projection</t>
  </si>
  <si>
    <t>Capitalisation with IDC</t>
  </si>
  <si>
    <t>Retirement of Asset</t>
  </si>
  <si>
    <t>Closing GFA</t>
  </si>
  <si>
    <t>Normative O&amp;M Expense</t>
  </si>
  <si>
    <t>NormativeO&amp;M Expense</t>
  </si>
  <si>
    <t>Actual/Projected</t>
  </si>
  <si>
    <t xml:space="preserve">         DIVISIONAL INCOME AND EXPENDITURE STATEMENT FOR THE YEAR ENDED 31ST MARCH, 2014</t>
  </si>
  <si>
    <t>2013-2014</t>
  </si>
  <si>
    <t>** Includes Rs. 113,11,00,473/- not covered by Current Budget Grant but awaiting Coporation's Sanction.</t>
  </si>
  <si>
    <t xml:space="preserve">                            ALLOCATION OF GENERAL ADMINISTRATION EXPENDITURE FOR THE YEAR  2013-14.</t>
  </si>
  <si>
    <t>Operation and Maintenance Charges</t>
  </si>
  <si>
    <t>Administration and General Expenses</t>
  </si>
  <si>
    <t>Repair and Maintenance Expenses</t>
  </si>
  <si>
    <t>Interest on Long Term Loan</t>
  </si>
  <si>
    <t>Interest on Consumer Deposite</t>
  </si>
  <si>
    <t>Sr.NO.</t>
  </si>
  <si>
    <t>13.06.2013</t>
  </si>
  <si>
    <t>12.09.2013</t>
  </si>
  <si>
    <t>28.06.2013</t>
  </si>
  <si>
    <t>27.12.2013</t>
  </si>
  <si>
    <t>05.09.2013</t>
  </si>
  <si>
    <t>04.03.2014</t>
  </si>
  <si>
    <t>21.10.2013</t>
  </si>
  <si>
    <t>20.04.2014</t>
  </si>
  <si>
    <t>05.12.2013</t>
  </si>
  <si>
    <t>04.06.2014</t>
  </si>
  <si>
    <t>27.01.2014</t>
  </si>
  <si>
    <t>26.07.2014</t>
  </si>
  <si>
    <t>06.03.2014</t>
  </si>
  <si>
    <t>30.09.2013</t>
  </si>
  <si>
    <t>29.09.2014</t>
  </si>
  <si>
    <t>24.12.2013</t>
  </si>
  <si>
    <t>23.12.2014</t>
  </si>
  <si>
    <t>26.06.2013</t>
  </si>
  <si>
    <t>25.06.2014</t>
  </si>
  <si>
    <t>25.02.2014</t>
  </si>
  <si>
    <t>24.02.2015</t>
  </si>
  <si>
    <t>Difference(1-2)</t>
  </si>
  <si>
    <t>Word File(1)</t>
  </si>
  <si>
    <t>Statement of Accounts(2)</t>
  </si>
  <si>
    <t>APPENDIX NO. E - 6</t>
  </si>
  <si>
    <t xml:space="preserve"> FIXED CAPITAL EXPENDITURE AS AT 31ST MARCH, 2014</t>
  </si>
  <si>
    <t xml:space="preserve">ADJUSTMENTS </t>
  </si>
  <si>
    <t xml:space="preserve"> INRESPECT </t>
  </si>
  <si>
    <t xml:space="preserve">SCRAPPED, </t>
  </si>
  <si>
    <t>31st MAR, 2014</t>
  </si>
  <si>
    <t>31st MARCH,2012</t>
  </si>
  <si>
    <t>31st MARCH,2013</t>
  </si>
  <si>
    <t>31st MARCH,2014</t>
  </si>
  <si>
    <t xml:space="preserve">  31st MARCH,2014</t>
  </si>
  <si>
    <t>#</t>
  </si>
  <si>
    <t>$</t>
  </si>
  <si>
    <t># Includes Expenditure Incurred Under Business Process Automation Project (BPAP) Amounting to Rs.44.67 Crs upto the year 2012-13 &amp; Rs. 6.00 Crs during the year 2013-14</t>
  </si>
  <si>
    <t>$ IDC Rs. 10.58 Crs of 2010-11 reverted in 2013-14, IDC of Rs. 0.73 Crs of 2011-12 &amp; Rs. 0.83 Crs of 2012-13 brought into books of accounts in F.Y. 2013-14</t>
  </si>
  <si>
    <t>Adjustments</t>
  </si>
  <si>
    <t>2(a)</t>
  </si>
  <si>
    <t>2(b)</t>
  </si>
  <si>
    <t>4(a)</t>
  </si>
  <si>
    <t>4(b)</t>
  </si>
  <si>
    <t>2 (c)</t>
  </si>
  <si>
    <t>FY 2013-14 Approved in Case No.26 of 2013</t>
  </si>
  <si>
    <t>FY 14-15</t>
  </si>
  <si>
    <t>FY 15-16</t>
  </si>
  <si>
    <t>Note: In Case 26 the Commission has approved Other Expenses for FY 2012-13 to FY 2015-16 at the same level as that in FY 2011-12</t>
  </si>
  <si>
    <t>Same principle followed by BEST also for FY 2012-13 to FY 2015-16</t>
  </si>
  <si>
    <t>Same principle applied here for projection of values for FY 2014-15 and FY 2015-16</t>
  </si>
  <si>
    <t>@ 644 Nos of Buses acquired under Mumbai Urban Transport Project amounting to Rs.99.29 Crs &amp; 1000 Nos of Buses ( AC CNG 200 + Low Flooring SD 550 + Midi CNG 250 ) acquired under JNNURM amounting to `.308.53 Crs.</t>
  </si>
  <si>
    <t xml:space="preserve"># Includes expenditure Incurred Under Accelerated Power Development Reform Programme Scheme of Central Government From Financial Year 2001-02 to 2008-09 amounting to `.291.66 Crs ( `.143.21 Crores Under </t>
  </si>
  <si>
    <t xml:space="preserve">   Plant &amp; Machinery, `. 64.52 Crs Under Cable &amp; Mains, `.75.02 Crs Under Meters &amp; `. 8.91 Crs Under Office Equipments )</t>
  </si>
  <si>
    <r>
      <rPr>
        <b/>
        <sz val="11"/>
        <color indexed="10"/>
        <rFont val="Times New Roman"/>
        <family val="1"/>
      </rPr>
      <t>DEDUCTION</t>
    </r>
    <r>
      <rPr>
        <b/>
        <sz val="11"/>
        <rFont val="Times New Roman"/>
        <family val="1"/>
      </rPr>
      <t xml:space="preserve"> IN</t>
    </r>
  </si>
  <si>
    <r>
      <t>(+)OR(</t>
    </r>
    <r>
      <rPr>
        <b/>
        <sz val="11"/>
        <color indexed="10"/>
        <rFont val="Times New Roman"/>
        <family val="1"/>
      </rPr>
      <t>-</t>
    </r>
    <r>
      <rPr>
        <b/>
        <sz val="11"/>
        <rFont val="Times New Roman"/>
        <family val="1"/>
      </rPr>
      <t>)</t>
    </r>
  </si>
  <si>
    <r>
      <t xml:space="preserve">PLANT &amp; MACHINERY                         </t>
    </r>
    <r>
      <rPr>
        <b/>
        <sz val="11"/>
        <rFont val="Times New Roman"/>
        <family val="1"/>
      </rPr>
      <t xml:space="preserve"> </t>
    </r>
  </si>
  <si>
    <r>
      <t xml:space="preserve">BUSES                                                </t>
    </r>
    <r>
      <rPr>
        <b/>
        <sz val="11"/>
        <rFont val="Times New Roman"/>
        <family val="1"/>
      </rPr>
      <t xml:space="preserve">  </t>
    </r>
  </si>
  <si>
    <t>Revenue</t>
  </si>
  <si>
    <t>Security and Vigilance</t>
  </si>
  <si>
    <t>Stand By Charges</t>
  </si>
  <si>
    <t>1(a)</t>
  </si>
  <si>
    <t>1(b)</t>
  </si>
  <si>
    <t>1(d)</t>
  </si>
  <si>
    <t>1(c)</t>
  </si>
  <si>
    <t xml:space="preserve"> Revenue  from sale of electricity</t>
  </si>
  <si>
    <t>12(a)</t>
  </si>
  <si>
    <t>12(b)</t>
  </si>
  <si>
    <t>12(c)</t>
  </si>
  <si>
    <t>12(d)</t>
  </si>
  <si>
    <t>12(e)</t>
  </si>
  <si>
    <t>Power Purchase Expenses(excluding SLDC Charges)</t>
  </si>
  <si>
    <t>MCGM Loan (Rs. 1600 Crore was utlilised for payment of outstanding TPC bill for FY 2012-13 &amp; FY 2013-14 because of this interest on loan increased to Rs. 132 Crore.</t>
  </si>
  <si>
    <t>IDC of Rs. 0.73 Crs of 2011-12 &amp; Rs. 0.83 Crs of 2012-13 brought into books of accounts in F.Y. 2013-14</t>
  </si>
  <si>
    <t>Reconcilation of Word File(True_Up_Unaudited_13_14) and Statement of Accounts for FY 2013-14</t>
  </si>
  <si>
    <t>Remarks</t>
  </si>
  <si>
    <r>
      <t xml:space="preserve">        APPENDIX  NO. </t>
    </r>
    <r>
      <rPr>
        <sz val="9"/>
        <color indexed="8"/>
        <rFont val="Calibri"/>
        <family val="2"/>
      </rPr>
      <t>E-3</t>
    </r>
  </si>
  <si>
    <t>DIVISIONAL INCOME &amp; EXPENDITURE STATEMENT FOR THE YEAR ENDED 31ST MARCH, 2013</t>
  </si>
  <si>
    <t xml:space="preserve">                 BUSES</t>
  </si>
  <si>
    <t xml:space="preserve"> EXPENDITURE</t>
  </si>
  <si>
    <t>Traffic Earning From</t>
  </si>
  <si>
    <t>C.N.G.Fuel</t>
  </si>
  <si>
    <t>Sale of Tickets</t>
  </si>
  <si>
    <t>Fuel Oil</t>
  </si>
  <si>
    <t>Monthly Bus Passes</t>
  </si>
  <si>
    <t>Lubricants</t>
  </si>
  <si>
    <t>Reserved Buses</t>
  </si>
  <si>
    <t>Tyre and Tubes</t>
  </si>
  <si>
    <t>Lump sum payment from Govt.</t>
  </si>
  <si>
    <t>Tickets</t>
  </si>
  <si>
    <t>towards free travel by police personnel</t>
  </si>
  <si>
    <t>Establishment Cost   (Buses)</t>
  </si>
  <si>
    <t>Establishment Cost   (Gen.Admn.)</t>
  </si>
  <si>
    <t>Admn.and Gen.Expenses (Buses)</t>
  </si>
  <si>
    <t>Bus Tokens and Passes</t>
  </si>
  <si>
    <t>Admn.and Gen.Expenses (Gen.Admn.)</t>
  </si>
  <si>
    <t>Repairs and Maintenance (Buses)</t>
  </si>
  <si>
    <t>Repairs and Maintenance (Gen.admn.)</t>
  </si>
  <si>
    <t>Engineering Receipts</t>
  </si>
  <si>
    <t>Other Cost   (Buses)</t>
  </si>
  <si>
    <t>Rent of Bldg.and Land</t>
  </si>
  <si>
    <t>Other Cost   (Gen.admn.)</t>
  </si>
  <si>
    <t>Share of Gen.Admn. Receipts</t>
  </si>
  <si>
    <t>Depreciation    (Buses)</t>
  </si>
  <si>
    <t>Depreciation    (Gen.admn.)</t>
  </si>
  <si>
    <t>Deficit Transferred to Appropriation A/c.</t>
  </si>
  <si>
    <t>Interest on loans   (Buses)</t>
  </si>
  <si>
    <t>Interest on loans   (Gen.admn.)</t>
  </si>
  <si>
    <r>
      <t xml:space="preserve">**   Includes past year's expenditure amounting to </t>
    </r>
    <r>
      <rPr>
        <sz val="11"/>
        <color indexed="8"/>
        <rFont val="Rupee Foradian"/>
        <family val="2"/>
      </rPr>
      <t>`</t>
    </r>
    <r>
      <rPr>
        <sz val="11"/>
        <color theme="1"/>
        <rFont val="Calibri"/>
        <family val="2"/>
        <scheme val="minor"/>
      </rPr>
      <t>. 5,21,08,981 &amp;</t>
    </r>
    <r>
      <rPr>
        <sz val="11"/>
        <color indexed="8"/>
        <rFont val="Rupee Foradian"/>
        <family val="2"/>
      </rPr>
      <t xml:space="preserve"> `</t>
    </r>
    <r>
      <rPr>
        <sz val="11"/>
        <color theme="1"/>
        <rFont val="Calibri"/>
        <family val="2"/>
        <scheme val="minor"/>
      </rPr>
      <t>.314,19,01,422  not covered by Current Budget Grant but awaiting Corporation's sacntion</t>
    </r>
  </si>
  <si>
    <t>Form 14</t>
  </si>
  <si>
    <t>Comments</t>
  </si>
  <si>
    <t>Ensuing Years</t>
  </si>
  <si>
    <t xml:space="preserve">MYT Order </t>
  </si>
  <si>
    <t>Format 8 Calculation (mentioned in URIM)</t>
  </si>
  <si>
    <t>Rs</t>
  </si>
  <si>
    <t>_</t>
  </si>
  <si>
    <t>Bad Debt Written Off</t>
  </si>
  <si>
    <t>Interest On Consumer Deeposite</t>
  </si>
  <si>
    <t>Fprm 6</t>
  </si>
  <si>
    <t>Commnts</t>
  </si>
  <si>
    <t>Value Matched</t>
  </si>
  <si>
    <t>Interest on long term loan</t>
  </si>
  <si>
    <t>Past recovery of TPC-G</t>
  </si>
  <si>
    <t>Total Interest Expenses</t>
  </si>
  <si>
    <t>Form 6</t>
  </si>
  <si>
    <t>Contribution to Contigency Reserve</t>
  </si>
  <si>
    <t>SLDC Charges Rs. 1.27 Crore need to be find in Statement of A/c</t>
  </si>
  <si>
    <t>Reconciliation of Rs. 37.39 Crore requires</t>
  </si>
  <si>
    <t>Apdrp Scheme Loan Tranch 1</t>
  </si>
  <si>
    <t>Apdrp Scheme Loan Tranch 2</t>
  </si>
  <si>
    <t>Apdrp Scheme Loan Tranch 3</t>
  </si>
  <si>
    <t>Apdrp Scheme Loan Tranch 4</t>
  </si>
  <si>
    <t>Calculation of Interest of loan for FY 2013-14</t>
  </si>
  <si>
    <t>Bank of India</t>
  </si>
  <si>
    <r>
      <rPr>
        <b/>
        <sz val="10"/>
        <color indexed="10"/>
        <rFont val="Times New Roman"/>
        <family val="1"/>
      </rPr>
      <t>DEDUCTION</t>
    </r>
    <r>
      <rPr>
        <b/>
        <sz val="10"/>
        <rFont val="Times New Roman"/>
        <family val="1"/>
      </rPr>
      <t xml:space="preserve"> IN</t>
    </r>
  </si>
  <si>
    <r>
      <t>(+)OR(</t>
    </r>
    <r>
      <rPr>
        <b/>
        <sz val="10"/>
        <color indexed="10"/>
        <rFont val="Times New Roman"/>
        <family val="1"/>
      </rPr>
      <t>-</t>
    </r>
    <r>
      <rPr>
        <b/>
        <sz val="10"/>
        <rFont val="Times New Roman"/>
        <family val="1"/>
      </rPr>
      <t>)</t>
    </r>
  </si>
  <si>
    <r>
      <t xml:space="preserve">PLANT &amp; MACHINERY                         </t>
    </r>
    <r>
      <rPr>
        <b/>
        <sz val="10"/>
        <rFont val="Times New Roman"/>
        <family val="1"/>
      </rPr>
      <t xml:space="preserve"> </t>
    </r>
  </si>
  <si>
    <r>
      <t xml:space="preserve">BUSES                                                </t>
    </r>
    <r>
      <rPr>
        <b/>
        <sz val="10"/>
        <rFont val="Times New Roman"/>
        <family val="1"/>
      </rPr>
      <t xml:space="preserve">  </t>
    </r>
  </si>
  <si>
    <t>IDC Reverted</t>
  </si>
  <si>
    <t xml:space="preserve">                                                                                    FIXED CAPITAL EXPENDITURE AS AT 31ST MARCH, 2012</t>
  </si>
  <si>
    <t xml:space="preserve">ADJUSTMENT IN </t>
  </si>
  <si>
    <t xml:space="preserve"> RESPECT OF</t>
  </si>
  <si>
    <t>31ST MAR,2011</t>
  </si>
  <si>
    <t>ASSETS SCRAPPED</t>
  </si>
  <si>
    <t>31ST MAR. 2012</t>
  </si>
  <si>
    <t xml:space="preserve">  31ST MARCH,2012</t>
  </si>
  <si>
    <t>31ST MAR,2012</t>
  </si>
  <si>
    <t>***</t>
  </si>
  <si>
    <t xml:space="preserve">                        Contd…..</t>
  </si>
  <si>
    <t xml:space="preserve">  APPENDIX NO. E-6 (Contd.)</t>
  </si>
  <si>
    <t>FIXED CAPITAL EXPENDITURE AS AT 31ST MARCH, 2012</t>
  </si>
  <si>
    <t xml:space="preserve">*** In addition to the above mentioned Fixed Assets owned &amp; in the possession of The B. E. S. T. Undertaking as on 31-3-2012,                                                                                                                                                                                                                       some more Fixed Assets,  which are not owned, but are acquired &amp; in possession of  the B. E. S. &amp;  T.  </t>
  </si>
  <si>
    <t xml:space="preserve">     some more fixed assets, which are not owned but are in possession of B.E.S.&amp; T. Undertaking  by way</t>
  </si>
  <si>
    <t xml:space="preserve">     of Lease Agerrment, detailed as under:</t>
  </si>
  <si>
    <t>NATURE OF FIXED ASSETS</t>
  </si>
  <si>
    <t xml:space="preserve">NATURE OF </t>
  </si>
  <si>
    <t xml:space="preserve">COST OF </t>
  </si>
  <si>
    <t>TOTAL COST</t>
  </si>
  <si>
    <t>RENTAL PAID</t>
  </si>
  <si>
    <t xml:space="preserve">BALANCE </t>
  </si>
  <si>
    <t xml:space="preserve">TENURE OF </t>
  </si>
  <si>
    <t>AGREEMENT</t>
  </si>
  <si>
    <t xml:space="preserve">LEASED/SERVICED  </t>
  </si>
  <si>
    <t>OF</t>
  </si>
  <si>
    <t xml:space="preserve">UP TO </t>
  </si>
  <si>
    <t>AS ON</t>
  </si>
  <si>
    <t xml:space="preserve">CONTRACT </t>
  </si>
  <si>
    <t>LEASE RENT</t>
  </si>
  <si>
    <t>31-03-2012</t>
  </si>
  <si>
    <t>(YEARS)</t>
  </si>
  <si>
    <t xml:space="preserve"> ASSETS</t>
  </si>
  <si>
    <t>2300 Nos. Electronic Meters Acquired in 1995-96</t>
  </si>
  <si>
    <t xml:space="preserve">Lease </t>
  </si>
  <si>
    <t>2500 Nos. Electronic Meters Acquired in 1999-2000</t>
  </si>
  <si>
    <t>50 Nos. S.D. Buses(From I.C.I.C.I.) Acquired in 1999-2000</t>
  </si>
  <si>
    <t>42 Nos. S. D. Buses (From I.C.I.C.I.) Acquired in 2000-2001</t>
  </si>
  <si>
    <t>150 Nos. S. D. Buses (From B. O. I.) Acquired in 2000-2001</t>
  </si>
  <si>
    <t>Lease</t>
  </si>
  <si>
    <t>65 Nos. S. D. Buses (From BOI) Acquired in 2001-2002</t>
  </si>
  <si>
    <t xml:space="preserve"> @  Includes 644 Nos. of Buses acquired under Mumbai Urban Transport Project amounting to `.99.29 Crs &amp; 1000 nos.  of  Buses (AC CNG 200 + Low Flooring SD 550 &amp;  Midi CNG 250)  </t>
  </si>
  <si>
    <t xml:space="preserve">       acquired under JnNURM amounting to `.308.52Crs.</t>
  </si>
  <si>
    <t xml:space="preserve"> #    Includes Expenditure Incurred Under Accelerated Power Development Reform Programme Scheme of Central Goverment From Financial Year 2001-02 to 2008-09 amounting to `.291.66 Crs.,</t>
  </si>
  <si>
    <t xml:space="preserve">       (` 143.21 Crores Under Plant &amp; Machinery, ` 64.52 Crores Under Cables &amp; Mains, ` 75.02 Crores Under Meters &amp; ` 8.91 Crores Under Office Equipments.)</t>
  </si>
  <si>
    <t>#     Includes Expenditure Incurred Under Business Process Automation Project (BPAP) Amounting to `. 38.20 Crs.</t>
  </si>
  <si>
    <t>$     Includes IDC amount of `10.48 crs.for F.Y 2009-10 &amp; `. 13.80 crs. for F.Y 2010-11 respectively as approved by MERC is now brought into Books of Account for F.Y.  2011-12.</t>
  </si>
  <si>
    <t xml:space="preserve">*   Includes Past Years Expenditure Amounting to ` 2,39,61,600  not covered by Current Budget Grant which is  Awaiting Corporation Sanction.      </t>
  </si>
  <si>
    <t>**  Includes Unremunerative Capital Expenditure amounting to `.70,69,86,330/-  on Staff Quarters as no Expenditure is incurred during the year.</t>
  </si>
  <si>
    <t>\</t>
  </si>
  <si>
    <t>Depreciation during the year</t>
  </si>
  <si>
    <t>IDC(-)</t>
  </si>
  <si>
    <t>WRITE OFF DURING THE YEAR 2012-13(-)</t>
  </si>
  <si>
    <t>ASSET TRANSFER (+)</t>
  </si>
  <si>
    <t>GOVT. GRANT(-)</t>
  </si>
  <si>
    <t>CABEL CAPITAL CONN. FEES(-)</t>
  </si>
  <si>
    <t>Capital Connection Fee</t>
  </si>
  <si>
    <t>Comparision of Power Purchase between URIM and Statement of A/C</t>
  </si>
  <si>
    <t>Summary of Power Purchase for FY 2013-14</t>
  </si>
  <si>
    <t>Old Rate(%)</t>
  </si>
  <si>
    <t>Net Rate(%)</t>
  </si>
  <si>
    <r>
      <t xml:space="preserve">STATEMENT OF  LOANS  &amp; INTEREST FOR  FIRST HALF 2013-14   </t>
    </r>
    <r>
      <rPr>
        <b/>
        <sz val="20"/>
        <rFont val="Rupee Foradian"/>
        <family val="2"/>
      </rPr>
      <t>` IN LACS</t>
    </r>
  </si>
  <si>
    <t>OUTSTANDING ON 01.04.2013</t>
  </si>
  <si>
    <t>OUTSTANDING ON 30.09.2013</t>
  </si>
  <si>
    <t>INTEREST PD IN 1HALF</t>
  </si>
  <si>
    <t>^</t>
  </si>
  <si>
    <r>
      <t xml:space="preserve">GRAND TOTAL  </t>
    </r>
    <r>
      <rPr>
        <b/>
        <sz val="18"/>
        <rFont val="Rupee Foradian"/>
        <family val="2"/>
      </rPr>
      <t>`</t>
    </r>
    <r>
      <rPr>
        <b/>
        <sz val="16"/>
        <rFont val="Rupee Foradian"/>
        <family val="2"/>
      </rPr>
      <t xml:space="preserve"> </t>
    </r>
    <r>
      <rPr>
        <b/>
        <sz val="16"/>
        <rFont val="Arial"/>
        <family val="2"/>
      </rPr>
      <t>IN LACS</t>
    </r>
  </si>
  <si>
    <t>OVERDRAFT INTEREST</t>
  </si>
  <si>
    <t>WC</t>
  </si>
  <si>
    <t>LT</t>
  </si>
  <si>
    <t>$ LOAN MARKED FOR  CAPTIAL</t>
  </si>
  <si>
    <t>^ LOAN MARKED FOR WORKING CAPITAL</t>
  </si>
  <si>
    <r>
      <t xml:space="preserve">STATEMENT OF  LOANS  &amp; INTEREST FOR SECOND HALF 2013-14   </t>
    </r>
    <r>
      <rPr>
        <b/>
        <sz val="20"/>
        <rFont val="Rupee Foradian"/>
        <family val="2"/>
      </rPr>
      <t>` IN LACS</t>
    </r>
  </si>
  <si>
    <t>OUTSTANDING ON 01.10.2013</t>
  </si>
  <si>
    <t>OUTSTANDING ON 31.03.2014</t>
  </si>
  <si>
    <r>
      <t xml:space="preserve">STATEMENT OF  LOANS  &amp; INTEREST FOR 1ST HALF OF F.Y.2012-2013   </t>
    </r>
    <r>
      <rPr>
        <b/>
        <sz val="20"/>
        <rFont val="Rupee Foradian"/>
        <family val="2"/>
      </rPr>
      <t>` IN LACS</t>
    </r>
  </si>
  <si>
    <r>
      <t xml:space="preserve">STATEMENT OF  LOANS  &amp; INTEREST FOR 2ND HALF OF F.Y.2012-2013   </t>
    </r>
    <r>
      <rPr>
        <b/>
        <sz val="20"/>
        <rFont val="Rupee Foradian"/>
        <family val="2"/>
      </rPr>
      <t>` IN LACS</t>
    </r>
  </si>
  <si>
    <t>Year</t>
  </si>
  <si>
    <t>Disallowed RE Power Purchase( Rs. Crore)</t>
  </si>
  <si>
    <t>SBI PLR (Weighted Avg)</t>
  </si>
  <si>
    <t>Carrying Cost(Rs. Crore)</t>
  </si>
  <si>
    <t>Carrying Cost for FY 2010-11</t>
  </si>
  <si>
    <t>Impact to be included in Mid term review Petition</t>
  </si>
  <si>
    <t>Effective Date</t>
  </si>
  <si>
    <t>Interest Rate (%)</t>
  </si>
  <si>
    <t>Weighted Average SBI PLR for FY 2012-13</t>
  </si>
  <si>
    <t>07.11.2013</t>
  </si>
  <si>
    <t>SBI PLR Rate(%)</t>
  </si>
  <si>
    <t>19.09.2013</t>
  </si>
  <si>
    <t>04.02.2013</t>
  </si>
  <si>
    <t>27.09.2012</t>
  </si>
  <si>
    <t>13.08.2011</t>
  </si>
  <si>
    <t>11.07.2011</t>
  </si>
  <si>
    <t>12.05.2011</t>
  </si>
  <si>
    <t>25.04.2011</t>
  </si>
  <si>
    <t>14.02.2011</t>
  </si>
  <si>
    <t>03.01.2011</t>
  </si>
  <si>
    <t>21.10.2010</t>
  </si>
  <si>
    <t>17.08.2010</t>
  </si>
  <si>
    <t>29.06.2009</t>
  </si>
  <si>
    <t>01.01.2009</t>
  </si>
  <si>
    <t>10.11.2008</t>
  </si>
  <si>
    <t>WAPLR</t>
  </si>
  <si>
    <t>12.08.2008</t>
  </si>
  <si>
    <t>27.06.2008</t>
  </si>
  <si>
    <t>27.02.2008</t>
  </si>
  <si>
    <t>16.02.2008</t>
  </si>
  <si>
    <t>09.04.2007</t>
  </si>
  <si>
    <t>20.02.2007</t>
  </si>
  <si>
    <t>27.12.2006</t>
  </si>
  <si>
    <t>02.08.2006</t>
  </si>
  <si>
    <t>01.05.2006</t>
  </si>
  <si>
    <t>01.01.2004</t>
  </si>
  <si>
    <t>05.05.2003</t>
  </si>
  <si>
    <t>01.11.2002</t>
  </si>
  <si>
    <t>01.04.2002</t>
  </si>
  <si>
    <t>05.03.2001</t>
  </si>
  <si>
    <t>12.08.2000</t>
  </si>
  <si>
    <t>01.04.2000</t>
  </si>
  <si>
    <t>01.03.1999</t>
  </si>
  <si>
    <t>01.05.1998</t>
  </si>
  <si>
    <t>02.04.1998</t>
  </si>
  <si>
    <t>22.01.1998</t>
  </si>
  <si>
    <t>01.11.1997</t>
  </si>
  <si>
    <t>01.07.1997</t>
  </si>
  <si>
    <t>16.04.1997</t>
  </si>
  <si>
    <t>01.11.1996</t>
  </si>
  <si>
    <t>06.09.1996</t>
  </si>
  <si>
    <t>15.07.1996</t>
  </si>
  <si>
    <t>10.11.1995</t>
  </si>
  <si>
    <t>24.04.1995</t>
  </si>
  <si>
    <t>15.02.1995</t>
  </si>
  <si>
    <t>18.10.1994</t>
  </si>
  <si>
    <t>02.09.1993</t>
  </si>
  <si>
    <t>24.06.1993</t>
  </si>
  <si>
    <t>01.03.1993</t>
  </si>
  <si>
    <t>09.10.1992</t>
  </si>
  <si>
    <t>02.03.1992</t>
  </si>
  <si>
    <t>09.10.1991</t>
  </si>
  <si>
    <t>04.07.1991</t>
  </si>
  <si>
    <t>01.04.1991</t>
  </si>
  <si>
    <t>Total Impact</t>
  </si>
  <si>
    <t>REC Procurement</t>
  </si>
  <si>
    <r>
      <t xml:space="preserve">        APPENDIX  NO. </t>
    </r>
    <r>
      <rPr>
        <b/>
        <sz val="18"/>
        <color indexed="8"/>
        <rFont val="Calibri"/>
        <family val="2"/>
      </rPr>
      <t>E-3</t>
    </r>
  </si>
  <si>
    <t>DIVISIONAL INCOME &amp; EXPENDITURE STATEMENT FOR THE YEAR ENDED 31ST MARCH, 2014</t>
  </si>
  <si>
    <t>** includes Rs. 78,95,27,336/- not covered by Current Budget Grant but awaiting Corporation's Sanction.</t>
  </si>
  <si>
    <t>Reconciliation of Rs. 5.68 Crore required</t>
  </si>
  <si>
    <t>Recociliation of Rs. 2.32 Crore required</t>
  </si>
  <si>
    <t>Vigillance Expense Details Needed</t>
  </si>
  <si>
    <t>Rate Considered by BEST</t>
  </si>
  <si>
    <t>Difference head wise FY 2013-14 and FY 2012-13</t>
  </si>
  <si>
    <t>Total Capitalisation during the year</t>
  </si>
  <si>
    <t>Add: Property Insurance</t>
  </si>
  <si>
    <t>BEST Amenities</t>
  </si>
  <si>
    <t>Less:Other Audit Charges</t>
  </si>
  <si>
    <t>Motor Vehicle Third Party</t>
  </si>
  <si>
    <t>Obsolenece of Stores</t>
  </si>
  <si>
    <t>Fees to forum members</t>
  </si>
  <si>
    <t>Bad Debts</t>
  </si>
  <si>
    <t>Total Addition</t>
  </si>
  <si>
    <t>Total Substraction</t>
  </si>
  <si>
    <t>Less: Str Ltg Material</t>
  </si>
  <si>
    <t>Less: Lease rent</t>
  </si>
  <si>
    <t>Less :Adjustments</t>
  </si>
  <si>
    <t>Value matched</t>
  </si>
  <si>
    <t>Recociliation of  Rs. 1.1 Crore required</t>
  </si>
  <si>
    <t>Less:Property ins(including other cost)</t>
  </si>
  <si>
    <t>Less:Mise exp(including other cost)</t>
  </si>
  <si>
    <t>Total Other Expenses</t>
  </si>
  <si>
    <t>Past Recoveries of BEST including Revenue Gaps with carrying cost</t>
  </si>
  <si>
    <t xml:space="preserve"> Reconciliation of A&amp;G expenses submitted on 1 September is incorrect. Since, other audit charges, motor vehicle third party, fees to forum member have been doubly disallowed from A&amp;G and other expenses both. Also, bad debt is already included in the books of the accounts, hence, it cannot be reduced from A&amp;G expenses.</t>
  </si>
  <si>
    <t>Opening GFA Approved in MYT Order</t>
  </si>
  <si>
    <t>Net Capitalisation</t>
  </si>
  <si>
    <t>Retirement</t>
  </si>
  <si>
    <t>Closing  GFA</t>
  </si>
  <si>
    <t>Audited FY 2012-13</t>
  </si>
  <si>
    <t>Government Grant</t>
  </si>
  <si>
    <t>Internal Source</t>
  </si>
  <si>
    <t xml:space="preserve">Average Depreciation </t>
  </si>
  <si>
    <t>Dep Rate</t>
  </si>
  <si>
    <t xml:space="preserve"> IDC During Year</t>
  </si>
  <si>
    <t>Capitalised amount</t>
  </si>
  <si>
    <t>Retirement of asset</t>
  </si>
  <si>
    <t>Reduction of loan due to retirement of asset</t>
  </si>
  <si>
    <t>Short Term Loans for FY 2012-13</t>
  </si>
  <si>
    <t>Outstanding as on 1 April, 2012</t>
  </si>
  <si>
    <t>Loan Repaid</t>
  </si>
  <si>
    <t>Outstanding as on 30 September 2012</t>
  </si>
  <si>
    <t>Overdraft Expenses</t>
  </si>
  <si>
    <t>Long Term Loans</t>
  </si>
  <si>
    <t>D.P.D.C</t>
  </si>
  <si>
    <t>APDRP</t>
  </si>
  <si>
    <t>Outstanding as on 1 Oct, 2012</t>
  </si>
  <si>
    <t>Outstanding as on 31 March,  2013</t>
  </si>
  <si>
    <t>Half Yearly 1</t>
  </si>
  <si>
    <t>Half Yearly 2</t>
  </si>
  <si>
    <t>Short Term Loans for FY 2013-14</t>
  </si>
  <si>
    <t>Long Term Loans for FY 2013-14</t>
  </si>
  <si>
    <t>Dena Bank</t>
  </si>
  <si>
    <t>11.5%,10.5%,9%</t>
  </si>
  <si>
    <t>Interest Rate(%)</t>
  </si>
  <si>
    <t>Debt (%)</t>
  </si>
  <si>
    <t>Capital Amount</t>
  </si>
  <si>
    <t>Rs Crore</t>
  </si>
  <si>
    <t>Capitalisation Details</t>
  </si>
  <si>
    <t>Audited FY 2013-14</t>
  </si>
  <si>
    <t>Details given in word file of FY 2012-13 &amp; FY 2013-14</t>
  </si>
  <si>
    <t>No of Days</t>
  </si>
  <si>
    <t>1 April, 2012 to 26 Sept,2012</t>
  </si>
  <si>
    <t>27 Sept, 2012 to 3 Feb, 2013</t>
  </si>
  <si>
    <t>4 Feb, 2013 to 31 March, 2013</t>
  </si>
  <si>
    <t>Simple Average SBI PLR for FY 2012-13</t>
  </si>
  <si>
    <t>SAPLR</t>
  </si>
  <si>
    <t>Projected Consumer Security deposit (in Rs. Crore)</t>
  </si>
  <si>
    <t>Interest on consumer security deposit (in Rs. Crore)</t>
  </si>
  <si>
    <t>SBI PLR Details (Given on SBI Website)</t>
  </si>
  <si>
    <t xml:space="preserve">Accumulated Depreciation </t>
  </si>
  <si>
    <t>Accumulated Dep upto 2012-13</t>
  </si>
  <si>
    <t>Accumulated Dep upto 2013-14</t>
  </si>
  <si>
    <t>Equity (%)</t>
  </si>
  <si>
    <t xml:space="preserve">ROIF </t>
  </si>
  <si>
    <t>External Power purchase/(Sale)</t>
  </si>
  <si>
    <t>Less: Sale of scrapped asset</t>
  </si>
  <si>
    <t>Capital Funding</t>
  </si>
  <si>
    <t>Gross Fixed Asset</t>
  </si>
  <si>
    <t>Opening GFA for Petition</t>
  </si>
  <si>
    <t>Depreciation During Year (Audited account)</t>
  </si>
  <si>
    <t>Opening GFA (Audited Accounts)</t>
  </si>
  <si>
    <t>Interest Calaculations</t>
  </si>
  <si>
    <t>Return on Equity Computation</t>
  </si>
  <si>
    <t>Assets for Wire</t>
  </si>
  <si>
    <t>RoE rate for Wire as per MYT Regulations</t>
  </si>
  <si>
    <t>Assets for Supply</t>
  </si>
  <si>
    <t>RoE rate for Suply as per MYT Regulations</t>
  </si>
  <si>
    <t>Rate for Interest on Internal Fund</t>
  </si>
  <si>
    <t>ROE Rate for Petition</t>
  </si>
  <si>
    <t>Capitalisation + IDC</t>
  </si>
  <si>
    <t>Sales and Energy Balance</t>
  </si>
  <si>
    <t xml:space="preserve">Sales approved in MYT Order </t>
  </si>
  <si>
    <t>Sales (for petition)</t>
  </si>
  <si>
    <t>Gross Fixed Asset (A)</t>
  </si>
  <si>
    <t>Depreciation (B)</t>
  </si>
  <si>
    <t>For Petition</t>
  </si>
  <si>
    <t>Short term assist from Dena Bank</t>
  </si>
  <si>
    <t>In Rs. Crores</t>
  </si>
  <si>
    <t>Other Interest &amp; Finance Charges (Normative)</t>
  </si>
  <si>
    <t>Interest Rate on Term Loan (Weighted Avg.)</t>
  </si>
  <si>
    <t>Year: Current Year (FY 12-13)</t>
  </si>
  <si>
    <t>Year: Current Year (FY 13-14)</t>
  </si>
  <si>
    <t>Addition of Grant during the year</t>
  </si>
  <si>
    <t>Rate of Interest on internal funds</t>
  </si>
  <si>
    <t>Form 15</t>
  </si>
  <si>
    <t>Accumulated depreciation on retirement of assets</t>
  </si>
  <si>
    <t>Distribution Loss (Target)</t>
  </si>
  <si>
    <t>Transmission Loss (State Grid Loss Acount)</t>
  </si>
  <si>
    <t>Amount passed on to consumers by BEST (1/3rd of above incentive/(loss))</t>
  </si>
  <si>
    <t>Amount retained by BEST (2/3rd of above incentive/(loss))</t>
  </si>
  <si>
    <t>As per MYT Order</t>
  </si>
  <si>
    <t>UoM</t>
  </si>
  <si>
    <t>Carrying Cost for FY 2013-14</t>
  </si>
  <si>
    <t>Wire and Supply Availability</t>
  </si>
  <si>
    <t>Form 16</t>
  </si>
  <si>
    <t>Target</t>
  </si>
  <si>
    <t>Wires Availability</t>
  </si>
  <si>
    <t>SAIDI (minutes)</t>
  </si>
  <si>
    <t>Supply Availability</t>
  </si>
  <si>
    <t>MW</t>
  </si>
  <si>
    <t>Base Load Supply Availability</t>
  </si>
  <si>
    <t xml:space="preserve">Actual Contracted Base Load Supply in MW </t>
  </si>
  <si>
    <t>Base Load in MW</t>
  </si>
  <si>
    <t>Base Load Supply Availability (%)</t>
  </si>
  <si>
    <t>Peak Load Supply Availability</t>
  </si>
  <si>
    <t xml:space="preserve">Actual Contracted Peak Load Supply in MW </t>
  </si>
  <si>
    <t>Peak Load in MW</t>
  </si>
  <si>
    <t>Peak Load Supply Availability (%)</t>
  </si>
  <si>
    <t>Impact of ATE Judgment rearding disallowed RE Power Purchase</t>
  </si>
  <si>
    <t>Incentive for Wire and Supply Availability</t>
  </si>
  <si>
    <t>Over-achievement / (under-achievement) in Supply Availability</t>
  </si>
  <si>
    <t>Over-achievement / (under-achievement) in Wire Availability</t>
  </si>
  <si>
    <t>Incentive/(penalty) in RoE</t>
  </si>
  <si>
    <t>Incentive on Wire and Supply Availability</t>
  </si>
  <si>
    <t>Carrying Cost for FY 2014-15</t>
  </si>
  <si>
    <t>Transmission Loss in MYT Order</t>
  </si>
  <si>
    <t>As per Audited Accounts</t>
  </si>
  <si>
    <t>Rate of Interest for Carrying Cost</t>
  </si>
  <si>
    <t>RoE Rate after considering incentive calculation</t>
  </si>
  <si>
    <t xml:space="preserve"> Return on Regulatory Equity after incentive/(penalty) Wire and Supply availability</t>
  </si>
  <si>
    <t>Weighted Average SBI PLR for FY 2010-11</t>
  </si>
  <si>
    <t>Start Date</t>
  </si>
  <si>
    <t>End Date</t>
  </si>
  <si>
    <t>Weighted Average SBI PLR for FY 2011-12</t>
  </si>
  <si>
    <t>Weighted Average SBI PLR for FY 2013-14</t>
  </si>
  <si>
    <t>Weighted Average SBI PLR for FY 2014-15</t>
  </si>
  <si>
    <t>Actual Working Capital for FY 2013-14</t>
  </si>
  <si>
    <t>Canara Bank O.D.</t>
  </si>
  <si>
    <t>Canara Bank OD</t>
  </si>
  <si>
    <t>Impact of MYT review Order dated 9 January, 2014 in Case No. 166 of 2013</t>
  </si>
  <si>
    <t>Revised RoE rate for computing incetive/(penalty) for Wire Availability</t>
  </si>
  <si>
    <t>Revised RoE rate for computing incetive/(penalty) for Supply Availability</t>
  </si>
  <si>
    <t>Impact due to Truing up for FY 2007-08</t>
  </si>
  <si>
    <t>Carrying Cost for FY 2008-09</t>
  </si>
  <si>
    <t>Carrying Cost for FY 2009-10</t>
  </si>
  <si>
    <t>Weighted Average SBI PLR for FY 2008-09</t>
  </si>
  <si>
    <t>Weighted Average SBI PLR for FY 2009-10</t>
  </si>
  <si>
    <t>Form 1.1</t>
  </si>
  <si>
    <t>Revenue (Gap)/ Surplus for FY 2012-13 (Rs. Crore)</t>
  </si>
  <si>
    <t>Opening Balance excluding Rs. 304.15 Crore</t>
  </si>
  <si>
    <t>Interest Rate for FY 2012-13</t>
  </si>
  <si>
    <t xml:space="preserve">Recovery </t>
  </si>
  <si>
    <t>Total Recoverable Amount till FY 2012-13</t>
  </si>
  <si>
    <t>Revenue Gap for FY 2012-13</t>
  </si>
  <si>
    <t>Revenue Gap for FY 2010-11 including carrying cost</t>
  </si>
  <si>
    <t>Revenue gap for FY 2011-12 including carrying cost</t>
  </si>
  <si>
    <t>Total Revenue gap considered in MYT order</t>
  </si>
  <si>
    <t>Recovery for Past Recovery of TPC-G including carrying cost (b)</t>
  </si>
  <si>
    <t>Total (a+b)</t>
  </si>
  <si>
    <t>d</t>
  </si>
  <si>
    <t>f</t>
  </si>
  <si>
    <t>g</t>
  </si>
  <si>
    <t>e=a+b+c+d</t>
  </si>
  <si>
    <t>h=e+f+g</t>
  </si>
  <si>
    <t>Computation of Recovery of Past revenue gaps</t>
  </si>
  <si>
    <t>Recovery of Past Revneue Gaps excluding Rs. 304.14 Crore (a)</t>
  </si>
  <si>
    <t>Incentive computation for Wire and Supply Availability</t>
  </si>
  <si>
    <t>Rate of return after considering Wire and Supply availability</t>
  </si>
  <si>
    <t>Total ARR incl. Regulatory Asset recovery (Rs. Crore)</t>
  </si>
  <si>
    <t>Sales (MU)</t>
  </si>
  <si>
    <t>Revenue at existing tariff (Rs. Crore)</t>
  </si>
  <si>
    <t>Average Cost of Supply (ACOS) (Rs/kWh)</t>
  </si>
  <si>
    <t>Annual Tariff Increase approved by the Commission (%)</t>
  </si>
  <si>
    <t>Revenue Gap (Rs. Crore)</t>
  </si>
  <si>
    <t>Average Tariff Increase (%)</t>
  </si>
  <si>
    <t>Equalised Revenue Gap (Rs. Crore)</t>
  </si>
  <si>
    <t>Carrying Cost on deferred revenue gap (Rs. Crore)</t>
  </si>
  <si>
    <t>Revenue Gap for tariff recovery (Rs. Crore)</t>
  </si>
  <si>
    <t>ACOS for tariff determination Considering whole revenue gap(Rs/kWh)</t>
  </si>
  <si>
    <t>ACOS for tariff determination Considering Equalised Revenue Gap (Rs/kWh)</t>
  </si>
  <si>
    <t>Carrying Cost considered by Commission</t>
  </si>
  <si>
    <t>Carrying Cost for year calculated in model</t>
  </si>
  <si>
    <t>Deffered Revenue Gap(Rs. Crore)</t>
  </si>
  <si>
    <t>Carrying Cost(%)</t>
  </si>
  <si>
    <t>Ensuing Year</t>
  </si>
  <si>
    <t>Emply + A&amp;G</t>
  </si>
  <si>
    <t>Retirement as percentage of Opening GFA</t>
  </si>
  <si>
    <t>Consumer Deposite for Petition</t>
  </si>
  <si>
    <t>Loan Drawal</t>
  </si>
  <si>
    <t>Closing Loan Balance</t>
  </si>
  <si>
    <t>Opening Loan Balance</t>
  </si>
  <si>
    <t>Bad Debt (Actual)</t>
  </si>
  <si>
    <t>SLDC Charges approved by Commission</t>
  </si>
  <si>
    <t>Other Expenses:</t>
  </si>
  <si>
    <t>Actual:</t>
  </si>
  <si>
    <t>Non Tariff Income:</t>
  </si>
  <si>
    <t>ROE  for Petition</t>
  </si>
  <si>
    <t>Transport Division Deficit (Net of RoE and RoIF)</t>
  </si>
  <si>
    <t>Deficit/Surplus for the year approved by Commission</t>
  </si>
  <si>
    <t>Impact on Wage Aagrrement approved by Commssion</t>
  </si>
  <si>
    <t>Impact on Wage Agreement for Petition</t>
  </si>
  <si>
    <t>Depreciation during the Year in MYT Order</t>
  </si>
  <si>
    <t>Depreciation during the Year for Petition</t>
  </si>
  <si>
    <t>Capital Connection Fee for Petition</t>
  </si>
  <si>
    <t>Capital Connection Fee in MYT Order</t>
  </si>
  <si>
    <t>RPS Rebate</t>
  </si>
  <si>
    <t>Rate of Escalation in Consumer Deposit ( as per MYT Order)</t>
  </si>
  <si>
    <t>Rate of Interest on Consumer Deposit (As per MYT Order)</t>
  </si>
  <si>
    <t>Consumer Deposit (in MYT Order)</t>
  </si>
  <si>
    <t>Rate of escalation in NTI (As per MYT Order)</t>
  </si>
  <si>
    <t>Rate of escalation on interest on additional contingency reserve (As per MYT Order)</t>
  </si>
  <si>
    <t>Transport Division Deficit</t>
  </si>
  <si>
    <t>Addition of assets during the year</t>
  </si>
  <si>
    <t>Number of Coonsumers ( for Petition)</t>
  </si>
  <si>
    <t>Nos</t>
  </si>
  <si>
    <t>Escalation rate based on escalation in O&amp;M expeneses</t>
  </si>
  <si>
    <t>Form 17</t>
  </si>
  <si>
    <t>Form 18</t>
  </si>
  <si>
    <t>LT category</t>
  </si>
  <si>
    <t>Mumbai City Limits</t>
  </si>
  <si>
    <t xml:space="preserve"> MYT Formats - Distribution &amp; Retail Supply</t>
  </si>
  <si>
    <t>LT - I</t>
  </si>
  <si>
    <t>Customer Sales</t>
  </si>
  <si>
    <t>FY 2013-14
(Actual)</t>
  </si>
  <si>
    <t>Projected</t>
  </si>
  <si>
    <t>LT - III</t>
  </si>
  <si>
    <t>LT - V</t>
  </si>
  <si>
    <t>LT - VI</t>
  </si>
  <si>
    <t xml:space="preserve">LT - IX (a) </t>
  </si>
  <si>
    <t xml:space="preserve">LT - IX (b) </t>
  </si>
  <si>
    <t>HT - I</t>
  </si>
  <si>
    <t>HT - II</t>
  </si>
  <si>
    <t xml:space="preserve"> Total</t>
  </si>
  <si>
    <t>No. of consumers</t>
  </si>
  <si>
    <t>Single phase</t>
  </si>
  <si>
    <t>Three Phase</t>
  </si>
  <si>
    <t>Base Year</t>
  </si>
  <si>
    <t>FY 2003-04</t>
  </si>
  <si>
    <t>FY 2004-05</t>
  </si>
  <si>
    <t>FY 2005-06</t>
  </si>
  <si>
    <t>FY 2006-07</t>
  </si>
  <si>
    <t>FY 2007-08</t>
  </si>
  <si>
    <t>FY 2008-09</t>
  </si>
  <si>
    <t>YoY CAGR</t>
  </si>
  <si>
    <t>3 Yr CAGR</t>
  </si>
  <si>
    <t>5 Yr CAGR</t>
  </si>
  <si>
    <t>7 Yr CAGR</t>
  </si>
  <si>
    <t>CAGR Considered in MYT Order</t>
  </si>
  <si>
    <t>CAGR Considered for forecast</t>
  </si>
  <si>
    <t>LT - I Residential</t>
  </si>
  <si>
    <t>LT - II (a) Commercial</t>
  </si>
  <si>
    <t>LT - II (b) Commercial</t>
  </si>
  <si>
    <t>LT - II (c) Commercial</t>
  </si>
  <si>
    <t>LT - III Industrial</t>
  </si>
  <si>
    <t>LT - IV (a) Industrial</t>
  </si>
  <si>
    <t>LT - IV (b) Industrial</t>
  </si>
  <si>
    <t>LT - V Adv &amp; Hoardings</t>
  </si>
  <si>
    <t>LT - VI St. Lighting</t>
  </si>
  <si>
    <t>LT - VII (a) Temp - Religious</t>
  </si>
  <si>
    <t>LT - VII (b) Temp - Others</t>
  </si>
  <si>
    <t>LT - VIII Crematorium</t>
  </si>
  <si>
    <t>LT - IX (a) Pub. hosp/Sch.</t>
  </si>
  <si>
    <t>LT - IX (b) Charitable org.</t>
  </si>
  <si>
    <t>HT - I Industry</t>
  </si>
  <si>
    <t>HT - II Commercial</t>
  </si>
  <si>
    <t>HT - III Grp. Housing</t>
  </si>
  <si>
    <t>HT - IV Temp</t>
  </si>
  <si>
    <t>HT V (a) Pub. hosp/Sch. &amp;(b) Charitable org.</t>
  </si>
  <si>
    <t>Energy Sales Projection Considering CAGR (A)</t>
  </si>
  <si>
    <t>CAGR Considered</t>
  </si>
  <si>
    <t>No of consumers</t>
  </si>
  <si>
    <t>Energy Sales Projection Considering New Development (B)</t>
  </si>
  <si>
    <t>Load factor</t>
  </si>
  <si>
    <t>Revised Projection</t>
  </si>
  <si>
    <t>Load Projection in MW</t>
  </si>
  <si>
    <t>Wadala Truck Terminal Development project</t>
  </si>
  <si>
    <t>Dharavi Makeover project</t>
  </si>
  <si>
    <t>Mill Land development project</t>
  </si>
  <si>
    <t>Energy Projection in MU</t>
  </si>
  <si>
    <t>Total Energy Sales Projection (A+B)</t>
  </si>
  <si>
    <t>Slab</t>
  </si>
  <si>
    <t xml:space="preserve">Components of tariff </t>
  </si>
  <si>
    <t>Energy charge (Rs. / kWh)</t>
  </si>
  <si>
    <t>Relevant sales &amp; load/demand data for revenue calculation</t>
  </si>
  <si>
    <t>Revenue from fixed charges
 (Rs. Crore)</t>
  </si>
  <si>
    <t>Revenue from Energy charges (Rs. Crore)</t>
  </si>
  <si>
    <t>Total Revenue from Electricity Business (Rs. Crore)</t>
  </si>
  <si>
    <t>TDLR
(Rs Crore)</t>
  </si>
  <si>
    <t>Total Revenue from Electricity And Transport
(Rs Crore)</t>
  </si>
  <si>
    <t>ABR</t>
  </si>
  <si>
    <t>ACOS</t>
  </si>
  <si>
    <t>ABR/ACOS</t>
  </si>
  <si>
    <t>Total Consumer</t>
  </si>
  <si>
    <t>Single phase meter (Rs./ connection / month)</t>
  </si>
  <si>
    <t>Demand charge (Rs./ kVA / month)</t>
  </si>
  <si>
    <t>Billing Demand (kVA)</t>
  </si>
  <si>
    <t>Fixed charge (Single phase)</t>
  </si>
  <si>
    <t>Fixed charge for kVA demand</t>
  </si>
  <si>
    <t xml:space="preserve">Total Fixed charge </t>
  </si>
  <si>
    <t>0-500</t>
  </si>
  <si>
    <t>Total LT</t>
  </si>
  <si>
    <t>HT-V</t>
  </si>
  <si>
    <t>Total HT</t>
  </si>
  <si>
    <t>Energy Purchase requirement</t>
  </si>
  <si>
    <t>RPS Solar target</t>
  </si>
  <si>
    <t>RPS Solar Requirement</t>
  </si>
  <si>
    <t>RPS Non-Solar target</t>
  </si>
  <si>
    <t>RPS Non-Solar requirement</t>
  </si>
  <si>
    <t>Total RPS Purchase Requirement</t>
  </si>
  <si>
    <t>TPC-G Purchase</t>
  </si>
  <si>
    <t>TPC-G Available for BEST</t>
  </si>
  <si>
    <t>Power Purchase Summary for BEST</t>
  </si>
  <si>
    <t>RPS Solar (Welspun Energy)</t>
  </si>
  <si>
    <t>RPS Non-Solar (Spark Green)</t>
  </si>
  <si>
    <t>RPS Non-Solar (Other)</t>
  </si>
  <si>
    <t>TPC G Purchase</t>
  </si>
  <si>
    <t>Qunatum of Purchase (MU)</t>
  </si>
  <si>
    <t>Installed Capacity (MW)</t>
  </si>
  <si>
    <t>Net Generation FY 2014-15 as per TPC G MYT Order (MU)</t>
  </si>
  <si>
    <t>Net Generation FY 2015-16 as per TPC G MYT Order (MU)</t>
  </si>
  <si>
    <t>BEST Share (%)</t>
  </si>
  <si>
    <t>Net Generation available for BEST FY 2014-15 (MU)</t>
  </si>
  <si>
    <t>Net Generation available for BEST FY 2015-16 (MU)</t>
  </si>
  <si>
    <t>BEST Purchase for FY 2014-15 (MU)</t>
  </si>
  <si>
    <t>BEST Purchase for FY 2015-16 (MU)</t>
  </si>
  <si>
    <t xml:space="preserve">Unit# 4 </t>
  </si>
  <si>
    <t>Unit# 5</t>
  </si>
  <si>
    <t>Unit# 6</t>
  </si>
  <si>
    <t>Unit# 7</t>
  </si>
  <si>
    <t>Unit# 8</t>
  </si>
  <si>
    <t>Bhira</t>
  </si>
  <si>
    <t>Bhivpuri</t>
  </si>
  <si>
    <t>Khopoli</t>
  </si>
  <si>
    <t>Fixed Charges (Rs. Crore)</t>
  </si>
  <si>
    <t xml:space="preserve">Annual Fixed Charges for FY 2014-15 as per TPC G MYT Order </t>
  </si>
  <si>
    <t xml:space="preserve">Annual Fixed Charges for FY 2015-16 as per TPC G MYT Order </t>
  </si>
  <si>
    <t xml:space="preserve">Annual Fixed Charges for BEST for FY 2014-15 </t>
  </si>
  <si>
    <t xml:space="preserve">Annual Fixed Charges for BEST for FY 2015-16 </t>
  </si>
  <si>
    <t>Energy Charges (Rs. Crore)</t>
  </si>
  <si>
    <t>Energy Purchase (MU)</t>
  </si>
  <si>
    <t>Rate of Purchase (Rs. /kWh)</t>
  </si>
  <si>
    <t>TPC G Purchase Summary</t>
  </si>
  <si>
    <t>Quantum of Purchase</t>
  </si>
  <si>
    <t>Fixed Charges</t>
  </si>
  <si>
    <t>Energy Charges</t>
  </si>
  <si>
    <t>Total Cost of Purchase</t>
  </si>
  <si>
    <t>Rate of Purchase</t>
  </si>
  <si>
    <t>Rs. /kWh</t>
  </si>
  <si>
    <t>TPC G Generation data as per MYT Order</t>
  </si>
  <si>
    <t>Fixed charge</t>
  </si>
  <si>
    <t>Hydro -AFC</t>
  </si>
  <si>
    <t>Hydro- Capacity charges</t>
  </si>
  <si>
    <t>Enerrgy Charges</t>
  </si>
  <si>
    <t>Unit# 4 - Oil</t>
  </si>
  <si>
    <t>Unit# 5- Gas</t>
  </si>
  <si>
    <t>Unit# 5- Oil</t>
  </si>
  <si>
    <t>Unit# 5- Coal</t>
  </si>
  <si>
    <t>Unit# 6- Oil &amp; Gas</t>
  </si>
  <si>
    <t>Unit# 6- Coal</t>
  </si>
  <si>
    <t xml:space="preserve">Unit# 7-Gas </t>
  </si>
  <si>
    <t>Unit# 7-RLNG</t>
  </si>
  <si>
    <t>Unit# 8 - Coal</t>
  </si>
  <si>
    <t>Renewable Energy Purchase</t>
  </si>
  <si>
    <t>RPS Solar requirement</t>
  </si>
  <si>
    <t>Total RPS Purchase requirement</t>
  </si>
  <si>
    <t>Non-Solar Purchase from Spark Green</t>
  </si>
  <si>
    <t>EPA Capacity</t>
  </si>
  <si>
    <t>Aux Consumption</t>
  </si>
  <si>
    <t>Avaialability</t>
  </si>
  <si>
    <t>Plant Load Factor</t>
  </si>
  <si>
    <t>Gross Generation</t>
  </si>
  <si>
    <t>Net Generation</t>
  </si>
  <si>
    <t xml:space="preserve">Cost of Renewable energy Purchase </t>
  </si>
  <si>
    <t>Solar Purchase from Welspun energy</t>
  </si>
  <si>
    <t>Rate of Purchase as approved by Commission in Order dated 29 Oct 2013 in Case 92 of 2013</t>
  </si>
  <si>
    <t>Non-Solar Purchase from other Sources</t>
  </si>
  <si>
    <t>Energy Purchase required</t>
  </si>
  <si>
    <t>Renewable Energy Purchase Summary</t>
  </si>
  <si>
    <t>Solar Purchase</t>
  </si>
  <si>
    <t>Non-Solar Purchase</t>
  </si>
  <si>
    <t>Total Renewable Energy Purchase</t>
  </si>
  <si>
    <t xml:space="preserve">Energy Purchase </t>
  </si>
  <si>
    <t xml:space="preserve">Rate of Purchase </t>
  </si>
  <si>
    <t>Distribution Loss (Petition)</t>
  </si>
  <si>
    <t>External Power Purchase/ (Sale)</t>
  </si>
  <si>
    <t>ToD Charges</t>
  </si>
  <si>
    <t>Transport Deficit/Surplus for the year</t>
  </si>
  <si>
    <t xml:space="preserve">Unit Sold </t>
  </si>
  <si>
    <t>Apr</t>
  </si>
  <si>
    <t>May</t>
  </si>
  <si>
    <t>Jun</t>
  </si>
  <si>
    <t>Jul</t>
  </si>
  <si>
    <t>Aug</t>
  </si>
  <si>
    <t>Sep</t>
  </si>
  <si>
    <t>Oct</t>
  </si>
  <si>
    <t>Nov</t>
  </si>
  <si>
    <t>Dec</t>
  </si>
  <si>
    <t>Jan</t>
  </si>
  <si>
    <t>Feb</t>
  </si>
  <si>
    <t>Mar</t>
  </si>
  <si>
    <t>H T Category</t>
  </si>
  <si>
    <t>Impact of MYT Review Order dated 9 January, 2014</t>
  </si>
  <si>
    <t>Revenue gaps including carrying cost (Rs. Crore)</t>
  </si>
  <si>
    <t>Carrying cost for FY 2014-15</t>
  </si>
  <si>
    <t>Revenue gap for FY 2013-14</t>
  </si>
  <si>
    <t>Revenue Gap of FY 2013-14 including carrying cost</t>
  </si>
  <si>
    <t>Revenue gap for FY 2014-15</t>
  </si>
  <si>
    <t>Revenue gap for FY 2014-15 require to be considered</t>
  </si>
  <si>
    <t>d=a+b+c</t>
  </si>
  <si>
    <t>ARR for FY 2015-16</t>
  </si>
  <si>
    <t>Total ARR including past recovery</t>
  </si>
  <si>
    <t>ACoS</t>
  </si>
  <si>
    <t>Rs./kWh</t>
  </si>
  <si>
    <t>Past revenue gaps including carrying cost</t>
  </si>
  <si>
    <t>FAC rates</t>
  </si>
  <si>
    <t>Total Revenue from FAC</t>
  </si>
  <si>
    <t>Regulatory Asset Created</t>
  </si>
  <si>
    <t>Average Cost of Supply for Tariff Determination</t>
  </si>
  <si>
    <t xml:space="preserve">Tariff Increase </t>
  </si>
  <si>
    <t>ACoS at prevailing tariff</t>
  </si>
  <si>
    <t>Proposed Tariff</t>
  </si>
  <si>
    <t>Revenue from FAC to be considered as per MYT Order philosophy</t>
  </si>
  <si>
    <t>NO</t>
  </si>
  <si>
    <t>YES</t>
  </si>
  <si>
    <t>Revenue Gap for recovery in Tariff</t>
  </si>
  <si>
    <t>Form 15.2: Revenue at Proposed Tariff - FY 2015-16</t>
  </si>
  <si>
    <t>Existing Tariff for FY 2015-16</t>
  </si>
  <si>
    <t>Propsoed Tariff for FY 2015-16</t>
  </si>
  <si>
    <t>Cross Subsidy</t>
  </si>
  <si>
    <t>LT -  BPL</t>
  </si>
  <si>
    <t>LT - II (a) - Commercial upto 20 kW</t>
  </si>
  <si>
    <t>LT - II (b) - Commerical &gt;20kW and &lt;=50kW</t>
  </si>
  <si>
    <t>LT - II (c) - Commercial above 50 kW</t>
  </si>
  <si>
    <t>LT - III - Industrial upto 20 kW</t>
  </si>
  <si>
    <t>LT - IV (a) - Industrial above 20 kW</t>
  </si>
  <si>
    <t>LT - IV (b) - Industrial above 100 kW</t>
  </si>
  <si>
    <t>LT - V - Advertisements and Hoardings</t>
  </si>
  <si>
    <t>LT - VI - Street Lighting</t>
  </si>
  <si>
    <t>LT - VII (a) - Temporary Religious</t>
  </si>
  <si>
    <t>LT - VII (b) - Temporary Others</t>
  </si>
  <si>
    <t>LT - VIII - Cremaorium and Burial Grounds</t>
  </si>
  <si>
    <t>LT - IX (a) - Hostpitals and education Inst &lt; 20kW</t>
  </si>
  <si>
    <t>LT - IX (b) - Hostpitals and education Inst above 20kW</t>
  </si>
  <si>
    <t>HT - I - Industry</t>
  </si>
  <si>
    <t>HT - II - Comemrcial</t>
  </si>
  <si>
    <t xml:space="preserve">HT - III - Group Housing </t>
  </si>
  <si>
    <t>HT - IV - Temporary Supply</t>
  </si>
  <si>
    <t>HT-V - Hospitals and Educational Inst.</t>
  </si>
  <si>
    <t>Existing tariff</t>
  </si>
  <si>
    <t>Average Cost of Supply (Rs./kWh) (ACoS)</t>
  </si>
  <si>
    <t>Average Billing Rate (Rs. /KWh) (ABR)</t>
  </si>
  <si>
    <t>Ratio of ABR to ACoS (%)</t>
  </si>
  <si>
    <t>Increase in tariff (%)</t>
  </si>
  <si>
    <t>Average Billing Rate (Rs. /kWh)</t>
  </si>
  <si>
    <t>Revenue from Tariff required</t>
  </si>
  <si>
    <t>Revenue from proposed Tariff</t>
  </si>
  <si>
    <t>Transport Division Loss Recovery Charge (Rs/kWh)</t>
  </si>
  <si>
    <t>Form 1.2</t>
  </si>
  <si>
    <t xml:space="preserve">TPC G </t>
  </si>
  <si>
    <t>Capacity for BEST</t>
  </si>
  <si>
    <t>Normative Aux. Consumption (%)</t>
  </si>
  <si>
    <t>Capacity at G&lt;&gt;T Interface</t>
  </si>
  <si>
    <t>Transmission Loss (%)</t>
  </si>
  <si>
    <t>Capacity at T&lt;&gt;D Interface (MW)</t>
  </si>
  <si>
    <t>Contracted Capacity for FY 2012-13</t>
  </si>
  <si>
    <t>Nature of Contracted capacity as per MYT Order</t>
  </si>
  <si>
    <t>Base Load</t>
  </si>
  <si>
    <t>Peak Load</t>
  </si>
  <si>
    <t>Contracted Capacity for FY 2013-14</t>
  </si>
  <si>
    <t>Renewable Energy (Spark Green)</t>
  </si>
  <si>
    <t>Renewable Energy (Welspun energy)</t>
  </si>
  <si>
    <t>Base Load and Peak Load</t>
  </si>
  <si>
    <t>Peak Demand (MW)</t>
  </si>
  <si>
    <t>REC Procurement for meeting RPO targets</t>
  </si>
  <si>
    <t>Solar RPO taregt for FY 2010-11</t>
  </si>
  <si>
    <t>Solar RPO taregt for FY 2011-12</t>
  </si>
  <si>
    <t>Solar RPO taregt for FY 2012-13</t>
  </si>
  <si>
    <t>Total Soalr REC Purchase requirement</t>
  </si>
  <si>
    <t>Solar REC Floor Price</t>
  </si>
  <si>
    <t>Solar REC Forbearance Price</t>
  </si>
  <si>
    <t>Rs. /MWh</t>
  </si>
  <si>
    <t>Solar REC Procurement Cost</t>
  </si>
  <si>
    <t>Estimated</t>
  </si>
  <si>
    <t>BEST/FY14/01</t>
  </si>
  <si>
    <t>Total Revenue including FAC
(Rs Crore)</t>
  </si>
  <si>
    <t>Energy consumption (MU)</t>
  </si>
  <si>
    <t xml:space="preserve"> Revenue as per Tariff approved in MYT order - - FY 2015-16</t>
  </si>
  <si>
    <t>FY 2015-16 - Approved by Commission</t>
  </si>
  <si>
    <t>Three phase meter (Rs./ connection / month)</t>
  </si>
  <si>
    <t>Revenue (Rs. Crore)</t>
  </si>
  <si>
    <t>MYT Order</t>
  </si>
  <si>
    <t>Average Billig Rate (Rs./kWh)</t>
  </si>
  <si>
    <t>Total Revenue (Rs. Crore)</t>
  </si>
  <si>
    <t>Solar Power purchase rate as per RE Tariff Order</t>
  </si>
  <si>
    <t>Rs. /KWh</t>
  </si>
  <si>
    <t>RPS Solar (Meeting past RPO Targets)</t>
  </si>
  <si>
    <t>Purchase for past Solar RPO</t>
  </si>
  <si>
    <t>Add:Payament of ED and M Tax</t>
  </si>
  <si>
    <t>Furniture  &amp; office equipment (Rs.0.47 crs), Tools (Rs.5.85), Civil engineering works(Rs.0.12crs), Motor vehicle (Rs.2.12 crs.) , Share of G.A. expenses (Rs.0.50 crs.)</t>
  </si>
  <si>
    <t>Capitalisation Proposed</t>
  </si>
  <si>
    <t>Normative</t>
  </si>
  <si>
    <t>BEST Submission</t>
  </si>
  <si>
    <t>O&amp;M Expenses:</t>
  </si>
  <si>
    <t>CPI Index</t>
  </si>
  <si>
    <t>WPI Index</t>
  </si>
  <si>
    <t>Weighted avg. CPI and WPI Index (60:40) ratio</t>
  </si>
  <si>
    <t>WPI</t>
  </si>
  <si>
    <t>Computation of Avg. Depreciation rate</t>
  </si>
  <si>
    <t>Calculation of Interest of loan for FY 2014-15</t>
  </si>
  <si>
    <t>Revenue surplus / (gap)</t>
  </si>
  <si>
    <t>2015-16</t>
  </si>
  <si>
    <t>Diiferential tariff</t>
  </si>
  <si>
    <t>Thermal</t>
  </si>
  <si>
    <t>Hydro</t>
  </si>
  <si>
    <t>Aux Consumption (%)</t>
  </si>
  <si>
    <t>Gross Generation for FY 2014-15 (MU)</t>
  </si>
  <si>
    <t>Gross Generation for FY 2015-16 (MU)</t>
  </si>
  <si>
    <t>Net Generation for FY 2014-15 (MU)</t>
  </si>
  <si>
    <t>Net Generation for FY 2015-16 (MU)</t>
  </si>
  <si>
    <t>Actual Power Purchase BEST - H1 FY 2014-15</t>
  </si>
  <si>
    <t>FY 2014-15 (H1)</t>
  </si>
  <si>
    <t>Aux. Consumption in TPC G MYT Order (%)</t>
  </si>
  <si>
    <t>BEST Capacity</t>
  </si>
  <si>
    <t>at T&lt;&gt;D interrface</t>
  </si>
  <si>
    <t>Spark green</t>
  </si>
  <si>
    <t>Welspun</t>
  </si>
  <si>
    <t>Accad</t>
  </si>
  <si>
    <t>Load factor (%)</t>
  </si>
  <si>
    <t>at G&lt;&gt;T interface</t>
  </si>
  <si>
    <t>Commission Computation in MYT Order</t>
  </si>
  <si>
    <t>Source of power</t>
  </si>
  <si>
    <t>Quantum (MU)</t>
  </si>
  <si>
    <t xml:space="preserve">(Rs. Crore) </t>
  </si>
  <si>
    <t>TPC-G unit 4 to 7</t>
  </si>
  <si>
    <t>TPC-G Unit 6</t>
  </si>
  <si>
    <t>TPC-G Unit-8</t>
  </si>
  <si>
    <t>TPC Thermal</t>
  </si>
  <si>
    <t>TPC-G Hydro</t>
  </si>
  <si>
    <t>FAC charges (Unit 4 to 7)</t>
  </si>
  <si>
    <t>Thermal Incentive</t>
  </si>
  <si>
    <t>TPC-G Total</t>
  </si>
  <si>
    <t>Carrying Cost for FY 2015-16 (half yearly)</t>
  </si>
  <si>
    <t>4 Yr CAGR</t>
  </si>
  <si>
    <t>LT-IIA +9A</t>
  </si>
  <si>
    <t>LT-II-B &amp; C + LT 9B</t>
  </si>
  <si>
    <t>HT-II + HT V</t>
  </si>
  <si>
    <t>Delayed payment Charges &amp; Interest paid to TPC-G</t>
  </si>
  <si>
    <t>SCRAPPED ASSETS  DETAILS FOR  F.Y.2012-13</t>
  </si>
  <si>
    <t xml:space="preserve">CAPACITORS  </t>
  </si>
  <si>
    <t>C0290</t>
  </si>
  <si>
    <t xml:space="preserve">METERS DAMAGED           </t>
  </si>
  <si>
    <t>M0215</t>
  </si>
  <si>
    <t>33,14,190.00</t>
  </si>
  <si>
    <t xml:space="preserve">METERS LOST / STOLEN   </t>
  </si>
  <si>
    <t>M0209</t>
  </si>
  <si>
    <t xml:space="preserve">OTHER MACHINERY (BATTERY ETC) </t>
  </si>
  <si>
    <t>O0053</t>
  </si>
  <si>
    <t xml:space="preserve">RS CAPACITOR </t>
  </si>
  <si>
    <t>R0255</t>
  </si>
  <si>
    <t>DSS TRANSFORMER</t>
  </si>
  <si>
    <t>S0411</t>
  </si>
  <si>
    <t>69,58,047.00</t>
  </si>
  <si>
    <t>DSS SWITCHGEAR</t>
  </si>
  <si>
    <t>S0338</t>
  </si>
  <si>
    <t>1,58,88,226.00</t>
  </si>
  <si>
    <t xml:space="preserve">SCRAPPING OF MOTOR VEHICLES </t>
  </si>
  <si>
    <t>S0351</t>
  </si>
  <si>
    <t>15,23,359.00</t>
  </si>
  <si>
    <r>
      <t>SUPPLY            TOTAL</t>
    </r>
    <r>
      <rPr>
        <sz val="12"/>
        <color rgb="FF000000"/>
        <rFont val="Calibri"/>
        <family val="2"/>
        <scheme val="minor"/>
      </rPr>
      <t xml:space="preserve"> :</t>
    </r>
  </si>
  <si>
    <t>SCRAPPED ASSETS  DETAILS FOR  F.Y.2013-14</t>
  </si>
  <si>
    <t>53,24,001.00</t>
  </si>
  <si>
    <t>1,30,500.00</t>
  </si>
  <si>
    <t>MACHINE TOOLS &amp; EQUIPMENT</t>
  </si>
  <si>
    <t>M0245</t>
  </si>
  <si>
    <t>2,66,186.00</t>
  </si>
  <si>
    <t>48,64,635.00</t>
  </si>
  <si>
    <t>1,12,40,063.00</t>
  </si>
  <si>
    <t>1,06,899.00</t>
  </si>
  <si>
    <t>Rate of Purchase based on contracted biomass &amp; Bagasse</t>
  </si>
  <si>
    <t>LTI</t>
  </si>
  <si>
    <t>L2 a + LT9 a</t>
  </si>
  <si>
    <t>LT 2b + C+ LT9b</t>
  </si>
  <si>
    <t>Unit# 6 (technical minimum) (Base Load)</t>
  </si>
  <si>
    <t>Unit# 6 (peak load)</t>
  </si>
  <si>
    <t>required revenue from EC</t>
  </si>
  <si>
    <t>LF</t>
  </si>
  <si>
    <t>Cumulative revenue gap till FY 2014-15</t>
  </si>
  <si>
    <t>Opening</t>
  </si>
  <si>
    <t>Recovery</t>
  </si>
  <si>
    <t>Closing</t>
  </si>
  <si>
    <t>Average</t>
  </si>
  <si>
    <t>Intrest rate</t>
  </si>
  <si>
    <t>FY 2004-05 to FY 2008-09</t>
  </si>
  <si>
    <t>Avg. TDLR (Rs./kWh)</t>
  </si>
  <si>
    <t>Revenue Gap at the end of FY 2015-16</t>
  </si>
  <si>
    <t>Cumulative revenue gap at the end of FY 2014-15</t>
  </si>
  <si>
    <t>Addition of revenue gap for FY 2015-16</t>
  </si>
  <si>
    <t>Intrest rate for carrying cost</t>
  </si>
  <si>
    <t>Closing revenue gap at end of FY 2015-16 including carrying cost</t>
  </si>
  <si>
    <t>Carrying cost</t>
  </si>
  <si>
    <t>Average Cost of Supply after Tariff Determination</t>
  </si>
  <si>
    <t>Fixed charges</t>
  </si>
  <si>
    <t>Revised estimates</t>
  </si>
  <si>
    <t>Past Revenue gaps including carrying cost (Rs. Crore) for FY 2013-14</t>
  </si>
  <si>
    <t>Mid Term Review  Formats - BEST</t>
  </si>
  <si>
    <t>Mid Term Review Formats - BEST</t>
  </si>
  <si>
    <t>Revised Estimates</t>
  </si>
  <si>
    <t>Form 3.4</t>
  </si>
  <si>
    <t>Normative O&amp;M expenses</t>
  </si>
  <si>
    <t>Normative Interest on lon term loan capital</t>
  </si>
  <si>
    <t>Actual Interest on long term loan capital</t>
  </si>
  <si>
    <t>Return as interest on Internal Fund</t>
  </si>
  <si>
    <t xml:space="preserve">LT-1 </t>
  </si>
  <si>
    <t xml:space="preserve">Billing Meters </t>
  </si>
  <si>
    <t>Impact of ATE Judgment and review of MYT Order</t>
  </si>
  <si>
    <t>FY 2012-13
(Actual)</t>
  </si>
  <si>
    <t>Form 5.2:  Capitalisation for ensuing years</t>
  </si>
  <si>
    <t>Brihanmumbai Electric Supply and Transport</t>
  </si>
  <si>
    <t>Year: Current Year (FY 14-15)</t>
  </si>
  <si>
    <t>RSS</t>
  </si>
  <si>
    <t>Revamp</t>
  </si>
  <si>
    <t>BEST/FY07/01C</t>
  </si>
  <si>
    <t>N-DPR</t>
  </si>
  <si>
    <t>DSS</t>
  </si>
  <si>
    <t>cable</t>
  </si>
  <si>
    <t>meter</t>
  </si>
  <si>
    <t>scada</t>
  </si>
  <si>
    <t>StLtg</t>
  </si>
  <si>
    <t>furniture</t>
  </si>
  <si>
    <t>New Receiving Statations (WTT Development project)</t>
  </si>
  <si>
    <t>New Distribution Substation  (WTT Development project)</t>
  </si>
  <si>
    <t>BEST/FY15/06</t>
  </si>
  <si>
    <t>Capex</t>
  </si>
  <si>
    <t xml:space="preserve"> Year (FY 15-16)</t>
  </si>
  <si>
    <t xml:space="preserve">Estimated </t>
  </si>
  <si>
    <t>BEST/FY16/02</t>
  </si>
  <si>
    <t>BEST/FY16/06</t>
  </si>
  <si>
    <t>*Includes in revised Employee expenses at S. No. (2)</t>
  </si>
  <si>
    <t>FY 2014-15 (H2)</t>
  </si>
  <si>
    <t>FAC charges</t>
  </si>
  <si>
    <t xml:space="preserve">FY 2014-15 (H1) </t>
  </si>
  <si>
    <t>FAC Charges</t>
  </si>
  <si>
    <t>Energy rate calculations</t>
  </si>
  <si>
    <t>Unit 5</t>
  </si>
  <si>
    <t>Unit 7</t>
  </si>
  <si>
    <t>Unit 6 Generation</t>
  </si>
  <si>
    <t>H1 of FY 2014-15</t>
  </si>
  <si>
    <t>H2 of FY 2014-15</t>
  </si>
  <si>
    <t>U4</t>
  </si>
  <si>
    <t>U5</t>
  </si>
  <si>
    <t>U6</t>
  </si>
  <si>
    <t>U7</t>
  </si>
  <si>
    <t>Computation of FAC refund amount</t>
  </si>
  <si>
    <t>Opening balance as on March 2014</t>
  </si>
  <si>
    <t xml:space="preserve">Interest rate </t>
  </si>
  <si>
    <t>Refund of FAC as per directives in Order in Case 88 of 2014</t>
  </si>
  <si>
    <t>Refund of FAC in FY 2014-15</t>
  </si>
  <si>
    <t>Refund of FAC in FY 2015-16</t>
  </si>
  <si>
    <t xml:space="preserve">Form 3 :  Summary - Operations and Maintenance Expenses </t>
  </si>
  <si>
    <t>Form 15: Transport Deficit</t>
  </si>
  <si>
    <t>Form 16: Impact of ATE Judgment and review of MYT Order</t>
  </si>
  <si>
    <t>ARR Summary</t>
  </si>
  <si>
    <t>Wheeling Forecast</t>
  </si>
  <si>
    <t>Not Applicable</t>
  </si>
  <si>
    <t>Form 1 (a)</t>
  </si>
  <si>
    <t>Form 1 (a):  Wheeling Forecast</t>
  </si>
  <si>
    <r>
      <t xml:space="preserve">                                </t>
    </r>
    <r>
      <rPr>
        <b/>
        <sz val="11"/>
        <rFont val="Times New Roman"/>
        <family val="1"/>
      </rPr>
      <t xml:space="preserve">    </t>
    </r>
  </si>
  <si>
    <t>(MU)</t>
  </si>
  <si>
    <t>Consumer Category &amp; Consumption Slab</t>
  </si>
  <si>
    <t>Category-1</t>
  </si>
  <si>
    <t>Category-n</t>
  </si>
  <si>
    <r>
      <t xml:space="preserve">              </t>
    </r>
    <r>
      <rPr>
        <b/>
        <sz val="11"/>
        <rFont val="Times New Roman"/>
        <family val="1"/>
      </rPr>
      <t xml:space="preserve">               </t>
    </r>
  </si>
  <si>
    <t xml:space="preserve"> Total                      (Estimated )</t>
  </si>
  <si>
    <t>Year: Ensuing Years</t>
  </si>
  <si>
    <t>FY 15</t>
  </si>
  <si>
    <t>FY 16</t>
  </si>
  <si>
    <t>Past Sales Data</t>
  </si>
  <si>
    <t>FY 06</t>
  </si>
  <si>
    <t>FY 07</t>
  </si>
  <si>
    <t>FY08</t>
  </si>
  <si>
    <t>FY 09</t>
  </si>
  <si>
    <t>FY 10</t>
  </si>
  <si>
    <t>5 Year CAGR</t>
  </si>
  <si>
    <t>Year: FY 2012-13</t>
  </si>
  <si>
    <t>Year: FY 2013-14</t>
  </si>
  <si>
    <t>Network details</t>
  </si>
  <si>
    <t>Form 3.5</t>
  </si>
  <si>
    <t>Form 3.1 :  Normative O&amp;M expenses</t>
  </si>
  <si>
    <t xml:space="preserve">Form 3.4 : A&amp;G Expenses </t>
  </si>
  <si>
    <t xml:space="preserve">Form 3.3 : Employee Expenses </t>
  </si>
  <si>
    <t>Form 3.5 :  Repair and Maintenance  Expenses</t>
  </si>
  <si>
    <t>Capital Expenditure and Capitalisation Plan</t>
  </si>
  <si>
    <t>Assets &amp; Depreciation as per books of accounts</t>
  </si>
  <si>
    <t>Form 8: Bad Debts Written Off/ Provisioning of bad and doubtful debts</t>
  </si>
  <si>
    <t>Bad Debts Written Off/Provisioning of bad and doubtful debts</t>
  </si>
  <si>
    <t>Collection efficiency</t>
  </si>
  <si>
    <t>Distribution Losses and Energy Balance</t>
  </si>
  <si>
    <t>Incentive for Distribution Loss reduction</t>
  </si>
  <si>
    <t>Form 2.1</t>
  </si>
  <si>
    <t>Intra-state Transmission Charges</t>
  </si>
  <si>
    <t>Form 14.1</t>
  </si>
  <si>
    <t>Revenue Gap at the end of control period</t>
  </si>
  <si>
    <t>Impact of Refund of FAC (Case No. 88 of 2014)</t>
  </si>
  <si>
    <t>Impact of ATE Judgment of Disallowed RE Power Purchase (Appeal No. 265 of 2012)</t>
  </si>
  <si>
    <t>Form 4 - Capital Expenditure and Capitalisation Plan</t>
  </si>
  <si>
    <t>Form 5: Assets &amp; Depreciation</t>
  </si>
  <si>
    <t>Form 5.1 : Assets and depreciation as per books of accounts</t>
  </si>
  <si>
    <t>Form 6: Interest Expenses</t>
  </si>
  <si>
    <t>Form 7:  Other Expenses</t>
  </si>
  <si>
    <t>Form 12: Wire and Supply availability</t>
  </si>
  <si>
    <t>Form 13: Return as interest on Internal Fund</t>
  </si>
  <si>
    <t>Form 18: Revenue Gap at the end of Control period</t>
  </si>
  <si>
    <t>Mid Term Review Formats</t>
  </si>
  <si>
    <t>Form 1.1 : Monthwise Sales</t>
  </si>
  <si>
    <t>Form 1.3</t>
  </si>
  <si>
    <t>Customer Sales details</t>
  </si>
  <si>
    <t>Revised Computation of past revenue gaps as submitted by BEST</t>
  </si>
  <si>
    <t>Less: Establishment of CAS, T&amp;E, ST.LTG. &amp; Electrical Works Depts.</t>
  </si>
  <si>
    <t>Source wise interest expenses</t>
  </si>
  <si>
    <t>Form 6.1</t>
  </si>
  <si>
    <t>Form 6.1: Interest Expenses (Actual Source wise details)</t>
  </si>
  <si>
    <t>Normative Distribution loss  (target)</t>
  </si>
  <si>
    <t>HT V (a) Hosptitals and Educational Inst.</t>
  </si>
  <si>
    <t>LT - IX (a)  Hosp. and Educational Inst.</t>
  </si>
  <si>
    <t>LT - IX (b)  Hosp. and Educational Inst.</t>
  </si>
  <si>
    <t>Form 3.2:  Distribution Network Details</t>
  </si>
  <si>
    <t xml:space="preserve">Actual </t>
  </si>
  <si>
    <t>FY 11</t>
  </si>
  <si>
    <t>FY 12</t>
  </si>
  <si>
    <t>Consumer Details</t>
  </si>
  <si>
    <t>LT consumers (No.)</t>
  </si>
  <si>
    <t>HT consumers (No.)</t>
  </si>
  <si>
    <t>Total No of consumers (No.)</t>
  </si>
  <si>
    <t>Network Details</t>
  </si>
  <si>
    <t>Number of Receiving Substations (No.)</t>
  </si>
  <si>
    <t>Capacity of Substations (kVA)</t>
  </si>
  <si>
    <t>Total Length (ckt-km)</t>
  </si>
  <si>
    <t>LT Line Length (ckt-km)</t>
  </si>
  <si>
    <t>11 kV Line Length  (ckt-km)</t>
  </si>
  <si>
    <t>22/33 kV Line Length (ckt-km)</t>
  </si>
  <si>
    <t>Total Sales (MU)</t>
  </si>
  <si>
    <t>LT Sales (MU)</t>
  </si>
  <si>
    <t>HT Sales (MU)</t>
  </si>
  <si>
    <t>33 kV Line Length (ckt-km)</t>
  </si>
  <si>
    <t>Form 11 : Collection Efficiency</t>
  </si>
  <si>
    <t xml:space="preserve">LT I    </t>
  </si>
  <si>
    <t xml:space="preserve">LT II a </t>
  </si>
  <si>
    <t xml:space="preserve">LT II b </t>
  </si>
  <si>
    <t xml:space="preserve">LT II c </t>
  </si>
  <si>
    <t xml:space="preserve">LT III  </t>
  </si>
  <si>
    <t xml:space="preserve">LT IV a </t>
  </si>
  <si>
    <t>LT IV b</t>
  </si>
  <si>
    <t>LT V</t>
  </si>
  <si>
    <t xml:space="preserve">LT VI   </t>
  </si>
  <si>
    <t>LT VII a</t>
  </si>
  <si>
    <t>LT VII b</t>
  </si>
  <si>
    <t xml:space="preserve">LT VIII </t>
  </si>
  <si>
    <t>LT IX a</t>
  </si>
  <si>
    <t>LT IX b</t>
  </si>
  <si>
    <t xml:space="preserve">HT I    </t>
  </si>
  <si>
    <t xml:space="preserve">HT II   </t>
  </si>
  <si>
    <t xml:space="preserve">HT III  </t>
  </si>
  <si>
    <t xml:space="preserve">HT IV   </t>
  </si>
  <si>
    <t>HT V</t>
  </si>
  <si>
    <t>Total R&amp;M Expenses</t>
  </si>
  <si>
    <t>RPS- Meeting past RPO targets</t>
  </si>
  <si>
    <t>Form :  Aggregate Revenue Requirement - Summary Sheet</t>
  </si>
  <si>
    <t>Form 1.2: Distribution Losses &amp; Energy Balance</t>
  </si>
  <si>
    <t>Form 1.3: Incentive for Distribution Loss Reduction</t>
  </si>
  <si>
    <t>LT-6 Street ltg.</t>
  </si>
  <si>
    <t>Revenue for FY 2012-13 (Actual)</t>
  </si>
  <si>
    <t>Revenue for FY 2013-14 (Actual)</t>
  </si>
  <si>
    <t>Form 14.1: Revenue at Existing Tariff - FY 2014-15 (As per MYT Order)</t>
  </si>
  <si>
    <t>Less: Revenue collected from Vigilence drive</t>
  </si>
  <si>
    <t>Add: Payment made for ED and M.Tax</t>
  </si>
  <si>
    <t>Year: FY 2012-13 (Actual)</t>
  </si>
  <si>
    <t>(Kwh)</t>
  </si>
  <si>
    <t>(kwh)</t>
  </si>
  <si>
    <t>FAC refund (Impact of case 88 of 2014)</t>
  </si>
  <si>
    <t>Revenue Gap for FY 2015-16 (Rs. Crore)</t>
  </si>
  <si>
    <t>Revenue Gap</t>
  </si>
  <si>
    <t>New Devlopment</t>
  </si>
  <si>
    <t>Sales actual</t>
  </si>
  <si>
    <t>Less: Revenue from Tariff</t>
  </si>
  <si>
    <t>Less: Revenue Collected from Vigilance Drive</t>
  </si>
  <si>
    <t>Transport</t>
  </si>
  <si>
    <t>Transport deficit</t>
  </si>
  <si>
    <t>Less: RoE and RoIF</t>
  </si>
  <si>
    <t>Total Transport deficit allowed</t>
  </si>
  <si>
    <t>ARR Supply</t>
  </si>
  <si>
    <t>ARR Transport</t>
  </si>
  <si>
    <t>Deficit of Transport Division (as per audited/estimated)</t>
  </si>
  <si>
    <t>Revenue from TDLR</t>
  </si>
  <si>
    <t>Total Revenue surplus / (gap)</t>
  </si>
  <si>
    <t>Transport Division</t>
  </si>
  <si>
    <t>Scenario 1</t>
  </si>
  <si>
    <t>Scenario 2</t>
  </si>
  <si>
    <t>Scenario 3</t>
  </si>
  <si>
    <t>Transport deficit as per actual/revised budget</t>
  </si>
  <si>
    <t>Scenario 4</t>
  </si>
  <si>
    <t>Consdiered in MTR Petition</t>
  </si>
  <si>
    <t>Scenario 5</t>
  </si>
  <si>
    <t>Scenario 2A</t>
  </si>
  <si>
    <t>Scenario 2B</t>
  </si>
  <si>
    <t>BEST Undertaking</t>
  </si>
  <si>
    <t>Mumbai</t>
  </si>
  <si>
    <t>Annual Fixed Charges for FY 2014-15 as per TPC G MTR Petition</t>
  </si>
  <si>
    <t>Annual Fixed Charges for FY 2015-16 as per TPC G MTR Petition</t>
  </si>
  <si>
    <t>Scenario 2A- revised RoE</t>
  </si>
  <si>
    <t>Net entitlement after sharing of gain/(loss)</t>
  </si>
  <si>
    <t xml:space="preserve">LT-6 </t>
  </si>
  <si>
    <t>April to Dec</t>
  </si>
  <si>
    <t>Jan to Mar</t>
  </si>
  <si>
    <t>Apr - Dec</t>
  </si>
  <si>
    <t>Unit of TPC-G</t>
  </si>
  <si>
    <t>Power Purchase Quantum (MU)</t>
  </si>
  <si>
    <t>Variable Charges (Rs/KWh)</t>
  </si>
  <si>
    <t>Total Power Purchase Cost            (Rs Crore)</t>
  </si>
  <si>
    <t xml:space="preserve">Thermal </t>
  </si>
  <si>
    <t>Unit-4</t>
  </si>
  <si>
    <t>Unit-5</t>
  </si>
  <si>
    <t>Unit-6</t>
  </si>
  <si>
    <t>Unit-7</t>
  </si>
  <si>
    <t>Unit-8</t>
  </si>
  <si>
    <t>Hydro (Rebate)</t>
  </si>
  <si>
    <t>Hydro (Incentive)</t>
  </si>
  <si>
    <t>Apr to Dec</t>
  </si>
  <si>
    <t xml:space="preserve">Jan to Mar </t>
  </si>
  <si>
    <t>Fixed/Capacity Charges
 (Rs Crore)</t>
  </si>
  <si>
    <t>Total Variable Cost 
(Rs Crore)</t>
  </si>
  <si>
    <t>REVISED PETITION</t>
  </si>
  <si>
    <t>Jan - Mar</t>
  </si>
  <si>
    <t>Carrying cost for FY 2015-16</t>
  </si>
  <si>
    <t>Closing revenue gap at end of FY 2015-16 including carrying cost (1+3+4)</t>
  </si>
  <si>
    <t>FY 2016-17</t>
  </si>
  <si>
    <t>FY 2017-18</t>
  </si>
  <si>
    <t>FY 2018-19</t>
  </si>
  <si>
    <t>FY 2019-20</t>
  </si>
  <si>
    <t>FY 2020-21</t>
  </si>
  <si>
    <t>Opening balance (Rs. Crore)</t>
  </si>
  <si>
    <t>Recovery (Rs. Crore)</t>
  </si>
  <si>
    <t>Closing balance (Rs. Crore)</t>
  </si>
  <si>
    <t>Avg. balance (Rs. Crore)</t>
  </si>
  <si>
    <t>Interest rate (%)</t>
  </si>
  <si>
    <t>Carrying Cost (Rs. Crore)</t>
  </si>
  <si>
    <t>Total Recovery (Rs. Crore)</t>
  </si>
  <si>
    <t>Avg. Cost (Rs./kWh)</t>
  </si>
  <si>
    <t>Proposed Tariff 
(As approved in MYT Order for FY 2015-16)</t>
  </si>
  <si>
    <t>Existing tariff to ACOS</t>
  </si>
  <si>
    <t>Proposed Tariff to ACOS</t>
  </si>
  <si>
    <t>Revised Petition</t>
  </si>
  <si>
    <t>% Change</t>
  </si>
  <si>
    <t>Exisitng Tariff</t>
  </si>
  <si>
    <t>Proposed tariff (as approved in MYT Order)</t>
  </si>
  <si>
    <t>No</t>
  </si>
  <si>
    <t>Gross Energy (Actual/ Projected) (MU)</t>
  </si>
  <si>
    <t>Solar RPO target</t>
  </si>
  <si>
    <t>Actual/Estimated Purchase for meeting Solar RPO target</t>
  </si>
  <si>
    <t>Cumulative Shortfall (MU)</t>
  </si>
  <si>
    <t>Welspun Energy (MU)</t>
  </si>
  <si>
    <t>Short Term Contract (MU)</t>
  </si>
  <si>
    <t>Yearly Shortfall/</t>
  </si>
  <si>
    <t>(surplus) (MU)</t>
  </si>
  <si>
    <t>RE Purchase</t>
  </si>
  <si>
    <t>O&amp;M Charges Norms</t>
  </si>
  <si>
    <t>O&amp;M Charges</t>
  </si>
  <si>
    <t>Earlier Petition</t>
  </si>
  <si>
    <t>Interim Relief / Wage Settlement (arrears)</t>
  </si>
  <si>
    <t>Rinfra-D</t>
  </si>
  <si>
    <t>TPC-D</t>
  </si>
  <si>
    <t>Changeover Sales</t>
  </si>
  <si>
    <t xml:space="preserve">Sales </t>
  </si>
  <si>
    <t>TDLR (BEST sales)</t>
  </si>
  <si>
    <t>TDLR (all Sales sales)</t>
  </si>
  <si>
    <t>Weighted Average SBI PLR for FY 2007-08</t>
  </si>
  <si>
    <t>Miscellaneous Receipts</t>
  </si>
  <si>
    <t xml:space="preserve">LT IV (a) and (b) </t>
  </si>
  <si>
    <t>LT VII (a) &amp; (b)</t>
  </si>
  <si>
    <t>Actual FY 2014-15</t>
  </si>
  <si>
    <t>Oct'14</t>
  </si>
  <si>
    <t>Nov'14</t>
  </si>
  <si>
    <t>Dec'14</t>
  </si>
  <si>
    <t>Jan'15</t>
  </si>
  <si>
    <t>Feb'15</t>
  </si>
  <si>
    <t>March'15</t>
  </si>
  <si>
    <t>Bilateral Rebate</t>
  </si>
  <si>
    <t>Payement made to TPC-G for  Revised Supplementory Bills for prior period</t>
  </si>
  <si>
    <t>Payement made to MSLDC for Final FBSM Bills for prior period</t>
  </si>
  <si>
    <t>Remark:</t>
  </si>
  <si>
    <t>1)Pool Imbalance units shown for FY 2014-15 is the derived balancing figure and it is  summation of monthly derived Pool imbalalnce units for FY 2014-15. However, these Pool Imbalalnce Units may change after finalisation of FBSM Bills by MSLDC for FY 2014-15.</t>
  </si>
  <si>
    <t>Bilateral rebate</t>
  </si>
  <si>
    <t>Prior period payament to TPC-G</t>
  </si>
  <si>
    <t>Revenue for FY 2014-15 (Actual)</t>
  </si>
  <si>
    <t>Units sold and Revenue Earned for the Year 2014-15</t>
  </si>
  <si>
    <t>Billing Meters as per RM 03 of Sep 2014</t>
  </si>
  <si>
    <t>Revenue Statement FY 2014-15</t>
  </si>
  <si>
    <t>Interest from April 2014 to January 2015</t>
  </si>
  <si>
    <t>Fixed/Capacity Charges</t>
  </si>
  <si>
    <t xml:space="preserve"> (Rs Crore)</t>
  </si>
  <si>
    <t>Total Variable Cost</t>
  </si>
  <si>
    <t>(Rs Crore)</t>
  </si>
  <si>
    <t> -</t>
  </si>
  <si>
    <t>Carrying Cost for FY 2007-08 (half yearly)</t>
  </si>
  <si>
    <t>Carrying Cost for FY 2011-12 (half yearly)</t>
  </si>
  <si>
    <t>Carrying Cost for FY 2009-10 (half yearly)</t>
  </si>
  <si>
    <t>Carrying Cost for FY 2010-11 (half yearly)</t>
  </si>
  <si>
    <t>Tariff for FY 2014-15 as approved in MYT Order</t>
  </si>
  <si>
    <t>e=c/a</t>
  </si>
  <si>
    <t>f=d/a</t>
  </si>
  <si>
    <t>g=(d/c)-1</t>
  </si>
  <si>
    <t>ABR (Rs./kWh)</t>
  </si>
  <si>
    <t>Power Purchase (MU)</t>
  </si>
  <si>
    <t>Power Purchase Cost (Rs. Crore)</t>
  </si>
  <si>
    <t xml:space="preserve">Unbilled Standby Energy </t>
  </si>
  <si>
    <t>CUF as per PPA</t>
  </si>
  <si>
    <t>Interest paid to consumer on refund of FAC</t>
  </si>
  <si>
    <t>Total Refund of FAC excluding Interest</t>
  </si>
  <si>
    <t>FAC as per 88 of 2014</t>
  </si>
  <si>
    <t>Z-FAC</t>
  </si>
  <si>
    <t>Form 2: Power Purchase Expenses (FY 2014-15) (As on 26-05-2015)</t>
  </si>
  <si>
    <t>Apr'14</t>
  </si>
  <si>
    <t>May-14</t>
  </si>
  <si>
    <t>Jun'14</t>
  </si>
  <si>
    <t>Jul'14</t>
  </si>
  <si>
    <t>Aug-14</t>
  </si>
  <si>
    <t>Sep'14</t>
  </si>
  <si>
    <t>Pool Imbalance Units</t>
  </si>
  <si>
    <t>Rs.Cr.</t>
  </si>
  <si>
    <t>Standby Energy</t>
  </si>
  <si>
    <t>FY 2014-15 (Actual+ Projections)</t>
  </si>
  <si>
    <t>2) Cost of Pool Imbalance units is shown for Apr-14 to Sept-14  is based on FBSM Bills received from MSLDC upto September-2014. Cost of Pool Imbalance units from Oct-14 to Mar-15, is projected by considering Avg. of Rs.3.77/kWh (Avg. of Pool Imbalance from Apr-14 to Sept-14)</t>
  </si>
  <si>
    <t xml:space="preserve">3) BEST had availed Standby Power support from MSEDCL during the month of April-2014 to March-2015. However, Bills are received from MSEDCL for the month of April-2014 to August-2014. Therefore, Standby Energy Purchase for Apr-14 to Aug-14 is based on bills received from MSEDCL for the months of April-2014 to August-2014 only. From Sept-14 to Mar-15, Stand by Energy cost is projected considering Avg.Rate of Rs. 5.50/kWh (Avg of Standby Energy from Apr-14 to Aug-14) </t>
  </si>
  <si>
    <t>4) Above Power purchase cost (Pool Imbaalnce &amp; Standby Energy) is projected as discussed with Supdt-R &amp; Consultant.</t>
  </si>
  <si>
    <t>Actual                            (Apr-14 to Sept-14)</t>
  </si>
  <si>
    <t>Projection                            (Oct-14 to Mar-15)</t>
  </si>
  <si>
    <t>Actual                    (Apr-14 to Aug-14)</t>
  </si>
  <si>
    <t>Projection                            (Sept-14 to Mar-15)</t>
  </si>
  <si>
    <t>Form 2.1: Source wise - Power Purchase Expenses for TPC-G</t>
  </si>
  <si>
    <t>Generation Capacity(MW)</t>
  </si>
  <si>
    <t>% of total power procurement from TPC-G</t>
  </si>
  <si>
    <t>Fixed/Capacity Charges (Rs Crore)</t>
  </si>
  <si>
    <t>Total Variable Cost (Rs Crore)</t>
  </si>
  <si>
    <t>Fixed/Capacity Charges (Rs/KWh)</t>
  </si>
  <si>
    <t>Add:Payment of ED and M Tax</t>
  </si>
  <si>
    <t>Source wise Power Purchase for TPC-G</t>
  </si>
  <si>
    <t>Form 2.2</t>
  </si>
  <si>
    <t>Petition*</t>
  </si>
  <si>
    <t>Impact of ATE Judgment regarding disallowed RE Power Purchase</t>
  </si>
  <si>
    <t>Per unit Cost</t>
  </si>
  <si>
    <t>Collection Efficiency (%)</t>
  </si>
  <si>
    <t>Carrying cost for FY 2013-14</t>
  </si>
  <si>
    <t>BEST/FY09/02</t>
  </si>
  <si>
    <t>Prior period payment to MSLDC on account of FBSM bills</t>
  </si>
  <si>
    <t>Calculation of Interest of loan for FY 2015-16</t>
  </si>
  <si>
    <t>Syndicate Bank</t>
  </si>
  <si>
    <t>Employee Expenses (excluding impact of wage agreement)</t>
  </si>
  <si>
    <t>FAC rates approved in MYT Order</t>
  </si>
  <si>
    <t>Form 20</t>
  </si>
  <si>
    <t>Form 20 : Estimated Revenue from FAC for FY 2015-16</t>
  </si>
  <si>
    <t>Estimated Revenue from FAC for FY 2015-16</t>
  </si>
  <si>
    <t>Estimated Z-factor FAC</t>
  </si>
  <si>
    <t>Estimated revenue from Z-Factor FAC</t>
  </si>
  <si>
    <t>Estimated Refund of FAC as per Case 88 of 2014</t>
  </si>
  <si>
    <t>Estimated total revenue from FAC</t>
  </si>
  <si>
    <t>Estimated Revenue from FAC rates approved in MYT Order</t>
  </si>
  <si>
    <t>Apr-to Aug FY 2014-15</t>
  </si>
  <si>
    <t>Total FY 2014-15</t>
  </si>
  <si>
    <t>Apr-to Aug FY 2015-16</t>
  </si>
  <si>
    <t>Total FY 2015-16 (MU)</t>
  </si>
  <si>
    <t>K-factor</t>
  </si>
  <si>
    <t>Estimated revenue from FAC refund (Case 88 of 2014)</t>
  </si>
  <si>
    <t>Avg. FAC</t>
  </si>
  <si>
    <t>FAC refund</t>
  </si>
  <si>
    <t>Total Power Purchase rate (Rs./kWh)</t>
  </si>
  <si>
    <t>Source</t>
  </si>
  <si>
    <t>Generator Name</t>
  </si>
  <si>
    <t>RE Technology</t>
  </si>
  <si>
    <t>Quantum in Mus</t>
  </si>
  <si>
    <t xml:space="preserve">Landed cost </t>
  </si>
  <si>
    <t>Wheeling Loss</t>
  </si>
  <si>
    <t xml:space="preserve">Wheeling charge </t>
  </si>
  <si>
    <t xml:space="preserve">Cost at MSETCL </t>
  </si>
  <si>
    <t>Preferential Tariff</t>
  </si>
  <si>
    <t>Delevery point</t>
  </si>
  <si>
    <t>at InSTS</t>
  </si>
  <si>
    <t>April.12</t>
  </si>
  <si>
    <t>Non-Solar</t>
  </si>
  <si>
    <t>TPTCL-(LOKMANGAL AGRO)</t>
  </si>
  <si>
    <t>Co- Gen Bagasses</t>
  </si>
  <si>
    <t>TPTCL- (Pioneer Distilleries Ltd)</t>
  </si>
  <si>
    <t>Bio-gas</t>
  </si>
  <si>
    <t>May.12</t>
  </si>
  <si>
    <t>Jun.12</t>
  </si>
  <si>
    <t>July.12</t>
  </si>
  <si>
    <t>TPTCL- (A.A. Energy)</t>
  </si>
  <si>
    <t>Aug.12</t>
  </si>
  <si>
    <t>RETL - Greata Energy</t>
  </si>
  <si>
    <t>Sept.12</t>
  </si>
  <si>
    <t>Oct.12</t>
  </si>
  <si>
    <t>TPTCL-(LOKMANGAL- Agro)</t>
  </si>
  <si>
    <t>Urjankur- Global Energy</t>
  </si>
  <si>
    <t>Nov.12</t>
  </si>
  <si>
    <t>Krishna Valley Power   (Vajra-2)</t>
  </si>
  <si>
    <t>Mini Hydro</t>
  </si>
  <si>
    <t>Dec.12</t>
  </si>
  <si>
    <t>Jan.13</t>
  </si>
  <si>
    <t>RETL - Urjankur Warna power</t>
  </si>
  <si>
    <t>Feb.13</t>
  </si>
  <si>
    <t>Mar.13</t>
  </si>
  <si>
    <t>Source of  Power Purchased 
Year 2013-14</t>
  </si>
  <si>
    <t xml:space="preserve">Cost Power Purchase </t>
  </si>
  <si>
    <t xml:space="preserve">Bilateral power </t>
  </si>
  <si>
    <t xml:space="preserve">IEX                 </t>
  </si>
  <si>
    <t xml:space="preserve">PXIL          </t>
  </si>
  <si>
    <t xml:space="preserve">Standby power </t>
  </si>
  <si>
    <t xml:space="preserve">Total   </t>
  </si>
  <si>
    <t xml:space="preserve">Bilateral power         </t>
  </si>
  <si>
    <t xml:space="preserve">Bilateral power Purchase  Rate         </t>
  </si>
  <si>
    <t xml:space="preserve">IEX Rate                  </t>
  </si>
  <si>
    <t xml:space="preserve">PXIL  Rate        </t>
  </si>
  <si>
    <t xml:space="preserve">Standby power  </t>
  </si>
  <si>
    <t>Standby power  Rate</t>
  </si>
  <si>
    <t xml:space="preserve">Total  Cost </t>
  </si>
  <si>
    <t>MU's</t>
  </si>
  <si>
    <t>Rs/Unit</t>
  </si>
  <si>
    <t>Payment made to MSEDCL in July-2012 for  Standby Energy Purchased in the month Feb-12 &amp; Mar-12</t>
  </si>
  <si>
    <t>Form 2.3: Source wise - Bilateral Purchase</t>
  </si>
  <si>
    <t>BEST Undertaking, Mumbai</t>
  </si>
  <si>
    <t>Payment made to MSEDCL standby support power pur. In MARCH 13</t>
  </si>
  <si>
    <t>As per Account Dept.O/C (Outstanding Credit) Provision of  for the month of  March'2014</t>
  </si>
  <si>
    <t>Bilateral Power</t>
  </si>
  <si>
    <t>IEX</t>
  </si>
  <si>
    <t>PXIL</t>
  </si>
  <si>
    <t>Rs in Crore</t>
  </si>
  <si>
    <t>Rs/Kwh</t>
  </si>
  <si>
    <t>Quantum in MUs</t>
  </si>
  <si>
    <t>Apr.13</t>
  </si>
  <si>
    <t>Krishna Valley Power Pvt Ltd.</t>
  </si>
  <si>
    <t>Bagasse</t>
  </si>
  <si>
    <t>TPTCL-(Pioneer)</t>
  </si>
  <si>
    <t>RETL (Greta Energy)</t>
  </si>
  <si>
    <t>May.13</t>
  </si>
  <si>
    <t>RETL (Maharashtra Vidyut Nigam)</t>
  </si>
  <si>
    <t>Jun.13</t>
  </si>
  <si>
    <t>RETL (Yash Agro Energy Ltd)</t>
  </si>
  <si>
    <t>July.13</t>
  </si>
  <si>
    <t>Aug.13</t>
  </si>
  <si>
    <t>Hemant Group (PVSP-03)</t>
  </si>
  <si>
    <t>Solar PV</t>
  </si>
  <si>
    <t>Sept.13</t>
  </si>
  <si>
    <t>Gangadhar Narsingadas Agrawal (PVSP-20)</t>
  </si>
  <si>
    <t>Saidpur Jute Co. Ltd. (PSVP-19)</t>
  </si>
  <si>
    <t>G. I. Energies (PSVP-17)</t>
  </si>
  <si>
    <t>Agrawal Minerials Goa Pvt. Ltd.           ( PSVP-10)</t>
  </si>
  <si>
    <t>Advik Hi-Tech Pvt Ltd (PSVP-16)</t>
  </si>
  <si>
    <t>Oct.13</t>
  </si>
  <si>
    <t>WELSPUN Energy Maharashtra Pvt. Ltd.</t>
  </si>
  <si>
    <t>TPTCL (A.A. Energy)</t>
  </si>
  <si>
    <t>Nov.13</t>
  </si>
  <si>
    <t>Dec.13</t>
  </si>
  <si>
    <t>Jan.14</t>
  </si>
  <si>
    <t>Patel Wood Syndicate (PSVP-06)</t>
  </si>
  <si>
    <t>New Patel Saw Mill (PSVP-05</t>
  </si>
  <si>
    <t>Dr. D.H. Patel. (PSVP004)</t>
  </si>
  <si>
    <t>Feb.14</t>
  </si>
  <si>
    <t>Mar.14</t>
  </si>
  <si>
    <t>Generator name</t>
  </si>
  <si>
    <t>RE technology</t>
  </si>
  <si>
    <t>Energy at delevery point</t>
  </si>
  <si>
    <t>Total Cost</t>
  </si>
  <si>
    <t>Landed cost</t>
  </si>
  <si>
    <t>Wheeling loss</t>
  </si>
  <si>
    <t>Cost at MSETCL Periphery</t>
  </si>
  <si>
    <t>Preferential tariff approved by the Commission</t>
  </si>
  <si>
    <t>Rs/ kWh</t>
  </si>
  <si>
    <t>WELSPUN Energy Maharashtra  Ltd.</t>
  </si>
  <si>
    <t>8.56 LT PPA</t>
  </si>
  <si>
    <t>Govindram Shobaram &amp;Co</t>
  </si>
  <si>
    <t>Patel Wood syndicate</t>
  </si>
  <si>
    <t>New Patel Saw Mill</t>
  </si>
  <si>
    <t>Dr. D.H. Patel</t>
  </si>
  <si>
    <t>Agrawal Minaral Goa Pvt Ltd.</t>
  </si>
  <si>
    <t>Gangadhar Narsingdas Agrawal</t>
  </si>
  <si>
    <t>Saidpur Jute Co Ltd.</t>
  </si>
  <si>
    <t>Triveni Sangam &amp; Trading Pvt. Ltd.</t>
  </si>
  <si>
    <t>Parekh Medisales Pvt. Ltd.</t>
  </si>
  <si>
    <t>G.I. Energies.</t>
  </si>
  <si>
    <t>Saraswati Industries.</t>
  </si>
  <si>
    <t>Solar Total</t>
  </si>
  <si>
    <t>Pioneer Distilleries Ltd.</t>
  </si>
  <si>
    <t>Biogas</t>
  </si>
  <si>
    <t>Greta Energy Ltd</t>
  </si>
  <si>
    <t>Maharashtra Vidyut Nigam Ltd</t>
  </si>
  <si>
    <t>A.A. Energy</t>
  </si>
  <si>
    <t>GMT Mining &amp; Power</t>
  </si>
  <si>
    <t>Lokmangal Agro Ltd</t>
  </si>
  <si>
    <t>Bagasses Co-gen</t>
  </si>
  <si>
    <t>Yash Agro Energy Ltd</t>
  </si>
  <si>
    <t>Sahyadri Renewable Energy Pvt Ltd.</t>
  </si>
  <si>
    <t>Non-Solar Total</t>
  </si>
  <si>
    <t>TOTAL RPO</t>
  </si>
  <si>
    <t>Wheeling charges</t>
  </si>
  <si>
    <t>Energy at InSTS</t>
  </si>
  <si>
    <t>Non-Solar Mini-Micro Hydro</t>
  </si>
  <si>
    <t>Source wise RE purchase</t>
  </si>
  <si>
    <t>Source wise Bilateral Purchase</t>
  </si>
  <si>
    <t>Form 2.3</t>
  </si>
  <si>
    <t>Form 2.4</t>
  </si>
  <si>
    <t>Form 2.4: Intrastate Transmission Charges</t>
  </si>
  <si>
    <t>Form 2.2: Source wise - RE Purchase</t>
  </si>
  <si>
    <t xml:space="preserve">FY 2014-15 </t>
  </si>
  <si>
    <t>Actual (unaudited)</t>
  </si>
  <si>
    <t>Form 14.1: Revenue at Existing Tariff - FY 2015-16( As per MYT Order)</t>
  </si>
  <si>
    <t>Year: FY 2013-14 (Actual)</t>
  </si>
  <si>
    <t>FY 2014-15 (Actual)</t>
  </si>
  <si>
    <t>Revenue for FY 2012-13 and FY 2013-14</t>
  </si>
  <si>
    <t>True Up FY 2012-13 and FY 2013-14 - Distribution &amp; Retail Supply</t>
  </si>
  <si>
    <t>True Up FY 2012-13 and FY 2013-14</t>
  </si>
  <si>
    <t>True Up FY 2012-13 and FY 2013-14 - BEST</t>
  </si>
  <si>
    <t>Brihanmumbai electric supply and transport
True Up FY 2012-13 and FY 2013-14 - BEST
Form 9:  Return on Regulatory Equity</t>
  </si>
  <si>
    <t>True Up of FY 2012-13 and FY 2013-14</t>
  </si>
  <si>
    <t>True Up for FY 2012-13 and FY 2013-14</t>
  </si>
  <si>
    <t>True Up of FY 2012-13 and FY 2013-14 - BEST</t>
  </si>
  <si>
    <t>True Up FY 2012-13 and FY 2013-14 -BEST</t>
  </si>
  <si>
    <t xml:space="preserve">Customer Sales </t>
  </si>
  <si>
    <t>Form 1 : Customer Sales</t>
  </si>
  <si>
    <t>Form 16 : Impact of refund of FAC (Case No. 88 of 2014)</t>
  </si>
  <si>
    <t xml:space="preserve">Form 14:  Revenue for FY 2012-13, FY 2013-14 </t>
  </si>
  <si>
    <t>Form 16:  Past revenue gaps including carrying cost upto FY 2012-13</t>
  </si>
  <si>
    <t>Computation for Past recoveries upto FY 2012-13</t>
  </si>
  <si>
    <t>Petition based on Approved</t>
  </si>
  <si>
    <t>True-up</t>
  </si>
</sst>
</file>

<file path=xl/styles.xml><?xml version="1.0" encoding="utf-8"?>
<styleSheet xmlns="http://schemas.openxmlformats.org/spreadsheetml/2006/main">
  <numFmts count="61">
    <numFmt numFmtId="41" formatCode="_(* #,##0_);_(* \(#,##0\);_(* &quot;-&quot;_);_(@_)"/>
    <numFmt numFmtId="44" formatCode="_(&quot;$&quot;* #,##0.00_);_(&quot;$&quot;* \(#,##0.00\);_(&quot;$&quot;* &quot;-&quot;??_);_(@_)"/>
    <numFmt numFmtId="43" formatCode="_(* #,##0.00_);_(* \(#,##0.00\);_(* &quot;-&quot;??_);_(@_)"/>
    <numFmt numFmtId="164" formatCode="_ * #,##0.00_ ;_ * \-#,##0.00_ ;_ * &quot;-&quot;??_ ;_ @_ "/>
    <numFmt numFmtId="165" formatCode="0.00_)"/>
    <numFmt numFmtId="166" formatCode="[$-409]mmm\-yy;@"/>
    <numFmt numFmtId="167" formatCode="0.0"/>
    <numFmt numFmtId="168" formatCode="0.000"/>
    <numFmt numFmtId="169" formatCode="0.0000000"/>
    <numFmt numFmtId="170" formatCode="0.00_);\(0.00\)"/>
    <numFmt numFmtId="171" formatCode="&quot;£&quot;#,##0;\-&quot;£&quot;#,##0"/>
    <numFmt numFmtId="172" formatCode="d/mm/yyyy;@"/>
    <numFmt numFmtId="173" formatCode="&quot;ß&quot;#,##0.00_);\(&quot;ß&quot;#,##0.00\)"/>
    <numFmt numFmtId="174" formatCode="0.0000"/>
    <numFmt numFmtId="175" formatCode="0;[Red]0"/>
    <numFmt numFmtId="176" formatCode="0_)"/>
    <numFmt numFmtId="177" formatCode="_(* #,##0_);_(* \(#,##0\);_(* &quot;-&quot;??_);_(@_)"/>
    <numFmt numFmtId="178" formatCode="_(* #,##0.000000000000_);_(* \(#,##0.000000000000\);_(* &quot;-&quot;??_);_(@_)"/>
    <numFmt numFmtId="179" formatCode="_(* #,##0.00000000_);_(* \(#,##0.00000000\);_(* &quot;-&quot;??_);_(@_)"/>
    <numFmt numFmtId="180" formatCode="_(* #,##0.00_);_(* \(#,##0.00\);_(* &quot;-&quot;_);_(@_)"/>
    <numFmt numFmtId="181" formatCode="&quot;$&quot;#,##0.00"/>
    <numFmt numFmtId="182" formatCode="0.000000000"/>
    <numFmt numFmtId="183" formatCode="#,##0.00_ ;\-#,##0.00\ "/>
    <numFmt numFmtId="184" formatCode="0.00000000000"/>
    <numFmt numFmtId="185" formatCode="#,##0.00;[Black]\(#,##0.00\)"/>
    <numFmt numFmtId="186" formatCode="#,##0.00_ ;[Red]\-#,##0.00\ "/>
    <numFmt numFmtId="187" formatCode="#,##0.00_);[Black]\(#,##0.00\)"/>
    <numFmt numFmtId="188" formatCode="0.00000000"/>
    <numFmt numFmtId="189" formatCode="#,##0_);[Black]\(#,##0\)"/>
    <numFmt numFmtId="190" formatCode="0.0%"/>
    <numFmt numFmtId="191" formatCode="0.000%"/>
    <numFmt numFmtId="192" formatCode="_(* #,##0.000_);_(* \(#,##0.000\);_(* &quot;-&quot;??_);_(@_)"/>
    <numFmt numFmtId="193" formatCode="0.00;[Red]0.00"/>
    <numFmt numFmtId="194" formatCode="#,##0.00;[Red]#,##0.00"/>
    <numFmt numFmtId="195" formatCode="_-* #,##0.00_-;\-* #,##0.00_-;_-* \-??_-;_-@_-"/>
    <numFmt numFmtId="196" formatCode="_([$€-2]* #,##0.00_);_([$€-2]* \(#,##0.00\);_([$€-2]* &quot;-&quot;??_)"/>
    <numFmt numFmtId="197" formatCode="_-&quot;$&quot;* #,##0_-;\-&quot;$&quot;* #,##0_-;_-&quot;$&quot;* &quot;-&quot;??_-;_-@_-"/>
    <numFmt numFmtId="198" formatCode="0.0_)"/>
    <numFmt numFmtId="199" formatCode="0_);\(0\)"/>
    <numFmt numFmtId="200" formatCode="_ * #,##0_ ;_ * \-#,##0_ ;_ * &quot;-&quot;??_ ;_ @_ "/>
    <numFmt numFmtId="201" formatCode="0.0000%"/>
    <numFmt numFmtId="202" formatCode="#,##0.00%;[Red]\(#,##0.00%\)"/>
    <numFmt numFmtId="203" formatCode="#####\ ##\ ##\ ###.00"/>
    <numFmt numFmtId="204" formatCode="##\ ##\ ##\ ##0_);\(##\ ##\ ##\ ##0\)"/>
    <numFmt numFmtId="205" formatCode="###\ ##\ ##\ ###.00_);\(###\ ##\ ##\ ###.00\)"/>
    <numFmt numFmtId="206" formatCode="_-* #,##0\ _F_-;\-* #,##0\ _F_-;_-* &quot;-&quot;\ _F_-;_-@_-"/>
    <numFmt numFmtId="207" formatCode="_-* #,##0.00\ _F_-;\-* #,##0.00\ _F_-;_-* &quot;-&quot;??\ _F_-;_-@_-"/>
    <numFmt numFmtId="208" formatCode="&quot;£&quot;#,##0.00;\-&quot;£&quot;#,##0.00"/>
    <numFmt numFmtId="209" formatCode="&quot;£&quot;#,##0.00;[Red]\-&quot;£&quot;#,##0.00"/>
    <numFmt numFmtId="210" formatCode="#######0_);\(#######0\)"/>
    <numFmt numFmtId="211" formatCode="####\ ##\ #0_);\(####\ ##\ #0\)"/>
    <numFmt numFmtId="212" formatCode="&quot;\&quot;#,##0.00;[Red]&quot;\&quot;\-#,##0.00"/>
    <numFmt numFmtId="213" formatCode="&quot;\&quot;#,##0;[Red]&quot;\&quot;\-#,##0"/>
    <numFmt numFmtId="214" formatCode="0.0_);\(0.0\)"/>
    <numFmt numFmtId="215" formatCode="0.00000%"/>
    <numFmt numFmtId="216" formatCode="0.0000000000"/>
    <numFmt numFmtId="217" formatCode="#,##0.0_);[Black]\(#,##0.0\)"/>
    <numFmt numFmtId="218" formatCode="0.000000000000"/>
    <numFmt numFmtId="219" formatCode="0.0000_)"/>
    <numFmt numFmtId="220" formatCode="0.00000"/>
    <numFmt numFmtId="221" formatCode="[$-409]mmmm\-yy;@"/>
  </numFmts>
  <fonts count="248">
    <font>
      <sz val="11"/>
      <color theme="1"/>
      <name val="Calibri"/>
      <family val="2"/>
      <scheme val="minor"/>
    </font>
    <font>
      <sz val="11"/>
      <color theme="1"/>
      <name val="Calibri"/>
      <family val="2"/>
    </font>
    <font>
      <sz val="11"/>
      <color theme="1"/>
      <name val="Calibri"/>
      <family val="2"/>
      <scheme val="minor"/>
    </font>
    <font>
      <b/>
      <sz val="11"/>
      <color theme="1"/>
      <name val="Calibri"/>
      <family val="2"/>
      <scheme val="minor"/>
    </font>
    <font>
      <sz val="12"/>
      <name val="Times New Roman"/>
      <family val="1"/>
    </font>
    <font>
      <sz val="12"/>
      <name val="Arial"/>
      <family val="2"/>
    </font>
    <font>
      <b/>
      <sz val="12"/>
      <name val="Arial"/>
      <family val="2"/>
    </font>
    <font>
      <sz val="12"/>
      <color theme="1"/>
      <name val="Calibri"/>
      <family val="2"/>
      <scheme val="minor"/>
    </font>
    <font>
      <b/>
      <sz val="12"/>
      <color theme="1"/>
      <name val="Calibri"/>
      <family val="2"/>
      <scheme val="minor"/>
    </font>
    <font>
      <sz val="10"/>
      <name val="Arial"/>
      <family val="2"/>
    </font>
    <font>
      <sz val="11"/>
      <name val="Arial"/>
      <family val="2"/>
    </font>
    <font>
      <sz val="8"/>
      <name val="Arial"/>
      <family val="2"/>
    </font>
    <font>
      <b/>
      <sz val="11"/>
      <name val="Arial"/>
      <family val="2"/>
    </font>
    <font>
      <b/>
      <sz val="10"/>
      <name val="Arial"/>
      <family val="2"/>
    </font>
    <font>
      <sz val="11"/>
      <name val="Times New Roman"/>
      <family val="1"/>
    </font>
    <font>
      <b/>
      <sz val="11"/>
      <name val="Calibri"/>
      <family val="2"/>
      <scheme val="minor"/>
    </font>
    <font>
      <sz val="11"/>
      <name val="Calibri"/>
      <family val="2"/>
      <scheme val="minor"/>
    </font>
    <font>
      <b/>
      <sz val="11"/>
      <name val="Times New Roman"/>
      <family val="1"/>
    </font>
    <font>
      <b/>
      <sz val="12"/>
      <name val="Times New Roman"/>
      <family val="1"/>
    </font>
    <font>
      <sz val="12"/>
      <name val="Times New Roman"/>
      <family val="1"/>
    </font>
    <font>
      <sz val="12"/>
      <name val="Helv"/>
    </font>
    <font>
      <sz val="11"/>
      <color indexed="8"/>
      <name val="Calibri"/>
      <family val="2"/>
    </font>
    <font>
      <b/>
      <u/>
      <sz val="11"/>
      <name val="Times New Roman"/>
      <family val="1"/>
    </font>
    <font>
      <sz val="11"/>
      <color indexed="9"/>
      <name val="Calibri"/>
      <family val="2"/>
    </font>
    <font>
      <sz val="11"/>
      <color indexed="20"/>
      <name val="Calibri"/>
      <family val="2"/>
    </font>
    <font>
      <sz val="12"/>
      <name val="Tms Rmn"/>
    </font>
    <font>
      <b/>
      <sz val="11"/>
      <color indexed="52"/>
      <name val="Calibri"/>
      <family val="2"/>
    </font>
    <font>
      <b/>
      <sz val="11"/>
      <color indexed="9"/>
      <name val="Calibri"/>
      <family val="2"/>
    </font>
    <font>
      <sz val="10"/>
      <name val="Helv"/>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1"/>
      <color indexed="52"/>
      <name val="Calibri"/>
      <family val="2"/>
    </font>
    <font>
      <sz val="11"/>
      <color indexed="60"/>
      <name val="Calibri"/>
      <family val="2"/>
    </font>
    <font>
      <sz val="7"/>
      <name val="Small Fonts"/>
      <family val="2"/>
    </font>
    <font>
      <b/>
      <i/>
      <sz val="16"/>
      <name val="Helv"/>
    </font>
    <font>
      <sz val="10"/>
      <name val="Times New Roman"/>
      <family val="1"/>
    </font>
    <font>
      <b/>
      <sz val="11"/>
      <color indexed="63"/>
      <name val="Calibri"/>
      <family val="2"/>
    </font>
    <font>
      <b/>
      <sz val="18"/>
      <color indexed="56"/>
      <name val="Cambria"/>
      <family val="2"/>
    </font>
    <font>
      <b/>
      <sz val="11"/>
      <color indexed="8"/>
      <name val="Calibri"/>
      <family val="2"/>
    </font>
    <font>
      <sz val="11"/>
      <color indexed="10"/>
      <name val="Calibri"/>
      <family val="2"/>
    </font>
    <font>
      <b/>
      <sz val="14"/>
      <name val="Times New Roman"/>
      <family val="1"/>
    </font>
    <font>
      <b/>
      <sz val="8"/>
      <color indexed="8"/>
      <name val="Tahoma"/>
      <family val="2"/>
    </font>
    <font>
      <sz val="8"/>
      <color indexed="8"/>
      <name val="Tahoma"/>
      <family val="2"/>
    </font>
    <font>
      <u/>
      <sz val="10"/>
      <color indexed="17"/>
      <name val="Arial"/>
      <family val="2"/>
    </font>
    <font>
      <b/>
      <u/>
      <sz val="14"/>
      <name val="Arial"/>
      <family val="2"/>
    </font>
    <font>
      <b/>
      <u/>
      <sz val="11"/>
      <color theme="1"/>
      <name val="Calibri"/>
      <family val="2"/>
      <scheme val="minor"/>
    </font>
    <font>
      <b/>
      <sz val="10"/>
      <name val="Times New Roman"/>
      <family val="1"/>
    </font>
    <font>
      <vertAlign val="superscript"/>
      <sz val="12"/>
      <name val="Times New Roman"/>
      <family val="1"/>
    </font>
    <font>
      <b/>
      <sz val="12"/>
      <color rgb="FFFF0000"/>
      <name val="Times New Roman"/>
      <family val="1"/>
    </font>
    <font>
      <sz val="8"/>
      <name val="Times New Roman"/>
      <family val="1"/>
    </font>
    <font>
      <sz val="8"/>
      <name val="Tahoma"/>
      <family val="2"/>
    </font>
    <font>
      <sz val="12"/>
      <color indexed="8"/>
      <name val="Times New Roman"/>
      <family val="1"/>
    </font>
    <font>
      <b/>
      <sz val="11"/>
      <color indexed="8"/>
      <name val="Times New Roman"/>
      <family val="1"/>
    </font>
    <font>
      <b/>
      <sz val="16"/>
      <name val="Times New Roman"/>
      <family val="1"/>
    </font>
    <font>
      <sz val="10"/>
      <color indexed="8"/>
      <name val="Arial"/>
      <family val="2"/>
    </font>
    <font>
      <sz val="10"/>
      <name val="Arial"/>
      <family val="2"/>
    </font>
    <font>
      <b/>
      <u/>
      <sz val="10"/>
      <name val="Arial"/>
      <family val="2"/>
    </font>
    <font>
      <b/>
      <sz val="12"/>
      <color indexed="8"/>
      <name val="Tahoma"/>
      <family val="2"/>
    </font>
    <font>
      <sz val="12"/>
      <color indexed="8"/>
      <name val="Tahoma"/>
      <family val="2"/>
    </font>
    <font>
      <sz val="14"/>
      <color theme="1"/>
      <name val="Calibri"/>
      <family val="2"/>
      <scheme val="minor"/>
    </font>
    <font>
      <b/>
      <sz val="12"/>
      <color indexed="8"/>
      <name val="Calibri"/>
      <family val="2"/>
    </font>
    <font>
      <b/>
      <sz val="11"/>
      <color indexed="8"/>
      <name val="Rupee Foradian"/>
      <family val="2"/>
    </font>
    <font>
      <sz val="11"/>
      <color indexed="8"/>
      <name val="Rupee Foradian"/>
      <family val="2"/>
    </font>
    <font>
      <b/>
      <u/>
      <sz val="11"/>
      <color indexed="8"/>
      <name val="Calibri"/>
      <family val="2"/>
    </font>
    <font>
      <b/>
      <sz val="12"/>
      <color indexed="8"/>
      <name val="Rupee Foradian"/>
      <family val="2"/>
    </font>
    <font>
      <sz val="10"/>
      <color indexed="8"/>
      <name val="Calibri"/>
      <family val="2"/>
    </font>
    <font>
      <b/>
      <sz val="14"/>
      <color theme="1"/>
      <name val="Calibri"/>
      <family val="2"/>
      <scheme val="minor"/>
    </font>
    <font>
      <b/>
      <sz val="13"/>
      <color indexed="8"/>
      <name val="Calibri"/>
      <family val="2"/>
    </font>
    <font>
      <b/>
      <sz val="16"/>
      <name val="Arial"/>
      <family val="2"/>
    </font>
    <font>
      <b/>
      <sz val="16"/>
      <color theme="1"/>
      <name val="Calibri"/>
      <family val="2"/>
      <scheme val="minor"/>
    </font>
    <font>
      <b/>
      <sz val="18"/>
      <name val="Arial"/>
      <family val="2"/>
    </font>
    <font>
      <b/>
      <sz val="12"/>
      <color indexed="10"/>
      <name val="Arial"/>
      <family val="2"/>
    </font>
    <font>
      <b/>
      <u/>
      <sz val="12"/>
      <name val="Arial"/>
      <family val="2"/>
    </font>
    <font>
      <b/>
      <sz val="14"/>
      <name val="Arial"/>
      <family val="2"/>
    </font>
    <font>
      <sz val="12"/>
      <color rgb="FF000000"/>
      <name val="Times New Roman"/>
      <family val="1"/>
    </font>
    <font>
      <b/>
      <sz val="12"/>
      <color rgb="FF000000"/>
      <name val="Times New Roman"/>
      <family val="1"/>
    </font>
    <font>
      <sz val="12"/>
      <color theme="1"/>
      <name val="Times New Roman"/>
      <family val="1"/>
    </font>
    <font>
      <b/>
      <sz val="12"/>
      <color theme="1"/>
      <name val="Times New Roman"/>
      <family val="1"/>
    </font>
    <font>
      <b/>
      <u/>
      <sz val="12"/>
      <color theme="1"/>
      <name val="Times New Roman"/>
      <family val="1"/>
    </font>
    <font>
      <i/>
      <sz val="12"/>
      <name val="Times New Roman"/>
      <family val="1"/>
    </font>
    <font>
      <u/>
      <sz val="12"/>
      <color indexed="17"/>
      <name val="Times New Roman"/>
      <family val="1"/>
    </font>
    <font>
      <u/>
      <sz val="7.2"/>
      <color indexed="12"/>
      <name val="Arial"/>
      <family val="2"/>
    </font>
    <font>
      <sz val="14"/>
      <name val="Arial"/>
      <family val="2"/>
    </font>
    <font>
      <sz val="10"/>
      <name val="Courier"/>
      <family val="3"/>
    </font>
    <font>
      <b/>
      <sz val="8"/>
      <color indexed="81"/>
      <name val="Tahoma"/>
      <family val="2"/>
    </font>
    <font>
      <sz val="8"/>
      <color indexed="81"/>
      <name val="Tahoma"/>
      <family val="2"/>
    </font>
    <font>
      <strike/>
      <sz val="10"/>
      <name val="Arial"/>
      <family val="2"/>
    </font>
    <font>
      <u/>
      <sz val="10"/>
      <color indexed="12"/>
      <name val="Arial"/>
      <family val="2"/>
    </font>
    <font>
      <sz val="12"/>
      <color indexed="10"/>
      <name val="Times New Roman"/>
      <family val="1"/>
    </font>
    <font>
      <sz val="12"/>
      <color rgb="FFFF0000"/>
      <name val="Times New Roman"/>
      <family val="1"/>
    </font>
    <font>
      <b/>
      <sz val="20"/>
      <name val="Calibri"/>
      <family val="2"/>
      <scheme val="minor"/>
    </font>
    <font>
      <sz val="20"/>
      <name val="Rupee Foradian"/>
      <family val="2"/>
    </font>
    <font>
      <sz val="20"/>
      <name val="Arial"/>
      <family val="2"/>
    </font>
    <font>
      <b/>
      <sz val="16"/>
      <name val="Calibri"/>
      <family val="2"/>
      <scheme val="minor"/>
    </font>
    <font>
      <sz val="14"/>
      <name val="Rupee"/>
    </font>
    <font>
      <sz val="14"/>
      <name val="Rupee Foradian"/>
      <family val="2"/>
    </font>
    <font>
      <sz val="15"/>
      <name val="Arial"/>
      <family val="2"/>
    </font>
    <font>
      <sz val="16"/>
      <name val="Arial"/>
      <family val="2"/>
    </font>
    <font>
      <sz val="16"/>
      <name val="Rupee Foradian"/>
      <family val="2"/>
    </font>
    <font>
      <b/>
      <sz val="15"/>
      <name val="Arial"/>
      <family val="2"/>
    </font>
    <font>
      <sz val="12"/>
      <color theme="0"/>
      <name val="Times New Roman"/>
      <family val="1"/>
    </font>
    <font>
      <b/>
      <sz val="12"/>
      <color theme="0"/>
      <name val="Times New Roman"/>
      <family val="1"/>
    </font>
    <font>
      <sz val="9"/>
      <color indexed="81"/>
      <name val="Tahoma"/>
      <family val="2"/>
    </font>
    <font>
      <b/>
      <sz val="9"/>
      <color indexed="81"/>
      <name val="Tahoma"/>
      <family val="2"/>
    </font>
    <font>
      <b/>
      <sz val="11"/>
      <color rgb="FF000000"/>
      <name val="Calibri"/>
      <family val="2"/>
      <scheme val="minor"/>
    </font>
    <font>
      <sz val="11"/>
      <color rgb="FF000000"/>
      <name val="Calibri"/>
      <family val="2"/>
      <scheme val="minor"/>
    </font>
    <font>
      <b/>
      <u/>
      <sz val="12"/>
      <name val="Times New Roman"/>
      <family val="1"/>
    </font>
    <font>
      <sz val="11"/>
      <color theme="1"/>
      <name val="Book Antiqua"/>
      <family val="1"/>
    </font>
    <font>
      <sz val="12"/>
      <color indexed="10"/>
      <name val="Arial"/>
      <family val="2"/>
    </font>
    <font>
      <b/>
      <u/>
      <sz val="12"/>
      <color theme="1"/>
      <name val="Arial"/>
      <family val="2"/>
    </font>
    <font>
      <sz val="11"/>
      <color theme="1"/>
      <name val="Arial"/>
      <family val="2"/>
    </font>
    <font>
      <sz val="11"/>
      <color theme="1"/>
      <name val="Times New Roman"/>
      <family val="1"/>
    </font>
    <font>
      <b/>
      <sz val="11"/>
      <color theme="1"/>
      <name val="Times New Roman"/>
      <family val="1"/>
    </font>
    <font>
      <b/>
      <sz val="11"/>
      <color theme="1"/>
      <name val="Book Antiqua"/>
      <family val="1"/>
    </font>
    <font>
      <b/>
      <u/>
      <sz val="11"/>
      <name val="Calibri"/>
      <family val="2"/>
      <scheme val="minor"/>
    </font>
    <font>
      <b/>
      <i/>
      <sz val="11"/>
      <name val="Times New Roman"/>
      <family val="1"/>
    </font>
    <font>
      <b/>
      <i/>
      <sz val="12"/>
      <color theme="1"/>
      <name val="Times New Roman"/>
      <family val="1"/>
    </font>
    <font>
      <b/>
      <u/>
      <sz val="11"/>
      <color theme="1"/>
      <name val="Times New Roman"/>
      <family val="1"/>
    </font>
    <font>
      <b/>
      <sz val="10"/>
      <color indexed="81"/>
      <name val="Tahoma"/>
      <family val="2"/>
    </font>
    <font>
      <sz val="10"/>
      <color indexed="81"/>
      <name val="Tahoma"/>
      <family val="2"/>
    </font>
    <font>
      <sz val="11"/>
      <color rgb="FFFF0000"/>
      <name val="Times New Roman"/>
      <family val="1"/>
    </font>
    <font>
      <sz val="12"/>
      <color rgb="FF00B050"/>
      <name val="Times New Roman"/>
      <family val="1"/>
    </font>
    <font>
      <sz val="11"/>
      <color indexed="8"/>
      <name val="Times New Roman"/>
      <family val="1"/>
    </font>
    <font>
      <u/>
      <sz val="12"/>
      <name val="Times New Roman"/>
      <family val="1"/>
    </font>
    <font>
      <sz val="9"/>
      <color indexed="8"/>
      <name val="Calibri"/>
      <family val="2"/>
    </font>
    <font>
      <sz val="9"/>
      <color theme="1"/>
      <name val="Times New Roman"/>
      <family val="1"/>
    </font>
    <font>
      <u/>
      <sz val="11"/>
      <color theme="1"/>
      <name val="Times New Roman"/>
      <family val="1"/>
    </font>
    <font>
      <b/>
      <sz val="11"/>
      <color indexed="10"/>
      <name val="Times New Roman"/>
      <family val="1"/>
    </font>
    <font>
      <b/>
      <sz val="11"/>
      <color rgb="FFFF0000"/>
      <name val="Times New Roman"/>
      <family val="1"/>
    </font>
    <font>
      <b/>
      <sz val="11"/>
      <color theme="1" tint="0.14999847407452621"/>
      <name val="Times New Roman"/>
      <family val="1"/>
    </font>
    <font>
      <b/>
      <sz val="11"/>
      <color theme="1" tint="0.34998626667073579"/>
      <name val="Times New Roman"/>
      <family val="1"/>
    </font>
    <font>
      <b/>
      <sz val="18"/>
      <color theme="1"/>
      <name val="Times New Roman"/>
      <family val="1"/>
    </font>
    <font>
      <b/>
      <sz val="18"/>
      <color indexed="8"/>
      <name val="Times New Roman"/>
      <family val="1"/>
    </font>
    <font>
      <b/>
      <sz val="9"/>
      <color theme="1"/>
      <name val="Times New Roman"/>
      <family val="1"/>
    </font>
    <font>
      <b/>
      <u/>
      <sz val="9"/>
      <color theme="1"/>
      <name val="Times New Roman"/>
      <family val="1"/>
    </font>
    <font>
      <b/>
      <sz val="14"/>
      <color indexed="8"/>
      <name val="Times New Roman"/>
      <family val="1"/>
    </font>
    <font>
      <sz val="14"/>
      <color theme="1"/>
      <name val="Times New Roman"/>
      <family val="1"/>
    </font>
    <font>
      <b/>
      <sz val="12"/>
      <color indexed="8"/>
      <name val="Times New Roman"/>
      <family val="1"/>
    </font>
    <font>
      <b/>
      <u/>
      <sz val="11"/>
      <color indexed="12"/>
      <name val="Times New Roman"/>
      <family val="1"/>
    </font>
    <font>
      <sz val="11"/>
      <color indexed="12"/>
      <name val="Times New Roman"/>
      <family val="1"/>
    </font>
    <font>
      <sz val="11"/>
      <color indexed="9"/>
      <name val="Times New Roman"/>
      <family val="1"/>
    </font>
    <font>
      <strike/>
      <sz val="11"/>
      <name val="Times New Roman"/>
      <family val="1"/>
    </font>
    <font>
      <i/>
      <sz val="11"/>
      <name val="Times New Roman"/>
      <family val="1"/>
    </font>
    <font>
      <u/>
      <sz val="11"/>
      <name val="Times New Roman"/>
      <family val="1"/>
    </font>
    <font>
      <b/>
      <u val="doubleAccounting"/>
      <sz val="11"/>
      <name val="Times New Roman"/>
      <family val="1"/>
    </font>
    <font>
      <b/>
      <strike/>
      <sz val="11"/>
      <name val="Times New Roman"/>
      <family val="1"/>
    </font>
    <font>
      <b/>
      <sz val="11"/>
      <color indexed="9"/>
      <name val="Times New Roman"/>
      <family val="1"/>
    </font>
    <font>
      <sz val="11"/>
      <color indexed="10"/>
      <name val="Times New Roman"/>
      <family val="1"/>
    </font>
    <font>
      <sz val="14"/>
      <name val="Times New Roman"/>
      <family val="1"/>
    </font>
    <font>
      <b/>
      <i/>
      <u val="singleAccounting"/>
      <sz val="11"/>
      <name val="Times New Roman"/>
      <family val="1"/>
    </font>
    <font>
      <b/>
      <sz val="11"/>
      <color rgb="FF000000"/>
      <name val="Times New Roman"/>
      <family val="1"/>
    </font>
    <font>
      <sz val="11"/>
      <color rgb="FF000000"/>
      <name val="Times New Roman"/>
      <family val="1"/>
    </font>
    <font>
      <b/>
      <sz val="18"/>
      <name val="Times New Roman"/>
      <family val="1"/>
    </font>
    <font>
      <vertAlign val="superscript"/>
      <sz val="11"/>
      <name val="Times New Roman"/>
      <family val="1"/>
    </font>
    <font>
      <sz val="9"/>
      <color theme="1"/>
      <name val="Calibri"/>
      <family val="2"/>
      <scheme val="minor"/>
    </font>
    <font>
      <b/>
      <u/>
      <sz val="11"/>
      <color indexed="8"/>
      <name val="Rupee Foradian"/>
      <family val="2"/>
    </font>
    <font>
      <sz val="10"/>
      <color theme="1"/>
      <name val="Calibri"/>
      <family val="2"/>
      <scheme val="minor"/>
    </font>
    <font>
      <sz val="11"/>
      <color indexed="22"/>
      <name val="Times New Roman"/>
      <family val="1"/>
    </font>
    <font>
      <u/>
      <sz val="11"/>
      <color indexed="8"/>
      <name val="Times New Roman"/>
      <family val="1"/>
    </font>
    <font>
      <sz val="9"/>
      <name val="Times New Roman"/>
      <family val="1"/>
    </font>
    <font>
      <sz val="10"/>
      <name val="Century Gothic"/>
      <family val="2"/>
    </font>
    <font>
      <sz val="11"/>
      <name val="Book Antiqua"/>
      <family val="1"/>
    </font>
    <font>
      <b/>
      <sz val="12"/>
      <color indexed="53"/>
      <name val="Times New Roman"/>
      <family val="1"/>
    </font>
    <font>
      <b/>
      <sz val="12"/>
      <color indexed="9"/>
      <name val="Times New Roman"/>
      <family val="1"/>
    </font>
    <font>
      <sz val="11"/>
      <name val="Palatino Linotype"/>
      <family val="1"/>
    </font>
    <font>
      <sz val="10"/>
      <color rgb="FFFF0000"/>
      <name val="Calibri"/>
      <family val="2"/>
      <scheme val="minor"/>
    </font>
    <font>
      <b/>
      <i/>
      <u/>
      <sz val="10"/>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sz val="10"/>
      <name val="Calibri"/>
      <family val="2"/>
      <scheme val="minor"/>
    </font>
    <font>
      <b/>
      <u/>
      <sz val="10"/>
      <name val="Times New Roman"/>
      <family val="1"/>
    </font>
    <font>
      <b/>
      <sz val="10"/>
      <color indexed="10"/>
      <name val="Times New Roman"/>
      <family val="1"/>
    </font>
    <font>
      <b/>
      <sz val="10"/>
      <color rgb="FFFF0000"/>
      <name val="Times New Roman"/>
      <family val="1"/>
    </font>
    <font>
      <b/>
      <sz val="10"/>
      <color theme="1" tint="0.14999847407452621"/>
      <name val="Times New Roman"/>
      <family val="1"/>
    </font>
    <font>
      <sz val="10"/>
      <color rgb="FFFF0000"/>
      <name val="Times New Roman"/>
      <family val="1"/>
    </font>
    <font>
      <sz val="10"/>
      <color theme="1"/>
      <name val="Times New Roman"/>
      <family val="1"/>
    </font>
    <font>
      <b/>
      <sz val="10"/>
      <color theme="1" tint="0.34998626667073579"/>
      <name val="Times New Roman"/>
      <family val="1"/>
    </font>
    <font>
      <u/>
      <sz val="16"/>
      <name val="Times New Roman"/>
      <family val="1"/>
    </font>
    <font>
      <u/>
      <sz val="10"/>
      <name val="Times New Roman"/>
      <family val="1"/>
    </font>
    <font>
      <b/>
      <sz val="20"/>
      <name val="Arial"/>
      <family val="2"/>
    </font>
    <font>
      <b/>
      <sz val="20"/>
      <name val="Rupee Foradian"/>
      <family val="2"/>
    </font>
    <font>
      <b/>
      <u/>
      <sz val="16"/>
      <name val="Arial"/>
      <family val="2"/>
    </font>
    <font>
      <b/>
      <sz val="18"/>
      <name val="Rupee Foradian"/>
      <family val="2"/>
    </font>
    <font>
      <b/>
      <sz val="16"/>
      <name val="Rupee Foradian"/>
      <family val="2"/>
    </font>
    <font>
      <b/>
      <sz val="18"/>
      <color theme="1"/>
      <name val="Calibri"/>
      <family val="2"/>
      <scheme val="minor"/>
    </font>
    <font>
      <sz val="16"/>
      <color theme="1"/>
      <name val="Calibri"/>
      <family val="2"/>
      <scheme val="minor"/>
    </font>
    <font>
      <sz val="18"/>
      <color theme="1"/>
      <name val="Calibri"/>
      <family val="2"/>
      <scheme val="minor"/>
    </font>
    <font>
      <b/>
      <sz val="16"/>
      <color indexed="8"/>
      <name val="Arial"/>
      <family val="2"/>
    </font>
    <font>
      <b/>
      <sz val="16"/>
      <color indexed="10"/>
      <name val="Arial"/>
      <family val="2"/>
    </font>
    <font>
      <sz val="11"/>
      <color indexed="8"/>
      <name val="Arial"/>
      <family val="2"/>
    </font>
    <font>
      <sz val="11"/>
      <color indexed="8"/>
      <name val="Calibri"/>
      <family val="2"/>
      <charset val="1"/>
    </font>
    <font>
      <b/>
      <sz val="12"/>
      <name val="Helv"/>
    </font>
    <font>
      <b/>
      <sz val="14"/>
      <name val="Helv"/>
    </font>
    <font>
      <b/>
      <i/>
      <sz val="10"/>
      <color indexed="12"/>
      <name val="Arial"/>
      <family val="2"/>
    </font>
    <font>
      <sz val="24"/>
      <color indexed="13"/>
      <name val="Helv"/>
    </font>
    <font>
      <sz val="12"/>
      <name val="뼻뮝"/>
      <family val="3"/>
      <charset val="129"/>
    </font>
    <font>
      <sz val="12"/>
      <name val="바탕체"/>
      <family val="1"/>
      <charset val="129"/>
    </font>
    <font>
      <sz val="12"/>
      <name val="宋体"/>
      <charset val="134"/>
    </font>
    <font>
      <sz val="11"/>
      <color indexed="8"/>
      <name val="Calibri"/>
      <family val="3"/>
      <charset val="134"/>
    </font>
    <font>
      <sz val="11"/>
      <name val="ＭＳ 明朝"/>
      <family val="1"/>
      <charset val="128"/>
    </font>
    <font>
      <sz val="10"/>
      <name val="ＭＳ ゴシック"/>
      <family val="3"/>
      <charset val="128"/>
    </font>
    <font>
      <b/>
      <sz val="18"/>
      <color indexed="8"/>
      <name val="Calibri"/>
      <family val="2"/>
    </font>
    <font>
      <b/>
      <i/>
      <sz val="12"/>
      <name val="Times New Roman"/>
      <family val="1"/>
    </font>
    <font>
      <i/>
      <sz val="12"/>
      <color theme="1"/>
      <name val="Times New Roman"/>
      <family val="1"/>
    </font>
    <font>
      <b/>
      <sz val="10"/>
      <name val="Calibri"/>
      <family val="2"/>
      <scheme val="minor"/>
    </font>
    <font>
      <b/>
      <sz val="8"/>
      <name val="Times New Roman"/>
      <family val="1"/>
    </font>
    <font>
      <sz val="8"/>
      <name val="Calibri"/>
      <family val="2"/>
    </font>
    <font>
      <sz val="8"/>
      <name val="Calibri"/>
      <family val="2"/>
      <scheme val="minor"/>
    </font>
    <font>
      <b/>
      <sz val="8"/>
      <name val="Calibri"/>
      <family val="2"/>
      <scheme val="minor"/>
    </font>
    <font>
      <b/>
      <sz val="8"/>
      <name val="Calibri"/>
      <family val="2"/>
    </font>
    <font>
      <i/>
      <sz val="11"/>
      <color theme="1"/>
      <name val="Times New Roman"/>
      <family val="1"/>
    </font>
    <font>
      <b/>
      <sz val="16"/>
      <color rgb="FFFF0000"/>
      <name val="Times New Roman"/>
      <family val="1"/>
    </font>
    <font>
      <b/>
      <sz val="14"/>
      <color rgb="FFFF0000"/>
      <name val="Times New Roman"/>
      <family val="1"/>
    </font>
    <font>
      <sz val="11"/>
      <color theme="1"/>
      <name val="Calibri Light"/>
      <family val="2"/>
    </font>
    <font>
      <b/>
      <sz val="11"/>
      <color theme="1"/>
      <name val="Calibri Light"/>
      <family val="2"/>
    </font>
    <font>
      <b/>
      <sz val="11"/>
      <color rgb="FF000000"/>
      <name val="Calibri Light"/>
      <family val="2"/>
    </font>
    <font>
      <sz val="11"/>
      <color rgb="FF000000"/>
      <name val="Calibri Light"/>
      <family val="2"/>
    </font>
    <font>
      <u/>
      <sz val="12"/>
      <color theme="1"/>
      <name val="Times New Roman"/>
      <family val="1"/>
    </font>
    <font>
      <sz val="12"/>
      <color rgb="FF000000"/>
      <name val="Calibri"/>
      <family val="2"/>
      <scheme val="minor"/>
    </font>
    <font>
      <b/>
      <sz val="12"/>
      <color rgb="FF000000"/>
      <name val="Calibri"/>
      <family val="2"/>
      <scheme val="minor"/>
    </font>
    <font>
      <sz val="12"/>
      <name val="Tahoma"/>
      <family val="2"/>
    </font>
    <font>
      <sz val="12"/>
      <color indexed="81"/>
      <name val="Tahoma"/>
      <family val="2"/>
    </font>
    <font>
      <i/>
      <sz val="10"/>
      <name val="Calibri"/>
      <family val="2"/>
      <scheme val="minor"/>
    </font>
    <font>
      <b/>
      <sz val="18"/>
      <color rgb="FFFF0000"/>
      <name val="Times New Roman"/>
      <family val="1"/>
    </font>
    <font>
      <sz val="10"/>
      <name val="Arial"/>
      <family val="2"/>
    </font>
    <font>
      <b/>
      <sz val="22"/>
      <color rgb="FFFF0000"/>
      <name val="Times New Roman"/>
      <family val="1"/>
    </font>
    <font>
      <b/>
      <u/>
      <sz val="12"/>
      <color theme="1"/>
      <name val="Calibri"/>
      <family val="2"/>
      <scheme val="minor"/>
    </font>
    <font>
      <b/>
      <sz val="12"/>
      <color indexed="81"/>
      <name val="Tahoma"/>
      <family val="2"/>
    </font>
    <font>
      <sz val="11"/>
      <color indexed="81"/>
      <name val="Tahoma"/>
      <family val="2"/>
    </font>
    <font>
      <sz val="10"/>
      <name val="Arial"/>
      <family val="2"/>
    </font>
    <font>
      <b/>
      <sz val="14"/>
      <color theme="1"/>
      <name val="Times New Roman"/>
      <family val="1"/>
    </font>
    <font>
      <b/>
      <sz val="11"/>
      <color theme="1"/>
      <name val="Calibri"/>
      <family val="2"/>
    </font>
    <font>
      <i/>
      <sz val="11"/>
      <color theme="1"/>
      <name val="Calibri"/>
      <family val="2"/>
      <scheme val="minor"/>
    </font>
    <font>
      <sz val="11"/>
      <name val="Arial Narrow"/>
      <family val="2"/>
    </font>
    <font>
      <b/>
      <sz val="11"/>
      <name val="Arial Narrow"/>
      <family val="2"/>
    </font>
    <font>
      <sz val="11"/>
      <name val="Calibri"/>
      <family val="2"/>
    </font>
    <font>
      <b/>
      <sz val="11"/>
      <name val="Calibri"/>
      <family val="2"/>
    </font>
    <font>
      <sz val="11"/>
      <name val="Cambria"/>
      <family val="2"/>
      <scheme val="major"/>
    </font>
    <font>
      <b/>
      <sz val="11"/>
      <name val="Cambria"/>
      <family val="2"/>
      <scheme val="major"/>
    </font>
    <font>
      <b/>
      <sz val="18"/>
      <color indexed="81"/>
      <name val="Tahoma"/>
      <family val="2"/>
    </font>
  </fonts>
  <fills count="73">
    <fill>
      <patternFill patternType="none"/>
    </fill>
    <fill>
      <patternFill patternType="gray125"/>
    </fill>
    <fill>
      <patternFill patternType="solid">
        <fgColor indexed="9"/>
        <bgColor indexed="64"/>
      </patternFill>
    </fill>
    <fill>
      <patternFill patternType="solid">
        <fgColor theme="9" tint="0.39997558519241921"/>
        <bgColor indexed="64"/>
      </patternFill>
    </fill>
    <fill>
      <patternFill patternType="solid">
        <fgColor theme="0"/>
        <bgColor indexed="64"/>
      </patternFill>
    </fill>
    <fill>
      <patternFill patternType="solid">
        <fgColor indexed="4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26"/>
      </patternFill>
    </fill>
    <fill>
      <patternFill patternType="solid">
        <fgColor rgb="FFFFFF00"/>
        <bgColor indexed="64"/>
      </patternFill>
    </fill>
    <fill>
      <patternFill patternType="solid">
        <fgColor theme="9" tint="0.39997558519241921"/>
        <bgColor indexed="26"/>
      </patternFill>
    </fill>
    <fill>
      <patternFill patternType="solid">
        <fgColor indexed="13"/>
        <bgColor indexed="64"/>
      </patternFill>
    </fill>
    <fill>
      <patternFill patternType="solid">
        <fgColor indexed="43"/>
        <bgColor indexed="64"/>
      </patternFill>
    </fill>
    <fill>
      <patternFill patternType="solid">
        <fgColor indexed="4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bgColor indexed="64"/>
      </patternFill>
    </fill>
    <fill>
      <patternFill patternType="solid">
        <fgColor indexed="44"/>
        <bgColor indexed="64"/>
      </patternFill>
    </fill>
    <fill>
      <patternFill patternType="solid">
        <fgColor indexed="18"/>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rgb="FFFFFF99"/>
        <bgColor indexed="64"/>
      </patternFill>
    </fill>
    <fill>
      <patternFill patternType="solid">
        <fgColor indexed="13"/>
      </patternFill>
    </fill>
    <fill>
      <patternFill patternType="solid">
        <fgColor indexed="12"/>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5" tint="0.39997558519241921"/>
        <bgColor indexed="64"/>
      </patternFill>
    </fill>
    <fill>
      <patternFill patternType="solid">
        <fgColor rgb="FFC6D9F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B8CCE4"/>
        <bgColor indexed="64"/>
      </patternFill>
    </fill>
    <fill>
      <patternFill patternType="solid">
        <fgColor rgb="FFFBD4B4"/>
        <bgColor indexed="64"/>
      </patternFill>
    </fill>
  </fills>
  <borders count="196">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right style="thin">
        <color indexed="8"/>
      </right>
      <top/>
      <bottom style="thin">
        <color indexed="8"/>
      </bottom>
      <diagonal/>
    </border>
    <border>
      <left/>
      <right style="medium">
        <color indexed="8"/>
      </right>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bottom style="thin">
        <color indexed="8"/>
      </bottom>
      <diagonal/>
    </border>
    <border>
      <left/>
      <right/>
      <top style="medium">
        <color indexed="8"/>
      </top>
      <bottom style="medium">
        <color indexed="8"/>
      </bottom>
      <diagonal/>
    </border>
    <border>
      <left style="medium">
        <color indexed="8"/>
      </left>
      <right style="medium">
        <color indexed="8"/>
      </right>
      <top/>
      <bottom style="medium">
        <color indexed="8"/>
      </bottom>
      <diagonal/>
    </border>
    <border>
      <left style="thin">
        <color indexed="8"/>
      </left>
      <right/>
      <top/>
      <bottom style="medium">
        <color indexed="8"/>
      </bottom>
      <diagonal/>
    </border>
    <border>
      <left/>
      <right style="thin">
        <color indexed="8"/>
      </right>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style="thin">
        <color indexed="8"/>
      </top>
      <bottom/>
      <diagonal/>
    </border>
    <border>
      <left/>
      <right style="medium">
        <color indexed="8"/>
      </right>
      <top/>
      <bottom style="thin">
        <color indexed="8"/>
      </bottom>
      <diagonal/>
    </border>
    <border>
      <left style="thin">
        <color indexed="8"/>
      </left>
      <right/>
      <top/>
      <bottom/>
      <diagonal/>
    </border>
    <border>
      <left style="thin">
        <color indexed="8"/>
      </left>
      <right style="thin">
        <color indexed="8"/>
      </right>
      <top style="medium">
        <color indexed="8"/>
      </top>
      <bottom/>
      <diagonal/>
    </border>
    <border>
      <left/>
      <right style="medium">
        <color indexed="8"/>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medium">
        <color indexed="8"/>
      </right>
      <top/>
      <bottom style="medium">
        <color indexed="8"/>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right style="thin">
        <color indexed="8"/>
      </right>
      <top style="medium">
        <color indexed="8"/>
      </top>
      <bottom/>
      <diagonal/>
    </border>
    <border>
      <left/>
      <right/>
      <top style="medium">
        <color indexed="64"/>
      </top>
      <bottom style="thin">
        <color indexed="8"/>
      </bottom>
      <diagonal/>
    </border>
    <border>
      <left style="thin">
        <color indexed="8"/>
      </left>
      <right style="thin">
        <color indexed="8"/>
      </right>
      <top style="thin">
        <color indexed="8"/>
      </top>
      <bottom style="medium">
        <color indexed="64"/>
      </bottom>
      <diagonal/>
    </border>
    <border>
      <left/>
      <right style="thin">
        <color indexed="8"/>
      </right>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right style="medium">
        <color indexed="64"/>
      </right>
      <top style="thin">
        <color indexed="64"/>
      </top>
      <bottom/>
      <diagonal/>
    </border>
    <border>
      <left/>
      <right style="thin">
        <color indexed="8"/>
      </right>
      <top style="medium">
        <color indexed="64"/>
      </top>
      <bottom/>
      <diagonal/>
    </border>
    <border>
      <left style="thin">
        <color indexed="8"/>
      </left>
      <right style="medium">
        <color indexed="64"/>
      </right>
      <top/>
      <bottom style="medium">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8"/>
      </top>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64"/>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thin">
        <color indexed="64"/>
      </right>
      <top style="thin">
        <color indexed="64"/>
      </top>
      <bottom style="double">
        <color indexed="64"/>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style="thin">
        <color indexed="64"/>
      </right>
      <top style="thin">
        <color indexed="8"/>
      </top>
      <bottom/>
      <diagonal/>
    </border>
    <border>
      <left/>
      <right style="thin">
        <color indexed="64"/>
      </right>
      <top/>
      <bottom style="thin">
        <color indexed="8"/>
      </bottom>
      <diagonal/>
    </border>
    <border>
      <left style="thin">
        <color indexed="64"/>
      </left>
      <right style="medium">
        <color indexed="8"/>
      </right>
      <top style="thin">
        <color indexed="64"/>
      </top>
      <bottom/>
      <diagonal/>
    </border>
    <border>
      <left/>
      <right style="thin">
        <color indexed="64"/>
      </right>
      <top style="thin">
        <color indexed="64"/>
      </top>
      <bottom style="thin">
        <color indexed="8"/>
      </bottom>
      <diagonal/>
    </border>
    <border>
      <left style="thin">
        <color indexed="64"/>
      </left>
      <right style="thin">
        <color indexed="8"/>
      </right>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8"/>
      </right>
      <top style="thin">
        <color indexed="64"/>
      </top>
      <bottom/>
      <diagonal/>
    </border>
    <border>
      <left style="thin">
        <color indexed="64"/>
      </left>
      <right style="thin">
        <color indexed="8"/>
      </right>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64"/>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64"/>
      </top>
      <bottom/>
      <diagonal/>
    </border>
    <border>
      <left/>
      <right style="thin">
        <color indexed="8"/>
      </right>
      <top style="thin">
        <color indexed="64"/>
      </top>
      <bottom/>
      <diagonal/>
    </border>
    <border>
      <left/>
      <right style="thin">
        <color indexed="8"/>
      </right>
      <top/>
      <bottom style="thin">
        <color indexed="64"/>
      </bottom>
      <diagonal/>
    </border>
    <border>
      <left style="thin">
        <color indexed="8"/>
      </left>
      <right style="thin">
        <color indexed="8"/>
      </right>
      <top/>
      <bottom style="medium">
        <color indexed="8"/>
      </bottom>
      <diagonal/>
    </border>
    <border>
      <left/>
      <right style="thin">
        <color indexed="64"/>
      </right>
      <top style="thin">
        <color indexed="8"/>
      </top>
      <bottom style="thin">
        <color indexed="8"/>
      </bottom>
      <diagonal/>
    </border>
    <border>
      <left style="thin">
        <color indexed="64"/>
      </left>
      <right style="medium">
        <color indexed="8"/>
      </right>
      <top/>
      <bottom style="thin">
        <color indexed="8"/>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right/>
      <top style="thin">
        <color indexed="8"/>
      </top>
      <bottom style="thin">
        <color indexed="64"/>
      </bottom>
      <diagonal/>
    </border>
    <border>
      <left style="thin">
        <color indexed="64"/>
      </left>
      <right style="medium">
        <color indexed="8"/>
      </right>
      <top/>
      <bottom/>
      <diagonal/>
    </border>
    <border>
      <left style="thin">
        <color indexed="64"/>
      </left>
      <right style="thin">
        <color indexed="64"/>
      </right>
      <top style="thin">
        <color indexed="64"/>
      </top>
      <bottom style="thin">
        <color indexed="8"/>
      </bottom>
      <diagonal/>
    </border>
    <border>
      <left/>
      <right/>
      <top style="double">
        <color indexed="64"/>
      </top>
      <bottom style="double">
        <color indexed="64"/>
      </bottom>
      <diagonal/>
    </border>
    <border>
      <left style="thin">
        <color indexed="63"/>
      </left>
      <right style="thin">
        <color indexed="63"/>
      </right>
      <top style="thin">
        <color indexed="64"/>
      </top>
      <bottom style="thin">
        <color indexed="63"/>
      </bottom>
      <diagonal/>
    </border>
    <border>
      <left/>
      <right/>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style="medium">
        <color indexed="8"/>
      </left>
      <right style="medium">
        <color indexed="8"/>
      </right>
      <top/>
      <bottom/>
      <diagonal/>
    </border>
    <border>
      <left style="medium">
        <color indexed="8"/>
      </left>
      <right style="medium">
        <color indexed="8"/>
      </right>
      <top style="medium">
        <color indexed="8"/>
      </top>
      <bottom/>
      <diagonal/>
    </border>
    <border>
      <left style="thin">
        <color indexed="8"/>
      </left>
      <right/>
      <top style="medium">
        <color indexed="8"/>
      </top>
      <bottom/>
      <diagonal/>
    </border>
    <border>
      <left style="medium">
        <color indexed="8"/>
      </left>
      <right/>
      <top/>
      <bottom/>
      <diagonal/>
    </border>
    <border>
      <left style="medium">
        <color indexed="64"/>
      </left>
      <right style="medium">
        <color indexed="64"/>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style="medium">
        <color indexed="8"/>
      </right>
      <top/>
      <bottom style="medium">
        <color indexed="8"/>
      </bottom>
      <diagonal/>
    </border>
    <border>
      <left/>
      <right/>
      <top style="thin">
        <color indexed="23"/>
      </top>
      <bottom style="thin">
        <color indexed="23"/>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bottom style="medium">
        <color rgb="FF000000"/>
      </bottom>
      <diagonal/>
    </border>
  </borders>
  <cellStyleXfs count="492">
    <xf numFmtId="0" fontId="0" fillId="0" borderId="0"/>
    <xf numFmtId="9" fontId="2" fillId="0" borderId="0" applyFont="0" applyFill="0" applyBorder="0" applyAlignment="0" applyProtection="0"/>
    <xf numFmtId="0" fontId="4" fillId="0" borderId="0"/>
    <xf numFmtId="0" fontId="9" fillId="0" borderId="0"/>
    <xf numFmtId="43" fontId="9" fillId="0" borderId="0" applyFont="0" applyFill="0" applyBorder="0" applyAlignment="0" applyProtection="0"/>
    <xf numFmtId="0" fontId="9" fillId="0" borderId="0">
      <alignment vertical="center"/>
    </xf>
    <xf numFmtId="0" fontId="9" fillId="0" borderId="0">
      <alignment vertical="center"/>
    </xf>
    <xf numFmtId="43" fontId="9" fillId="0" borderId="0" applyFont="0" applyFill="0" applyBorder="0" applyAlignment="0" applyProtection="0"/>
    <xf numFmtId="0" fontId="9" fillId="0" borderId="0">
      <alignment vertical="center"/>
    </xf>
    <xf numFmtId="0" fontId="2" fillId="0" borderId="0"/>
    <xf numFmtId="171" fontId="20" fillId="0" borderId="0"/>
    <xf numFmtId="0" fontId="9" fillId="0" borderId="0"/>
    <xf numFmtId="0" fontId="19" fillId="0" borderId="0"/>
    <xf numFmtId="0" fontId="9" fillId="0" borderId="0">
      <alignment vertical="center"/>
    </xf>
    <xf numFmtId="9" fontId="9" fillId="0" borderId="0" applyFont="0" applyFill="0" applyBorder="0" applyAlignment="0" applyProtection="0"/>
    <xf numFmtId="9" fontId="2" fillId="0" borderId="0" applyFont="0" applyFill="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3" fillId="16"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3" borderId="0" applyNumberFormat="0" applyBorder="0" applyAlignment="0" applyProtection="0"/>
    <xf numFmtId="0" fontId="24" fillId="7" borderId="0" applyNumberFormat="0" applyBorder="0" applyAlignment="0" applyProtection="0"/>
    <xf numFmtId="0" fontId="25" fillId="0" borderId="0" applyNumberFormat="0" applyFill="0" applyBorder="0" applyAlignment="0" applyProtection="0"/>
    <xf numFmtId="0" fontId="26" fillId="24" borderId="42" applyNumberFormat="0" applyAlignment="0" applyProtection="0"/>
    <xf numFmtId="0" fontId="27" fillId="25" borderId="43" applyNumberFormat="0" applyAlignment="0" applyProtection="0"/>
    <xf numFmtId="0" fontId="28" fillId="0" borderId="44"/>
    <xf numFmtId="172"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4" fontId="2" fillId="0" borderId="0" applyFont="0" applyFill="0" applyBorder="0" applyAlignment="0" applyProtection="0"/>
    <xf numFmtId="165" fontId="9" fillId="0" borderId="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2" fontId="2" fillId="0" borderId="0" applyFont="0" applyFill="0" applyBorder="0" applyAlignment="0" applyProtection="0"/>
    <xf numFmtId="0" fontId="28" fillId="0" borderId="44"/>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29" fillId="0" borderId="0" applyNumberFormat="0" applyFill="0" applyBorder="0" applyAlignment="0" applyProtection="0"/>
    <xf numFmtId="0" fontId="30" fillId="8" borderId="0" applyNumberFormat="0" applyBorder="0" applyAlignment="0" applyProtection="0"/>
    <xf numFmtId="38" fontId="11" fillId="26" borderId="0" applyNumberFormat="0" applyBorder="0" applyAlignment="0" applyProtection="0"/>
    <xf numFmtId="0" fontId="6" fillId="0" borderId="21" applyNumberFormat="0" applyAlignment="0" applyProtection="0">
      <alignment horizontal="left" vertical="center"/>
    </xf>
    <xf numFmtId="0" fontId="6" fillId="0" borderId="18">
      <alignment horizontal="left" vertical="center"/>
    </xf>
    <xf numFmtId="0" fontId="31" fillId="0" borderId="45" applyNumberFormat="0" applyFill="0" applyAlignment="0" applyProtection="0"/>
    <xf numFmtId="0" fontId="32" fillId="0" borderId="46" applyNumberFormat="0" applyFill="0" applyAlignment="0" applyProtection="0"/>
    <xf numFmtId="0" fontId="33" fillId="0" borderId="47"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10" fontId="11" fillId="27" borderId="6" applyNumberFormat="0" applyBorder="0" applyAlignment="0" applyProtection="0"/>
    <xf numFmtId="0" fontId="35" fillId="11" borderId="42" applyNumberFormat="0" applyAlignment="0" applyProtection="0"/>
    <xf numFmtId="0" fontId="36" fillId="0" borderId="48" applyNumberFormat="0" applyFill="0" applyAlignment="0" applyProtection="0"/>
    <xf numFmtId="0" fontId="37" fillId="28" borderId="0" applyNumberFormat="0" applyBorder="0" applyAlignment="0" applyProtection="0"/>
    <xf numFmtId="37" fontId="38" fillId="0" borderId="0"/>
    <xf numFmtId="165" fontId="3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40"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9" borderId="49" applyNumberFormat="0" applyFont="0" applyAlignment="0" applyProtection="0"/>
    <xf numFmtId="0" fontId="41" fillId="24" borderId="50" applyNumberFormat="0" applyAlignment="0" applyProtection="0"/>
    <xf numFmtId="173"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 fillId="0" borderId="0"/>
    <xf numFmtId="0" fontId="42" fillId="0" borderId="0" applyNumberFormat="0" applyFill="0" applyBorder="0" applyAlignment="0" applyProtection="0"/>
    <xf numFmtId="0" fontId="43" fillId="0" borderId="51" applyNumberFormat="0" applyFill="0" applyAlignment="0" applyProtection="0"/>
    <xf numFmtId="0" fontId="44" fillId="0" borderId="0" applyNumberFormat="0" applyFill="0" applyBorder="0" applyAlignment="0" applyProtection="0"/>
    <xf numFmtId="9" fontId="9" fillId="0" borderId="0" applyFill="0" applyBorder="0" applyAlignment="0" applyProtection="0"/>
    <xf numFmtId="0" fontId="9" fillId="0" borderId="0">
      <alignment vertical="center"/>
    </xf>
    <xf numFmtId="9" fontId="21" fillId="0" borderId="0" applyFont="0" applyFill="0" applyBorder="0" applyAlignment="0" applyProtection="0"/>
    <xf numFmtId="0" fontId="48" fillId="0" borderId="0" applyNumberFormat="0" applyFill="0" applyBorder="0" applyAlignment="0" applyProtection="0"/>
    <xf numFmtId="0" fontId="60" fillId="0" borderId="0"/>
    <xf numFmtId="0" fontId="86" fillId="0" borderId="0" applyNumberFormat="0" applyFill="0" applyBorder="0" applyAlignment="0" applyProtection="0">
      <alignment vertical="top"/>
      <protection locked="0"/>
    </xf>
    <xf numFmtId="0" fontId="9" fillId="0" borderId="0"/>
    <xf numFmtId="0" fontId="88" fillId="0" borderId="0"/>
    <xf numFmtId="0" fontId="9" fillId="0" borderId="0"/>
    <xf numFmtId="44" fontId="9" fillId="0" borderId="0" applyFill="0" applyBorder="0" applyAlignment="0" applyProtection="0"/>
    <xf numFmtId="44" fontId="9" fillId="0" borderId="0" applyFill="0" applyBorder="0" applyAlignment="0" applyProtection="0"/>
    <xf numFmtId="164" fontId="21"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0" fontId="9" fillId="0" borderId="0" applyFont="0" applyFill="0" applyBorder="0" applyAlignment="0" applyProtection="0"/>
    <xf numFmtId="183" fontId="9" fillId="0" borderId="0" applyFill="0" applyBorder="0" applyAlignment="0" applyProtection="0"/>
    <xf numFmtId="0" fontId="2" fillId="0" borderId="0"/>
    <xf numFmtId="0" fontId="88" fillId="0" borderId="0"/>
    <xf numFmtId="0" fontId="21" fillId="0" borderId="0"/>
    <xf numFmtId="0" fontId="21" fillId="0" borderId="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3" fillId="16"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3" borderId="0" applyNumberFormat="0" applyBorder="0" applyAlignment="0" applyProtection="0"/>
    <xf numFmtId="0" fontId="24" fillId="7" borderId="0" applyNumberFormat="0" applyBorder="0" applyAlignment="0" applyProtection="0"/>
    <xf numFmtId="0" fontId="26" fillId="24" borderId="42" applyNumberFormat="0" applyAlignment="0" applyProtection="0"/>
    <xf numFmtId="43" fontId="4" fillId="41" borderId="19" applyNumberFormat="0" applyFont="0" applyAlignment="0"/>
    <xf numFmtId="43" fontId="4" fillId="41" borderId="19" applyNumberFormat="0" applyFont="0" applyAlignment="0"/>
    <xf numFmtId="43" fontId="4" fillId="41" borderId="19" applyNumberFormat="0" applyFont="0" applyAlignment="0"/>
    <xf numFmtId="43" fontId="4" fillId="41" borderId="19" applyNumberFormat="0" applyFont="0" applyAlignment="0"/>
    <xf numFmtId="43" fontId="4" fillId="41" borderId="19" applyNumberFormat="0" applyFont="0" applyAlignment="0"/>
    <xf numFmtId="43" fontId="4" fillId="41" borderId="19" applyNumberFormat="0" applyFont="0" applyAlignment="0"/>
    <xf numFmtId="0" fontId="27" fillId="25" borderId="43" applyNumberFormat="0" applyAlignment="0" applyProtection="0"/>
    <xf numFmtId="43" fontId="9" fillId="0" borderId="0" applyFont="0" applyFill="0" applyBorder="0" applyAlignment="0" applyProtection="0"/>
    <xf numFmtId="195" fontId="9" fillId="0" borderId="0" applyFont="0" applyFill="0" applyBorder="0" applyAlignment="0" applyProtection="0"/>
    <xf numFmtId="43" fontId="9" fillId="0" borderId="0" applyFont="0" applyFill="0" applyBorder="0" applyAlignment="0" applyProtection="0"/>
    <xf numFmtId="19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5" fillId="0" borderId="0" applyFont="0" applyFill="0" applyBorder="0" applyAlignment="0" applyProtection="0"/>
    <xf numFmtId="15" fontId="166" fillId="0" borderId="24"/>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0" fontId="29" fillId="0" borderId="0" applyNumberFormat="0" applyFill="0" applyBorder="0" applyAlignment="0" applyProtection="0"/>
    <xf numFmtId="37" fontId="167" fillId="27" borderId="24" applyNumberFormat="0" applyBorder="0">
      <alignment horizontal="center"/>
    </xf>
    <xf numFmtId="177" fontId="166" fillId="0" borderId="0" applyNumberFormat="0" applyFont="0" applyFill="0" applyBorder="0" applyAlignment="0">
      <alignment horizontal="centerContinuous"/>
    </xf>
    <xf numFmtId="0" fontId="30" fillId="8" borderId="0" applyNumberFormat="0" applyBorder="0" applyAlignment="0" applyProtection="0"/>
    <xf numFmtId="0" fontId="18" fillId="5" borderId="178" applyNumberFormat="0" applyAlignment="0"/>
    <xf numFmtId="0" fontId="168" fillId="42" borderId="0" applyNumberFormat="0" applyAlignment="0"/>
    <xf numFmtId="0" fontId="31" fillId="0" borderId="45" applyNumberFormat="0" applyFill="0" applyAlignment="0" applyProtection="0"/>
    <xf numFmtId="0" fontId="32" fillId="0" borderId="46" applyNumberFormat="0" applyFill="0" applyAlignment="0" applyProtection="0"/>
    <xf numFmtId="0" fontId="33" fillId="0" borderId="47" applyNumberFormat="0" applyFill="0" applyAlignment="0" applyProtection="0"/>
    <xf numFmtId="0" fontId="33" fillId="0" borderId="0" applyNumberFormat="0" applyFill="0" applyBorder="0" applyAlignment="0" applyProtection="0"/>
    <xf numFmtId="0" fontId="35" fillId="11" borderId="42" applyNumberFormat="0" applyAlignment="0" applyProtection="0"/>
    <xf numFmtId="0" fontId="36" fillId="0" borderId="48" applyNumberFormat="0" applyFill="0" applyAlignment="0" applyProtection="0"/>
    <xf numFmtId="0" fontId="37" fillId="28" borderId="0" applyNumberFormat="0" applyBorder="0" applyAlignment="0" applyProtection="0"/>
    <xf numFmtId="37" fontId="38" fillId="0" borderId="0"/>
    <xf numFmtId="37" fontId="38" fillId="0" borderId="0"/>
    <xf numFmtId="37" fontId="38" fillId="0" borderId="0"/>
    <xf numFmtId="37" fontId="38" fillId="0" borderId="0"/>
    <xf numFmtId="37" fontId="38" fillId="0" borderId="0"/>
    <xf numFmtId="0" fontId="9" fillId="0" borderId="0"/>
    <xf numFmtId="0" fontId="9" fillId="0" borderId="0"/>
    <xf numFmtId="0" fontId="9" fillId="0" borderId="0"/>
    <xf numFmtId="0" fontId="9" fillId="0" borderId="0"/>
    <xf numFmtId="0" fontId="9" fillId="0" borderId="0" applyBorder="0"/>
    <xf numFmtId="197" fontId="40" fillId="0" borderId="0"/>
    <xf numFmtId="197" fontId="40" fillId="0" borderId="0"/>
    <xf numFmtId="197" fontId="40" fillId="0" borderId="0"/>
    <xf numFmtId="197" fontId="40" fillId="0" borderId="0"/>
    <xf numFmtId="197" fontId="40" fillId="0" borderId="0"/>
    <xf numFmtId="0" fontId="9" fillId="0" borderId="0" applyBorder="0"/>
    <xf numFmtId="0" fontId="169" fillId="29" borderId="49" applyNumberFormat="0" applyFont="0" applyAlignment="0" applyProtection="0"/>
    <xf numFmtId="177" fontId="170" fillId="0" borderId="6"/>
    <xf numFmtId="0" fontId="41" fillId="24" borderId="50" applyNumberFormat="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1" fillId="0" borderId="0" applyFon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4" fontId="59" fillId="34" borderId="50" applyNumberFormat="0" applyProtection="0">
      <alignment vertical="center"/>
    </xf>
    <xf numFmtId="4" fontId="172" fillId="34" borderId="50" applyNumberFormat="0" applyProtection="0">
      <alignment vertical="center"/>
    </xf>
    <xf numFmtId="4" fontId="59" fillId="34" borderId="50" applyNumberFormat="0" applyProtection="0">
      <alignment horizontal="left" vertical="center" indent="1"/>
    </xf>
    <xf numFmtId="4" fontId="59" fillId="34" borderId="50" applyNumberFormat="0" applyProtection="0">
      <alignment horizontal="left" vertical="center" indent="1"/>
    </xf>
    <xf numFmtId="0" fontId="9" fillId="43" borderId="50" applyNumberFormat="0" applyProtection="0">
      <alignment horizontal="left" vertical="center" indent="1"/>
    </xf>
    <xf numFmtId="4" fontId="59" fillId="44" borderId="50" applyNumberFormat="0" applyProtection="0">
      <alignment horizontal="right" vertical="center"/>
    </xf>
    <xf numFmtId="4" fontId="59" fillId="45" borderId="50" applyNumberFormat="0" applyProtection="0">
      <alignment horizontal="right" vertical="center"/>
    </xf>
    <xf numFmtId="4" fontId="59" fillId="46" borderId="50" applyNumberFormat="0" applyProtection="0">
      <alignment horizontal="right" vertical="center"/>
    </xf>
    <xf numFmtId="4" fontId="59" fillId="47" borderId="50" applyNumberFormat="0" applyProtection="0">
      <alignment horizontal="right" vertical="center"/>
    </xf>
    <xf numFmtId="4" fontId="59" fillId="48" borderId="50" applyNumberFormat="0" applyProtection="0">
      <alignment horizontal="right" vertical="center"/>
    </xf>
    <xf numFmtId="4" fontId="59" fillId="49" borderId="50" applyNumberFormat="0" applyProtection="0">
      <alignment horizontal="right" vertical="center"/>
    </xf>
    <xf numFmtId="4" fontId="59" fillId="50" borderId="50" applyNumberFormat="0" applyProtection="0">
      <alignment horizontal="right" vertical="center"/>
    </xf>
    <xf numFmtId="4" fontId="59" fillId="51" borderId="50" applyNumberFormat="0" applyProtection="0">
      <alignment horizontal="right" vertical="center"/>
    </xf>
    <xf numFmtId="4" fontId="59" fillId="52" borderId="50" applyNumberFormat="0" applyProtection="0">
      <alignment horizontal="right" vertical="center"/>
    </xf>
    <xf numFmtId="4" fontId="173" fillId="53" borderId="50" applyNumberFormat="0" applyProtection="0">
      <alignment horizontal="left" vertical="center" indent="1"/>
    </xf>
    <xf numFmtId="4" fontId="59" fillId="54" borderId="179" applyNumberFormat="0" applyProtection="0">
      <alignment horizontal="left" vertical="center" indent="1"/>
    </xf>
    <xf numFmtId="4" fontId="174" fillId="55" borderId="0" applyNumberFormat="0" applyProtection="0">
      <alignment horizontal="left" vertical="center" indent="1"/>
    </xf>
    <xf numFmtId="0" fontId="9" fillId="43" borderId="50" applyNumberFormat="0" applyProtection="0">
      <alignment horizontal="left" vertical="center" indent="1"/>
    </xf>
    <xf numFmtId="4" fontId="59" fillId="54" borderId="50" applyNumberFormat="0" applyProtection="0">
      <alignment horizontal="left" vertical="center" indent="1"/>
    </xf>
    <xf numFmtId="4" fontId="59" fillId="56" borderId="50" applyNumberFormat="0" applyProtection="0">
      <alignment horizontal="left" vertical="center" indent="1"/>
    </xf>
    <xf numFmtId="0" fontId="9" fillId="56" borderId="50" applyNumberFormat="0" applyProtection="0">
      <alignment horizontal="left" vertical="center" indent="1"/>
    </xf>
    <xf numFmtId="0" fontId="9" fillId="56" borderId="50" applyNumberFormat="0" applyProtection="0">
      <alignment horizontal="left" vertical="center" indent="1"/>
    </xf>
    <xf numFmtId="0" fontId="9" fillId="57" borderId="50" applyNumberFormat="0" applyProtection="0">
      <alignment horizontal="left" vertical="center" indent="1"/>
    </xf>
    <xf numFmtId="0" fontId="9" fillId="57" borderId="50" applyNumberFormat="0" applyProtection="0">
      <alignment horizontal="left" vertical="center" indent="1"/>
    </xf>
    <xf numFmtId="0" fontId="9" fillId="26" borderId="50" applyNumberFormat="0" applyProtection="0">
      <alignment horizontal="left" vertical="center" indent="1"/>
    </xf>
    <xf numFmtId="0" fontId="9" fillId="26" borderId="50" applyNumberFormat="0" applyProtection="0">
      <alignment horizontal="left" vertical="center" indent="1"/>
    </xf>
    <xf numFmtId="0" fontId="9" fillId="43" borderId="50" applyNumberFormat="0" applyProtection="0">
      <alignment horizontal="left" vertical="center" indent="1"/>
    </xf>
    <xf numFmtId="0" fontId="9" fillId="43" borderId="50" applyNumberFormat="0" applyProtection="0">
      <alignment horizontal="left" vertical="center" indent="1"/>
    </xf>
    <xf numFmtId="4" fontId="59" fillId="27" borderId="50" applyNumberFormat="0" applyProtection="0">
      <alignment vertical="center"/>
    </xf>
    <xf numFmtId="4" fontId="172" fillId="27" borderId="50" applyNumberFormat="0" applyProtection="0">
      <alignment vertical="center"/>
    </xf>
    <xf numFmtId="4" fontId="59" fillId="27" borderId="50" applyNumberFormat="0" applyProtection="0">
      <alignment horizontal="left" vertical="center" indent="1"/>
    </xf>
    <xf numFmtId="4" fontId="59" fillId="27" borderId="50" applyNumberFormat="0" applyProtection="0">
      <alignment horizontal="left" vertical="center" indent="1"/>
    </xf>
    <xf numFmtId="4" fontId="59" fillId="54" borderId="50" applyNumberFormat="0" applyProtection="0">
      <alignment horizontal="right" vertical="center"/>
    </xf>
    <xf numFmtId="4" fontId="172" fillId="54" borderId="50" applyNumberFormat="0" applyProtection="0">
      <alignment horizontal="right" vertical="center"/>
    </xf>
    <xf numFmtId="0" fontId="9" fillId="43" borderId="50" applyNumberFormat="0" applyProtection="0">
      <alignment horizontal="left" vertical="center" indent="1"/>
    </xf>
    <xf numFmtId="0" fontId="9" fillId="43" borderId="50" applyNumberFormat="0" applyProtection="0">
      <alignment horizontal="left" vertical="center" indent="1"/>
    </xf>
    <xf numFmtId="0" fontId="175" fillId="0" borderId="0"/>
    <xf numFmtId="4" fontId="176" fillId="54" borderId="50" applyNumberFormat="0" applyProtection="0">
      <alignment horizontal="right" vertical="center"/>
    </xf>
    <xf numFmtId="0" fontId="4" fillId="34" borderId="21" applyNumberFormat="0" applyAlignment="0">
      <alignment horizontal="left"/>
    </xf>
    <xf numFmtId="0" fontId="4" fillId="34" borderId="21" applyNumberFormat="0" applyAlignment="0">
      <alignment horizontal="left"/>
    </xf>
    <xf numFmtId="0" fontId="4" fillId="34" borderId="21" applyNumberFormat="0" applyAlignment="0">
      <alignment horizontal="left"/>
    </xf>
    <xf numFmtId="0" fontId="4" fillId="34" borderId="21" applyNumberFormat="0" applyAlignment="0">
      <alignment horizontal="left"/>
    </xf>
    <xf numFmtId="0" fontId="4" fillId="34" borderId="21" applyNumberFormat="0" applyAlignment="0">
      <alignment horizontal="left"/>
    </xf>
    <xf numFmtId="0" fontId="4" fillId="34" borderId="21" applyNumberFormat="0" applyAlignment="0">
      <alignment horizontal="left"/>
    </xf>
    <xf numFmtId="0" fontId="42" fillId="0" borderId="0" applyNumberFormat="0" applyFill="0" applyBorder="0" applyAlignment="0" applyProtection="0"/>
    <xf numFmtId="0" fontId="43" fillId="0" borderId="51" applyNumberFormat="0" applyFill="0" applyAlignment="0" applyProtection="0"/>
    <xf numFmtId="43" fontId="177" fillId="58" borderId="6">
      <alignment vertical="center" wrapText="1"/>
    </xf>
    <xf numFmtId="0" fontId="44" fillId="0" borderId="0" applyNumberFormat="0" applyFill="0" applyBorder="0" applyAlignment="0" applyProtection="0"/>
    <xf numFmtId="0" fontId="88" fillId="0" borderId="0"/>
    <xf numFmtId="0" fontId="9" fillId="0" borderId="0"/>
    <xf numFmtId="0" fontId="9" fillId="0" borderId="0"/>
    <xf numFmtId="0" fontId="9" fillId="0" borderId="0"/>
    <xf numFmtId="165" fontId="88" fillId="0" borderId="0"/>
    <xf numFmtId="0" fontId="9" fillId="0" borderId="0" applyNumberFormat="0" applyFill="0" applyBorder="0" applyAlignment="0" applyProtection="0"/>
    <xf numFmtId="200" fontId="2" fillId="0" borderId="0" applyFont="0" applyFill="0" applyBorder="0" applyAlignment="0" applyProtection="0"/>
    <xf numFmtId="200" fontId="9" fillId="0" borderId="0" applyFont="0" applyFill="0" applyBorder="0" applyAlignment="0" applyProtection="0"/>
    <xf numFmtId="0" fontId="28" fillId="0" borderId="0"/>
    <xf numFmtId="0" fontId="28" fillId="0" borderId="0"/>
    <xf numFmtId="0" fontId="20" fillId="0" borderId="0"/>
    <xf numFmtId="0" fontId="20" fillId="0" borderId="62"/>
    <xf numFmtId="0" fontId="197" fillId="0" borderId="0"/>
    <xf numFmtId="0" fontId="21" fillId="0" borderId="0"/>
    <xf numFmtId="0" fontId="198" fillId="0" borderId="0"/>
    <xf numFmtId="201" fontId="9" fillId="0" borderId="0">
      <protection locked="0"/>
    </xf>
    <xf numFmtId="0" fontId="28" fillId="0" borderId="0"/>
    <xf numFmtId="0" fontId="40" fillId="0" borderId="33" applyNumberFormat="0" applyFill="0" applyBorder="0" applyAlignment="0" applyProtection="0">
      <protection locked="0"/>
    </xf>
    <xf numFmtId="0" fontId="199" fillId="0" borderId="0"/>
    <xf numFmtId="202" fontId="9" fillId="0" borderId="0">
      <protection locked="0"/>
    </xf>
    <xf numFmtId="202" fontId="9" fillId="0" borderId="0">
      <protection locked="0"/>
    </xf>
    <xf numFmtId="203" fontId="9" fillId="0" borderId="0" applyFont="0" applyFill="0" applyBorder="0" applyAlignment="0" applyProtection="0"/>
    <xf numFmtId="204" fontId="10" fillId="0" borderId="0"/>
    <xf numFmtId="205" fontId="9" fillId="0" borderId="0"/>
    <xf numFmtId="204" fontId="10" fillId="0" borderId="0" applyFont="0" applyFill="0" applyBorder="0" applyAlignment="0" applyProtection="0"/>
    <xf numFmtId="39" fontId="10" fillId="0" borderId="3"/>
    <xf numFmtId="0" fontId="200" fillId="59" borderId="62"/>
    <xf numFmtId="206" fontId="9" fillId="0" borderId="0" applyFont="0" applyFill="0" applyBorder="0" applyAlignment="0" applyProtection="0"/>
    <xf numFmtId="207" fontId="9" fillId="0" borderId="0" applyFont="0" applyFill="0" applyBorder="0" applyAlignment="0" applyProtection="0"/>
    <xf numFmtId="208" fontId="9" fillId="0" borderId="0" applyFont="0" applyFill="0" applyBorder="0" applyAlignment="0" applyProtection="0"/>
    <xf numFmtId="209" fontId="9" fillId="0" borderId="0" applyFont="0" applyFill="0" applyBorder="0" applyAlignment="0" applyProtection="0"/>
    <xf numFmtId="0" fontId="9" fillId="0" borderId="0"/>
    <xf numFmtId="0" fontId="2" fillId="0" borderId="0"/>
    <xf numFmtId="0" fontId="9" fillId="0" borderId="0"/>
    <xf numFmtId="0" fontId="2" fillId="0" borderId="0"/>
    <xf numFmtId="0" fontId="9" fillId="0" borderId="0"/>
    <xf numFmtId="0" fontId="9" fillId="0" borderId="0"/>
    <xf numFmtId="1" fontId="9" fillId="0" borderId="0" applyFont="0"/>
    <xf numFmtId="0" fontId="28" fillId="0" borderId="0"/>
    <xf numFmtId="0" fontId="20" fillId="0" borderId="0"/>
    <xf numFmtId="210" fontId="9" fillId="0" borderId="0">
      <alignment horizontal="right"/>
    </xf>
    <xf numFmtId="211" fontId="10" fillId="0" borderId="12" applyFont="0" applyFill="0" applyBorder="0" applyAlignment="0" applyProtection="0"/>
    <xf numFmtId="0" fontId="9" fillId="43" borderId="50" applyNumberFormat="0" applyProtection="0">
      <alignment horizontal="left" vertical="center" indent="1"/>
    </xf>
    <xf numFmtId="49" fontId="201" fillId="26" borderId="193">
      <alignment horizontal="centerContinuous" vertical="center"/>
    </xf>
    <xf numFmtId="0" fontId="20" fillId="0" borderId="62"/>
    <xf numFmtId="0" fontId="198" fillId="0" borderId="0"/>
    <xf numFmtId="40" fontId="17" fillId="0" borderId="0"/>
    <xf numFmtId="0" fontId="202" fillId="60" borderId="0"/>
    <xf numFmtId="0" fontId="200" fillId="0" borderId="194"/>
    <xf numFmtId="0" fontId="200" fillId="0" borderId="62"/>
    <xf numFmtId="0" fontId="203" fillId="0" borderId="0"/>
    <xf numFmtId="0" fontId="204" fillId="0" borderId="0" applyFont="0" applyFill="0" applyBorder="0" applyAlignment="0" applyProtection="0"/>
    <xf numFmtId="0" fontId="204" fillId="0" borderId="0" applyFont="0" applyFill="0" applyBorder="0" applyAlignment="0" applyProtection="0"/>
    <xf numFmtId="0" fontId="204" fillId="0" borderId="0" applyFont="0" applyFill="0" applyBorder="0" applyAlignment="0" applyProtection="0"/>
    <xf numFmtId="0" fontId="204" fillId="0" borderId="0" applyFont="0" applyFill="0" applyBorder="0" applyAlignment="0" applyProtection="0"/>
    <xf numFmtId="0" fontId="204" fillId="0" borderId="0"/>
    <xf numFmtId="0" fontId="205" fillId="0" borderId="0"/>
    <xf numFmtId="0" fontId="206" fillId="0" borderId="0">
      <alignment vertical="center"/>
    </xf>
    <xf numFmtId="0" fontId="205" fillId="0" borderId="0">
      <alignment vertical="center"/>
    </xf>
    <xf numFmtId="40" fontId="207" fillId="0" borderId="0" applyFont="0" applyFill="0" applyBorder="0" applyAlignment="0" applyProtection="0"/>
    <xf numFmtId="38" fontId="207" fillId="0" borderId="0" applyFont="0" applyFill="0" applyBorder="0" applyAlignment="0" applyProtection="0"/>
    <xf numFmtId="0" fontId="208" fillId="0" borderId="0"/>
    <xf numFmtId="212" fontId="207" fillId="0" borderId="0" applyFont="0" applyFill="0" applyBorder="0" applyAlignment="0" applyProtection="0"/>
    <xf numFmtId="213" fontId="207" fillId="0" borderId="0" applyFont="0" applyFill="0" applyBorder="0" applyAlignment="0" applyProtection="0"/>
    <xf numFmtId="164" fontId="2" fillId="0" borderId="0" applyFont="0" applyFill="0" applyBorder="0" applyAlignment="0" applyProtection="0"/>
    <xf numFmtId="165" fontId="20" fillId="0" borderId="0"/>
    <xf numFmtId="165" fontId="20" fillId="0" borderId="0"/>
    <xf numFmtId="0" fontId="232" fillId="0" borderId="0"/>
    <xf numFmtId="0" fontId="232" fillId="0" borderId="0">
      <alignment vertical="center"/>
    </xf>
    <xf numFmtId="0" fontId="237" fillId="0" borderId="0"/>
  </cellStyleXfs>
  <cellXfs count="6416">
    <xf numFmtId="0" fontId="0" fillId="0" borderId="0" xfId="0"/>
    <xf numFmtId="0" fontId="0" fillId="0" borderId="6" xfId="0" applyBorder="1"/>
    <xf numFmtId="0" fontId="3" fillId="0" borderId="6" xfId="0" applyFont="1" applyBorder="1"/>
    <xf numFmtId="0" fontId="0" fillId="0" borderId="1" xfId="0" applyBorder="1" applyAlignment="1"/>
    <xf numFmtId="0" fontId="0" fillId="0" borderId="3" xfId="0" applyBorder="1" applyAlignment="1"/>
    <xf numFmtId="0" fontId="0" fillId="0" borderId="8" xfId="0" applyBorder="1" applyAlignment="1"/>
    <xf numFmtId="0" fontId="3" fillId="0" borderId="0" xfId="0" applyFont="1" applyBorder="1"/>
    <xf numFmtId="0" fontId="3" fillId="3" borderId="6" xfId="0" applyFont="1" applyFill="1" applyBorder="1" applyAlignment="1">
      <alignment wrapText="1"/>
    </xf>
    <xf numFmtId="0" fontId="3" fillId="3" borderId="6" xfId="0" applyFont="1" applyFill="1" applyBorder="1" applyAlignment="1">
      <alignment horizontal="center" wrapText="1"/>
    </xf>
    <xf numFmtId="0" fontId="3" fillId="3" borderId="6" xfId="0" applyFont="1" applyFill="1" applyBorder="1" applyAlignment="1">
      <alignment horizontal="left" wrapText="1"/>
    </xf>
    <xf numFmtId="0" fontId="5" fillId="0" borderId="0" xfId="3" applyFont="1" applyAlignment="1">
      <alignment horizontal="center" vertical="center"/>
    </xf>
    <xf numFmtId="0" fontId="14" fillId="0" borderId="0" xfId="6" applyFont="1">
      <alignment vertical="center"/>
    </xf>
    <xf numFmtId="0" fontId="14" fillId="0" borderId="0" xfId="3" applyFont="1" applyBorder="1"/>
    <xf numFmtId="0" fontId="19" fillId="0" borderId="0" xfId="6" applyFont="1">
      <alignment vertical="center"/>
    </xf>
    <xf numFmtId="0" fontId="18" fillId="0" borderId="0" xfId="6" applyFont="1" applyAlignment="1">
      <alignment horizontal="right" vertical="center"/>
    </xf>
    <xf numFmtId="0" fontId="3" fillId="3" borderId="2" xfId="0" applyFont="1" applyFill="1" applyBorder="1" applyAlignment="1">
      <alignment wrapText="1"/>
    </xf>
    <xf numFmtId="0" fontId="0" fillId="0" borderId="8" xfId="0" applyBorder="1"/>
    <xf numFmtId="0" fontId="15" fillId="4" borderId="0" xfId="3" applyFont="1" applyFill="1" applyBorder="1" applyAlignment="1">
      <alignment vertical="top"/>
    </xf>
    <xf numFmtId="0" fontId="9" fillId="0" borderId="0" xfId="78"/>
    <xf numFmtId="0" fontId="9" fillId="0" borderId="0" xfId="78" applyBorder="1"/>
    <xf numFmtId="0" fontId="9" fillId="0" borderId="60" xfId="78" applyBorder="1"/>
    <xf numFmtId="0" fontId="9" fillId="0" borderId="62" xfId="78" applyFont="1" applyBorder="1"/>
    <xf numFmtId="0" fontId="9" fillId="0" borderId="65" xfId="78" applyFont="1" applyBorder="1"/>
    <xf numFmtId="2" fontId="9" fillId="0" borderId="0" xfId="78" applyNumberFormat="1"/>
    <xf numFmtId="0" fontId="13" fillId="0" borderId="0" xfId="78" applyFont="1" applyFill="1" applyBorder="1"/>
    <xf numFmtId="0" fontId="9" fillId="0" borderId="6" xfId="78" applyBorder="1"/>
    <xf numFmtId="0" fontId="14" fillId="30" borderId="62" xfId="78" applyFont="1" applyFill="1" applyBorder="1" applyAlignment="1" applyProtection="1">
      <alignment horizontal="left"/>
    </xf>
    <xf numFmtId="0" fontId="14" fillId="30" borderId="65" xfId="78" applyFont="1" applyFill="1" applyBorder="1" applyAlignment="1" applyProtection="1">
      <alignment horizontal="left"/>
    </xf>
    <xf numFmtId="0" fontId="9" fillId="0" borderId="68" xfId="78" applyBorder="1"/>
    <xf numFmtId="2" fontId="9" fillId="0" borderId="62" xfId="78" applyNumberFormat="1" applyBorder="1"/>
    <xf numFmtId="0" fontId="5" fillId="0" borderId="0" xfId="78" applyFont="1"/>
    <xf numFmtId="2" fontId="9" fillId="0" borderId="62" xfId="78" applyNumberFormat="1" applyFont="1" applyBorder="1"/>
    <xf numFmtId="0" fontId="9" fillId="0" borderId="44" xfId="78" applyBorder="1"/>
    <xf numFmtId="0" fontId="9" fillId="0" borderId="67" xfId="78" applyFont="1" applyBorder="1"/>
    <xf numFmtId="0" fontId="12" fillId="0" borderId="0" xfId="78" applyFont="1" applyBorder="1"/>
    <xf numFmtId="0" fontId="10" fillId="0" borderId="0" xfId="78" applyFont="1" applyBorder="1"/>
    <xf numFmtId="0" fontId="10" fillId="0" borderId="0" xfId="78" applyFont="1"/>
    <xf numFmtId="0" fontId="10" fillId="0" borderId="68" xfId="78" applyFont="1" applyBorder="1"/>
    <xf numFmtId="0" fontId="10" fillId="0" borderId="67" xfId="78" applyFont="1" applyBorder="1"/>
    <xf numFmtId="0" fontId="10" fillId="0" borderId="62" xfId="78" applyFont="1" applyBorder="1"/>
    <xf numFmtId="2" fontId="10" fillId="0" borderId="68" xfId="78" applyNumberFormat="1" applyFont="1" applyBorder="1"/>
    <xf numFmtId="0" fontId="12" fillId="0" borderId="64" xfId="78" applyFont="1" applyBorder="1"/>
    <xf numFmtId="0" fontId="4" fillId="0" borderId="62" xfId="78" applyFont="1" applyBorder="1"/>
    <xf numFmtId="2" fontId="10" fillId="0" borderId="81" xfId="78" applyNumberFormat="1" applyFont="1" applyBorder="1"/>
    <xf numFmtId="2" fontId="4" fillId="0" borderId="62" xfId="78" applyNumberFormat="1" applyFont="1" applyBorder="1"/>
    <xf numFmtId="2" fontId="10" fillId="0" borderId="67" xfId="78" applyNumberFormat="1" applyFont="1" applyBorder="1"/>
    <xf numFmtId="2" fontId="10" fillId="0" borderId="69" xfId="78" applyNumberFormat="1" applyFont="1" applyBorder="1"/>
    <xf numFmtId="0" fontId="10" fillId="0" borderId="69" xfId="78" applyFont="1" applyBorder="1"/>
    <xf numFmtId="0" fontId="10" fillId="0" borderId="67" xfId="78" applyFont="1" applyBorder="1" applyAlignment="1">
      <alignment vertical="center"/>
    </xf>
    <xf numFmtId="0" fontId="14" fillId="0" borderId="0" xfId="257" applyFont="1" applyBorder="1" applyAlignment="1">
      <alignment horizontal="center" vertical="center"/>
    </xf>
    <xf numFmtId="0" fontId="14" fillId="0" borderId="0" xfId="257" applyFont="1" applyBorder="1">
      <alignment vertical="center"/>
    </xf>
    <xf numFmtId="0" fontId="14" fillId="0" borderId="60" xfId="78" applyFont="1" applyBorder="1"/>
    <xf numFmtId="0" fontId="9" fillId="0" borderId="61" xfId="78" applyFont="1" applyBorder="1"/>
    <xf numFmtId="0" fontId="14" fillId="0" borderId="67" xfId="257" applyFont="1" applyBorder="1">
      <alignment vertical="center"/>
    </xf>
    <xf numFmtId="0" fontId="14" fillId="30" borderId="60" xfId="78" applyFont="1" applyFill="1" applyBorder="1" applyAlignment="1" applyProtection="1">
      <alignment horizontal="left"/>
    </xf>
    <xf numFmtId="0" fontId="14" fillId="30" borderId="60" xfId="78" applyFont="1" applyFill="1" applyBorder="1" applyAlignment="1" applyProtection="1">
      <alignment horizontal="left" wrapText="1"/>
    </xf>
    <xf numFmtId="2" fontId="9" fillId="0" borderId="61" xfId="78" applyNumberFormat="1" applyBorder="1"/>
    <xf numFmtId="2" fontId="9" fillId="0" borderId="65" xfId="78" applyNumberFormat="1" applyBorder="1"/>
    <xf numFmtId="2" fontId="9" fillId="0" borderId="0" xfId="78" applyNumberFormat="1" applyBorder="1"/>
    <xf numFmtId="0" fontId="14" fillId="30" borderId="79" xfId="78" applyFont="1" applyFill="1" applyBorder="1" applyAlignment="1" applyProtection="1">
      <alignment horizontal="left"/>
    </xf>
    <xf numFmtId="2" fontId="9" fillId="0" borderId="44" xfId="78" applyNumberFormat="1" applyBorder="1"/>
    <xf numFmtId="0" fontId="14" fillId="0" borderId="68" xfId="257" applyFont="1" applyBorder="1">
      <alignment vertical="center"/>
    </xf>
    <xf numFmtId="0" fontId="17" fillId="30" borderId="60" xfId="78" applyFont="1" applyFill="1" applyBorder="1" applyAlignment="1" applyProtection="1">
      <alignment horizontal="left"/>
    </xf>
    <xf numFmtId="0" fontId="17" fillId="30" borderId="0" xfId="78" applyFont="1" applyFill="1" applyBorder="1" applyAlignment="1" applyProtection="1">
      <alignment horizontal="left"/>
    </xf>
    <xf numFmtId="10" fontId="40" fillId="0" borderId="6" xfId="114" applyNumberFormat="1" applyFont="1" applyFill="1" applyBorder="1"/>
    <xf numFmtId="9" fontId="40" fillId="0" borderId="6" xfId="114" applyNumberFormat="1" applyFont="1" applyFill="1" applyBorder="1"/>
    <xf numFmtId="0" fontId="18" fillId="0" borderId="0" xfId="114" applyFont="1" applyFill="1" applyBorder="1"/>
    <xf numFmtId="0" fontId="4" fillId="0" borderId="0" xfId="114" applyFont="1" applyFill="1" applyBorder="1"/>
    <xf numFmtId="0" fontId="18" fillId="0" borderId="0" xfId="114" applyFont="1" applyFill="1" applyBorder="1" applyAlignment="1">
      <alignment horizontal="left"/>
    </xf>
    <xf numFmtId="0" fontId="52" fillId="0" borderId="0" xfId="114" applyFont="1" applyFill="1" applyBorder="1" applyAlignment="1">
      <alignment horizontal="left"/>
    </xf>
    <xf numFmtId="0" fontId="18" fillId="0" borderId="0" xfId="114" applyFont="1" applyFill="1" applyBorder="1" applyAlignment="1">
      <alignment horizontal="center" vertical="top"/>
    </xf>
    <xf numFmtId="2" fontId="4" fillId="0" borderId="0" xfId="114" applyNumberFormat="1" applyFont="1" applyFill="1" applyBorder="1"/>
    <xf numFmtId="0" fontId="4" fillId="0" borderId="0" xfId="114" applyFont="1" applyFill="1" applyBorder="1" applyAlignment="1"/>
    <xf numFmtId="0" fontId="18" fillId="0" borderId="0" xfId="114" applyFont="1" applyFill="1" applyBorder="1" applyAlignment="1">
      <alignment horizontal="right"/>
    </xf>
    <xf numFmtId="0" fontId="4" fillId="0" borderId="0" xfId="114" applyFont="1" applyFill="1" applyBorder="1" applyAlignment="1">
      <alignment vertical="top"/>
    </xf>
    <xf numFmtId="0" fontId="4" fillId="0" borderId="0" xfId="114" applyFont="1" applyFill="1" applyBorder="1" applyAlignment="1">
      <alignment horizontal="left"/>
    </xf>
    <xf numFmtId="16" fontId="4" fillId="0" borderId="0" xfId="114" quotePrefix="1" applyNumberFormat="1" applyFont="1" applyFill="1" applyBorder="1" applyAlignment="1"/>
    <xf numFmtId="0" fontId="18" fillId="0" borderId="0" xfId="114" applyFont="1" applyFill="1" applyBorder="1" applyAlignment="1"/>
    <xf numFmtId="2" fontId="9" fillId="0" borderId="0" xfId="114" applyNumberFormat="1" applyFill="1" applyBorder="1"/>
    <xf numFmtId="0" fontId="53" fillId="0" borderId="0" xfId="114" applyFont="1" applyFill="1" applyBorder="1" applyAlignment="1">
      <alignment horizontal="left"/>
    </xf>
    <xf numFmtId="0" fontId="53" fillId="0" borderId="0" xfId="114" applyFont="1" applyFill="1" applyBorder="1" applyAlignment="1">
      <alignment horizontal="right"/>
    </xf>
    <xf numFmtId="0" fontId="53" fillId="0" borderId="0" xfId="114" applyFont="1" applyFill="1" applyBorder="1"/>
    <xf numFmtId="0" fontId="4" fillId="0" borderId="0" xfId="114" applyFont="1" applyFill="1" applyBorder="1" applyAlignment="1">
      <alignment horizontal="right"/>
    </xf>
    <xf numFmtId="0" fontId="4" fillId="0" borderId="0" xfId="114" applyFont="1" applyFill="1"/>
    <xf numFmtId="0" fontId="54" fillId="0" borderId="0" xfId="114" applyFont="1" applyFill="1"/>
    <xf numFmtId="0" fontId="55" fillId="0" borderId="0" xfId="114" applyFont="1" applyFill="1"/>
    <xf numFmtId="0" fontId="14" fillId="0" borderId="6" xfId="257" applyFont="1" applyBorder="1">
      <alignment vertical="center"/>
    </xf>
    <xf numFmtId="10" fontId="40" fillId="0" borderId="6" xfId="14" applyNumberFormat="1" applyFont="1" applyFill="1" applyBorder="1"/>
    <xf numFmtId="0" fontId="4" fillId="0" borderId="63" xfId="6" applyFont="1" applyBorder="1">
      <alignment vertical="center"/>
    </xf>
    <xf numFmtId="0" fontId="4" fillId="0" borderId="60" xfId="6" applyFont="1" applyBorder="1">
      <alignment vertical="center"/>
    </xf>
    <xf numFmtId="0" fontId="4" fillId="0" borderId="84" xfId="6" applyFont="1" applyBorder="1">
      <alignment vertical="center"/>
    </xf>
    <xf numFmtId="0" fontId="4" fillId="0" borderId="84" xfId="6" applyFont="1" applyBorder="1" applyAlignment="1">
      <alignment horizontal="center" vertical="center"/>
    </xf>
    <xf numFmtId="0" fontId="4" fillId="0" borderId="67" xfId="6" applyFont="1" applyBorder="1">
      <alignment vertical="center"/>
    </xf>
    <xf numFmtId="0" fontId="4" fillId="0" borderId="62" xfId="6" applyFont="1" applyBorder="1">
      <alignment vertical="center"/>
    </xf>
    <xf numFmtId="0" fontId="4" fillId="0" borderId="61" xfId="6" applyFont="1" applyBorder="1" applyAlignment="1">
      <alignment vertical="center" wrapText="1"/>
    </xf>
    <xf numFmtId="0" fontId="4" fillId="0" borderId="62" xfId="6" applyFont="1" applyFill="1" applyBorder="1" applyAlignment="1">
      <alignment horizontal="center" vertical="center"/>
    </xf>
    <xf numFmtId="2" fontId="4" fillId="0" borderId="61" xfId="6" applyNumberFormat="1" applyFont="1" applyFill="1" applyBorder="1" applyAlignment="1">
      <alignment horizontal="right" vertical="center"/>
    </xf>
    <xf numFmtId="0" fontId="4" fillId="0" borderId="65" xfId="6" applyFont="1" applyBorder="1" applyAlignment="1">
      <alignment vertical="center" wrapText="1"/>
    </xf>
    <xf numFmtId="0" fontId="4" fillId="0" borderId="67" xfId="6" applyFont="1" applyFill="1" applyBorder="1" applyAlignment="1">
      <alignment horizontal="center" vertical="center"/>
    </xf>
    <xf numFmtId="0" fontId="4" fillId="0" borderId="79" xfId="6" applyFont="1" applyFill="1" applyBorder="1" applyAlignment="1">
      <alignment horizontal="center" vertical="center"/>
    </xf>
    <xf numFmtId="0" fontId="4" fillId="0" borderId="68" xfId="6" applyFont="1" applyFill="1" applyBorder="1" applyAlignment="1">
      <alignment horizontal="center" vertical="center"/>
    </xf>
    <xf numFmtId="2" fontId="4" fillId="0" borderId="67" xfId="6" applyNumberFormat="1" applyFont="1" applyBorder="1" applyAlignment="1">
      <alignment horizontal="right" vertical="center"/>
    </xf>
    <xf numFmtId="2" fontId="4" fillId="0" borderId="85" xfId="6" applyNumberFormat="1" applyFont="1" applyFill="1" applyBorder="1" applyAlignment="1">
      <alignment horizontal="right" vertical="center"/>
    </xf>
    <xf numFmtId="2" fontId="4" fillId="0" borderId="62" xfId="6" applyNumberFormat="1" applyFont="1" applyBorder="1" applyAlignment="1">
      <alignment horizontal="right" vertical="center"/>
    </xf>
    <xf numFmtId="0" fontId="4" fillId="0" borderId="79" xfId="6" applyFont="1" applyBorder="1">
      <alignment vertical="center"/>
    </xf>
    <xf numFmtId="0" fontId="4" fillId="0" borderId="44" xfId="6" applyFont="1" applyBorder="1" applyAlignment="1">
      <alignment vertical="center" wrapText="1"/>
    </xf>
    <xf numFmtId="0" fontId="4" fillId="0" borderId="79" xfId="6" applyFont="1" applyBorder="1" applyAlignment="1">
      <alignment horizontal="center" vertical="center"/>
    </xf>
    <xf numFmtId="2" fontId="4" fillId="0" borderId="85" xfId="6" applyNumberFormat="1" applyFont="1" applyBorder="1" applyAlignment="1">
      <alignment horizontal="right" vertical="center"/>
    </xf>
    <xf numFmtId="2" fontId="4" fillId="0" borderId="79" xfId="6" applyNumberFormat="1" applyFont="1" applyBorder="1" applyAlignment="1">
      <alignment horizontal="right" vertical="center"/>
    </xf>
    <xf numFmtId="0" fontId="4" fillId="0" borderId="62" xfId="6" applyFont="1" applyBorder="1" applyAlignment="1">
      <alignment horizontal="center" vertical="center"/>
    </xf>
    <xf numFmtId="0" fontId="14" fillId="0" borderId="79" xfId="6" applyFont="1" applyBorder="1">
      <alignment vertical="center"/>
    </xf>
    <xf numFmtId="0" fontId="14" fillId="0" borderId="86" xfId="6" applyFont="1" applyBorder="1">
      <alignment vertical="center"/>
    </xf>
    <xf numFmtId="0" fontId="14" fillId="0" borderId="84" xfId="6" applyFont="1" applyBorder="1" applyAlignment="1">
      <alignment horizontal="center" vertical="center"/>
    </xf>
    <xf numFmtId="0" fontId="14" fillId="0" borderId="84" xfId="6" applyFont="1" applyBorder="1">
      <alignment vertical="center"/>
    </xf>
    <xf numFmtId="0" fontId="0" fillId="0" borderId="6" xfId="0" applyBorder="1" applyAlignment="1">
      <alignment vertical="center"/>
    </xf>
    <xf numFmtId="0" fontId="3" fillId="0" borderId="6" xfId="0" applyFont="1" applyBorder="1" applyAlignment="1">
      <alignment vertical="center"/>
    </xf>
    <xf numFmtId="0" fontId="10" fillId="0" borderId="6" xfId="78" applyFont="1" applyBorder="1" applyAlignment="1">
      <alignment horizontal="center" vertical="center"/>
    </xf>
    <xf numFmtId="0" fontId="10" fillId="0" borderId="6" xfId="78" applyFont="1" applyBorder="1"/>
    <xf numFmtId="0" fontId="13" fillId="0" borderId="6" xfId="78" applyFont="1" applyBorder="1"/>
    <xf numFmtId="0" fontId="14" fillId="0" borderId="6" xfId="78" applyFont="1" applyBorder="1"/>
    <xf numFmtId="0" fontId="9" fillId="0" borderId="6" xfId="78" applyFont="1" applyBorder="1"/>
    <xf numFmtId="2" fontId="9" fillId="0" borderId="6" xfId="78" applyNumberFormat="1" applyFont="1" applyBorder="1"/>
    <xf numFmtId="0" fontId="14" fillId="30" borderId="6" xfId="78" applyFont="1" applyFill="1" applyBorder="1" applyAlignment="1" applyProtection="1">
      <alignment horizontal="left"/>
    </xf>
    <xf numFmtId="0" fontId="14" fillId="30" borderId="6" xfId="78" applyFont="1" applyFill="1" applyBorder="1" applyAlignment="1" applyProtection="1">
      <alignment horizontal="left" wrapText="1"/>
    </xf>
    <xf numFmtId="2" fontId="10" fillId="0" borderId="6" xfId="78" applyNumberFormat="1" applyFont="1" applyBorder="1"/>
    <xf numFmtId="2" fontId="9" fillId="0" borderId="6" xfId="78" applyNumberFormat="1" applyBorder="1"/>
    <xf numFmtId="0" fontId="17" fillId="30" borderId="6" xfId="78" applyFont="1" applyFill="1" applyBorder="1" applyAlignment="1" applyProtection="1">
      <alignment horizontal="left"/>
    </xf>
    <xf numFmtId="0" fontId="9" fillId="3" borderId="68" xfId="78" applyFill="1" applyBorder="1"/>
    <xf numFmtId="0" fontId="9" fillId="3" borderId="0" xfId="78" applyFill="1"/>
    <xf numFmtId="0" fontId="9" fillId="3" borderId="79" xfId="78" applyFont="1" applyFill="1" applyBorder="1"/>
    <xf numFmtId="0" fontId="9" fillId="3" borderId="81" xfId="78" applyFill="1" applyBorder="1"/>
    <xf numFmtId="0" fontId="9" fillId="3" borderId="0" xfId="78" applyFill="1" applyBorder="1"/>
    <xf numFmtId="0" fontId="9" fillId="3" borderId="85" xfId="78" applyFill="1" applyBorder="1"/>
    <xf numFmtId="0" fontId="9" fillId="3" borderId="44" xfId="78" applyFill="1" applyBorder="1"/>
    <xf numFmtId="0" fontId="9" fillId="3" borderId="67" xfId="78" applyFont="1" applyFill="1" applyBorder="1"/>
    <xf numFmtId="0" fontId="9" fillId="3" borderId="68" xfId="78" applyFont="1" applyFill="1" applyBorder="1"/>
    <xf numFmtId="0" fontId="4" fillId="0" borderId="0" xfId="13" applyFont="1" applyBorder="1">
      <alignment vertical="center"/>
    </xf>
    <xf numFmtId="170" fontId="4" fillId="4" borderId="0" xfId="13" applyNumberFormat="1" applyFont="1" applyFill="1" applyBorder="1">
      <alignment vertical="center"/>
    </xf>
    <xf numFmtId="170" fontId="4" fillId="0" borderId="0" xfId="13" applyNumberFormat="1" applyFont="1" applyBorder="1">
      <alignment vertical="center"/>
    </xf>
    <xf numFmtId="170" fontId="4" fillId="0" borderId="0" xfId="13" applyNumberFormat="1" applyFont="1" applyFill="1" applyBorder="1">
      <alignment vertical="center"/>
    </xf>
    <xf numFmtId="0" fontId="4" fillId="0" borderId="0" xfId="13" applyFont="1" applyFill="1" applyBorder="1">
      <alignment vertical="center"/>
    </xf>
    <xf numFmtId="2" fontId="4" fillId="0" borderId="0" xfId="13" applyNumberFormat="1" applyFont="1" applyBorder="1">
      <alignment vertical="center"/>
    </xf>
    <xf numFmtId="0" fontId="4" fillId="0" borderId="6" xfId="13" applyFont="1" applyBorder="1">
      <alignment vertical="center"/>
    </xf>
    <xf numFmtId="0" fontId="13" fillId="0" borderId="0" xfId="0" applyFont="1"/>
    <xf numFmtId="0" fontId="0" fillId="0" borderId="3" xfId="0" applyBorder="1"/>
    <xf numFmtId="0" fontId="0" fillId="0" borderId="14" xfId="0" applyBorder="1"/>
    <xf numFmtId="0" fontId="0" fillId="0" borderId="11" xfId="0" applyBorder="1" applyAlignment="1">
      <alignment horizontal="center"/>
    </xf>
    <xf numFmtId="0" fontId="0" fillId="0" borderId="31" xfId="0" applyBorder="1" applyAlignment="1">
      <alignment horizontal="center"/>
    </xf>
    <xf numFmtId="2" fontId="0" fillId="0" borderId="14" xfId="0" applyNumberFormat="1" applyBorder="1"/>
    <xf numFmtId="2" fontId="0" fillId="0" borderId="3" xfId="0" applyNumberFormat="1" applyBorder="1"/>
    <xf numFmtId="0" fontId="0" fillId="0" borderId="26" xfId="0" applyBorder="1"/>
    <xf numFmtId="0" fontId="13" fillId="0" borderId="11" xfId="0" applyFont="1" applyBorder="1"/>
    <xf numFmtId="2" fontId="13" fillId="0" borderId="31" xfId="0" applyNumberFormat="1" applyFont="1" applyBorder="1"/>
    <xf numFmtId="2" fontId="13" fillId="0" borderId="11" xfId="0" applyNumberFormat="1" applyFont="1" applyBorder="1"/>
    <xf numFmtId="2" fontId="13" fillId="0" borderId="22" xfId="0" applyNumberFormat="1" applyFont="1" applyBorder="1"/>
    <xf numFmtId="0" fontId="0" fillId="0" borderId="0" xfId="0" applyBorder="1"/>
    <xf numFmtId="0" fontId="43" fillId="0" borderId="0" xfId="0" applyFont="1"/>
    <xf numFmtId="0" fontId="0" fillId="0" borderId="12" xfId="0" applyBorder="1"/>
    <xf numFmtId="0" fontId="0" fillId="0" borderId="106" xfId="0" applyBorder="1"/>
    <xf numFmtId="0" fontId="21" fillId="0" borderId="14" xfId="0" applyFont="1" applyBorder="1"/>
    <xf numFmtId="1" fontId="0" fillId="0" borderId="3" xfId="0" applyNumberFormat="1" applyBorder="1"/>
    <xf numFmtId="0" fontId="0" fillId="0" borderId="0" xfId="0" applyFont="1" applyBorder="1"/>
    <xf numFmtId="0" fontId="3" fillId="0" borderId="14" xfId="0" applyFont="1" applyBorder="1"/>
    <xf numFmtId="0" fontId="0" fillId="0" borderId="14" xfId="0" applyBorder="1" applyAlignment="1">
      <alignment horizontal="left"/>
    </xf>
    <xf numFmtId="0" fontId="0" fillId="0" borderId="14" xfId="0" applyBorder="1" applyAlignment="1">
      <alignment horizontal="left" vertical="center"/>
    </xf>
    <xf numFmtId="0" fontId="0" fillId="0" borderId="0" xfId="0" applyAlignment="1">
      <alignment horizontal="left" vertical="center"/>
    </xf>
    <xf numFmtId="0" fontId="64" fillId="0" borderId="0" xfId="0" applyFont="1" applyAlignment="1">
      <alignment textRotation="180"/>
    </xf>
    <xf numFmtId="0" fontId="0" fillId="0" borderId="14" xfId="0" applyBorder="1" applyAlignment="1"/>
    <xf numFmtId="0" fontId="0" fillId="0" borderId="14" xfId="0" applyBorder="1" applyAlignment="1">
      <alignment horizontal="right"/>
    </xf>
    <xf numFmtId="0" fontId="0" fillId="0" borderId="54" xfId="0" applyBorder="1"/>
    <xf numFmtId="0" fontId="43" fillId="0" borderId="56" xfId="0" applyFont="1" applyBorder="1" applyAlignment="1">
      <alignment horizontal="center"/>
    </xf>
    <xf numFmtId="1" fontId="0" fillId="0" borderId="6" xfId="0" applyNumberFormat="1" applyBorder="1"/>
    <xf numFmtId="0" fontId="43" fillId="0" borderId="14" xfId="0" applyFont="1" applyBorder="1" applyAlignment="1">
      <alignment horizontal="center"/>
    </xf>
    <xf numFmtId="0" fontId="0" fillId="0" borderId="3" xfId="0" applyBorder="1" applyAlignment="1">
      <alignment horizontal="right" vertical="top"/>
    </xf>
    <xf numFmtId="0" fontId="0" fillId="0" borderId="3" xfId="0" applyFill="1" applyBorder="1"/>
    <xf numFmtId="0" fontId="0" fillId="0" borderId="15" xfId="0" applyBorder="1"/>
    <xf numFmtId="0" fontId="3" fillId="0" borderId="54" xfId="0" applyFont="1" applyBorder="1"/>
    <xf numFmtId="0" fontId="3" fillId="0" borderId="6" xfId="0" applyFont="1" applyBorder="1" applyAlignment="1">
      <alignment horizontal="right"/>
    </xf>
    <xf numFmtId="0" fontId="0" fillId="0" borderId="0" xfId="0" quotePrefix="1" applyBorder="1"/>
    <xf numFmtId="175" fontId="0" fillId="0" borderId="0" xfId="0" applyNumberFormat="1"/>
    <xf numFmtId="175" fontId="0" fillId="0" borderId="0" xfId="0" applyNumberFormat="1" applyAlignment="1">
      <alignment horizontal="right"/>
    </xf>
    <xf numFmtId="175" fontId="68" fillId="0" borderId="0" xfId="0" applyNumberFormat="1" applyFont="1" applyAlignment="1">
      <alignment horizontal="right"/>
    </xf>
    <xf numFmtId="175" fontId="69" fillId="0" borderId="52" xfId="0" applyNumberFormat="1" applyFont="1" applyBorder="1" applyAlignment="1">
      <alignment horizontal="right"/>
    </xf>
    <xf numFmtId="175" fontId="69" fillId="0" borderId="54" xfId="0" applyNumberFormat="1" applyFont="1" applyBorder="1" applyAlignment="1">
      <alignment horizontal="center"/>
    </xf>
    <xf numFmtId="175" fontId="43" fillId="0" borderId="56" xfId="0" applyNumberFormat="1" applyFont="1" applyBorder="1" applyAlignment="1">
      <alignment horizontal="center"/>
    </xf>
    <xf numFmtId="175" fontId="0" fillId="0" borderId="52" xfId="0" applyNumberFormat="1" applyBorder="1" applyAlignment="1">
      <alignment horizontal="right"/>
    </xf>
    <xf numFmtId="175" fontId="0" fillId="0" borderId="12" xfId="0" applyNumberFormat="1" applyBorder="1"/>
    <xf numFmtId="175" fontId="0" fillId="0" borderId="13" xfId="0" applyNumberFormat="1" applyBorder="1"/>
    <xf numFmtId="175" fontId="0" fillId="0" borderId="52" xfId="0" applyNumberFormat="1" applyBorder="1"/>
    <xf numFmtId="175" fontId="0" fillId="0" borderId="13" xfId="0" applyNumberFormat="1" applyBorder="1" applyAlignment="1">
      <alignment horizontal="right"/>
    </xf>
    <xf numFmtId="175" fontId="0" fillId="0" borderId="14" xfId="0" applyNumberFormat="1" applyBorder="1"/>
    <xf numFmtId="175" fontId="0" fillId="0" borderId="3" xfId="0" applyNumberFormat="1" applyBorder="1" applyAlignment="1">
      <alignment horizontal="right"/>
    </xf>
    <xf numFmtId="175" fontId="0" fillId="0" borderId="106" xfId="0" applyNumberFormat="1" applyBorder="1"/>
    <xf numFmtId="175" fontId="43" fillId="0" borderId="14" xfId="0" applyNumberFormat="1" applyFont="1" applyBorder="1"/>
    <xf numFmtId="175" fontId="0" fillId="0" borderId="3" xfId="0" applyNumberFormat="1" applyBorder="1"/>
    <xf numFmtId="175" fontId="0" fillId="0" borderId="14" xfId="0" applyNumberFormat="1" applyBorder="1" applyAlignment="1">
      <alignment horizontal="right"/>
    </xf>
    <xf numFmtId="1" fontId="0" fillId="0" borderId="3" xfId="0" quotePrefix="1" applyNumberFormat="1" applyBorder="1" applyAlignment="1">
      <alignment horizontal="right"/>
    </xf>
    <xf numFmtId="175" fontId="0" fillId="0" borderId="14" xfId="0" applyNumberFormat="1" applyBorder="1" applyAlignment="1">
      <alignment horizontal="center"/>
    </xf>
    <xf numFmtId="175" fontId="0" fillId="0" borderId="3" xfId="0" quotePrefix="1" applyNumberFormat="1" applyBorder="1" applyAlignment="1">
      <alignment horizontal="right"/>
    </xf>
    <xf numFmtId="1" fontId="0" fillId="0" borderId="8" xfId="0" quotePrefix="1" applyNumberFormat="1" applyBorder="1" applyAlignment="1">
      <alignment horizontal="right"/>
    </xf>
    <xf numFmtId="1" fontId="0" fillId="0" borderId="6" xfId="0" quotePrefix="1" applyNumberFormat="1" applyBorder="1" applyAlignment="1">
      <alignment horizontal="right"/>
    </xf>
    <xf numFmtId="175" fontId="3" fillId="0" borderId="14" xfId="0" applyNumberFormat="1" applyFont="1" applyBorder="1" applyAlignment="1">
      <alignment horizontal="center" vertical="center"/>
    </xf>
    <xf numFmtId="1" fontId="0" fillId="0" borderId="14" xfId="0" quotePrefix="1" applyNumberFormat="1" applyBorder="1" applyAlignment="1">
      <alignment horizontal="right"/>
    </xf>
    <xf numFmtId="1" fontId="0" fillId="0" borderId="14" xfId="0" applyNumberFormat="1" applyBorder="1" applyAlignment="1">
      <alignment horizontal="right"/>
    </xf>
    <xf numFmtId="175" fontId="0" fillId="0" borderId="6" xfId="0" quotePrefix="1" applyNumberFormat="1" applyBorder="1" applyAlignment="1">
      <alignment horizontal="right"/>
    </xf>
    <xf numFmtId="175" fontId="43" fillId="0" borderId="14" xfId="0" applyNumberFormat="1" applyFont="1" applyBorder="1" applyAlignment="1">
      <alignment horizontal="center"/>
    </xf>
    <xf numFmtId="1" fontId="0" fillId="0" borderId="3" xfId="0" applyNumberFormat="1" applyBorder="1" applyAlignment="1">
      <alignment horizontal="right"/>
    </xf>
    <xf numFmtId="175" fontId="3" fillId="0" borderId="0" xfId="0" applyNumberFormat="1" applyFont="1"/>
    <xf numFmtId="1" fontId="0" fillId="0" borderId="52" xfId="0" quotePrefix="1" applyNumberFormat="1" applyBorder="1" applyAlignment="1">
      <alignment horizontal="right"/>
    </xf>
    <xf numFmtId="175" fontId="21" fillId="0" borderId="14" xfId="0" applyNumberFormat="1" applyFont="1" applyBorder="1"/>
    <xf numFmtId="175" fontId="0" fillId="0" borderId="3" xfId="0" quotePrefix="1" applyNumberFormat="1" applyBorder="1"/>
    <xf numFmtId="175" fontId="0" fillId="0" borderId="0" xfId="0" applyNumberFormat="1" applyBorder="1"/>
    <xf numFmtId="175" fontId="71" fillId="0" borderId="0" xfId="0" applyNumberFormat="1" applyFont="1" applyAlignment="1">
      <alignment textRotation="180"/>
    </xf>
    <xf numFmtId="175" fontId="0" fillId="0" borderId="8" xfId="0" quotePrefix="1" applyNumberFormat="1" applyBorder="1"/>
    <xf numFmtId="175" fontId="0" fillId="0" borderId="14" xfId="0" quotePrefix="1" applyNumberFormat="1" applyBorder="1" applyAlignment="1">
      <alignment horizontal="right"/>
    </xf>
    <xf numFmtId="175" fontId="43" fillId="0" borderId="0" xfId="0" applyNumberFormat="1" applyFont="1" applyBorder="1" applyAlignment="1">
      <alignment horizontal="center"/>
    </xf>
    <xf numFmtId="1" fontId="0" fillId="0" borderId="52" xfId="0" applyNumberFormat="1" applyBorder="1" applyAlignment="1">
      <alignment horizontal="right"/>
    </xf>
    <xf numFmtId="175" fontId="64" fillId="0" borderId="0" xfId="0" applyNumberFormat="1" applyFont="1" applyAlignment="1">
      <alignment textRotation="180"/>
    </xf>
    <xf numFmtId="175" fontId="0" fillId="0" borderId="0" xfId="0" quotePrefix="1" applyNumberFormat="1" applyAlignment="1">
      <alignment horizontal="right"/>
    </xf>
    <xf numFmtId="175" fontId="0" fillId="0" borderId="106" xfId="0" applyNumberFormat="1" applyBorder="1" applyAlignment="1">
      <alignment horizontal="right"/>
    </xf>
    <xf numFmtId="175" fontId="0" fillId="0" borderId="15" xfId="0" applyNumberFormat="1" applyBorder="1"/>
    <xf numFmtId="175" fontId="0" fillId="0" borderId="8" xfId="0" applyNumberFormat="1" applyBorder="1" applyAlignment="1">
      <alignment horizontal="right"/>
    </xf>
    <xf numFmtId="175" fontId="3" fillId="0" borderId="6" xfId="0" quotePrefix="1" applyNumberFormat="1" applyFont="1" applyBorder="1" applyAlignment="1">
      <alignment horizontal="right"/>
    </xf>
    <xf numFmtId="175" fontId="3" fillId="0" borderId="54" xfId="0" applyNumberFormat="1" applyFont="1" applyBorder="1"/>
    <xf numFmtId="175" fontId="0" fillId="0" borderId="6" xfId="0" applyNumberFormat="1" applyBorder="1"/>
    <xf numFmtId="175" fontId="3" fillId="0" borderId="56" xfId="0" quotePrefix="1" applyNumberFormat="1" applyFont="1" applyBorder="1" applyAlignment="1">
      <alignment horizontal="right"/>
    </xf>
    <xf numFmtId="1" fontId="3" fillId="0" borderId="6" xfId="0" quotePrefix="1" applyNumberFormat="1" applyFont="1" applyBorder="1" applyAlignment="1">
      <alignment horizontal="right"/>
    </xf>
    <xf numFmtId="175" fontId="0" fillId="0" borderId="6" xfId="0" applyNumberFormat="1" applyBorder="1" applyAlignment="1">
      <alignment horizontal="right"/>
    </xf>
    <xf numFmtId="175" fontId="3" fillId="0" borderId="6" xfId="0" applyNumberFormat="1" applyFont="1" applyBorder="1" applyAlignment="1">
      <alignment horizontal="right"/>
    </xf>
    <xf numFmtId="175" fontId="0" fillId="0" borderId="56" xfId="0" applyNumberFormat="1" applyBorder="1" applyAlignment="1">
      <alignment horizontal="right"/>
    </xf>
    <xf numFmtId="175" fontId="0" fillId="0" borderId="0" xfId="0" applyNumberFormat="1" applyBorder="1" applyAlignment="1">
      <alignment horizontal="right"/>
    </xf>
    <xf numFmtId="175" fontId="3" fillId="0" borderId="0" xfId="0" applyNumberFormat="1" applyFont="1" applyBorder="1" applyAlignment="1">
      <alignment horizontal="right"/>
    </xf>
    <xf numFmtId="175" fontId="72" fillId="0" borderId="0" xfId="0" applyNumberFormat="1" applyFont="1" applyBorder="1" applyAlignment="1">
      <alignment horizontal="right" vertical="center"/>
    </xf>
    <xf numFmtId="175" fontId="0" fillId="0" borderId="17" xfId="0" applyNumberFormat="1" applyBorder="1" applyAlignment="1">
      <alignment horizontal="right"/>
    </xf>
    <xf numFmtId="175" fontId="0" fillId="0" borderId="17" xfId="0" applyNumberFormat="1" applyBorder="1"/>
    <xf numFmtId="175" fontId="8" fillId="0" borderId="3" xfId="0" applyNumberFormat="1" applyFont="1" applyBorder="1" applyAlignment="1">
      <alignment horizontal="right"/>
    </xf>
    <xf numFmtId="175" fontId="8" fillId="0" borderId="15" xfId="0" applyNumberFormat="1" applyFont="1" applyBorder="1" applyAlignment="1">
      <alignment horizontal="center"/>
    </xf>
    <xf numFmtId="175" fontId="66" fillId="0" borderId="52" xfId="0" applyNumberFormat="1" applyFont="1" applyBorder="1" applyAlignment="1">
      <alignment horizontal="right"/>
    </xf>
    <xf numFmtId="175" fontId="66" fillId="0" borderId="54" xfId="0" applyNumberFormat="1" applyFont="1" applyBorder="1" applyAlignment="1">
      <alignment horizontal="center"/>
    </xf>
    <xf numFmtId="175" fontId="3" fillId="0" borderId="13" xfId="0" applyNumberFormat="1" applyFont="1" applyBorder="1"/>
    <xf numFmtId="175" fontId="66" fillId="0" borderId="52" xfId="0" applyNumberFormat="1" applyFont="1" applyBorder="1" applyAlignment="1">
      <alignment horizontal="center"/>
    </xf>
    <xf numFmtId="175" fontId="3" fillId="0" borderId="14" xfId="0" applyNumberFormat="1" applyFont="1" applyBorder="1" applyAlignment="1">
      <alignment horizontal="center"/>
    </xf>
    <xf numFmtId="175" fontId="3" fillId="0" borderId="6" xfId="0" applyNumberFormat="1" applyFont="1" applyBorder="1"/>
    <xf numFmtId="175" fontId="43" fillId="0" borderId="55" xfId="0" applyNumberFormat="1" applyFont="1" applyBorder="1" applyAlignment="1">
      <alignment horizontal="center"/>
    </xf>
    <xf numFmtId="175" fontId="3" fillId="0" borderId="0" xfId="0" applyNumberFormat="1" applyFont="1" applyBorder="1"/>
    <xf numFmtId="175" fontId="8" fillId="0" borderId="0" xfId="0" applyNumberFormat="1" applyFont="1" applyAlignment="1">
      <alignment horizontal="center"/>
    </xf>
    <xf numFmtId="175" fontId="7" fillId="0" borderId="0" xfId="0" applyNumberFormat="1" applyFont="1" applyAlignment="1">
      <alignment horizontal="center"/>
    </xf>
    <xf numFmtId="0" fontId="3" fillId="0" borderId="0" xfId="0" applyFont="1"/>
    <xf numFmtId="0" fontId="4" fillId="4" borderId="0" xfId="6" applyFont="1" applyFill="1">
      <alignment vertical="center"/>
    </xf>
    <xf numFmtId="0" fontId="4" fillId="0" borderId="6" xfId="6" applyFont="1" applyBorder="1">
      <alignment vertical="center"/>
    </xf>
    <xf numFmtId="0" fontId="4" fillId="0" borderId="6" xfId="6" applyFont="1" applyFill="1" applyBorder="1">
      <alignment vertical="center"/>
    </xf>
    <xf numFmtId="0" fontId="18" fillId="0" borderId="6" xfId="13" applyFont="1" applyBorder="1">
      <alignment vertical="center"/>
    </xf>
    <xf numFmtId="0" fontId="18" fillId="4" borderId="0" xfId="3" applyFont="1" applyFill="1" applyBorder="1" applyAlignment="1"/>
    <xf numFmtId="0" fontId="4" fillId="4" borderId="0" xfId="3" applyFont="1" applyFill="1" applyBorder="1"/>
    <xf numFmtId="0" fontId="81" fillId="0" borderId="0" xfId="0" applyFont="1"/>
    <xf numFmtId="0" fontId="82" fillId="0" borderId="0" xfId="0" applyFont="1" applyBorder="1"/>
    <xf numFmtId="43" fontId="81" fillId="0" borderId="6" xfId="0" applyNumberFormat="1" applyFont="1" applyBorder="1" applyAlignment="1">
      <alignment horizontal="center" vertical="center" wrapText="1"/>
    </xf>
    <xf numFmtId="2" fontId="81" fillId="0" borderId="6" xfId="0" applyNumberFormat="1" applyFont="1" applyBorder="1" applyAlignment="1">
      <alignment vertical="center"/>
    </xf>
    <xf numFmtId="0" fontId="81" fillId="0" borderId="6" xfId="0" applyFont="1" applyBorder="1"/>
    <xf numFmtId="0" fontId="18" fillId="4" borderId="0" xfId="3" applyFont="1" applyFill="1" applyBorder="1" applyAlignment="1">
      <alignment vertical="top"/>
    </xf>
    <xf numFmtId="0" fontId="81" fillId="0" borderId="0" xfId="0" applyFont="1" applyAlignment="1">
      <alignment horizontal="center" vertical="center"/>
    </xf>
    <xf numFmtId="0" fontId="81" fillId="0" borderId="0" xfId="0" applyFont="1" applyAlignment="1">
      <alignment vertical="center"/>
    </xf>
    <xf numFmtId="10" fontId="81" fillId="0" borderId="6" xfId="1" applyNumberFormat="1" applyFont="1" applyBorder="1" applyAlignment="1">
      <alignment vertical="center"/>
    </xf>
    <xf numFmtId="2" fontId="81" fillId="0" borderId="0" xfId="0" applyNumberFormat="1" applyFont="1" applyAlignment="1">
      <alignment vertical="center"/>
    </xf>
    <xf numFmtId="2" fontId="81" fillId="0" borderId="0" xfId="0" applyNumberFormat="1" applyFont="1"/>
    <xf numFmtId="0" fontId="18" fillId="0" borderId="0" xfId="78" applyFont="1"/>
    <xf numFmtId="0" fontId="4" fillId="0" borderId="0" xfId="78" applyFont="1"/>
    <xf numFmtId="0" fontId="4" fillId="0" borderId="0" xfId="78" applyFont="1" applyBorder="1"/>
    <xf numFmtId="0" fontId="4" fillId="3" borderId="6" xfId="78" applyFont="1" applyFill="1" applyBorder="1"/>
    <xf numFmtId="0" fontId="4" fillId="0" borderId="6" xfId="78" applyFont="1" applyBorder="1"/>
    <xf numFmtId="0" fontId="4" fillId="0" borderId="6" xfId="78" applyFont="1" applyBorder="1" applyAlignment="1">
      <alignment horizontal="center" vertical="center" wrapText="1"/>
    </xf>
    <xf numFmtId="0" fontId="4" fillId="0" borderId="6" xfId="78" applyFont="1" applyBorder="1" applyAlignment="1">
      <alignment horizontal="left" vertical="center" wrapText="1"/>
    </xf>
    <xf numFmtId="2" fontId="18" fillId="0" borderId="6" xfId="78" applyNumberFormat="1" applyFont="1" applyBorder="1"/>
    <xf numFmtId="2" fontId="4" fillId="0" borderId="6" xfId="78" applyNumberFormat="1" applyFont="1" applyBorder="1"/>
    <xf numFmtId="0" fontId="18" fillId="4" borderId="6" xfId="6" applyFont="1" applyFill="1" applyBorder="1">
      <alignment vertical="center"/>
    </xf>
    <xf numFmtId="0" fontId="4" fillId="0" borderId="6" xfId="78" applyFont="1" applyFill="1" applyBorder="1" applyAlignment="1" applyProtection="1">
      <alignment horizontal="center" vertical="center"/>
    </xf>
    <xf numFmtId="0" fontId="4" fillId="4" borderId="0" xfId="78" applyFont="1" applyFill="1" applyBorder="1" applyAlignment="1">
      <alignment horizontal="center" vertical="center"/>
    </xf>
    <xf numFmtId="0" fontId="4" fillId="0" borderId="6" xfId="5" applyFont="1" applyFill="1" applyBorder="1" applyAlignment="1">
      <alignment horizontal="center" vertical="center"/>
    </xf>
    <xf numFmtId="0" fontId="18" fillId="4" borderId="0" xfId="5" applyFont="1" applyFill="1" applyAlignment="1">
      <alignment vertical="center"/>
    </xf>
    <xf numFmtId="0" fontId="4" fillId="4" borderId="0" xfId="0" applyFont="1" applyFill="1" applyAlignment="1">
      <alignment horizontal="center" vertical="center"/>
    </xf>
    <xf numFmtId="0" fontId="4" fillId="4" borderId="0" xfId="0" applyFont="1" applyFill="1"/>
    <xf numFmtId="0" fontId="4" fillId="0" borderId="0" xfId="0" applyFont="1"/>
    <xf numFmtId="0" fontId="4" fillId="0" borderId="6" xfId="8" applyFont="1" applyFill="1" applyBorder="1" applyAlignment="1">
      <alignment horizontal="center" vertical="center"/>
    </xf>
    <xf numFmtId="0" fontId="4" fillId="4" borderId="6" xfId="0" applyFont="1" applyFill="1" applyBorder="1"/>
    <xf numFmtId="0" fontId="4" fillId="0" borderId="6" xfId="0" applyFont="1" applyBorder="1" applyAlignment="1">
      <alignment horizontal="left" vertical="center" wrapText="1"/>
    </xf>
    <xf numFmtId="0" fontId="18" fillId="0" borderId="6" xfId="0" applyFont="1" applyBorder="1" applyAlignment="1">
      <alignment horizontal="left" vertical="center" wrapText="1"/>
    </xf>
    <xf numFmtId="0" fontId="9" fillId="3" borderId="61" xfId="78" applyFill="1" applyBorder="1"/>
    <xf numFmtId="0" fontId="9" fillId="3" borderId="64" xfId="78" applyFont="1" applyFill="1" applyBorder="1" applyAlignment="1">
      <alignment horizontal="center"/>
    </xf>
    <xf numFmtId="0" fontId="4" fillId="4" borderId="0" xfId="0" applyFont="1" applyFill="1" applyBorder="1"/>
    <xf numFmtId="0" fontId="18" fillId="4" borderId="0" xfId="0" applyFont="1" applyFill="1" applyBorder="1" applyAlignment="1">
      <alignment horizontal="left"/>
    </xf>
    <xf numFmtId="0" fontId="18" fillId="4" borderId="0" xfId="0" applyFont="1" applyFill="1" applyBorder="1" applyAlignment="1">
      <alignment horizontal="centerContinuous"/>
    </xf>
    <xf numFmtId="0" fontId="18" fillId="4" borderId="0" xfId="0" applyFont="1" applyFill="1" applyBorder="1"/>
    <xf numFmtId="0" fontId="4" fillId="4" borderId="0" xfId="0" applyFont="1" applyFill="1" applyBorder="1" applyAlignment="1"/>
    <xf numFmtId="0" fontId="4" fillId="4" borderId="0" xfId="0" applyFont="1" applyFill="1" applyBorder="1" applyAlignment="1">
      <alignment vertical="top"/>
    </xf>
    <xf numFmtId="0" fontId="4" fillId="0" borderId="6" xfId="0" quotePrefix="1" applyFont="1" applyBorder="1" applyAlignment="1">
      <alignment horizontal="center" vertical="top" wrapText="1"/>
    </xf>
    <xf numFmtId="0" fontId="4" fillId="4" borderId="6" xfId="0" applyFont="1" applyFill="1" applyBorder="1" applyAlignment="1">
      <alignment vertical="top"/>
    </xf>
    <xf numFmtId="0" fontId="4" fillId="0" borderId="6" xfId="0" applyFont="1" applyFill="1" applyBorder="1" applyAlignment="1">
      <alignment horizontal="center" vertical="center"/>
    </xf>
    <xf numFmtId="2" fontId="4" fillId="4" borderId="6" xfId="0" applyNumberFormat="1" applyFont="1" applyFill="1" applyBorder="1"/>
    <xf numFmtId="0" fontId="4" fillId="0" borderId="6" xfId="0" applyFont="1" applyFill="1" applyBorder="1" applyAlignment="1">
      <alignment horizontal="left" vertical="center"/>
    </xf>
    <xf numFmtId="0" fontId="18" fillId="0" borderId="6" xfId="0" applyFont="1" applyBorder="1" applyAlignment="1">
      <alignment horizontal="left" vertical="top"/>
    </xf>
    <xf numFmtId="2" fontId="18" fillId="4" borderId="6" xfId="0" applyNumberFormat="1" applyFont="1" applyFill="1" applyBorder="1"/>
    <xf numFmtId="2" fontId="18" fillId="4" borderId="0" xfId="0" applyNumberFormat="1" applyFont="1" applyFill="1" applyBorder="1"/>
    <xf numFmtId="2" fontId="4" fillId="4" borderId="0" xfId="0" applyNumberFormat="1" applyFont="1" applyFill="1" applyBorder="1"/>
    <xf numFmtId="0" fontId="18" fillId="5" borderId="6" xfId="0" quotePrefix="1" applyFont="1" applyFill="1" applyBorder="1" applyAlignment="1">
      <alignment horizontal="center" vertical="center" wrapText="1"/>
    </xf>
    <xf numFmtId="0" fontId="18" fillId="4" borderId="0" xfId="0" applyFont="1" applyFill="1" applyBorder="1" applyAlignment="1">
      <alignment horizontal="center"/>
    </xf>
    <xf numFmtId="0" fontId="4" fillId="0" borderId="6" xfId="0" applyFont="1" applyBorder="1" applyAlignment="1">
      <alignment horizontal="left" vertical="top"/>
    </xf>
    <xf numFmtId="0" fontId="18" fillId="4" borderId="6" xfId="0" applyFont="1" applyFill="1" applyBorder="1" applyAlignment="1">
      <alignment horizontal="centerContinuous"/>
    </xf>
    <xf numFmtId="0" fontId="4" fillId="0" borderId="64" xfId="78" applyFont="1" applyBorder="1"/>
    <xf numFmtId="0" fontId="4" fillId="3" borderId="68" xfId="78" applyFont="1" applyFill="1" applyBorder="1"/>
    <xf numFmtId="0" fontId="4" fillId="3" borderId="0" xfId="78" applyFont="1" applyFill="1"/>
    <xf numFmtId="0" fontId="4" fillId="3" borderId="81" xfId="78" applyFont="1" applyFill="1" applyBorder="1"/>
    <xf numFmtId="0" fontId="4" fillId="3" borderId="85" xfId="78" applyFont="1" applyFill="1" applyBorder="1"/>
    <xf numFmtId="0" fontId="4" fillId="3" borderId="44" xfId="78" applyFont="1" applyFill="1" applyBorder="1"/>
    <xf numFmtId="0" fontId="4" fillId="3" borderId="69" xfId="78" applyFont="1" applyFill="1" applyBorder="1"/>
    <xf numFmtId="0" fontId="4" fillId="3" borderId="64" xfId="78" applyFont="1" applyFill="1" applyBorder="1"/>
    <xf numFmtId="0" fontId="4" fillId="3" borderId="65" xfId="78" applyFont="1" applyFill="1" applyBorder="1"/>
    <xf numFmtId="0" fontId="4" fillId="3" borderId="0" xfId="78" applyFont="1" applyFill="1" applyBorder="1"/>
    <xf numFmtId="0" fontId="4" fillId="3" borderId="86" xfId="78" applyFont="1" applyFill="1" applyBorder="1"/>
    <xf numFmtId="0" fontId="18" fillId="3" borderId="66" xfId="78" applyFont="1" applyFill="1" applyBorder="1"/>
    <xf numFmtId="0" fontId="4" fillId="3" borderId="67" xfId="78" applyFont="1" applyFill="1" applyBorder="1"/>
    <xf numFmtId="16" fontId="4" fillId="3" borderId="69" xfId="78" applyNumberFormat="1" applyFont="1" applyFill="1" applyBorder="1"/>
    <xf numFmtId="0" fontId="4" fillId="0" borderId="68" xfId="78" applyFont="1" applyBorder="1"/>
    <xf numFmtId="0" fontId="4" fillId="0" borderId="79" xfId="78" applyFont="1" applyFill="1" applyBorder="1" applyAlignment="1">
      <alignment horizontal="center"/>
    </xf>
    <xf numFmtId="0" fontId="4" fillId="0" borderId="44" xfId="78" applyFont="1" applyBorder="1"/>
    <xf numFmtId="0" fontId="4" fillId="0" borderId="85" xfId="78" applyFont="1" applyBorder="1"/>
    <xf numFmtId="0" fontId="4" fillId="0" borderId="62" xfId="78" applyFont="1" applyBorder="1" applyAlignment="1">
      <alignment horizontal="center"/>
    </xf>
    <xf numFmtId="0" fontId="4" fillId="0" borderId="61" xfId="78" applyFont="1" applyBorder="1"/>
    <xf numFmtId="0" fontId="4" fillId="0" borderId="60" xfId="78" applyFont="1" applyBorder="1"/>
    <xf numFmtId="0" fontId="4" fillId="0" borderId="63" xfId="78" applyFont="1" applyBorder="1"/>
    <xf numFmtId="0" fontId="4" fillId="0" borderId="68" xfId="78" applyFont="1" applyBorder="1" applyAlignment="1">
      <alignment horizontal="center"/>
    </xf>
    <xf numFmtId="0" fontId="4" fillId="0" borderId="81" xfId="78" applyFont="1" applyBorder="1"/>
    <xf numFmtId="2" fontId="4" fillId="0" borderId="68" xfId="78" applyNumberFormat="1" applyFont="1" applyBorder="1"/>
    <xf numFmtId="0" fontId="18" fillId="0" borderId="0" xfId="78" applyFont="1" applyFill="1" applyBorder="1"/>
    <xf numFmtId="0" fontId="4" fillId="0" borderId="62" xfId="78" applyFont="1" applyBorder="1" applyAlignment="1">
      <alignment horizontal="right"/>
    </xf>
    <xf numFmtId="0" fontId="4" fillId="0" borderId="0" xfId="78" applyFont="1" applyFill="1" applyBorder="1"/>
    <xf numFmtId="0" fontId="4" fillId="0" borderId="62" xfId="78" applyFont="1" applyFill="1" applyBorder="1"/>
    <xf numFmtId="0" fontId="4" fillId="0" borderId="79" xfId="78" applyFont="1" applyBorder="1"/>
    <xf numFmtId="0" fontId="4" fillId="0" borderId="86" xfId="78" applyFont="1" applyBorder="1"/>
    <xf numFmtId="0" fontId="4" fillId="0" borderId="68" xfId="78" applyFont="1" applyBorder="1" applyAlignment="1">
      <alignment horizontal="right"/>
    </xf>
    <xf numFmtId="0" fontId="4" fillId="0" borderId="79" xfId="78" applyFont="1" applyFill="1" applyBorder="1"/>
    <xf numFmtId="0" fontId="4" fillId="0" borderId="68" xfId="78" applyFont="1" applyFill="1" applyBorder="1"/>
    <xf numFmtId="0" fontId="4" fillId="0" borderId="63" xfId="78" applyFont="1" applyBorder="1" applyAlignment="1">
      <alignment horizontal="center"/>
    </xf>
    <xf numFmtId="2" fontId="4" fillId="0" borderId="60" xfId="78" applyNumberFormat="1" applyFont="1" applyBorder="1"/>
    <xf numFmtId="0" fontId="4" fillId="0" borderId="81" xfId="78" applyFont="1" applyBorder="1" applyAlignment="1">
      <alignment horizontal="center"/>
    </xf>
    <xf numFmtId="0" fontId="4" fillId="0" borderId="0" xfId="13" applyFont="1">
      <alignment vertical="center"/>
    </xf>
    <xf numFmtId="0" fontId="18" fillId="0" borderId="0" xfId="114" applyFont="1" applyBorder="1" applyAlignment="1"/>
    <xf numFmtId="0" fontId="4" fillId="0" borderId="0" xfId="114" applyFont="1" applyBorder="1"/>
    <xf numFmtId="0" fontId="18" fillId="0" borderId="0" xfId="13" applyFont="1">
      <alignment vertical="center"/>
    </xf>
    <xf numFmtId="0" fontId="4" fillId="0" borderId="69" xfId="78" applyFont="1" applyBorder="1"/>
    <xf numFmtId="0" fontId="4" fillId="30" borderId="63" xfId="78" applyFont="1" applyFill="1" applyBorder="1" applyAlignment="1" applyProtection="1">
      <alignment horizontal="left"/>
    </xf>
    <xf numFmtId="0" fontId="4" fillId="30" borderId="6" xfId="78" applyFont="1" applyFill="1" applyBorder="1" applyAlignment="1" applyProtection="1">
      <alignment horizontal="left"/>
    </xf>
    <xf numFmtId="0" fontId="4" fillId="30" borderId="63" xfId="78" applyFont="1" applyFill="1" applyBorder="1" applyAlignment="1" applyProtection="1">
      <alignment horizontal="left" wrapText="1"/>
    </xf>
    <xf numFmtId="0" fontId="4" fillId="30" borderId="6" xfId="78" applyFont="1" applyFill="1" applyBorder="1" applyAlignment="1" applyProtection="1">
      <alignment horizontal="left" wrapText="1"/>
    </xf>
    <xf numFmtId="0" fontId="18" fillId="0" borderId="0" xfId="13" applyFont="1" applyBorder="1" applyAlignment="1">
      <alignment horizontal="right" vertical="center"/>
    </xf>
    <xf numFmtId="0" fontId="18" fillId="0" borderId="0" xfId="13" applyFont="1" applyAlignment="1">
      <alignment horizontal="center" vertical="center"/>
    </xf>
    <xf numFmtId="0" fontId="18" fillId="0" borderId="0" xfId="13" applyFont="1" applyBorder="1">
      <alignment vertical="center"/>
    </xf>
    <xf numFmtId="2" fontId="4" fillId="0" borderId="0" xfId="13" applyNumberFormat="1" applyFont="1" applyFill="1" applyBorder="1">
      <alignment vertical="center"/>
    </xf>
    <xf numFmtId="0" fontId="4" fillId="0" borderId="0" xfId="13" applyFont="1" applyFill="1">
      <alignment vertical="center"/>
    </xf>
    <xf numFmtId="0" fontId="4" fillId="0" borderId="0" xfId="114" applyFont="1" applyBorder="1" applyAlignment="1">
      <alignment horizontal="center" vertical="top"/>
    </xf>
    <xf numFmtId="0" fontId="4" fillId="0" borderId="0" xfId="114" applyFont="1" applyBorder="1" applyAlignment="1">
      <alignment vertical="top"/>
    </xf>
    <xf numFmtId="2" fontId="18" fillId="0" borderId="0" xfId="13" applyNumberFormat="1" applyFont="1" applyBorder="1">
      <alignment vertical="center"/>
    </xf>
    <xf numFmtId="0" fontId="4" fillId="0" borderId="6" xfId="257" applyFont="1" applyBorder="1">
      <alignment vertical="center"/>
    </xf>
    <xf numFmtId="0" fontId="18" fillId="30" borderId="6" xfId="78" applyFont="1" applyFill="1" applyBorder="1" applyAlignment="1" applyProtection="1">
      <alignment horizontal="left"/>
    </xf>
    <xf numFmtId="2" fontId="81" fillId="4" borderId="6" xfId="0" applyNumberFormat="1" applyFont="1" applyFill="1" applyBorder="1" applyAlignment="1">
      <alignment vertical="center"/>
    </xf>
    <xf numFmtId="10" fontId="81" fillId="4" borderId="6" xfId="1" applyNumberFormat="1" applyFont="1" applyFill="1" applyBorder="1" applyAlignment="1">
      <alignment vertical="center"/>
    </xf>
    <xf numFmtId="0" fontId="4" fillId="3" borderId="84" xfId="6" applyFont="1" applyFill="1" applyBorder="1">
      <alignment vertical="center"/>
    </xf>
    <xf numFmtId="0" fontId="4" fillId="3" borderId="84" xfId="6" applyFont="1" applyFill="1" applyBorder="1" applyAlignment="1">
      <alignment horizontal="center" vertical="center"/>
    </xf>
    <xf numFmtId="0" fontId="4" fillId="3" borderId="79" xfId="6" applyFont="1" applyFill="1" applyBorder="1">
      <alignment vertical="center"/>
    </xf>
    <xf numFmtId="0" fontId="4" fillId="3" borderId="86" xfId="6" applyFont="1" applyFill="1" applyBorder="1">
      <alignment vertical="center"/>
    </xf>
    <xf numFmtId="0" fontId="4" fillId="3" borderId="68" xfId="6" applyFont="1" applyFill="1" applyBorder="1">
      <alignment vertical="center"/>
    </xf>
    <xf numFmtId="0" fontId="4" fillId="3" borderId="81" xfId="6" applyFont="1" applyFill="1" applyBorder="1" applyAlignment="1">
      <alignment horizontal="center" vertical="center"/>
    </xf>
    <xf numFmtId="0" fontId="4" fillId="3" borderId="81" xfId="6" applyFont="1" applyFill="1" applyBorder="1">
      <alignment vertical="center"/>
    </xf>
    <xf numFmtId="0" fontId="4" fillId="3" borderId="68" xfId="6" applyFont="1" applyFill="1" applyBorder="1" applyAlignment="1">
      <alignment horizontal="center" vertical="center"/>
    </xf>
    <xf numFmtId="0" fontId="4" fillId="3" borderId="67" xfId="6" applyFont="1" applyFill="1" applyBorder="1">
      <alignment vertical="center"/>
    </xf>
    <xf numFmtId="0" fontId="4" fillId="3" borderId="69" xfId="6" applyFont="1" applyFill="1" applyBorder="1">
      <alignment vertical="center"/>
    </xf>
    <xf numFmtId="0" fontId="4" fillId="0" borderId="54" xfId="78" applyFont="1" applyBorder="1"/>
    <xf numFmtId="0" fontId="4" fillId="0" borderId="55" xfId="78" applyFont="1" applyBorder="1"/>
    <xf numFmtId="0" fontId="4" fillId="0" borderId="56" xfId="78" applyFont="1" applyBorder="1"/>
    <xf numFmtId="0" fontId="4" fillId="3" borderId="82" xfId="78" applyFont="1" applyFill="1" applyBorder="1" applyAlignment="1">
      <alignment horizontal="center"/>
    </xf>
    <xf numFmtId="0" fontId="4" fillId="3" borderId="79" xfId="78" applyFont="1" applyFill="1" applyBorder="1"/>
    <xf numFmtId="0" fontId="18" fillId="3" borderId="109" xfId="78" applyFont="1" applyFill="1" applyBorder="1"/>
    <xf numFmtId="0" fontId="4" fillId="3" borderId="110" xfId="78" applyFont="1" applyFill="1" applyBorder="1"/>
    <xf numFmtId="2" fontId="4" fillId="0" borderId="79" xfId="78" applyNumberFormat="1" applyFont="1" applyBorder="1"/>
    <xf numFmtId="2" fontId="4" fillId="0" borderId="62" xfId="78" applyNumberFormat="1" applyFont="1" applyFill="1" applyBorder="1"/>
    <xf numFmtId="0" fontId="4" fillId="0" borderId="67" xfId="78" applyFont="1" applyBorder="1"/>
    <xf numFmtId="0" fontId="4" fillId="0" borderId="65" xfId="78" applyFont="1" applyBorder="1"/>
    <xf numFmtId="0" fontId="4" fillId="0" borderId="86" xfId="6" applyFont="1" applyBorder="1">
      <alignment vertical="center"/>
    </xf>
    <xf numFmtId="0" fontId="4" fillId="0" borderId="84" xfId="78" applyFont="1" applyBorder="1"/>
    <xf numFmtId="2" fontId="4" fillId="0" borderId="0" xfId="78" applyNumberFormat="1" applyFont="1"/>
    <xf numFmtId="0" fontId="9" fillId="3" borderId="65" xfId="78" applyFont="1" applyFill="1" applyBorder="1" applyAlignment="1">
      <alignment horizontal="center"/>
    </xf>
    <xf numFmtId="0" fontId="4" fillId="3" borderId="62" xfId="78" applyFont="1" applyFill="1" applyBorder="1" applyAlignment="1">
      <alignment horizontal="center"/>
    </xf>
    <xf numFmtId="0" fontId="4" fillId="3" borderId="60" xfId="78" applyFont="1" applyFill="1" applyBorder="1"/>
    <xf numFmtId="0" fontId="4" fillId="3" borderId="61" xfId="78" applyFont="1" applyFill="1" applyBorder="1"/>
    <xf numFmtId="0" fontId="4" fillId="0" borderId="0" xfId="78" applyFont="1" applyAlignment="1">
      <alignment horizontal="center"/>
    </xf>
    <xf numFmtId="0" fontId="4" fillId="0" borderId="81" xfId="78" applyFont="1" applyBorder="1" applyAlignment="1">
      <alignment horizontal="right"/>
    </xf>
    <xf numFmtId="2" fontId="4" fillId="0" borderId="63" xfId="78" applyNumberFormat="1" applyFont="1" applyBorder="1"/>
    <xf numFmtId="2" fontId="4" fillId="0" borderId="81" xfId="78" applyNumberFormat="1" applyFont="1" applyBorder="1"/>
    <xf numFmtId="2" fontId="4" fillId="0" borderId="68" xfId="78" applyNumberFormat="1" applyFont="1" applyFill="1" applyBorder="1"/>
    <xf numFmtId="0" fontId="10" fillId="3" borderId="44" xfId="78" applyFont="1" applyFill="1" applyBorder="1" applyAlignment="1">
      <alignment horizontal="center" vertical="center"/>
    </xf>
    <xf numFmtId="0" fontId="9" fillId="3" borderId="67" xfId="78" applyFont="1" applyFill="1" applyBorder="1" applyAlignment="1">
      <alignment horizontal="center"/>
    </xf>
    <xf numFmtId="0" fontId="9" fillId="3" borderId="69" xfId="78" applyFont="1" applyFill="1" applyBorder="1" applyAlignment="1">
      <alignment horizontal="center"/>
    </xf>
    <xf numFmtId="0" fontId="9" fillId="3" borderId="62" xfId="78" applyFont="1" applyFill="1" applyBorder="1" applyAlignment="1">
      <alignment horizontal="center"/>
    </xf>
    <xf numFmtId="0" fontId="10" fillId="3" borderId="68" xfId="78" applyFont="1" applyFill="1" applyBorder="1"/>
    <xf numFmtId="0" fontId="10" fillId="3" borderId="67" xfId="78" applyFont="1" applyFill="1" applyBorder="1" applyAlignment="1">
      <alignment horizontal="center" vertical="center"/>
    </xf>
    <xf numFmtId="0" fontId="10" fillId="3" borderId="67" xfId="78" applyFont="1" applyFill="1" applyBorder="1" applyAlignment="1">
      <alignment vertical="center"/>
    </xf>
    <xf numFmtId="0" fontId="14" fillId="3" borderId="64" xfId="257" applyFont="1" applyFill="1" applyBorder="1">
      <alignment vertical="center"/>
    </xf>
    <xf numFmtId="0" fontId="10" fillId="3" borderId="62" xfId="78" applyFont="1" applyFill="1" applyBorder="1"/>
    <xf numFmtId="0" fontId="9" fillId="0" borderId="23" xfId="78" applyFont="1" applyBorder="1"/>
    <xf numFmtId="0" fontId="9" fillId="0" borderId="119" xfId="78" applyBorder="1"/>
    <xf numFmtId="0" fontId="9" fillId="0" borderId="24" xfId="78" applyBorder="1"/>
    <xf numFmtId="0" fontId="13" fillId="0" borderId="25" xfId="78" applyFont="1" applyBorder="1"/>
    <xf numFmtId="0" fontId="9" fillId="0" borderId="34" xfId="78" applyBorder="1"/>
    <xf numFmtId="0" fontId="10" fillId="3" borderId="0" xfId="78" applyFont="1" applyFill="1" applyBorder="1" applyAlignment="1">
      <alignment horizontal="center" vertical="center"/>
    </xf>
    <xf numFmtId="0" fontId="18" fillId="0" borderId="0" xfId="78" applyFont="1" applyBorder="1"/>
    <xf numFmtId="0" fontId="4" fillId="3" borderId="62" xfId="78" applyFont="1" applyFill="1" applyBorder="1"/>
    <xf numFmtId="0" fontId="4" fillId="3" borderId="0" xfId="78" applyFont="1" applyFill="1" applyBorder="1" applyAlignment="1">
      <alignment horizontal="center" vertical="center"/>
    </xf>
    <xf numFmtId="0" fontId="4" fillId="3" borderId="80" xfId="257" applyFont="1" applyFill="1" applyBorder="1" applyAlignment="1">
      <alignment horizontal="center" vertical="center"/>
    </xf>
    <xf numFmtId="0" fontId="4" fillId="3" borderId="64" xfId="257" applyFont="1" applyFill="1" applyBorder="1" applyAlignment="1">
      <alignment horizontal="center" vertical="center"/>
    </xf>
    <xf numFmtId="2" fontId="4" fillId="0" borderId="80" xfId="257" applyNumberFormat="1" applyFont="1" applyBorder="1">
      <alignment vertical="center"/>
    </xf>
    <xf numFmtId="2" fontId="4" fillId="0" borderId="64" xfId="257" applyNumberFormat="1" applyFont="1" applyBorder="1">
      <alignment vertical="center"/>
    </xf>
    <xf numFmtId="2" fontId="4" fillId="0" borderId="83" xfId="257" applyNumberFormat="1" applyFont="1" applyBorder="1">
      <alignment vertical="center"/>
    </xf>
    <xf numFmtId="2" fontId="4" fillId="0" borderId="60" xfId="257" applyNumberFormat="1" applyFont="1" applyBorder="1">
      <alignment vertical="center"/>
    </xf>
    <xf numFmtId="2" fontId="4" fillId="0" borderId="69" xfId="78" applyNumberFormat="1" applyFont="1" applyFill="1" applyBorder="1"/>
    <xf numFmtId="2" fontId="4" fillId="0" borderId="78" xfId="257" applyNumberFormat="1" applyFont="1" applyBorder="1">
      <alignment vertical="center"/>
    </xf>
    <xf numFmtId="2" fontId="4" fillId="0" borderId="69" xfId="257" applyNumberFormat="1" applyFont="1" applyBorder="1">
      <alignment vertical="center"/>
    </xf>
    <xf numFmtId="2" fontId="4" fillId="0" borderId="77" xfId="257" applyNumberFormat="1" applyFont="1" applyBorder="1">
      <alignment vertical="center"/>
    </xf>
    <xf numFmtId="2" fontId="4" fillId="0" borderId="63" xfId="257" applyNumberFormat="1" applyFont="1" applyBorder="1">
      <alignment vertical="center"/>
    </xf>
    <xf numFmtId="0" fontId="4" fillId="0" borderId="71" xfId="257" applyFont="1" applyBorder="1">
      <alignment vertical="center"/>
    </xf>
    <xf numFmtId="2" fontId="4" fillId="0" borderId="87" xfId="257" applyNumberFormat="1" applyFont="1" applyBorder="1">
      <alignment vertical="center"/>
    </xf>
    <xf numFmtId="2" fontId="4" fillId="0" borderId="72" xfId="257" applyNumberFormat="1" applyFont="1" applyBorder="1">
      <alignment vertical="center"/>
    </xf>
    <xf numFmtId="0" fontId="10" fillId="3" borderId="68" xfId="78" applyFont="1" applyFill="1" applyBorder="1" applyAlignment="1">
      <alignment horizontal="center" vertical="center"/>
    </xf>
    <xf numFmtId="0" fontId="10" fillId="3" borderId="79" xfId="78" applyFont="1" applyFill="1" applyBorder="1"/>
    <xf numFmtId="0" fontId="10" fillId="3" borderId="84" xfId="78" applyFont="1" applyFill="1" applyBorder="1"/>
    <xf numFmtId="0" fontId="10" fillId="0" borderId="65" xfId="78" applyFont="1" applyBorder="1"/>
    <xf numFmtId="0" fontId="10" fillId="0" borderId="121" xfId="78" applyFont="1" applyBorder="1"/>
    <xf numFmtId="0" fontId="12" fillId="0" borderId="122" xfId="78" applyFont="1" applyBorder="1"/>
    <xf numFmtId="0" fontId="10" fillId="0" borderId="122" xfId="78" applyFont="1" applyBorder="1"/>
    <xf numFmtId="2" fontId="10" fillId="0" borderId="122" xfId="78" applyNumberFormat="1" applyFont="1" applyBorder="1"/>
    <xf numFmtId="2" fontId="10" fillId="0" borderId="123" xfId="78" applyNumberFormat="1" applyFont="1" applyBorder="1"/>
    <xf numFmtId="2" fontId="4" fillId="0" borderId="124" xfId="78" applyNumberFormat="1" applyFont="1" applyBorder="1"/>
    <xf numFmtId="0" fontId="4" fillId="0" borderId="0" xfId="257" applyFont="1">
      <alignment vertical="center"/>
    </xf>
    <xf numFmtId="0" fontId="4" fillId="0" borderId="0" xfId="260" applyFont="1" applyBorder="1"/>
    <xf numFmtId="0" fontId="4" fillId="0" borderId="0" xfId="260" applyFont="1" applyBorder="1" applyAlignment="1">
      <alignment horizontal="center"/>
    </xf>
    <xf numFmtId="0" fontId="18" fillId="0" borderId="0" xfId="260" applyFont="1" applyBorder="1" applyAlignment="1">
      <alignment horizontal="center"/>
    </xf>
    <xf numFmtId="0" fontId="4" fillId="0" borderId="0" xfId="257" applyFont="1" applyAlignment="1">
      <alignment horizontal="center" vertical="center"/>
    </xf>
    <xf numFmtId="0" fontId="18" fillId="0" borderId="0" xfId="257" applyFont="1">
      <alignment vertical="center"/>
    </xf>
    <xf numFmtId="170" fontId="4" fillId="0" borderId="6" xfId="257" applyNumberFormat="1" applyFont="1" applyBorder="1">
      <alignment vertical="center"/>
    </xf>
    <xf numFmtId="0" fontId="18" fillId="0" borderId="0" xfId="260" applyFont="1" applyBorder="1" applyAlignment="1">
      <alignment horizontal="left"/>
    </xf>
    <xf numFmtId="0" fontId="18" fillId="0" borderId="0" xfId="260" applyFont="1" applyBorder="1" applyAlignment="1">
      <alignment horizontal="centerContinuous"/>
    </xf>
    <xf numFmtId="0" fontId="18" fillId="0" borderId="0" xfId="260" applyFont="1" applyBorder="1"/>
    <xf numFmtId="0" fontId="4" fillId="0" borderId="0" xfId="260" applyFont="1" applyBorder="1" applyAlignment="1"/>
    <xf numFmtId="0" fontId="4" fillId="0" borderId="88" xfId="260" applyFont="1" applyFill="1" applyBorder="1" applyAlignment="1">
      <alignment horizontal="left" vertical="top"/>
    </xf>
    <xf numFmtId="0" fontId="4" fillId="0" borderId="92" xfId="260" applyFont="1" applyFill="1" applyBorder="1" applyAlignment="1">
      <alignment vertical="top"/>
    </xf>
    <xf numFmtId="0" fontId="4" fillId="0" borderId="0" xfId="260" applyFont="1"/>
    <xf numFmtId="0" fontId="18" fillId="0" borderId="20" xfId="260" applyFont="1" applyFill="1" applyBorder="1" applyAlignment="1">
      <alignment horizontal="left" vertical="top"/>
    </xf>
    <xf numFmtId="0" fontId="52" fillId="0" borderId="0" xfId="260" applyFont="1" applyBorder="1" applyAlignment="1">
      <alignment horizontal="left"/>
    </xf>
    <xf numFmtId="0" fontId="4" fillId="0" borderId="0" xfId="260" applyFont="1" applyAlignment="1"/>
    <xf numFmtId="0" fontId="18" fillId="0" borderId="0" xfId="260" applyFont="1" applyFill="1" applyBorder="1" applyAlignment="1">
      <alignment horizontal="left"/>
    </xf>
    <xf numFmtId="0" fontId="18" fillId="0" borderId="0" xfId="260" applyFont="1" applyFill="1" applyBorder="1" applyAlignment="1">
      <alignment horizontal="centerContinuous"/>
    </xf>
    <xf numFmtId="0" fontId="4" fillId="0" borderId="0" xfId="260" applyFont="1" applyFill="1" applyBorder="1"/>
    <xf numFmtId="0" fontId="18" fillId="0" borderId="0" xfId="260" applyFont="1" applyFill="1" applyBorder="1"/>
    <xf numFmtId="0" fontId="18" fillId="0" borderId="107" xfId="260" applyFont="1" applyFill="1" applyBorder="1" applyAlignment="1">
      <alignment horizontal="center" vertical="center" wrapText="1"/>
    </xf>
    <xf numFmtId="0" fontId="18" fillId="0" borderId="4" xfId="260" applyFont="1" applyFill="1" applyBorder="1" applyAlignment="1">
      <alignment horizontal="center" vertical="center" wrapText="1"/>
    </xf>
    <xf numFmtId="0" fontId="4" fillId="0" borderId="88" xfId="260" quotePrefix="1" applyFont="1" applyFill="1" applyBorder="1" applyAlignment="1">
      <alignment horizontal="center" vertical="top" wrapText="1"/>
    </xf>
    <xf numFmtId="0" fontId="18" fillId="0" borderId="6" xfId="260" applyFont="1" applyFill="1" applyBorder="1" applyAlignment="1">
      <alignment horizontal="center" vertical="top" wrapText="1"/>
    </xf>
    <xf numFmtId="0" fontId="4" fillId="0" borderId="0" xfId="260" applyFont="1" applyBorder="1" applyAlignment="1">
      <alignment vertical="top"/>
    </xf>
    <xf numFmtId="0" fontId="4" fillId="0" borderId="6" xfId="260" applyFont="1" applyFill="1" applyBorder="1" applyAlignment="1">
      <alignment horizontal="left" vertical="top"/>
    </xf>
    <xf numFmtId="0" fontId="4" fillId="0" borderId="6" xfId="260" applyFont="1" applyFill="1" applyBorder="1"/>
    <xf numFmtId="0" fontId="4" fillId="0" borderId="52" xfId="260" applyFont="1" applyFill="1" applyBorder="1" applyAlignment="1">
      <alignment vertical="top"/>
    </xf>
    <xf numFmtId="0" fontId="56" fillId="0" borderId="52" xfId="260" applyFont="1" applyFill="1" applyBorder="1"/>
    <xf numFmtId="0" fontId="18" fillId="0" borderId="11" xfId="260" applyFont="1" applyFill="1" applyBorder="1" applyAlignment="1">
      <alignment horizontal="left" vertical="top"/>
    </xf>
    <xf numFmtId="0" fontId="18" fillId="0" borderId="20" xfId="260" applyFont="1" applyFill="1" applyBorder="1" applyAlignment="1">
      <alignment horizontal="right" vertical="top"/>
    </xf>
    <xf numFmtId="0" fontId="4" fillId="4" borderId="6" xfId="260" applyFont="1" applyFill="1" applyBorder="1"/>
    <xf numFmtId="2" fontId="4" fillId="4" borderId="6" xfId="260" applyNumberFormat="1" applyFont="1" applyFill="1" applyBorder="1"/>
    <xf numFmtId="2" fontId="56" fillId="0" borderId="52" xfId="260" applyNumberFormat="1" applyFont="1" applyFill="1" applyBorder="1"/>
    <xf numFmtId="0" fontId="4" fillId="0" borderId="6" xfId="114" applyFont="1" applyFill="1" applyBorder="1" applyAlignment="1" applyProtection="1">
      <alignment horizontal="left" vertical="top" wrapText="1"/>
    </xf>
    <xf numFmtId="2" fontId="4" fillId="0" borderId="0" xfId="114" applyNumberFormat="1" applyFont="1" applyFill="1"/>
    <xf numFmtId="1" fontId="4" fillId="0" borderId="0" xfId="114" applyNumberFormat="1" applyFont="1" applyFill="1" applyBorder="1"/>
    <xf numFmtId="2" fontId="5" fillId="0" borderId="0" xfId="78" applyNumberFormat="1" applyFont="1"/>
    <xf numFmtId="2" fontId="5" fillId="0" borderId="6" xfId="78" applyNumberFormat="1" applyFont="1" applyBorder="1"/>
    <xf numFmtId="0" fontId="82" fillId="3" borderId="6" xfId="0" applyFont="1" applyFill="1" applyBorder="1" applyAlignment="1">
      <alignment horizontal="center" wrapText="1"/>
    </xf>
    <xf numFmtId="0" fontId="81" fillId="0" borderId="6" xfId="0" applyFont="1" applyBorder="1" applyAlignment="1">
      <alignment wrapText="1"/>
    </xf>
    <xf numFmtId="0" fontId="81" fillId="0" borderId="6" xfId="0" applyFont="1" applyBorder="1" applyAlignment="1">
      <alignment vertical="top" wrapText="1"/>
    </xf>
    <xf numFmtId="0" fontId="81" fillId="0" borderId="6" xfId="0" applyFont="1" applyBorder="1" applyAlignment="1">
      <alignment horizontal="center" wrapText="1"/>
    </xf>
    <xf numFmtId="0" fontId="82" fillId="0" borderId="6" xfId="0" applyFont="1" applyBorder="1" applyAlignment="1">
      <alignment horizontal="center" vertical="top" wrapText="1"/>
    </xf>
    <xf numFmtId="0" fontId="18" fillId="0" borderId="52" xfId="13" applyFont="1" applyBorder="1">
      <alignment vertical="center"/>
    </xf>
    <xf numFmtId="43" fontId="10" fillId="0" borderId="0" xfId="46" applyNumberFormat="1" applyFont="1" applyFill="1" applyBorder="1"/>
    <xf numFmtId="0" fontId="9" fillId="0" borderId="0" xfId="264" applyFont="1" applyAlignment="1">
      <alignment wrapText="1"/>
    </xf>
    <xf numFmtId="43" fontId="13" fillId="0" borderId="0" xfId="264" applyNumberFormat="1" applyFont="1"/>
    <xf numFmtId="43" fontId="9" fillId="0" borderId="0" xfId="264" applyNumberFormat="1" applyFont="1"/>
    <xf numFmtId="43" fontId="9" fillId="0" borderId="0" xfId="264" applyNumberFormat="1" applyFont="1" applyAlignment="1">
      <alignment wrapText="1"/>
    </xf>
    <xf numFmtId="0" fontId="13" fillId="0" borderId="23" xfId="264" applyFont="1" applyBorder="1" applyAlignment="1">
      <alignment wrapText="1"/>
    </xf>
    <xf numFmtId="43" fontId="13" fillId="0" borderId="24" xfId="264" applyNumberFormat="1" applyFont="1" applyBorder="1"/>
    <xf numFmtId="43" fontId="9" fillId="0" borderId="24" xfId="264" applyNumberFormat="1" applyFont="1" applyBorder="1"/>
    <xf numFmtId="43" fontId="9" fillId="0" borderId="25" xfId="264" applyNumberFormat="1" applyFont="1" applyBorder="1" applyAlignment="1">
      <alignment wrapText="1"/>
    </xf>
    <xf numFmtId="0" fontId="9" fillId="0" borderId="32" xfId="264" applyFont="1" applyBorder="1" applyAlignment="1">
      <alignment wrapText="1"/>
    </xf>
    <xf numFmtId="43" fontId="13" fillId="0" borderId="0" xfId="264" applyNumberFormat="1" applyFont="1" applyBorder="1"/>
    <xf numFmtId="43" fontId="9" fillId="0" borderId="0" xfId="264" applyNumberFormat="1" applyFont="1" applyBorder="1"/>
    <xf numFmtId="43" fontId="9" fillId="0" borderId="33" xfId="264" applyNumberFormat="1" applyFont="1" applyBorder="1" applyAlignment="1">
      <alignment wrapText="1"/>
    </xf>
    <xf numFmtId="43" fontId="13" fillId="0" borderId="0" xfId="264" applyNumberFormat="1" applyFont="1" applyBorder="1" applyAlignment="1">
      <alignment wrapText="1"/>
    </xf>
    <xf numFmtId="43" fontId="9" fillId="0" borderId="0" xfId="264" applyNumberFormat="1" applyFont="1" applyBorder="1" applyAlignment="1">
      <alignment wrapText="1"/>
    </xf>
    <xf numFmtId="43" fontId="13" fillId="0" borderId="33" xfId="264" applyNumberFormat="1" applyFont="1" applyBorder="1" applyAlignment="1">
      <alignment wrapText="1"/>
    </xf>
    <xf numFmtId="0" fontId="13" fillId="0" borderId="32" xfId="264" applyFont="1" applyBorder="1"/>
    <xf numFmtId="0" fontId="9" fillId="0" borderId="32" xfId="264" applyFont="1" applyFill="1" applyBorder="1" applyAlignment="1">
      <alignment wrapText="1"/>
    </xf>
    <xf numFmtId="43" fontId="13" fillId="0" borderId="0" xfId="46" applyNumberFormat="1" applyFont="1" applyFill="1" applyBorder="1"/>
    <xf numFmtId="43" fontId="9" fillId="0" borderId="0" xfId="46" applyNumberFormat="1" applyFont="1" applyFill="1" applyBorder="1"/>
    <xf numFmtId="43" fontId="13" fillId="0" borderId="0" xfId="264" applyNumberFormat="1" applyFont="1" applyBorder="1" applyAlignment="1"/>
    <xf numFmtId="43" fontId="13" fillId="0" borderId="0" xfId="264" applyNumberFormat="1" applyFont="1" applyBorder="1" applyAlignment="1">
      <alignment vertical="center"/>
    </xf>
    <xf numFmtId="0" fontId="9" fillId="0" borderId="0" xfId="264" applyFont="1"/>
    <xf numFmtId="0" fontId="61" fillId="0" borderId="32" xfId="264" applyFont="1" applyFill="1" applyBorder="1" applyAlignment="1">
      <alignment vertical="center" wrapText="1"/>
    </xf>
    <xf numFmtId="43" fontId="13" fillId="0" borderId="0" xfId="46" applyNumberFormat="1" applyFont="1" applyFill="1" applyBorder="1" applyAlignment="1">
      <alignment wrapText="1"/>
    </xf>
    <xf numFmtId="43" fontId="9" fillId="0" borderId="33" xfId="264" applyNumberFormat="1" applyFont="1" applyBorder="1"/>
    <xf numFmtId="0" fontId="13" fillId="0" borderId="32" xfId="264" applyFont="1" applyBorder="1" applyAlignment="1">
      <alignment horizontal="right" wrapText="1"/>
    </xf>
    <xf numFmtId="43" fontId="13" fillId="0" borderId="125" xfId="264" applyNumberFormat="1" applyFont="1" applyBorder="1"/>
    <xf numFmtId="43" fontId="9" fillId="33" borderId="33" xfId="264" applyNumberFormat="1" applyFont="1" applyFill="1" applyBorder="1" applyAlignment="1">
      <alignment wrapText="1"/>
    </xf>
    <xf numFmtId="0" fontId="13" fillId="0" borderId="32" xfId="264" applyFont="1" applyBorder="1" applyAlignment="1">
      <alignment wrapText="1"/>
    </xf>
    <xf numFmtId="43" fontId="13" fillId="0" borderId="0" xfId="264" applyNumberFormat="1" applyFont="1" applyFill="1" applyBorder="1" applyAlignment="1">
      <alignment wrapText="1"/>
    </xf>
    <xf numFmtId="0" fontId="10" fillId="0" borderId="32" xfId="264" applyFont="1" applyFill="1" applyBorder="1" applyAlignment="1">
      <alignment wrapText="1"/>
    </xf>
    <xf numFmtId="43" fontId="12" fillId="0" borderId="0" xfId="46" applyNumberFormat="1" applyFont="1" applyFill="1" applyBorder="1"/>
    <xf numFmtId="0" fontId="10" fillId="0" borderId="32" xfId="264" applyNumberFormat="1" applyFont="1" applyFill="1" applyBorder="1" applyAlignment="1" applyProtection="1">
      <alignment wrapText="1"/>
    </xf>
    <xf numFmtId="43" fontId="12" fillId="0" borderId="0" xfId="264" applyNumberFormat="1" applyFont="1" applyFill="1" applyBorder="1"/>
    <xf numFmtId="43" fontId="12" fillId="0" borderId="0" xfId="264" applyNumberFormat="1" applyFont="1" applyFill="1" applyBorder="1" applyAlignment="1" applyProtection="1"/>
    <xf numFmtId="43" fontId="9" fillId="0" borderId="0" xfId="264" applyNumberFormat="1" applyFont="1" applyFill="1" applyBorder="1"/>
    <xf numFmtId="43" fontId="9" fillId="34" borderId="33" xfId="264" applyNumberFormat="1" applyFont="1" applyFill="1" applyBorder="1" applyAlignment="1">
      <alignment wrapText="1"/>
    </xf>
    <xf numFmtId="43" fontId="12" fillId="0" borderId="17" xfId="264" applyNumberFormat="1" applyFont="1" applyFill="1" applyBorder="1"/>
    <xf numFmtId="43" fontId="13" fillId="35" borderId="0" xfId="264" applyNumberFormat="1" applyFont="1" applyFill="1" applyBorder="1"/>
    <xf numFmtId="43" fontId="9" fillId="35" borderId="0" xfId="264" applyNumberFormat="1" applyFont="1" applyFill="1" applyBorder="1"/>
    <xf numFmtId="43" fontId="9" fillId="35" borderId="0" xfId="264" applyNumberFormat="1" applyFont="1" applyFill="1"/>
    <xf numFmtId="43" fontId="12" fillId="35" borderId="0" xfId="264" applyNumberFormat="1" applyFont="1" applyFill="1" applyBorder="1"/>
    <xf numFmtId="43" fontId="9" fillId="35" borderId="0" xfId="264" applyNumberFormat="1" applyFont="1" applyFill="1" applyAlignment="1">
      <alignment wrapText="1"/>
    </xf>
    <xf numFmtId="43" fontId="9" fillId="0" borderId="125" xfId="264" applyNumberFormat="1" applyFont="1" applyBorder="1"/>
    <xf numFmtId="0" fontId="9" fillId="0" borderId="33" xfId="264" applyFont="1" applyBorder="1"/>
    <xf numFmtId="43" fontId="13" fillId="0" borderId="0" xfId="264" applyNumberFormat="1" applyFont="1" applyAlignment="1">
      <alignment wrapText="1"/>
    </xf>
    <xf numFmtId="43" fontId="9" fillId="0" borderId="34" xfId="264" applyNumberFormat="1" applyFont="1" applyBorder="1"/>
    <xf numFmtId="43" fontId="13" fillId="0" borderId="35" xfId="264" applyNumberFormat="1" applyFont="1" applyBorder="1"/>
    <xf numFmtId="43" fontId="9" fillId="0" borderId="35" xfId="264" applyNumberFormat="1" applyFont="1" applyBorder="1"/>
    <xf numFmtId="43" fontId="9" fillId="0" borderId="36" xfId="264" applyNumberFormat="1" applyFont="1" applyBorder="1" applyAlignment="1">
      <alignment wrapText="1"/>
    </xf>
    <xf numFmtId="43" fontId="13" fillId="0" borderId="0" xfId="264" applyNumberFormat="1" applyFont="1" applyFill="1" applyBorder="1"/>
    <xf numFmtId="43" fontId="13" fillId="0" borderId="0" xfId="46" applyNumberFormat="1" applyFont="1" applyFill="1" applyBorder="1" applyAlignment="1">
      <alignment horizontal="right"/>
    </xf>
    <xf numFmtId="43" fontId="10" fillId="0" borderId="0" xfId="264" applyNumberFormat="1" applyFont="1" applyBorder="1"/>
    <xf numFmtId="43" fontId="9" fillId="0" borderId="25" xfId="264" applyNumberFormat="1" applyFont="1" applyBorder="1"/>
    <xf numFmtId="43" fontId="92" fillId="0" borderId="0" xfId="261" applyNumberFormat="1" applyFont="1" applyBorder="1" applyAlignment="1" applyProtection="1"/>
    <xf numFmtId="43" fontId="9" fillId="0" borderId="33" xfId="264" applyNumberFormat="1" applyFont="1" applyFill="1" applyBorder="1"/>
    <xf numFmtId="43" fontId="13" fillId="0" borderId="126" xfId="264" applyNumberFormat="1" applyFont="1" applyBorder="1"/>
    <xf numFmtId="43" fontId="9" fillId="0" borderId="36" xfId="264" applyNumberFormat="1" applyFont="1" applyBorder="1"/>
    <xf numFmtId="0" fontId="5" fillId="0" borderId="0" xfId="2" applyFont="1"/>
    <xf numFmtId="165" fontId="5" fillId="0" borderId="0" xfId="2" applyNumberFormat="1" applyFont="1"/>
    <xf numFmtId="2" fontId="5" fillId="0" borderId="0" xfId="2" applyNumberFormat="1" applyFont="1"/>
    <xf numFmtId="0" fontId="6" fillId="0" borderId="0" xfId="2" applyFont="1"/>
    <xf numFmtId="0" fontId="5" fillId="0" borderId="0" xfId="2" applyNumberFormat="1" applyFont="1"/>
    <xf numFmtId="0" fontId="5" fillId="2" borderId="52" xfId="257" applyFont="1" applyFill="1" applyBorder="1" applyAlignment="1">
      <alignment vertical="center"/>
    </xf>
    <xf numFmtId="0" fontId="5" fillId="0" borderId="52" xfId="2" applyFont="1" applyBorder="1" applyAlignment="1">
      <alignment vertical="center"/>
    </xf>
    <xf numFmtId="0" fontId="5" fillId="0" borderId="52" xfId="2" applyNumberFormat="1" applyFont="1" applyBorder="1" applyAlignment="1">
      <alignment vertical="center"/>
    </xf>
    <xf numFmtId="2" fontId="5" fillId="0" borderId="52" xfId="2" applyNumberFormat="1" applyFont="1" applyBorder="1" applyAlignment="1">
      <alignment vertical="center"/>
    </xf>
    <xf numFmtId="2" fontId="5" fillId="0" borderId="52" xfId="2" applyNumberFormat="1" applyFont="1" applyBorder="1" applyAlignment="1">
      <alignment vertical="center" wrapText="1"/>
    </xf>
    <xf numFmtId="0" fontId="5" fillId="0" borderId="0" xfId="2" applyFont="1" applyAlignment="1">
      <alignment wrapText="1"/>
    </xf>
    <xf numFmtId="0" fontId="5" fillId="2" borderId="3" xfId="257" applyFont="1" applyFill="1" applyBorder="1" applyAlignment="1">
      <alignment vertical="center"/>
    </xf>
    <xf numFmtId="0" fontId="5" fillId="0" borderId="3" xfId="2" applyFont="1" applyBorder="1" applyAlignment="1">
      <alignment vertical="center"/>
    </xf>
    <xf numFmtId="0" fontId="5" fillId="0" borderId="3" xfId="2" applyFont="1" applyBorder="1" applyAlignment="1">
      <alignment horizontal="center" vertical="center"/>
    </xf>
    <xf numFmtId="0" fontId="5" fillId="0" borderId="3" xfId="2" applyNumberFormat="1" applyFont="1" applyBorder="1" applyAlignment="1">
      <alignment vertical="center"/>
    </xf>
    <xf numFmtId="2" fontId="5" fillId="0" borderId="3" xfId="2" applyNumberFormat="1" applyFont="1" applyBorder="1" applyAlignment="1">
      <alignment vertical="center"/>
    </xf>
    <xf numFmtId="2" fontId="5" fillId="0" borderId="3" xfId="2" applyNumberFormat="1" applyFont="1" applyBorder="1" applyAlignment="1">
      <alignment vertical="center" wrapText="1"/>
    </xf>
    <xf numFmtId="0" fontId="5" fillId="0" borderId="4" xfId="2" applyFont="1" applyBorder="1" applyAlignment="1">
      <alignment horizontal="left" vertical="center" wrapText="1"/>
    </xf>
    <xf numFmtId="0" fontId="5" fillId="0" borderId="4" xfId="2" applyFont="1" applyBorder="1" applyAlignment="1">
      <alignment horizontal="right" vertical="center" wrapText="1"/>
    </xf>
    <xf numFmtId="0" fontId="5" fillId="0" borderId="4" xfId="2" applyNumberFormat="1" applyFont="1" applyBorder="1"/>
    <xf numFmtId="2" fontId="5" fillId="0" borderId="4" xfId="2" applyNumberFormat="1" applyFont="1" applyBorder="1"/>
    <xf numFmtId="2" fontId="5" fillId="0" borderId="4" xfId="2" applyNumberFormat="1" applyFont="1" applyBorder="1" applyAlignment="1">
      <alignment vertical="center"/>
    </xf>
    <xf numFmtId="2" fontId="5" fillId="0" borderId="4" xfId="2" applyNumberFormat="1" applyFont="1" applyBorder="1" applyAlignment="1">
      <alignment horizontal="right" vertical="center"/>
    </xf>
    <xf numFmtId="0" fontId="5" fillId="0" borderId="4" xfId="2" applyFont="1" applyBorder="1" applyAlignment="1">
      <alignment horizontal="left"/>
    </xf>
    <xf numFmtId="1" fontId="5" fillId="0" borderId="4" xfId="2" applyNumberFormat="1" applyFont="1" applyBorder="1" applyAlignment="1">
      <alignment horizontal="right"/>
    </xf>
    <xf numFmtId="0" fontId="5" fillId="0" borderId="6" xfId="2" applyFont="1" applyBorder="1" applyAlignment="1">
      <alignment horizontal="left"/>
    </xf>
    <xf numFmtId="1" fontId="5" fillId="0" borderId="6" xfId="2" applyNumberFormat="1" applyFont="1" applyBorder="1" applyAlignment="1">
      <alignment horizontal="right"/>
    </xf>
    <xf numFmtId="0" fontId="5" fillId="0" borderId="6" xfId="2" applyNumberFormat="1" applyFont="1" applyBorder="1"/>
    <xf numFmtId="2" fontId="5" fillId="0" borderId="6" xfId="2" applyNumberFormat="1" applyFont="1" applyBorder="1"/>
    <xf numFmtId="1" fontId="5" fillId="0" borderId="52" xfId="2" applyNumberFormat="1" applyFont="1" applyBorder="1" applyAlignment="1">
      <alignment horizontal="right"/>
    </xf>
    <xf numFmtId="0" fontId="5" fillId="0" borderId="7" xfId="2" applyNumberFormat="1" applyFont="1" applyBorder="1"/>
    <xf numFmtId="2" fontId="5" fillId="0" borderId="7" xfId="2" applyNumberFormat="1" applyFont="1" applyBorder="1"/>
    <xf numFmtId="0" fontId="5" fillId="0" borderId="8" xfId="2" applyFont="1" applyBorder="1" applyAlignment="1">
      <alignment horizontal="left"/>
    </xf>
    <xf numFmtId="1" fontId="5" fillId="0" borderId="8" xfId="2" applyNumberFormat="1" applyFont="1" applyBorder="1" applyAlignment="1">
      <alignment horizontal="right"/>
    </xf>
    <xf numFmtId="0" fontId="5" fillId="0" borderId="8" xfId="2" applyNumberFormat="1" applyFont="1" applyBorder="1"/>
    <xf numFmtId="2" fontId="5" fillId="0" borderId="8" xfId="2" applyNumberFormat="1" applyFont="1" applyBorder="1"/>
    <xf numFmtId="0" fontId="5" fillId="0" borderId="9" xfId="2" applyFont="1" applyBorder="1" applyAlignment="1">
      <alignment horizontal="left"/>
    </xf>
    <xf numFmtId="0" fontId="5" fillId="0" borderId="4" xfId="2" applyFont="1" applyBorder="1" applyAlignment="1">
      <alignment horizontal="right"/>
    </xf>
    <xf numFmtId="0" fontId="5" fillId="0" borderId="10" xfId="2" applyFont="1" applyBorder="1" applyAlignment="1">
      <alignment horizontal="left"/>
    </xf>
    <xf numFmtId="0" fontId="5" fillId="0" borderId="103" xfId="2" applyFont="1" applyBorder="1" applyAlignment="1">
      <alignment horizontal="left"/>
    </xf>
    <xf numFmtId="0" fontId="5" fillId="0" borderId="99" xfId="2" applyFont="1" applyBorder="1" applyAlignment="1">
      <alignment horizontal="left"/>
    </xf>
    <xf numFmtId="1" fontId="5" fillId="0" borderId="7" xfId="2" applyNumberFormat="1" applyFont="1" applyBorder="1" applyAlignment="1">
      <alignment horizontal="right"/>
    </xf>
    <xf numFmtId="1" fontId="5" fillId="0" borderId="3" xfId="2" applyNumberFormat="1" applyFont="1" applyBorder="1" applyAlignment="1">
      <alignment horizontal="right"/>
    </xf>
    <xf numFmtId="2" fontId="5" fillId="0" borderId="3" xfId="2" applyNumberFormat="1" applyFont="1" applyBorder="1"/>
    <xf numFmtId="0" fontId="5" fillId="0" borderId="7" xfId="2" applyFont="1" applyBorder="1" applyAlignment="1">
      <alignment horizontal="right"/>
    </xf>
    <xf numFmtId="2" fontId="5" fillId="0" borderId="8" xfId="2" applyNumberFormat="1" applyFont="1" applyBorder="1" applyAlignment="1">
      <alignment vertical="center"/>
    </xf>
    <xf numFmtId="2" fontId="5" fillId="0" borderId="7" xfId="2" applyNumberFormat="1" applyFont="1" applyBorder="1" applyAlignment="1">
      <alignment vertical="center"/>
    </xf>
    <xf numFmtId="2" fontId="5" fillId="0" borderId="7" xfId="2" applyNumberFormat="1" applyFont="1" applyBorder="1" applyAlignment="1">
      <alignment horizontal="right" vertical="center"/>
    </xf>
    <xf numFmtId="0" fontId="5" fillId="0" borderId="9" xfId="2" applyFont="1" applyFill="1" applyBorder="1" applyAlignment="1" applyProtection="1">
      <alignment horizontal="left" vertical="center" wrapText="1"/>
    </xf>
    <xf numFmtId="0" fontId="5" fillId="0" borderId="11" xfId="2" applyFont="1" applyFill="1" applyBorder="1" applyAlignment="1" applyProtection="1">
      <alignment horizontal="left" vertical="center" wrapText="1"/>
    </xf>
    <xf numFmtId="0" fontId="5" fillId="0" borderId="11" xfId="2" applyFont="1" applyBorder="1" applyAlignment="1">
      <alignment horizontal="right"/>
    </xf>
    <xf numFmtId="0" fontId="5" fillId="0" borderId="11" xfId="2" applyNumberFormat="1" applyFont="1" applyBorder="1"/>
    <xf numFmtId="2" fontId="5" fillId="0" borderId="11" xfId="2" applyNumberFormat="1" applyFont="1" applyBorder="1"/>
    <xf numFmtId="2" fontId="5" fillId="0" borderId="11" xfId="2" applyNumberFormat="1" applyFont="1" applyBorder="1" applyAlignment="1">
      <alignment vertical="center"/>
    </xf>
    <xf numFmtId="2" fontId="5" fillId="0" borderId="11" xfId="2" applyNumberFormat="1" applyFont="1" applyBorder="1" applyAlignment="1">
      <alignment horizontal="right" vertical="center"/>
    </xf>
    <xf numFmtId="0" fontId="6" fillId="0" borderId="8" xfId="2" applyFont="1" applyFill="1" applyBorder="1" applyAlignment="1" applyProtection="1">
      <alignment horizontal="left" vertical="center" wrapText="1"/>
    </xf>
    <xf numFmtId="0" fontId="5" fillId="0" borderId="8" xfId="2" applyFont="1" applyBorder="1" applyAlignment="1">
      <alignment horizontal="right"/>
    </xf>
    <xf numFmtId="1" fontId="5" fillId="0" borderId="8" xfId="2" applyNumberFormat="1" applyFont="1" applyBorder="1"/>
    <xf numFmtId="2" fontId="5" fillId="0" borderId="8" xfId="2" applyNumberFormat="1" applyFont="1" applyBorder="1" applyAlignment="1">
      <alignment horizontal="right" vertical="center"/>
    </xf>
    <xf numFmtId="182" fontId="5" fillId="0" borderId="0" xfId="2" applyNumberFormat="1" applyFont="1"/>
    <xf numFmtId="2" fontId="6" fillId="0" borderId="6" xfId="2" applyNumberFormat="1" applyFont="1" applyBorder="1"/>
    <xf numFmtId="2" fontId="93" fillId="0" borderId="6" xfId="2" applyNumberFormat="1" applyFont="1" applyBorder="1"/>
    <xf numFmtId="2" fontId="76" fillId="0" borderId="6" xfId="2" applyNumberFormat="1" applyFont="1" applyBorder="1"/>
    <xf numFmtId="174" fontId="77" fillId="0" borderId="0" xfId="2" applyNumberFormat="1" applyFont="1"/>
    <xf numFmtId="2" fontId="6" fillId="0" borderId="0" xfId="2" applyNumberFormat="1" applyFont="1"/>
    <xf numFmtId="166" fontId="5" fillId="0" borderId="0" xfId="2" applyNumberFormat="1" applyFont="1"/>
    <xf numFmtId="167" fontId="5" fillId="0" borderId="0" xfId="2" applyNumberFormat="1" applyFont="1"/>
    <xf numFmtId="0" fontId="81" fillId="0" borderId="0" xfId="0" applyFont="1" applyBorder="1"/>
    <xf numFmtId="0" fontId="82" fillId="3" borderId="6" xfId="0" applyFont="1" applyFill="1" applyBorder="1"/>
    <xf numFmtId="0" fontId="4" fillId="4" borderId="6" xfId="0" applyFont="1" applyFill="1" applyBorder="1" applyAlignment="1">
      <alignment horizontal="center" vertical="center" wrapText="1"/>
    </xf>
    <xf numFmtId="0" fontId="4" fillId="0" borderId="0" xfId="257" applyFont="1" applyBorder="1">
      <alignment vertical="center"/>
    </xf>
    <xf numFmtId="0" fontId="9" fillId="0" borderId="0" xfId="273" applyFont="1"/>
    <xf numFmtId="0" fontId="6" fillId="0" borderId="0" xfId="273" applyFont="1" applyAlignment="1">
      <alignment horizontal="right"/>
    </xf>
    <xf numFmtId="0" fontId="95" fillId="0" borderId="0" xfId="273" applyFont="1"/>
    <xf numFmtId="0" fontId="6" fillId="0" borderId="0" xfId="273" applyFont="1"/>
    <xf numFmtId="0" fontId="75" fillId="0" borderId="0" xfId="273" applyFont="1"/>
    <xf numFmtId="0" fontId="78" fillId="0" borderId="0" xfId="273" applyFont="1"/>
    <xf numFmtId="0" fontId="6" fillId="0" borderId="6" xfId="273" applyFont="1" applyBorder="1" applyAlignment="1">
      <alignment horizontal="center"/>
    </xf>
    <xf numFmtId="0" fontId="9" fillId="0" borderId="55" xfId="273" applyFont="1" applyBorder="1"/>
    <xf numFmtId="0" fontId="6" fillId="0" borderId="55" xfId="273" applyFont="1" applyBorder="1" applyAlignment="1">
      <alignment horizontal="center"/>
    </xf>
    <xf numFmtId="0" fontId="9" fillId="0" borderId="54" xfId="273" applyFont="1" applyBorder="1"/>
    <xf numFmtId="0" fontId="9" fillId="0" borderId="56" xfId="273" applyFont="1" applyBorder="1"/>
    <xf numFmtId="0" fontId="5" fillId="0" borderId="6" xfId="273" applyFont="1" applyBorder="1"/>
    <xf numFmtId="0" fontId="6" fillId="0" borderId="56" xfId="273" applyFont="1" applyBorder="1" applyAlignment="1">
      <alignment horizontal="center"/>
    </xf>
    <xf numFmtId="0" fontId="9" fillId="0" borderId="106" xfId="273" applyFont="1" applyBorder="1"/>
    <xf numFmtId="0" fontId="96" fillId="0" borderId="8" xfId="273" applyFont="1" applyBorder="1" applyAlignment="1">
      <alignment horizontal="center"/>
    </xf>
    <xf numFmtId="0" fontId="9" fillId="0" borderId="17" xfId="273" applyFont="1" applyBorder="1"/>
    <xf numFmtId="0" fontId="96" fillId="0" borderId="16" xfId="273" applyFont="1" applyBorder="1" applyAlignment="1">
      <alignment horizontal="center"/>
    </xf>
    <xf numFmtId="0" fontId="96" fillId="0" borderId="17" xfId="273" applyFont="1" applyBorder="1" applyAlignment="1">
      <alignment horizontal="center"/>
    </xf>
    <xf numFmtId="0" fontId="9" fillId="0" borderId="0" xfId="273" applyFont="1" applyBorder="1"/>
    <xf numFmtId="0" fontId="96" fillId="0" borderId="6" xfId="273" applyFont="1" applyBorder="1" applyAlignment="1">
      <alignment horizontal="center"/>
    </xf>
    <xf numFmtId="0" fontId="87" fillId="0" borderId="3" xfId="273" applyFont="1" applyBorder="1"/>
    <xf numFmtId="0" fontId="87" fillId="0" borderId="0" xfId="273" applyFont="1" applyBorder="1"/>
    <xf numFmtId="0" fontId="49" fillId="0" borderId="0" xfId="273" applyFont="1"/>
    <xf numFmtId="0" fontId="87" fillId="0" borderId="0" xfId="273" applyFont="1"/>
    <xf numFmtId="0" fontId="87" fillId="0" borderId="12" xfId="273" applyFont="1" applyBorder="1"/>
    <xf numFmtId="0" fontId="87" fillId="0" borderId="14" xfId="273" applyFont="1" applyBorder="1"/>
    <xf numFmtId="0" fontId="87" fillId="0" borderId="59" xfId="273" applyFont="1" applyBorder="1"/>
    <xf numFmtId="0" fontId="49" fillId="0" borderId="59" xfId="273" applyFont="1" applyBorder="1"/>
    <xf numFmtId="0" fontId="87" fillId="0" borderId="52" xfId="273" applyFont="1" applyBorder="1"/>
    <xf numFmtId="0" fontId="87" fillId="0" borderId="0" xfId="273" quotePrefix="1" applyFont="1" applyBorder="1" applyAlignment="1">
      <alignment horizontal="center"/>
    </xf>
    <xf numFmtId="0" fontId="87" fillId="0" borderId="106" xfId="273" applyFont="1" applyBorder="1"/>
    <xf numFmtId="0" fontId="87" fillId="0" borderId="0" xfId="273" applyFont="1" applyBorder="1" applyAlignment="1">
      <alignment horizontal="center"/>
    </xf>
    <xf numFmtId="0" fontId="87" fillId="0" borderId="8" xfId="273" applyFont="1" applyBorder="1"/>
    <xf numFmtId="0" fontId="87" fillId="0" borderId="0" xfId="273" applyFont="1" applyBorder="1" applyAlignment="1">
      <alignment horizontal="left"/>
    </xf>
    <xf numFmtId="176" fontId="87" fillId="0" borderId="14" xfId="273" applyNumberFormat="1" applyFont="1" applyBorder="1" applyAlignment="1" applyProtection="1"/>
    <xf numFmtId="0" fontId="5" fillId="0" borderId="0" xfId="273" applyFont="1" applyBorder="1"/>
    <xf numFmtId="1" fontId="87" fillId="0" borderId="3" xfId="273" applyNumberFormat="1" applyFont="1" applyBorder="1"/>
    <xf numFmtId="176" fontId="87" fillId="0" borderId="0" xfId="273" applyNumberFormat="1" applyFont="1" applyProtection="1"/>
    <xf numFmtId="176" fontId="87" fillId="0" borderId="106" xfId="273" applyNumberFormat="1" applyFont="1" applyBorder="1" applyProtection="1"/>
    <xf numFmtId="1" fontId="87" fillId="0" borderId="14" xfId="273" applyNumberFormat="1" applyFont="1" applyBorder="1"/>
    <xf numFmtId="1" fontId="87" fillId="0" borderId="6" xfId="273" applyNumberFormat="1" applyFont="1" applyBorder="1"/>
    <xf numFmtId="0" fontId="87" fillId="0" borderId="0" xfId="273" quotePrefix="1" applyFont="1" applyBorder="1" applyAlignment="1">
      <alignment horizontal="left"/>
    </xf>
    <xf numFmtId="176" fontId="87" fillId="0" borderId="3" xfId="273" applyNumberFormat="1" applyFont="1" applyBorder="1" applyAlignment="1" applyProtection="1">
      <alignment horizontal="fill"/>
    </xf>
    <xf numFmtId="176" fontId="87" fillId="0" borderId="6" xfId="273" applyNumberFormat="1" applyFont="1" applyBorder="1" applyProtection="1"/>
    <xf numFmtId="176" fontId="87" fillId="0" borderId="3" xfId="273" applyNumberFormat="1" applyFont="1" applyBorder="1" applyProtection="1"/>
    <xf numFmtId="176" fontId="87" fillId="0" borderId="3" xfId="273" applyNumberFormat="1" applyFont="1" applyBorder="1"/>
    <xf numFmtId="176" fontId="9" fillId="0" borderId="0" xfId="273" applyNumberFormat="1" applyFont="1"/>
    <xf numFmtId="0" fontId="9" fillId="0" borderId="3" xfId="273" applyFont="1" applyBorder="1"/>
    <xf numFmtId="0" fontId="9" fillId="0" borderId="14" xfId="273" applyFont="1" applyBorder="1"/>
    <xf numFmtId="1" fontId="87" fillId="0" borderId="0" xfId="273" applyNumberFormat="1" applyFont="1" applyBorder="1"/>
    <xf numFmtId="176" fontId="87" fillId="0" borderId="14" xfId="273" applyNumberFormat="1" applyFont="1" applyBorder="1"/>
    <xf numFmtId="0" fontId="87" fillId="0" borderId="6" xfId="273" applyFont="1" applyBorder="1"/>
    <xf numFmtId="176" fontId="87" fillId="0" borderId="6" xfId="273" applyNumberFormat="1" applyFont="1" applyBorder="1"/>
    <xf numFmtId="0" fontId="73" fillId="0" borderId="0" xfId="273" applyFont="1" applyAlignment="1">
      <alignment textRotation="180"/>
    </xf>
    <xf numFmtId="176" fontId="87" fillId="0" borderId="14" xfId="273" applyNumberFormat="1" applyFont="1" applyBorder="1" applyProtection="1"/>
    <xf numFmtId="176" fontId="87" fillId="0" borderId="0" xfId="273" applyNumberFormat="1" applyFont="1" applyBorder="1" applyProtection="1"/>
    <xf numFmtId="176" fontId="87" fillId="0" borderId="16" xfId="273" applyNumberFormat="1" applyFont="1" applyBorder="1"/>
    <xf numFmtId="176" fontId="87" fillId="0" borderId="0" xfId="273" applyNumberFormat="1" applyFont="1"/>
    <xf numFmtId="0" fontId="49" fillId="0" borderId="14" xfId="273" applyFont="1" applyBorder="1"/>
    <xf numFmtId="0" fontId="87" fillId="0" borderId="0" xfId="273" quotePrefix="1" applyFont="1"/>
    <xf numFmtId="0" fontId="87" fillId="0" borderId="16" xfId="273" applyFont="1" applyBorder="1"/>
    <xf numFmtId="0" fontId="87" fillId="0" borderId="54" xfId="273" applyFont="1" applyBorder="1"/>
    <xf numFmtId="0" fontId="87" fillId="0" borderId="15" xfId="273" applyFont="1" applyBorder="1"/>
    <xf numFmtId="1" fontId="87" fillId="0" borderId="54" xfId="273" applyNumberFormat="1" applyFont="1" applyBorder="1"/>
    <xf numFmtId="176" fontId="87" fillId="0" borderId="15" xfId="273" applyNumberFormat="1" applyFont="1" applyBorder="1" applyProtection="1"/>
    <xf numFmtId="1" fontId="78" fillId="0" borderId="6" xfId="273" applyNumberFormat="1" applyFont="1" applyBorder="1"/>
    <xf numFmtId="0" fontId="78" fillId="0" borderId="55" xfId="273" applyFont="1" applyBorder="1"/>
    <xf numFmtId="0" fontId="78" fillId="0" borderId="54" xfId="273" applyFont="1" applyBorder="1"/>
    <xf numFmtId="1" fontId="78" fillId="0" borderId="56" xfId="273" applyNumberFormat="1" applyFont="1" applyBorder="1"/>
    <xf numFmtId="0" fontId="78" fillId="0" borderId="6" xfId="273" applyFont="1" applyBorder="1"/>
    <xf numFmtId="0" fontId="5" fillId="0" borderId="0" xfId="273" applyFont="1"/>
    <xf numFmtId="0" fontId="13" fillId="0" borderId="0" xfId="273" applyFont="1" applyBorder="1"/>
    <xf numFmtId="0" fontId="9" fillId="0" borderId="0" xfId="273" applyFont="1" applyBorder="1" applyAlignment="1">
      <alignment horizontal="fill"/>
    </xf>
    <xf numFmtId="0" fontId="5" fillId="0" borderId="0" xfId="273" applyFont="1" applyBorder="1" applyAlignment="1">
      <alignment horizontal="fill"/>
    </xf>
    <xf numFmtId="0" fontId="9" fillId="0" borderId="59" xfId="273" applyFont="1" applyBorder="1" applyAlignment="1">
      <alignment horizontal="fill"/>
    </xf>
    <xf numFmtId="0" fontId="73" fillId="0" borderId="0" xfId="273" applyFont="1" applyBorder="1" applyAlignment="1">
      <alignment horizontal="fill"/>
    </xf>
    <xf numFmtId="1" fontId="9" fillId="0" borderId="0" xfId="273" applyNumberFormat="1" applyFont="1"/>
    <xf numFmtId="0" fontId="9" fillId="0" borderId="15" xfId="273" applyFont="1" applyBorder="1"/>
    <xf numFmtId="0" fontId="9" fillId="0" borderId="16" xfId="273" applyFont="1" applyBorder="1"/>
    <xf numFmtId="0" fontId="87" fillId="0" borderId="13" xfId="273" applyFont="1" applyBorder="1"/>
    <xf numFmtId="0" fontId="78" fillId="0" borderId="0" xfId="273" applyFont="1" applyBorder="1"/>
    <xf numFmtId="0" fontId="87" fillId="0" borderId="106" xfId="273" applyFont="1" applyBorder="1" applyAlignment="1">
      <alignment horizontal="center"/>
    </xf>
    <xf numFmtId="0" fontId="87" fillId="0" borderId="0" xfId="273" applyFont="1" applyAlignment="1">
      <alignment horizontal="center"/>
    </xf>
    <xf numFmtId="176" fontId="9" fillId="0" borderId="106" xfId="273" applyNumberFormat="1" applyFont="1" applyBorder="1"/>
    <xf numFmtId="176" fontId="87" fillId="0" borderId="14" xfId="273" applyNumberFormat="1" applyFont="1" applyBorder="1" applyAlignment="1" applyProtection="1">
      <alignment horizontal="fill"/>
    </xf>
    <xf numFmtId="0" fontId="98" fillId="0" borderId="0" xfId="273" applyFont="1" applyAlignment="1">
      <alignment textRotation="180"/>
    </xf>
    <xf numFmtId="176" fontId="78" fillId="0" borderId="6" xfId="273" applyNumberFormat="1" applyFont="1" applyBorder="1" applyAlignment="1" applyProtection="1">
      <alignment horizontal="right"/>
    </xf>
    <xf numFmtId="0" fontId="78" fillId="0" borderId="55" xfId="273" applyFont="1" applyBorder="1" applyAlignment="1">
      <alignment horizontal="center"/>
    </xf>
    <xf numFmtId="0" fontId="78" fillId="0" borderId="56" xfId="273" applyFont="1" applyBorder="1"/>
    <xf numFmtId="176" fontId="78" fillId="0" borderId="55" xfId="273" applyNumberFormat="1" applyFont="1" applyBorder="1" applyProtection="1"/>
    <xf numFmtId="176" fontId="78" fillId="0" borderId="6" xfId="273" applyNumberFormat="1" applyFont="1" applyBorder="1" applyProtection="1"/>
    <xf numFmtId="176" fontId="78" fillId="0" borderId="56" xfId="273" applyNumberFormat="1" applyFont="1" applyBorder="1" applyProtection="1"/>
    <xf numFmtId="2" fontId="5" fillId="0" borderId="59" xfId="273" applyNumberFormat="1" applyFont="1" applyBorder="1"/>
    <xf numFmtId="2" fontId="5" fillId="0" borderId="0" xfId="273" applyNumberFormat="1" applyFont="1" applyBorder="1"/>
    <xf numFmtId="184" fontId="9" fillId="0" borderId="0" xfId="273" applyNumberFormat="1" applyFont="1" applyBorder="1"/>
    <xf numFmtId="1" fontId="87" fillId="0" borderId="0" xfId="273" applyNumberFormat="1" applyFont="1" applyBorder="1" applyAlignment="1">
      <alignment horizontal="right"/>
    </xf>
    <xf numFmtId="176" fontId="87" fillId="0" borderId="17" xfId="273" applyNumberFormat="1" applyFont="1" applyBorder="1" applyAlignment="1">
      <alignment horizontal="right"/>
    </xf>
    <xf numFmtId="176" fontId="87" fillId="0" borderId="55" xfId="273" applyNumberFormat="1" applyFont="1" applyBorder="1" applyAlignment="1">
      <alignment horizontal="right"/>
    </xf>
    <xf numFmtId="176" fontId="87" fillId="0" borderId="55" xfId="273" quotePrefix="1" applyNumberFormat="1" applyFont="1" applyBorder="1" applyAlignment="1">
      <alignment horizontal="right"/>
    </xf>
    <xf numFmtId="176" fontId="87" fillId="0" borderId="0" xfId="273" applyNumberFormat="1" applyFont="1" applyBorder="1" applyAlignment="1">
      <alignment horizontal="right"/>
    </xf>
    <xf numFmtId="0" fontId="74" fillId="0" borderId="0" xfId="273" applyFont="1" applyBorder="1"/>
    <xf numFmtId="0" fontId="43" fillId="0" borderId="0" xfId="273" applyFont="1" applyBorder="1" applyAlignment="1">
      <alignment horizontal="center"/>
    </xf>
    <xf numFmtId="0" fontId="88" fillId="0" borderId="0" xfId="273" applyBorder="1"/>
    <xf numFmtId="0" fontId="88" fillId="0" borderId="0" xfId="273"/>
    <xf numFmtId="0" fontId="88" fillId="0" borderId="0" xfId="273" applyFont="1" applyBorder="1"/>
    <xf numFmtId="176" fontId="78" fillId="0" borderId="0" xfId="273" applyNumberFormat="1" applyFont="1" applyBorder="1" applyAlignment="1">
      <alignment horizontal="center"/>
    </xf>
    <xf numFmtId="176" fontId="87" fillId="0" borderId="0" xfId="273" applyNumberFormat="1" applyFont="1" applyBorder="1" applyAlignment="1">
      <alignment horizontal="center"/>
    </xf>
    <xf numFmtId="176" fontId="87" fillId="0" borderId="0" xfId="273" applyNumberFormat="1" applyFont="1" applyBorder="1"/>
    <xf numFmtId="176" fontId="9" fillId="0" borderId="0" xfId="273" applyNumberFormat="1" applyFont="1" applyBorder="1"/>
    <xf numFmtId="0" fontId="98" fillId="0" borderId="0" xfId="273" applyFont="1" applyBorder="1"/>
    <xf numFmtId="0" fontId="6" fillId="0" borderId="0" xfId="273" applyFont="1" applyBorder="1"/>
    <xf numFmtId="0" fontId="12" fillId="0" borderId="0" xfId="273" applyFont="1" applyBorder="1"/>
    <xf numFmtId="1" fontId="87" fillId="0" borderId="0" xfId="273" applyNumberFormat="1" applyFont="1" applyBorder="1" applyAlignment="1"/>
    <xf numFmtId="0" fontId="101" fillId="0" borderId="0" xfId="273" applyFont="1"/>
    <xf numFmtId="176" fontId="5" fillId="0" borderId="0" xfId="273" applyNumberFormat="1" applyFont="1" applyBorder="1" applyAlignment="1">
      <alignment horizontal="right"/>
    </xf>
    <xf numFmtId="0" fontId="102" fillId="0" borderId="0" xfId="273" applyFont="1"/>
    <xf numFmtId="0" fontId="101" fillId="0" borderId="0" xfId="273" applyFont="1" applyAlignment="1">
      <alignment horizontal="left"/>
    </xf>
    <xf numFmtId="0" fontId="104" fillId="0" borderId="0" xfId="273" applyFont="1"/>
    <xf numFmtId="0" fontId="73" fillId="0" borderId="0" xfId="273" applyFont="1" applyAlignment="1"/>
    <xf numFmtId="1" fontId="9" fillId="0" borderId="17" xfId="273" applyNumberFormat="1" applyFont="1" applyBorder="1"/>
    <xf numFmtId="0" fontId="13" fillId="0" borderId="0" xfId="273" applyFont="1"/>
    <xf numFmtId="1" fontId="13" fillId="0" borderId="0" xfId="273" applyNumberFormat="1" applyFont="1"/>
    <xf numFmtId="0" fontId="9" fillId="0" borderId="0" xfId="273" quotePrefix="1" applyFont="1"/>
    <xf numFmtId="1" fontId="9" fillId="0" borderId="106" xfId="273" applyNumberFormat="1" applyFont="1" applyBorder="1"/>
    <xf numFmtId="1" fontId="9" fillId="0" borderId="0" xfId="273" applyNumberFormat="1" applyFont="1" applyBorder="1"/>
    <xf numFmtId="0" fontId="73" fillId="0" borderId="0" xfId="273" applyFont="1" applyBorder="1"/>
    <xf numFmtId="0" fontId="5" fillId="0" borderId="17" xfId="273" applyFont="1" applyBorder="1"/>
    <xf numFmtId="0" fontId="6" fillId="0" borderId="12" xfId="273" applyFont="1" applyBorder="1" applyAlignment="1">
      <alignment horizontal="center"/>
    </xf>
    <xf numFmtId="0" fontId="6" fillId="0" borderId="12" xfId="273" applyFont="1" applyBorder="1"/>
    <xf numFmtId="0" fontId="6" fillId="0" borderId="52" xfId="273" applyFont="1" applyBorder="1"/>
    <xf numFmtId="0" fontId="5" fillId="0" borderId="106" xfId="273" applyFont="1" applyBorder="1"/>
    <xf numFmtId="0" fontId="6" fillId="0" borderId="106" xfId="273" applyFont="1" applyBorder="1" applyAlignment="1">
      <alignment horizontal="center"/>
    </xf>
    <xf numFmtId="0" fontId="6" fillId="0" borderId="0" xfId="273" applyFont="1" applyBorder="1" applyAlignment="1">
      <alignment horizontal="center"/>
    </xf>
    <xf numFmtId="0" fontId="6" fillId="0" borderId="15" xfId="273" applyFont="1" applyBorder="1"/>
    <xf numFmtId="0" fontId="6" fillId="0" borderId="15" xfId="273" applyFont="1" applyBorder="1" applyAlignment="1">
      <alignment horizontal="center"/>
    </xf>
    <xf numFmtId="0" fontId="6" fillId="0" borderId="17" xfId="273" applyFont="1" applyBorder="1" applyAlignment="1">
      <alignment horizontal="center"/>
    </xf>
    <xf numFmtId="0" fontId="6" fillId="0" borderId="8" xfId="273" applyFont="1" applyBorder="1" applyAlignment="1">
      <alignment horizontal="center"/>
    </xf>
    <xf numFmtId="1" fontId="5" fillId="0" borderId="106" xfId="273" applyNumberFormat="1" applyFont="1" applyBorder="1"/>
    <xf numFmtId="1" fontId="5" fillId="0" borderId="0" xfId="273" applyNumberFormat="1" applyFont="1"/>
    <xf numFmtId="1" fontId="5" fillId="0" borderId="3" xfId="273" applyNumberFormat="1" applyFont="1" applyBorder="1"/>
    <xf numFmtId="0" fontId="13" fillId="0" borderId="106" xfId="273" applyFont="1" applyBorder="1" applyAlignment="1">
      <alignment horizontal="center"/>
    </xf>
    <xf numFmtId="1" fontId="5" fillId="0" borderId="54" xfId="273" applyNumberFormat="1" applyFont="1" applyBorder="1"/>
    <xf numFmtId="1" fontId="5" fillId="0" borderId="55" xfId="273" applyNumberFormat="1" applyFont="1" applyBorder="1"/>
    <xf numFmtId="1" fontId="5" fillId="0" borderId="6" xfId="273" applyNumberFormat="1" applyFont="1" applyBorder="1"/>
    <xf numFmtId="0" fontId="9" fillId="0" borderId="106" xfId="273" applyFont="1" applyBorder="1" applyAlignment="1">
      <alignment horizontal="center"/>
    </xf>
    <xf numFmtId="0" fontId="5" fillId="0" borderId="3" xfId="273" applyFont="1" applyBorder="1"/>
    <xf numFmtId="0" fontId="5" fillId="0" borderId="54" xfId="273" applyFont="1" applyBorder="1"/>
    <xf numFmtId="1" fontId="5" fillId="0" borderId="106" xfId="273" applyNumberFormat="1" applyFont="1" applyBorder="1" applyAlignment="1"/>
    <xf numFmtId="176" fontId="5" fillId="0" borderId="106" xfId="273" applyNumberFormat="1" applyFont="1" applyBorder="1" applyAlignment="1">
      <alignment horizontal="right"/>
    </xf>
    <xf numFmtId="0" fontId="5" fillId="0" borderId="106" xfId="273" applyFont="1" applyBorder="1" applyAlignment="1"/>
    <xf numFmtId="0" fontId="13" fillId="0" borderId="97" xfId="273" applyFont="1" applyBorder="1" applyAlignment="1">
      <alignment horizontal="center"/>
    </xf>
    <xf numFmtId="1" fontId="5" fillId="0" borderId="101" xfId="273" applyNumberFormat="1" applyFont="1" applyBorder="1"/>
    <xf numFmtId="0" fontId="5" fillId="0" borderId="101" xfId="273" applyFont="1" applyBorder="1"/>
    <xf numFmtId="1" fontId="5" fillId="0" borderId="129" xfId="273" applyNumberFormat="1" applyFont="1" applyBorder="1"/>
    <xf numFmtId="1" fontId="5" fillId="0" borderId="7" xfId="273" applyNumberFormat="1" applyFont="1" applyBorder="1"/>
    <xf numFmtId="1" fontId="73" fillId="0" borderId="0" xfId="273" applyNumberFormat="1" applyFont="1"/>
    <xf numFmtId="0" fontId="13" fillId="0" borderId="12" xfId="273" applyFont="1" applyBorder="1" applyAlignment="1">
      <alignment horizontal="center"/>
    </xf>
    <xf numFmtId="1" fontId="6" fillId="0" borderId="0" xfId="273" applyNumberFormat="1" applyFont="1" applyAlignment="1">
      <alignment horizontal="center"/>
    </xf>
    <xf numFmtId="0" fontId="13" fillId="0" borderId="15" xfId="273" applyFont="1" applyBorder="1" applyAlignment="1">
      <alignment horizontal="center"/>
    </xf>
    <xf numFmtId="0" fontId="5" fillId="0" borderId="12" xfId="273" applyFont="1" applyBorder="1"/>
    <xf numFmtId="176" fontId="5" fillId="0" borderId="106" xfId="273" applyNumberFormat="1" applyFont="1" applyBorder="1"/>
    <xf numFmtId="0" fontId="18" fillId="0" borderId="6" xfId="78" applyFont="1" applyBorder="1"/>
    <xf numFmtId="170" fontId="4" fillId="0" borderId="6" xfId="257" applyNumberFormat="1" applyFont="1" applyBorder="1" applyAlignment="1">
      <alignment horizontal="center" vertical="center"/>
    </xf>
    <xf numFmtId="0" fontId="4" fillId="0" borderId="52" xfId="257" applyFont="1" applyBorder="1">
      <alignment vertical="center"/>
    </xf>
    <xf numFmtId="0" fontId="4" fillId="0" borderId="12" xfId="257" applyFont="1" applyBorder="1">
      <alignment vertical="center"/>
    </xf>
    <xf numFmtId="0" fontId="81" fillId="0" borderId="0" xfId="0" applyFont="1" applyAlignment="1">
      <alignment horizontal="center"/>
    </xf>
    <xf numFmtId="0" fontId="4" fillId="0" borderId="6" xfId="0" applyFont="1" applyBorder="1" applyAlignment="1">
      <alignment horizontal="center" vertical="center"/>
    </xf>
    <xf numFmtId="0" fontId="4" fillId="0" borderId="6" xfId="0" applyFont="1" applyBorder="1" applyAlignment="1">
      <alignment horizontal="center" vertical="center" wrapText="1"/>
    </xf>
    <xf numFmtId="0" fontId="81" fillId="4" borderId="6" xfId="0" applyFont="1" applyFill="1" applyBorder="1" applyAlignment="1">
      <alignment horizontal="center"/>
    </xf>
    <xf numFmtId="0" fontId="4" fillId="0" borderId="6" xfId="6" applyFont="1" applyBorder="1" applyAlignment="1">
      <alignment horizontal="center" vertical="top" wrapText="1"/>
    </xf>
    <xf numFmtId="0" fontId="18" fillId="4" borderId="0" xfId="0" applyFont="1" applyFill="1" applyBorder="1" applyAlignment="1">
      <alignment horizontal="center" vertical="center"/>
    </xf>
    <xf numFmtId="0" fontId="18" fillId="5" borderId="6" xfId="6" applyFont="1" applyFill="1" applyBorder="1" applyAlignment="1">
      <alignment horizontal="center" vertical="center" wrapText="1"/>
    </xf>
    <xf numFmtId="0" fontId="82" fillId="0" borderId="6" xfId="0" applyFont="1" applyBorder="1"/>
    <xf numFmtId="0" fontId="4" fillId="4" borderId="0" xfId="78" applyFont="1" applyFill="1" applyBorder="1"/>
    <xf numFmtId="0" fontId="4" fillId="4" borderId="0" xfId="78" applyFont="1" applyFill="1" applyBorder="1" applyAlignment="1">
      <alignment vertical="center"/>
    </xf>
    <xf numFmtId="0" fontId="18" fillId="4" borderId="0" xfId="78" applyFont="1" applyFill="1" applyBorder="1" applyAlignment="1">
      <alignment vertical="center"/>
    </xf>
    <xf numFmtId="0" fontId="5" fillId="0" borderId="0" xfId="0" applyFont="1"/>
    <xf numFmtId="0" fontId="82" fillId="0" borderId="36" xfId="0" applyFont="1" applyBorder="1" applyAlignment="1">
      <alignment horizontal="center" vertical="top" wrapText="1"/>
    </xf>
    <xf numFmtId="0" fontId="18" fillId="3" borderId="6" xfId="6" applyFont="1" applyFill="1" applyBorder="1" applyAlignment="1">
      <alignment horizontal="center" vertical="center" wrapText="1"/>
    </xf>
    <xf numFmtId="0" fontId="18" fillId="5" borderId="6" xfId="6" applyFont="1" applyFill="1" applyBorder="1" applyAlignment="1">
      <alignment horizontal="center" vertical="center" wrapText="1"/>
    </xf>
    <xf numFmtId="0" fontId="82" fillId="3" borderId="6" xfId="0" applyFont="1" applyFill="1" applyBorder="1" applyAlignment="1">
      <alignment horizontal="center" vertical="center" wrapText="1"/>
    </xf>
    <xf numFmtId="0" fontId="82" fillId="0" borderId="6" xfId="0" applyFont="1" applyBorder="1" applyAlignment="1">
      <alignment horizontal="center"/>
    </xf>
    <xf numFmtId="0" fontId="81" fillId="0" borderId="6" xfId="0" applyFont="1" applyBorder="1" applyAlignment="1">
      <alignment horizontal="center"/>
    </xf>
    <xf numFmtId="2" fontId="81" fillId="0" borderId="6" xfId="0" applyNumberFormat="1" applyFont="1" applyBorder="1"/>
    <xf numFmtId="170" fontId="18" fillId="0" borderId="6" xfId="0" applyNumberFormat="1" applyFont="1" applyBorder="1" applyAlignment="1">
      <alignment horizontal="center" vertical="top"/>
    </xf>
    <xf numFmtId="0" fontId="4" fillId="3" borderId="6" xfId="13" applyFont="1" applyFill="1" applyBorder="1" applyAlignment="1">
      <alignment horizontal="center" vertical="center"/>
    </xf>
    <xf numFmtId="0" fontId="4" fillId="30" borderId="0" xfId="78" applyFont="1" applyFill="1" applyBorder="1" applyAlignment="1" applyProtection="1">
      <alignment horizontal="left"/>
    </xf>
    <xf numFmtId="0" fontId="4" fillId="30" borderId="0" xfId="78" applyFont="1" applyFill="1" applyBorder="1" applyAlignment="1" applyProtection="1">
      <alignment horizontal="left" wrapText="1"/>
    </xf>
    <xf numFmtId="10" fontId="4" fillId="0" borderId="0" xfId="14" applyNumberFormat="1" applyFont="1" applyFill="1" applyBorder="1"/>
    <xf numFmtId="170" fontId="18" fillId="4" borderId="0" xfId="0" applyNumberFormat="1" applyFont="1" applyFill="1" applyBorder="1" applyAlignment="1">
      <alignment horizontal="center"/>
    </xf>
    <xf numFmtId="0" fontId="18" fillId="4" borderId="0" xfId="3" applyFont="1" applyFill="1" applyBorder="1" applyAlignment="1">
      <alignment horizontal="center" vertical="top"/>
    </xf>
    <xf numFmtId="10" fontId="81" fillId="0" borderId="0" xfId="1" applyNumberFormat="1" applyFont="1"/>
    <xf numFmtId="0" fontId="81" fillId="3" borderId="6" xfId="0" applyFont="1" applyFill="1" applyBorder="1" applyAlignment="1">
      <alignment horizontal="center" vertical="top" wrapText="1"/>
    </xf>
    <xf numFmtId="2" fontId="82" fillId="0" borderId="6" xfId="0" applyNumberFormat="1" applyFont="1" applyBorder="1" applyAlignment="1">
      <alignment horizontal="center"/>
    </xf>
    <xf numFmtId="0" fontId="81" fillId="0" borderId="6" xfId="0" applyFont="1" applyBorder="1" applyAlignment="1">
      <alignment horizontal="center" vertical="top" wrapText="1"/>
    </xf>
    <xf numFmtId="2" fontId="81" fillId="0" borderId="6" xfId="0" applyNumberFormat="1" applyFont="1" applyBorder="1" applyAlignment="1">
      <alignment horizontal="center" vertical="top" wrapText="1"/>
    </xf>
    <xf numFmtId="2" fontId="81" fillId="0" borderId="6" xfId="0" applyNumberFormat="1" applyFont="1" applyBorder="1" applyAlignment="1">
      <alignment horizontal="center" vertical="center"/>
    </xf>
    <xf numFmtId="2" fontId="81" fillId="4" borderId="6" xfId="0" applyNumberFormat="1" applyFont="1" applyFill="1" applyBorder="1" applyAlignment="1">
      <alignment horizontal="center" vertical="top" wrapText="1"/>
    </xf>
    <xf numFmtId="2" fontId="82" fillId="0" borderId="6" xfId="0" applyNumberFormat="1" applyFont="1" applyBorder="1" applyAlignment="1">
      <alignment horizontal="center" vertical="center"/>
    </xf>
    <xf numFmtId="0" fontId="81" fillId="0" borderId="6" xfId="0" applyFont="1" applyBorder="1" applyAlignment="1">
      <alignment horizontal="center" vertical="center" wrapText="1"/>
    </xf>
    <xf numFmtId="0" fontId="4" fillId="3" borderId="6" xfId="78" applyFont="1" applyFill="1" applyBorder="1" applyAlignment="1">
      <alignment horizontal="center"/>
    </xf>
    <xf numFmtId="0" fontId="4" fillId="0" borderId="6" xfId="78" applyFont="1" applyBorder="1" applyAlignment="1">
      <alignment horizontal="center" vertical="center"/>
    </xf>
    <xf numFmtId="2" fontId="4" fillId="0" borderId="6" xfId="78" applyNumberFormat="1" applyFont="1" applyFill="1" applyBorder="1" applyAlignment="1">
      <alignment horizontal="center" vertical="center" wrapText="1"/>
    </xf>
    <xf numFmtId="0" fontId="4" fillId="0" borderId="6" xfId="78" applyFont="1" applyFill="1" applyBorder="1" applyAlignment="1">
      <alignment horizontal="center" vertical="center" wrapText="1"/>
    </xf>
    <xf numFmtId="0" fontId="4" fillId="4" borderId="6" xfId="78" applyFont="1" applyFill="1" applyBorder="1" applyAlignment="1">
      <alignment horizontal="center" vertical="center"/>
    </xf>
    <xf numFmtId="2" fontId="4" fillId="4" borderId="6" xfId="78" applyNumberFormat="1" applyFont="1" applyFill="1" applyBorder="1" applyAlignment="1">
      <alignment horizontal="center" vertical="center"/>
    </xf>
    <xf numFmtId="40" fontId="4" fillId="4" borderId="6" xfId="78" applyNumberFormat="1" applyFont="1" applyFill="1" applyBorder="1" applyAlignment="1" applyProtection="1">
      <alignment horizontal="center" vertical="center"/>
    </xf>
    <xf numFmtId="0" fontId="18" fillId="4" borderId="6" xfId="78" applyFont="1" applyFill="1" applyBorder="1" applyAlignment="1" applyProtection="1">
      <alignment horizontal="center" vertical="center"/>
    </xf>
    <xf numFmtId="40" fontId="18" fillId="0" borderId="6" xfId="78" applyNumberFormat="1" applyFont="1" applyFill="1" applyBorder="1" applyAlignment="1" applyProtection="1">
      <alignment horizontal="center" vertical="center"/>
    </xf>
    <xf numFmtId="0" fontId="18" fillId="4" borderId="6" xfId="78" applyFont="1" applyFill="1" applyBorder="1" applyAlignment="1">
      <alignment horizontal="center" vertical="center"/>
    </xf>
    <xf numFmtId="2" fontId="4" fillId="0" borderId="6" xfId="0" applyNumberFormat="1" applyFont="1" applyBorder="1" applyAlignment="1">
      <alignment horizontal="center" vertical="center"/>
    </xf>
    <xf numFmtId="0" fontId="4" fillId="4" borderId="6" xfId="0" applyFont="1" applyFill="1" applyBorder="1" applyAlignment="1">
      <alignment horizontal="center"/>
    </xf>
    <xf numFmtId="0" fontId="18" fillId="0" borderId="6" xfId="0" applyFont="1" applyBorder="1" applyAlignment="1">
      <alignment horizontal="center" vertical="center"/>
    </xf>
    <xf numFmtId="2" fontId="18" fillId="0" borderId="6" xfId="0" applyNumberFormat="1" applyFont="1" applyBorder="1" applyAlignment="1">
      <alignment horizontal="center" vertical="center"/>
    </xf>
    <xf numFmtId="0" fontId="4" fillId="4" borderId="6" xfId="0" applyFont="1" applyFill="1" applyBorder="1" applyAlignment="1">
      <alignment horizontal="center" vertical="center"/>
    </xf>
    <xf numFmtId="0" fontId="18" fillId="4" borderId="0" xfId="0" applyFont="1" applyFill="1" applyBorder="1" applyAlignment="1">
      <alignment horizontal="left" vertical="center"/>
    </xf>
    <xf numFmtId="0" fontId="4" fillId="4" borderId="0" xfId="0" applyFont="1" applyFill="1" applyAlignment="1">
      <alignment horizontal="left" vertical="center"/>
    </xf>
    <xf numFmtId="0" fontId="18" fillId="5" borderId="6" xfId="6" applyFont="1" applyFill="1" applyBorder="1" applyAlignment="1">
      <alignment horizontal="left" vertical="center"/>
    </xf>
    <xf numFmtId="0" fontId="18" fillId="5" borderId="6" xfId="6" applyFont="1" applyFill="1" applyBorder="1" applyAlignment="1">
      <alignment horizontal="left" vertical="center" wrapText="1"/>
    </xf>
    <xf numFmtId="0" fontId="4" fillId="4" borderId="6" xfId="0" applyFont="1" applyFill="1" applyBorder="1" applyAlignment="1">
      <alignment horizontal="left"/>
    </xf>
    <xf numFmtId="0" fontId="4" fillId="0" borderId="6" xfId="0" applyFont="1" applyBorder="1" applyAlignment="1">
      <alignment horizontal="left" vertical="center"/>
    </xf>
    <xf numFmtId="0" fontId="18" fillId="0" borderId="6" xfId="0" applyFont="1" applyBorder="1" applyAlignment="1">
      <alignment horizontal="left" vertical="center"/>
    </xf>
    <xf numFmtId="0" fontId="81" fillId="0" borderId="0" xfId="0" applyFont="1" applyAlignment="1">
      <alignment horizontal="left" vertical="center"/>
    </xf>
    <xf numFmtId="2" fontId="18" fillId="4" borderId="6" xfId="0" applyNumberFormat="1" applyFont="1" applyFill="1" applyBorder="1" applyAlignment="1">
      <alignment horizontal="center"/>
    </xf>
    <xf numFmtId="10" fontId="81" fillId="0" borderId="6" xfId="0" applyNumberFormat="1" applyFont="1" applyBorder="1" applyAlignment="1">
      <alignment horizontal="center"/>
    </xf>
    <xf numFmtId="0" fontId="81" fillId="37" borderId="6" xfId="0" applyFont="1" applyFill="1" applyBorder="1"/>
    <xf numFmtId="0" fontId="81" fillId="37" borderId="6" xfId="0" applyFont="1" applyFill="1" applyBorder="1" applyAlignment="1">
      <alignment horizontal="center"/>
    </xf>
    <xf numFmtId="2" fontId="4" fillId="4" borderId="6" xfId="0" applyNumberFormat="1" applyFont="1" applyFill="1" applyBorder="1" applyAlignment="1">
      <alignment horizontal="center"/>
    </xf>
    <xf numFmtId="0" fontId="4" fillId="4" borderId="6" xfId="0" applyFont="1" applyFill="1" applyBorder="1" applyAlignment="1">
      <alignment horizontal="center" vertical="top"/>
    </xf>
    <xf numFmtId="2" fontId="4" fillId="4" borderId="6" xfId="0" applyNumberFormat="1" applyFont="1" applyFill="1" applyBorder="1" applyAlignment="1">
      <alignment horizontal="center" vertical="top"/>
    </xf>
    <xf numFmtId="40" fontId="4" fillId="0" borderId="6" xfId="0" quotePrefix="1" applyNumberFormat="1" applyFont="1" applyBorder="1" applyAlignment="1">
      <alignment horizontal="center" vertical="top" wrapText="1"/>
    </xf>
    <xf numFmtId="0" fontId="4" fillId="4" borderId="0" xfId="0" applyFont="1" applyFill="1" applyBorder="1" applyAlignment="1">
      <alignment horizontal="center"/>
    </xf>
    <xf numFmtId="2" fontId="18" fillId="0" borderId="6" xfId="0" applyNumberFormat="1" applyFont="1" applyBorder="1" applyAlignment="1">
      <alignment horizontal="center" vertical="top"/>
    </xf>
    <xf numFmtId="0" fontId="17" fillId="4" borderId="0" xfId="3" applyFont="1" applyFill="1" applyBorder="1"/>
    <xf numFmtId="1" fontId="4" fillId="0" borderId="6" xfId="0" applyNumberFormat="1" applyFont="1" applyFill="1" applyBorder="1" applyAlignment="1">
      <alignment horizontal="center"/>
    </xf>
    <xf numFmtId="0" fontId="18" fillId="0" borderId="52" xfId="0" applyFont="1" applyBorder="1" applyAlignment="1">
      <alignment horizontal="left" vertical="top"/>
    </xf>
    <xf numFmtId="0" fontId="4" fillId="0" borderId="6" xfId="0" applyFont="1" applyFill="1" applyBorder="1" applyAlignment="1">
      <alignment horizontal="left" vertical="center" wrapText="1"/>
    </xf>
    <xf numFmtId="0" fontId="4" fillId="0" borderId="52" xfId="0" applyFont="1" applyFill="1" applyBorder="1" applyAlignment="1">
      <alignment horizontal="left" vertical="center"/>
    </xf>
    <xf numFmtId="2" fontId="4" fillId="0" borderId="6" xfId="0" applyNumberFormat="1" applyFont="1" applyBorder="1"/>
    <xf numFmtId="2" fontId="18" fillId="0" borderId="52" xfId="0" applyNumberFormat="1" applyFont="1" applyBorder="1" applyAlignment="1">
      <alignment horizontal="center" vertical="top"/>
    </xf>
    <xf numFmtId="0" fontId="4" fillId="0" borderId="6" xfId="6" applyFont="1" applyBorder="1" applyAlignment="1">
      <alignment horizontal="center" vertical="center"/>
    </xf>
    <xf numFmtId="0" fontId="4" fillId="0" borderId="6" xfId="6" applyFont="1" applyBorder="1" applyAlignment="1">
      <alignment vertical="top" wrapText="1"/>
    </xf>
    <xf numFmtId="10" fontId="4" fillId="4" borderId="6" xfId="0" applyNumberFormat="1" applyFont="1" applyFill="1" applyBorder="1" applyAlignment="1">
      <alignment horizontal="center"/>
    </xf>
    <xf numFmtId="0" fontId="18" fillId="3" borderId="6" xfId="0" applyFont="1" applyFill="1" applyBorder="1" applyAlignment="1">
      <alignment horizontal="center"/>
    </xf>
    <xf numFmtId="0" fontId="18" fillId="3" borderId="6" xfId="0" applyFont="1" applyFill="1" applyBorder="1"/>
    <xf numFmtId="10" fontId="4" fillId="0" borderId="6" xfId="14" applyNumberFormat="1" applyFont="1" applyFill="1" applyBorder="1"/>
    <xf numFmtId="0" fontId="9" fillId="0" borderId="60" xfId="78" applyFont="1" applyBorder="1"/>
    <xf numFmtId="0" fontId="9" fillId="0" borderId="64" xfId="78" applyFont="1" applyBorder="1"/>
    <xf numFmtId="0" fontId="9" fillId="0" borderId="69" xfId="78" applyFont="1" applyBorder="1"/>
    <xf numFmtId="2" fontId="9" fillId="0" borderId="61" xfId="78" applyNumberFormat="1" applyFont="1" applyBorder="1"/>
    <xf numFmtId="0" fontId="10" fillId="0" borderId="61" xfId="78" applyFont="1" applyBorder="1"/>
    <xf numFmtId="10" fontId="4" fillId="0" borderId="6" xfId="114" applyNumberFormat="1" applyFont="1" applyFill="1" applyBorder="1"/>
    <xf numFmtId="43" fontId="81" fillId="0" borderId="0" xfId="0" applyNumberFormat="1" applyFont="1"/>
    <xf numFmtId="43" fontId="9" fillId="4" borderId="33" xfId="264" applyNumberFormat="1" applyFont="1" applyFill="1" applyBorder="1" applyAlignment="1">
      <alignment wrapText="1"/>
    </xf>
    <xf numFmtId="2" fontId="81" fillId="0" borderId="0" xfId="0" applyNumberFormat="1" applyFont="1" applyAlignment="1">
      <alignment horizontal="center"/>
    </xf>
    <xf numFmtId="2" fontId="81" fillId="4" borderId="6" xfId="0" applyNumberFormat="1" applyFont="1" applyFill="1" applyBorder="1" applyAlignment="1">
      <alignment horizontal="center"/>
    </xf>
    <xf numFmtId="0" fontId="82" fillId="3" borderId="6" xfId="0" applyFont="1" applyFill="1" applyBorder="1" applyAlignment="1">
      <alignment wrapText="1"/>
    </xf>
    <xf numFmtId="0" fontId="0" fillId="0" borderId="6" xfId="0" applyBorder="1" applyAlignment="1">
      <alignment horizontal="center"/>
    </xf>
    <xf numFmtId="0" fontId="18" fillId="4" borderId="0" xfId="5" applyFont="1" applyFill="1" applyBorder="1" applyAlignment="1">
      <alignment vertical="center"/>
    </xf>
    <xf numFmtId="2" fontId="81" fillId="0" borderId="6" xfId="0" applyNumberFormat="1" applyFont="1" applyBorder="1" applyAlignment="1">
      <alignment horizontal="center"/>
    </xf>
    <xf numFmtId="0" fontId="81" fillId="0" borderId="0" xfId="0" applyFont="1" applyBorder="1" applyAlignment="1">
      <alignment horizontal="center"/>
    </xf>
    <xf numFmtId="0" fontId="81" fillId="0" borderId="6" xfId="0" applyFont="1" applyBorder="1" applyAlignment="1">
      <alignment horizontal="center"/>
    </xf>
    <xf numFmtId="0" fontId="81" fillId="38" borderId="8" xfId="0" applyFont="1" applyFill="1" applyBorder="1" applyAlignment="1">
      <alignment horizontal="center" vertical="center" wrapText="1"/>
    </xf>
    <xf numFmtId="2" fontId="81" fillId="38" borderId="6" xfId="0" applyNumberFormat="1" applyFont="1" applyFill="1" applyBorder="1" applyAlignment="1">
      <alignment horizontal="center" vertical="center"/>
    </xf>
    <xf numFmtId="2" fontId="82" fillId="0" borderId="52" xfId="0" applyNumberFormat="1" applyFont="1" applyBorder="1" applyAlignment="1">
      <alignment horizontal="center"/>
    </xf>
    <xf numFmtId="2" fontId="18" fillId="0" borderId="0" xfId="78" applyNumberFormat="1" applyFont="1" applyBorder="1" applyAlignment="1">
      <alignment horizontal="center"/>
    </xf>
    <xf numFmtId="2" fontId="4" fillId="0" borderId="0" xfId="78" applyNumberFormat="1" applyFont="1" applyBorder="1" applyAlignment="1">
      <alignment horizontal="center"/>
    </xf>
    <xf numFmtId="43" fontId="81" fillId="4" borderId="0" xfId="0" applyNumberFormat="1" applyFont="1" applyFill="1" applyBorder="1" applyAlignment="1">
      <alignment horizontal="center" vertical="top" wrapText="1"/>
    </xf>
    <xf numFmtId="0" fontId="81" fillId="38" borderId="6" xfId="0" applyFont="1" applyFill="1" applyBorder="1" applyAlignment="1">
      <alignment horizontal="center"/>
    </xf>
    <xf numFmtId="0" fontId="82" fillId="4" borderId="6" xfId="0" applyFont="1" applyFill="1" applyBorder="1" applyAlignment="1">
      <alignment horizontal="center" vertical="top" wrapText="1"/>
    </xf>
    <xf numFmtId="43" fontId="81" fillId="0" borderId="0" xfId="0" applyNumberFormat="1" applyFont="1" applyBorder="1" applyAlignment="1">
      <alignment horizontal="center" vertical="top" wrapText="1"/>
    </xf>
    <xf numFmtId="2" fontId="81" fillId="38" borderId="6" xfId="0" applyNumberFormat="1" applyFont="1" applyFill="1" applyBorder="1" applyAlignment="1">
      <alignment horizontal="center" vertical="top" wrapText="1"/>
    </xf>
    <xf numFmtId="2" fontId="81" fillId="38" borderId="8" xfId="0" applyNumberFormat="1" applyFont="1" applyFill="1" applyBorder="1" applyAlignment="1">
      <alignment horizontal="center" vertical="center" wrapText="1"/>
    </xf>
    <xf numFmtId="2" fontId="81" fillId="38" borderId="6" xfId="0" applyNumberFormat="1" applyFont="1" applyFill="1" applyBorder="1" applyAlignment="1">
      <alignment horizontal="center"/>
    </xf>
    <xf numFmtId="2" fontId="81" fillId="38" borderId="8" xfId="0" applyNumberFormat="1" applyFont="1" applyFill="1" applyBorder="1" applyAlignment="1">
      <alignment horizontal="center" vertical="top" wrapText="1"/>
    </xf>
    <xf numFmtId="187" fontId="81" fillId="0" borderId="6" xfId="0" applyNumberFormat="1" applyFont="1" applyBorder="1" applyAlignment="1">
      <alignment horizontal="center" vertical="top" wrapText="1"/>
    </xf>
    <xf numFmtId="187" fontId="81" fillId="0" borderId="0" xfId="0" applyNumberFormat="1" applyFont="1" applyBorder="1" applyAlignment="1">
      <alignment horizontal="center" vertical="top" wrapText="1"/>
    </xf>
    <xf numFmtId="0" fontId="18" fillId="3" borderId="6" xfId="6" applyFont="1" applyFill="1" applyBorder="1" applyAlignment="1">
      <alignment horizontal="center" vertical="center" wrapText="1"/>
    </xf>
    <xf numFmtId="0" fontId="82" fillId="3" borderId="6" xfId="0" applyFont="1" applyFill="1" applyBorder="1" applyAlignment="1">
      <alignment horizontal="center" vertical="top" wrapText="1"/>
    </xf>
    <xf numFmtId="0" fontId="82" fillId="0" borderId="6" xfId="0" applyFont="1" applyBorder="1" applyAlignment="1">
      <alignment horizontal="center"/>
    </xf>
    <xf numFmtId="0" fontId="0" fillId="0" borderId="6" xfId="0" applyBorder="1" applyAlignment="1">
      <alignment horizontal="center"/>
    </xf>
    <xf numFmtId="0" fontId="82" fillId="0" borderId="54" xfId="0" applyFont="1" applyBorder="1" applyAlignment="1">
      <alignment horizontal="center" wrapText="1"/>
    </xf>
    <xf numFmtId="0" fontId="82" fillId="0" borderId="56" xfId="0" applyFont="1" applyBorder="1" applyAlignment="1">
      <alignment horizontal="center" wrapText="1"/>
    </xf>
    <xf numFmtId="0" fontId="82" fillId="0" borderId="6" xfId="0" applyFont="1" applyBorder="1" applyAlignment="1">
      <alignment horizontal="center" wrapText="1"/>
    </xf>
    <xf numFmtId="0" fontId="82" fillId="3" borderId="6" xfId="0" applyFont="1" applyFill="1" applyBorder="1" applyAlignment="1">
      <alignment vertical="top" wrapText="1"/>
    </xf>
    <xf numFmtId="0" fontId="81" fillId="0" borderId="6" xfId="0" applyFont="1" applyBorder="1" applyAlignment="1">
      <alignment horizontal="justify" wrapText="1"/>
    </xf>
    <xf numFmtId="0" fontId="82" fillId="0" borderId="6" xfId="0" applyFont="1" applyBorder="1" applyAlignment="1">
      <alignment horizontal="right" vertical="top" wrapText="1"/>
    </xf>
    <xf numFmtId="0" fontId="82" fillId="0" borderId="36" xfId="0" applyFont="1" applyBorder="1" applyAlignment="1">
      <alignment horizontal="center" wrapText="1"/>
    </xf>
    <xf numFmtId="0" fontId="82" fillId="0" borderId="6" xfId="0" applyFont="1" applyBorder="1" applyAlignment="1">
      <alignment wrapText="1"/>
    </xf>
    <xf numFmtId="0" fontId="82" fillId="0" borderId="6" xfId="0" applyFont="1" applyBorder="1" applyAlignment="1">
      <alignment horizontal="center" vertical="center" wrapText="1"/>
    </xf>
    <xf numFmtId="0" fontId="81" fillId="0" borderId="54" xfId="0" applyFont="1" applyBorder="1"/>
    <xf numFmtId="0" fontId="82" fillId="0" borderId="52" xfId="0" applyFont="1" applyBorder="1" applyAlignment="1">
      <alignment horizontal="center"/>
    </xf>
    <xf numFmtId="0" fontId="0" fillId="0" borderId="6" xfId="0" applyBorder="1" applyAlignment="1">
      <alignment horizontal="left" vertical="top" wrapText="1"/>
    </xf>
    <xf numFmtId="10" fontId="4" fillId="4" borderId="6" xfId="0" applyNumberFormat="1" applyFont="1" applyFill="1" applyBorder="1"/>
    <xf numFmtId="0" fontId="0" fillId="0" borderId="6" xfId="0" applyBorder="1" applyAlignment="1">
      <alignment vertical="top" wrapText="1"/>
    </xf>
    <xf numFmtId="2" fontId="0" fillId="0" borderId="0" xfId="0" applyNumberFormat="1"/>
    <xf numFmtId="2" fontId="0" fillId="0" borderId="6" xfId="0" applyNumberFormat="1" applyBorder="1"/>
    <xf numFmtId="0" fontId="8" fillId="3" borderId="147" xfId="0" applyFont="1" applyFill="1" applyBorder="1" applyAlignment="1">
      <alignment horizontal="left" vertical="top" wrapText="1"/>
    </xf>
    <xf numFmtId="0" fontId="110" fillId="3" borderId="148" xfId="0" applyFont="1" applyFill="1" applyBorder="1" applyAlignment="1">
      <alignment horizontal="left" vertical="top" wrapText="1"/>
    </xf>
    <xf numFmtId="0" fontId="7" fillId="3" borderId="148" xfId="0" applyFont="1" applyFill="1" applyBorder="1" applyAlignment="1">
      <alignment horizontal="left" vertical="top" wrapText="1"/>
    </xf>
    <xf numFmtId="0" fontId="7" fillId="0" borderId="133" xfId="0" applyFont="1" applyBorder="1" applyAlignment="1">
      <alignment horizontal="left" vertical="top" wrapText="1"/>
    </xf>
    <xf numFmtId="0" fontId="7" fillId="0" borderId="134" xfId="0" applyFont="1" applyBorder="1" applyAlignment="1">
      <alignment horizontal="left" vertical="top" wrapText="1"/>
    </xf>
    <xf numFmtId="2" fontId="4" fillId="0" borderId="6" xfId="6" applyNumberFormat="1" applyFont="1" applyBorder="1">
      <alignment vertical="center"/>
    </xf>
    <xf numFmtId="0" fontId="4" fillId="4" borderId="0" xfId="6" applyFont="1" applyFill="1" applyBorder="1">
      <alignment vertical="center"/>
    </xf>
    <xf numFmtId="0" fontId="17" fillId="3" borderId="6" xfId="0" applyFont="1" applyFill="1" applyBorder="1" applyAlignment="1">
      <alignment horizontal="center"/>
    </xf>
    <xf numFmtId="0" fontId="81" fillId="0" borderId="6" xfId="0" applyFont="1" applyBorder="1" applyAlignment="1">
      <alignment horizontal="center"/>
    </xf>
    <xf numFmtId="2" fontId="5" fillId="0" borderId="0" xfId="0" applyNumberFormat="1" applyFont="1"/>
    <xf numFmtId="165" fontId="5" fillId="0" borderId="0" xfId="0" applyNumberFormat="1" applyFont="1"/>
    <xf numFmtId="2" fontId="5" fillId="0" borderId="0" xfId="0" applyNumberFormat="1" applyFont="1" applyAlignment="1"/>
    <xf numFmtId="0" fontId="78" fillId="0" borderId="0" xfId="0" applyFont="1"/>
    <xf numFmtId="0" fontId="5" fillId="0" borderId="0" xfId="0" applyNumberFormat="1" applyFont="1"/>
    <xf numFmtId="0" fontId="5" fillId="0" borderId="52" xfId="0" applyFont="1" applyBorder="1" applyAlignment="1">
      <alignment vertical="center"/>
    </xf>
    <xf numFmtId="2" fontId="5" fillId="0" borderId="13" xfId="0" applyNumberFormat="1" applyFont="1" applyBorder="1" applyAlignment="1">
      <alignment horizontal="center" vertical="center" wrapText="1"/>
    </xf>
    <xf numFmtId="0" fontId="5" fillId="0" borderId="52" xfId="0" applyNumberFormat="1" applyFont="1" applyBorder="1" applyAlignment="1">
      <alignment vertical="center"/>
    </xf>
    <xf numFmtId="2" fontId="5" fillId="0" borderId="52" xfId="0" applyNumberFormat="1" applyFont="1" applyBorder="1" applyAlignment="1">
      <alignment vertical="center"/>
    </xf>
    <xf numFmtId="2" fontId="5" fillId="0" borderId="52" xfId="0" applyNumberFormat="1" applyFont="1" applyBorder="1" applyAlignment="1">
      <alignment horizontal="center" vertical="center" wrapText="1"/>
    </xf>
    <xf numFmtId="0" fontId="5" fillId="0" borderId="3" xfId="0" applyFont="1" applyBorder="1" applyAlignment="1">
      <alignment vertical="center"/>
    </xf>
    <xf numFmtId="0" fontId="5" fillId="0" borderId="3" xfId="0" applyFont="1" applyBorder="1" applyAlignment="1">
      <alignment horizontal="center" vertical="center"/>
    </xf>
    <xf numFmtId="2" fontId="5" fillId="0" borderId="3" xfId="0" applyNumberFormat="1" applyFont="1" applyBorder="1" applyAlignment="1">
      <alignment horizontal="center" vertical="center"/>
    </xf>
    <xf numFmtId="0" fontId="5" fillId="0" borderId="3" xfId="0" applyNumberFormat="1" applyFont="1" applyBorder="1" applyAlignment="1">
      <alignment vertical="center"/>
    </xf>
    <xf numFmtId="2" fontId="5" fillId="0" borderId="3" xfId="0" applyNumberFormat="1" applyFont="1" applyBorder="1" applyAlignment="1">
      <alignment vertical="center"/>
    </xf>
    <xf numFmtId="2" fontId="5" fillId="0" borderId="96" xfId="0" applyNumberFormat="1" applyFont="1" applyBorder="1" applyAlignment="1">
      <alignment vertical="center"/>
    </xf>
    <xf numFmtId="2" fontId="5" fillId="0" borderId="3" xfId="0" applyNumberFormat="1" applyFont="1" applyBorder="1" applyAlignment="1">
      <alignment vertical="center" wrapText="1"/>
    </xf>
    <xf numFmtId="0" fontId="5" fillId="0" borderId="4" xfId="0" applyFont="1" applyBorder="1" applyAlignment="1">
      <alignment horizontal="left" vertical="center" wrapText="1"/>
    </xf>
    <xf numFmtId="0" fontId="5" fillId="0" borderId="4" xfId="0" applyFont="1" applyBorder="1" applyAlignment="1">
      <alignment horizontal="right" vertical="center" wrapText="1"/>
    </xf>
    <xf numFmtId="2" fontId="5" fillId="0" borderId="4" xfId="0" applyNumberFormat="1" applyFont="1" applyBorder="1" applyAlignment="1">
      <alignment horizontal="right" vertical="center" wrapText="1"/>
    </xf>
    <xf numFmtId="0" fontId="5" fillId="0" borderId="4" xfId="0" applyNumberFormat="1" applyFont="1" applyBorder="1"/>
    <xf numFmtId="2" fontId="5" fillId="0" borderId="4" xfId="0" applyNumberFormat="1" applyFont="1" applyBorder="1"/>
    <xf numFmtId="2" fontId="5" fillId="0" borderId="4" xfId="0" applyNumberFormat="1" applyFont="1" applyBorder="1" applyAlignment="1">
      <alignment vertical="center"/>
    </xf>
    <xf numFmtId="2" fontId="5" fillId="0" borderId="8" xfId="0" applyNumberFormat="1" applyFont="1" applyBorder="1"/>
    <xf numFmtId="0" fontId="5" fillId="0" borderId="52" xfId="0" applyFont="1" applyBorder="1" applyAlignment="1">
      <alignment horizontal="left" vertical="center" wrapText="1"/>
    </xf>
    <xf numFmtId="0" fontId="5" fillId="0" borderId="52" xfId="0" applyFont="1" applyBorder="1" applyAlignment="1">
      <alignment horizontal="right" vertical="center" wrapText="1"/>
    </xf>
    <xf numFmtId="2" fontId="5" fillId="0" borderId="52" xfId="0" applyNumberFormat="1" applyFont="1" applyBorder="1" applyAlignment="1">
      <alignment horizontal="right" vertical="center" wrapText="1"/>
    </xf>
    <xf numFmtId="0" fontId="5" fillId="0" borderId="52" xfId="0" applyNumberFormat="1" applyFont="1" applyBorder="1"/>
    <xf numFmtId="2" fontId="5" fillId="0" borderId="52" xfId="0" applyNumberFormat="1" applyFont="1" applyBorder="1"/>
    <xf numFmtId="2" fontId="5" fillId="0" borderId="6" xfId="0" applyNumberFormat="1" applyFont="1" applyBorder="1"/>
    <xf numFmtId="0" fontId="5" fillId="0" borderId="7" xfId="0" applyFont="1" applyBorder="1" applyAlignment="1">
      <alignment horizontal="left" vertical="center" wrapText="1"/>
    </xf>
    <xf numFmtId="0" fontId="5" fillId="0" borderId="7" xfId="0" applyFont="1" applyBorder="1" applyAlignment="1">
      <alignment horizontal="right" vertical="center" wrapText="1"/>
    </xf>
    <xf numFmtId="2" fontId="5" fillId="0" borderId="7" xfId="0" applyNumberFormat="1" applyFont="1" applyBorder="1" applyAlignment="1">
      <alignment horizontal="right" vertical="center" wrapText="1"/>
    </xf>
    <xf numFmtId="0" fontId="5" fillId="0" borderId="7" xfId="0" applyNumberFormat="1" applyFont="1" applyBorder="1"/>
    <xf numFmtId="2" fontId="5" fillId="0" borderId="7" xfId="0" applyNumberFormat="1" applyFont="1" applyBorder="1"/>
    <xf numFmtId="2" fontId="5" fillId="0" borderId="7" xfId="0" applyNumberFormat="1" applyFont="1" applyBorder="1" applyAlignment="1">
      <alignment vertical="center"/>
    </xf>
    <xf numFmtId="0" fontId="5" fillId="0" borderId="4" xfId="0" applyFont="1" applyBorder="1" applyAlignment="1">
      <alignment horizontal="left"/>
    </xf>
    <xf numFmtId="1" fontId="5" fillId="0" borderId="4" xfId="0" applyNumberFormat="1" applyFont="1" applyBorder="1" applyAlignment="1">
      <alignment horizontal="right"/>
    </xf>
    <xf numFmtId="2" fontId="5" fillId="0" borderId="4" xfId="0" applyNumberFormat="1" applyFont="1" applyBorder="1" applyAlignment="1">
      <alignment horizontal="right"/>
    </xf>
    <xf numFmtId="2" fontId="5" fillId="0" borderId="8" xfId="0" applyNumberFormat="1" applyFont="1" applyBorder="1" applyAlignment="1">
      <alignment vertical="center"/>
    </xf>
    <xf numFmtId="0" fontId="5" fillId="0" borderId="6" xfId="0" applyFont="1" applyBorder="1" applyAlignment="1">
      <alignment horizontal="left"/>
    </xf>
    <xf numFmtId="1" fontId="5" fillId="0" borderId="6" xfId="0" applyNumberFormat="1" applyFont="1" applyBorder="1" applyAlignment="1">
      <alignment horizontal="right"/>
    </xf>
    <xf numFmtId="2" fontId="5" fillId="0" borderId="6" xfId="0" applyNumberFormat="1" applyFont="1" applyBorder="1" applyAlignment="1">
      <alignment horizontal="right" vertical="center" wrapText="1"/>
    </xf>
    <xf numFmtId="2" fontId="5" fillId="0" borderId="6" xfId="0" applyNumberFormat="1" applyFont="1" applyBorder="1" applyAlignment="1">
      <alignment horizontal="right"/>
    </xf>
    <xf numFmtId="0" fontId="5" fillId="0" borderId="6" xfId="0" applyNumberFormat="1" applyFont="1" applyBorder="1"/>
    <xf numFmtId="2" fontId="5" fillId="0" borderId="6" xfId="0" applyNumberFormat="1" applyFont="1" applyBorder="1" applyAlignment="1">
      <alignment vertical="center"/>
    </xf>
    <xf numFmtId="0" fontId="5" fillId="0" borderId="7" xfId="0" applyFont="1" applyBorder="1" applyAlignment="1">
      <alignment horizontal="left"/>
    </xf>
    <xf numFmtId="1" fontId="5" fillId="0" borderId="7" xfId="0" applyNumberFormat="1" applyFont="1" applyBorder="1" applyAlignment="1">
      <alignment horizontal="right"/>
    </xf>
    <xf numFmtId="2" fontId="5" fillId="0" borderId="7" xfId="0" applyNumberFormat="1" applyFont="1" applyBorder="1" applyAlignment="1">
      <alignment horizontal="right"/>
    </xf>
    <xf numFmtId="2" fontId="5" fillId="0" borderId="5" xfId="0" applyNumberFormat="1" applyFont="1" applyBorder="1" applyAlignment="1">
      <alignment vertical="center"/>
    </xf>
    <xf numFmtId="0" fontId="5" fillId="0" borderId="52" xfId="0" applyFont="1" applyBorder="1" applyAlignment="1">
      <alignment horizontal="left"/>
    </xf>
    <xf numFmtId="1" fontId="5" fillId="0" borderId="52" xfId="0" applyNumberFormat="1" applyFont="1" applyBorder="1" applyAlignment="1">
      <alignment horizontal="right"/>
    </xf>
    <xf numFmtId="2" fontId="5" fillId="0" borderId="52" xfId="0" applyNumberFormat="1" applyFont="1" applyBorder="1" applyAlignment="1">
      <alignment horizontal="right"/>
    </xf>
    <xf numFmtId="0" fontId="5" fillId="0" borderId="9" xfId="0" applyFont="1" applyBorder="1" applyAlignment="1">
      <alignment horizontal="left"/>
    </xf>
    <xf numFmtId="0" fontId="5" fillId="0" borderId="4" xfId="0" applyFont="1" applyBorder="1" applyAlignment="1">
      <alignment horizontal="right"/>
    </xf>
    <xf numFmtId="0" fontId="5" fillId="0" borderId="10" xfId="0" applyFont="1" applyBorder="1" applyAlignment="1">
      <alignment horizontal="left"/>
    </xf>
    <xf numFmtId="0" fontId="5" fillId="0" borderId="6" xfId="0" applyFont="1" applyBorder="1" applyAlignment="1">
      <alignment horizontal="right"/>
    </xf>
    <xf numFmtId="0" fontId="5" fillId="0" borderId="99" xfId="0" applyFont="1" applyBorder="1" applyAlignment="1">
      <alignment horizontal="left"/>
    </xf>
    <xf numFmtId="0" fontId="5" fillId="0" borderId="7" xfId="0" applyFont="1" applyBorder="1" applyAlignment="1">
      <alignment horizontal="right"/>
    </xf>
    <xf numFmtId="0" fontId="5" fillId="0" borderId="26" xfId="0" applyFont="1" applyBorder="1" applyAlignment="1">
      <alignment horizontal="left"/>
    </xf>
    <xf numFmtId="0" fontId="5" fillId="0" borderId="11" xfId="0" applyFont="1" applyBorder="1" applyAlignment="1">
      <alignment horizontal="right"/>
    </xf>
    <xf numFmtId="2" fontId="5" fillId="0" borderId="11" xfId="0" applyNumberFormat="1" applyFont="1" applyBorder="1" applyAlignment="1">
      <alignment horizontal="right"/>
    </xf>
    <xf numFmtId="0" fontId="5" fillId="0" borderId="11" xfId="0" applyNumberFormat="1" applyFont="1" applyBorder="1"/>
    <xf numFmtId="2" fontId="5" fillId="0" borderId="11" xfId="0" applyNumberFormat="1" applyFont="1" applyBorder="1"/>
    <xf numFmtId="0" fontId="5" fillId="0" borderId="11" xfId="0" applyFont="1" applyFill="1" applyBorder="1" applyAlignment="1" applyProtection="1">
      <alignment horizontal="left" vertical="center" wrapText="1"/>
    </xf>
    <xf numFmtId="2" fontId="5" fillId="0" borderId="11" xfId="0" applyNumberFormat="1" applyFont="1" applyBorder="1" applyAlignment="1">
      <alignment vertical="center"/>
    </xf>
    <xf numFmtId="0" fontId="5" fillId="0" borderId="8" xfId="0" applyFont="1" applyFill="1" applyBorder="1" applyAlignment="1" applyProtection="1">
      <alignment horizontal="left" vertical="center" wrapText="1"/>
    </xf>
    <xf numFmtId="0" fontId="5" fillId="0" borderId="8" xfId="0" applyFont="1" applyBorder="1" applyAlignment="1">
      <alignment horizontal="right"/>
    </xf>
    <xf numFmtId="2" fontId="5" fillId="0" borderId="8" xfId="0" applyNumberFormat="1" applyFont="1" applyBorder="1" applyAlignment="1">
      <alignment horizontal="right"/>
    </xf>
    <xf numFmtId="1" fontId="5" fillId="0" borderId="8" xfId="0" applyNumberFormat="1" applyFont="1" applyBorder="1"/>
    <xf numFmtId="188" fontId="5" fillId="0" borderId="0" xfId="0" applyNumberFormat="1" applyFont="1"/>
    <xf numFmtId="2" fontId="6" fillId="0" borderId="6" xfId="0" applyNumberFormat="1" applyFont="1" applyBorder="1"/>
    <xf numFmtId="2" fontId="93" fillId="0" borderId="6" xfId="0" applyNumberFormat="1" applyFont="1" applyBorder="1"/>
    <xf numFmtId="2" fontId="113" fillId="0" borderId="6" xfId="0" applyNumberFormat="1" applyFont="1" applyBorder="1"/>
    <xf numFmtId="174" fontId="6" fillId="0" borderId="0" xfId="0" applyNumberFormat="1" applyFont="1"/>
    <xf numFmtId="2" fontId="6" fillId="0" borderId="0" xfId="0" applyNumberFormat="1" applyFont="1"/>
    <xf numFmtId="166" fontId="5" fillId="0" borderId="0" xfId="0" applyNumberFormat="1" applyFont="1"/>
    <xf numFmtId="167" fontId="5" fillId="0" borderId="0" xfId="0" applyNumberFormat="1" applyFont="1"/>
    <xf numFmtId="165" fontId="114" fillId="0" borderId="0" xfId="0" applyNumberFormat="1" applyFont="1" applyBorder="1" applyAlignment="1">
      <alignment vertical="center"/>
    </xf>
    <xf numFmtId="165" fontId="0" fillId="0" borderId="0" xfId="0" applyNumberFormat="1"/>
    <xf numFmtId="165" fontId="6" fillId="0" borderId="6" xfId="0" applyNumberFormat="1" applyFont="1" applyBorder="1" applyAlignment="1">
      <alignment vertical="center"/>
    </xf>
    <xf numFmtId="166" fontId="6" fillId="0" borderId="6" xfId="0" applyNumberFormat="1" applyFont="1" applyBorder="1" applyAlignment="1">
      <alignment horizontal="center" vertical="center"/>
    </xf>
    <xf numFmtId="165" fontId="6" fillId="0" borderId="6" xfId="0" applyNumberFormat="1" applyFont="1" applyBorder="1" applyAlignment="1">
      <alignment horizontal="center" vertical="center"/>
    </xf>
    <xf numFmtId="165" fontId="115" fillId="0" borderId="6" xfId="0" applyNumberFormat="1" applyFont="1" applyBorder="1" applyAlignment="1">
      <alignment vertical="center"/>
    </xf>
    <xf numFmtId="165" fontId="115" fillId="0" borderId="6" xfId="0" applyNumberFormat="1" applyFont="1" applyBorder="1"/>
    <xf numFmtId="165" fontId="115" fillId="0" borderId="0" xfId="0" applyNumberFormat="1" applyFont="1"/>
    <xf numFmtId="0" fontId="0" fillId="0" borderId="54" xfId="0" applyBorder="1" applyAlignment="1">
      <alignment vertical="center"/>
    </xf>
    <xf numFmtId="2" fontId="81" fillId="4" borderId="6" xfId="0" applyNumberFormat="1" applyFont="1" applyFill="1" applyBorder="1" applyAlignment="1">
      <alignment horizontal="center" vertical="center"/>
    </xf>
    <xf numFmtId="0" fontId="18" fillId="3" borderId="6" xfId="6" applyFont="1" applyFill="1" applyBorder="1" applyAlignment="1">
      <alignment horizontal="center" vertical="center" wrapText="1"/>
    </xf>
    <xf numFmtId="0" fontId="5" fillId="0" borderId="6" xfId="78" applyFont="1" applyBorder="1" applyAlignment="1">
      <alignment horizontal="center" vertical="center" wrapText="1"/>
    </xf>
    <xf numFmtId="0" fontId="81" fillId="0" borderId="0" xfId="0" applyFont="1" applyBorder="1" applyAlignment="1">
      <alignment horizontal="center" vertical="center"/>
    </xf>
    <xf numFmtId="0" fontId="116" fillId="0" borderId="0" xfId="0" applyFont="1"/>
    <xf numFmtId="0" fontId="116" fillId="0" borderId="6" xfId="0" applyFont="1" applyBorder="1" applyAlignment="1">
      <alignment wrapText="1"/>
    </xf>
    <xf numFmtId="0" fontId="116" fillId="0" borderId="6" xfId="0" applyFont="1" applyBorder="1"/>
    <xf numFmtId="2" fontId="116" fillId="0" borderId="6" xfId="0" applyNumberFormat="1" applyFont="1" applyBorder="1"/>
    <xf numFmtId="0" fontId="117" fillId="0" borderId="6" xfId="0" applyFont="1" applyBorder="1" applyAlignment="1">
      <alignment wrapText="1"/>
    </xf>
    <xf numFmtId="0" fontId="17" fillId="3" borderId="6" xfId="0" applyFont="1" applyFill="1" applyBorder="1" applyAlignment="1">
      <alignment horizontal="center" vertical="center"/>
    </xf>
    <xf numFmtId="0" fontId="18" fillId="4" borderId="0" xfId="6" applyFont="1" applyFill="1" applyBorder="1">
      <alignment vertical="center"/>
    </xf>
    <xf numFmtId="0" fontId="4" fillId="0" borderId="52" xfId="0" applyFont="1" applyBorder="1" applyAlignment="1">
      <alignment horizontal="left" vertical="top" wrapText="1"/>
    </xf>
    <xf numFmtId="0" fontId="18" fillId="0" borderId="6" xfId="0" applyFont="1" applyFill="1" applyBorder="1" applyAlignment="1">
      <alignment horizontal="left" vertical="center" wrapText="1"/>
    </xf>
    <xf numFmtId="0" fontId="117" fillId="0" borderId="6" xfId="0" applyFont="1" applyBorder="1"/>
    <xf numFmtId="2" fontId="4" fillId="0" borderId="6" xfId="114" applyNumberFormat="1" applyFont="1" applyFill="1" applyBorder="1" applyAlignment="1" applyProtection="1">
      <alignment horizontal="right" vertical="center" wrapText="1"/>
    </xf>
    <xf numFmtId="0" fontId="18" fillId="3" borderId="6" xfId="13" applyFont="1" applyFill="1" applyBorder="1">
      <alignment vertical="center"/>
    </xf>
    <xf numFmtId="0" fontId="4" fillId="0" borderId="10" xfId="13" applyFont="1" applyBorder="1" applyAlignment="1">
      <alignment horizontal="center" vertical="center"/>
    </xf>
    <xf numFmtId="10" fontId="81" fillId="0" borderId="136" xfId="114" applyNumberFormat="1" applyFont="1" applyFill="1" applyBorder="1"/>
    <xf numFmtId="10" fontId="81" fillId="0" borderId="57" xfId="114" applyNumberFormat="1" applyFont="1" applyFill="1" applyBorder="1"/>
    <xf numFmtId="2" fontId="4" fillId="0" borderId="6" xfId="13" applyNumberFormat="1" applyFont="1" applyBorder="1" applyAlignment="1">
      <alignment horizontal="center" vertical="center"/>
    </xf>
    <xf numFmtId="2" fontId="4" fillId="0" borderId="53" xfId="13" applyNumberFormat="1" applyFont="1" applyBorder="1" applyAlignment="1">
      <alignment horizontal="center" vertical="center"/>
    </xf>
    <xf numFmtId="10" fontId="4" fillId="0" borderId="6" xfId="13" applyNumberFormat="1" applyFont="1" applyBorder="1" applyAlignment="1">
      <alignment horizontal="center" vertical="center"/>
    </xf>
    <xf numFmtId="0" fontId="4" fillId="0" borderId="10" xfId="13" applyFont="1" applyBorder="1">
      <alignment vertical="center"/>
    </xf>
    <xf numFmtId="0" fontId="4" fillId="0" borderId="53" xfId="13" applyFont="1" applyBorder="1" applyAlignment="1">
      <alignment horizontal="center" vertical="center"/>
    </xf>
    <xf numFmtId="0" fontId="4" fillId="0" borderId="99" xfId="13" applyFont="1" applyBorder="1">
      <alignment vertical="center"/>
    </xf>
    <xf numFmtId="0" fontId="112" fillId="0" borderId="0" xfId="0" applyFont="1" applyAlignment="1">
      <alignment horizontal="justify"/>
    </xf>
    <xf numFmtId="0" fontId="4" fillId="0" borderId="6" xfId="13" applyFont="1" applyFill="1" applyBorder="1">
      <alignment vertical="center"/>
    </xf>
    <xf numFmtId="2" fontId="4" fillId="0" borderId="0" xfId="13" applyNumberFormat="1" applyFont="1" applyBorder="1" applyAlignment="1">
      <alignment horizontal="center" vertical="center"/>
    </xf>
    <xf numFmtId="0" fontId="119" fillId="0" borderId="6" xfId="0" applyFont="1" applyBorder="1" applyAlignment="1">
      <alignment vertical="top" wrapText="1"/>
    </xf>
    <xf numFmtId="0" fontId="4" fillId="2" borderId="6" xfId="275" applyFont="1" applyFill="1" applyBorder="1" applyAlignment="1">
      <alignment vertical="top" wrapText="1"/>
    </xf>
    <xf numFmtId="0" fontId="18" fillId="0" borderId="6" xfId="0" applyFont="1" applyBorder="1"/>
    <xf numFmtId="0" fontId="4" fillId="0" borderId="6" xfId="275" applyFont="1" applyFill="1" applyBorder="1" applyAlignment="1">
      <alignment vertical="top" wrapText="1"/>
    </xf>
    <xf numFmtId="0" fontId="18" fillId="0" borderId="6" xfId="275" applyFont="1" applyFill="1" applyBorder="1" applyAlignment="1">
      <alignment vertical="top" wrapText="1"/>
    </xf>
    <xf numFmtId="0" fontId="81" fillId="0" borderId="0" xfId="0" applyFont="1" applyFill="1"/>
    <xf numFmtId="0" fontId="82" fillId="3" borderId="6" xfId="0" applyFont="1" applyFill="1" applyBorder="1" applyAlignment="1">
      <alignment horizontal="left" vertical="top" wrapText="1" indent="2"/>
    </xf>
    <xf numFmtId="0" fontId="82" fillId="3" borderId="6" xfId="0" applyFont="1" applyFill="1" applyBorder="1" applyAlignment="1">
      <alignment horizontal="left" vertical="top" wrapText="1" indent="1"/>
    </xf>
    <xf numFmtId="0" fontId="81" fillId="4" borderId="6" xfId="0" applyFont="1" applyFill="1" applyBorder="1" applyAlignment="1">
      <alignment horizontal="left" vertical="top" wrapText="1" indent="1"/>
    </xf>
    <xf numFmtId="43" fontId="81" fillId="4" borderId="6" xfId="0" applyNumberFormat="1" applyFont="1" applyFill="1" applyBorder="1" applyAlignment="1">
      <alignment vertical="top" wrapText="1"/>
    </xf>
    <xf numFmtId="0" fontId="81" fillId="4" borderId="6" xfId="0" applyFont="1" applyFill="1" applyBorder="1" applyAlignment="1">
      <alignment horizontal="center" vertical="center"/>
    </xf>
    <xf numFmtId="0" fontId="81" fillId="4" borderId="6" xfId="0" applyFont="1" applyFill="1" applyBorder="1" applyAlignment="1">
      <alignment horizontal="left" vertical="center" wrapText="1"/>
    </xf>
    <xf numFmtId="0" fontId="82" fillId="4" borderId="6" xfId="0" applyFont="1" applyFill="1" applyBorder="1" applyAlignment="1">
      <alignment horizontal="left" vertical="center" wrapText="1"/>
    </xf>
    <xf numFmtId="0" fontId="81" fillId="0" borderId="0" xfId="0" applyFont="1" applyFill="1" applyAlignment="1">
      <alignment vertical="center" wrapText="1"/>
    </xf>
    <xf numFmtId="0" fontId="121" fillId="0" borderId="0" xfId="0" applyFont="1"/>
    <xf numFmtId="0" fontId="82" fillId="3" borderId="6" xfId="0" applyFont="1" applyFill="1" applyBorder="1" applyAlignment="1">
      <alignment horizontal="left" vertical="center" wrapText="1"/>
    </xf>
    <xf numFmtId="0" fontId="81" fillId="0" borderId="6" xfId="0" applyFont="1" applyBorder="1" applyAlignment="1">
      <alignment horizontal="left" vertical="top" wrapText="1" indent="1"/>
    </xf>
    <xf numFmtId="43" fontId="81" fillId="0" borderId="6" xfId="0" applyNumberFormat="1" applyFont="1" applyBorder="1" applyAlignment="1">
      <alignment vertical="top" wrapText="1"/>
    </xf>
    <xf numFmtId="43" fontId="81" fillId="0" borderId="6" xfId="0" applyNumberFormat="1" applyFont="1" applyFill="1" applyBorder="1" applyAlignment="1">
      <alignment vertical="top" wrapText="1"/>
    </xf>
    <xf numFmtId="43" fontId="81" fillId="0" borderId="6" xfId="0" applyNumberFormat="1" applyFont="1" applyFill="1" applyBorder="1" applyAlignment="1">
      <alignment vertical="center" wrapText="1"/>
    </xf>
    <xf numFmtId="43" fontId="81" fillId="4" borderId="6" xfId="0" applyNumberFormat="1" applyFont="1" applyFill="1" applyBorder="1" applyAlignment="1">
      <alignment horizontal="center" vertical="center" wrapText="1"/>
    </xf>
    <xf numFmtId="0" fontId="82" fillId="0" borderId="6" xfId="0" applyFont="1" applyBorder="1" applyAlignment="1">
      <alignment horizontal="left" vertical="top" wrapText="1" indent="1"/>
    </xf>
    <xf numFmtId="43" fontId="82" fillId="0" borderId="6" xfId="0" applyNumberFormat="1" applyFont="1" applyBorder="1" applyAlignment="1">
      <alignment vertical="top" wrapText="1"/>
    </xf>
    <xf numFmtId="43" fontId="82" fillId="0" borderId="6" xfId="0" applyNumberFormat="1" applyFont="1" applyBorder="1" applyAlignment="1">
      <alignment horizontal="right" vertical="top" wrapText="1"/>
    </xf>
    <xf numFmtId="43" fontId="82" fillId="0" borderId="6" xfId="0" applyNumberFormat="1" applyFont="1" applyBorder="1" applyAlignment="1">
      <alignment horizontal="center" vertical="center" wrapText="1"/>
    </xf>
    <xf numFmtId="2" fontId="82" fillId="0" borderId="6" xfId="0" applyNumberFormat="1" applyFont="1" applyBorder="1" applyAlignment="1">
      <alignment vertical="center"/>
    </xf>
    <xf numFmtId="0" fontId="81" fillId="0" borderId="6" xfId="0" applyFont="1" applyBorder="1" applyAlignment="1">
      <alignment horizontal="left" vertical="center" wrapText="1"/>
    </xf>
    <xf numFmtId="43" fontId="81" fillId="0" borderId="6" xfId="0" applyNumberFormat="1" applyFont="1" applyBorder="1" applyAlignment="1">
      <alignment vertical="center" wrapText="1"/>
    </xf>
    <xf numFmtId="43" fontId="81" fillId="0" borderId="6" xfId="0" applyNumberFormat="1" applyFont="1" applyBorder="1" applyAlignment="1">
      <alignment horizontal="left" vertical="center" wrapText="1"/>
    </xf>
    <xf numFmtId="0" fontId="83" fillId="0" borderId="0" xfId="0" applyFont="1" applyFill="1" applyBorder="1" applyAlignment="1">
      <alignment horizontal="left" vertical="top" wrapText="1" indent="1"/>
    </xf>
    <xf numFmtId="0" fontId="81" fillId="0" borderId="0" xfId="0" applyFont="1" applyFill="1" applyAlignment="1">
      <alignment vertical="center"/>
    </xf>
    <xf numFmtId="0" fontId="81" fillId="0" borderId="0" xfId="0" applyFont="1" applyAlignment="1">
      <alignment vertical="top"/>
    </xf>
    <xf numFmtId="0" fontId="81" fillId="0" borderId="19" xfId="0" applyFont="1" applyBorder="1"/>
    <xf numFmtId="0" fontId="4" fillId="0" borderId="0" xfId="6" applyFont="1">
      <alignment vertical="center"/>
    </xf>
    <xf numFmtId="0" fontId="18" fillId="0" borderId="0" xfId="6" applyFont="1">
      <alignment vertical="center"/>
    </xf>
    <xf numFmtId="0" fontId="5" fillId="3" borderId="6" xfId="78" applyFont="1" applyFill="1" applyBorder="1"/>
    <xf numFmtId="0" fontId="6" fillId="3" borderId="6" xfId="78" applyFont="1" applyFill="1" applyBorder="1"/>
    <xf numFmtId="0" fontId="5" fillId="3" borderId="6" xfId="78" applyFont="1" applyFill="1" applyBorder="1" applyAlignment="1">
      <alignment horizontal="center"/>
    </xf>
    <xf numFmtId="0" fontId="5" fillId="3" borderId="6" xfId="78" applyFont="1" applyFill="1" applyBorder="1" applyAlignment="1">
      <alignment horizontal="left"/>
    </xf>
    <xf numFmtId="0" fontId="5" fillId="0" borderId="6" xfId="78" applyFont="1" applyBorder="1"/>
    <xf numFmtId="0" fontId="5" fillId="0" borderId="6" xfId="78" applyFont="1" applyBorder="1" applyAlignment="1">
      <alignment wrapText="1"/>
    </xf>
    <xf numFmtId="0" fontId="6" fillId="0" borderId="6" xfId="78" applyFont="1" applyBorder="1"/>
    <xf numFmtId="0" fontId="4" fillId="30" borderId="6" xfId="78" applyFont="1" applyFill="1" applyBorder="1" applyAlignment="1">
      <alignment horizontal="left" vertical="top" wrapText="1"/>
    </xf>
    <xf numFmtId="2" fontId="4" fillId="0" borderId="6" xfId="6" applyNumberFormat="1" applyFont="1" applyBorder="1" applyAlignment="1">
      <alignment horizontal="right" vertical="center"/>
    </xf>
    <xf numFmtId="0" fontId="4" fillId="0" borderId="6" xfId="78" applyFont="1" applyFill="1" applyBorder="1" applyAlignment="1" applyProtection="1">
      <alignment horizontal="left"/>
    </xf>
    <xf numFmtId="2" fontId="4" fillId="0" borderId="6" xfId="6" applyNumberFormat="1" applyFont="1" applyFill="1" applyBorder="1">
      <alignment vertical="center"/>
    </xf>
    <xf numFmtId="2" fontId="18" fillId="0" borderId="6" xfId="6" applyNumberFormat="1" applyFont="1" applyBorder="1">
      <alignment vertical="center"/>
    </xf>
    <xf numFmtId="0" fontId="18" fillId="30" borderId="6" xfId="78" applyFont="1" applyFill="1" applyBorder="1" applyAlignment="1" applyProtection="1">
      <alignment horizontal="right"/>
    </xf>
    <xf numFmtId="0" fontId="18" fillId="0" borderId="6" xfId="6" applyFont="1" applyBorder="1">
      <alignment vertical="center"/>
    </xf>
    <xf numFmtId="0" fontId="6" fillId="0" borderId="0" xfId="78" applyFont="1" applyFill="1" applyBorder="1"/>
    <xf numFmtId="0" fontId="6" fillId="0" borderId="0" xfId="78" applyFont="1"/>
    <xf numFmtId="0" fontId="4" fillId="3" borderId="6" xfId="6" applyFont="1" applyFill="1" applyBorder="1">
      <alignment vertical="center"/>
    </xf>
    <xf numFmtId="0" fontId="5" fillId="0" borderId="6" xfId="78" applyFont="1" applyBorder="1" applyAlignment="1">
      <alignment vertical="center" wrapText="1"/>
    </xf>
    <xf numFmtId="0" fontId="18" fillId="30" borderId="6" xfId="6" applyFont="1" applyFill="1" applyBorder="1" applyAlignment="1">
      <alignment horizontal="center" vertical="center" wrapText="1"/>
    </xf>
    <xf numFmtId="2" fontId="4" fillId="30" borderId="6" xfId="78" applyNumberFormat="1" applyFont="1" applyFill="1" applyBorder="1" applyAlignment="1" applyProtection="1">
      <alignment horizontal="right"/>
    </xf>
    <xf numFmtId="10" fontId="4" fillId="0" borderId="6" xfId="256" applyNumberFormat="1" applyFont="1" applyFill="1" applyBorder="1" applyAlignment="1" applyProtection="1">
      <alignment vertical="center"/>
    </xf>
    <xf numFmtId="10" fontId="5" fillId="0" borderId="6" xfId="78" applyNumberFormat="1" applyFont="1" applyBorder="1"/>
    <xf numFmtId="0" fontId="6" fillId="0" borderId="6" xfId="78" applyFont="1" applyFill="1" applyBorder="1" applyAlignment="1">
      <alignment horizontal="center"/>
    </xf>
    <xf numFmtId="2" fontId="4" fillId="0" borderId="6" xfId="78" applyNumberFormat="1" applyFont="1" applyBorder="1" applyAlignment="1">
      <alignment vertical="top" wrapText="1"/>
    </xf>
    <xf numFmtId="0" fontId="18" fillId="0" borderId="6" xfId="6" applyFont="1" applyBorder="1" applyAlignment="1">
      <alignment horizontal="right" vertical="center"/>
    </xf>
    <xf numFmtId="2" fontId="4" fillId="0" borderId="65" xfId="6" applyNumberFormat="1" applyFont="1" applyFill="1" applyBorder="1" applyAlignment="1">
      <alignment horizontal="right" vertical="center"/>
    </xf>
    <xf numFmtId="2" fontId="4" fillId="0" borderId="61" xfId="6" applyNumberFormat="1" applyFont="1" applyBorder="1" applyAlignment="1">
      <alignment horizontal="right" vertical="center"/>
    </xf>
    <xf numFmtId="0" fontId="4" fillId="0" borderId="68" xfId="6" applyFont="1" applyBorder="1" applyAlignment="1">
      <alignment horizontal="right" vertical="center"/>
    </xf>
    <xf numFmtId="2" fontId="4" fillId="0" borderId="73" xfId="6" applyNumberFormat="1" applyFont="1" applyBorder="1" applyAlignment="1">
      <alignment horizontal="right" vertical="center"/>
    </xf>
    <xf numFmtId="2" fontId="4" fillId="0" borderId="111" xfId="6" applyNumberFormat="1" applyFont="1" applyBorder="1" applyAlignment="1">
      <alignment horizontal="right" vertical="center"/>
    </xf>
    <xf numFmtId="2" fontId="4" fillId="0" borderId="68" xfId="6" applyNumberFormat="1" applyFont="1" applyBorder="1" applyAlignment="1">
      <alignment horizontal="right" vertical="center"/>
    </xf>
    <xf numFmtId="0" fontId="4" fillId="0" borderId="62" xfId="6" applyFont="1" applyBorder="1" applyAlignment="1">
      <alignment horizontal="right" vertical="center"/>
    </xf>
    <xf numFmtId="0" fontId="4" fillId="0" borderId="61" xfId="6" applyFont="1" applyBorder="1">
      <alignment vertical="center"/>
    </xf>
    <xf numFmtId="0" fontId="4" fillId="0" borderId="62" xfId="6" applyFont="1" applyFill="1" applyBorder="1">
      <alignment vertical="center"/>
    </xf>
    <xf numFmtId="0" fontId="4" fillId="0" borderId="60" xfId="6" applyFont="1" applyFill="1" applyBorder="1" applyAlignment="1">
      <alignment vertical="center" wrapText="1"/>
    </xf>
    <xf numFmtId="0" fontId="0" fillId="0" borderId="19" xfId="0" applyBorder="1"/>
    <xf numFmtId="0" fontId="17" fillId="0" borderId="0" xfId="78" applyFont="1"/>
    <xf numFmtId="0" fontId="14" fillId="0" borderId="0" xfId="78" applyFont="1"/>
    <xf numFmtId="0" fontId="22" fillId="0" borderId="0" xfId="78" applyFont="1"/>
    <xf numFmtId="0" fontId="14" fillId="0" borderId="17" xfId="78" applyFont="1" applyBorder="1"/>
    <xf numFmtId="0" fontId="116" fillId="3" borderId="52" xfId="78" applyFont="1" applyFill="1" applyBorder="1"/>
    <xf numFmtId="0" fontId="116" fillId="3" borderId="0" xfId="78" applyFont="1" applyFill="1" applyAlignment="1">
      <alignment horizontal="right"/>
    </xf>
    <xf numFmtId="0" fontId="116" fillId="3" borderId="52" xfId="78" applyFont="1" applyFill="1" applyBorder="1" applyAlignment="1">
      <alignment horizontal="right"/>
    </xf>
    <xf numFmtId="0" fontId="117" fillId="3" borderId="0" xfId="78" applyFont="1" applyFill="1" applyAlignment="1">
      <alignment horizontal="center"/>
    </xf>
    <xf numFmtId="0" fontId="117" fillId="3" borderId="52" xfId="78" applyFont="1" applyFill="1" applyBorder="1" applyAlignment="1">
      <alignment horizontal="center"/>
    </xf>
    <xf numFmtId="0" fontId="117" fillId="3" borderId="3" xfId="78" applyFont="1" applyFill="1" applyBorder="1" applyAlignment="1">
      <alignment horizontal="center"/>
    </xf>
    <xf numFmtId="0" fontId="116" fillId="3" borderId="3" xfId="78" applyFont="1" applyFill="1" applyBorder="1" applyAlignment="1">
      <alignment horizontal="right"/>
    </xf>
    <xf numFmtId="0" fontId="117" fillId="3" borderId="106" xfId="78" applyFont="1" applyFill="1" applyBorder="1" applyAlignment="1">
      <alignment horizontal="center"/>
    </xf>
    <xf numFmtId="0" fontId="116" fillId="3" borderId="3" xfId="78" applyFont="1" applyFill="1" applyBorder="1"/>
    <xf numFmtId="0" fontId="117" fillId="3" borderId="3" xfId="78" applyFont="1" applyFill="1" applyBorder="1" applyAlignment="1">
      <alignment horizontal="right"/>
    </xf>
    <xf numFmtId="0" fontId="116" fillId="3" borderId="96" xfId="78" applyFont="1" applyFill="1" applyBorder="1"/>
    <xf numFmtId="0" fontId="117" fillId="3" borderId="35" xfId="78" applyFont="1" applyFill="1" applyBorder="1" applyAlignment="1">
      <alignment horizontal="right"/>
    </xf>
    <xf numFmtId="0" fontId="117" fillId="3" borderId="96" xfId="78" applyFont="1" applyFill="1" applyBorder="1" applyAlignment="1">
      <alignment horizontal="right"/>
    </xf>
    <xf numFmtId="0" fontId="116" fillId="0" borderId="3" xfId="78" applyFont="1" applyBorder="1"/>
    <xf numFmtId="0" fontId="117" fillId="0" borderId="0" xfId="78" applyFont="1" applyBorder="1" applyAlignment="1">
      <alignment horizontal="right"/>
    </xf>
    <xf numFmtId="0" fontId="117" fillId="0" borderId="3" xfId="78" applyFont="1" applyBorder="1" applyAlignment="1">
      <alignment horizontal="right"/>
    </xf>
    <xf numFmtId="0" fontId="116" fillId="0" borderId="0" xfId="78" applyFont="1" applyBorder="1"/>
    <xf numFmtId="0" fontId="117" fillId="0" borderId="5" xfId="78" applyFont="1" applyBorder="1" applyAlignment="1">
      <alignment horizontal="right"/>
    </xf>
    <xf numFmtId="0" fontId="116" fillId="0" borderId="5" xfId="78" applyFont="1" applyBorder="1"/>
    <xf numFmtId="0" fontId="122" fillId="0" borderId="3" xfId="78" applyFont="1" applyBorder="1"/>
    <xf numFmtId="0" fontId="117" fillId="0" borderId="0" xfId="78" applyFont="1" applyAlignment="1">
      <alignment horizontal="center"/>
    </xf>
    <xf numFmtId="0" fontId="117" fillId="0" borderId="3" xfId="78" applyFont="1" applyBorder="1" applyAlignment="1">
      <alignment horizontal="center"/>
    </xf>
    <xf numFmtId="176" fontId="116" fillId="0" borderId="106" xfId="78" applyNumberFormat="1" applyFont="1" applyBorder="1" applyAlignment="1" applyProtection="1">
      <alignment horizontal="center"/>
    </xf>
    <xf numFmtId="0" fontId="117" fillId="0" borderId="106" xfId="78" applyFont="1" applyBorder="1" applyAlignment="1">
      <alignment horizontal="center"/>
    </xf>
    <xf numFmtId="2" fontId="116" fillId="0" borderId="3" xfId="78" applyNumberFormat="1" applyFont="1" applyBorder="1"/>
    <xf numFmtId="2" fontId="116" fillId="0" borderId="0" xfId="78" applyNumberFormat="1" applyFont="1"/>
    <xf numFmtId="1" fontId="116" fillId="0" borderId="3" xfId="78" applyNumberFormat="1" applyFont="1" applyBorder="1" applyProtection="1"/>
    <xf numFmtId="2" fontId="116" fillId="0" borderId="3" xfId="78" applyNumberFormat="1" applyFont="1" applyBorder="1" applyProtection="1"/>
    <xf numFmtId="2" fontId="116" fillId="0" borderId="0" xfId="78" applyNumberFormat="1" applyFont="1" applyBorder="1"/>
    <xf numFmtId="0" fontId="116" fillId="0" borderId="8" xfId="78" applyFont="1" applyBorder="1"/>
    <xf numFmtId="2" fontId="116" fillId="0" borderId="17" xfId="78" applyNumberFormat="1" applyFont="1" applyBorder="1"/>
    <xf numFmtId="2" fontId="116" fillId="0" borderId="8" xfId="78" applyNumberFormat="1" applyFont="1" applyBorder="1"/>
    <xf numFmtId="2" fontId="116" fillId="0" borderId="14" xfId="78" applyNumberFormat="1" applyFont="1" applyBorder="1"/>
    <xf numFmtId="0" fontId="117" fillId="0" borderId="6" xfId="78" applyFont="1" applyBorder="1" applyAlignment="1">
      <alignment horizontal="center"/>
    </xf>
    <xf numFmtId="2" fontId="116" fillId="0" borderId="6" xfId="78" applyNumberFormat="1" applyFont="1" applyBorder="1"/>
    <xf numFmtId="2" fontId="116" fillId="0" borderId="6" xfId="78" applyNumberFormat="1" applyFont="1" applyBorder="1" applyProtection="1"/>
    <xf numFmtId="1" fontId="116" fillId="0" borderId="6" xfId="78" applyNumberFormat="1" applyFont="1" applyBorder="1" applyProtection="1"/>
    <xf numFmtId="2" fontId="117" fillId="0" borderId="6" xfId="78" applyNumberFormat="1" applyFont="1" applyBorder="1"/>
    <xf numFmtId="0" fontId="116" fillId="0" borderId="6" xfId="78" applyFont="1" applyBorder="1"/>
    <xf numFmtId="2" fontId="116" fillId="0" borderId="106" xfId="78" applyNumberFormat="1" applyFont="1" applyBorder="1"/>
    <xf numFmtId="2" fontId="116" fillId="0" borderId="52" xfId="78" applyNumberFormat="1" applyFont="1" applyBorder="1"/>
    <xf numFmtId="2" fontId="14" fillId="0" borderId="0" xfId="78" applyNumberFormat="1" applyFont="1"/>
    <xf numFmtId="2" fontId="117" fillId="0" borderId="6" xfId="78" applyNumberFormat="1" applyFont="1" applyBorder="1" applyProtection="1"/>
    <xf numFmtId="2" fontId="116" fillId="0" borderId="14" xfId="78" applyNumberFormat="1" applyFont="1" applyBorder="1" applyProtection="1"/>
    <xf numFmtId="2" fontId="116" fillId="0" borderId="8" xfId="78" applyNumberFormat="1" applyFont="1" applyBorder="1" applyProtection="1"/>
    <xf numFmtId="0" fontId="122" fillId="0" borderId="3" xfId="78" applyFont="1" applyBorder="1" applyAlignment="1">
      <alignment horizontal="center"/>
    </xf>
    <xf numFmtId="2" fontId="116" fillId="0" borderId="55" xfId="78" applyNumberFormat="1" applyFont="1" applyBorder="1"/>
    <xf numFmtId="0" fontId="116" fillId="0" borderId="96" xfId="78" applyFont="1" applyBorder="1"/>
    <xf numFmtId="1" fontId="116" fillId="0" borderId="35" xfId="78" applyNumberFormat="1" applyFont="1" applyBorder="1"/>
    <xf numFmtId="1" fontId="116" fillId="0" borderId="96" xfId="78" applyNumberFormat="1" applyFont="1" applyBorder="1"/>
    <xf numFmtId="0" fontId="14" fillId="0" borderId="0" xfId="78" applyFont="1" applyBorder="1"/>
    <xf numFmtId="1" fontId="14" fillId="0" borderId="0" xfId="78" applyNumberFormat="1" applyFont="1"/>
    <xf numFmtId="0" fontId="116" fillId="0" borderId="28" xfId="78" applyFont="1" applyBorder="1"/>
    <xf numFmtId="2" fontId="116" fillId="0" borderId="24" xfId="78" applyNumberFormat="1" applyFont="1" applyBorder="1" applyAlignment="1">
      <alignment horizontal="right"/>
    </xf>
    <xf numFmtId="2" fontId="116" fillId="0" borderId="5" xfId="78" applyNumberFormat="1" applyFont="1" applyBorder="1"/>
    <xf numFmtId="2" fontId="116" fillId="0" borderId="24" xfId="78" applyNumberFormat="1" applyFont="1" applyBorder="1"/>
    <xf numFmtId="1" fontId="116" fillId="0" borderId="5" xfId="78" applyNumberFormat="1" applyFont="1" applyBorder="1" applyProtection="1"/>
    <xf numFmtId="2" fontId="116" fillId="0" borderId="5" xfId="78" applyNumberFormat="1" applyFont="1" applyBorder="1" applyProtection="1"/>
    <xf numFmtId="2" fontId="116" fillId="0" borderId="29" xfId="78" applyNumberFormat="1" applyFont="1" applyBorder="1" applyProtection="1"/>
    <xf numFmtId="0" fontId="116" fillId="0" borderId="98" xfId="78" applyFont="1" applyBorder="1"/>
    <xf numFmtId="2" fontId="116" fillId="0" borderId="128" xfId="78" applyNumberFormat="1" applyFont="1" applyBorder="1" applyProtection="1"/>
    <xf numFmtId="0" fontId="116" fillId="0" borderId="95" xfId="78" applyFont="1" applyBorder="1"/>
    <xf numFmtId="2" fontId="116" fillId="0" borderId="35" xfId="78" applyNumberFormat="1" applyFont="1" applyBorder="1"/>
    <xf numFmtId="2" fontId="116" fillId="0" borderId="96" xfId="78" applyNumberFormat="1" applyFont="1" applyBorder="1"/>
    <xf numFmtId="1" fontId="116" fillId="0" borderId="96" xfId="78" applyNumberFormat="1" applyFont="1" applyBorder="1" applyProtection="1"/>
    <xf numFmtId="2" fontId="116" fillId="0" borderId="96" xfId="78" applyNumberFormat="1" applyFont="1" applyBorder="1" applyProtection="1"/>
    <xf numFmtId="2" fontId="116" fillId="0" borderId="94" xfId="78" applyNumberFormat="1" applyFont="1" applyBorder="1" applyProtection="1"/>
    <xf numFmtId="2" fontId="116" fillId="0" borderId="105" xfId="78" applyNumberFormat="1" applyFont="1" applyBorder="1"/>
    <xf numFmtId="2" fontId="116" fillId="0" borderId="97" xfId="78" applyNumberFormat="1" applyFont="1" applyBorder="1"/>
    <xf numFmtId="1" fontId="116" fillId="0" borderId="135" xfId="78" applyNumberFormat="1" applyFont="1" applyBorder="1" applyProtection="1"/>
    <xf numFmtId="2" fontId="116" fillId="0" borderId="135" xfId="78" applyNumberFormat="1" applyFont="1" applyBorder="1" applyProtection="1"/>
    <xf numFmtId="2" fontId="116" fillId="0" borderId="135" xfId="78" applyNumberFormat="1" applyFont="1" applyBorder="1"/>
    <xf numFmtId="2" fontId="116" fillId="0" borderId="36" xfId="78" applyNumberFormat="1" applyFont="1" applyBorder="1" applyProtection="1"/>
    <xf numFmtId="0" fontId="14" fillId="0" borderId="106" xfId="0" applyFont="1" applyBorder="1"/>
    <xf numFmtId="0" fontId="14" fillId="0" borderId="0" xfId="0" applyFont="1"/>
    <xf numFmtId="0" fontId="14" fillId="0" borderId="0" xfId="0" applyFont="1" applyBorder="1"/>
    <xf numFmtId="0" fontId="14" fillId="0" borderId="19" xfId="0" applyFont="1" applyBorder="1"/>
    <xf numFmtId="0" fontId="14" fillId="0" borderId="20" xfId="0" applyFont="1" applyBorder="1"/>
    <xf numFmtId="2" fontId="14" fillId="0" borderId="0" xfId="0" applyNumberFormat="1" applyFont="1"/>
    <xf numFmtId="0" fontId="14" fillId="0" borderId="38" xfId="0" applyFont="1" applyBorder="1"/>
    <xf numFmtId="0" fontId="14" fillId="0" borderId="32" xfId="0" applyFont="1" applyBorder="1"/>
    <xf numFmtId="0" fontId="17" fillId="0" borderId="19" xfId="0" applyFont="1" applyBorder="1" applyAlignment="1">
      <alignment horizontal="center"/>
    </xf>
    <xf numFmtId="0" fontId="17" fillId="0" borderId="19" xfId="0" applyFont="1" applyBorder="1"/>
    <xf numFmtId="0" fontId="17" fillId="0" borderId="20" xfId="0" applyFont="1" applyBorder="1"/>
    <xf numFmtId="2" fontId="17" fillId="0" borderId="19" xfId="0" applyNumberFormat="1" applyFont="1" applyBorder="1" applyAlignment="1">
      <alignment horizontal="right"/>
    </xf>
    <xf numFmtId="2" fontId="17" fillId="0" borderId="39" xfId="0" applyNumberFormat="1" applyFont="1" applyBorder="1"/>
    <xf numFmtId="2" fontId="17" fillId="0" borderId="104" xfId="0" applyNumberFormat="1" applyFont="1" applyBorder="1" applyAlignment="1">
      <alignment horizontal="right"/>
    </xf>
    <xf numFmtId="2" fontId="17" fillId="0" borderId="34" xfId="0" applyNumberFormat="1" applyFont="1" applyBorder="1"/>
    <xf numFmtId="2" fontId="17" fillId="0" borderId="37" xfId="0" applyNumberFormat="1" applyFont="1" applyBorder="1"/>
    <xf numFmtId="2" fontId="17" fillId="0" borderId="39" xfId="0" applyNumberFormat="1" applyFont="1" applyBorder="1" applyAlignment="1">
      <alignment horizontal="right"/>
    </xf>
    <xf numFmtId="0" fontId="17" fillId="0" borderId="39" xfId="0" applyFont="1" applyBorder="1" applyAlignment="1">
      <alignment horizontal="center"/>
    </xf>
    <xf numFmtId="0" fontId="17" fillId="0" borderId="34" xfId="0" applyFont="1" applyBorder="1" applyAlignment="1">
      <alignment horizontal="center"/>
    </xf>
    <xf numFmtId="2" fontId="17" fillId="0" borderId="0" xfId="0" applyNumberFormat="1" applyFont="1" applyBorder="1"/>
    <xf numFmtId="0" fontId="17" fillId="0" borderId="0" xfId="0" applyFont="1" applyBorder="1"/>
    <xf numFmtId="2" fontId="17" fillId="0" borderId="0" xfId="0" applyNumberFormat="1" applyFont="1" applyBorder="1" applyAlignment="1">
      <alignment horizontal="right"/>
    </xf>
    <xf numFmtId="2" fontId="17" fillId="0" borderId="20" xfId="0" applyNumberFormat="1" applyFont="1" applyBorder="1" applyAlignment="1">
      <alignment horizontal="right"/>
    </xf>
    <xf numFmtId="2" fontId="17" fillId="0" borderId="34" xfId="0" applyNumberFormat="1" applyFont="1" applyBorder="1" applyAlignment="1">
      <alignment horizontal="right"/>
    </xf>
    <xf numFmtId="2" fontId="17" fillId="0" borderId="19" xfId="0" applyNumberFormat="1" applyFont="1" applyBorder="1"/>
    <xf numFmtId="0" fontId="17" fillId="0" borderId="21" xfId="0" applyFont="1" applyBorder="1" applyAlignment="1">
      <alignment horizontal="center"/>
    </xf>
    <xf numFmtId="1" fontId="17" fillId="0" borderId="37" xfId="0" applyNumberFormat="1" applyFont="1" applyBorder="1" applyAlignment="1">
      <alignment horizontal="center" vertical="center"/>
    </xf>
    <xf numFmtId="0" fontId="17" fillId="0" borderId="23" xfId="0" applyFont="1" applyBorder="1" applyAlignment="1">
      <alignment horizontal="center" vertical="center"/>
    </xf>
    <xf numFmtId="2" fontId="17" fillId="0" borderId="37" xfId="0" applyNumberFormat="1" applyFont="1" applyBorder="1" applyAlignment="1">
      <alignment vertical="center"/>
    </xf>
    <xf numFmtId="2" fontId="17" fillId="0" borderId="23" xfId="0" applyNumberFormat="1" applyFont="1" applyBorder="1" applyAlignment="1">
      <alignment vertical="center"/>
    </xf>
    <xf numFmtId="1" fontId="17" fillId="0" borderId="20" xfId="0" applyNumberFormat="1" applyFont="1" applyBorder="1" applyAlignment="1">
      <alignment horizontal="center"/>
    </xf>
    <xf numFmtId="0" fontId="17" fillId="0" borderId="19" xfId="0" quotePrefix="1" applyFont="1" applyBorder="1" applyAlignment="1">
      <alignment horizontal="center"/>
    </xf>
    <xf numFmtId="2" fontId="17" fillId="0" borderId="19" xfId="0" applyNumberFormat="1" applyFont="1" applyFill="1" applyBorder="1" applyAlignment="1">
      <alignment horizontal="right"/>
    </xf>
    <xf numFmtId="2" fontId="17" fillId="0" borderId="20" xfId="0" applyNumberFormat="1" applyFont="1" applyBorder="1"/>
    <xf numFmtId="2" fontId="17" fillId="0" borderId="21" xfId="0" applyNumberFormat="1" applyFont="1" applyBorder="1"/>
    <xf numFmtId="0" fontId="17" fillId="0" borderId="37" xfId="0" applyFont="1" applyBorder="1" applyAlignment="1">
      <alignment horizontal="center"/>
    </xf>
    <xf numFmtId="0" fontId="17" fillId="0" borderId="24" xfId="0" applyFont="1" applyBorder="1" applyAlignment="1">
      <alignment horizontal="center"/>
    </xf>
    <xf numFmtId="1" fontId="17" fillId="0" borderId="20" xfId="0" applyNumberFormat="1" applyFont="1" applyFill="1" applyBorder="1" applyAlignment="1">
      <alignment horizontal="center"/>
    </xf>
    <xf numFmtId="0" fontId="17" fillId="0" borderId="22" xfId="0" applyFont="1" applyBorder="1" applyAlignment="1">
      <alignment horizontal="center"/>
    </xf>
    <xf numFmtId="1" fontId="17" fillId="0" borderId="19" xfId="0" applyNumberFormat="1" applyFont="1" applyFill="1" applyBorder="1" applyAlignment="1">
      <alignment horizontal="center"/>
    </xf>
    <xf numFmtId="0" fontId="14" fillId="0" borderId="35" xfId="0" applyFont="1" applyBorder="1" applyAlignment="1">
      <alignment horizontal="center"/>
    </xf>
    <xf numFmtId="2" fontId="14" fillId="0" borderId="19" xfId="0" applyNumberFormat="1" applyFont="1" applyBorder="1"/>
    <xf numFmtId="2" fontId="17" fillId="0" borderId="27" xfId="0" applyNumberFormat="1" applyFont="1" applyBorder="1" applyAlignment="1">
      <alignment horizontal="right"/>
    </xf>
    <xf numFmtId="2" fontId="17" fillId="0" borderId="36" xfId="0" applyNumberFormat="1" applyFont="1" applyBorder="1" applyAlignment="1">
      <alignment horizontal="right"/>
    </xf>
    <xf numFmtId="2" fontId="17" fillId="0" borderId="39" xfId="0" applyNumberFormat="1" applyFont="1" applyBorder="1" applyAlignment="1"/>
    <xf numFmtId="2" fontId="17" fillId="0" borderId="36" xfId="0" applyNumberFormat="1" applyFont="1" applyBorder="1" applyAlignment="1"/>
    <xf numFmtId="2" fontId="17" fillId="0" borderId="19" xfId="0" applyNumberFormat="1" applyFont="1" applyBorder="1" applyAlignment="1"/>
    <xf numFmtId="2" fontId="17" fillId="0" borderId="21" xfId="0" applyNumberFormat="1" applyFont="1" applyBorder="1" applyAlignment="1"/>
    <xf numFmtId="0" fontId="17" fillId="0" borderId="6" xfId="0" applyFont="1" applyBorder="1"/>
    <xf numFmtId="2" fontId="17" fillId="0" borderId="6" xfId="0" applyNumberFormat="1" applyFont="1" applyBorder="1"/>
    <xf numFmtId="0" fontId="14" fillId="0" borderId="0" xfId="0" applyNumberFormat="1" applyFont="1"/>
    <xf numFmtId="9" fontId="17" fillId="0" borderId="20" xfId="0" quotePrefix="1" applyNumberFormat="1" applyFont="1" applyBorder="1" applyAlignment="1">
      <alignment horizontal="center"/>
    </xf>
    <xf numFmtId="2" fontId="17" fillId="0" borderId="22" xfId="0" applyNumberFormat="1" applyFont="1" applyBorder="1" applyAlignment="1"/>
    <xf numFmtId="10" fontId="17" fillId="0" borderId="37" xfId="0" applyNumberFormat="1" applyFont="1" applyBorder="1" applyAlignment="1">
      <alignment horizontal="center" vertical="center"/>
    </xf>
    <xf numFmtId="1" fontId="14" fillId="0" borderId="0" xfId="0" applyNumberFormat="1" applyFont="1"/>
    <xf numFmtId="0" fontId="14" fillId="0" borderId="0" xfId="0" applyFont="1" applyAlignment="1">
      <alignment horizontal="center"/>
    </xf>
    <xf numFmtId="2" fontId="14" fillId="0" borderId="0" xfId="0" applyNumberFormat="1" applyFont="1" applyBorder="1"/>
    <xf numFmtId="2" fontId="17" fillId="0" borderId="22" xfId="0" applyNumberFormat="1" applyFont="1" applyBorder="1"/>
    <xf numFmtId="2" fontId="17" fillId="0" borderId="39" xfId="0" applyNumberFormat="1" applyFont="1" applyBorder="1" applyAlignment="1">
      <alignment vertical="center"/>
    </xf>
    <xf numFmtId="2" fontId="17" fillId="0" borderId="19" xfId="0" applyNumberFormat="1" applyFont="1" applyBorder="1" applyAlignment="1">
      <alignment vertical="center"/>
    </xf>
    <xf numFmtId="2" fontId="17" fillId="0" borderId="36" xfId="0" applyNumberFormat="1" applyFont="1" applyBorder="1" applyAlignment="1">
      <alignment vertical="center"/>
    </xf>
    <xf numFmtId="0" fontId="14" fillId="0" borderId="0" xfId="0" applyFont="1" applyAlignment="1">
      <alignment vertical="center"/>
    </xf>
    <xf numFmtId="2" fontId="17" fillId="0" borderId="36" xfId="0" applyNumberFormat="1" applyFont="1" applyBorder="1"/>
    <xf numFmtId="1" fontId="17" fillId="0" borderId="19" xfId="0" applyNumberFormat="1" applyFont="1" applyBorder="1"/>
    <xf numFmtId="0" fontId="17" fillId="0" borderId="37" xfId="0" applyFont="1" applyBorder="1" applyAlignment="1">
      <alignment horizontal="center" vertical="center"/>
    </xf>
    <xf numFmtId="1" fontId="17" fillId="0" borderId="19" xfId="0" quotePrefix="1" applyNumberFormat="1" applyFont="1" applyBorder="1" applyAlignment="1">
      <alignment horizontal="center"/>
    </xf>
    <xf numFmtId="1" fontId="17" fillId="0" borderId="37" xfId="0" quotePrefix="1" applyNumberFormat="1" applyFont="1" applyBorder="1" applyAlignment="1">
      <alignment horizontal="center"/>
    </xf>
    <xf numFmtId="1" fontId="17" fillId="0" borderId="23" xfId="0" quotePrefix="1" applyNumberFormat="1" applyFont="1" applyBorder="1" applyAlignment="1">
      <alignment horizontal="center"/>
    </xf>
    <xf numFmtId="1" fontId="17" fillId="0" borderId="20" xfId="0" applyNumberFormat="1" applyFont="1" applyBorder="1"/>
    <xf numFmtId="0" fontId="14" fillId="0" borderId="34" xfId="0" applyFont="1" applyBorder="1"/>
    <xf numFmtId="0" fontId="14" fillId="0" borderId="35" xfId="0" applyFont="1" applyBorder="1"/>
    <xf numFmtId="1" fontId="14" fillId="0" borderId="35" xfId="0" applyNumberFormat="1" applyFont="1" applyBorder="1"/>
    <xf numFmtId="0" fontId="14" fillId="0" borderId="36" xfId="0" applyFont="1" applyBorder="1"/>
    <xf numFmtId="0" fontId="0" fillId="3" borderId="5" xfId="0" applyFill="1" applyBorder="1"/>
    <xf numFmtId="0" fontId="0" fillId="3" borderId="30" xfId="0" applyFill="1" applyBorder="1"/>
    <xf numFmtId="9" fontId="0" fillId="3" borderId="52" xfId="0" applyNumberFormat="1" applyFill="1" applyBorder="1" applyAlignment="1">
      <alignment horizontal="center"/>
    </xf>
    <xf numFmtId="0" fontId="0" fillId="3" borderId="3" xfId="0" applyFill="1" applyBorder="1"/>
    <xf numFmtId="0" fontId="0" fillId="3" borderId="14" xfId="0" applyFill="1" applyBorder="1"/>
    <xf numFmtId="2" fontId="0" fillId="0" borderId="6" xfId="0" applyNumberFormat="1" applyBorder="1" applyAlignment="1">
      <alignment horizontal="right"/>
    </xf>
    <xf numFmtId="2" fontId="3" fillId="0" borderId="6" xfId="0" applyNumberFormat="1" applyFont="1" applyBorder="1"/>
    <xf numFmtId="2" fontId="4" fillId="0" borderId="6" xfId="78" applyNumberFormat="1" applyFont="1" applyBorder="1" applyAlignment="1">
      <alignment horizontal="center"/>
    </xf>
    <xf numFmtId="0" fontId="4" fillId="0" borderId="19" xfId="78" applyFont="1" applyBorder="1"/>
    <xf numFmtId="189" fontId="4" fillId="4" borderId="6" xfId="6" applyNumberFormat="1" applyFont="1" applyFill="1" applyBorder="1">
      <alignment vertical="center"/>
    </xf>
    <xf numFmtId="2" fontId="116" fillId="0" borderId="0" xfId="0" applyNumberFormat="1" applyFont="1"/>
    <xf numFmtId="2" fontId="116" fillId="0" borderId="106" xfId="0" applyNumberFormat="1" applyFont="1" applyBorder="1"/>
    <xf numFmtId="0" fontId="18" fillId="4" borderId="0" xfId="13" applyFont="1" applyFill="1" applyBorder="1">
      <alignment vertical="center"/>
    </xf>
    <xf numFmtId="0" fontId="0" fillId="0" borderId="6" xfId="0" applyFont="1" applyBorder="1" applyAlignment="1">
      <alignment horizontal="center" vertical="center"/>
    </xf>
    <xf numFmtId="0" fontId="4" fillId="0" borderId="0" xfId="13" applyFont="1" applyBorder="1" applyAlignment="1">
      <alignment vertical="center" wrapText="1"/>
    </xf>
    <xf numFmtId="2" fontId="18" fillId="0" borderId="6" xfId="13" applyNumberFormat="1" applyFont="1" applyFill="1" applyBorder="1" applyAlignment="1">
      <alignment horizontal="center" vertical="center"/>
    </xf>
    <xf numFmtId="0" fontId="4" fillId="4" borderId="0" xfId="13" applyFont="1" applyFill="1" applyBorder="1">
      <alignment vertical="center"/>
    </xf>
    <xf numFmtId="0" fontId="4" fillId="4" borderId="0" xfId="114" applyFont="1" applyFill="1" applyBorder="1" applyAlignment="1">
      <alignment horizontal="center" vertical="top"/>
    </xf>
    <xf numFmtId="0" fontId="4" fillId="4" borderId="0" xfId="114" applyFont="1" applyFill="1" applyBorder="1"/>
    <xf numFmtId="0" fontId="4" fillId="4" borderId="0" xfId="114" applyFont="1" applyFill="1" applyBorder="1" applyAlignment="1">
      <alignment vertical="top"/>
    </xf>
    <xf numFmtId="170" fontId="18" fillId="0" borderId="6" xfId="13" applyNumberFormat="1" applyFont="1" applyFill="1" applyBorder="1" applyAlignment="1">
      <alignment horizontal="center" vertical="center"/>
    </xf>
    <xf numFmtId="0" fontId="9" fillId="3" borderId="68" xfId="78" applyFont="1" applyFill="1" applyBorder="1" applyAlignment="1">
      <alignment horizontal="center"/>
    </xf>
    <xf numFmtId="168" fontId="9" fillId="0" borderId="0" xfId="78" applyNumberFormat="1"/>
    <xf numFmtId="10" fontId="9" fillId="0" borderId="0" xfId="1" applyNumberFormat="1" applyFont="1"/>
    <xf numFmtId="2" fontId="4" fillId="0" borderId="6" xfId="78" applyNumberFormat="1" applyFont="1" applyBorder="1" applyAlignment="1">
      <alignment horizontal="center" vertical="center"/>
    </xf>
    <xf numFmtId="0" fontId="82" fillId="0" borderId="6" xfId="0" applyFont="1" applyBorder="1" applyAlignment="1">
      <alignment horizontal="center" vertical="center"/>
    </xf>
    <xf numFmtId="0" fontId="18" fillId="4" borderId="0" xfId="3" applyFont="1" applyFill="1" applyBorder="1" applyAlignment="1">
      <alignment horizontal="center" vertical="top"/>
    </xf>
    <xf numFmtId="0" fontId="18" fillId="4" borderId="0" xfId="3" applyFont="1" applyFill="1" applyBorder="1" applyAlignment="1">
      <alignment horizontal="center"/>
    </xf>
    <xf numFmtId="2" fontId="81" fillId="0" borderId="6" xfId="0" applyNumberFormat="1" applyFont="1" applyBorder="1" applyAlignment="1">
      <alignment horizontal="center"/>
    </xf>
    <xf numFmtId="0" fontId="18" fillId="4" borderId="0" xfId="5" applyFont="1" applyFill="1" applyBorder="1" applyAlignment="1">
      <alignment horizontal="center" vertical="center"/>
    </xf>
    <xf numFmtId="0" fontId="82" fillId="3" borderId="6" xfId="0" applyFont="1" applyFill="1" applyBorder="1" applyAlignment="1">
      <alignment horizontal="center"/>
    </xf>
    <xf numFmtId="0" fontId="82" fillId="3" borderId="6" xfId="0" applyFont="1" applyFill="1" applyBorder="1" applyAlignment="1">
      <alignment horizontal="center" vertical="center" wrapText="1"/>
    </xf>
    <xf numFmtId="0" fontId="81" fillId="0" borderId="6" xfId="0" applyFont="1" applyBorder="1" applyAlignment="1">
      <alignment horizontal="center"/>
    </xf>
    <xf numFmtId="0" fontId="4" fillId="0" borderId="6" xfId="0" applyFont="1" applyBorder="1"/>
    <xf numFmtId="0" fontId="18" fillId="5" borderId="6" xfId="0" applyFont="1" applyFill="1" applyBorder="1" applyAlignment="1">
      <alignment horizontal="center" vertical="center" wrapText="1"/>
    </xf>
    <xf numFmtId="0" fontId="18" fillId="0" borderId="6" xfId="13" applyFont="1" applyBorder="1" applyAlignment="1">
      <alignment horizontal="center" vertical="center"/>
    </xf>
    <xf numFmtId="170" fontId="4" fillId="0" borderId="6" xfId="13" applyNumberFormat="1" applyFont="1" applyBorder="1" applyAlignment="1">
      <alignment horizontal="center" vertical="center"/>
    </xf>
    <xf numFmtId="0" fontId="4" fillId="0" borderId="0" xfId="13" applyFont="1" applyBorder="1" applyAlignment="1">
      <alignment horizontal="center" vertical="center"/>
    </xf>
    <xf numFmtId="0" fontId="82" fillId="0" borderId="6" xfId="0" applyFont="1" applyBorder="1" applyAlignment="1">
      <alignment horizontal="center"/>
    </xf>
    <xf numFmtId="0" fontId="81" fillId="0" borderId="6" xfId="0" applyFont="1" applyBorder="1" applyAlignment="1">
      <alignment horizontal="center" vertical="center"/>
    </xf>
    <xf numFmtId="0" fontId="81" fillId="0" borderId="0" xfId="0" applyFont="1" applyBorder="1" applyAlignment="1">
      <alignment horizontal="center"/>
    </xf>
    <xf numFmtId="0" fontId="4" fillId="0" borderId="6" xfId="13" applyFont="1" applyBorder="1" applyAlignment="1">
      <alignment horizontal="center" vertical="center"/>
    </xf>
    <xf numFmtId="10" fontId="4" fillId="0" borderId="0" xfId="13" applyNumberFormat="1" applyFont="1" applyBorder="1" applyAlignment="1">
      <alignment horizontal="center" vertical="center"/>
    </xf>
    <xf numFmtId="10" fontId="4" fillId="0" borderId="0" xfId="1" applyNumberFormat="1" applyFont="1" applyBorder="1" applyAlignment="1">
      <alignment horizontal="center" vertical="center"/>
    </xf>
    <xf numFmtId="10" fontId="18" fillId="0" borderId="0" xfId="1" applyNumberFormat="1" applyFont="1" applyBorder="1" applyAlignment="1">
      <alignment horizontal="center" vertical="center"/>
    </xf>
    <xf numFmtId="0" fontId="81" fillId="0" borderId="6" xfId="0" applyFont="1" applyBorder="1" applyAlignment="1">
      <alignment vertical="center" wrapText="1"/>
    </xf>
    <xf numFmtId="10" fontId="81" fillId="0" borderId="6" xfId="0" applyNumberFormat="1" applyFont="1" applyBorder="1" applyAlignment="1">
      <alignment vertical="center"/>
    </xf>
    <xf numFmtId="2" fontId="81" fillId="4" borderId="6" xfId="0" applyNumberFormat="1" applyFont="1" applyFill="1" applyBorder="1" applyAlignment="1">
      <alignment vertical="center" wrapText="1"/>
    </xf>
    <xf numFmtId="10" fontId="81" fillId="4" borderId="6" xfId="1" applyNumberFormat="1" applyFont="1" applyFill="1" applyBorder="1" applyAlignment="1">
      <alignment vertical="center" wrapText="1"/>
    </xf>
    <xf numFmtId="0" fontId="4" fillId="31" borderId="0" xfId="13" applyFont="1" applyFill="1">
      <alignment vertical="center"/>
    </xf>
    <xf numFmtId="170" fontId="18" fillId="31" borderId="0" xfId="13" applyNumberFormat="1" applyFont="1" applyFill="1" applyBorder="1">
      <alignment vertical="center"/>
    </xf>
    <xf numFmtId="0" fontId="116" fillId="4" borderId="6" xfId="0" applyFont="1" applyFill="1" applyBorder="1" applyAlignment="1"/>
    <xf numFmtId="0" fontId="116" fillId="4" borderId="6" xfId="0" applyFont="1" applyFill="1" applyBorder="1"/>
    <xf numFmtId="0" fontId="116" fillId="4" borderId="6" xfId="0" applyFont="1" applyFill="1" applyBorder="1" applyAlignment="1">
      <alignment wrapText="1"/>
    </xf>
    <xf numFmtId="10" fontId="116" fillId="0" borderId="6" xfId="0" applyNumberFormat="1" applyFont="1" applyBorder="1" applyAlignment="1">
      <alignment horizontal="center"/>
    </xf>
    <xf numFmtId="0" fontId="116" fillId="0" borderId="6" xfId="0" applyFont="1" applyBorder="1" applyAlignment="1">
      <alignment horizontal="center"/>
    </xf>
    <xf numFmtId="2" fontId="116" fillId="4" borderId="6" xfId="0" applyNumberFormat="1" applyFont="1" applyFill="1" applyBorder="1"/>
    <xf numFmtId="0" fontId="117" fillId="4" borderId="6" xfId="0" applyFont="1" applyFill="1" applyBorder="1"/>
    <xf numFmtId="0" fontId="14" fillId="0" borderId="6" xfId="0" applyNumberFormat="1" applyFont="1" applyBorder="1" applyAlignment="1">
      <alignment horizontal="center" vertical="center"/>
    </xf>
    <xf numFmtId="0" fontId="14" fillId="0" borderId="6" xfId="0" applyFont="1" applyBorder="1" applyAlignment="1">
      <alignment horizontal="center"/>
    </xf>
    <xf numFmtId="0" fontId="14" fillId="0" borderId="6" xfId="0" applyNumberFormat="1" applyFont="1" applyBorder="1" applyAlignment="1">
      <alignment horizontal="center"/>
    </xf>
    <xf numFmtId="2" fontId="14" fillId="0" borderId="6" xfId="0" applyNumberFormat="1" applyFont="1" applyBorder="1" applyAlignment="1">
      <alignment horizontal="center"/>
    </xf>
    <xf numFmtId="10" fontId="14" fillId="0" borderId="6" xfId="0" applyNumberFormat="1" applyFont="1" applyBorder="1" applyAlignment="1">
      <alignment horizontal="center" vertical="center"/>
    </xf>
    <xf numFmtId="0" fontId="14" fillId="0" borderId="6" xfId="0" applyFont="1" applyBorder="1" applyAlignment="1">
      <alignment horizontal="center" vertical="center"/>
    </xf>
    <xf numFmtId="1" fontId="14" fillId="0" borderId="6" xfId="0" applyNumberFormat="1" applyFont="1" applyBorder="1" applyAlignment="1">
      <alignment horizontal="center" vertical="center"/>
    </xf>
    <xf numFmtId="1" fontId="14" fillId="4" borderId="6" xfId="0" applyNumberFormat="1" applyFont="1" applyFill="1" applyBorder="1" applyAlignment="1">
      <alignment horizontal="center"/>
    </xf>
    <xf numFmtId="0" fontId="14" fillId="0" borderId="6" xfId="0" quotePrefix="1" applyFont="1" applyBorder="1" applyAlignment="1">
      <alignment horizontal="center" vertical="center"/>
    </xf>
    <xf numFmtId="1" fontId="14" fillId="0" borderId="6" xfId="0" applyNumberFormat="1" applyFont="1" applyFill="1" applyBorder="1" applyAlignment="1">
      <alignment horizontal="center"/>
    </xf>
    <xf numFmtId="0" fontId="17" fillId="3" borderId="6" xfId="0" applyNumberFormat="1" applyFont="1" applyFill="1" applyBorder="1" applyAlignment="1">
      <alignment horizontal="center"/>
    </xf>
    <xf numFmtId="2" fontId="17" fillId="3" borderId="6" xfId="0" applyNumberFormat="1" applyFont="1" applyFill="1" applyBorder="1" applyAlignment="1">
      <alignment horizontal="center"/>
    </xf>
    <xf numFmtId="1" fontId="17" fillId="0" borderId="6" xfId="0" applyNumberFormat="1" applyFont="1" applyFill="1" applyBorder="1" applyAlignment="1">
      <alignment horizontal="center"/>
    </xf>
    <xf numFmtId="0" fontId="17" fillId="0" borderId="6" xfId="0" applyFont="1" applyBorder="1" applyAlignment="1">
      <alignment horizontal="center" vertical="center"/>
    </xf>
    <xf numFmtId="0" fontId="17" fillId="0" borderId="6" xfId="0" applyNumberFormat="1" applyFont="1" applyBorder="1" applyAlignment="1">
      <alignment horizontal="center" vertical="center"/>
    </xf>
    <xf numFmtId="2" fontId="117" fillId="4" borderId="6" xfId="0" applyNumberFormat="1" applyFont="1" applyFill="1" applyBorder="1" applyAlignment="1"/>
    <xf numFmtId="10" fontId="9" fillId="0" borderId="0" xfId="1" applyNumberFormat="1" applyFont="1" applyBorder="1"/>
    <xf numFmtId="0" fontId="4" fillId="30" borderId="6" xfId="78" applyFont="1" applyFill="1" applyBorder="1" applyAlignment="1" applyProtection="1">
      <alignment horizontal="center" wrapText="1"/>
    </xf>
    <xf numFmtId="0" fontId="18" fillId="4" borderId="0" xfId="13" applyFont="1" applyFill="1" applyBorder="1" applyAlignment="1">
      <alignment horizontal="center" vertical="center" wrapText="1"/>
    </xf>
    <xf numFmtId="0" fontId="4" fillId="4" borderId="0" xfId="13" applyFont="1" applyFill="1" applyBorder="1" applyAlignment="1">
      <alignment horizontal="center" vertical="center"/>
    </xf>
    <xf numFmtId="0" fontId="18" fillId="30" borderId="0" xfId="78" applyFont="1" applyFill="1" applyBorder="1" applyAlignment="1" applyProtection="1">
      <alignment horizontal="left"/>
    </xf>
    <xf numFmtId="2" fontId="4" fillId="4" borderId="0" xfId="13" applyNumberFormat="1" applyFont="1" applyFill="1" applyBorder="1" applyAlignment="1">
      <alignment horizontal="center" vertical="center"/>
    </xf>
    <xf numFmtId="2" fontId="4" fillId="4" borderId="0" xfId="13" applyNumberFormat="1" applyFont="1" applyFill="1" applyBorder="1">
      <alignment vertical="center"/>
    </xf>
    <xf numFmtId="10" fontId="4" fillId="4" borderId="0" xfId="13" applyNumberFormat="1" applyFont="1" applyFill="1" applyBorder="1" applyAlignment="1">
      <alignment horizontal="center" vertical="center"/>
    </xf>
    <xf numFmtId="0" fontId="18" fillId="2" borderId="6" xfId="114" quotePrefix="1" applyFont="1" applyFill="1" applyBorder="1" applyAlignment="1">
      <alignment horizontal="center" vertical="top" wrapText="1"/>
    </xf>
    <xf numFmtId="0" fontId="18" fillId="2" borderId="0" xfId="114" quotePrefix="1" applyFont="1" applyFill="1" applyBorder="1" applyAlignment="1">
      <alignment horizontal="left" vertical="top" wrapText="1"/>
    </xf>
    <xf numFmtId="0" fontId="4" fillId="2" borderId="6" xfId="114" applyFont="1" applyFill="1" applyBorder="1" applyAlignment="1" applyProtection="1">
      <alignment horizontal="left"/>
    </xf>
    <xf numFmtId="0" fontId="18" fillId="2" borderId="0" xfId="114" applyFont="1" applyFill="1" applyBorder="1" applyAlignment="1" applyProtection="1">
      <alignment horizontal="left"/>
    </xf>
    <xf numFmtId="0" fontId="4" fillId="2" borderId="0" xfId="114" applyFont="1" applyFill="1" applyBorder="1" applyAlignment="1" applyProtection="1">
      <alignment horizontal="left"/>
    </xf>
    <xf numFmtId="0" fontId="4" fillId="4" borderId="0" xfId="114" applyFont="1" applyFill="1" applyBorder="1" applyAlignment="1" applyProtection="1">
      <alignment horizontal="left"/>
    </xf>
    <xf numFmtId="0" fontId="4" fillId="4" borderId="0" xfId="114" applyFont="1" applyFill="1" applyBorder="1" applyAlignment="1" applyProtection="1">
      <alignment horizontal="left" wrapText="1"/>
    </xf>
    <xf numFmtId="0" fontId="18" fillId="4" borderId="0" xfId="114" quotePrefix="1" applyFont="1" applyFill="1" applyBorder="1" applyAlignment="1">
      <alignment horizontal="left" vertical="top" wrapText="1"/>
    </xf>
    <xf numFmtId="0" fontId="4" fillId="0" borderId="6" xfId="114" applyFont="1" applyFill="1" applyBorder="1" applyAlignment="1" applyProtection="1">
      <alignment horizontal="left"/>
    </xf>
    <xf numFmtId="0" fontId="18" fillId="0" borderId="0" xfId="114" applyFont="1" applyFill="1" applyBorder="1" applyAlignment="1" applyProtection="1">
      <alignment horizontal="left"/>
    </xf>
    <xf numFmtId="170" fontId="18" fillId="4" borderId="0" xfId="13" applyNumberFormat="1" applyFont="1" applyFill="1" applyBorder="1">
      <alignment vertical="center"/>
    </xf>
    <xf numFmtId="0" fontId="81" fillId="4" borderId="6" xfId="0" applyFont="1" applyFill="1" applyBorder="1" applyAlignment="1"/>
    <xf numFmtId="0" fontId="81" fillId="4" borderId="6" xfId="0" applyFont="1" applyFill="1" applyBorder="1"/>
    <xf numFmtId="0" fontId="18" fillId="3" borderId="6" xfId="114" applyFont="1" applyFill="1" applyBorder="1" applyAlignment="1">
      <alignment vertical="center" wrapText="1"/>
    </xf>
    <xf numFmtId="2" fontId="116" fillId="0" borderId="6" xfId="0" applyNumberFormat="1" applyFont="1" applyBorder="1" applyAlignment="1">
      <alignment horizontal="center"/>
    </xf>
    <xf numFmtId="2" fontId="116" fillId="0" borderId="6" xfId="0" applyNumberFormat="1" applyFont="1" applyBorder="1" applyAlignment="1">
      <alignment horizontal="center" vertical="center"/>
    </xf>
    <xf numFmtId="2" fontId="116" fillId="4" borderId="6" xfId="0" applyNumberFormat="1" applyFont="1" applyFill="1" applyBorder="1" applyAlignment="1">
      <alignment horizontal="center" vertical="center"/>
    </xf>
    <xf numFmtId="2" fontId="116" fillId="0" borderId="0" xfId="0" applyNumberFormat="1" applyFont="1" applyBorder="1"/>
    <xf numFmtId="0" fontId="82" fillId="0" borderId="37" xfId="0" applyFont="1" applyBorder="1"/>
    <xf numFmtId="0" fontId="82" fillId="0" borderId="6" xfId="0" applyFont="1" applyBorder="1" applyAlignment="1">
      <alignment horizontal="left" vertical="top" wrapText="1"/>
    </xf>
    <xf numFmtId="0" fontId="81" fillId="0" borderId="6" xfId="0" applyFont="1" applyBorder="1" applyAlignment="1">
      <alignment vertical="justify" wrapText="1"/>
    </xf>
    <xf numFmtId="0" fontId="82" fillId="0" borderId="6" xfId="0" applyFont="1" applyBorder="1" applyAlignment="1">
      <alignment vertical="justify"/>
    </xf>
    <xf numFmtId="0" fontId="82" fillId="0" borderId="6" xfId="0" applyFont="1" applyBorder="1" applyAlignment="1">
      <alignment vertical="justify" wrapText="1"/>
    </xf>
    <xf numFmtId="0" fontId="81" fillId="0" borderId="6" xfId="0" applyFont="1" applyBorder="1" applyAlignment="1">
      <alignment horizontal="center" vertical="justify"/>
    </xf>
    <xf numFmtId="0" fontId="82" fillId="0" borderId="6" xfId="0" applyFont="1" applyBorder="1" applyAlignment="1">
      <alignment horizontal="center" vertical="justify"/>
    </xf>
    <xf numFmtId="0" fontId="81" fillId="0" borderId="6" xfId="0" applyFont="1" applyBorder="1" applyAlignment="1"/>
    <xf numFmtId="170" fontId="4" fillId="0" borderId="54" xfId="0" applyNumberFormat="1" applyFont="1" applyFill="1" applyBorder="1" applyAlignment="1">
      <alignment horizontal="center"/>
    </xf>
    <xf numFmtId="0" fontId="4" fillId="0" borderId="0" xfId="95" applyFont="1" applyBorder="1"/>
    <xf numFmtId="10" fontId="82" fillId="0" borderId="0" xfId="0" applyNumberFormat="1" applyFont="1" applyBorder="1" applyAlignment="1">
      <alignment horizontal="center"/>
    </xf>
    <xf numFmtId="0" fontId="4" fillId="0" borderId="0" xfId="95" applyFont="1" applyFill="1" applyBorder="1"/>
    <xf numFmtId="10" fontId="81" fillId="0" borderId="0" xfId="0" applyNumberFormat="1" applyFont="1" applyBorder="1" applyAlignment="1">
      <alignment horizontal="center"/>
    </xf>
    <xf numFmtId="0" fontId="18" fillId="3" borderId="6" xfId="0" applyFont="1" applyFill="1" applyBorder="1" applyAlignment="1">
      <alignment horizontal="center" vertical="center"/>
    </xf>
    <xf numFmtId="0" fontId="18" fillId="3" borderId="6" xfId="0" applyFont="1" applyFill="1" applyBorder="1" applyAlignment="1">
      <alignment horizontal="center" vertical="center" wrapText="1"/>
    </xf>
    <xf numFmtId="0" fontId="18" fillId="3" borderId="54" xfId="0" applyFont="1" applyFill="1" applyBorder="1" applyAlignment="1">
      <alignment horizontal="center" vertical="center" wrapText="1"/>
    </xf>
    <xf numFmtId="2" fontId="4" fillId="4" borderId="54" xfId="0" applyNumberFormat="1" applyFont="1" applyFill="1" applyBorder="1" applyAlignment="1">
      <alignment horizontal="center" vertical="top"/>
    </xf>
    <xf numFmtId="10" fontId="81" fillId="0" borderId="56" xfId="0" applyNumberFormat="1" applyFont="1" applyBorder="1" applyAlignment="1">
      <alignment horizontal="center"/>
    </xf>
    <xf numFmtId="0" fontId="4" fillId="4" borderId="56" xfId="0" applyFont="1" applyFill="1" applyBorder="1"/>
    <xf numFmtId="2" fontId="14" fillId="0" borderId="54" xfId="0" applyNumberFormat="1" applyFont="1" applyBorder="1" applyAlignment="1">
      <alignment horizontal="center" vertical="center"/>
    </xf>
    <xf numFmtId="2" fontId="125" fillId="0" borderId="54" xfId="0" applyNumberFormat="1" applyFont="1" applyBorder="1" applyAlignment="1">
      <alignment horizontal="center" vertical="center"/>
    </xf>
    <xf numFmtId="0" fontId="17" fillId="0" borderId="6" xfId="0" applyFont="1" applyBorder="1" applyAlignment="1">
      <alignment horizontal="center"/>
    </xf>
    <xf numFmtId="2" fontId="17" fillId="0" borderId="54" xfId="0" applyNumberFormat="1" applyFont="1" applyBorder="1" applyAlignment="1">
      <alignment horizontal="center" vertical="center"/>
    </xf>
    <xf numFmtId="0" fontId="117" fillId="0" borderId="52" xfId="0" applyFont="1" applyBorder="1" applyAlignment="1">
      <alignment horizontal="center"/>
    </xf>
    <xf numFmtId="9" fontId="81" fillId="0" borderId="6" xfId="0" applyNumberFormat="1" applyFont="1" applyBorder="1" applyAlignment="1">
      <alignment horizontal="center"/>
    </xf>
    <xf numFmtId="10" fontId="81" fillId="0" borderId="6" xfId="0" applyNumberFormat="1" applyFont="1" applyBorder="1" applyAlignment="1">
      <alignment horizontal="center" vertical="center"/>
    </xf>
    <xf numFmtId="9" fontId="81" fillId="0" borderId="6" xfId="0" applyNumberFormat="1" applyFont="1" applyBorder="1" applyAlignment="1">
      <alignment horizontal="center" vertical="center"/>
    </xf>
    <xf numFmtId="0" fontId="17" fillId="3" borderId="6" xfId="0" applyNumberFormat="1" applyFont="1" applyFill="1" applyBorder="1" applyAlignment="1">
      <alignment horizontal="center" vertical="center"/>
    </xf>
    <xf numFmtId="0" fontId="17" fillId="3" borderId="8" xfId="0" applyFont="1" applyFill="1" applyBorder="1" applyAlignment="1">
      <alignment horizontal="center" vertical="center"/>
    </xf>
    <xf numFmtId="2" fontId="17" fillId="3" borderId="6" xfId="0" applyNumberFormat="1" applyFont="1" applyFill="1" applyBorder="1" applyAlignment="1">
      <alignment wrapText="1"/>
    </xf>
    <xf numFmtId="9" fontId="81" fillId="0" borderId="8" xfId="0" applyNumberFormat="1" applyFont="1" applyBorder="1" applyAlignment="1">
      <alignment horizontal="center"/>
    </xf>
    <xf numFmtId="2" fontId="94" fillId="0" borderId="6" xfId="0" applyNumberFormat="1" applyFont="1" applyBorder="1" applyAlignment="1">
      <alignment horizontal="center"/>
    </xf>
    <xf numFmtId="0" fontId="18" fillId="2" borderId="6" xfId="13" applyFont="1" applyFill="1" applyBorder="1" applyAlignment="1">
      <alignment horizontal="center" vertical="center" wrapText="1"/>
    </xf>
    <xf numFmtId="0" fontId="18" fillId="4" borderId="6" xfId="13" applyFont="1" applyFill="1" applyBorder="1" applyAlignment="1">
      <alignment horizontal="center" vertical="center" wrapText="1"/>
    </xf>
    <xf numFmtId="0" fontId="4" fillId="0" borderId="6" xfId="114" applyFont="1" applyFill="1" applyBorder="1" applyAlignment="1" applyProtection="1">
      <alignment vertical="top" wrapText="1"/>
    </xf>
    <xf numFmtId="0" fontId="4" fillId="0" borderId="6" xfId="114" applyFont="1" applyFill="1" applyBorder="1" applyAlignment="1">
      <alignment horizontal="center" vertical="top"/>
    </xf>
    <xf numFmtId="0" fontId="84" fillId="0" borderId="6" xfId="114" applyFont="1" applyFill="1" applyBorder="1" applyAlignment="1" applyProtection="1">
      <alignment horizontal="left" vertical="top" wrapText="1"/>
    </xf>
    <xf numFmtId="0" fontId="18" fillId="0" borderId="6" xfId="114" applyFont="1" applyFill="1" applyBorder="1" applyAlignment="1" applyProtection="1">
      <alignment vertical="top" wrapText="1"/>
    </xf>
    <xf numFmtId="0" fontId="18" fillId="0" borderId="6" xfId="114" applyFont="1" applyFill="1" applyBorder="1" applyAlignment="1" applyProtection="1">
      <alignment horizontal="left" vertical="top" wrapText="1"/>
    </xf>
    <xf numFmtId="0" fontId="4" fillId="0" borderId="53" xfId="13" applyFont="1" applyBorder="1">
      <alignment vertical="center"/>
    </xf>
    <xf numFmtId="0" fontId="18" fillId="30" borderId="7" xfId="78" applyFont="1" applyFill="1" applyBorder="1" applyAlignment="1" applyProtection="1">
      <alignment horizontal="left"/>
    </xf>
    <xf numFmtId="0" fontId="18" fillId="30" borderId="7" xfId="78" applyFont="1" applyFill="1" applyBorder="1" applyAlignment="1" applyProtection="1">
      <alignment horizontal="center"/>
    </xf>
    <xf numFmtId="0" fontId="18" fillId="0" borderId="58" xfId="13" applyFont="1" applyBorder="1" applyAlignment="1">
      <alignment horizontal="center" vertical="center"/>
    </xf>
    <xf numFmtId="167" fontId="14" fillId="0" borderId="54" xfId="0" applyNumberFormat="1" applyFont="1" applyBorder="1" applyAlignment="1">
      <alignment horizontal="center" vertical="center"/>
    </xf>
    <xf numFmtId="2" fontId="116" fillId="4" borderId="6" xfId="0" applyNumberFormat="1" applyFont="1" applyFill="1" applyBorder="1" applyAlignment="1"/>
    <xf numFmtId="2" fontId="116" fillId="4" borderId="6" xfId="0" applyNumberFormat="1" applyFont="1" applyFill="1" applyBorder="1" applyAlignment="1">
      <alignment wrapText="1"/>
    </xf>
    <xf numFmtId="0" fontId="17" fillId="3" borderId="8" xfId="0" applyNumberFormat="1" applyFont="1" applyFill="1" applyBorder="1" applyAlignment="1">
      <alignment horizontal="center" vertical="center"/>
    </xf>
    <xf numFmtId="1" fontId="14" fillId="0" borderId="0" xfId="0" applyNumberFormat="1" applyFont="1" applyBorder="1" applyAlignment="1"/>
    <xf numFmtId="0" fontId="17" fillId="3" borderId="8" xfId="0" applyNumberFormat="1" applyFont="1" applyFill="1" applyBorder="1" applyAlignment="1">
      <alignment horizontal="center"/>
    </xf>
    <xf numFmtId="2" fontId="17" fillId="3" borderId="8" xfId="0" applyNumberFormat="1" applyFont="1" applyFill="1" applyBorder="1" applyAlignment="1">
      <alignment horizontal="center"/>
    </xf>
    <xf numFmtId="1" fontId="14" fillId="0" borderId="52" xfId="0" applyNumberFormat="1" applyFont="1" applyBorder="1" applyAlignment="1">
      <alignment horizontal="center" vertical="center"/>
    </xf>
    <xf numFmtId="1" fontId="14" fillId="0" borderId="0" xfId="0" applyNumberFormat="1" applyFont="1" applyBorder="1" applyAlignment="1">
      <alignment horizontal="center" vertical="center"/>
    </xf>
    <xf numFmtId="1" fontId="14" fillId="0" borderId="59" xfId="0" applyNumberFormat="1" applyFont="1" applyBorder="1" applyAlignment="1">
      <alignment horizontal="center" vertical="center"/>
    </xf>
    <xf numFmtId="2" fontId="17" fillId="0" borderId="12" xfId="0" applyNumberFormat="1" applyFont="1" applyBorder="1" applyAlignment="1">
      <alignment horizontal="center" vertical="center"/>
    </xf>
    <xf numFmtId="0" fontId="81" fillId="0" borderId="59" xfId="0" applyFont="1" applyBorder="1"/>
    <xf numFmtId="2" fontId="94" fillId="4" borderId="6" xfId="0" applyNumberFormat="1" applyFont="1" applyFill="1" applyBorder="1" applyAlignment="1">
      <alignment horizontal="center"/>
    </xf>
    <xf numFmtId="10" fontId="81" fillId="37" borderId="52" xfId="0" applyNumberFormat="1" applyFont="1" applyFill="1" applyBorder="1" applyAlignment="1">
      <alignment horizontal="center"/>
    </xf>
    <xf numFmtId="2" fontId="81" fillId="37" borderId="6" xfId="0" applyNumberFormat="1" applyFont="1" applyFill="1" applyBorder="1" applyAlignment="1">
      <alignment horizontal="center"/>
    </xf>
    <xf numFmtId="0" fontId="81" fillId="37" borderId="54" xfId="0" applyFont="1" applyFill="1" applyBorder="1"/>
    <xf numFmtId="0" fontId="4" fillId="37" borderId="6" xfId="0" applyFont="1" applyFill="1" applyBorder="1" applyAlignment="1">
      <alignment horizontal="center"/>
    </xf>
    <xf numFmtId="0" fontId="81" fillId="37" borderId="56" xfId="0" applyFont="1" applyFill="1" applyBorder="1" applyAlignment="1">
      <alignment horizontal="center"/>
    </xf>
    <xf numFmtId="10" fontId="81" fillId="37" borderId="6" xfId="0" applyNumberFormat="1" applyFont="1" applyFill="1" applyBorder="1" applyAlignment="1">
      <alignment horizontal="center"/>
    </xf>
    <xf numFmtId="9" fontId="81" fillId="37" borderId="6" xfId="0" applyNumberFormat="1" applyFont="1" applyFill="1" applyBorder="1" applyAlignment="1">
      <alignment horizontal="center"/>
    </xf>
    <xf numFmtId="0" fontId="10" fillId="3" borderId="0" xfId="78" applyFont="1" applyFill="1" applyBorder="1"/>
    <xf numFmtId="0" fontId="10" fillId="3" borderId="6" xfId="78" applyFont="1" applyFill="1" applyBorder="1" applyAlignment="1">
      <alignment horizontal="center" vertical="center"/>
    </xf>
    <xf numFmtId="0" fontId="10" fillId="3" borderId="6" xfId="78" applyFont="1" applyFill="1" applyBorder="1"/>
    <xf numFmtId="0" fontId="117" fillId="0" borderId="0" xfId="0" applyFont="1" applyBorder="1" applyAlignment="1">
      <alignment horizontal="center"/>
    </xf>
    <xf numFmtId="2" fontId="126" fillId="37" borderId="6" xfId="0" applyNumberFormat="1" applyFont="1" applyFill="1" applyBorder="1" applyAlignment="1">
      <alignment horizontal="center"/>
    </xf>
    <xf numFmtId="0" fontId="126" fillId="0" borderId="6" xfId="0" applyFont="1" applyBorder="1" applyAlignment="1">
      <alignment horizontal="center" vertical="center"/>
    </xf>
    <xf numFmtId="0" fontId="117" fillId="0" borderId="0" xfId="0" applyFont="1"/>
    <xf numFmtId="0" fontId="116" fillId="0" borderId="0" xfId="0" applyFont="1" applyAlignment="1">
      <alignment wrapText="1"/>
    </xf>
    <xf numFmtId="0" fontId="116" fillId="0" borderId="8" xfId="0" applyFont="1" applyBorder="1" applyAlignment="1">
      <alignment horizontal="center"/>
    </xf>
    <xf numFmtId="0" fontId="116" fillId="0" borderId="17" xfId="0" applyFont="1" applyBorder="1" applyAlignment="1">
      <alignment horizontal="center"/>
    </xf>
    <xf numFmtId="0" fontId="116" fillId="0" borderId="17" xfId="0" applyFont="1" applyBorder="1"/>
    <xf numFmtId="0" fontId="117" fillId="0" borderId="17" xfId="0" applyFont="1" applyBorder="1"/>
    <xf numFmtId="0" fontId="116" fillId="0" borderId="3" xfId="0" applyFont="1" applyBorder="1"/>
    <xf numFmtId="0" fontId="122" fillId="0" borderId="0" xfId="0" applyFont="1"/>
    <xf numFmtId="0" fontId="116" fillId="0" borderId="52" xfId="0" applyFont="1" applyBorder="1"/>
    <xf numFmtId="0" fontId="116" fillId="0" borderId="59" xfId="0" applyFont="1" applyBorder="1"/>
    <xf numFmtId="0" fontId="116" fillId="0" borderId="14" xfId="0" applyFont="1" applyBorder="1"/>
    <xf numFmtId="3" fontId="116" fillId="0" borderId="0" xfId="0" applyNumberFormat="1" applyFont="1" applyAlignment="1">
      <alignment horizontal="left"/>
    </xf>
    <xf numFmtId="1" fontId="116" fillId="0" borderId="0" xfId="0" applyNumberFormat="1" applyFont="1" applyBorder="1"/>
    <xf numFmtId="1" fontId="116" fillId="0" borderId="3" xfId="0" applyNumberFormat="1" applyFont="1" applyBorder="1"/>
    <xf numFmtId="9" fontId="116" fillId="0" borderId="0" xfId="0" applyNumberFormat="1" applyFont="1"/>
    <xf numFmtId="0" fontId="116" fillId="0" borderId="0" xfId="0" quotePrefix="1" applyFont="1" applyAlignment="1">
      <alignment horizontal="left"/>
    </xf>
    <xf numFmtId="0" fontId="116" fillId="0" borderId="0" xfId="0" applyFont="1" applyAlignment="1">
      <alignment horizontal="left"/>
    </xf>
    <xf numFmtId="0" fontId="116" fillId="0" borderId="8" xfId="0" applyFont="1" applyBorder="1"/>
    <xf numFmtId="0" fontId="117" fillId="0" borderId="55" xfId="0" applyFont="1" applyBorder="1"/>
    <xf numFmtId="0" fontId="116" fillId="0" borderId="55" xfId="0" applyFont="1" applyBorder="1"/>
    <xf numFmtId="0" fontId="117" fillId="0" borderId="56" xfId="0" applyFont="1" applyBorder="1"/>
    <xf numFmtId="1" fontId="117" fillId="0" borderId="55" xfId="0" applyNumberFormat="1" applyFont="1" applyBorder="1"/>
    <xf numFmtId="1" fontId="117" fillId="0" borderId="6" xfId="0" applyNumberFormat="1" applyFont="1" applyBorder="1"/>
    <xf numFmtId="0" fontId="116" fillId="0" borderId="13" xfId="0" applyFont="1" applyBorder="1"/>
    <xf numFmtId="0" fontId="122" fillId="0" borderId="14" xfId="0" applyFont="1" applyBorder="1"/>
    <xf numFmtId="1" fontId="116" fillId="0" borderId="14" xfId="0" applyNumberFormat="1" applyFont="1" applyBorder="1"/>
    <xf numFmtId="0" fontId="116" fillId="0" borderId="16" xfId="0" applyFont="1" applyBorder="1"/>
    <xf numFmtId="1" fontId="116" fillId="0" borderId="8" xfId="0" applyNumberFormat="1" applyFont="1" applyBorder="1"/>
    <xf numFmtId="0" fontId="117" fillId="0" borderId="16" xfId="0" applyFont="1" applyBorder="1"/>
    <xf numFmtId="0" fontId="117" fillId="0" borderId="0" xfId="0" applyFont="1" applyBorder="1"/>
    <xf numFmtId="0" fontId="117" fillId="0" borderId="59" xfId="0" applyFont="1" applyBorder="1"/>
    <xf numFmtId="0" fontId="116" fillId="0" borderId="0" xfId="0" applyFont="1" applyBorder="1"/>
    <xf numFmtId="0" fontId="117" fillId="0" borderId="0" xfId="0" applyFont="1" applyBorder="1" applyAlignment="1">
      <alignment horizontal="right"/>
    </xf>
    <xf numFmtId="0" fontId="117" fillId="0" borderId="0" xfId="0" quotePrefix="1" applyFont="1" applyBorder="1" applyAlignment="1">
      <alignment horizontal="center"/>
    </xf>
    <xf numFmtId="0" fontId="122" fillId="0" borderId="13" xfId="0" applyFont="1" applyBorder="1"/>
    <xf numFmtId="0" fontId="117" fillId="0" borderId="3" xfId="0" applyFont="1" applyBorder="1"/>
    <xf numFmtId="0" fontId="117" fillId="0" borderId="13" xfId="0" applyFont="1" applyBorder="1"/>
    <xf numFmtId="9" fontId="116" fillId="0" borderId="0" xfId="0" applyNumberFormat="1" applyFont="1" applyFill="1" applyBorder="1"/>
    <xf numFmtId="0" fontId="116" fillId="0" borderId="0" xfId="0" quotePrefix="1" applyFont="1"/>
    <xf numFmtId="0" fontId="117" fillId="0" borderId="14" xfId="0" applyFont="1" applyBorder="1"/>
    <xf numFmtId="0" fontId="117" fillId="0" borderId="132" xfId="0" applyFont="1" applyBorder="1"/>
    <xf numFmtId="0" fontId="117" fillId="0" borderId="125" xfId="0" applyFont="1" applyBorder="1"/>
    <xf numFmtId="0" fontId="116" fillId="0" borderId="125" xfId="0" applyFont="1" applyBorder="1"/>
    <xf numFmtId="1" fontId="117" fillId="0" borderId="132" xfId="0" applyNumberFormat="1" applyFont="1" applyBorder="1"/>
    <xf numFmtId="1" fontId="117" fillId="0" borderId="125" xfId="0" applyNumberFormat="1" applyFont="1" applyBorder="1"/>
    <xf numFmtId="0" fontId="117" fillId="0" borderId="0" xfId="0" applyFont="1" applyAlignment="1"/>
    <xf numFmtId="0" fontId="117" fillId="0" borderId="59" xfId="0" applyFont="1" applyBorder="1" applyAlignment="1">
      <alignment horizontal="center"/>
    </xf>
    <xf numFmtId="0" fontId="117" fillId="0" borderId="59" xfId="0" applyFont="1" applyBorder="1" applyAlignment="1">
      <alignment horizontal="left" indent="11"/>
    </xf>
    <xf numFmtId="0" fontId="117" fillId="0" borderId="8" xfId="0" applyFont="1" applyBorder="1" applyAlignment="1">
      <alignment horizontal="center"/>
    </xf>
    <xf numFmtId="0" fontId="117" fillId="0" borderId="17" xfId="0" applyFont="1" applyBorder="1" applyAlignment="1">
      <alignment horizontal="center"/>
    </xf>
    <xf numFmtId="0" fontId="117" fillId="0" borderId="59" xfId="0" applyFont="1" applyBorder="1" applyAlignment="1">
      <alignment horizontal="left" indent="13"/>
    </xf>
    <xf numFmtId="0" fontId="81" fillId="0" borderId="52" xfId="0" applyFont="1" applyBorder="1" applyAlignment="1">
      <alignment horizontal="center" vertical="top" wrapText="1"/>
    </xf>
    <xf numFmtId="0" fontId="81" fillId="0" borderId="3" xfId="0" applyFont="1" applyBorder="1" applyAlignment="1">
      <alignment horizontal="center" vertical="top" wrapText="1"/>
    </xf>
    <xf numFmtId="0" fontId="81" fillId="0" borderId="8" xfId="0" applyFont="1" applyBorder="1" applyAlignment="1">
      <alignment horizontal="center" vertical="top" wrapText="1"/>
    </xf>
    <xf numFmtId="0" fontId="3" fillId="3" borderId="6" xfId="0" applyFont="1" applyFill="1" applyBorder="1" applyAlignment="1">
      <alignment horizontal="center" vertical="center"/>
    </xf>
    <xf numFmtId="0" fontId="82" fillId="3" borderId="6" xfId="0" applyFont="1" applyFill="1" applyBorder="1" applyAlignment="1">
      <alignment horizontal="center" vertical="center" wrapText="1"/>
    </xf>
    <xf numFmtId="0" fontId="82" fillId="3" borderId="6" xfId="0" applyFont="1" applyFill="1" applyBorder="1" applyAlignment="1">
      <alignment horizontal="center" vertical="top" wrapText="1"/>
    </xf>
    <xf numFmtId="0" fontId="81" fillId="0" borderId="6" xfId="0" applyFont="1" applyBorder="1" applyAlignment="1">
      <alignment horizontal="center"/>
    </xf>
    <xf numFmtId="0" fontId="4" fillId="0" borderId="6" xfId="0" applyFont="1" applyBorder="1"/>
    <xf numFmtId="0" fontId="81" fillId="0" borderId="6" xfId="0" applyFont="1" applyBorder="1" applyAlignment="1">
      <alignment horizontal="center" vertical="top" wrapText="1"/>
    </xf>
    <xf numFmtId="0" fontId="81" fillId="0" borderId="6" xfId="0" applyFont="1" applyBorder="1" applyAlignment="1">
      <alignment horizontal="left" vertical="top" wrapText="1"/>
    </xf>
    <xf numFmtId="0" fontId="81" fillId="0" borderId="6" xfId="0" applyFont="1" applyBorder="1" applyAlignment="1">
      <alignment horizontal="right" vertical="top" wrapText="1"/>
    </xf>
    <xf numFmtId="0" fontId="18" fillId="3" borderId="52" xfId="0" applyFont="1" applyFill="1" applyBorder="1" applyAlignment="1">
      <alignment horizontal="center" vertical="center"/>
    </xf>
    <xf numFmtId="0" fontId="18" fillId="3" borderId="8" xfId="0" applyFont="1" applyFill="1" applyBorder="1" applyAlignment="1">
      <alignment horizontal="center" vertical="center"/>
    </xf>
    <xf numFmtId="0" fontId="116" fillId="0" borderId="6" xfId="0" applyFont="1" applyBorder="1" applyAlignment="1">
      <alignment horizontal="center"/>
    </xf>
    <xf numFmtId="0" fontId="81" fillId="0" borderId="54" xfId="0" applyFont="1" applyBorder="1" applyAlignment="1">
      <alignment horizontal="center"/>
    </xf>
    <xf numFmtId="0" fontId="0" fillId="0" borderId="106" xfId="0" applyBorder="1"/>
    <xf numFmtId="0" fontId="0" fillId="0" borderId="14" xfId="0" applyBorder="1"/>
    <xf numFmtId="0" fontId="0" fillId="0" borderId="16" xfId="0" applyBorder="1"/>
    <xf numFmtId="0" fontId="82" fillId="3" borderId="6" xfId="0" applyFont="1" applyFill="1" applyBorder="1" applyAlignment="1">
      <alignment horizontal="center" wrapText="1"/>
    </xf>
    <xf numFmtId="0" fontId="81" fillId="0" borderId="39" xfId="0" applyFont="1" applyBorder="1" applyAlignment="1">
      <alignment horizontal="center" wrapText="1"/>
    </xf>
    <xf numFmtId="0" fontId="82" fillId="0" borderId="6" xfId="0" applyFont="1" applyBorder="1" applyAlignment="1">
      <alignment horizontal="center" wrapText="1"/>
    </xf>
    <xf numFmtId="2" fontId="0" fillId="0" borderId="6" xfId="0" applyNumberFormat="1" applyBorder="1" applyAlignment="1">
      <alignment horizontal="center" vertical="center"/>
    </xf>
    <xf numFmtId="0" fontId="0" fillId="0" borderId="6" xfId="0" applyBorder="1" applyAlignment="1">
      <alignment horizontal="center" vertical="center"/>
    </xf>
    <xf numFmtId="0" fontId="0" fillId="0" borderId="6" xfId="0" applyBorder="1" applyAlignment="1">
      <alignment wrapText="1"/>
    </xf>
    <xf numFmtId="0" fontId="81" fillId="0" borderId="6" xfId="0" applyFont="1" applyBorder="1" applyAlignment="1">
      <alignment horizontal="center" vertical="center"/>
    </xf>
    <xf numFmtId="0" fontId="81" fillId="4" borderId="0" xfId="0" applyFont="1" applyFill="1" applyBorder="1"/>
    <xf numFmtId="2" fontId="81" fillId="4" borderId="0" xfId="0" applyNumberFormat="1" applyFont="1" applyFill="1" applyBorder="1"/>
    <xf numFmtId="10" fontId="81" fillId="4" borderId="0" xfId="1" applyNumberFormat="1" applyFont="1" applyFill="1" applyBorder="1"/>
    <xf numFmtId="0" fontId="82" fillId="3" borderId="6" xfId="0" applyFont="1" applyFill="1" applyBorder="1" applyAlignment="1">
      <alignment horizontal="center" vertical="top" wrapText="1"/>
    </xf>
    <xf numFmtId="0" fontId="81" fillId="0" borderId="6" xfId="0" applyFont="1" applyBorder="1" applyAlignment="1">
      <alignment horizontal="center" vertical="top" wrapText="1"/>
    </xf>
    <xf numFmtId="0" fontId="81" fillId="0" borderId="6" xfId="0" applyFont="1" applyBorder="1" applyAlignment="1">
      <alignment horizontal="justify" wrapText="1"/>
    </xf>
    <xf numFmtId="0" fontId="82" fillId="3" borderId="6" xfId="0" applyFont="1" applyFill="1" applyBorder="1" applyAlignment="1">
      <alignment horizontal="center" wrapText="1"/>
    </xf>
    <xf numFmtId="0" fontId="82" fillId="0" borderId="6" xfId="0" applyFont="1" applyBorder="1" applyAlignment="1">
      <alignment horizontal="center" wrapText="1"/>
    </xf>
    <xf numFmtId="0" fontId="81" fillId="4" borderId="0" xfId="0" applyFont="1" applyFill="1" applyBorder="1" applyAlignment="1">
      <alignment horizontal="center" vertical="center"/>
    </xf>
    <xf numFmtId="0" fontId="81" fillId="0" borderId="6" xfId="0" applyFont="1" applyBorder="1" applyAlignment="1">
      <alignment horizontal="center" vertical="center"/>
    </xf>
    <xf numFmtId="0" fontId="81" fillId="0" borderId="0" xfId="0" applyFont="1" applyBorder="1" applyAlignment="1">
      <alignment horizontal="center" vertical="center"/>
    </xf>
    <xf numFmtId="0" fontId="4" fillId="0" borderId="3" xfId="0" applyFont="1" applyBorder="1"/>
    <xf numFmtId="0" fontId="4" fillId="0" borderId="14" xfId="0" applyFont="1" applyBorder="1"/>
    <xf numFmtId="2" fontId="4" fillId="0" borderId="14" xfId="0" applyNumberFormat="1" applyFont="1" applyBorder="1"/>
    <xf numFmtId="2" fontId="4" fillId="0" borderId="3" xfId="0" applyNumberFormat="1" applyFont="1" applyBorder="1"/>
    <xf numFmtId="0" fontId="127" fillId="0" borderId="0" xfId="274" applyFont="1"/>
    <xf numFmtId="0" fontId="127" fillId="0" borderId="62" xfId="274" applyFont="1" applyBorder="1" applyAlignment="1">
      <alignment horizontal="center" vertical="center" wrapText="1"/>
    </xf>
    <xf numFmtId="0" fontId="127" fillId="0" borderId="63" xfId="274" applyFont="1" applyBorder="1" applyAlignment="1">
      <alignment horizontal="center" vertical="center" wrapText="1"/>
    </xf>
    <xf numFmtId="0" fontId="127" fillId="0" borderId="6" xfId="274" applyFont="1" applyFill="1" applyBorder="1" applyAlignment="1">
      <alignment horizontal="center" vertical="center" wrapText="1"/>
    </xf>
    <xf numFmtId="0" fontId="127" fillId="0" borderId="62" xfId="274" applyFont="1" applyBorder="1" applyAlignment="1">
      <alignment horizontal="center"/>
    </xf>
    <xf numFmtId="0" fontId="127" fillId="0" borderId="63" xfId="274" applyFont="1" applyBorder="1"/>
    <xf numFmtId="0" fontId="127" fillId="0" borderId="6" xfId="274" applyFont="1" applyBorder="1"/>
    <xf numFmtId="0" fontId="127" fillId="0" borderId="84" xfId="274" applyFont="1" applyBorder="1"/>
    <xf numFmtId="0" fontId="127" fillId="0" borderId="86" xfId="274" applyFont="1" applyBorder="1"/>
    <xf numFmtId="0" fontId="127" fillId="0" borderId="79" xfId="274" applyFont="1" applyBorder="1"/>
    <xf numFmtId="0" fontId="127" fillId="0" borderId="13" xfId="274" applyFont="1" applyBorder="1"/>
    <xf numFmtId="0" fontId="127" fillId="0" borderId="0" xfId="274" applyFont="1" applyBorder="1"/>
    <xf numFmtId="0" fontId="127" fillId="0" borderId="106" xfId="274" applyFont="1" applyBorder="1"/>
    <xf numFmtId="0" fontId="127" fillId="0" borderId="3" xfId="274" applyFont="1" applyBorder="1"/>
    <xf numFmtId="1" fontId="127" fillId="0" borderId="106" xfId="274" applyNumberFormat="1" applyFont="1" applyBorder="1"/>
    <xf numFmtId="1" fontId="127" fillId="0" borderId="14" xfId="274" applyNumberFormat="1" applyFont="1" applyBorder="1"/>
    <xf numFmtId="0" fontId="127" fillId="0" borderId="81" xfId="274" applyFont="1" applyBorder="1"/>
    <xf numFmtId="0" fontId="127" fillId="0" borderId="68" xfId="274" applyFont="1" applyBorder="1"/>
    <xf numFmtId="0" fontId="127" fillId="0" borderId="14" xfId="274" applyFont="1" applyBorder="1"/>
    <xf numFmtId="1" fontId="127" fillId="0" borderId="81" xfId="274" applyNumberFormat="1" applyFont="1" applyBorder="1"/>
    <xf numFmtId="1" fontId="127" fillId="0" borderId="0" xfId="274" applyNumberFormat="1" applyFont="1" applyBorder="1"/>
    <xf numFmtId="0" fontId="127" fillId="0" borderId="140" xfId="274" applyFont="1" applyBorder="1"/>
    <xf numFmtId="0" fontId="127" fillId="0" borderId="55" xfId="274" applyFont="1" applyBorder="1"/>
    <xf numFmtId="0" fontId="127" fillId="0" borderId="142" xfId="274" applyFont="1" applyBorder="1"/>
    <xf numFmtId="1" fontId="127" fillId="0" borderId="141" xfId="274" applyNumberFormat="1" applyFont="1" applyBorder="1"/>
    <xf numFmtId="0" fontId="127" fillId="0" borderId="143" xfId="274" applyFont="1" applyBorder="1"/>
    <xf numFmtId="0" fontId="127" fillId="0" borderId="144" xfId="274" applyFont="1" applyBorder="1"/>
    <xf numFmtId="0" fontId="127" fillId="0" borderId="125" xfId="274" applyFont="1" applyBorder="1"/>
    <xf numFmtId="1" fontId="127" fillId="0" borderId="132" xfId="274" applyNumberFormat="1" applyFont="1" applyBorder="1"/>
    <xf numFmtId="0" fontId="117" fillId="39" borderId="84" xfId="274" applyFont="1" applyFill="1" applyBorder="1"/>
    <xf numFmtId="0" fontId="57" fillId="0" borderId="84" xfId="274" applyFont="1" applyBorder="1"/>
    <xf numFmtId="0" fontId="57" fillId="0" borderId="139" xfId="274" applyFont="1" applyBorder="1"/>
    <xf numFmtId="0" fontId="127" fillId="0" borderId="6" xfId="274" applyFont="1" applyBorder="1" applyAlignment="1">
      <alignment horizontal="center"/>
    </xf>
    <xf numFmtId="1" fontId="127" fillId="0" borderId="6" xfId="274" applyNumberFormat="1" applyFont="1" applyBorder="1" applyAlignment="1">
      <alignment horizontal="center"/>
    </xf>
    <xf numFmtId="2" fontId="127" fillId="0" borderId="6" xfId="274" applyNumberFormat="1" applyFont="1" applyBorder="1" applyAlignment="1">
      <alignment horizontal="center"/>
    </xf>
    <xf numFmtId="0" fontId="4" fillId="3" borderId="11" xfId="0" applyFont="1" applyFill="1" applyBorder="1" applyAlignment="1">
      <alignment horizontal="center"/>
    </xf>
    <xf numFmtId="0" fontId="4" fillId="3" borderId="31" xfId="0" applyFont="1" applyFill="1" applyBorder="1" applyAlignment="1">
      <alignment horizontal="center"/>
    </xf>
    <xf numFmtId="2" fontId="4" fillId="0" borderId="106" xfId="78" applyNumberFormat="1" applyFont="1" applyBorder="1"/>
    <xf numFmtId="0" fontId="4" fillId="0" borderId="81" xfId="78" applyFont="1" applyFill="1" applyBorder="1"/>
    <xf numFmtId="2" fontId="4" fillId="0" borderId="81" xfId="78" applyNumberFormat="1" applyFont="1" applyFill="1" applyBorder="1"/>
    <xf numFmtId="0" fontId="4" fillId="3" borderId="52" xfId="78" applyFont="1" applyFill="1" applyBorder="1"/>
    <xf numFmtId="0" fontId="4" fillId="3" borderId="3" xfId="78" applyFont="1" applyFill="1" applyBorder="1"/>
    <xf numFmtId="0" fontId="4" fillId="3" borderId="149" xfId="78" applyFont="1" applyFill="1" applyBorder="1"/>
    <xf numFmtId="0" fontId="4" fillId="3" borderId="138" xfId="78" applyFont="1" applyFill="1" applyBorder="1"/>
    <xf numFmtId="0" fontId="4" fillId="0" borderId="3" xfId="78" applyFont="1" applyBorder="1" applyAlignment="1">
      <alignment horizontal="left"/>
    </xf>
    <xf numFmtId="2" fontId="4" fillId="0" borderId="150" xfId="78" applyNumberFormat="1" applyFont="1" applyBorder="1"/>
    <xf numFmtId="2" fontId="4" fillId="0" borderId="3" xfId="78" applyNumberFormat="1" applyFont="1" applyBorder="1"/>
    <xf numFmtId="0" fontId="4" fillId="0" borderId="150" xfId="78" applyFont="1" applyBorder="1"/>
    <xf numFmtId="0" fontId="4" fillId="0" borderId="3" xfId="78" applyFont="1" applyBorder="1"/>
    <xf numFmtId="0" fontId="4" fillId="0" borderId="138" xfId="78" applyFont="1" applyBorder="1"/>
    <xf numFmtId="0" fontId="4" fillId="0" borderId="3" xfId="78" applyFont="1" applyFill="1" applyBorder="1"/>
    <xf numFmtId="2" fontId="4" fillId="0" borderId="3" xfId="78" applyNumberFormat="1" applyFont="1" applyFill="1" applyBorder="1"/>
    <xf numFmtId="0" fontId="4" fillId="0" borderId="151" xfId="78" applyFont="1" applyBorder="1"/>
    <xf numFmtId="0" fontId="4" fillId="3" borderId="52" xfId="78" applyFont="1" applyFill="1" applyBorder="1" applyAlignment="1">
      <alignment horizontal="center"/>
    </xf>
    <xf numFmtId="0" fontId="4" fillId="3" borderId="150" xfId="78" applyFont="1" applyFill="1" applyBorder="1" applyAlignment="1">
      <alignment horizontal="center"/>
    </xf>
    <xf numFmtId="0" fontId="4" fillId="3" borderId="0" xfId="78" applyFont="1" applyFill="1" applyBorder="1" applyAlignment="1"/>
    <xf numFmtId="0" fontId="4" fillId="0" borderId="0" xfId="78" applyFont="1" applyBorder="1" applyAlignment="1"/>
    <xf numFmtId="0" fontId="4" fillId="3" borderId="112" xfId="78" applyFont="1" applyFill="1" applyBorder="1"/>
    <xf numFmtId="0" fontId="4" fillId="3" borderId="35" xfId="78" applyFont="1" applyFill="1" applyBorder="1"/>
    <xf numFmtId="0" fontId="4" fillId="3" borderId="113" xfId="78" applyFont="1" applyFill="1" applyBorder="1"/>
    <xf numFmtId="0" fontId="4" fillId="3" borderId="114" xfId="78" applyFont="1" applyFill="1" applyBorder="1"/>
    <xf numFmtId="0" fontId="4" fillId="3" borderId="115" xfId="78" applyFont="1" applyFill="1" applyBorder="1"/>
    <xf numFmtId="0" fontId="4" fillId="3" borderId="116" xfId="78" applyFont="1" applyFill="1" applyBorder="1"/>
    <xf numFmtId="0" fontId="4" fillId="3" borderId="117" xfId="78" applyFont="1" applyFill="1" applyBorder="1"/>
    <xf numFmtId="16" fontId="4" fillId="0" borderId="67" xfId="78" applyNumberFormat="1" applyFont="1" applyBorder="1"/>
    <xf numFmtId="0" fontId="4" fillId="0" borderId="6" xfId="78" applyFont="1" applyFill="1" applyBorder="1"/>
    <xf numFmtId="2" fontId="4" fillId="0" borderId="67" xfId="78" applyNumberFormat="1" applyFont="1" applyBorder="1"/>
    <xf numFmtId="0" fontId="18" fillId="0" borderId="63" xfId="78" applyFont="1" applyBorder="1"/>
    <xf numFmtId="0" fontId="18" fillId="0" borderId="62" xfId="78" applyFont="1" applyBorder="1"/>
    <xf numFmtId="2" fontId="18" fillId="0" borderId="63" xfId="78" applyNumberFormat="1" applyFont="1" applyBorder="1"/>
    <xf numFmtId="0" fontId="4" fillId="3" borderId="8" xfId="78" applyFont="1" applyFill="1" applyBorder="1"/>
    <xf numFmtId="0" fontId="18" fillId="3" borderId="154" xfId="78" applyFont="1" applyFill="1" applyBorder="1"/>
    <xf numFmtId="0" fontId="4" fillId="3" borderId="155" xfId="78" applyFont="1" applyFill="1" applyBorder="1"/>
    <xf numFmtId="0" fontId="4" fillId="3" borderId="152" xfId="78" applyFont="1" applyFill="1" applyBorder="1"/>
    <xf numFmtId="0" fontId="4" fillId="3" borderId="14" xfId="78" applyFont="1" applyFill="1" applyBorder="1"/>
    <xf numFmtId="0" fontId="18" fillId="3" borderId="14" xfId="78" applyFont="1" applyFill="1" applyBorder="1"/>
    <xf numFmtId="0" fontId="4" fillId="3" borderId="157" xfId="78" applyFont="1" applyFill="1" applyBorder="1"/>
    <xf numFmtId="0" fontId="4" fillId="3" borderId="13" xfId="78" applyFont="1" applyFill="1" applyBorder="1"/>
    <xf numFmtId="0" fontId="4" fillId="3" borderId="106" xfId="78" applyFont="1" applyFill="1" applyBorder="1"/>
    <xf numFmtId="0" fontId="4" fillId="3" borderId="16" xfId="78" applyFont="1" applyFill="1" applyBorder="1"/>
    <xf numFmtId="17" fontId="4" fillId="3" borderId="8" xfId="78" applyNumberFormat="1" applyFont="1" applyFill="1" applyBorder="1"/>
    <xf numFmtId="0" fontId="4" fillId="3" borderId="12" xfId="78" applyFont="1" applyFill="1" applyBorder="1"/>
    <xf numFmtId="0" fontId="4" fillId="0" borderId="44" xfId="78" applyFont="1" applyBorder="1" applyAlignment="1">
      <alignment horizontal="center"/>
    </xf>
    <xf numFmtId="2" fontId="4" fillId="0" borderId="68" xfId="78" applyNumberFormat="1" applyFont="1" applyBorder="1" applyAlignment="1">
      <alignment horizontal="center"/>
    </xf>
    <xf numFmtId="0" fontId="4" fillId="0" borderId="79" xfId="78" applyFont="1" applyBorder="1" applyAlignment="1">
      <alignment horizontal="center"/>
    </xf>
    <xf numFmtId="0" fontId="4" fillId="0" borderId="60" xfId="78" applyFont="1" applyBorder="1" applyAlignment="1">
      <alignment horizontal="center"/>
    </xf>
    <xf numFmtId="2" fontId="4" fillId="0" borderId="60" xfId="78" applyNumberFormat="1" applyFont="1" applyBorder="1" applyAlignment="1">
      <alignment horizontal="center"/>
    </xf>
    <xf numFmtId="2" fontId="4" fillId="0" borderId="62" xfId="78" applyNumberFormat="1" applyFont="1" applyBorder="1" applyAlignment="1">
      <alignment horizontal="center"/>
    </xf>
    <xf numFmtId="0" fontId="4" fillId="0" borderId="0" xfId="78" applyFont="1" applyFill="1" applyBorder="1" applyAlignment="1">
      <alignment horizontal="center"/>
    </xf>
    <xf numFmtId="0" fontId="4" fillId="0" borderId="8" xfId="257" applyFont="1" applyBorder="1" applyAlignment="1">
      <alignment horizontal="center" vertical="center"/>
    </xf>
    <xf numFmtId="190" fontId="81" fillId="0" borderId="0" xfId="1" applyNumberFormat="1" applyFont="1"/>
    <xf numFmtId="1" fontId="4" fillId="0" borderId="6" xfId="0" applyNumberFormat="1" applyFont="1" applyBorder="1" applyAlignment="1"/>
    <xf numFmtId="0" fontId="18" fillId="3" borderId="6" xfId="0" applyNumberFormat="1" applyFont="1" applyFill="1" applyBorder="1" applyAlignment="1">
      <alignment horizontal="center" vertical="center"/>
    </xf>
    <xf numFmtId="0" fontId="18" fillId="3" borderId="6" xfId="0" applyNumberFormat="1" applyFont="1" applyFill="1" applyBorder="1" applyAlignment="1">
      <alignment horizontal="center"/>
    </xf>
    <xf numFmtId="2" fontId="18" fillId="3" borderId="6" xfId="0" applyNumberFormat="1" applyFont="1" applyFill="1" applyBorder="1" applyAlignment="1"/>
    <xf numFmtId="2" fontId="18" fillId="3" borderId="6" xfId="0" applyNumberFormat="1" applyFont="1" applyFill="1" applyBorder="1" applyAlignment="1">
      <alignment horizontal="center"/>
    </xf>
    <xf numFmtId="0" fontId="4" fillId="0" borderId="6" xfId="0" applyNumberFormat="1" applyFont="1" applyBorder="1" applyAlignment="1">
      <alignment horizontal="center" vertical="center"/>
    </xf>
    <xf numFmtId="0" fontId="4" fillId="0" borderId="6" xfId="0" applyFont="1" applyBorder="1" applyAlignment="1">
      <alignment horizontal="center"/>
    </xf>
    <xf numFmtId="0" fontId="4" fillId="0" borderId="6" xfId="0" applyNumberFormat="1" applyFont="1" applyBorder="1" applyAlignment="1">
      <alignment horizontal="center"/>
    </xf>
    <xf numFmtId="2" fontId="4" fillId="0" borderId="6" xfId="0" applyNumberFormat="1" applyFont="1" applyBorder="1" applyAlignment="1">
      <alignment horizontal="center"/>
    </xf>
    <xf numFmtId="0" fontId="128" fillId="0" borderId="0" xfId="0" applyFont="1" applyBorder="1" applyAlignment="1">
      <alignment horizontal="center" vertical="center"/>
    </xf>
    <xf numFmtId="1" fontId="4" fillId="0" borderId="6" xfId="0" applyNumberFormat="1" applyFont="1" applyBorder="1" applyAlignment="1">
      <alignment horizontal="center" vertical="center"/>
    </xf>
    <xf numFmtId="10" fontId="4" fillId="0" borderId="6" xfId="0" applyNumberFormat="1" applyFont="1" applyBorder="1" applyAlignment="1">
      <alignment horizontal="center" vertical="center"/>
    </xf>
    <xf numFmtId="2" fontId="4" fillId="0" borderId="54" xfId="0" applyNumberFormat="1" applyFont="1" applyBorder="1" applyAlignment="1">
      <alignment horizontal="center" vertical="center"/>
    </xf>
    <xf numFmtId="2" fontId="81" fillId="0" borderId="106" xfId="0" applyNumberFormat="1" applyFont="1" applyBorder="1"/>
    <xf numFmtId="2" fontId="94" fillId="0" borderId="54" xfId="0" applyNumberFormat="1" applyFont="1" applyBorder="1" applyAlignment="1">
      <alignment horizontal="center" vertical="center"/>
    </xf>
    <xf numFmtId="0" fontId="18" fillId="0" borderId="6" xfId="0" applyFont="1" applyBorder="1" applyAlignment="1">
      <alignment horizontal="center"/>
    </xf>
    <xf numFmtId="0" fontId="18" fillId="0" borderId="6" xfId="0" applyNumberFormat="1" applyFont="1" applyBorder="1" applyAlignment="1">
      <alignment horizontal="center" vertical="center"/>
    </xf>
    <xf numFmtId="2" fontId="18" fillId="0" borderId="54" xfId="0" applyNumberFormat="1" applyFont="1" applyBorder="1" applyAlignment="1">
      <alignment horizontal="center" vertical="center"/>
    </xf>
    <xf numFmtId="1" fontId="4" fillId="4" borderId="6" xfId="0" applyNumberFormat="1" applyFont="1" applyFill="1" applyBorder="1" applyAlignment="1">
      <alignment horizontal="center"/>
    </xf>
    <xf numFmtId="0" fontId="4" fillId="0" borderId="6" xfId="0" quotePrefix="1" applyFont="1" applyBorder="1" applyAlignment="1">
      <alignment horizontal="center" vertical="center"/>
    </xf>
    <xf numFmtId="191" fontId="81" fillId="0" borderId="0" xfId="1" applyNumberFormat="1" applyFont="1"/>
    <xf numFmtId="1" fontId="18" fillId="0" borderId="6" xfId="0" applyNumberFormat="1" applyFont="1" applyFill="1" applyBorder="1" applyAlignment="1">
      <alignment horizontal="center"/>
    </xf>
    <xf numFmtId="10" fontId="81" fillId="0" borderId="0" xfId="0" applyNumberFormat="1" applyFont="1"/>
    <xf numFmtId="174" fontId="81" fillId="0" borderId="0" xfId="0" applyNumberFormat="1" applyFont="1"/>
    <xf numFmtId="0" fontId="81" fillId="4" borderId="0" xfId="0" applyFont="1" applyFill="1" applyBorder="1" applyAlignment="1"/>
    <xf numFmtId="2" fontId="81" fillId="4" borderId="6" xfId="0" applyNumberFormat="1" applyFont="1" applyFill="1" applyBorder="1"/>
    <xf numFmtId="0" fontId="81" fillId="4" borderId="6" xfId="0" applyFont="1" applyFill="1" applyBorder="1" applyAlignment="1">
      <alignment wrapText="1"/>
    </xf>
    <xf numFmtId="0" fontId="82" fillId="4" borderId="0" xfId="0" applyFont="1" applyFill="1" applyBorder="1" applyAlignment="1">
      <alignment wrapText="1"/>
    </xf>
    <xf numFmtId="0" fontId="82" fillId="4" borderId="0" xfId="0" applyFont="1" applyFill="1" applyBorder="1" applyAlignment="1">
      <alignment horizontal="center" wrapText="1"/>
    </xf>
    <xf numFmtId="0" fontId="82" fillId="4" borderId="6" xfId="0" applyFont="1" applyFill="1" applyBorder="1"/>
    <xf numFmtId="2" fontId="82" fillId="4" borderId="6" xfId="0" applyNumberFormat="1" applyFont="1" applyFill="1" applyBorder="1" applyAlignment="1"/>
    <xf numFmtId="0" fontId="81" fillId="4" borderId="0" xfId="0" applyFont="1" applyFill="1" applyBorder="1" applyAlignment="1">
      <alignment horizontal="center"/>
    </xf>
    <xf numFmtId="0" fontId="81" fillId="0" borderId="0" xfId="0" applyFont="1" applyBorder="1" applyAlignment="1">
      <alignment horizontal="center" wrapText="1"/>
    </xf>
    <xf numFmtId="0" fontId="82" fillId="0" borderId="0" xfId="0" applyFont="1" applyBorder="1" applyAlignment="1">
      <alignment horizontal="center" wrapText="1"/>
    </xf>
    <xf numFmtId="0" fontId="82" fillId="0" borderId="0" xfId="0" applyFont="1" applyBorder="1" applyAlignment="1">
      <alignment horizontal="center" vertical="top" wrapText="1"/>
    </xf>
    <xf numFmtId="0" fontId="82" fillId="4" borderId="0" xfId="0" applyFont="1" applyFill="1" applyBorder="1" applyAlignment="1">
      <alignment horizontal="center" vertical="center" wrapText="1"/>
    </xf>
    <xf numFmtId="0" fontId="81" fillId="0" borderId="6" xfId="0" applyFont="1" applyBorder="1" applyAlignment="1">
      <alignment horizontal="center" wrapText="1"/>
    </xf>
    <xf numFmtId="190" fontId="81" fillId="4" borderId="0" xfId="1" applyNumberFormat="1" applyFont="1" applyFill="1" applyBorder="1"/>
    <xf numFmtId="0" fontId="81" fillId="4" borderId="0" xfId="0" applyFont="1" applyFill="1" applyBorder="1" applyAlignment="1">
      <alignment wrapText="1"/>
    </xf>
    <xf numFmtId="0" fontId="81" fillId="4" borderId="0" xfId="0" applyFont="1" applyFill="1" applyBorder="1" applyAlignment="1">
      <alignment horizontal="center" vertical="center" wrapText="1"/>
    </xf>
    <xf numFmtId="10" fontId="81" fillId="4" borderId="0" xfId="0" applyNumberFormat="1" applyFont="1" applyFill="1" applyBorder="1" applyAlignment="1">
      <alignment horizontal="center" vertical="center" wrapText="1"/>
    </xf>
    <xf numFmtId="0" fontId="82" fillId="0" borderId="6" xfId="0" applyFont="1" applyBorder="1" applyAlignment="1">
      <alignment horizontal="center" vertical="top" wrapText="1"/>
    </xf>
    <xf numFmtId="0" fontId="4" fillId="0" borderId="72" xfId="78" applyFont="1" applyBorder="1"/>
    <xf numFmtId="2" fontId="4" fillId="0" borderId="6" xfId="78" applyNumberFormat="1" applyFont="1" applyFill="1" applyBorder="1"/>
    <xf numFmtId="0" fontId="81" fillId="0" borderId="55" xfId="0" applyFont="1" applyBorder="1"/>
    <xf numFmtId="0" fontId="81" fillId="0" borderId="56" xfId="0" applyFont="1" applyBorder="1"/>
    <xf numFmtId="0" fontId="3" fillId="0" borderId="55" xfId="0" applyFont="1" applyBorder="1"/>
    <xf numFmtId="0" fontId="3" fillId="0" borderId="56" xfId="0" applyFont="1" applyBorder="1"/>
    <xf numFmtId="0" fontId="81" fillId="0" borderId="6" xfId="0" applyFont="1" applyBorder="1" applyAlignment="1">
      <alignment horizontal="left" wrapText="1"/>
    </xf>
    <xf numFmtId="9" fontId="81" fillId="0" borderId="6" xfId="0" applyNumberFormat="1" applyFont="1" applyBorder="1" applyAlignment="1">
      <alignment horizontal="center" vertical="center" wrapText="1"/>
    </xf>
    <xf numFmtId="0" fontId="82" fillId="0" borderId="6" xfId="0" applyFont="1" applyBorder="1" applyAlignment="1">
      <alignment vertical="top" wrapText="1"/>
    </xf>
    <xf numFmtId="0" fontId="0" fillId="4" borderId="0" xfId="0" applyFill="1"/>
    <xf numFmtId="0" fontId="10" fillId="3" borderId="64" xfId="78" applyFont="1" applyFill="1" applyBorder="1"/>
    <xf numFmtId="0" fontId="10" fillId="3" borderId="160" xfId="78" applyFont="1" applyFill="1" applyBorder="1" applyAlignment="1"/>
    <xf numFmtId="0" fontId="10" fillId="3" borderId="161" xfId="78" applyFont="1" applyFill="1" applyBorder="1" applyAlignment="1"/>
    <xf numFmtId="0" fontId="10" fillId="3" borderId="162" xfId="78" applyFont="1" applyFill="1" applyBorder="1" applyAlignment="1"/>
    <xf numFmtId="0" fontId="10" fillId="3" borderId="158" xfId="78" applyFont="1" applyFill="1" applyBorder="1" applyAlignment="1">
      <alignment vertical="center"/>
    </xf>
    <xf numFmtId="0" fontId="10" fillId="3" borderId="163" xfId="78" applyFont="1" applyFill="1" applyBorder="1" applyAlignment="1">
      <alignment horizontal="center" vertical="center"/>
    </xf>
    <xf numFmtId="0" fontId="10" fillId="3" borderId="159" xfId="78" applyFont="1" applyFill="1" applyBorder="1" applyAlignment="1">
      <alignment vertical="center"/>
    </xf>
    <xf numFmtId="0" fontId="9" fillId="3" borderId="14" xfId="78" applyFill="1" applyBorder="1"/>
    <xf numFmtId="0" fontId="10" fillId="3" borderId="15" xfId="78" applyFont="1" applyFill="1" applyBorder="1" applyAlignment="1">
      <alignment vertical="center"/>
    </xf>
    <xf numFmtId="0" fontId="10" fillId="3" borderId="140" xfId="78" applyFont="1" applyFill="1" applyBorder="1" applyAlignment="1">
      <alignment horizontal="center" vertical="center"/>
    </xf>
    <xf numFmtId="0" fontId="10" fillId="3" borderId="17" xfId="78" applyFont="1" applyFill="1" applyBorder="1"/>
    <xf numFmtId="0" fontId="10" fillId="3" borderId="140" xfId="78" applyFont="1" applyFill="1" applyBorder="1"/>
    <xf numFmtId="0" fontId="13" fillId="3" borderId="140" xfId="78" applyFont="1" applyFill="1" applyBorder="1"/>
    <xf numFmtId="0" fontId="14" fillId="3" borderId="17" xfId="257" applyFont="1" applyFill="1" applyBorder="1" applyAlignment="1">
      <alignment horizontal="center" vertical="center"/>
    </xf>
    <xf numFmtId="0" fontId="0" fillId="0" borderId="37" xfId="0" applyBorder="1"/>
    <xf numFmtId="0" fontId="0" fillId="0" borderId="6" xfId="0" applyBorder="1" applyAlignment="1">
      <alignment horizontal="center" vertical="top" wrapText="1"/>
    </xf>
    <xf numFmtId="0" fontId="0" fillId="0" borderId="6" xfId="0" applyBorder="1" applyAlignment="1">
      <alignment horizontal="center" vertical="center" wrapText="1"/>
    </xf>
    <xf numFmtId="0" fontId="117" fillId="3" borderId="8" xfId="78" applyFont="1" applyFill="1" applyBorder="1" applyAlignment="1">
      <alignment horizontal="right"/>
    </xf>
    <xf numFmtId="10" fontId="81" fillId="0" borderId="6" xfId="1" applyNumberFormat="1" applyFont="1" applyBorder="1" applyAlignment="1">
      <alignment horizontal="center" vertical="center"/>
    </xf>
    <xf numFmtId="10" fontId="81" fillId="4" borderId="6" xfId="1" applyNumberFormat="1" applyFont="1" applyFill="1" applyBorder="1" applyAlignment="1">
      <alignment horizontal="center" vertical="center"/>
    </xf>
    <xf numFmtId="10" fontId="81" fillId="0" borderId="6" xfId="1" applyNumberFormat="1" applyFont="1" applyBorder="1" applyAlignment="1">
      <alignment horizontal="center"/>
    </xf>
    <xf numFmtId="0" fontId="17" fillId="0" borderId="0" xfId="78" applyFont="1" applyBorder="1"/>
    <xf numFmtId="0" fontId="14" fillId="3" borderId="60" xfId="78" applyFont="1" applyFill="1" applyBorder="1" applyAlignment="1">
      <alignment horizontal="center"/>
    </xf>
    <xf numFmtId="0" fontId="14" fillId="3" borderId="8" xfId="78" applyFont="1" applyFill="1" applyBorder="1" applyAlignment="1">
      <alignment horizontal="center"/>
    </xf>
    <xf numFmtId="0" fontId="14" fillId="3" borderId="65" xfId="78" applyFont="1" applyFill="1" applyBorder="1"/>
    <xf numFmtId="0" fontId="14" fillId="3" borderId="62" xfId="78" applyFont="1" applyFill="1" applyBorder="1"/>
    <xf numFmtId="0" fontId="14" fillId="3" borderId="166" xfId="78" applyFont="1" applyFill="1" applyBorder="1" applyAlignment="1">
      <alignment horizontal="center"/>
    </xf>
    <xf numFmtId="0" fontId="14" fillId="3" borderId="67" xfId="78" applyFont="1" applyFill="1" applyBorder="1" applyAlignment="1">
      <alignment horizontal="center"/>
    </xf>
    <xf numFmtId="0" fontId="14" fillId="3" borderId="67" xfId="78" applyFont="1" applyFill="1" applyBorder="1"/>
    <xf numFmtId="17" fontId="14" fillId="3" borderId="166" xfId="78" applyNumberFormat="1" applyFont="1" applyFill="1" applyBorder="1" applyAlignment="1">
      <alignment horizontal="center"/>
    </xf>
    <xf numFmtId="0" fontId="14" fillId="3" borderId="8" xfId="78" applyFont="1" applyFill="1" applyBorder="1"/>
    <xf numFmtId="0" fontId="14" fillId="3" borderId="17" xfId="78" applyFont="1" applyFill="1" applyBorder="1"/>
    <xf numFmtId="0" fontId="14" fillId="3" borderId="140" xfId="78" applyFont="1" applyFill="1" applyBorder="1"/>
    <xf numFmtId="0" fontId="14" fillId="3" borderId="145" xfId="78" applyFont="1" applyFill="1" applyBorder="1"/>
    <xf numFmtId="0" fontId="14" fillId="3" borderId="157" xfId="78" applyFont="1" applyFill="1" applyBorder="1"/>
    <xf numFmtId="0" fontId="14" fillId="0" borderId="68" xfId="78" applyFont="1" applyBorder="1"/>
    <xf numFmtId="0" fontId="14" fillId="0" borderId="81" xfId="78" applyFont="1" applyBorder="1"/>
    <xf numFmtId="0" fontId="14" fillId="0" borderId="64" xfId="78" applyFont="1" applyBorder="1"/>
    <xf numFmtId="0" fontId="14" fillId="0" borderId="67" xfId="78" applyFont="1" applyBorder="1"/>
    <xf numFmtId="0" fontId="14" fillId="0" borderId="62" xfId="78" applyFont="1" applyBorder="1"/>
    <xf numFmtId="0" fontId="17" fillId="0" borderId="86" xfId="78" applyFont="1" applyBorder="1"/>
    <xf numFmtId="0" fontId="14" fillId="0" borderId="79" xfId="78" applyFont="1" applyBorder="1"/>
    <xf numFmtId="0" fontId="14" fillId="0" borderId="44" xfId="78" applyFont="1" applyBorder="1"/>
    <xf numFmtId="0" fontId="14" fillId="0" borderId="6" xfId="78" applyFont="1" applyBorder="1" applyAlignment="1">
      <alignment horizontal="left"/>
    </xf>
    <xf numFmtId="0" fontId="14" fillId="3" borderId="84" xfId="78" applyFont="1" applyFill="1" applyBorder="1" applyAlignment="1">
      <alignment horizontal="center"/>
    </xf>
    <xf numFmtId="0" fontId="14" fillId="3" borderId="52" xfId="78" applyFont="1" applyFill="1" applyBorder="1" applyAlignment="1">
      <alignment horizontal="center"/>
    </xf>
    <xf numFmtId="0" fontId="14" fillId="3" borderId="81" xfId="78" applyFont="1" applyFill="1" applyBorder="1"/>
    <xf numFmtId="0" fontId="17" fillId="0" borderId="0" xfId="78" applyFont="1" applyFill="1" applyBorder="1"/>
    <xf numFmtId="0" fontId="0" fillId="0" borderId="20" xfId="0" applyBorder="1" applyAlignment="1"/>
    <xf numFmtId="0" fontId="110" fillId="0" borderId="6" xfId="0" applyFont="1" applyBorder="1" applyAlignment="1">
      <alignment horizontal="center" vertical="center"/>
    </xf>
    <xf numFmtId="0" fontId="110" fillId="0" borderId="6" xfId="0" applyFont="1" applyBorder="1" applyAlignment="1">
      <alignment horizontal="left" wrapText="1"/>
    </xf>
    <xf numFmtId="0" fontId="110" fillId="0" borderId="6" xfId="0" applyFont="1" applyBorder="1" applyAlignment="1">
      <alignment horizontal="left"/>
    </xf>
    <xf numFmtId="0" fontId="110" fillId="0" borderId="6" xfId="0" applyFont="1" applyBorder="1" applyAlignment="1">
      <alignment horizontal="center" vertical="center" wrapText="1"/>
    </xf>
    <xf numFmtId="9" fontId="110" fillId="0" borderId="6" xfId="0" applyNumberFormat="1" applyFont="1" applyBorder="1" applyAlignment="1">
      <alignment horizontal="right"/>
    </xf>
    <xf numFmtId="0" fontId="3" fillId="3" borderId="6" xfId="0" applyFont="1" applyFill="1" applyBorder="1" applyAlignment="1">
      <alignment horizontal="center" vertical="center" wrapText="1"/>
    </xf>
    <xf numFmtId="0" fontId="3" fillId="0" borderId="6" xfId="0" applyFont="1" applyBorder="1" applyAlignment="1">
      <alignment horizontal="center"/>
    </xf>
    <xf numFmtId="0" fontId="3" fillId="0" borderId="6" xfId="0" applyFont="1" applyBorder="1" applyAlignment="1">
      <alignment horizontal="center" vertical="top" wrapText="1"/>
    </xf>
    <xf numFmtId="0" fontId="3" fillId="0" borderId="6" xfId="0" applyFont="1" applyBorder="1" applyAlignment="1">
      <alignment horizontal="center" vertical="center" wrapText="1"/>
    </xf>
    <xf numFmtId="0" fontId="3" fillId="0" borderId="6" xfId="0" applyFont="1" applyBorder="1" applyAlignment="1">
      <alignment horizontal="left" vertical="top" wrapText="1"/>
    </xf>
    <xf numFmtId="0" fontId="112" fillId="0" borderId="6" xfId="0" applyFont="1" applyBorder="1" applyAlignment="1">
      <alignment horizontal="center" vertical="center" wrapText="1"/>
    </xf>
    <xf numFmtId="175" fontId="65" fillId="3" borderId="13" xfId="0" applyNumberFormat="1" applyFont="1" applyFill="1" applyBorder="1" applyAlignment="1">
      <alignment horizontal="center"/>
    </xf>
    <xf numFmtId="175" fontId="65" fillId="3" borderId="52" xfId="0" applyNumberFormat="1" applyFont="1" applyFill="1" applyBorder="1" applyAlignment="1">
      <alignment horizontal="center"/>
    </xf>
    <xf numFmtId="175" fontId="65" fillId="3" borderId="54" xfId="0" applyNumberFormat="1" applyFont="1" applyFill="1" applyBorder="1" applyAlignment="1">
      <alignment horizontal="center"/>
    </xf>
    <xf numFmtId="175" fontId="43" fillId="3" borderId="13" xfId="0" applyNumberFormat="1" applyFont="1" applyFill="1" applyBorder="1" applyAlignment="1">
      <alignment horizontal="center"/>
    </xf>
    <xf numFmtId="175" fontId="69" fillId="3" borderId="52" xfId="0" applyNumberFormat="1" applyFont="1" applyFill="1" applyBorder="1" applyAlignment="1">
      <alignment horizontal="center"/>
    </xf>
    <xf numFmtId="175" fontId="69" fillId="3" borderId="52" xfId="0" applyNumberFormat="1" applyFont="1" applyFill="1" applyBorder="1" applyAlignment="1">
      <alignment horizontal="right"/>
    </xf>
    <xf numFmtId="175" fontId="69" fillId="3" borderId="54" xfId="0" applyNumberFormat="1" applyFont="1" applyFill="1" applyBorder="1" applyAlignment="1">
      <alignment horizontal="center"/>
    </xf>
    <xf numFmtId="175" fontId="43" fillId="3" borderId="56" xfId="0" applyNumberFormat="1" applyFont="1" applyFill="1" applyBorder="1" applyAlignment="1">
      <alignment horizontal="center"/>
    </xf>
    <xf numFmtId="175" fontId="8" fillId="3" borderId="56" xfId="0" applyNumberFormat="1" applyFont="1" applyFill="1" applyBorder="1" applyAlignment="1">
      <alignment horizontal="center"/>
    </xf>
    <xf numFmtId="175" fontId="8" fillId="3" borderId="3" xfId="0" applyNumberFormat="1" applyFont="1" applyFill="1" applyBorder="1" applyAlignment="1">
      <alignment horizontal="center"/>
    </xf>
    <xf numFmtId="175" fontId="8" fillId="3" borderId="106" xfId="0" applyNumberFormat="1" applyFont="1" applyFill="1" applyBorder="1" applyAlignment="1">
      <alignment horizontal="right"/>
    </xf>
    <xf numFmtId="175" fontId="66" fillId="0" borderId="12" xfId="0" applyNumberFormat="1" applyFont="1" applyBorder="1" applyAlignment="1">
      <alignment horizontal="right"/>
    </xf>
    <xf numFmtId="175" fontId="0" fillId="0" borderId="12" xfId="0" applyNumberFormat="1" applyBorder="1" applyAlignment="1">
      <alignment horizontal="right"/>
    </xf>
    <xf numFmtId="175" fontId="0" fillId="0" borderId="54" xfId="0" quotePrefix="1" applyNumberFormat="1" applyBorder="1" applyAlignment="1">
      <alignment horizontal="right"/>
    </xf>
    <xf numFmtId="175" fontId="0" fillId="0" borderId="15" xfId="0" applyNumberFormat="1" applyBorder="1" applyAlignment="1">
      <alignment horizontal="right"/>
    </xf>
    <xf numFmtId="175" fontId="3" fillId="0" borderId="54" xfId="0" quotePrefix="1" applyNumberFormat="1" applyFont="1" applyBorder="1" applyAlignment="1">
      <alignment horizontal="right"/>
    </xf>
    <xf numFmtId="1" fontId="3" fillId="0" borderId="54" xfId="0" quotePrefix="1" applyNumberFormat="1" applyFont="1" applyBorder="1" applyAlignment="1">
      <alignment horizontal="right"/>
    </xf>
    <xf numFmtId="175" fontId="66" fillId="0" borderId="0" xfId="0" applyNumberFormat="1" applyFont="1" applyBorder="1" applyAlignment="1">
      <alignment horizontal="right"/>
    </xf>
    <xf numFmtId="175" fontId="66" fillId="0" borderId="0" xfId="0" applyNumberFormat="1" applyFont="1" applyBorder="1" applyAlignment="1">
      <alignment horizontal="center"/>
    </xf>
    <xf numFmtId="175" fontId="66" fillId="0" borderId="106" xfId="0" applyNumberFormat="1" applyFont="1" applyBorder="1" applyAlignment="1">
      <alignment horizontal="right"/>
    </xf>
    <xf numFmtId="175" fontId="3" fillId="0" borderId="106" xfId="0" applyNumberFormat="1" applyFont="1" applyBorder="1" applyAlignment="1">
      <alignment horizontal="right"/>
    </xf>
    <xf numFmtId="175" fontId="8" fillId="4" borderId="106" xfId="0" applyNumberFormat="1" applyFont="1" applyFill="1" applyBorder="1" applyAlignment="1">
      <alignment horizontal="right"/>
    </xf>
    <xf numFmtId="175" fontId="8" fillId="4" borderId="0" xfId="0" applyNumberFormat="1" applyFont="1" applyFill="1" applyBorder="1" applyAlignment="1">
      <alignment horizontal="center"/>
    </xf>
    <xf numFmtId="175" fontId="8" fillId="4" borderId="0" xfId="0" applyNumberFormat="1" applyFont="1" applyFill="1" applyBorder="1" applyAlignment="1">
      <alignment horizontal="right"/>
    </xf>
    <xf numFmtId="175" fontId="65" fillId="3" borderId="6" xfId="0" applyNumberFormat="1" applyFont="1" applyFill="1" applyBorder="1" applyAlignment="1">
      <alignment horizontal="center"/>
    </xf>
    <xf numFmtId="175" fontId="65" fillId="3" borderId="56" xfId="0" applyNumberFormat="1" applyFont="1" applyFill="1" applyBorder="1" applyAlignment="1">
      <alignment horizontal="center"/>
    </xf>
    <xf numFmtId="175" fontId="65" fillId="3" borderId="6" xfId="0" applyNumberFormat="1" applyFont="1" applyFill="1" applyBorder="1" applyAlignment="1">
      <alignment horizontal="right"/>
    </xf>
    <xf numFmtId="0" fontId="0" fillId="0" borderId="59" xfId="0" applyBorder="1"/>
    <xf numFmtId="0" fontId="0" fillId="0" borderId="13" xfId="0" applyBorder="1"/>
    <xf numFmtId="40" fontId="0" fillId="0" borderId="15" xfId="0" applyNumberFormat="1" applyBorder="1"/>
    <xf numFmtId="0" fontId="0" fillId="0" borderId="17" xfId="0" applyBorder="1"/>
    <xf numFmtId="0" fontId="65" fillId="3" borderId="6" xfId="0" applyFont="1" applyFill="1" applyBorder="1" applyAlignment="1">
      <alignment horizontal="center"/>
    </xf>
    <xf numFmtId="0" fontId="65" fillId="3" borderId="54" xfId="0" applyFont="1" applyFill="1" applyBorder="1" applyAlignment="1">
      <alignment horizontal="center"/>
    </xf>
    <xf numFmtId="0" fontId="65" fillId="3" borderId="56" xfId="0" applyFont="1" applyFill="1" applyBorder="1" applyAlignment="1">
      <alignment horizontal="center"/>
    </xf>
    <xf numFmtId="0" fontId="65" fillId="3" borderId="6" xfId="0" applyFont="1" applyFill="1" applyBorder="1"/>
    <xf numFmtId="0" fontId="129" fillId="0" borderId="59" xfId="0" applyFont="1" applyBorder="1" applyAlignment="1"/>
    <xf numFmtId="0" fontId="129" fillId="0" borderId="13" xfId="0" applyFont="1" applyBorder="1" applyAlignment="1"/>
    <xf numFmtId="0" fontId="13" fillId="0" borderId="6" xfId="0" applyFont="1" applyBorder="1"/>
    <xf numFmtId="2" fontId="13" fillId="0" borderId="6" xfId="0" applyNumberFormat="1" applyFont="1" applyBorder="1"/>
    <xf numFmtId="0" fontId="17" fillId="3" borderId="6" xfId="0" applyFont="1" applyFill="1" applyBorder="1"/>
    <xf numFmtId="0" fontId="22" fillId="0" borderId="6" xfId="0" applyFont="1" applyBorder="1" applyAlignment="1">
      <alignment horizontal="center" vertical="center"/>
    </xf>
    <xf numFmtId="0" fontId="17" fillId="0" borderId="6" xfId="0" applyNumberFormat="1" applyFont="1" applyBorder="1" applyAlignment="1">
      <alignment horizontal="center"/>
    </xf>
    <xf numFmtId="2" fontId="17" fillId="0" borderId="6" xfId="0" applyNumberFormat="1" applyFont="1" applyBorder="1" applyAlignment="1">
      <alignment horizontal="center"/>
    </xf>
    <xf numFmtId="2" fontId="17" fillId="0" borderId="6" xfId="0" applyNumberFormat="1" applyFont="1" applyBorder="1" applyAlignment="1">
      <alignment horizontal="right"/>
    </xf>
    <xf numFmtId="0" fontId="14" fillId="0" borderId="6" xfId="0" applyFont="1" applyBorder="1"/>
    <xf numFmtId="10" fontId="14" fillId="0" borderId="6" xfId="0" applyNumberFormat="1" applyFont="1" applyBorder="1" applyAlignment="1">
      <alignment horizontal="center"/>
    </xf>
    <xf numFmtId="2" fontId="14" fillId="0" borderId="6" xfId="0" applyNumberFormat="1" applyFont="1" applyBorder="1"/>
    <xf numFmtId="2" fontId="14" fillId="0" borderId="6" xfId="0" applyNumberFormat="1" applyFont="1" applyBorder="1" applyAlignment="1">
      <alignment horizontal="right"/>
    </xf>
    <xf numFmtId="10" fontId="14" fillId="0" borderId="6" xfId="0" applyNumberFormat="1" applyFont="1" applyFill="1" applyBorder="1" applyAlignment="1">
      <alignment horizontal="center" vertical="center"/>
    </xf>
    <xf numFmtId="10" fontId="17" fillId="0" borderId="6" xfId="0" applyNumberFormat="1" applyFont="1" applyBorder="1" applyAlignment="1">
      <alignment horizontal="center" vertical="center"/>
    </xf>
    <xf numFmtId="0" fontId="22" fillId="0" borderId="6" xfId="0" applyFont="1" applyBorder="1" applyAlignment="1">
      <alignment horizontal="center"/>
    </xf>
    <xf numFmtId="1" fontId="17" fillId="0" borderId="6" xfId="0" applyNumberFormat="1" applyFont="1" applyBorder="1" applyAlignment="1">
      <alignment horizontal="center" vertical="center"/>
    </xf>
    <xf numFmtId="10" fontId="14" fillId="0" borderId="6" xfId="0" applyNumberFormat="1" applyFont="1" applyBorder="1" applyAlignment="1">
      <alignment vertical="center"/>
    </xf>
    <xf numFmtId="0" fontId="14" fillId="0" borderId="6" xfId="0" applyFont="1" applyBorder="1" applyAlignment="1">
      <alignment vertical="center"/>
    </xf>
    <xf numFmtId="2" fontId="14" fillId="0" borderId="6" xfId="0" applyNumberFormat="1" applyFont="1" applyBorder="1" applyAlignment="1">
      <alignment vertical="center"/>
    </xf>
    <xf numFmtId="1" fontId="17" fillId="0" borderId="6" xfId="0" applyNumberFormat="1" applyFont="1" applyBorder="1" applyAlignment="1">
      <alignment horizontal="center"/>
    </xf>
    <xf numFmtId="0" fontId="14" fillId="0" borderId="6" xfId="0" quotePrefix="1" applyFont="1" applyBorder="1" applyAlignment="1">
      <alignment horizontal="center"/>
    </xf>
    <xf numFmtId="2" fontId="14" fillId="0" borderId="6" xfId="0" applyNumberFormat="1" applyFont="1" applyFill="1" applyBorder="1" applyAlignment="1">
      <alignment horizontal="right"/>
    </xf>
    <xf numFmtId="10" fontId="17" fillId="0" borderId="6" xfId="0" applyNumberFormat="1" applyFont="1" applyBorder="1" applyAlignment="1">
      <alignment horizontal="center"/>
    </xf>
    <xf numFmtId="10" fontId="17" fillId="0" borderId="6" xfId="0" applyNumberFormat="1" applyFont="1" applyBorder="1" applyAlignment="1">
      <alignment vertical="center"/>
    </xf>
    <xf numFmtId="10" fontId="17" fillId="0" borderId="6" xfId="0" applyNumberFormat="1" applyFont="1" applyFill="1" applyBorder="1" applyAlignment="1">
      <alignment horizontal="center" vertical="center"/>
    </xf>
    <xf numFmtId="0" fontId="17" fillId="0" borderId="6" xfId="0" quotePrefix="1" applyFont="1" applyBorder="1" applyAlignment="1">
      <alignment horizontal="center"/>
    </xf>
    <xf numFmtId="0" fontId="116" fillId="0" borderId="6" xfId="0" applyNumberFormat="1" applyFont="1" applyBorder="1" applyAlignment="1">
      <alignment horizontal="center"/>
    </xf>
    <xf numFmtId="0" fontId="116" fillId="0" borderId="6" xfId="0" applyFont="1" applyBorder="1" applyAlignment="1">
      <alignment horizontal="center" vertical="center"/>
    </xf>
    <xf numFmtId="2" fontId="116" fillId="0" borderId="6" xfId="0" applyNumberFormat="1" applyFont="1" applyFill="1" applyBorder="1" applyAlignment="1">
      <alignment horizontal="center"/>
    </xf>
    <xf numFmtId="0" fontId="4" fillId="0" borderId="4" xfId="0" applyFont="1" applyBorder="1"/>
    <xf numFmtId="0" fontId="18" fillId="0" borderId="4" xfId="0" applyFont="1" applyBorder="1"/>
    <xf numFmtId="2" fontId="18" fillId="0" borderId="90" xfId="0" applyNumberFormat="1" applyFont="1" applyBorder="1"/>
    <xf numFmtId="2" fontId="18" fillId="0" borderId="4" xfId="0" applyNumberFormat="1" applyFont="1" applyBorder="1"/>
    <xf numFmtId="0" fontId="4" fillId="39" borderId="6" xfId="0" applyFont="1" applyFill="1" applyBorder="1" applyAlignment="1">
      <alignment horizontal="center"/>
    </xf>
    <xf numFmtId="0" fontId="4" fillId="39" borderId="6" xfId="0" applyFont="1" applyFill="1" applyBorder="1" applyAlignment="1">
      <alignment horizontal="center" wrapText="1"/>
    </xf>
    <xf numFmtId="0" fontId="14" fillId="0" borderId="6" xfId="0" applyFont="1" applyBorder="1" applyAlignment="1">
      <alignment wrapText="1"/>
    </xf>
    <xf numFmtId="0" fontId="40" fillId="0" borderId="6" xfId="0" applyFont="1" applyBorder="1"/>
    <xf numFmtId="2" fontId="14" fillId="0" borderId="68" xfId="78" applyNumberFormat="1" applyFont="1" applyBorder="1" applyAlignment="1">
      <alignment horizontal="center" vertical="center"/>
    </xf>
    <xf numFmtId="0" fontId="14" fillId="0" borderId="68" xfId="78" applyFont="1" applyBorder="1" applyAlignment="1">
      <alignment horizontal="center" vertical="center"/>
    </xf>
    <xf numFmtId="0" fontId="14" fillId="0" borderId="81" xfId="78" applyFont="1" applyBorder="1" applyAlignment="1">
      <alignment horizontal="center" vertical="center"/>
    </xf>
    <xf numFmtId="0" fontId="14" fillId="0" borderId="67" xfId="78" applyFont="1" applyBorder="1" applyAlignment="1">
      <alignment horizontal="center" vertical="center"/>
    </xf>
    <xf numFmtId="0" fontId="14" fillId="0" borderId="69" xfId="78" applyFont="1" applyBorder="1" applyAlignment="1">
      <alignment horizontal="center" vertical="center"/>
    </xf>
    <xf numFmtId="2" fontId="14" fillId="0" borderId="62" xfId="78" applyNumberFormat="1" applyFont="1" applyBorder="1" applyAlignment="1">
      <alignment horizontal="center" vertical="center"/>
    </xf>
    <xf numFmtId="0" fontId="14" fillId="0" borderId="62" xfId="78" applyFont="1" applyBorder="1" applyAlignment="1">
      <alignment horizontal="center" vertical="center"/>
    </xf>
    <xf numFmtId="0" fontId="14" fillId="0" borderId="63" xfId="78" applyFont="1" applyBorder="1" applyAlignment="1">
      <alignment horizontal="center" vertical="center"/>
    </xf>
    <xf numFmtId="0" fontId="14" fillId="0" borderId="79" xfId="78" applyFont="1" applyBorder="1" applyAlignment="1">
      <alignment horizontal="center" vertical="center"/>
    </xf>
    <xf numFmtId="0" fontId="14" fillId="0" borderId="84" xfId="78" applyFont="1" applyBorder="1" applyAlignment="1">
      <alignment horizontal="center" vertical="center"/>
    </xf>
    <xf numFmtId="2" fontId="14" fillId="0" borderId="81" xfId="78" applyNumberFormat="1" applyFont="1" applyBorder="1" applyAlignment="1">
      <alignment horizontal="center" vertical="center"/>
    </xf>
    <xf numFmtId="0" fontId="14" fillId="0" borderId="0" xfId="78" applyFont="1" applyAlignment="1">
      <alignment horizontal="center" vertical="center"/>
    </xf>
    <xf numFmtId="0" fontId="0" fillId="0" borderId="0" xfId="0" applyBorder="1" applyAlignment="1">
      <alignment horizontal="center" vertical="center"/>
    </xf>
    <xf numFmtId="2" fontId="116" fillId="0" borderId="54" xfId="0" applyNumberFormat="1" applyFont="1" applyBorder="1" applyAlignment="1">
      <alignment horizontal="center"/>
    </xf>
    <xf numFmtId="0" fontId="4" fillId="0" borderId="0" xfId="0" applyFont="1" applyFill="1" applyBorder="1" applyAlignment="1">
      <alignment horizontal="center" vertical="center"/>
    </xf>
    <xf numFmtId="0" fontId="18" fillId="0" borderId="0" xfId="0" applyFont="1" applyFill="1" applyBorder="1" applyAlignment="1">
      <alignment horizontal="left" vertical="center" wrapText="1"/>
    </xf>
    <xf numFmtId="2" fontId="18" fillId="0" borderId="0" xfId="0" applyNumberFormat="1" applyFont="1" applyBorder="1" applyAlignment="1">
      <alignment horizontal="right" vertical="top"/>
    </xf>
    <xf numFmtId="168" fontId="18" fillId="4" borderId="0" xfId="0" applyNumberFormat="1" applyFont="1" applyFill="1" applyBorder="1"/>
    <xf numFmtId="2" fontId="4" fillId="4" borderId="0" xfId="0" applyNumberFormat="1" applyFont="1" applyFill="1" applyBorder="1" applyAlignment="1">
      <alignment horizontal="center" vertical="top"/>
    </xf>
    <xf numFmtId="2" fontId="4" fillId="4" borderId="0" xfId="0" applyNumberFormat="1" applyFont="1" applyFill="1" applyBorder="1" applyAlignment="1">
      <alignment horizontal="center"/>
    </xf>
    <xf numFmtId="0" fontId="18" fillId="4" borderId="6" xfId="0" applyFont="1" applyFill="1" applyBorder="1"/>
    <xf numFmtId="0" fontId="18" fillId="4" borderId="6" xfId="0" applyFont="1" applyFill="1" applyBorder="1" applyAlignment="1">
      <alignment horizontal="left"/>
    </xf>
    <xf numFmtId="170" fontId="82" fillId="0" borderId="14" xfId="0" applyNumberFormat="1" applyFont="1" applyFill="1" applyBorder="1" applyAlignment="1">
      <alignment horizontal="center"/>
    </xf>
    <xf numFmtId="170" fontId="81" fillId="0" borderId="6" xfId="0" applyNumberFormat="1" applyFont="1" applyFill="1" applyBorder="1" applyAlignment="1">
      <alignment horizontal="center"/>
    </xf>
    <xf numFmtId="2" fontId="4" fillId="4" borderId="6" xfId="0" applyNumberFormat="1" applyFont="1" applyFill="1" applyBorder="1" applyAlignment="1"/>
    <xf numFmtId="0" fontId="4" fillId="3" borderId="6" xfId="0" applyFont="1" applyFill="1" applyBorder="1" applyAlignment="1">
      <alignment horizontal="center" vertical="center"/>
    </xf>
    <xf numFmtId="10" fontId="81" fillId="0" borderId="29" xfId="114" applyNumberFormat="1" applyFont="1" applyFill="1" applyBorder="1"/>
    <xf numFmtId="2" fontId="81" fillId="4" borderId="0" xfId="0" applyNumberFormat="1" applyFont="1" applyFill="1" applyBorder="1" applyAlignment="1">
      <alignment horizontal="center" vertical="center"/>
    </xf>
    <xf numFmtId="0" fontId="18" fillId="0" borderId="0" xfId="0" applyFont="1" applyBorder="1" applyAlignment="1">
      <alignment horizontal="center"/>
    </xf>
    <xf numFmtId="0" fontId="18" fillId="0" borderId="0" xfId="0" applyFont="1" applyBorder="1" applyAlignment="1"/>
    <xf numFmtId="0" fontId="18" fillId="3" borderId="52" xfId="0" applyFont="1" applyFill="1" applyBorder="1"/>
    <xf numFmtId="0" fontId="18" fillId="3" borderId="13" xfId="0" applyFont="1" applyFill="1" applyBorder="1"/>
    <xf numFmtId="9" fontId="18" fillId="3" borderId="52" xfId="0" applyNumberFormat="1" applyFont="1" applyFill="1" applyBorder="1" applyAlignment="1">
      <alignment horizontal="center"/>
    </xf>
    <xf numFmtId="0" fontId="18" fillId="3" borderId="3" xfId="0" applyFont="1" applyFill="1" applyBorder="1"/>
    <xf numFmtId="0" fontId="18" fillId="3" borderId="14" xfId="0" applyFont="1" applyFill="1" applyBorder="1"/>
    <xf numFmtId="0" fontId="4" fillId="3" borderId="3" xfId="78" applyFont="1" applyFill="1" applyBorder="1" applyAlignment="1">
      <alignment horizontal="center"/>
    </xf>
    <xf numFmtId="17" fontId="4" fillId="3" borderId="169" xfId="78" applyNumberFormat="1" applyFont="1" applyFill="1" applyBorder="1"/>
    <xf numFmtId="16" fontId="4" fillId="3" borderId="52" xfId="78" applyNumberFormat="1" applyFont="1" applyFill="1" applyBorder="1" applyAlignment="1">
      <alignment horizontal="center"/>
    </xf>
    <xf numFmtId="0" fontId="9" fillId="0" borderId="35" xfId="78" applyFont="1" applyBorder="1"/>
    <xf numFmtId="0" fontId="12" fillId="0" borderId="24" xfId="78" applyFont="1" applyBorder="1"/>
    <xf numFmtId="0" fontId="9" fillId="0" borderId="24" xfId="78" applyFont="1" applyBorder="1"/>
    <xf numFmtId="0" fontId="9" fillId="0" borderId="37" xfId="78" applyBorder="1"/>
    <xf numFmtId="0" fontId="9" fillId="0" borderId="39" xfId="78" applyFont="1" applyBorder="1" applyAlignment="1">
      <alignment horizontal="center"/>
    </xf>
    <xf numFmtId="0" fontId="4" fillId="0" borderId="170" xfId="78" applyFont="1" applyBorder="1"/>
    <xf numFmtId="0" fontId="4" fillId="3" borderId="166" xfId="257" applyFont="1" applyFill="1" applyBorder="1" applyAlignment="1">
      <alignment horizontal="center" vertical="center"/>
    </xf>
    <xf numFmtId="0" fontId="4" fillId="0" borderId="172" xfId="257" applyFont="1" applyBorder="1" applyAlignment="1">
      <alignment horizontal="center" vertical="center"/>
    </xf>
    <xf numFmtId="2" fontId="4" fillId="0" borderId="166" xfId="78" applyNumberFormat="1" applyFont="1" applyBorder="1"/>
    <xf numFmtId="0" fontId="4" fillId="0" borderId="17" xfId="78" applyFont="1" applyBorder="1"/>
    <xf numFmtId="0" fontId="4" fillId="0" borderId="145" xfId="78" applyFont="1" applyBorder="1"/>
    <xf numFmtId="2" fontId="85" fillId="0" borderId="174" xfId="259" applyNumberFormat="1" applyFont="1" applyFill="1" applyBorder="1" applyAlignment="1" applyProtection="1"/>
    <xf numFmtId="2" fontId="85" fillId="0" borderId="173" xfId="259" applyNumberFormat="1" applyFont="1" applyFill="1" applyBorder="1" applyAlignment="1" applyProtection="1"/>
    <xf numFmtId="2" fontId="85" fillId="0" borderId="157" xfId="259" applyNumberFormat="1" applyFont="1" applyFill="1" applyBorder="1" applyAlignment="1" applyProtection="1"/>
    <xf numFmtId="0" fontId="4" fillId="30" borderId="60" xfId="78" applyFont="1" applyFill="1" applyBorder="1" applyAlignment="1" applyProtection="1">
      <alignment horizontal="left"/>
    </xf>
    <xf numFmtId="0" fontId="4" fillId="30" borderId="60" xfId="78" applyFont="1" applyFill="1" applyBorder="1" applyAlignment="1" applyProtection="1">
      <alignment horizontal="left" wrapText="1"/>
    </xf>
    <xf numFmtId="0" fontId="18" fillId="30" borderId="175" xfId="78" applyFont="1" applyFill="1" applyBorder="1" applyAlignment="1" applyProtection="1">
      <alignment horizontal="left"/>
    </xf>
    <xf numFmtId="0" fontId="4" fillId="0" borderId="176" xfId="257" applyFont="1" applyBorder="1" applyAlignment="1">
      <alignment horizontal="center" vertical="center"/>
    </xf>
    <xf numFmtId="0" fontId="4" fillId="0" borderId="177" xfId="257" applyFont="1" applyBorder="1" applyAlignment="1">
      <alignment horizontal="center" vertical="center"/>
    </xf>
    <xf numFmtId="0" fontId="4" fillId="0" borderId="149" xfId="257" applyFont="1" applyBorder="1" applyAlignment="1">
      <alignment horizontal="center" vertical="center"/>
    </xf>
    <xf numFmtId="0" fontId="4" fillId="3" borderId="168" xfId="78" applyFont="1" applyFill="1" applyBorder="1" applyAlignment="1">
      <alignment horizontal="center" vertical="center"/>
    </xf>
    <xf numFmtId="0" fontId="4" fillId="3" borderId="6" xfId="257" applyFont="1" applyFill="1" applyBorder="1" applyAlignment="1">
      <alignment horizontal="center" vertical="center"/>
    </xf>
    <xf numFmtId="0" fontId="4" fillId="3" borderId="63" xfId="78" applyFont="1" applyFill="1" applyBorder="1"/>
    <xf numFmtId="0" fontId="81" fillId="3" borderId="6" xfId="0" applyFont="1" applyFill="1" applyBorder="1" applyAlignment="1">
      <alignment horizontal="justify" vertical="top" wrapText="1"/>
    </xf>
    <xf numFmtId="0" fontId="81" fillId="0" borderId="6" xfId="0" applyFont="1" applyBorder="1" applyAlignment="1">
      <alignment horizontal="justify" vertical="top" wrapText="1"/>
    </xf>
    <xf numFmtId="0" fontId="82" fillId="0" borderId="6" xfId="0" applyFont="1" applyBorder="1" applyAlignment="1">
      <alignment horizontal="justify" vertical="top" wrapText="1"/>
    </xf>
    <xf numFmtId="0" fontId="112" fillId="3" borderId="6" xfId="0" applyFont="1" applyFill="1" applyBorder="1" applyAlignment="1">
      <alignment horizontal="justify" vertical="top" wrapText="1"/>
    </xf>
    <xf numFmtId="0" fontId="112" fillId="3" borderId="6" xfId="0" applyFont="1" applyFill="1" applyBorder="1" applyAlignment="1">
      <alignment horizontal="left" vertical="top" wrapText="1"/>
    </xf>
    <xf numFmtId="0" fontId="112" fillId="0" borderId="6" xfId="0" applyFont="1" applyBorder="1" applyAlignment="1">
      <alignment horizontal="justify" vertical="top" wrapText="1"/>
    </xf>
    <xf numFmtId="0" fontId="118" fillId="0" borderId="6" xfId="0" applyFont="1" applyBorder="1" applyAlignment="1">
      <alignment horizontal="right" vertical="top" wrapText="1"/>
    </xf>
    <xf numFmtId="0" fontId="118" fillId="0" borderId="6" xfId="0" applyFont="1" applyBorder="1" applyAlignment="1">
      <alignment horizontal="center" vertical="center" wrapText="1"/>
    </xf>
    <xf numFmtId="2" fontId="81" fillId="0" borderId="6" xfId="0" applyNumberFormat="1" applyFont="1" applyBorder="1" applyAlignment="1">
      <alignment horizontal="center" vertical="center" wrapText="1"/>
    </xf>
    <xf numFmtId="0" fontId="3" fillId="3" borderId="6" xfId="0" applyFont="1" applyFill="1" applyBorder="1" applyAlignment="1">
      <alignment horizontal="center" vertical="center"/>
    </xf>
    <xf numFmtId="0" fontId="0" fillId="0" borderId="6" xfId="0" applyBorder="1" applyAlignment="1">
      <alignment horizontal="center" vertical="center"/>
    </xf>
    <xf numFmtId="0" fontId="0" fillId="0" borderId="6" xfId="0" applyBorder="1" applyAlignment="1">
      <alignment horizontal="center"/>
    </xf>
    <xf numFmtId="0" fontId="117" fillId="3" borderId="6" xfId="0" applyFont="1" applyFill="1" applyBorder="1" applyAlignment="1">
      <alignment horizontal="center" vertical="center" wrapText="1"/>
    </xf>
    <xf numFmtId="0" fontId="116" fillId="0" borderId="6" xfId="0" applyFont="1" applyBorder="1" applyAlignment="1">
      <alignment horizontal="justify" vertical="top" wrapText="1"/>
    </xf>
    <xf numFmtId="0" fontId="116" fillId="0" borderId="6" xfId="0" applyFont="1" applyBorder="1" applyAlignment="1">
      <alignment horizontal="center" vertical="top" wrapText="1"/>
    </xf>
    <xf numFmtId="0" fontId="117" fillId="0" borderId="6" xfId="0" applyFont="1" applyBorder="1" applyAlignment="1">
      <alignment horizontal="justify" vertical="top" wrapText="1"/>
    </xf>
    <xf numFmtId="0" fontId="117" fillId="0" borderId="6" xfId="0" applyFont="1" applyBorder="1" applyAlignment="1">
      <alignment horizontal="center" vertical="top" wrapText="1"/>
    </xf>
    <xf numFmtId="0" fontId="127" fillId="0" borderId="6" xfId="0" applyFont="1" applyBorder="1" applyAlignment="1">
      <alignment horizontal="justify" vertical="top" wrapText="1"/>
    </xf>
    <xf numFmtId="2" fontId="116" fillId="0" borderId="6" xfId="0" applyNumberFormat="1" applyFont="1" applyBorder="1" applyAlignment="1">
      <alignment horizontal="center" vertical="top" wrapText="1"/>
    </xf>
    <xf numFmtId="2" fontId="116" fillId="0" borderId="52" xfId="0" applyNumberFormat="1" applyFont="1" applyBorder="1" applyAlignment="1">
      <alignment horizontal="center" vertical="top" wrapText="1"/>
    </xf>
    <xf numFmtId="0" fontId="116" fillId="0" borderId="52" xfId="0" applyFont="1" applyBorder="1" applyAlignment="1">
      <alignment horizontal="center" vertical="top" wrapText="1"/>
    </xf>
    <xf numFmtId="0" fontId="116" fillId="0" borderId="3" xfId="0" applyFont="1" applyBorder="1" applyAlignment="1">
      <alignment horizontal="center" vertical="top" wrapText="1"/>
    </xf>
    <xf numFmtId="2" fontId="116" fillId="0" borderId="8" xfId="0" applyNumberFormat="1" applyFont="1" applyBorder="1" applyAlignment="1">
      <alignment horizontal="center" vertical="top" wrapText="1"/>
    </xf>
    <xf numFmtId="0" fontId="116" fillId="0" borderId="8" xfId="0" applyFont="1" applyBorder="1" applyAlignment="1">
      <alignment horizontal="center" vertical="top" wrapText="1"/>
    </xf>
    <xf numFmtId="2" fontId="0" fillId="0" borderId="0" xfId="0" applyNumberFormat="1" applyBorder="1"/>
    <xf numFmtId="2" fontId="117" fillId="0" borderId="6" xfId="0" applyNumberFormat="1" applyFont="1" applyBorder="1" applyAlignment="1">
      <alignment horizontal="center" vertical="top" wrapText="1"/>
    </xf>
    <xf numFmtId="0" fontId="0" fillId="0" borderId="0" xfId="0" applyFont="1" applyBorder="1" applyAlignment="1">
      <alignment horizontal="center"/>
    </xf>
    <xf numFmtId="0" fontId="117" fillId="0" borderId="52" xfId="0" applyFont="1" applyBorder="1" applyAlignment="1">
      <alignment horizontal="center" vertical="top" wrapText="1"/>
    </xf>
    <xf numFmtId="2" fontId="131" fillId="0" borderId="6" xfId="0" applyNumberFormat="1" applyFont="1" applyBorder="1" applyAlignment="1">
      <alignment horizontal="center" vertical="top" wrapText="1"/>
    </xf>
    <xf numFmtId="0" fontId="131" fillId="0" borderId="6" xfId="0" applyFont="1" applyBorder="1" applyAlignment="1">
      <alignment horizontal="center" vertical="top" wrapText="1"/>
    </xf>
    <xf numFmtId="0" fontId="117" fillId="0" borderId="6" xfId="0" applyFont="1" applyBorder="1" applyAlignment="1">
      <alignment horizontal="left" vertical="top" wrapText="1"/>
    </xf>
    <xf numFmtId="0" fontId="116" fillId="0" borderId="0" xfId="0" applyFont="1" applyBorder="1" applyAlignment="1">
      <alignment horizontal="justify" vertical="top" wrapText="1"/>
    </xf>
    <xf numFmtId="0" fontId="116" fillId="0" borderId="0" xfId="0" applyFont="1" applyBorder="1" applyAlignment="1">
      <alignment horizontal="right" vertical="top" wrapText="1"/>
    </xf>
    <xf numFmtId="0" fontId="116" fillId="0" borderId="0" xfId="0" applyFont="1" applyBorder="1" applyAlignment="1">
      <alignment horizontal="left" vertical="top" wrapText="1"/>
    </xf>
    <xf numFmtId="2" fontId="116" fillId="0" borderId="0" xfId="0" applyNumberFormat="1" applyFont="1" applyBorder="1" applyAlignment="1">
      <alignment horizontal="right" vertical="top" wrapText="1"/>
    </xf>
    <xf numFmtId="0" fontId="131" fillId="0" borderId="0" xfId="0" applyFont="1" applyBorder="1" applyAlignment="1">
      <alignment horizontal="right" vertical="top" wrapText="1"/>
    </xf>
    <xf numFmtId="0" fontId="117" fillId="0" borderId="0" xfId="0" applyFont="1" applyBorder="1" applyAlignment="1">
      <alignment horizontal="justify" vertical="top" wrapText="1"/>
    </xf>
    <xf numFmtId="0" fontId="117" fillId="3" borderId="6" xfId="0" applyFont="1" applyFill="1" applyBorder="1" applyAlignment="1">
      <alignment horizontal="center" wrapText="1"/>
    </xf>
    <xf numFmtId="0" fontId="4" fillId="31" borderId="0" xfId="0" applyFont="1" applyFill="1" applyBorder="1"/>
    <xf numFmtId="0" fontId="82" fillId="3" borderId="6" xfId="0" applyFont="1" applyFill="1" applyBorder="1" applyAlignment="1">
      <alignment horizontal="center" vertical="top" wrapText="1"/>
    </xf>
    <xf numFmtId="0" fontId="116" fillId="0" borderId="6" xfId="0" applyFont="1" applyBorder="1" applyAlignment="1">
      <alignment horizontal="center"/>
    </xf>
    <xf numFmtId="0" fontId="0" fillId="0" borderId="6" xfId="0" applyBorder="1" applyAlignment="1">
      <alignment horizontal="center"/>
    </xf>
    <xf numFmtId="0" fontId="82" fillId="3" borderId="8" xfId="0" applyFont="1" applyFill="1" applyBorder="1" applyAlignment="1">
      <alignment wrapText="1"/>
    </xf>
    <xf numFmtId="0" fontId="4" fillId="3" borderId="6" xfId="0" applyFont="1" applyFill="1" applyBorder="1"/>
    <xf numFmtId="2" fontId="4" fillId="4" borderId="54" xfId="0" applyNumberFormat="1" applyFont="1" applyFill="1" applyBorder="1" applyAlignment="1">
      <alignment horizontal="center"/>
    </xf>
    <xf numFmtId="2" fontId="14" fillId="0" borderId="6" xfId="0" applyNumberFormat="1" applyFont="1" applyBorder="1" applyAlignment="1">
      <alignment horizontal="center" vertical="center"/>
    </xf>
    <xf numFmtId="2" fontId="14" fillId="0" borderId="6" xfId="0" applyNumberFormat="1" applyFont="1" applyFill="1" applyBorder="1" applyAlignment="1">
      <alignment horizontal="center"/>
    </xf>
    <xf numFmtId="1" fontId="17" fillId="0" borderId="6" xfId="0" applyNumberFormat="1" applyFont="1" applyBorder="1" applyAlignment="1"/>
    <xf numFmtId="0" fontId="17" fillId="0" borderId="6" xfId="0" applyNumberFormat="1" applyFont="1" applyBorder="1" applyAlignment="1">
      <alignment horizontal="center" vertical="center"/>
    </xf>
    <xf numFmtId="0" fontId="17" fillId="0" borderId="6" xfId="0" applyFont="1" applyBorder="1" applyAlignment="1">
      <alignment horizontal="center" vertical="center"/>
    </xf>
    <xf numFmtId="10" fontId="17" fillId="0" borderId="6" xfId="0" applyNumberFormat="1" applyFont="1" applyBorder="1" applyAlignment="1">
      <alignment horizontal="center" vertical="center"/>
    </xf>
    <xf numFmtId="1" fontId="17" fillId="0" borderId="6" xfId="0" applyNumberFormat="1" applyFont="1" applyBorder="1" applyAlignment="1">
      <alignment horizontal="center" vertical="center"/>
    </xf>
    <xf numFmtId="0" fontId="17" fillId="3" borderId="6" xfId="0" applyNumberFormat="1" applyFont="1" applyFill="1" applyBorder="1" applyAlignment="1">
      <alignment horizontal="center"/>
    </xf>
    <xf numFmtId="2" fontId="17" fillId="3" borderId="6" xfId="0" applyNumberFormat="1" applyFont="1" applyFill="1" applyBorder="1" applyAlignment="1">
      <alignment horizontal="center"/>
    </xf>
    <xf numFmtId="0" fontId="17" fillId="3" borderId="6" xfId="0" applyFont="1" applyFill="1" applyBorder="1" applyAlignment="1">
      <alignment horizontal="center"/>
    </xf>
    <xf numFmtId="0" fontId="17" fillId="0" borderId="0" xfId="78" applyFont="1" applyAlignment="1">
      <alignment horizontal="center"/>
    </xf>
    <xf numFmtId="0" fontId="22" fillId="0" borderId="0" xfId="78" applyFont="1" applyAlignment="1">
      <alignment horizontal="center"/>
    </xf>
    <xf numFmtId="0" fontId="3" fillId="3" borderId="6" xfId="0" applyFont="1" applyFill="1" applyBorder="1" applyAlignment="1">
      <alignment horizontal="center"/>
    </xf>
    <xf numFmtId="0" fontId="0" fillId="0" borderId="6" xfId="0" applyBorder="1" applyAlignment="1">
      <alignment horizontal="center"/>
    </xf>
    <xf numFmtId="0" fontId="17" fillId="0" borderId="35" xfId="0" applyFont="1" applyBorder="1" applyAlignment="1">
      <alignment horizontal="center"/>
    </xf>
    <xf numFmtId="0" fontId="117" fillId="3" borderId="6" xfId="0" applyFont="1" applyFill="1" applyBorder="1" applyAlignment="1">
      <alignment horizontal="center"/>
    </xf>
    <xf numFmtId="0" fontId="117" fillId="0" borderId="6" xfId="0" applyFont="1" applyBorder="1" applyAlignment="1">
      <alignment horizontal="center" vertical="center" wrapText="1"/>
    </xf>
    <xf numFmtId="0" fontId="116" fillId="0" borderId="6" xfId="0" applyFont="1" applyBorder="1" applyAlignment="1">
      <alignment horizontal="center"/>
    </xf>
    <xf numFmtId="2" fontId="18" fillId="4" borderId="6" xfId="78" applyNumberFormat="1" applyFont="1" applyFill="1" applyBorder="1" applyAlignment="1">
      <alignment horizontal="center" vertical="center"/>
    </xf>
    <xf numFmtId="0" fontId="14" fillId="0" borderId="6" xfId="6" applyFont="1" applyBorder="1" applyAlignment="1">
      <alignment vertical="center" wrapText="1"/>
    </xf>
    <xf numFmtId="0" fontId="116" fillId="3" borderId="6" xfId="0" applyFont="1" applyFill="1" applyBorder="1" applyAlignment="1">
      <alignment horizontal="center"/>
    </xf>
    <xf numFmtId="43" fontId="0" fillId="0" borderId="0" xfId="0" applyNumberFormat="1"/>
    <xf numFmtId="0" fontId="18" fillId="4" borderId="0" xfId="3" applyFont="1" applyFill="1" applyBorder="1" applyAlignment="1">
      <alignment horizontal="center" vertical="top"/>
    </xf>
    <xf numFmtId="0" fontId="18" fillId="4" borderId="0" xfId="3" applyFont="1" applyFill="1" applyBorder="1" applyAlignment="1">
      <alignment horizontal="center"/>
    </xf>
    <xf numFmtId="2" fontId="81" fillId="0" borderId="6" xfId="0" applyNumberFormat="1" applyFont="1" applyBorder="1" applyAlignment="1">
      <alignment horizontal="center"/>
    </xf>
    <xf numFmtId="0" fontId="18" fillId="4" borderId="0" xfId="5" applyFont="1" applyFill="1" applyBorder="1" applyAlignment="1">
      <alignment horizontal="center" vertical="center"/>
    </xf>
    <xf numFmtId="0" fontId="82" fillId="3" borderId="6" xfId="0" applyFont="1" applyFill="1" applyBorder="1" applyAlignment="1">
      <alignment horizontal="center" vertical="center" wrapText="1"/>
    </xf>
    <xf numFmtId="0" fontId="81" fillId="0" borderId="6" xfId="0" applyFont="1" applyBorder="1" applyAlignment="1">
      <alignment horizontal="center"/>
    </xf>
    <xf numFmtId="0" fontId="18" fillId="3" borderId="6" xfId="0" applyFont="1" applyFill="1" applyBorder="1" applyAlignment="1">
      <alignment horizontal="center"/>
    </xf>
    <xf numFmtId="0" fontId="4" fillId="0" borderId="6" xfId="13" applyFont="1" applyBorder="1" applyAlignment="1">
      <alignment horizontal="center" vertical="center"/>
    </xf>
    <xf numFmtId="0" fontId="14" fillId="0" borderId="6" xfId="78" applyFont="1" applyBorder="1" applyAlignment="1">
      <alignment horizontal="center"/>
    </xf>
    <xf numFmtId="0" fontId="81" fillId="0" borderId="6" xfId="0" applyFont="1" applyBorder="1" applyAlignment="1">
      <alignment horizontal="center" vertical="center"/>
    </xf>
    <xf numFmtId="0" fontId="4" fillId="0" borderId="6" xfId="114" applyFont="1" applyFill="1" applyBorder="1" applyAlignment="1" applyProtection="1">
      <alignment horizontal="center" vertical="center"/>
    </xf>
    <xf numFmtId="0" fontId="116" fillId="0" borderId="6" xfId="0" applyFont="1" applyBorder="1" applyAlignment="1">
      <alignment horizontal="center"/>
    </xf>
    <xf numFmtId="0" fontId="116" fillId="0" borderId="12" xfId="0" applyFont="1" applyBorder="1"/>
    <xf numFmtId="1" fontId="116" fillId="0" borderId="6" xfId="0" applyNumberFormat="1" applyFont="1" applyBorder="1"/>
    <xf numFmtId="0" fontId="116" fillId="0" borderId="106" xfId="0" applyFont="1" applyBorder="1"/>
    <xf numFmtId="0" fontId="14" fillId="0" borderId="0" xfId="95" applyFont="1"/>
    <xf numFmtId="0" fontId="14" fillId="0" borderId="0" xfId="95" applyFont="1" applyBorder="1"/>
    <xf numFmtId="0" fontId="14" fillId="0" borderId="6" xfId="95" applyFont="1" applyBorder="1"/>
    <xf numFmtId="2" fontId="14" fillId="0" borderId="6" xfId="95" applyNumberFormat="1" applyFont="1" applyBorder="1" applyAlignment="1">
      <alignment horizontal="center"/>
    </xf>
    <xf numFmtId="2" fontId="14" fillId="4" borderId="6" xfId="95" applyNumberFormat="1" applyFont="1" applyFill="1" applyBorder="1" applyAlignment="1">
      <alignment horizontal="center"/>
    </xf>
    <xf numFmtId="2" fontId="14" fillId="0" borderId="0" xfId="95" applyNumberFormat="1" applyFont="1" applyBorder="1"/>
    <xf numFmtId="0" fontId="14" fillId="0" borderId="0" xfId="95" applyFont="1" applyFill="1" applyBorder="1"/>
    <xf numFmtId="0" fontId="14" fillId="0" borderId="8" xfId="95" applyFont="1" applyBorder="1"/>
    <xf numFmtId="2" fontId="14" fillId="0" borderId="8" xfId="95" applyNumberFormat="1" applyFont="1" applyBorder="1" applyAlignment="1">
      <alignment horizontal="center"/>
    </xf>
    <xf numFmtId="2" fontId="14" fillId="0" borderId="17" xfId="95" applyNumberFormat="1" applyFont="1" applyBorder="1" applyAlignment="1">
      <alignment horizontal="center"/>
    </xf>
    <xf numFmtId="2" fontId="14" fillId="4" borderId="17" xfId="95" applyNumberFormat="1" applyFont="1" applyFill="1" applyBorder="1" applyAlignment="1">
      <alignment horizontal="center"/>
    </xf>
    <xf numFmtId="2" fontId="14" fillId="0" borderId="3" xfId="95" applyNumberFormat="1" applyFont="1" applyBorder="1" applyAlignment="1">
      <alignment horizontal="center"/>
    </xf>
    <xf numFmtId="2" fontId="14" fillId="0" borderId="0" xfId="95" applyNumberFormat="1" applyFont="1" applyAlignment="1">
      <alignment horizontal="center"/>
    </xf>
    <xf numFmtId="2" fontId="14" fillId="0" borderId="0" xfId="95" applyNumberFormat="1" applyFont="1"/>
    <xf numFmtId="2" fontId="17" fillId="0" borderId="8" xfId="95" applyNumberFormat="1" applyFont="1" applyBorder="1" applyAlignment="1">
      <alignment horizontal="center"/>
    </xf>
    <xf numFmtId="2" fontId="17" fillId="0" borderId="17" xfId="95" applyNumberFormat="1" applyFont="1" applyBorder="1" applyAlignment="1">
      <alignment horizontal="center"/>
    </xf>
    <xf numFmtId="0" fontId="14" fillId="0" borderId="3" xfId="95" applyFont="1" applyBorder="1" applyAlignment="1">
      <alignment horizontal="center"/>
    </xf>
    <xf numFmtId="0" fontId="14" fillId="0" borderId="0" xfId="95" applyFont="1" applyAlignment="1">
      <alignment horizontal="center"/>
    </xf>
    <xf numFmtId="0" fontId="14" fillId="0" borderId="6" xfId="95" applyFont="1" applyBorder="1" applyAlignment="1">
      <alignment horizontal="center"/>
    </xf>
    <xf numFmtId="0" fontId="14" fillId="0" borderId="52" xfId="95" applyFont="1" applyBorder="1" applyAlignment="1">
      <alignment horizontal="center"/>
    </xf>
    <xf numFmtId="0" fontId="14" fillId="0" borderId="8" xfId="95" applyFont="1" applyBorder="1" applyAlignment="1">
      <alignment horizontal="center"/>
    </xf>
    <xf numFmtId="0" fontId="14" fillId="0" borderId="17" xfId="95" applyFont="1" applyBorder="1" applyAlignment="1">
      <alignment horizontal="center"/>
    </xf>
    <xf numFmtId="0" fontId="40" fillId="0" borderId="8" xfId="95" applyFont="1" applyBorder="1"/>
    <xf numFmtId="0" fontId="40" fillId="0" borderId="3" xfId="95" applyFont="1" applyBorder="1"/>
    <xf numFmtId="0" fontId="18" fillId="3" borderId="52" xfId="13" applyFont="1" applyFill="1" applyBorder="1" applyAlignment="1">
      <alignment vertical="center" wrapText="1"/>
    </xf>
    <xf numFmtId="1" fontId="116" fillId="0" borderId="0" xfId="0" applyNumberFormat="1" applyFont="1"/>
    <xf numFmtId="0" fontId="117" fillId="3" borderId="52" xfId="0" applyFont="1" applyFill="1" applyBorder="1" applyAlignment="1">
      <alignment horizontal="center"/>
    </xf>
    <xf numFmtId="0" fontId="130" fillId="0" borderId="6" xfId="0" applyFont="1" applyBorder="1"/>
    <xf numFmtId="0" fontId="22" fillId="0" borderId="0" xfId="78" applyFont="1" applyAlignment="1"/>
    <xf numFmtId="0" fontId="14" fillId="3" borderId="0" xfId="78" applyFont="1" applyFill="1" applyAlignment="1">
      <alignment horizontal="right"/>
    </xf>
    <xf numFmtId="0" fontId="14" fillId="3" borderId="52" xfId="78" applyFont="1" applyFill="1" applyBorder="1" applyAlignment="1">
      <alignment horizontal="right"/>
    </xf>
    <xf numFmtId="0" fontId="17" fillId="3" borderId="0" xfId="78" applyFont="1" applyFill="1" applyAlignment="1">
      <alignment horizontal="center"/>
    </xf>
    <xf numFmtId="0" fontId="17" fillId="3" borderId="12" xfId="78" applyFont="1" applyFill="1" applyBorder="1" applyAlignment="1">
      <alignment horizontal="center"/>
    </xf>
    <xf numFmtId="0" fontId="17" fillId="3" borderId="59" xfId="78" applyFont="1" applyFill="1" applyBorder="1" applyAlignment="1">
      <alignment horizontal="center"/>
    </xf>
    <xf numFmtId="0" fontId="17" fillId="3" borderId="106" xfId="78" applyFont="1" applyFill="1" applyBorder="1" applyAlignment="1">
      <alignment horizontal="center"/>
    </xf>
    <xf numFmtId="0" fontId="14" fillId="3" borderId="14" xfId="78" applyFont="1" applyFill="1" applyBorder="1" applyAlignment="1">
      <alignment horizontal="right"/>
    </xf>
    <xf numFmtId="0" fontId="17" fillId="3" borderId="3" xfId="78" applyFont="1" applyFill="1" applyBorder="1" applyAlignment="1">
      <alignment horizontal="center"/>
    </xf>
    <xf numFmtId="0" fontId="133" fillId="3" borderId="0" xfId="78" applyFont="1" applyFill="1" applyAlignment="1">
      <alignment horizontal="center"/>
    </xf>
    <xf numFmtId="0" fontId="14" fillId="3" borderId="3" xfId="78" applyFont="1" applyFill="1" applyBorder="1" applyAlignment="1">
      <alignment horizontal="right"/>
    </xf>
    <xf numFmtId="0" fontId="17" fillId="3" borderId="52" xfId="78" applyFont="1" applyFill="1" applyBorder="1" applyAlignment="1">
      <alignment horizontal="center"/>
    </xf>
    <xf numFmtId="0" fontId="134" fillId="3" borderId="0" xfId="78" applyFont="1" applyFill="1" applyAlignment="1">
      <alignment horizontal="center"/>
    </xf>
    <xf numFmtId="0" fontId="17" fillId="3" borderId="0" xfId="78" applyFont="1" applyFill="1" applyBorder="1" applyAlignment="1">
      <alignment horizontal="center"/>
    </xf>
    <xf numFmtId="0" fontId="17" fillId="3" borderId="14" xfId="78" applyFont="1" applyFill="1" applyBorder="1" applyAlignment="1">
      <alignment horizontal="center"/>
    </xf>
    <xf numFmtId="0" fontId="17" fillId="3" borderId="106" xfId="78" applyFont="1" applyFill="1" applyBorder="1" applyAlignment="1">
      <alignment horizontal="right"/>
    </xf>
    <xf numFmtId="0" fontId="17" fillId="3" borderId="3" xfId="78" applyFont="1" applyFill="1" applyBorder="1" applyAlignment="1">
      <alignment horizontal="right"/>
    </xf>
    <xf numFmtId="0" fontId="17" fillId="3" borderId="35" xfId="78" applyFont="1" applyFill="1" applyBorder="1" applyAlignment="1">
      <alignment horizontal="right"/>
    </xf>
    <xf numFmtId="0" fontId="17" fillId="3" borderId="96" xfId="78" applyFont="1" applyFill="1" applyBorder="1" applyAlignment="1">
      <alignment horizontal="right"/>
    </xf>
    <xf numFmtId="0" fontId="17" fillId="3" borderId="97" xfId="78" applyFont="1" applyFill="1" applyBorder="1" applyAlignment="1">
      <alignment horizontal="right"/>
    </xf>
    <xf numFmtId="0" fontId="17" fillId="3" borderId="135" xfId="78" applyFont="1" applyFill="1" applyBorder="1" applyAlignment="1">
      <alignment horizontal="right"/>
    </xf>
    <xf numFmtId="0" fontId="14" fillId="0" borderId="3" xfId="78" applyFont="1" applyBorder="1"/>
    <xf numFmtId="0" fontId="17" fillId="0" borderId="0" xfId="78" applyFont="1" applyBorder="1" applyAlignment="1">
      <alignment horizontal="right"/>
    </xf>
    <xf numFmtId="0" fontId="17" fillId="0" borderId="3" xfId="78" applyFont="1" applyBorder="1" applyAlignment="1">
      <alignment horizontal="right"/>
    </xf>
    <xf numFmtId="0" fontId="17" fillId="0" borderId="106" xfId="78" applyFont="1" applyBorder="1" applyAlignment="1">
      <alignment horizontal="right"/>
    </xf>
    <xf numFmtId="0" fontId="17" fillId="0" borderId="30" xfId="78" applyFont="1" applyBorder="1" applyAlignment="1">
      <alignment horizontal="right"/>
    </xf>
    <xf numFmtId="0" fontId="14" fillId="0" borderId="5" xfId="78" applyFont="1" applyBorder="1"/>
    <xf numFmtId="0" fontId="17" fillId="0" borderId="5" xfId="78" applyFont="1" applyBorder="1" applyAlignment="1">
      <alignment horizontal="right"/>
    </xf>
    <xf numFmtId="0" fontId="22" fillId="0" borderId="3" xfId="78" applyFont="1" applyBorder="1"/>
    <xf numFmtId="0" fontId="17" fillId="0" borderId="3" xfId="78" applyFont="1" applyBorder="1" applyAlignment="1">
      <alignment horizontal="center"/>
    </xf>
    <xf numFmtId="0" fontId="17" fillId="0" borderId="106" xfId="78" applyFont="1" applyBorder="1" applyAlignment="1">
      <alignment horizontal="center"/>
    </xf>
    <xf numFmtId="0" fontId="17" fillId="0" borderId="0" xfId="78" applyFont="1" applyBorder="1" applyAlignment="1">
      <alignment horizontal="center"/>
    </xf>
    <xf numFmtId="176" fontId="14" fillId="0" borderId="106" xfId="78" applyNumberFormat="1" applyFont="1" applyBorder="1" applyAlignment="1" applyProtection="1">
      <alignment horizontal="center"/>
    </xf>
    <xf numFmtId="0" fontId="17" fillId="0" borderId="14" xfId="78" applyFont="1" applyBorder="1" applyAlignment="1">
      <alignment horizontal="center"/>
    </xf>
    <xf numFmtId="2" fontId="14" fillId="0" borderId="0" xfId="78" applyNumberFormat="1" applyFont="1" applyAlignment="1">
      <alignment horizontal="right"/>
    </xf>
    <xf numFmtId="2" fontId="14" fillId="0" borderId="3" xfId="78" applyNumberFormat="1" applyFont="1" applyBorder="1"/>
    <xf numFmtId="2" fontId="14" fillId="0" borderId="106" xfId="78" applyNumberFormat="1" applyFont="1" applyBorder="1"/>
    <xf numFmtId="2" fontId="14" fillId="0" borderId="0" xfId="78" applyNumberFormat="1" applyFont="1" applyBorder="1"/>
    <xf numFmtId="1" fontId="14" fillId="0" borderId="3" xfId="78" applyNumberFormat="1" applyFont="1" applyBorder="1"/>
    <xf numFmtId="1" fontId="14" fillId="0" borderId="106" xfId="78" applyNumberFormat="1" applyFont="1" applyBorder="1" applyProtection="1"/>
    <xf numFmtId="1" fontId="14" fillId="0" borderId="14" xfId="78" applyNumberFormat="1" applyFont="1" applyBorder="1"/>
    <xf numFmtId="1" fontId="14" fillId="0" borderId="3" xfId="78" applyNumberFormat="1" applyFont="1" applyBorder="1" applyProtection="1"/>
    <xf numFmtId="0" fontId="14" fillId="0" borderId="8" xfId="78" applyFont="1" applyBorder="1"/>
    <xf numFmtId="2" fontId="14" fillId="0" borderId="17" xfId="78" applyNumberFormat="1" applyFont="1" applyBorder="1"/>
    <xf numFmtId="2" fontId="14" fillId="0" borderId="8" xfId="78" applyNumberFormat="1" applyFont="1" applyBorder="1"/>
    <xf numFmtId="2" fontId="14" fillId="0" borderId="15" xfId="78" applyNumberFormat="1" applyFont="1" applyBorder="1"/>
    <xf numFmtId="1" fontId="14" fillId="0" borderId="8" xfId="78" applyNumberFormat="1" applyFont="1" applyBorder="1"/>
    <xf numFmtId="2" fontId="14" fillId="0" borderId="14" xfId="78" applyNumberFormat="1" applyFont="1" applyBorder="1"/>
    <xf numFmtId="1" fontId="14" fillId="0" borderId="16" xfId="78" applyNumberFormat="1" applyFont="1" applyBorder="1"/>
    <xf numFmtId="1" fontId="14" fillId="0" borderId="17" xfId="78" applyNumberFormat="1" applyFont="1" applyBorder="1"/>
    <xf numFmtId="0" fontId="17" fillId="0" borderId="6" xfId="78" applyFont="1" applyBorder="1" applyAlignment="1">
      <alignment horizontal="center"/>
    </xf>
    <xf numFmtId="2" fontId="14" fillId="0" borderId="6" xfId="78" applyNumberFormat="1" applyFont="1" applyBorder="1"/>
    <xf numFmtId="2" fontId="14" fillId="0" borderId="54" xfId="78" applyNumberFormat="1" applyFont="1" applyBorder="1"/>
    <xf numFmtId="2" fontId="14" fillId="0" borderId="55" xfId="78" applyNumberFormat="1" applyFont="1" applyBorder="1"/>
    <xf numFmtId="1" fontId="14" fillId="0" borderId="6" xfId="78" applyNumberFormat="1" applyFont="1" applyBorder="1"/>
    <xf numFmtId="2" fontId="14" fillId="0" borderId="6" xfId="78" applyNumberFormat="1" applyFont="1" applyBorder="1" applyProtection="1"/>
    <xf numFmtId="1" fontId="14" fillId="0" borderId="54" xfId="78" applyNumberFormat="1" applyFont="1" applyBorder="1" applyProtection="1"/>
    <xf numFmtId="1" fontId="14" fillId="0" borderId="56" xfId="78" applyNumberFormat="1" applyFont="1" applyBorder="1"/>
    <xf numFmtId="1" fontId="125" fillId="0" borderId="6" xfId="78" applyNumberFormat="1" applyFont="1" applyBorder="1"/>
    <xf numFmtId="1" fontId="14" fillId="0" borderId="6" xfId="78" applyNumberFormat="1" applyFont="1" applyBorder="1" applyProtection="1"/>
    <xf numFmtId="2" fontId="14" fillId="0" borderId="52" xfId="78" applyNumberFormat="1" applyFont="1" applyBorder="1"/>
    <xf numFmtId="1" fontId="14" fillId="0" borderId="0" xfId="78" applyNumberFormat="1" applyFont="1" applyBorder="1"/>
    <xf numFmtId="1" fontId="14" fillId="0" borderId="52" xfId="78" applyNumberFormat="1" applyFont="1" applyBorder="1"/>
    <xf numFmtId="1" fontId="14" fillId="0" borderId="106" xfId="78" applyNumberFormat="1" applyFont="1" applyBorder="1"/>
    <xf numFmtId="1" fontId="17" fillId="0" borderId="0" xfId="78" applyNumberFormat="1" applyFont="1" applyBorder="1" applyAlignment="1" applyProtection="1">
      <alignment horizontal="right"/>
    </xf>
    <xf numFmtId="1" fontId="133" fillId="0" borderId="6" xfId="78" applyNumberFormat="1" applyFont="1" applyBorder="1"/>
    <xf numFmtId="1" fontId="17" fillId="0" borderId="6" xfId="78" applyNumberFormat="1" applyFont="1" applyBorder="1"/>
    <xf numFmtId="1" fontId="14" fillId="0" borderId="0" xfId="78" applyNumberFormat="1" applyFont="1" applyBorder="1" applyAlignment="1">
      <alignment horizontal="right"/>
    </xf>
    <xf numFmtId="1" fontId="14" fillId="0" borderId="0" xfId="78" applyNumberFormat="1" applyFont="1" applyBorder="1" applyProtection="1"/>
    <xf numFmtId="1" fontId="14" fillId="0" borderId="14" xfId="78" applyNumberFormat="1" applyFont="1" applyBorder="1" applyProtection="1"/>
    <xf numFmtId="2" fontId="14" fillId="0" borderId="8" xfId="78" applyNumberFormat="1" applyFont="1" applyBorder="1" applyProtection="1"/>
    <xf numFmtId="1" fontId="14" fillId="0" borderId="8" xfId="78" applyNumberFormat="1" applyFont="1" applyBorder="1" applyProtection="1"/>
    <xf numFmtId="2" fontId="14" fillId="0" borderId="54" xfId="78" applyNumberFormat="1" applyFont="1" applyBorder="1" applyProtection="1"/>
    <xf numFmtId="2" fontId="14" fillId="0" borderId="14" xfId="78" applyNumberFormat="1" applyFont="1" applyBorder="1" applyProtection="1"/>
    <xf numFmtId="2" fontId="14" fillId="0" borderId="106" xfId="78" applyNumberFormat="1" applyFont="1" applyBorder="1" applyProtection="1"/>
    <xf numFmtId="0" fontId="22" fillId="0" borderId="3" xfId="78" applyFont="1" applyBorder="1" applyAlignment="1">
      <alignment horizontal="center"/>
    </xf>
    <xf numFmtId="1" fontId="14" fillId="0" borderId="55" xfId="78" applyNumberFormat="1" applyFont="1" applyBorder="1"/>
    <xf numFmtId="0" fontId="14" fillId="0" borderId="96" xfId="78" applyFont="1" applyBorder="1"/>
    <xf numFmtId="1" fontId="14" fillId="0" borderId="35" xfId="78" applyNumberFormat="1" applyFont="1" applyBorder="1"/>
    <xf numFmtId="1" fontId="14" fillId="0" borderId="96" xfId="78" applyNumberFormat="1" applyFont="1" applyBorder="1"/>
    <xf numFmtId="1" fontId="14" fillId="0" borderId="97" xfId="78" applyNumberFormat="1" applyFont="1" applyBorder="1"/>
    <xf numFmtId="1" fontId="14" fillId="0" borderId="129" xfId="78" applyNumberFormat="1" applyFont="1" applyBorder="1"/>
    <xf numFmtId="1" fontId="14" fillId="0" borderId="135" xfId="78" applyNumberFormat="1" applyFont="1" applyBorder="1"/>
    <xf numFmtId="0" fontId="14" fillId="0" borderId="0" xfId="78" quotePrefix="1" applyFont="1"/>
    <xf numFmtId="1" fontId="14" fillId="0" borderId="3" xfId="78" applyNumberFormat="1" applyFont="1" applyBorder="1" applyAlignment="1">
      <alignment horizontal="center"/>
    </xf>
    <xf numFmtId="1" fontId="14" fillId="0" borderId="3" xfId="78" applyNumberFormat="1" applyFont="1" applyBorder="1" applyAlignment="1" applyProtection="1">
      <alignment horizontal="center"/>
    </xf>
    <xf numFmtId="1" fontId="14" fillId="0" borderId="14" xfId="78" applyNumberFormat="1" applyFont="1" applyBorder="1" applyAlignment="1">
      <alignment horizontal="center"/>
    </xf>
    <xf numFmtId="1" fontId="14" fillId="0" borderId="0" xfId="78" applyNumberFormat="1" applyFont="1" applyAlignment="1">
      <alignment horizontal="center"/>
    </xf>
    <xf numFmtId="1" fontId="14" fillId="0" borderId="6" xfId="78" applyNumberFormat="1" applyFont="1" applyBorder="1" applyAlignment="1">
      <alignment horizontal="center"/>
    </xf>
    <xf numFmtId="1" fontId="14" fillId="0" borderId="6" xfId="78" applyNumberFormat="1" applyFont="1" applyBorder="1" applyAlignment="1" applyProtection="1">
      <alignment horizontal="center"/>
    </xf>
    <xf numFmtId="1" fontId="14" fillId="0" borderId="56" xfId="78" applyNumberFormat="1" applyFont="1" applyBorder="1" applyAlignment="1">
      <alignment horizontal="center"/>
    </xf>
    <xf numFmtId="0" fontId="116" fillId="0" borderId="6" xfId="78" applyNumberFormat="1" applyFont="1" applyBorder="1" applyAlignment="1">
      <alignment horizontal="center"/>
    </xf>
    <xf numFmtId="1" fontId="14" fillId="0" borderId="0" xfId="78" applyNumberFormat="1" applyFont="1" applyBorder="1" applyAlignment="1">
      <alignment horizontal="center"/>
    </xf>
    <xf numFmtId="1" fontId="14" fillId="0" borderId="52" xfId="78" applyNumberFormat="1" applyFont="1" applyBorder="1" applyAlignment="1">
      <alignment horizontal="center"/>
    </xf>
    <xf numFmtId="1" fontId="116" fillId="0" borderId="3" xfId="78" applyNumberFormat="1" applyFont="1" applyFill="1" applyBorder="1" applyAlignment="1">
      <alignment horizontal="center"/>
    </xf>
    <xf numFmtId="1" fontId="14" fillId="0" borderId="106" xfId="78" applyNumberFormat="1" applyFont="1" applyBorder="1" applyAlignment="1">
      <alignment horizontal="center"/>
    </xf>
    <xf numFmtId="1" fontId="14" fillId="0" borderId="0" xfId="78" applyNumberFormat="1" applyFont="1" applyFill="1" applyBorder="1" applyAlignment="1">
      <alignment horizontal="center"/>
    </xf>
    <xf numFmtId="1" fontId="14" fillId="0" borderId="8" xfId="78" applyNumberFormat="1" applyFont="1" applyBorder="1" applyAlignment="1">
      <alignment horizontal="center"/>
    </xf>
    <xf numFmtId="1" fontId="14" fillId="0" borderId="16" xfId="78" applyNumberFormat="1" applyFont="1" applyBorder="1" applyAlignment="1">
      <alignment horizontal="center"/>
    </xf>
    <xf numFmtId="1" fontId="14" fillId="0" borderId="17" xfId="78" applyNumberFormat="1" applyFont="1" applyBorder="1" applyAlignment="1">
      <alignment horizontal="center"/>
    </xf>
    <xf numFmtId="0" fontId="135" fillId="0" borderId="6" xfId="78" applyNumberFormat="1" applyFont="1" applyFill="1" applyBorder="1" applyAlignment="1">
      <alignment horizontal="center"/>
    </xf>
    <xf numFmtId="1" fontId="17" fillId="0" borderId="6" xfId="78" applyNumberFormat="1" applyFont="1" applyBorder="1" applyAlignment="1">
      <alignment horizontal="center"/>
    </xf>
    <xf numFmtId="1" fontId="14" fillId="0" borderId="14" xfId="78" applyNumberFormat="1" applyFont="1" applyBorder="1" applyAlignment="1" applyProtection="1">
      <alignment horizontal="center"/>
    </xf>
    <xf numFmtId="1" fontId="14" fillId="0" borderId="8" xfId="78" applyNumberFormat="1" applyFont="1" applyBorder="1" applyAlignment="1" applyProtection="1">
      <alignment horizontal="center"/>
    </xf>
    <xf numFmtId="1" fontId="135" fillId="0" borderId="6" xfId="78" applyNumberFormat="1" applyFont="1" applyBorder="1" applyAlignment="1">
      <alignment horizontal="center"/>
    </xf>
    <xf numFmtId="1" fontId="134" fillId="0" borderId="6" xfId="78" applyNumberFormat="1" applyFont="1" applyBorder="1" applyAlignment="1">
      <alignment horizontal="center"/>
    </xf>
    <xf numFmtId="1" fontId="14" fillId="0" borderId="55" xfId="78" applyNumberFormat="1" applyFont="1" applyBorder="1" applyAlignment="1">
      <alignment horizontal="center"/>
    </xf>
    <xf numFmtId="0" fontId="136" fillId="0" borderId="0" xfId="0" applyFont="1"/>
    <xf numFmtId="0" fontId="117" fillId="0" borderId="6" xfId="0" applyFont="1" applyBorder="1" applyAlignment="1">
      <alignment horizontal="center"/>
    </xf>
    <xf numFmtId="0" fontId="0" fillId="0" borderId="6" xfId="0" applyFill="1" applyBorder="1"/>
    <xf numFmtId="0" fontId="130" fillId="0" borderId="0" xfId="0" applyFont="1"/>
    <xf numFmtId="0" fontId="138" fillId="0" borderId="0" xfId="0" applyFont="1"/>
    <xf numFmtId="0" fontId="138" fillId="0" borderId="0" xfId="0" applyFont="1" applyAlignment="1"/>
    <xf numFmtId="0" fontId="130" fillId="0" borderId="0" xfId="0" applyFont="1" applyAlignment="1">
      <alignment wrapText="1"/>
    </xf>
    <xf numFmtId="0" fontId="138" fillId="3" borderId="52" xfId="0" applyFont="1" applyFill="1" applyBorder="1" applyAlignment="1">
      <alignment horizontal="center"/>
    </xf>
    <xf numFmtId="0" fontId="138" fillId="3" borderId="59" xfId="0" applyFont="1" applyFill="1" applyBorder="1" applyAlignment="1">
      <alignment horizontal="center"/>
    </xf>
    <xf numFmtId="0" fontId="138" fillId="3" borderId="59" xfId="0" applyFont="1" applyFill="1" applyBorder="1" applyAlignment="1">
      <alignment horizontal="left" indent="11"/>
    </xf>
    <xf numFmtId="0" fontId="130" fillId="3" borderId="59" xfId="0" applyFont="1" applyFill="1" applyBorder="1"/>
    <xf numFmtId="0" fontId="138" fillId="3" borderId="8" xfId="0" applyFont="1" applyFill="1" applyBorder="1" applyAlignment="1">
      <alignment horizontal="center"/>
    </xf>
    <xf numFmtId="0" fontId="138" fillId="3" borderId="17" xfId="0" applyFont="1" applyFill="1" applyBorder="1" applyAlignment="1">
      <alignment horizontal="center"/>
    </xf>
    <xf numFmtId="0" fontId="130" fillId="0" borderId="8" xfId="0" applyFont="1" applyBorder="1" applyAlignment="1">
      <alignment horizontal="center"/>
    </xf>
    <xf numFmtId="0" fontId="130" fillId="0" borderId="17" xfId="0" applyFont="1" applyBorder="1" applyAlignment="1">
      <alignment horizontal="center"/>
    </xf>
    <xf numFmtId="0" fontId="138" fillId="0" borderId="17" xfId="0" applyFont="1" applyBorder="1"/>
    <xf numFmtId="0" fontId="130" fillId="0" borderId="17" xfId="0" applyFont="1" applyBorder="1"/>
    <xf numFmtId="0" fontId="130" fillId="0" borderId="3" xfId="0" applyFont="1" applyBorder="1"/>
    <xf numFmtId="0" fontId="139" fillId="0" borderId="0" xfId="0" applyFont="1"/>
    <xf numFmtId="0" fontId="130" fillId="0" borderId="52" xfId="0" applyFont="1" applyBorder="1"/>
    <xf numFmtId="0" fontId="130" fillId="0" borderId="59" xfId="0" applyFont="1" applyBorder="1"/>
    <xf numFmtId="1" fontId="130" fillId="0" borderId="6" xfId="0" applyNumberFormat="1" applyFont="1" applyBorder="1"/>
    <xf numFmtId="3" fontId="130" fillId="0" borderId="6" xfId="0" applyNumberFormat="1" applyFont="1" applyBorder="1" applyAlignment="1">
      <alignment horizontal="left"/>
    </xf>
    <xf numFmtId="0" fontId="130" fillId="0" borderId="0" xfId="0" applyNumberFormat="1" applyFont="1"/>
    <xf numFmtId="0" fontId="130" fillId="0" borderId="6" xfId="0" quotePrefix="1" applyFont="1" applyBorder="1" applyAlignment="1">
      <alignment horizontal="left"/>
    </xf>
    <xf numFmtId="0" fontId="130" fillId="0" borderId="6" xfId="0" applyFont="1" applyBorder="1" applyAlignment="1">
      <alignment horizontal="left"/>
    </xf>
    <xf numFmtId="1" fontId="130" fillId="0" borderId="0" xfId="0" applyNumberFormat="1" applyFont="1"/>
    <xf numFmtId="1" fontId="130" fillId="0" borderId="3" xfId="0" applyNumberFormat="1" applyFont="1" applyBorder="1"/>
    <xf numFmtId="0" fontId="130" fillId="0" borderId="14" xfId="0" applyFont="1" applyBorder="1"/>
    <xf numFmtId="0" fontId="130" fillId="0" borderId="0" xfId="0" applyFont="1" applyAlignment="1">
      <alignment horizontal="left"/>
    </xf>
    <xf numFmtId="0" fontId="130" fillId="0" borderId="8" xfId="0" applyFont="1" applyBorder="1"/>
    <xf numFmtId="9" fontId="130" fillId="0" borderId="0" xfId="0" applyNumberFormat="1" applyFont="1"/>
    <xf numFmtId="0" fontId="138" fillId="0" borderId="6" xfId="0" applyFont="1" applyBorder="1"/>
    <xf numFmtId="1" fontId="138" fillId="0" borderId="55" xfId="0" applyNumberFormat="1" applyFont="1" applyBorder="1"/>
    <xf numFmtId="1" fontId="138" fillId="0" borderId="6" xfId="0" applyNumberFormat="1" applyFont="1" applyBorder="1"/>
    <xf numFmtId="0" fontId="138" fillId="0" borderId="56" xfId="0" applyFont="1" applyBorder="1"/>
    <xf numFmtId="0" fontId="138" fillId="0" borderId="55" xfId="0" applyFont="1" applyBorder="1"/>
    <xf numFmtId="0" fontId="138" fillId="0" borderId="6" xfId="0" applyNumberFormat="1" applyFont="1" applyBorder="1"/>
    <xf numFmtId="0" fontId="130" fillId="0" borderId="13" xfId="0" applyFont="1" applyBorder="1"/>
    <xf numFmtId="0" fontId="139" fillId="0" borderId="14" xfId="0" applyFont="1" applyBorder="1"/>
    <xf numFmtId="0" fontId="130" fillId="0" borderId="16" xfId="0" applyFont="1" applyBorder="1"/>
    <xf numFmtId="1" fontId="130" fillId="0" borderId="8" xfId="0" applyNumberFormat="1" applyFont="1" applyBorder="1"/>
    <xf numFmtId="0" fontId="138" fillId="0" borderId="16" xfId="0" applyFont="1" applyBorder="1"/>
    <xf numFmtId="0" fontId="138" fillId="0" borderId="0" xfId="0" applyFont="1" applyBorder="1"/>
    <xf numFmtId="0" fontId="138" fillId="0" borderId="59" xfId="0" applyFont="1" applyBorder="1"/>
    <xf numFmtId="1" fontId="138" fillId="0" borderId="59" xfId="0" applyNumberFormat="1" applyFont="1" applyBorder="1"/>
    <xf numFmtId="0" fontId="138" fillId="0" borderId="0" xfId="0" applyFont="1" applyBorder="1" applyAlignment="1">
      <alignment horizontal="right"/>
    </xf>
    <xf numFmtId="0" fontId="138" fillId="0" borderId="0" xfId="0" quotePrefix="1" applyFont="1" applyBorder="1" applyAlignment="1">
      <alignment horizontal="center"/>
    </xf>
    <xf numFmtId="0" fontId="138" fillId="0" borderId="0" xfId="0" applyFont="1" applyBorder="1" applyAlignment="1">
      <alignment horizontal="center"/>
    </xf>
    <xf numFmtId="0" fontId="138" fillId="0" borderId="52" xfId="0" applyFont="1" applyBorder="1" applyAlignment="1">
      <alignment horizontal="center"/>
    </xf>
    <xf numFmtId="0" fontId="138" fillId="0" borderId="59" xfId="0" applyFont="1" applyBorder="1" applyAlignment="1">
      <alignment horizontal="center"/>
    </xf>
    <xf numFmtId="0" fontId="138" fillId="0" borderId="59" xfId="0" applyFont="1" applyBorder="1" applyAlignment="1">
      <alignment horizontal="left" indent="13"/>
    </xf>
    <xf numFmtId="0" fontId="138" fillId="0" borderId="8" xfId="0" applyFont="1" applyBorder="1" applyAlignment="1">
      <alignment horizontal="center"/>
    </xf>
    <xf numFmtId="0" fontId="138" fillId="0" borderId="17" xfId="0" applyFont="1" applyBorder="1" applyAlignment="1">
      <alignment horizontal="center"/>
    </xf>
    <xf numFmtId="0" fontId="139" fillId="0" borderId="13" xfId="0" applyFont="1" applyBorder="1"/>
    <xf numFmtId="0" fontId="138" fillId="0" borderId="3" xfId="0" applyFont="1" applyBorder="1"/>
    <xf numFmtId="0" fontId="138" fillId="0" borderId="13" xfId="0" applyFont="1" applyBorder="1"/>
    <xf numFmtId="0" fontId="138" fillId="0" borderId="132" xfId="0" applyFont="1" applyBorder="1"/>
    <xf numFmtId="1" fontId="138" fillId="0" borderId="125" xfId="0" applyNumberFormat="1" applyFont="1" applyBorder="1"/>
    <xf numFmtId="1" fontId="138" fillId="0" borderId="132" xfId="0" applyNumberFormat="1" applyFont="1" applyBorder="1"/>
    <xf numFmtId="0" fontId="138" fillId="0" borderId="125" xfId="0" applyFont="1" applyBorder="1"/>
    <xf numFmtId="0" fontId="130" fillId="0" borderId="125" xfId="0" applyFont="1" applyBorder="1"/>
    <xf numFmtId="0" fontId="57" fillId="39" borderId="62" xfId="274" applyFont="1" applyFill="1" applyBorder="1" applyAlignment="1">
      <alignment horizontal="center" vertical="center" wrapText="1"/>
    </xf>
    <xf numFmtId="0" fontId="127" fillId="0" borderId="137" xfId="274" applyFont="1" applyBorder="1"/>
    <xf numFmtId="0" fontId="127" fillId="0" borderId="138" xfId="274" applyFont="1" applyBorder="1"/>
    <xf numFmtId="0" fontId="57" fillId="0" borderId="54" xfId="274" applyFont="1" applyBorder="1"/>
    <xf numFmtId="0" fontId="57" fillId="0" borderId="6" xfId="274" applyFont="1" applyBorder="1"/>
    <xf numFmtId="1" fontId="127" fillId="0" borderId="3" xfId="274" applyNumberFormat="1" applyFont="1" applyBorder="1"/>
    <xf numFmtId="1" fontId="57" fillId="0" borderId="6" xfId="274" applyNumberFormat="1" applyFont="1" applyBorder="1"/>
    <xf numFmtId="0" fontId="57" fillId="0" borderId="127" xfId="274" applyFont="1" applyBorder="1"/>
    <xf numFmtId="0" fontId="57" fillId="0" borderId="132" xfId="274" applyFont="1" applyBorder="1"/>
    <xf numFmtId="0" fontId="4" fillId="0" borderId="79" xfId="6" applyFont="1" applyBorder="1" applyAlignment="1">
      <alignment vertical="center" wrapText="1"/>
    </xf>
    <xf numFmtId="0" fontId="4" fillId="0" borderId="6" xfId="6" applyFont="1" applyBorder="1" applyAlignment="1">
      <alignment horizontal="right" vertical="center"/>
    </xf>
    <xf numFmtId="0" fontId="4" fillId="0" borderId="6" xfId="6" applyFont="1" applyBorder="1" applyAlignment="1">
      <alignment vertical="center" wrapText="1"/>
    </xf>
    <xf numFmtId="0" fontId="4" fillId="0" borderId="6" xfId="6" applyFont="1" applyFill="1" applyBorder="1" applyAlignment="1">
      <alignment horizontal="center" vertical="center"/>
    </xf>
    <xf numFmtId="0" fontId="14" fillId="30" borderId="62" xfId="78" applyFont="1" applyFill="1" applyBorder="1" applyAlignment="1" applyProtection="1">
      <alignment horizontal="left" wrapText="1"/>
    </xf>
    <xf numFmtId="0" fontId="137" fillId="0" borderId="0" xfId="0" applyFont="1"/>
    <xf numFmtId="0" fontId="140" fillId="0" borderId="0" xfId="0" applyFont="1"/>
    <xf numFmtId="0" fontId="57" fillId="0" borderId="0" xfId="0" applyFont="1"/>
    <xf numFmtId="0" fontId="141" fillId="0" borderId="0" xfId="0" applyFont="1"/>
    <xf numFmtId="0" fontId="142" fillId="3" borderId="6" xfId="0" applyFont="1" applyFill="1" applyBorder="1" applyAlignment="1">
      <alignment horizontal="center"/>
    </xf>
    <xf numFmtId="0" fontId="142" fillId="3" borderId="6" xfId="0" applyFont="1" applyFill="1" applyBorder="1"/>
    <xf numFmtId="0" fontId="127" fillId="0" borderId="14" xfId="0" applyFont="1" applyBorder="1"/>
    <xf numFmtId="0" fontId="116" fillId="0" borderId="7" xfId="0" applyFont="1" applyBorder="1"/>
    <xf numFmtId="0" fontId="116" fillId="0" borderId="14" xfId="0" applyFont="1" applyBorder="1" applyAlignment="1">
      <alignment horizontal="left"/>
    </xf>
    <xf numFmtId="0" fontId="116" fillId="0" borderId="14" xfId="0" applyFont="1" applyBorder="1" applyAlignment="1">
      <alignment horizontal="left" vertical="center"/>
    </xf>
    <xf numFmtId="0" fontId="116" fillId="0" borderId="14" xfId="0" applyFont="1" applyBorder="1" applyAlignment="1"/>
    <xf numFmtId="0" fontId="141" fillId="0" borderId="0" xfId="0" applyFont="1" applyAlignment="1">
      <alignment textRotation="180"/>
    </xf>
    <xf numFmtId="0" fontId="116" fillId="0" borderId="14" xfId="0" applyFont="1" applyBorder="1" applyAlignment="1">
      <alignment horizontal="right"/>
    </xf>
    <xf numFmtId="0" fontId="116" fillId="0" borderId="54" xfId="0" applyFont="1" applyBorder="1"/>
    <xf numFmtId="0" fontId="57" fillId="0" borderId="56" xfId="0" applyFont="1" applyBorder="1" applyAlignment="1">
      <alignment horizontal="center"/>
    </xf>
    <xf numFmtId="0" fontId="57" fillId="0" borderId="14" xfId="0" applyFont="1" applyBorder="1" applyAlignment="1">
      <alignment horizontal="center"/>
    </xf>
    <xf numFmtId="0" fontId="116" fillId="0" borderId="3" xfId="0" applyFont="1" applyBorder="1" applyAlignment="1">
      <alignment horizontal="right" vertical="top"/>
    </xf>
    <xf numFmtId="0" fontId="116" fillId="0" borderId="3" xfId="0" applyFont="1" applyFill="1" applyBorder="1"/>
    <xf numFmtId="0" fontId="116" fillId="0" borderId="15" xfId="0" applyFont="1" applyBorder="1"/>
    <xf numFmtId="0" fontId="117" fillId="0" borderId="54" xfId="0" applyFont="1" applyBorder="1"/>
    <xf numFmtId="0" fontId="117" fillId="0" borderId="6" xfId="0" applyFont="1" applyBorder="1" applyAlignment="1">
      <alignment horizontal="right"/>
    </xf>
    <xf numFmtId="0" fontId="116" fillId="0" borderId="0" xfId="0" quotePrefix="1" applyFont="1" applyBorder="1"/>
    <xf numFmtId="0" fontId="117" fillId="0" borderId="0" xfId="0" applyFont="1" applyFill="1" applyBorder="1"/>
    <xf numFmtId="0" fontId="116" fillId="0" borderId="0" xfId="0" applyFont="1" applyAlignment="1">
      <alignment horizontal="center" vertical="center"/>
    </xf>
    <xf numFmtId="170" fontId="116" fillId="0" borderId="6" xfId="0" applyNumberFormat="1" applyFont="1" applyBorder="1" applyAlignment="1">
      <alignment horizontal="center" vertical="center"/>
    </xf>
    <xf numFmtId="170" fontId="116" fillId="0" borderId="0" xfId="0" applyNumberFormat="1" applyFont="1" applyBorder="1" applyAlignment="1">
      <alignment horizontal="center" vertical="center"/>
    </xf>
    <xf numFmtId="0" fontId="117" fillId="0" borderId="0" xfId="95" applyFont="1"/>
    <xf numFmtId="0" fontId="117" fillId="0" borderId="6" xfId="95" applyFont="1" applyBorder="1"/>
    <xf numFmtId="0" fontId="117" fillId="0" borderId="6" xfId="95" applyFont="1" applyBorder="1" applyAlignment="1">
      <alignment horizontal="center"/>
    </xf>
    <xf numFmtId="10" fontId="117" fillId="0" borderId="6" xfId="0" applyNumberFormat="1" applyFont="1" applyBorder="1" applyAlignment="1">
      <alignment horizontal="center"/>
    </xf>
    <xf numFmtId="0" fontId="116" fillId="0" borderId="0" xfId="0" applyFont="1" applyFill="1" applyBorder="1"/>
    <xf numFmtId="1" fontId="14" fillId="0" borderId="6" xfId="95" applyNumberFormat="1" applyFont="1" applyBorder="1"/>
    <xf numFmtId="1" fontId="14" fillId="0" borderId="0" xfId="95" applyNumberFormat="1" applyFont="1"/>
    <xf numFmtId="0" fontId="14" fillId="0" borderId="3" xfId="95" applyFont="1" applyFill="1" applyBorder="1"/>
    <xf numFmtId="0" fontId="14" fillId="0" borderId="0" xfId="0" applyFont="1" applyFill="1" applyBorder="1" applyAlignment="1">
      <alignment horizontal="left" vertical="center"/>
    </xf>
    <xf numFmtId="43" fontId="17" fillId="2" borderId="24" xfId="46" applyFont="1" applyFill="1" applyBorder="1" applyAlignment="1">
      <alignment horizontal="right" wrapText="1"/>
    </xf>
    <xf numFmtId="43" fontId="17" fillId="2" borderId="25" xfId="46" applyFont="1" applyFill="1" applyBorder="1" applyAlignment="1">
      <alignment horizontal="right" wrapText="1"/>
    </xf>
    <xf numFmtId="43" fontId="17" fillId="2" borderId="0" xfId="46" applyFont="1" applyFill="1" applyBorder="1" applyAlignment="1">
      <alignment horizontal="right"/>
    </xf>
    <xf numFmtId="43" fontId="17" fillId="2" borderId="33" xfId="46" applyFont="1" applyFill="1" applyBorder="1" applyAlignment="1">
      <alignment horizontal="right"/>
    </xf>
    <xf numFmtId="0" fontId="22" fillId="2" borderId="0" xfId="95" quotePrefix="1" applyFont="1" applyFill="1" applyBorder="1" applyAlignment="1"/>
    <xf numFmtId="43" fontId="17" fillId="2" borderId="0" xfId="46" applyFont="1" applyFill="1" applyBorder="1" applyAlignment="1">
      <alignment horizontal="right" wrapText="1"/>
    </xf>
    <xf numFmtId="43" fontId="17" fillId="2" borderId="33" xfId="46" applyFont="1" applyFill="1" applyBorder="1" applyAlignment="1">
      <alignment horizontal="right" wrapText="1"/>
    </xf>
    <xf numFmtId="0" fontId="120" fillId="2" borderId="23" xfId="95" applyFont="1" applyFill="1" applyBorder="1" applyAlignment="1">
      <alignment horizontal="center"/>
    </xf>
    <xf numFmtId="0" fontId="14" fillId="2" borderId="24" xfId="95" applyFont="1" applyFill="1" applyBorder="1"/>
    <xf numFmtId="43" fontId="14" fillId="2" borderId="24" xfId="46" applyFont="1" applyFill="1" applyBorder="1"/>
    <xf numFmtId="4" fontId="14" fillId="2" borderId="24" xfId="46" applyNumberFormat="1" applyFont="1" applyFill="1" applyBorder="1"/>
    <xf numFmtId="4" fontId="14" fillId="2" borderId="0" xfId="46" applyNumberFormat="1" applyFont="1" applyFill="1"/>
    <xf numFmtId="4" fontId="17" fillId="2" borderId="0" xfId="46" applyNumberFormat="1" applyFont="1" applyFill="1"/>
    <xf numFmtId="43" fontId="14" fillId="2" borderId="32" xfId="46" applyFont="1" applyFill="1" applyBorder="1"/>
    <xf numFmtId="0" fontId="14" fillId="2" borderId="0" xfId="95" applyFont="1" applyFill="1"/>
    <xf numFmtId="0" fontId="143" fillId="2" borderId="24" xfId="261" quotePrefix="1" applyFont="1" applyFill="1" applyBorder="1" applyAlignment="1" applyProtection="1"/>
    <xf numFmtId="43" fontId="17" fillId="2" borderId="24" xfId="46" applyFont="1" applyFill="1" applyBorder="1"/>
    <xf numFmtId="4" fontId="17" fillId="2" borderId="0" xfId="46" applyNumberFormat="1" applyFont="1" applyFill="1" applyAlignment="1">
      <alignment horizontal="right"/>
    </xf>
    <xf numFmtId="43" fontId="17" fillId="2" borderId="32" xfId="46" applyFont="1" applyFill="1" applyBorder="1"/>
    <xf numFmtId="0" fontId="17" fillId="2" borderId="0" xfId="95" applyFont="1" applyFill="1"/>
    <xf numFmtId="0" fontId="120" fillId="2" borderId="32" xfId="95" applyFont="1" applyFill="1" applyBorder="1" applyAlignment="1">
      <alignment horizontal="center"/>
    </xf>
    <xf numFmtId="0" fontId="17" fillId="2" borderId="0" xfId="95" quotePrefix="1" applyFont="1" applyFill="1" applyBorder="1" applyAlignment="1"/>
    <xf numFmtId="43" fontId="17" fillId="2" borderId="0" xfId="46" applyFont="1" applyFill="1" applyBorder="1"/>
    <xf numFmtId="4" fontId="14" fillId="2" borderId="0" xfId="46" applyNumberFormat="1" applyFont="1" applyFill="1" applyBorder="1"/>
    <xf numFmtId="4" fontId="14" fillId="2" borderId="33" xfId="46" applyNumberFormat="1" applyFont="1" applyFill="1" applyBorder="1"/>
    <xf numFmtId="0" fontId="17" fillId="2" borderId="0" xfId="95" applyFont="1" applyFill="1" applyBorder="1" applyAlignment="1"/>
    <xf numFmtId="0" fontId="144" fillId="2" borderId="0" xfId="95" applyFont="1" applyFill="1"/>
    <xf numFmtId="43" fontId="144" fillId="2" borderId="0" xfId="95" applyNumberFormat="1" applyFont="1" applyFill="1"/>
    <xf numFmtId="4" fontId="145" fillId="2" borderId="0" xfId="95" applyNumberFormat="1" applyFont="1" applyFill="1"/>
    <xf numFmtId="0" fontId="14" fillId="2" borderId="0" xfId="95" applyFont="1" applyFill="1" applyBorder="1" applyAlignment="1"/>
    <xf numFmtId="0" fontId="145" fillId="2" borderId="0" xfId="95" applyFont="1" applyFill="1"/>
    <xf numFmtId="43" fontId="145" fillId="2" borderId="0" xfId="95" applyNumberFormat="1" applyFont="1" applyFill="1"/>
    <xf numFmtId="0" fontId="14" fillId="2" borderId="0" xfId="263" applyFont="1" applyFill="1" applyBorder="1"/>
    <xf numFmtId="0" fontId="14" fillId="0" borderId="32" xfId="95" applyFont="1" applyBorder="1"/>
    <xf numFmtId="4" fontId="14" fillId="2" borderId="17" xfId="46" applyNumberFormat="1" applyFont="1" applyFill="1" applyBorder="1"/>
    <xf numFmtId="4" fontId="14" fillId="2" borderId="89" xfId="46" applyNumberFormat="1" applyFont="1" applyFill="1" applyBorder="1"/>
    <xf numFmtId="4" fontId="17" fillId="2" borderId="17" xfId="46" applyNumberFormat="1" applyFont="1" applyFill="1" applyBorder="1"/>
    <xf numFmtId="4" fontId="17" fillId="2" borderId="0" xfId="46" applyNumberFormat="1" applyFont="1" applyFill="1" applyBorder="1"/>
    <xf numFmtId="4" fontId="17" fillId="2" borderId="33" xfId="46" applyNumberFormat="1" applyFont="1" applyFill="1" applyBorder="1"/>
    <xf numFmtId="4" fontId="14" fillId="2" borderId="125" xfId="46" applyNumberFormat="1" applyFont="1" applyFill="1" applyBorder="1"/>
    <xf numFmtId="4" fontId="14" fillId="2" borderId="126" xfId="46" applyNumberFormat="1" applyFont="1" applyFill="1" applyBorder="1"/>
    <xf numFmtId="4" fontId="17" fillId="2" borderId="125" xfId="46" applyNumberFormat="1" applyFont="1" applyFill="1" applyBorder="1"/>
    <xf numFmtId="43" fontId="17" fillId="2" borderId="0" xfId="46" applyFont="1" applyFill="1" applyBorder="1" applyProtection="1"/>
    <xf numFmtId="0" fontId="14" fillId="2" borderId="0" xfId="95" applyNumberFormat="1" applyFont="1" applyFill="1"/>
    <xf numFmtId="0" fontId="14" fillId="2" borderId="0" xfId="95" applyFont="1" applyFill="1" applyBorder="1"/>
    <xf numFmtId="43" fontId="14" fillId="2" borderId="0" xfId="46" applyFont="1" applyFill="1"/>
    <xf numFmtId="43" fontId="14" fillId="2" borderId="0" xfId="95" applyNumberFormat="1" applyFont="1" applyFill="1"/>
    <xf numFmtId="4" fontId="14" fillId="2" borderId="130" xfId="46" applyNumberFormat="1" applyFont="1" applyFill="1" applyBorder="1"/>
    <xf numFmtId="0" fontId="17" fillId="2" borderId="0" xfId="263" applyFont="1" applyFill="1" applyBorder="1"/>
    <xf numFmtId="0" fontId="120" fillId="2" borderId="34" xfId="95" applyFont="1" applyFill="1" applyBorder="1" applyAlignment="1">
      <alignment horizontal="center"/>
    </xf>
    <xf numFmtId="0" fontId="17" fillId="2" borderId="35" xfId="263" applyFont="1" applyFill="1" applyBorder="1"/>
    <xf numFmtId="43" fontId="17" fillId="2" borderId="35" xfId="46" applyFont="1" applyFill="1" applyBorder="1"/>
    <xf numFmtId="4" fontId="17" fillId="2" borderId="35" xfId="46" applyNumberFormat="1" applyFont="1" applyFill="1" applyBorder="1"/>
    <xf numFmtId="4" fontId="17" fillId="2" borderId="36" xfId="46" applyNumberFormat="1" applyFont="1" applyFill="1" applyBorder="1"/>
    <xf numFmtId="16" fontId="14" fillId="2" borderId="0" xfId="95" quotePrefix="1" applyNumberFormat="1" applyFont="1" applyFill="1"/>
    <xf numFmtId="4" fontId="14" fillId="2" borderId="59" xfId="46" applyNumberFormat="1" applyFont="1" applyFill="1" applyBorder="1"/>
    <xf numFmtId="4" fontId="17" fillId="2" borderId="126" xfId="46" applyNumberFormat="1" applyFont="1" applyFill="1" applyBorder="1"/>
    <xf numFmtId="43" fontId="14" fillId="2" borderId="0" xfId="46" quotePrefix="1" applyFont="1" applyFill="1"/>
    <xf numFmtId="4" fontId="17" fillId="2" borderId="0" xfId="46" quotePrefix="1" applyNumberFormat="1" applyFont="1" applyFill="1" applyBorder="1" applyAlignment="1">
      <alignment horizontal="center"/>
    </xf>
    <xf numFmtId="4" fontId="17" fillId="2" borderId="33" xfId="46" quotePrefix="1" applyNumberFormat="1" applyFont="1" applyFill="1" applyBorder="1" applyAlignment="1">
      <alignment horizontal="center"/>
    </xf>
    <xf numFmtId="0" fontId="120" fillId="2" borderId="32" xfId="95" applyNumberFormat="1" applyFont="1" applyFill="1" applyBorder="1" applyAlignment="1">
      <alignment horizontal="center"/>
    </xf>
    <xf numFmtId="0" fontId="146" fillId="2" borderId="0" xfId="263" applyFont="1" applyFill="1" applyBorder="1"/>
    <xf numFmtId="4" fontId="14" fillId="2" borderId="0" xfId="95" applyNumberFormat="1" applyFont="1" applyFill="1"/>
    <xf numFmtId="43" fontId="14" fillId="2" borderId="0" xfId="46" applyFont="1" applyFill="1" applyBorder="1"/>
    <xf numFmtId="4" fontId="14" fillId="2" borderId="17" xfId="46" applyNumberFormat="1" applyFont="1" applyFill="1" applyBorder="1" applyAlignment="1">
      <alignment horizontal="right"/>
    </xf>
    <xf numFmtId="4" fontId="14" fillId="2" borderId="89" xfId="46" applyNumberFormat="1" applyFont="1" applyFill="1" applyBorder="1" applyAlignment="1">
      <alignment horizontal="right"/>
    </xf>
    <xf numFmtId="4" fontId="17" fillId="2" borderId="59" xfId="46" applyNumberFormat="1" applyFont="1" applyFill="1" applyBorder="1"/>
    <xf numFmtId="4" fontId="14" fillId="2" borderId="0" xfId="46" applyNumberFormat="1" applyFont="1" applyFill="1" applyBorder="1" applyAlignment="1">
      <alignment horizontal="right"/>
    </xf>
    <xf numFmtId="4" fontId="14" fillId="2" borderId="33" xfId="46" applyNumberFormat="1" applyFont="1" applyFill="1" applyBorder="1" applyAlignment="1">
      <alignment horizontal="right"/>
    </xf>
    <xf numFmtId="4" fontId="17" fillId="0" borderId="125" xfId="95" applyNumberFormat="1" applyFont="1" applyBorder="1"/>
    <xf numFmtId="4" fontId="17" fillId="0" borderId="126" xfId="95" applyNumberFormat="1" applyFont="1" applyBorder="1"/>
    <xf numFmtId="4" fontId="147" fillId="2" borderId="0" xfId="46" applyNumberFormat="1" applyFont="1" applyFill="1" applyBorder="1"/>
    <xf numFmtId="4" fontId="147" fillId="2" borderId="33" xfId="46" applyNumberFormat="1" applyFont="1" applyFill="1" applyBorder="1"/>
    <xf numFmtId="43" fontId="14" fillId="2" borderId="0" xfId="263" applyNumberFormat="1" applyFont="1" applyFill="1" applyBorder="1"/>
    <xf numFmtId="0" fontId="14" fillId="0" borderId="34" xfId="95" applyFont="1" applyBorder="1"/>
    <xf numFmtId="4" fontId="14" fillId="2" borderId="118" xfId="46" applyNumberFormat="1" applyFont="1" applyFill="1" applyBorder="1"/>
    <xf numFmtId="0" fontId="14" fillId="0" borderId="23" xfId="95" applyFont="1" applyBorder="1"/>
    <xf numFmtId="0" fontId="14" fillId="2" borderId="0" xfId="263" applyFont="1" applyFill="1" applyBorder="1" applyAlignment="1">
      <alignment wrapText="1"/>
    </xf>
    <xf numFmtId="43" fontId="17" fillId="2" borderId="0" xfId="95" applyNumberFormat="1" applyFont="1" applyFill="1" applyBorder="1" applyAlignment="1"/>
    <xf numFmtId="4" fontId="14" fillId="2" borderId="0" xfId="95" applyNumberFormat="1" applyFont="1" applyFill="1" applyBorder="1" applyAlignment="1"/>
    <xf numFmtId="4" fontId="14" fillId="2" borderId="33" xfId="95" applyNumberFormat="1" applyFont="1" applyFill="1" applyBorder="1" applyAlignment="1"/>
    <xf numFmtId="4" fontId="14" fillId="2" borderId="17" xfId="95" applyNumberFormat="1" applyFont="1" applyFill="1" applyBorder="1" applyAlignment="1"/>
    <xf numFmtId="4" fontId="14" fillId="2" borderId="89" xfId="95" applyNumberFormat="1" applyFont="1" applyFill="1" applyBorder="1" applyAlignment="1"/>
    <xf numFmtId="4" fontId="17" fillId="2" borderId="0" xfId="95" applyNumberFormat="1" applyFont="1" applyFill="1" applyBorder="1" applyAlignment="1"/>
    <xf numFmtId="4" fontId="17" fillId="2" borderId="33" xfId="95" applyNumberFormat="1" applyFont="1" applyFill="1" applyBorder="1" applyAlignment="1"/>
    <xf numFmtId="4" fontId="14" fillId="2" borderId="125" xfId="95" applyNumberFormat="1" applyFont="1" applyFill="1" applyBorder="1" applyAlignment="1"/>
    <xf numFmtId="4" fontId="14" fillId="2" borderId="126" xfId="95" applyNumberFormat="1" applyFont="1" applyFill="1" applyBorder="1" applyAlignment="1"/>
    <xf numFmtId="0" fontId="17" fillId="2" borderId="32" xfId="95" applyFont="1" applyFill="1" applyBorder="1"/>
    <xf numFmtId="2" fontId="14" fillId="2" borderId="0" xfId="95" applyNumberFormat="1" applyFont="1" applyFill="1" applyBorder="1"/>
    <xf numFmtId="2" fontId="14" fillId="2" borderId="33" xfId="95" applyNumberFormat="1" applyFont="1" applyFill="1" applyBorder="1"/>
    <xf numFmtId="0" fontId="14" fillId="2" borderId="32" xfId="95" applyFont="1" applyFill="1" applyBorder="1"/>
    <xf numFmtId="2" fontId="14" fillId="2" borderId="17" xfId="95" applyNumberFormat="1" applyFont="1" applyFill="1" applyBorder="1"/>
    <xf numFmtId="2" fontId="14" fillId="2" borderId="0" xfId="95" applyNumberFormat="1" applyFont="1" applyFill="1"/>
    <xf numFmtId="2" fontId="14" fillId="2" borderId="89" xfId="95" applyNumberFormat="1" applyFont="1" applyFill="1" applyBorder="1"/>
    <xf numFmtId="2" fontId="14" fillId="2" borderId="59" xfId="95" applyNumberFormat="1" applyFont="1" applyFill="1" applyBorder="1"/>
    <xf numFmtId="2" fontId="14" fillId="2" borderId="125" xfId="95" applyNumberFormat="1" applyFont="1" applyFill="1" applyBorder="1"/>
    <xf numFmtId="2" fontId="14" fillId="2" borderId="126" xfId="95" applyNumberFormat="1" applyFont="1" applyFill="1" applyBorder="1"/>
    <xf numFmtId="43" fontId="146" fillId="2" borderId="0" xfId="46" applyFont="1" applyFill="1" applyBorder="1"/>
    <xf numFmtId="4" fontId="17" fillId="2" borderId="0" xfId="46" quotePrefix="1" applyNumberFormat="1" applyFont="1" applyFill="1" applyBorder="1"/>
    <xf numFmtId="4" fontId="17" fillId="2" borderId="0" xfId="46" applyNumberFormat="1" applyFont="1" applyFill="1" applyBorder="1" applyAlignment="1">
      <alignment horizontal="center"/>
    </xf>
    <xf numFmtId="43" fontId="146" fillId="2" borderId="0" xfId="95" applyNumberFormat="1" applyFont="1" applyFill="1" applyBorder="1"/>
    <xf numFmtId="4" fontId="14" fillId="2" borderId="131" xfId="46" applyNumberFormat="1" applyFont="1" applyFill="1" applyBorder="1"/>
    <xf numFmtId="43" fontId="17" fillId="2" borderId="0" xfId="46" applyFont="1" applyFill="1"/>
    <xf numFmtId="0" fontId="14" fillId="2" borderId="35" xfId="95" applyFont="1" applyFill="1" applyBorder="1"/>
    <xf numFmtId="43" fontId="14" fillId="2" borderId="35" xfId="46" applyFont="1" applyFill="1" applyBorder="1"/>
    <xf numFmtId="4" fontId="14" fillId="2" borderId="35" xfId="46" applyNumberFormat="1" applyFont="1" applyFill="1" applyBorder="1"/>
    <xf numFmtId="4" fontId="14" fillId="2" borderId="36" xfId="46" applyNumberFormat="1" applyFont="1" applyFill="1" applyBorder="1"/>
    <xf numFmtId="0" fontId="120" fillId="2" borderId="0" xfId="95" applyFont="1" applyFill="1" applyAlignment="1">
      <alignment horizontal="center"/>
    </xf>
    <xf numFmtId="0" fontId="14" fillId="0" borderId="23" xfId="95" applyFont="1" applyFill="1" applyBorder="1" applyAlignment="1"/>
    <xf numFmtId="0" fontId="14" fillId="0" borderId="24" xfId="95" applyFont="1" applyFill="1" applyBorder="1" applyAlignment="1"/>
    <xf numFmtId="0" fontId="14" fillId="0" borderId="24" xfId="95" applyFont="1" applyFill="1" applyBorder="1"/>
    <xf numFmtId="43" fontId="22" fillId="0" borderId="23" xfId="46" applyFont="1" applyFill="1" applyBorder="1" applyAlignment="1">
      <alignment horizontal="centerContinuous"/>
    </xf>
    <xf numFmtId="43" fontId="148" fillId="0" borderId="25" xfId="46" applyFont="1" applyFill="1" applyBorder="1" applyAlignment="1">
      <alignment horizontal="centerContinuous"/>
    </xf>
    <xf numFmtId="43" fontId="17" fillId="0" borderId="25" xfId="46" applyFont="1" applyFill="1" applyBorder="1" applyAlignment="1">
      <alignment horizontal="centerContinuous"/>
    </xf>
    <xf numFmtId="43" fontId="17" fillId="0" borderId="24" xfId="46" applyFont="1" applyFill="1" applyBorder="1" applyAlignment="1">
      <alignment horizontal="centerContinuous"/>
    </xf>
    <xf numFmtId="43" fontId="14" fillId="0" borderId="24" xfId="46" applyFont="1" applyFill="1" applyBorder="1" applyAlignment="1">
      <alignment horizontal="centerContinuous"/>
    </xf>
    <xf numFmtId="43" fontId="17" fillId="0" borderId="0" xfId="46" applyFont="1" applyFill="1" applyBorder="1" applyAlignment="1">
      <alignment horizontal="centerContinuous"/>
    </xf>
    <xf numFmtId="43" fontId="17" fillId="0" borderId="33" xfId="46" applyFont="1" applyFill="1" applyBorder="1"/>
    <xf numFmtId="0" fontId="14" fillId="0" borderId="32" xfId="95" applyFont="1" applyFill="1" applyBorder="1" applyAlignment="1"/>
    <xf numFmtId="0" fontId="14" fillId="0" borderId="0" xfId="95" applyFont="1" applyFill="1" applyBorder="1" applyAlignment="1"/>
    <xf numFmtId="43" fontId="17" fillId="0" borderId="32" xfId="46" applyFont="1" applyFill="1" applyBorder="1" applyAlignment="1">
      <alignment horizontal="centerContinuous" vertical="center"/>
    </xf>
    <xf numFmtId="43" fontId="14" fillId="0" borderId="33" xfId="46" applyFont="1" applyFill="1" applyBorder="1" applyAlignment="1">
      <alignment horizontal="centerContinuous" vertical="center"/>
    </xf>
    <xf numFmtId="43" fontId="17" fillId="0" borderId="33" xfId="46" applyFont="1" applyFill="1" applyBorder="1" applyAlignment="1">
      <alignment horizontal="centerContinuous" vertical="center"/>
    </xf>
    <xf numFmtId="43" fontId="17" fillId="0" borderId="0" xfId="46" applyFont="1" applyFill="1" applyBorder="1" applyAlignment="1">
      <alignment horizontal="centerContinuous" vertical="center"/>
    </xf>
    <xf numFmtId="43" fontId="17" fillId="0" borderId="33" xfId="46" applyFont="1" applyFill="1" applyBorder="1" applyAlignment="1">
      <alignment horizontal="center" vertical="center"/>
    </xf>
    <xf numFmtId="0" fontId="17" fillId="0" borderId="0" xfId="95" applyFont="1" applyFill="1" applyBorder="1" applyAlignment="1">
      <alignment horizontal="centerContinuous" vertical="center"/>
    </xf>
    <xf numFmtId="43" fontId="17" fillId="0" borderId="106" xfId="46" applyFont="1" applyFill="1" applyBorder="1" applyAlignment="1">
      <alignment horizontal="centerContinuous"/>
    </xf>
    <xf numFmtId="0" fontId="17" fillId="0" borderId="0" xfId="95" applyFont="1" applyFill="1" applyBorder="1" applyAlignment="1">
      <alignment horizontal="centerContinuous"/>
    </xf>
    <xf numFmtId="0" fontId="14" fillId="0" borderId="37" xfId="95" applyFont="1" applyFill="1" applyBorder="1"/>
    <xf numFmtId="15" fontId="14" fillId="0" borderId="32" xfId="95" applyNumberFormat="1" applyFont="1" applyFill="1" applyBorder="1" applyAlignment="1"/>
    <xf numFmtId="15" fontId="14" fillId="0" borderId="0" xfId="95" applyNumberFormat="1" applyFont="1" applyFill="1" applyBorder="1" applyAlignment="1"/>
    <xf numFmtId="15" fontId="14" fillId="0" borderId="0" xfId="46" applyNumberFormat="1" applyFont="1" applyFill="1" applyBorder="1" applyAlignment="1"/>
    <xf numFmtId="15" fontId="17" fillId="0" borderId="0" xfId="46" applyNumberFormat="1" applyFont="1" applyFill="1" applyBorder="1" applyAlignment="1"/>
    <xf numFmtId="43" fontId="14" fillId="0" borderId="106" xfId="46" applyFont="1" applyFill="1" applyBorder="1" applyAlignment="1"/>
    <xf numFmtId="43" fontId="14" fillId="0" borderId="0" xfId="46" applyFont="1" applyFill="1" applyBorder="1" applyAlignment="1"/>
    <xf numFmtId="0" fontId="14" fillId="0" borderId="38" xfId="95" applyFont="1" applyFill="1" applyBorder="1"/>
    <xf numFmtId="43" fontId="17" fillId="0" borderId="106" xfId="46" quotePrefix="1" applyFont="1" applyFill="1" applyBorder="1" applyAlignment="1">
      <alignment horizontal="centerContinuous"/>
    </xf>
    <xf numFmtId="43" fontId="17" fillId="0" borderId="0" xfId="46" quotePrefix="1" applyFont="1" applyFill="1" applyBorder="1" applyAlignment="1">
      <alignment horizontal="centerContinuous"/>
    </xf>
    <xf numFmtId="43" fontId="17" fillId="0" borderId="0" xfId="46" quotePrefix="1" applyFont="1" applyFill="1" applyBorder="1" applyAlignment="1">
      <alignment horizontal="centerContinuous" vertical="center"/>
    </xf>
    <xf numFmtId="15" fontId="14" fillId="0" borderId="32" xfId="95" quotePrefix="1" applyNumberFormat="1" applyFont="1" applyFill="1" applyBorder="1" applyAlignment="1"/>
    <xf numFmtId="15" fontId="14" fillId="0" borderId="0" xfId="95" quotePrefix="1" applyNumberFormat="1" applyFont="1" applyFill="1" applyBorder="1" applyAlignment="1">
      <alignment horizontal="center"/>
    </xf>
    <xf numFmtId="15" fontId="14" fillId="0" borderId="0" xfId="46" quotePrefix="1" applyNumberFormat="1" applyFont="1" applyFill="1" applyBorder="1" applyAlignment="1">
      <alignment horizontal="center"/>
    </xf>
    <xf numFmtId="15" fontId="17" fillId="0" borderId="0" xfId="46" applyNumberFormat="1" applyFont="1" applyFill="1" applyBorder="1" applyAlignment="1">
      <alignment horizontal="center"/>
    </xf>
    <xf numFmtId="15" fontId="17" fillId="0" borderId="0" xfId="46" quotePrefix="1" applyNumberFormat="1" applyFont="1" applyFill="1" applyBorder="1" applyAlignment="1">
      <alignment horizontal="center"/>
    </xf>
    <xf numFmtId="43" fontId="14" fillId="0" borderId="106" xfId="46" quotePrefix="1" applyFont="1" applyFill="1" applyBorder="1" applyAlignment="1">
      <alignment horizontal="center"/>
    </xf>
    <xf numFmtId="43" fontId="14" fillId="0" borderId="0" xfId="46" quotePrefix="1" applyFont="1" applyFill="1" applyBorder="1" applyAlignment="1">
      <alignment horizontal="center"/>
    </xf>
    <xf numFmtId="0" fontId="14" fillId="0" borderId="0" xfId="95" quotePrefix="1" applyFont="1" applyFill="1" applyBorder="1" applyAlignment="1">
      <alignment horizontal="center"/>
    </xf>
    <xf numFmtId="43" fontId="14" fillId="0" borderId="0" xfId="46" applyFont="1" applyFill="1" applyBorder="1"/>
    <xf numFmtId="43" fontId="17" fillId="0" borderId="0" xfId="46" applyFont="1" applyFill="1" applyBorder="1" applyAlignment="1">
      <alignment horizontal="right" wrapText="1"/>
    </xf>
    <xf numFmtId="43" fontId="14" fillId="0" borderId="106" xfId="46" applyFont="1" applyFill="1" applyBorder="1"/>
    <xf numFmtId="43" fontId="17" fillId="0" borderId="0" xfId="46" applyFont="1" applyFill="1" applyBorder="1" applyAlignment="1">
      <alignment horizontal="center"/>
    </xf>
    <xf numFmtId="43" fontId="14" fillId="0" borderId="0" xfId="46" applyFont="1" applyFill="1" applyBorder="1" applyAlignment="1">
      <alignment horizontal="right"/>
    </xf>
    <xf numFmtId="0" fontId="17" fillId="0" borderId="0" xfId="95" quotePrefix="1" applyFont="1" applyFill="1" applyBorder="1" applyAlignment="1">
      <alignment horizontal="center"/>
    </xf>
    <xf numFmtId="0" fontId="17" fillId="0" borderId="0" xfId="95" applyFont="1" applyFill="1" applyBorder="1" applyAlignment="1">
      <alignment horizontal="center"/>
    </xf>
    <xf numFmtId="43" fontId="17" fillId="0" borderId="0" xfId="46" applyFont="1" applyFill="1" applyBorder="1" applyAlignment="1">
      <alignment horizontal="right"/>
    </xf>
    <xf numFmtId="43" fontId="17" fillId="0" borderId="106" xfId="46" applyFont="1" applyFill="1" applyBorder="1" applyAlignment="1">
      <alignment horizontal="right"/>
    </xf>
    <xf numFmtId="0" fontId="14" fillId="0" borderId="0" xfId="95" applyFont="1" applyFill="1" applyBorder="1" applyAlignment="1">
      <alignment horizontal="right"/>
    </xf>
    <xf numFmtId="0" fontId="17" fillId="0" borderId="32" xfId="95" quotePrefix="1" applyFont="1" applyFill="1" applyBorder="1" applyAlignment="1"/>
    <xf numFmtId="0" fontId="17" fillId="0" borderId="0" xfId="95" applyFont="1" applyFill="1" applyBorder="1" applyAlignment="1"/>
    <xf numFmtId="43" fontId="17" fillId="0" borderId="0" xfId="46" applyFont="1" applyFill="1" applyBorder="1"/>
    <xf numFmtId="178" fontId="14" fillId="0" borderId="0" xfId="46" applyNumberFormat="1" applyFont="1" applyFill="1" applyBorder="1"/>
    <xf numFmtId="178" fontId="14" fillId="0" borderId="106" xfId="46" applyNumberFormat="1" applyFont="1" applyFill="1" applyBorder="1"/>
    <xf numFmtId="0" fontId="148" fillId="0" borderId="0" xfId="261" applyFont="1" applyFill="1" applyBorder="1" applyAlignment="1" applyProtection="1">
      <alignment horizontal="center"/>
    </xf>
    <xf numFmtId="43" fontId="17" fillId="0" borderId="106" xfId="46" applyFont="1" applyFill="1" applyBorder="1"/>
    <xf numFmtId="43" fontId="14" fillId="0" borderId="0" xfId="95" applyNumberFormat="1" applyFont="1" applyFill="1" applyBorder="1"/>
    <xf numFmtId="4" fontId="17" fillId="0" borderId="0" xfId="95" applyNumberFormat="1" applyFont="1" applyFill="1" applyBorder="1"/>
    <xf numFmtId="43" fontId="17" fillId="0" borderId="0" xfId="95" applyNumberFormat="1" applyFont="1" applyFill="1" applyBorder="1"/>
    <xf numFmtId="0" fontId="14" fillId="0" borderId="0" xfId="95" applyFont="1" applyFill="1" applyBorder="1" applyAlignment="1">
      <alignment wrapText="1"/>
    </xf>
    <xf numFmtId="4" fontId="14" fillId="0" borderId="0" xfId="95" applyNumberFormat="1" applyFont="1" applyFill="1" applyBorder="1"/>
    <xf numFmtId="14" fontId="14" fillId="0" borderId="32" xfId="95" applyNumberFormat="1" applyFont="1" applyFill="1" applyBorder="1" applyAlignment="1"/>
    <xf numFmtId="43" fontId="14" fillId="0" borderId="17" xfId="46" applyFont="1" applyFill="1" applyBorder="1"/>
    <xf numFmtId="0" fontId="17" fillId="0" borderId="0" xfId="95" applyFont="1" applyFill="1" applyBorder="1" applyAlignment="1">
      <alignment horizontal="right"/>
    </xf>
    <xf numFmtId="43" fontId="17" fillId="0" borderId="125" xfId="46" applyFont="1" applyFill="1" applyBorder="1"/>
    <xf numFmtId="2" fontId="14" fillId="0" borderId="0" xfId="95" applyNumberFormat="1" applyFont="1" applyFill="1" applyBorder="1"/>
    <xf numFmtId="0" fontId="17" fillId="0" borderId="32" xfId="95" applyFont="1" applyFill="1" applyBorder="1" applyAlignment="1"/>
    <xf numFmtId="0" fontId="148" fillId="0" borderId="0" xfId="261" applyFont="1" applyFill="1" applyBorder="1" applyAlignment="1" applyProtection="1">
      <alignment horizontal="center" vertical="center"/>
    </xf>
    <xf numFmtId="43" fontId="14" fillId="0" borderId="0" xfId="46" applyNumberFormat="1" applyFont="1" applyFill="1" applyBorder="1"/>
    <xf numFmtId="0" fontId="14" fillId="0" borderId="0" xfId="95" applyFont="1" applyFill="1" applyBorder="1" applyAlignment="1">
      <alignment horizontal="left"/>
    </xf>
    <xf numFmtId="43" fontId="14" fillId="0" borderId="35" xfId="46" applyFont="1" applyFill="1" applyBorder="1"/>
    <xf numFmtId="0" fontId="17" fillId="0" borderId="0" xfId="95" applyFont="1" applyFill="1" applyBorder="1" applyAlignment="1">
      <alignment horizontal="left"/>
    </xf>
    <xf numFmtId="0" fontId="150" fillId="0" borderId="32" xfId="95" quotePrefix="1" applyFont="1" applyFill="1" applyBorder="1" applyAlignment="1"/>
    <xf numFmtId="177" fontId="14" fillId="0" borderId="0" xfId="95" applyNumberFormat="1" applyFont="1" applyFill="1" applyBorder="1"/>
    <xf numFmtId="43" fontId="14" fillId="0" borderId="0" xfId="95" applyNumberFormat="1" applyFont="1" applyFill="1" applyBorder="1" applyAlignment="1">
      <alignment horizontal="left"/>
    </xf>
    <xf numFmtId="43" fontId="146" fillId="0" borderId="0" xfId="46" applyFont="1" applyFill="1" applyBorder="1"/>
    <xf numFmtId="43" fontId="146" fillId="0" borderId="0" xfId="95" applyNumberFormat="1" applyFont="1" applyFill="1" applyBorder="1"/>
    <xf numFmtId="0" fontId="146" fillId="0" borderId="0" xfId="95" applyFont="1" applyFill="1" applyBorder="1"/>
    <xf numFmtId="43" fontId="150" fillId="0" borderId="0" xfId="46" applyFont="1" applyFill="1" applyBorder="1"/>
    <xf numFmtId="43" fontId="146" fillId="0" borderId="106" xfId="46" applyFont="1" applyFill="1" applyBorder="1"/>
    <xf numFmtId="43" fontId="17" fillId="0" borderId="35" xfId="46" applyFont="1" applyFill="1" applyBorder="1"/>
    <xf numFmtId="43" fontId="14" fillId="0" borderId="39" xfId="46" applyFont="1" applyFill="1" applyBorder="1"/>
    <xf numFmtId="43" fontId="14" fillId="0" borderId="34" xfId="46" applyFont="1" applyFill="1" applyBorder="1"/>
    <xf numFmtId="0" fontId="22" fillId="0" borderId="0" xfId="95" applyFont="1" applyFill="1" applyBorder="1" applyAlignment="1">
      <alignment horizontal="center"/>
    </xf>
    <xf numFmtId="4" fontId="14" fillId="0" borderId="0" xfId="46" applyNumberFormat="1" applyFont="1" applyFill="1" applyBorder="1"/>
    <xf numFmtId="179" fontId="17" fillId="0" borderId="0" xfId="46" applyNumberFormat="1" applyFont="1" applyFill="1" applyBorder="1"/>
    <xf numFmtId="179" fontId="14" fillId="0" borderId="106" xfId="46" applyNumberFormat="1" applyFont="1" applyFill="1" applyBorder="1"/>
    <xf numFmtId="179" fontId="14" fillId="0" borderId="0" xfId="46" applyNumberFormat="1" applyFont="1" applyFill="1" applyBorder="1"/>
    <xf numFmtId="4" fontId="17" fillId="0" borderId="0" xfId="46" applyNumberFormat="1" applyFont="1" applyFill="1" applyBorder="1"/>
    <xf numFmtId="0" fontId="14" fillId="0" borderId="32" xfId="95" applyFont="1" applyFill="1" applyBorder="1"/>
    <xf numFmtId="43" fontId="151" fillId="0" borderId="0" xfId="46" applyFont="1" applyFill="1" applyBorder="1"/>
    <xf numFmtId="43" fontId="152" fillId="0" borderId="106" xfId="46" applyFont="1" applyFill="1" applyBorder="1"/>
    <xf numFmtId="43" fontId="152" fillId="0" borderId="0" xfId="46" applyFont="1" applyFill="1" applyBorder="1"/>
    <xf numFmtId="43" fontId="132" fillId="0" borderId="0" xfId="46" applyFont="1" applyFill="1" applyBorder="1"/>
    <xf numFmtId="177" fontId="17" fillId="0" borderId="0" xfId="46" applyNumberFormat="1" applyFont="1" applyFill="1" applyBorder="1"/>
    <xf numFmtId="177" fontId="14" fillId="0" borderId="0" xfId="46" applyNumberFormat="1" applyFont="1" applyFill="1" applyBorder="1"/>
    <xf numFmtId="0" fontId="17" fillId="0" borderId="32" xfId="95" quotePrefix="1" applyFont="1" applyFill="1" applyBorder="1" applyAlignment="1">
      <alignment horizontal="left"/>
    </xf>
    <xf numFmtId="0" fontId="17" fillId="0" borderId="32" xfId="95" applyFont="1" applyFill="1" applyBorder="1"/>
    <xf numFmtId="0" fontId="17" fillId="0" borderId="32" xfId="95" applyFont="1" applyFill="1" applyBorder="1" applyAlignment="1">
      <alignment horizontal="left"/>
    </xf>
    <xf numFmtId="0" fontId="17" fillId="0" borderId="0" xfId="95" applyFont="1" applyFill="1" applyBorder="1"/>
    <xf numFmtId="0" fontId="14" fillId="0" borderId="34" xfId="95" applyFont="1" applyFill="1" applyBorder="1"/>
    <xf numFmtId="0" fontId="14" fillId="0" borderId="35" xfId="95" applyFont="1" applyFill="1" applyBorder="1"/>
    <xf numFmtId="43" fontId="17" fillId="0" borderId="24" xfId="46" applyFont="1" applyFill="1" applyBorder="1"/>
    <xf numFmtId="0" fontId="14" fillId="0" borderId="35" xfId="95" applyFont="1" applyFill="1" applyBorder="1" applyAlignment="1"/>
    <xf numFmtId="0" fontId="17" fillId="0" borderId="106" xfId="95" applyFont="1" applyFill="1" applyBorder="1" applyAlignment="1"/>
    <xf numFmtId="43" fontId="17" fillId="0" borderId="0" xfId="46" applyFont="1" applyFill="1" applyBorder="1" applyAlignment="1"/>
    <xf numFmtId="0" fontId="14" fillId="0" borderId="106" xfId="95" applyFont="1" applyFill="1" applyBorder="1" applyAlignment="1"/>
    <xf numFmtId="0" fontId="146" fillId="0" borderId="0" xfId="95" applyFont="1" applyFill="1" applyBorder="1" applyAlignment="1"/>
    <xf numFmtId="43" fontId="17" fillId="0" borderId="59" xfId="46" applyFont="1" applyFill="1" applyBorder="1"/>
    <xf numFmtId="0" fontId="22" fillId="0" borderId="0" xfId="261" applyFont="1" applyFill="1" applyBorder="1" applyAlignment="1" applyProtection="1">
      <alignment horizontal="center"/>
    </xf>
    <xf numFmtId="0" fontId="17" fillId="0" borderId="0" xfId="261" applyFont="1" applyFill="1" applyBorder="1" applyAlignment="1" applyProtection="1">
      <alignment horizontal="center"/>
    </xf>
    <xf numFmtId="0" fontId="146" fillId="0" borderId="106" xfId="95" applyFont="1" applyFill="1" applyBorder="1" applyAlignment="1">
      <alignment horizontal="centerContinuous"/>
    </xf>
    <xf numFmtId="0" fontId="14" fillId="0" borderId="0" xfId="95" applyFont="1" applyFill="1" applyBorder="1" applyAlignment="1">
      <alignment horizontal="centerContinuous"/>
    </xf>
    <xf numFmtId="0" fontId="14" fillId="0" borderId="106" xfId="95" applyFont="1" applyFill="1" applyBorder="1" applyAlignment="1">
      <alignment horizontal="centerContinuous"/>
    </xf>
    <xf numFmtId="0" fontId="14" fillId="0" borderId="106" xfId="95" applyFont="1" applyFill="1" applyBorder="1"/>
    <xf numFmtId="170" fontId="14" fillId="0" borderId="0" xfId="95" applyNumberFormat="1" applyFont="1" applyFill="1" applyBorder="1"/>
    <xf numFmtId="0" fontId="17" fillId="0" borderId="106" xfId="95" applyFont="1" applyFill="1" applyBorder="1"/>
    <xf numFmtId="0" fontId="148" fillId="0" borderId="0" xfId="95" applyFont="1" applyFill="1" applyBorder="1" applyAlignment="1">
      <alignment horizontal="center"/>
    </xf>
    <xf numFmtId="0" fontId="17" fillId="0" borderId="106" xfId="95" quotePrefix="1" applyFont="1" applyFill="1" applyBorder="1" applyAlignment="1">
      <alignment horizontal="left"/>
    </xf>
    <xf numFmtId="0" fontId="17" fillId="0" borderId="106" xfId="95" applyFont="1" applyFill="1" applyBorder="1" applyAlignment="1">
      <alignment horizontal="left"/>
    </xf>
    <xf numFmtId="0" fontId="14" fillId="0" borderId="97" xfId="95" applyFont="1" applyFill="1" applyBorder="1"/>
    <xf numFmtId="0" fontId="17" fillId="0" borderId="34" xfId="95" applyFont="1" applyFill="1" applyBorder="1" applyAlignment="1"/>
    <xf numFmtId="0" fontId="17" fillId="0" borderId="35" xfId="95" applyFont="1" applyFill="1" applyBorder="1"/>
    <xf numFmtId="37" fontId="17" fillId="0" borderId="24" xfId="95" applyNumberFormat="1" applyFont="1" applyFill="1" applyBorder="1" applyAlignment="1" applyProtection="1">
      <alignment horizontal="center" vertical="center"/>
      <protection locked="0"/>
    </xf>
    <xf numFmtId="43" fontId="17" fillId="0" borderId="24" xfId="46" applyFont="1" applyFill="1" applyBorder="1" applyAlignment="1" applyProtection="1">
      <alignment horizontal="center" vertical="center"/>
      <protection locked="0"/>
    </xf>
    <xf numFmtId="43" fontId="14" fillId="0" borderId="24" xfId="46" applyFont="1" applyFill="1" applyBorder="1" applyAlignment="1" applyProtection="1">
      <alignment horizontal="center" vertical="center"/>
      <protection locked="0"/>
    </xf>
    <xf numFmtId="43" fontId="17" fillId="0" borderId="106" xfId="46" applyFont="1" applyFill="1" applyBorder="1" applyAlignment="1" applyProtection="1">
      <alignment horizontal="center" vertical="center"/>
      <protection locked="0"/>
    </xf>
    <xf numFmtId="43" fontId="17" fillId="0" borderId="0" xfId="46" applyFont="1" applyFill="1" applyBorder="1" applyAlignment="1" applyProtection="1">
      <alignment horizontal="center" vertical="center"/>
      <protection locked="0"/>
    </xf>
    <xf numFmtId="37" fontId="17" fillId="0" borderId="0" xfId="95" applyNumberFormat="1" applyFont="1" applyFill="1" applyBorder="1" applyAlignment="1" applyProtection="1">
      <alignment horizontal="center" vertical="center"/>
      <protection locked="0"/>
    </xf>
    <xf numFmtId="43" fontId="17" fillId="0" borderId="106" xfId="46" applyFont="1" applyFill="1" applyBorder="1" applyAlignment="1" applyProtection="1">
      <alignment horizontal="centerContinuous"/>
      <protection locked="0"/>
    </xf>
    <xf numFmtId="43" fontId="17" fillId="0" borderId="0" xfId="46" applyFont="1" applyFill="1" applyBorder="1" applyAlignment="1" applyProtection="1">
      <alignment horizontal="centerContinuous"/>
      <protection locked="0"/>
    </xf>
    <xf numFmtId="37" fontId="17" fillId="0" borderId="0" xfId="95" applyNumberFormat="1" applyFont="1" applyFill="1" applyBorder="1" applyAlignment="1" applyProtection="1">
      <alignment horizontal="centerContinuous"/>
      <protection locked="0"/>
    </xf>
    <xf numFmtId="37" fontId="17" fillId="0" borderId="32" xfId="95" applyNumberFormat="1" applyFont="1" applyFill="1" applyBorder="1" applyAlignment="1" applyProtection="1">
      <alignment horizontal="center" vertical="center"/>
      <protection locked="0"/>
    </xf>
    <xf numFmtId="43" fontId="14" fillId="0" borderId="0" xfId="46" applyFont="1" applyFill="1" applyBorder="1" applyAlignment="1" applyProtection="1">
      <alignment horizontal="center" vertical="center"/>
      <protection locked="0"/>
    </xf>
    <xf numFmtId="0" fontId="148" fillId="0" borderId="32" xfId="261" quotePrefix="1" applyFont="1" applyFill="1" applyBorder="1" applyAlignment="1" applyProtection="1"/>
    <xf numFmtId="43" fontId="14" fillId="0" borderId="0" xfId="46" applyFont="1" applyFill="1" applyBorder="1" applyAlignment="1">
      <alignment horizontal="center"/>
    </xf>
    <xf numFmtId="0" fontId="14" fillId="0" borderId="0" xfId="95" quotePrefix="1" applyFont="1" applyFill="1" applyBorder="1" applyAlignment="1"/>
    <xf numFmtId="0" fontId="148" fillId="0" borderId="32" xfId="261" applyFont="1" applyFill="1" applyBorder="1" applyAlignment="1" applyProtection="1"/>
    <xf numFmtId="37" fontId="17" fillId="0" borderId="32" xfId="95" applyNumberFormat="1" applyFont="1" applyFill="1" applyBorder="1" applyAlignment="1" applyProtection="1">
      <alignment vertical="center"/>
      <protection locked="0"/>
    </xf>
    <xf numFmtId="0" fontId="17" fillId="0" borderId="32" xfId="261" applyFont="1" applyFill="1" applyBorder="1" applyAlignment="1" applyProtection="1"/>
    <xf numFmtId="43" fontId="14" fillId="0" borderId="17" xfId="46" applyFont="1" applyFill="1" applyBorder="1" applyAlignment="1">
      <alignment horizontal="center"/>
    </xf>
    <xf numFmtId="43" fontId="17" fillId="0" borderId="0" xfId="95" quotePrefix="1" applyNumberFormat="1" applyFont="1" applyFill="1" applyBorder="1" applyAlignment="1">
      <alignment horizontal="center"/>
    </xf>
    <xf numFmtId="43" fontId="17" fillId="0" borderId="17" xfId="46" applyFont="1" applyFill="1" applyBorder="1"/>
    <xf numFmtId="0" fontId="14" fillId="0" borderId="32" xfId="95" quotePrefix="1" applyFont="1" applyFill="1" applyBorder="1" applyAlignment="1"/>
    <xf numFmtId="43" fontId="17" fillId="0" borderId="125" xfId="46" applyFont="1" applyFill="1" applyBorder="1" applyAlignment="1">
      <alignment horizontal="center"/>
    </xf>
    <xf numFmtId="0" fontId="14" fillId="0" borderId="34" xfId="95" quotePrefix="1" applyFont="1" applyFill="1" applyBorder="1" applyAlignment="1"/>
    <xf numFmtId="0" fontId="17" fillId="0" borderId="35" xfId="95" applyFont="1" applyFill="1" applyBorder="1" applyAlignment="1">
      <alignment horizontal="left"/>
    </xf>
    <xf numFmtId="43" fontId="17" fillId="0" borderId="35" xfId="46" applyFont="1" applyFill="1" applyBorder="1" applyAlignment="1">
      <alignment horizontal="center"/>
    </xf>
    <xf numFmtId="0" fontId="148" fillId="0" borderId="23" xfId="261" quotePrefix="1" applyFont="1" applyFill="1" applyBorder="1" applyAlignment="1" applyProtection="1"/>
    <xf numFmtId="43" fontId="14" fillId="0" borderId="24" xfId="46" applyFont="1" applyFill="1" applyBorder="1"/>
    <xf numFmtId="0" fontId="146" fillId="0" borderId="32" xfId="95" applyFont="1" applyFill="1" applyBorder="1" applyAlignment="1"/>
    <xf numFmtId="43" fontId="145" fillId="0" borderId="0" xfId="46" applyFont="1" applyFill="1" applyBorder="1"/>
    <xf numFmtId="180" fontId="14" fillId="0" borderId="0" xfId="95" applyNumberFormat="1" applyFont="1" applyFill="1" applyBorder="1"/>
    <xf numFmtId="41" fontId="14" fillId="0" borderId="17" xfId="95" applyNumberFormat="1" applyFont="1" applyFill="1" applyBorder="1"/>
    <xf numFmtId="0" fontId="154" fillId="0" borderId="32" xfId="95" applyFont="1" applyFill="1" applyBorder="1" applyAlignment="1"/>
    <xf numFmtId="0" fontId="14" fillId="0" borderId="32" xfId="95" applyFont="1" applyFill="1" applyBorder="1" applyAlignment="1">
      <alignment horizontal="left" vertical="center" indent="3"/>
    </xf>
    <xf numFmtId="0" fontId="14" fillId="0" borderId="34" xfId="95" applyFont="1" applyFill="1" applyBorder="1" applyAlignment="1"/>
    <xf numFmtId="0" fontId="14" fillId="0" borderId="21" xfId="95" applyFont="1" applyFill="1" applyBorder="1"/>
    <xf numFmtId="43" fontId="14" fillId="0" borderId="21" xfId="46" applyFont="1" applyFill="1" applyBorder="1"/>
    <xf numFmtId="43" fontId="17" fillId="0" borderId="21" xfId="46" applyFont="1" applyFill="1" applyBorder="1"/>
    <xf numFmtId="164" fontId="14" fillId="0" borderId="0" xfId="95" applyNumberFormat="1" applyFont="1" applyFill="1" applyBorder="1"/>
    <xf numFmtId="43" fontId="14" fillId="0" borderId="0" xfId="46" quotePrefix="1" applyFont="1" applyFill="1" applyBorder="1" applyAlignment="1">
      <alignment horizontal="right"/>
    </xf>
    <xf numFmtId="43" fontId="17" fillId="0" borderId="106" xfId="46" applyFont="1" applyFill="1" applyBorder="1" applyAlignment="1"/>
    <xf numFmtId="43" fontId="17" fillId="0" borderId="129" xfId="46" applyFont="1" applyFill="1" applyBorder="1"/>
    <xf numFmtId="2" fontId="14" fillId="0" borderId="35" xfId="95" applyNumberFormat="1" applyFont="1" applyFill="1" applyBorder="1"/>
    <xf numFmtId="0" fontId="17" fillId="0" borderId="24" xfId="95" applyFont="1" applyFill="1" applyBorder="1" applyAlignment="1">
      <alignment horizontal="right"/>
    </xf>
    <xf numFmtId="1" fontId="17" fillId="0" borderId="0" xfId="95" applyNumberFormat="1" applyFont="1" applyFill="1" applyBorder="1"/>
    <xf numFmtId="1" fontId="14" fillId="0" borderId="0" xfId="95" applyNumberFormat="1" applyFont="1" applyFill="1" applyBorder="1"/>
    <xf numFmtId="2" fontId="17" fillId="0" borderId="0" xfId="95" applyNumberFormat="1" applyFont="1" applyFill="1" applyBorder="1"/>
    <xf numFmtId="0" fontId="17" fillId="0" borderId="23" xfId="95" quotePrefix="1" applyFont="1" applyFill="1" applyBorder="1" applyAlignment="1"/>
    <xf numFmtId="15" fontId="17" fillId="0" borderId="0" xfId="46" applyNumberFormat="1" applyFont="1" applyFill="1" applyBorder="1" applyAlignment="1">
      <alignment horizontal="right"/>
    </xf>
    <xf numFmtId="0" fontId="14" fillId="0" borderId="32" xfId="262" applyFont="1" applyFill="1" applyBorder="1" applyAlignment="1"/>
    <xf numFmtId="0" fontId="17" fillId="0" borderId="35" xfId="95" applyFont="1" applyFill="1" applyBorder="1" applyAlignment="1">
      <alignment horizontal="right"/>
    </xf>
    <xf numFmtId="0" fontId="14" fillId="0" borderId="20" xfId="95" applyFont="1" applyFill="1" applyBorder="1" applyAlignment="1"/>
    <xf numFmtId="0" fontId="14" fillId="0" borderId="21" xfId="95" applyFont="1" applyFill="1" applyBorder="1" applyAlignment="1"/>
    <xf numFmtId="0" fontId="148" fillId="0" borderId="0" xfId="261" quotePrefix="1" applyFont="1" applyFill="1" applyBorder="1" applyAlignment="1" applyProtection="1"/>
    <xf numFmtId="40" fontId="14" fillId="0" borderId="0" xfId="95" applyNumberFormat="1" applyFont="1" applyFill="1" applyBorder="1"/>
    <xf numFmtId="40" fontId="14" fillId="0" borderId="32" xfId="95" applyNumberFormat="1" applyFont="1" applyFill="1" applyBorder="1" applyAlignment="1"/>
    <xf numFmtId="40" fontId="14" fillId="0" borderId="0" xfId="95" applyNumberFormat="1" applyFont="1" applyFill="1" applyBorder="1" applyAlignment="1"/>
    <xf numFmtId="181" fontId="17" fillId="0" borderId="0" xfId="95" applyNumberFormat="1" applyFont="1" applyFill="1" applyBorder="1" applyAlignment="1">
      <alignment horizontal="right" vertical="center"/>
    </xf>
    <xf numFmtId="43" fontId="17" fillId="0" borderId="125" xfId="46" applyFont="1" applyFill="1" applyBorder="1" applyAlignment="1">
      <alignment horizontal="right"/>
    </xf>
    <xf numFmtId="181" fontId="17" fillId="0" borderId="35" xfId="95" applyNumberFormat="1" applyFont="1" applyFill="1" applyBorder="1" applyAlignment="1">
      <alignment horizontal="right" vertical="center"/>
    </xf>
    <xf numFmtId="43" fontId="14" fillId="0" borderId="35" xfId="46" applyFont="1" applyFill="1" applyBorder="1" applyAlignment="1">
      <alignment horizontal="right"/>
    </xf>
    <xf numFmtId="43" fontId="14" fillId="0" borderId="24" xfId="46" applyFont="1" applyFill="1" applyBorder="1" applyAlignment="1">
      <alignment horizontal="right"/>
    </xf>
    <xf numFmtId="0" fontId="14" fillId="0" borderId="35" xfId="95" applyFont="1" applyFill="1" applyBorder="1" applyAlignment="1">
      <alignment horizontal="right"/>
    </xf>
    <xf numFmtId="37" fontId="14" fillId="0" borderId="0" xfId="95" applyNumberFormat="1" applyFont="1" applyFill="1" applyBorder="1"/>
    <xf numFmtId="39" fontId="14" fillId="0" borderId="59" xfId="95" applyNumberFormat="1" applyFont="1" applyFill="1" applyBorder="1" applyAlignment="1">
      <alignment wrapText="1"/>
    </xf>
    <xf numFmtId="0" fontId="14" fillId="0" borderId="59" xfId="95" applyFont="1" applyFill="1" applyBorder="1"/>
    <xf numFmtId="0" fontId="14" fillId="0" borderId="13" xfId="95" applyFont="1" applyFill="1" applyBorder="1"/>
    <xf numFmtId="0" fontId="14" fillId="0" borderId="25" xfId="95" applyFont="1" applyFill="1" applyBorder="1"/>
    <xf numFmtId="43" fontId="17" fillId="0" borderId="106" xfId="95" applyNumberFormat="1" applyFont="1" applyFill="1" applyBorder="1" applyAlignment="1"/>
    <xf numFmtId="43" fontId="14" fillId="0" borderId="0" xfId="46" applyFont="1" applyFill="1" applyBorder="1" applyAlignment="1">
      <alignment wrapText="1"/>
    </xf>
    <xf numFmtId="43" fontId="17" fillId="0" borderId="0" xfId="46" applyFont="1" applyFill="1" applyBorder="1" applyAlignment="1">
      <alignment wrapText="1"/>
    </xf>
    <xf numFmtId="0" fontId="14" fillId="0" borderId="14" xfId="95" applyFont="1" applyFill="1" applyBorder="1"/>
    <xf numFmtId="0" fontId="14" fillId="0" borderId="33" xfId="95" applyFont="1" applyFill="1" applyBorder="1"/>
    <xf numFmtId="43" fontId="17" fillId="0" borderId="14" xfId="46" applyFont="1" applyFill="1" applyBorder="1" applyAlignment="1">
      <alignment horizontal="right"/>
    </xf>
    <xf numFmtId="43" fontId="14" fillId="0" borderId="33" xfId="46" applyFont="1" applyFill="1" applyBorder="1"/>
    <xf numFmtId="0" fontId="14" fillId="0" borderId="17" xfId="95" applyFont="1" applyFill="1" applyBorder="1"/>
    <xf numFmtId="0" fontId="14" fillId="0" borderId="36" xfId="95" applyFont="1" applyFill="1" applyBorder="1"/>
    <xf numFmtId="37" fontId="14" fillId="0" borderId="0" xfId="95" applyNumberFormat="1" applyFont="1" applyFill="1" applyBorder="1" applyAlignment="1">
      <alignment horizontal="fill" wrapText="1"/>
    </xf>
    <xf numFmtId="0" fontId="14" fillId="0" borderId="0" xfId="95" applyNumberFormat="1" applyFont="1" applyFill="1" applyBorder="1"/>
    <xf numFmtId="0" fontId="14" fillId="0" borderId="0" xfId="95" applyFont="1" applyFill="1"/>
    <xf numFmtId="0" fontId="17" fillId="0" borderId="0" xfId="95" applyFont="1" applyFill="1" applyAlignment="1">
      <alignment horizontal="center"/>
    </xf>
    <xf numFmtId="0" fontId="17" fillId="0" borderId="0" xfId="95" applyFont="1" applyFill="1"/>
    <xf numFmtId="0" fontId="17" fillId="0" borderId="38" xfId="95" applyFont="1" applyFill="1" applyBorder="1"/>
    <xf numFmtId="0" fontId="17" fillId="0" borderId="0" xfId="95" quotePrefix="1" applyFont="1" applyFill="1" applyAlignment="1">
      <alignment horizontal="left"/>
    </xf>
    <xf numFmtId="43" fontId="17" fillId="0" borderId="0" xfId="46" quotePrefix="1" applyFont="1" applyFill="1" applyBorder="1" applyAlignment="1">
      <alignment horizontal="left"/>
    </xf>
    <xf numFmtId="0" fontId="17" fillId="0" borderId="38" xfId="95" quotePrefix="1" applyFont="1" applyFill="1" applyBorder="1" applyAlignment="1">
      <alignment horizontal="left"/>
    </xf>
    <xf numFmtId="0" fontId="17" fillId="0" borderId="0" xfId="95" applyFont="1" applyFill="1" applyAlignment="1">
      <alignment horizontal="left"/>
    </xf>
    <xf numFmtId="43" fontId="17" fillId="0" borderId="0" xfId="46" applyFont="1" applyFill="1" applyBorder="1" applyAlignment="1">
      <alignment horizontal="left"/>
    </xf>
    <xf numFmtId="0" fontId="17" fillId="0" borderId="38" xfId="95" applyFont="1" applyFill="1" applyBorder="1" applyAlignment="1">
      <alignment horizontal="left"/>
    </xf>
    <xf numFmtId="0" fontId="14" fillId="0" borderId="32" xfId="263" applyFont="1" applyFill="1" applyBorder="1" applyAlignment="1"/>
    <xf numFmtId="37" fontId="17" fillId="0" borderId="0" xfId="95" applyNumberFormat="1" applyFont="1" applyFill="1" applyBorder="1"/>
    <xf numFmtId="43" fontId="14" fillId="0" borderId="59" xfId="46" applyFont="1" applyFill="1" applyBorder="1" applyAlignment="1">
      <alignment wrapText="1"/>
    </xf>
    <xf numFmtId="43" fontId="17" fillId="0" borderId="59" xfId="46" applyFont="1" applyFill="1" applyBorder="1" applyAlignment="1">
      <alignment wrapText="1"/>
    </xf>
    <xf numFmtId="39" fontId="14" fillId="0" borderId="59" xfId="95" applyNumberFormat="1" applyFont="1" applyFill="1" applyBorder="1"/>
    <xf numFmtId="43" fontId="14" fillId="0" borderId="0" xfId="95" applyNumberFormat="1" applyFont="1" applyFill="1" applyBorder="1" applyAlignment="1">
      <alignment wrapText="1"/>
    </xf>
    <xf numFmtId="43" fontId="14" fillId="0" borderId="106" xfId="95" applyNumberFormat="1" applyFont="1" applyFill="1" applyBorder="1" applyAlignment="1"/>
    <xf numFmtId="177" fontId="17" fillId="0" borderId="106" xfId="95" applyNumberFormat="1" applyFont="1" applyFill="1" applyBorder="1" applyAlignment="1"/>
    <xf numFmtId="177" fontId="17" fillId="0" borderId="6" xfId="95" applyNumberFormat="1" applyFont="1" applyFill="1" applyBorder="1" applyAlignment="1">
      <alignment horizontal="center" wrapText="1"/>
    </xf>
    <xf numFmtId="43" fontId="17" fillId="0" borderId="6" xfId="46" applyFont="1" applyFill="1" applyBorder="1" applyAlignment="1">
      <alignment horizontal="center" wrapText="1"/>
    </xf>
    <xf numFmtId="177" fontId="17" fillId="0" borderId="6" xfId="46" applyNumberFormat="1" applyFont="1" applyFill="1" applyBorder="1" applyAlignment="1">
      <alignment horizontal="center" vertical="top" wrapText="1"/>
    </xf>
    <xf numFmtId="177" fontId="14" fillId="0" borderId="106" xfId="95" applyNumberFormat="1" applyFont="1" applyFill="1" applyBorder="1" applyAlignment="1"/>
    <xf numFmtId="177" fontId="14" fillId="0" borderId="52" xfId="95" applyNumberFormat="1" applyFont="1" applyFill="1" applyBorder="1" applyAlignment="1">
      <alignment wrapText="1"/>
    </xf>
    <xf numFmtId="43" fontId="14" fillId="0" borderId="52" xfId="46" applyFont="1" applyFill="1" applyBorder="1" applyAlignment="1">
      <alignment wrapText="1"/>
    </xf>
    <xf numFmtId="177" fontId="14" fillId="0" borderId="52" xfId="46" applyNumberFormat="1" applyFont="1" applyFill="1" applyBorder="1" applyAlignment="1">
      <alignment wrapText="1"/>
    </xf>
    <xf numFmtId="37" fontId="14" fillId="0" borderId="33" xfId="95" applyNumberFormat="1" applyFont="1" applyFill="1" applyBorder="1"/>
    <xf numFmtId="0" fontId="14" fillId="0" borderId="8" xfId="95" applyFont="1" applyFill="1" applyBorder="1" applyAlignment="1">
      <alignment wrapText="1"/>
    </xf>
    <xf numFmtId="177" fontId="14" fillId="0" borderId="12" xfId="95" applyNumberFormat="1" applyFont="1" applyFill="1" applyBorder="1" applyAlignment="1">
      <alignment wrapText="1"/>
    </xf>
    <xf numFmtId="177" fontId="17" fillId="0" borderId="59" xfId="46" applyNumberFormat="1" applyFont="1" applyFill="1" applyBorder="1" applyAlignment="1">
      <alignment wrapText="1"/>
    </xf>
    <xf numFmtId="177" fontId="14" fillId="0" borderId="13" xfId="46" applyNumberFormat="1" applyFont="1" applyFill="1" applyBorder="1" applyAlignment="1">
      <alignment wrapText="1"/>
    </xf>
    <xf numFmtId="177" fontId="14" fillId="0" borderId="15" xfId="95" applyNumberFormat="1" applyFont="1" applyFill="1" applyBorder="1" applyAlignment="1">
      <alignment horizontal="right" wrapText="1"/>
    </xf>
    <xf numFmtId="43" fontId="14" fillId="0" borderId="17" xfId="46" applyFont="1" applyFill="1" applyBorder="1" applyAlignment="1">
      <alignment wrapText="1"/>
    </xf>
    <xf numFmtId="43" fontId="17" fillId="0" borderId="17" xfId="46" applyFont="1" applyFill="1" applyBorder="1" applyAlignment="1">
      <alignment wrapText="1"/>
    </xf>
    <xf numFmtId="177" fontId="17" fillId="0" borderId="17" xfId="46" applyNumberFormat="1" applyFont="1" applyFill="1" applyBorder="1" applyAlignment="1">
      <alignment wrapText="1"/>
    </xf>
    <xf numFmtId="177" fontId="14" fillId="0" borderId="16" xfId="46" applyNumberFormat="1" applyFont="1" applyFill="1" applyBorder="1" applyAlignment="1">
      <alignment wrapText="1"/>
    </xf>
    <xf numFmtId="177" fontId="14" fillId="0" borderId="106" xfId="262" applyNumberFormat="1" applyFont="1" applyFill="1" applyBorder="1" applyAlignment="1"/>
    <xf numFmtId="4" fontId="14" fillId="0" borderId="6" xfId="95" applyNumberFormat="1" applyFont="1" applyFill="1" applyBorder="1" applyAlignment="1">
      <alignment horizontal="right" wrapText="1"/>
    </xf>
    <xf numFmtId="4" fontId="14" fillId="0" borderId="6" xfId="46" applyNumberFormat="1" applyFont="1" applyFill="1" applyBorder="1" applyAlignment="1">
      <alignment horizontal="right" wrapText="1"/>
    </xf>
    <xf numFmtId="4" fontId="17" fillId="0" borderId="6" xfId="46" applyNumberFormat="1" applyFont="1" applyFill="1" applyBorder="1" applyAlignment="1">
      <alignment horizontal="right" wrapText="1"/>
    </xf>
    <xf numFmtId="177" fontId="17" fillId="0" borderId="106" xfId="262" applyNumberFormat="1" applyFont="1" applyFill="1" applyBorder="1" applyAlignment="1">
      <alignment horizontal="center" vertical="center"/>
    </xf>
    <xf numFmtId="4" fontId="17" fillId="0" borderId="127" xfId="95" applyNumberFormat="1" applyFont="1" applyFill="1" applyBorder="1" applyAlignment="1">
      <alignment horizontal="right" wrapText="1"/>
    </xf>
    <xf numFmtId="4" fontId="17" fillId="0" borderId="127" xfId="46" applyNumberFormat="1" applyFont="1" applyFill="1" applyBorder="1" applyAlignment="1">
      <alignment wrapText="1"/>
    </xf>
    <xf numFmtId="4" fontId="14" fillId="0" borderId="132" xfId="46" applyNumberFormat="1" applyFont="1" applyFill="1" applyBorder="1" applyAlignment="1">
      <alignment wrapText="1"/>
    </xf>
    <xf numFmtId="177" fontId="14" fillId="0" borderId="0" xfId="95" applyNumberFormat="1" applyFont="1" applyFill="1" applyBorder="1" applyAlignment="1">
      <alignment horizontal="right" wrapText="1"/>
    </xf>
    <xf numFmtId="177" fontId="14" fillId="0" borderId="0" xfId="46" applyNumberFormat="1" applyFont="1" applyFill="1" applyBorder="1" applyAlignment="1">
      <alignment wrapText="1"/>
    </xf>
    <xf numFmtId="177" fontId="14" fillId="0" borderId="14" xfId="46" applyNumberFormat="1" applyFont="1" applyFill="1" applyBorder="1" applyAlignment="1">
      <alignment wrapText="1"/>
    </xf>
    <xf numFmtId="177" fontId="14" fillId="0" borderId="15" xfId="262" applyNumberFormat="1" applyFont="1" applyFill="1" applyBorder="1" applyAlignment="1"/>
    <xf numFmtId="177" fontId="14" fillId="0" borderId="17" xfId="95" applyNumberFormat="1" applyFont="1" applyFill="1" applyBorder="1" applyAlignment="1">
      <alignment wrapText="1"/>
    </xf>
    <xf numFmtId="4" fontId="14" fillId="0" borderId="17" xfId="95" applyNumberFormat="1" applyFont="1" applyFill="1" applyBorder="1" applyAlignment="1">
      <alignment wrapText="1"/>
    </xf>
    <xf numFmtId="4" fontId="14" fillId="0" borderId="16" xfId="95" applyNumberFormat="1" applyFont="1" applyFill="1" applyBorder="1" applyAlignment="1">
      <alignment wrapText="1"/>
    </xf>
    <xf numFmtId="177" fontId="14" fillId="0" borderId="0" xfId="262" applyNumberFormat="1" applyFont="1" applyFill="1" applyBorder="1" applyAlignment="1"/>
    <xf numFmtId="177" fontId="14" fillId="0" borderId="0" xfId="95" applyNumberFormat="1" applyFont="1" applyFill="1" applyBorder="1" applyAlignment="1">
      <alignment wrapText="1"/>
    </xf>
    <xf numFmtId="37" fontId="14" fillId="0" borderId="0" xfId="95" applyNumberFormat="1" applyFont="1" applyFill="1" applyBorder="1" applyAlignment="1"/>
    <xf numFmtId="0" fontId="14" fillId="0" borderId="0" xfId="95" applyNumberFormat="1" applyFont="1" applyFill="1" applyBorder="1" applyAlignment="1"/>
    <xf numFmtId="4" fontId="17" fillId="0" borderId="0" xfId="95" applyNumberFormat="1" applyFont="1" applyFill="1" applyBorder="1" applyAlignment="1">
      <alignment wrapText="1"/>
    </xf>
    <xf numFmtId="2" fontId="14" fillId="0" borderId="22" xfId="0" applyNumberFormat="1" applyFont="1" applyBorder="1"/>
    <xf numFmtId="2" fontId="17" fillId="0" borderId="22" xfId="0" applyNumberFormat="1" applyFont="1" applyBorder="1" applyAlignment="1">
      <alignment horizontal="right"/>
    </xf>
    <xf numFmtId="0" fontId="14" fillId="0" borderId="33" xfId="0" applyFont="1" applyBorder="1"/>
    <xf numFmtId="0" fontId="22" fillId="0" borderId="34" xfId="0" applyFont="1" applyBorder="1" applyAlignment="1">
      <alignment horizontal="center"/>
    </xf>
    <xf numFmtId="0" fontId="17" fillId="0" borderId="39" xfId="0" applyFont="1" applyBorder="1"/>
    <xf numFmtId="1" fontId="17" fillId="0" borderId="39" xfId="0" applyNumberFormat="1" applyFont="1" applyBorder="1"/>
    <xf numFmtId="2" fontId="17" fillId="0" borderId="35" xfId="0" applyNumberFormat="1" applyFont="1" applyBorder="1" applyAlignment="1">
      <alignment horizontal="right"/>
    </xf>
    <xf numFmtId="14" fontId="14" fillId="0" borderId="6" xfId="0" quotePrefix="1" applyNumberFormat="1" applyFont="1" applyBorder="1" applyAlignment="1">
      <alignment horizontal="center"/>
    </xf>
    <xf numFmtId="14" fontId="14" fillId="0" borderId="6" xfId="0" applyNumberFormat="1" applyFont="1" applyBorder="1" applyAlignment="1">
      <alignment horizontal="center"/>
    </xf>
    <xf numFmtId="1" fontId="14" fillId="0" borderId="6" xfId="0" applyNumberFormat="1" applyFont="1" applyBorder="1" applyAlignment="1">
      <alignment horizontal="center"/>
    </xf>
    <xf numFmtId="2" fontId="14" fillId="0" borderId="6" xfId="0" applyNumberFormat="1" applyFont="1" applyFill="1" applyBorder="1" applyAlignment="1">
      <alignment horizontal="center" vertical="center"/>
    </xf>
    <xf numFmtId="0" fontId="17" fillId="0" borderId="6" xfId="0" applyFont="1" applyBorder="1" applyAlignment="1"/>
    <xf numFmtId="10" fontId="17" fillId="0" borderId="6" xfId="0" applyNumberFormat="1" applyFont="1" applyBorder="1" applyAlignment="1"/>
    <xf numFmtId="9" fontId="17" fillId="0" borderId="6" xfId="0" quotePrefix="1" applyNumberFormat="1" applyFont="1" applyBorder="1" applyAlignment="1">
      <alignment horizontal="center"/>
    </xf>
    <xf numFmtId="0" fontId="14" fillId="0" borderId="86" xfId="78" applyFont="1" applyBorder="1"/>
    <xf numFmtId="0" fontId="14" fillId="0" borderId="12" xfId="78" applyFont="1" applyBorder="1"/>
    <xf numFmtId="0" fontId="14" fillId="0" borderId="59" xfId="78" applyFont="1" applyBorder="1"/>
    <xf numFmtId="0" fontId="14" fillId="0" borderId="13" xfId="78" applyFont="1" applyBorder="1"/>
    <xf numFmtId="0" fontId="14" fillId="0" borderId="67" xfId="6" applyFont="1" applyBorder="1">
      <alignment vertical="center"/>
    </xf>
    <xf numFmtId="0" fontId="14" fillId="0" borderId="65" xfId="6" applyFont="1" applyBorder="1" applyAlignment="1">
      <alignment vertical="center" wrapText="1"/>
    </xf>
    <xf numFmtId="0" fontId="14" fillId="0" borderId="67" xfId="6" applyFont="1" applyFill="1" applyBorder="1" applyAlignment="1">
      <alignment horizontal="center" vertical="center"/>
    </xf>
    <xf numFmtId="2" fontId="14" fillId="0" borderId="65" xfId="6" applyNumberFormat="1" applyFont="1" applyFill="1" applyBorder="1" applyAlignment="1">
      <alignment horizontal="right" vertical="center"/>
    </xf>
    <xf numFmtId="2" fontId="14" fillId="0" borderId="67" xfId="6" applyNumberFormat="1" applyFont="1" applyBorder="1" applyAlignment="1">
      <alignment horizontal="right" vertical="center"/>
    </xf>
    <xf numFmtId="2" fontId="14" fillId="0" borderId="68" xfId="78" applyNumberFormat="1" applyFont="1" applyBorder="1"/>
    <xf numFmtId="2" fontId="14" fillId="0" borderId="67" xfId="78" applyNumberFormat="1" applyFont="1" applyBorder="1"/>
    <xf numFmtId="0" fontId="14" fillId="0" borderId="61" xfId="78" applyFont="1" applyBorder="1"/>
    <xf numFmtId="2" fontId="14" fillId="0" borderId="62" xfId="78" applyNumberFormat="1" applyFont="1" applyBorder="1"/>
    <xf numFmtId="0" fontId="14" fillId="0" borderId="68" xfId="78" applyFont="1" applyFill="1" applyBorder="1"/>
    <xf numFmtId="0" fontId="14" fillId="0" borderId="62" xfId="78" applyFont="1" applyFill="1" applyBorder="1"/>
    <xf numFmtId="2" fontId="14" fillId="0" borderId="62" xfId="78" applyNumberFormat="1" applyFont="1" applyFill="1" applyBorder="1"/>
    <xf numFmtId="0" fontId="14" fillId="0" borderId="62" xfId="6" applyFont="1" applyFill="1" applyBorder="1" applyAlignment="1">
      <alignment horizontal="center" vertical="center"/>
    </xf>
    <xf numFmtId="2" fontId="14" fillId="0" borderId="61" xfId="6" applyNumberFormat="1" applyFont="1" applyBorder="1" applyAlignment="1">
      <alignment horizontal="right" vertical="center"/>
    </xf>
    <xf numFmtId="2" fontId="14" fillId="0" borderId="62" xfId="6" applyNumberFormat="1" applyFont="1" applyBorder="1" applyAlignment="1">
      <alignment horizontal="right" vertical="center"/>
    </xf>
    <xf numFmtId="2" fontId="14" fillId="0" borderId="61" xfId="6" applyNumberFormat="1" applyFont="1" applyFill="1" applyBorder="1" applyAlignment="1">
      <alignment horizontal="right" vertical="center"/>
    </xf>
    <xf numFmtId="0" fontId="14" fillId="0" borderId="75" xfId="6" applyFont="1" applyBorder="1">
      <alignment vertical="center"/>
    </xf>
    <xf numFmtId="0" fontId="14" fillId="0" borderId="75" xfId="6" applyFont="1" applyBorder="1" applyAlignment="1">
      <alignment vertical="center" wrapText="1"/>
    </xf>
    <xf numFmtId="0" fontId="14" fillId="0" borderId="79" xfId="6" applyFont="1" applyFill="1" applyBorder="1" applyAlignment="1">
      <alignment horizontal="center" vertical="center"/>
    </xf>
    <xf numFmtId="2" fontId="14" fillId="0" borderId="85" xfId="6" applyNumberFormat="1" applyFont="1" applyFill="1" applyBorder="1" applyAlignment="1">
      <alignment horizontal="right" vertical="center"/>
    </xf>
    <xf numFmtId="2" fontId="14" fillId="0" borderId="79" xfId="6" applyNumberFormat="1" applyFont="1" applyBorder="1" applyAlignment="1">
      <alignment horizontal="right" vertical="center"/>
    </xf>
    <xf numFmtId="0" fontId="14" fillId="0" borderId="85" xfId="78" applyFont="1" applyBorder="1"/>
    <xf numFmtId="0" fontId="14" fillId="0" borderId="74" xfId="6" applyFont="1" applyBorder="1" applyAlignment="1">
      <alignment horizontal="right" vertical="center"/>
    </xf>
    <xf numFmtId="0" fontId="14" fillId="0" borderId="74" xfId="6" applyFont="1" applyBorder="1" applyAlignment="1">
      <alignment vertical="center" wrapText="1"/>
    </xf>
    <xf numFmtId="0" fontId="14" fillId="0" borderId="74" xfId="6" applyFont="1" applyFill="1" applyBorder="1" applyAlignment="1">
      <alignment horizontal="center" vertical="center"/>
    </xf>
    <xf numFmtId="2" fontId="14" fillId="0" borderId="70" xfId="6" applyNumberFormat="1" applyFont="1" applyBorder="1" applyAlignment="1">
      <alignment horizontal="right" vertical="center"/>
    </xf>
    <xf numFmtId="2" fontId="14" fillId="0" borderId="74" xfId="6" applyNumberFormat="1" applyFont="1" applyBorder="1" applyAlignment="1">
      <alignment horizontal="right" vertical="center"/>
    </xf>
    <xf numFmtId="0" fontId="14" fillId="0" borderId="68" xfId="6" applyFont="1" applyBorder="1" applyAlignment="1">
      <alignment horizontal="right" vertical="center"/>
    </xf>
    <xf numFmtId="0" fontId="14" fillId="0" borderId="76" xfId="6" applyFont="1" applyFill="1" applyBorder="1" applyAlignment="1">
      <alignment horizontal="center" vertical="center"/>
    </xf>
    <xf numFmtId="2" fontId="14" fillId="0" borderId="73" xfId="6" applyNumberFormat="1" applyFont="1" applyBorder="1" applyAlignment="1">
      <alignment horizontal="right" vertical="center"/>
    </xf>
    <xf numFmtId="2" fontId="14" fillId="0" borderId="76" xfId="6" applyNumberFormat="1" applyFont="1" applyBorder="1" applyAlignment="1">
      <alignment horizontal="right" vertical="center"/>
    </xf>
    <xf numFmtId="0" fontId="14" fillId="0" borderId="65" xfId="78" applyFont="1" applyBorder="1"/>
    <xf numFmtId="2" fontId="14" fillId="0" borderId="111" xfId="6" applyNumberFormat="1" applyFont="1" applyBorder="1" applyAlignment="1">
      <alignment horizontal="right" vertical="center"/>
    </xf>
    <xf numFmtId="2" fontId="14" fillId="0" borderId="68" xfId="6" applyNumberFormat="1" applyFont="1" applyBorder="1" applyAlignment="1">
      <alignment horizontal="right" vertical="center"/>
    </xf>
    <xf numFmtId="0" fontId="14" fillId="0" borderId="68" xfId="6" applyFont="1" applyFill="1" applyBorder="1" applyAlignment="1">
      <alignment horizontal="center" vertical="center"/>
    </xf>
    <xf numFmtId="0" fontId="14" fillId="0" borderId="62" xfId="6" applyFont="1" applyBorder="1">
      <alignment vertical="center"/>
    </xf>
    <xf numFmtId="0" fontId="14" fillId="0" borderId="44" xfId="6" applyFont="1" applyBorder="1" applyAlignment="1">
      <alignment vertical="center" wrapText="1"/>
    </xf>
    <xf numFmtId="0" fontId="14" fillId="0" borderId="79" xfId="6" applyFont="1" applyBorder="1" applyAlignment="1">
      <alignment horizontal="center" vertical="center"/>
    </xf>
    <xf numFmtId="2" fontId="14" fillId="0" borderId="85" xfId="6" applyNumberFormat="1" applyFont="1" applyBorder="1" applyAlignment="1">
      <alignment horizontal="right" vertical="center"/>
    </xf>
    <xf numFmtId="0" fontId="14" fillId="0" borderId="62" xfId="6" applyFont="1" applyBorder="1" applyAlignment="1">
      <alignment horizontal="right" vertical="center"/>
    </xf>
    <xf numFmtId="0" fontId="14" fillId="0" borderId="61" xfId="6" applyFont="1" applyBorder="1">
      <alignment vertical="center"/>
    </xf>
    <xf numFmtId="0" fontId="14" fillId="0" borderId="62" xfId="6" applyFont="1" applyBorder="1" applyAlignment="1">
      <alignment horizontal="center" vertical="center"/>
    </xf>
    <xf numFmtId="0" fontId="14" fillId="0" borderId="84" xfId="78" applyFont="1" applyBorder="1"/>
    <xf numFmtId="0" fontId="14" fillId="0" borderId="62" xfId="6" applyFont="1" applyFill="1" applyBorder="1">
      <alignment vertical="center"/>
    </xf>
    <xf numFmtId="0" fontId="14" fillId="0" borderId="60" xfId="6" applyFont="1" applyFill="1" applyBorder="1" applyAlignment="1">
      <alignment vertical="center" wrapText="1"/>
    </xf>
    <xf numFmtId="0" fontId="14" fillId="0" borderId="63" xfId="78" applyFont="1" applyBorder="1" applyAlignment="1">
      <alignment horizontal="center"/>
    </xf>
    <xf numFmtId="0" fontId="14" fillId="0" borderId="63" xfId="78" applyFont="1" applyBorder="1"/>
    <xf numFmtId="2" fontId="14" fillId="0" borderId="63" xfId="78" applyNumberFormat="1" applyFont="1" applyBorder="1"/>
    <xf numFmtId="0" fontId="14" fillId="0" borderId="81" xfId="78" applyFont="1" applyBorder="1" applyAlignment="1">
      <alignment horizontal="center"/>
    </xf>
    <xf numFmtId="0" fontId="17" fillId="3" borderId="163" xfId="6" applyFont="1" applyFill="1" applyBorder="1" applyAlignment="1">
      <alignment horizontal="center" vertical="center"/>
    </xf>
    <xf numFmtId="0" fontId="17" fillId="3" borderId="81" xfId="6" applyFont="1" applyFill="1" applyBorder="1" applyAlignment="1">
      <alignment horizontal="center" vertical="center"/>
    </xf>
    <xf numFmtId="0" fontId="17" fillId="3" borderId="68" xfId="6" applyFont="1" applyFill="1" applyBorder="1" applyAlignment="1">
      <alignment horizontal="center" vertical="center"/>
    </xf>
    <xf numFmtId="0" fontId="17" fillId="3" borderId="12" xfId="6" applyFont="1" applyFill="1" applyBorder="1" applyAlignment="1">
      <alignment horizontal="center" vertical="center"/>
    </xf>
    <xf numFmtId="0" fontId="17" fillId="3" borderId="167" xfId="6" applyFont="1" applyFill="1" applyBorder="1" applyAlignment="1">
      <alignment horizontal="center" vertical="center"/>
    </xf>
    <xf numFmtId="0" fontId="17" fillId="3" borderId="59" xfId="6" applyFont="1" applyFill="1" applyBorder="1" applyAlignment="1">
      <alignment horizontal="center" vertical="center"/>
    </xf>
    <xf numFmtId="0" fontId="17" fillId="3" borderId="159" xfId="6" applyFont="1" applyFill="1" applyBorder="1" applyAlignment="1">
      <alignment horizontal="center" vertical="center"/>
    </xf>
    <xf numFmtId="0" fontId="17" fillId="3" borderId="156" xfId="6" applyFont="1" applyFill="1" applyBorder="1" applyAlignment="1">
      <alignment horizontal="center" vertical="center"/>
    </xf>
    <xf numFmtId="0" fontId="17" fillId="3" borderId="145" xfId="6" applyFont="1" applyFill="1" applyBorder="1" applyAlignment="1">
      <alignment horizontal="center" vertical="center"/>
    </xf>
    <xf numFmtId="0" fontId="17" fillId="3" borderId="140" xfId="6" applyFont="1" applyFill="1" applyBorder="1" applyAlignment="1">
      <alignment horizontal="center" vertical="center"/>
    </xf>
    <xf numFmtId="0" fontId="17" fillId="3" borderId="167" xfId="78" applyFont="1" applyFill="1" applyBorder="1" applyAlignment="1">
      <alignment horizontal="center" vertical="center"/>
    </xf>
    <xf numFmtId="0" fontId="17" fillId="3" borderId="109" xfId="78" applyFont="1" applyFill="1" applyBorder="1" applyAlignment="1">
      <alignment horizontal="center" vertical="center"/>
    </xf>
    <xf numFmtId="0" fontId="17" fillId="3" borderId="68" xfId="78" applyFont="1" applyFill="1" applyBorder="1" applyAlignment="1">
      <alignment horizontal="center" vertical="center"/>
    </xf>
    <xf numFmtId="0" fontId="17" fillId="3" borderId="0" xfId="78" applyFont="1" applyFill="1" applyBorder="1" applyAlignment="1">
      <alignment horizontal="center" vertical="center"/>
    </xf>
    <xf numFmtId="0" fontId="17" fillId="3" borderId="110" xfId="78" applyFont="1" applyFill="1" applyBorder="1" applyAlignment="1">
      <alignment horizontal="center" vertical="center"/>
    </xf>
    <xf numFmtId="0" fontId="17" fillId="3" borderId="140" xfId="78" applyFont="1" applyFill="1" applyBorder="1" applyAlignment="1">
      <alignment horizontal="center" vertical="center"/>
    </xf>
    <xf numFmtId="0" fontId="17" fillId="3" borderId="17" xfId="78" applyFont="1" applyFill="1" applyBorder="1" applyAlignment="1">
      <alignment horizontal="center" vertical="center"/>
    </xf>
    <xf numFmtId="0" fontId="17" fillId="3" borderId="146" xfId="78" applyFont="1" applyFill="1" applyBorder="1" applyAlignment="1">
      <alignment horizontal="center" vertical="center"/>
    </xf>
    <xf numFmtId="0" fontId="116" fillId="3" borderId="6" xfId="0" applyFont="1" applyFill="1" applyBorder="1" applyAlignment="1">
      <alignment wrapText="1"/>
    </xf>
    <xf numFmtId="0" fontId="116" fillId="3" borderId="6" xfId="0" applyFont="1" applyFill="1" applyBorder="1" applyAlignment="1">
      <alignment vertical="top" wrapText="1"/>
    </xf>
    <xf numFmtId="0" fontId="156" fillId="0" borderId="6" xfId="0" applyFont="1" applyBorder="1" applyAlignment="1">
      <alignment wrapText="1"/>
    </xf>
    <xf numFmtId="0" fontId="156" fillId="0" borderId="6" xfId="0" applyFont="1" applyBorder="1" applyAlignment="1">
      <alignment horizontal="center" vertical="center" wrapText="1"/>
    </xf>
    <xf numFmtId="0" fontId="116" fillId="0" borderId="6" xfId="0" applyFont="1" applyBorder="1" applyAlignment="1">
      <alignment horizontal="center" vertical="center" wrapText="1"/>
    </xf>
    <xf numFmtId="0" fontId="155" fillId="0" borderId="6" xfId="0" applyFont="1" applyBorder="1" applyAlignment="1">
      <alignment wrapText="1"/>
    </xf>
    <xf numFmtId="0" fontId="155" fillId="0" borderId="6" xfId="0" applyFont="1" applyBorder="1" applyAlignment="1">
      <alignment horizontal="center" vertical="center" wrapText="1"/>
    </xf>
    <xf numFmtId="0" fontId="155" fillId="3" borderId="6" xfId="0" applyFont="1" applyFill="1" applyBorder="1" applyAlignment="1">
      <alignment horizontal="center" wrapText="1"/>
    </xf>
    <xf numFmtId="0" fontId="155" fillId="3" borderId="6" xfId="0" applyFont="1" applyFill="1" applyBorder="1" applyAlignment="1">
      <alignment wrapText="1"/>
    </xf>
    <xf numFmtId="0" fontId="155" fillId="3" borderId="6" xfId="0" applyFont="1" applyFill="1" applyBorder="1" applyAlignment="1">
      <alignment horizontal="center" vertical="center" wrapText="1"/>
    </xf>
    <xf numFmtId="0" fontId="155" fillId="3" borderId="6" xfId="0" applyFont="1" applyFill="1" applyBorder="1" applyAlignment="1">
      <alignment horizontal="center" vertical="top" wrapText="1"/>
    </xf>
    <xf numFmtId="0" fontId="116" fillId="3" borderId="6" xfId="0" applyFont="1" applyFill="1" applyBorder="1"/>
    <xf numFmtId="10" fontId="116" fillId="0" borderId="6" xfId="0" applyNumberFormat="1" applyFont="1" applyBorder="1"/>
    <xf numFmtId="0" fontId="116" fillId="3" borderId="54" xfId="0" applyFont="1" applyFill="1" applyBorder="1" applyAlignment="1">
      <alignment horizontal="center"/>
    </xf>
    <xf numFmtId="0" fontId="116" fillId="3" borderId="54" xfId="0" applyFont="1" applyFill="1" applyBorder="1"/>
    <xf numFmtId="0" fontId="116" fillId="0" borderId="54" xfId="0" applyFont="1" applyBorder="1" applyAlignment="1">
      <alignment horizontal="center"/>
    </xf>
    <xf numFmtId="0" fontId="116" fillId="0" borderId="106" xfId="0" applyFont="1" applyBorder="1" applyAlignment="1">
      <alignment horizontal="center"/>
    </xf>
    <xf numFmtId="0" fontId="116" fillId="0" borderId="59" xfId="0" applyFont="1" applyBorder="1" applyAlignment="1">
      <alignment horizontal="center"/>
    </xf>
    <xf numFmtId="0" fontId="116" fillId="0" borderId="6" xfId="0" applyFont="1" applyBorder="1" applyAlignment="1">
      <alignment vertical="top" wrapText="1"/>
    </xf>
    <xf numFmtId="0" fontId="40" fillId="0" borderId="0" xfId="273" applyFont="1"/>
    <xf numFmtId="0" fontId="157" fillId="0" borderId="0" xfId="273" applyFont="1"/>
    <xf numFmtId="0" fontId="4" fillId="0" borderId="0" xfId="273" applyFont="1" applyBorder="1"/>
    <xf numFmtId="0" fontId="18" fillId="0" borderId="0" xfId="273" applyFont="1" applyBorder="1"/>
    <xf numFmtId="0" fontId="4" fillId="0" borderId="0" xfId="273" applyFont="1"/>
    <xf numFmtId="0" fontId="45" fillId="0" borderId="0" xfId="273" applyFont="1"/>
    <xf numFmtId="0" fontId="4" fillId="0" borderId="106" xfId="273" applyFont="1" applyBorder="1"/>
    <xf numFmtId="0" fontId="153" fillId="0" borderId="106" xfId="273" applyFont="1" applyBorder="1"/>
    <xf numFmtId="0" fontId="45" fillId="0" borderId="6" xfId="273" applyFont="1" applyBorder="1" applyAlignment="1">
      <alignment horizontal="center"/>
    </xf>
    <xf numFmtId="0" fontId="153" fillId="0" borderId="3" xfId="273" applyFont="1" applyBorder="1"/>
    <xf numFmtId="0" fontId="153" fillId="0" borderId="0" xfId="273" applyFont="1"/>
    <xf numFmtId="1" fontId="153" fillId="0" borderId="0" xfId="273" applyNumberFormat="1" applyFont="1"/>
    <xf numFmtId="1" fontId="153" fillId="0" borderId="106" xfId="273" applyNumberFormat="1" applyFont="1" applyBorder="1"/>
    <xf numFmtId="1" fontId="153" fillId="0" borderId="3" xfId="273" applyNumberFormat="1" applyFont="1" applyBorder="1"/>
    <xf numFmtId="1" fontId="40" fillId="0" borderId="0" xfId="273" applyNumberFormat="1" applyFont="1"/>
    <xf numFmtId="1" fontId="153" fillId="0" borderId="106" xfId="273" applyNumberFormat="1" applyFont="1" applyBorder="1" applyProtection="1"/>
    <xf numFmtId="1" fontId="153" fillId="0" borderId="0" xfId="273" applyNumberFormat="1" applyFont="1" applyProtection="1"/>
    <xf numFmtId="1" fontId="153" fillId="0" borderId="3" xfId="273" applyNumberFormat="1" applyFont="1" applyBorder="1" applyProtection="1"/>
    <xf numFmtId="0" fontId="40" fillId="0" borderId="0" xfId="273" applyFont="1" applyBorder="1"/>
    <xf numFmtId="0" fontId="45" fillId="0" borderId="0" xfId="273" applyFont="1" applyAlignment="1">
      <alignment horizontal="left" vertical="center" textRotation="180"/>
    </xf>
    <xf numFmtId="0" fontId="4" fillId="0" borderId="3" xfId="273" applyFont="1" applyBorder="1"/>
    <xf numFmtId="0" fontId="4" fillId="0" borderId="15" xfId="273" applyFont="1" applyBorder="1"/>
    <xf numFmtId="0" fontId="153" fillId="0" borderId="15" xfId="273" applyFont="1" applyBorder="1"/>
    <xf numFmtId="1" fontId="45" fillId="0" borderId="6" xfId="273" applyNumberFormat="1" applyFont="1" applyBorder="1"/>
    <xf numFmtId="1" fontId="18" fillId="0" borderId="55" xfId="273" applyNumberFormat="1" applyFont="1" applyBorder="1"/>
    <xf numFmtId="1" fontId="45" fillId="0" borderId="56" xfId="273" applyNumberFormat="1" applyFont="1" applyBorder="1"/>
    <xf numFmtId="1" fontId="45" fillId="0" borderId="55" xfId="273" applyNumberFormat="1" applyFont="1" applyBorder="1"/>
    <xf numFmtId="0" fontId="153" fillId="0" borderId="52" xfId="273" applyFont="1" applyBorder="1"/>
    <xf numFmtId="1" fontId="153" fillId="0" borderId="14" xfId="273" applyNumberFormat="1" applyFont="1" applyBorder="1"/>
    <xf numFmtId="0" fontId="153" fillId="0" borderId="14" xfId="273" applyFont="1" applyBorder="1"/>
    <xf numFmtId="0" fontId="153" fillId="0" borderId="3" xfId="273" applyFont="1" applyFill="1" applyBorder="1"/>
    <xf numFmtId="1" fontId="4" fillId="0" borderId="14" xfId="273" applyNumberFormat="1" applyFont="1" applyBorder="1"/>
    <xf numFmtId="0" fontId="153" fillId="0" borderId="0" xfId="273" quotePrefix="1" applyFont="1"/>
    <xf numFmtId="0" fontId="18" fillId="0" borderId="55" xfId="273" applyFont="1" applyBorder="1"/>
    <xf numFmtId="0" fontId="45" fillId="0" borderId="55" xfId="273" applyFont="1" applyBorder="1"/>
    <xf numFmtId="1" fontId="4" fillId="0" borderId="0" xfId="273" applyNumberFormat="1" applyFont="1" applyBorder="1"/>
    <xf numFmtId="1" fontId="4" fillId="0" borderId="0" xfId="273" applyNumberFormat="1" applyFont="1"/>
    <xf numFmtId="0" fontId="153" fillId="0" borderId="0" xfId="273" applyFont="1" applyAlignment="1"/>
    <xf numFmtId="1" fontId="153" fillId="0" borderId="0" xfId="273" applyNumberFormat="1" applyFont="1" applyBorder="1" applyAlignment="1">
      <alignment horizontal="right"/>
    </xf>
    <xf numFmtId="176" fontId="4" fillId="0" borderId="0" xfId="273" applyNumberFormat="1" applyFont="1" applyProtection="1"/>
    <xf numFmtId="1" fontId="153" fillId="0" borderId="0" xfId="273" applyNumberFormat="1" applyFont="1" applyBorder="1"/>
    <xf numFmtId="0" fontId="84" fillId="0" borderId="0" xfId="273" applyFont="1"/>
    <xf numFmtId="0" fontId="14" fillId="0" borderId="0" xfId="273" applyFont="1"/>
    <xf numFmtId="0" fontId="45" fillId="3" borderId="12" xfId="273" applyFont="1" applyFill="1" applyBorder="1" applyAlignment="1">
      <alignment horizontal="center"/>
    </xf>
    <xf numFmtId="0" fontId="45" fillId="3" borderId="12" xfId="273" applyFont="1" applyFill="1" applyBorder="1"/>
    <xf numFmtId="0" fontId="45" fillId="3" borderId="59" xfId="273" applyFont="1" applyFill="1" applyBorder="1" applyAlignment="1">
      <alignment horizontal="center"/>
    </xf>
    <xf numFmtId="0" fontId="45" fillId="3" borderId="52" xfId="273" applyFont="1" applyFill="1" applyBorder="1" applyAlignment="1">
      <alignment horizontal="center"/>
    </xf>
    <xf numFmtId="0" fontId="45" fillId="3" borderId="54" xfId="273" applyFont="1" applyFill="1" applyBorder="1" applyAlignment="1">
      <alignment horizontal="center"/>
    </xf>
    <xf numFmtId="0" fontId="45" fillId="3" borderId="55" xfId="273" applyFont="1" applyFill="1" applyBorder="1" applyAlignment="1">
      <alignment horizontal="center"/>
    </xf>
    <xf numFmtId="0" fontId="45" fillId="3" borderId="6" xfId="273" applyFont="1" applyFill="1" applyBorder="1" applyAlignment="1">
      <alignment horizontal="center"/>
    </xf>
    <xf numFmtId="0" fontId="45" fillId="3" borderId="6" xfId="273" applyFont="1" applyFill="1" applyBorder="1"/>
    <xf numFmtId="0" fontId="45" fillId="3" borderId="6" xfId="273" applyFont="1" applyFill="1" applyBorder="1" applyAlignment="1"/>
    <xf numFmtId="0" fontId="0" fillId="0" borderId="0" xfId="0" applyBorder="1" applyAlignment="1">
      <alignment vertical="center" wrapText="1"/>
    </xf>
    <xf numFmtId="0" fontId="116" fillId="0" borderId="0" xfId="0" applyFont="1" applyAlignment="1">
      <alignment horizontal="center"/>
    </xf>
    <xf numFmtId="0" fontId="116" fillId="0" borderId="6" xfId="0" applyFont="1" applyBorder="1" applyAlignment="1"/>
    <xf numFmtId="193" fontId="0" fillId="0" borderId="0" xfId="0" applyNumberFormat="1" applyAlignment="1">
      <alignment horizontal="right"/>
    </xf>
    <xf numFmtId="193" fontId="0" fillId="0" borderId="0" xfId="0" applyNumberFormat="1"/>
    <xf numFmtId="193" fontId="159" fillId="0" borderId="12" xfId="0" applyNumberFormat="1" applyFont="1" applyBorder="1"/>
    <xf numFmtId="193" fontId="159" fillId="0" borderId="59" xfId="0" applyNumberFormat="1" applyFont="1" applyBorder="1"/>
    <xf numFmtId="193" fontId="159" fillId="0" borderId="13" xfId="0" applyNumberFormat="1" applyFont="1" applyBorder="1"/>
    <xf numFmtId="193" fontId="129" fillId="0" borderId="15" xfId="0" applyNumberFormat="1" applyFont="1" applyBorder="1"/>
    <xf numFmtId="193" fontId="129" fillId="0" borderId="17" xfId="0" applyNumberFormat="1" applyFont="1" applyBorder="1"/>
    <xf numFmtId="193" fontId="159" fillId="0" borderId="17" xfId="0" applyNumberFormat="1" applyFont="1" applyBorder="1" applyAlignment="1">
      <alignment horizontal="center" vertical="center"/>
    </xf>
    <xf numFmtId="193" fontId="159" fillId="0" borderId="17" xfId="0" applyNumberFormat="1" applyFont="1" applyBorder="1"/>
    <xf numFmtId="193" fontId="159" fillId="0" borderId="16" xfId="0" applyNumberFormat="1" applyFont="1" applyBorder="1"/>
    <xf numFmtId="193" fontId="43" fillId="0" borderId="0" xfId="0" applyNumberFormat="1" applyFont="1"/>
    <xf numFmtId="193" fontId="71" fillId="0" borderId="0" xfId="0" applyNumberFormat="1" applyFont="1"/>
    <xf numFmtId="193" fontId="65" fillId="0" borderId="52" xfId="0" applyNumberFormat="1" applyFont="1" applyBorder="1" applyAlignment="1">
      <alignment horizontal="right"/>
    </xf>
    <xf numFmtId="193" fontId="65" fillId="0" borderId="54" xfId="0" applyNumberFormat="1" applyFont="1" applyBorder="1" applyAlignment="1">
      <alignment horizontal="center"/>
    </xf>
    <xf numFmtId="193" fontId="65" fillId="0" borderId="13" xfId="0" applyNumberFormat="1" applyFont="1" applyBorder="1" applyAlignment="1">
      <alignment horizontal="center"/>
    </xf>
    <xf numFmtId="193" fontId="7" fillId="0" borderId="52" xfId="0" applyNumberFormat="1" applyFont="1" applyBorder="1"/>
    <xf numFmtId="193" fontId="65" fillId="0" borderId="52" xfId="0" applyNumberFormat="1" applyFont="1" applyBorder="1" applyAlignment="1">
      <alignment horizontal="center"/>
    </xf>
    <xf numFmtId="193" fontId="66" fillId="0" borderId="6" xfId="0" applyNumberFormat="1" applyFont="1" applyBorder="1" applyAlignment="1">
      <alignment horizontal="right"/>
    </xf>
    <xf numFmtId="193" fontId="66" fillId="0" borderId="54" xfId="0" applyNumberFormat="1" applyFont="1" applyBorder="1" applyAlignment="1">
      <alignment horizontal="center"/>
    </xf>
    <xf numFmtId="193" fontId="0" fillId="0" borderId="56" xfId="0" applyNumberFormat="1" applyBorder="1"/>
    <xf numFmtId="193" fontId="66" fillId="0" borderId="6" xfId="0" applyNumberFormat="1" applyFont="1" applyBorder="1" applyAlignment="1">
      <alignment horizontal="center"/>
    </xf>
    <xf numFmtId="193" fontId="66" fillId="0" borderId="3" xfId="0" applyNumberFormat="1" applyFont="1" applyBorder="1" applyAlignment="1">
      <alignment horizontal="right"/>
    </xf>
    <xf numFmtId="193" fontId="160" fillId="0" borderId="12" xfId="0" applyNumberFormat="1" applyFont="1" applyBorder="1" applyAlignment="1">
      <alignment horizontal="center"/>
    </xf>
    <xf numFmtId="193" fontId="0" fillId="0" borderId="14" xfId="0" applyNumberFormat="1" applyBorder="1"/>
    <xf numFmtId="193" fontId="66" fillId="0" borderId="3" xfId="0" applyNumberFormat="1" applyFont="1" applyBorder="1" applyAlignment="1">
      <alignment horizontal="center"/>
    </xf>
    <xf numFmtId="193" fontId="66" fillId="0" borderId="12" xfId="0" applyNumberFormat="1" applyFont="1" applyBorder="1" applyAlignment="1">
      <alignment horizontal="center"/>
    </xf>
    <xf numFmtId="193" fontId="0" fillId="0" borderId="13" xfId="0" applyNumberFormat="1" applyBorder="1"/>
    <xf numFmtId="193" fontId="0" fillId="0" borderId="3" xfId="0" applyNumberFormat="1" applyBorder="1" applyAlignment="1">
      <alignment horizontal="right"/>
    </xf>
    <xf numFmtId="193" fontId="0" fillId="0" borderId="106" xfId="0" applyNumberFormat="1" applyBorder="1"/>
    <xf numFmtId="193" fontId="43" fillId="0" borderId="14" xfId="0" applyNumberFormat="1" applyFont="1" applyBorder="1"/>
    <xf numFmtId="194" fontId="0" fillId="0" borderId="3" xfId="0" applyNumberFormat="1" applyBorder="1"/>
    <xf numFmtId="193" fontId="0" fillId="0" borderId="3" xfId="0" applyNumberFormat="1" applyBorder="1"/>
    <xf numFmtId="193" fontId="3" fillId="0" borderId="14" xfId="0" applyNumberFormat="1" applyFont="1" applyBorder="1"/>
    <xf numFmtId="0" fontId="0" fillId="0" borderId="3" xfId="0" applyNumberFormat="1" applyBorder="1" applyAlignment="1">
      <alignment horizontal="right"/>
    </xf>
    <xf numFmtId="194" fontId="0" fillId="0" borderId="3" xfId="0" applyNumberFormat="1" applyBorder="1" applyAlignment="1">
      <alignment horizontal="right"/>
    </xf>
    <xf numFmtId="193" fontId="0" fillId="0" borderId="0" xfId="0" applyNumberFormat="1" applyFill="1" applyBorder="1"/>
    <xf numFmtId="175" fontId="0" fillId="0" borderId="3" xfId="0" applyNumberFormat="1" applyFill="1" applyBorder="1" applyAlignment="1">
      <alignment horizontal="right"/>
    </xf>
    <xf numFmtId="193" fontId="0" fillId="0" borderId="0" xfId="0" applyNumberFormat="1" applyBorder="1"/>
    <xf numFmtId="175" fontId="0" fillId="0" borderId="8" xfId="0" quotePrefix="1" applyNumberFormat="1" applyBorder="1" applyAlignment="1">
      <alignment horizontal="right"/>
    </xf>
    <xf numFmtId="193" fontId="161" fillId="0" borderId="14" xfId="0" applyNumberFormat="1" applyFont="1" applyBorder="1"/>
    <xf numFmtId="193" fontId="71" fillId="0" borderId="0" xfId="0" applyNumberFormat="1" applyFont="1" applyAlignment="1">
      <alignment textRotation="180"/>
    </xf>
    <xf numFmtId="193" fontId="0" fillId="0" borderId="15" xfId="0" applyNumberFormat="1" applyBorder="1"/>
    <xf numFmtId="193" fontId="0" fillId="0" borderId="54" xfId="0" applyNumberFormat="1" applyBorder="1"/>
    <xf numFmtId="193" fontId="8" fillId="0" borderId="56" xfId="0" applyNumberFormat="1" applyFont="1" applyFill="1" applyBorder="1" applyAlignment="1">
      <alignment horizontal="center"/>
    </xf>
    <xf numFmtId="194" fontId="0" fillId="0" borderId="6" xfId="0" applyNumberFormat="1" applyBorder="1"/>
    <xf numFmtId="194" fontId="0" fillId="0" borderId="106" xfId="0" applyNumberFormat="1" applyBorder="1"/>
    <xf numFmtId="193" fontId="0" fillId="0" borderId="16" xfId="0" applyNumberFormat="1" applyBorder="1"/>
    <xf numFmtId="175" fontId="0" fillId="0" borderId="8" xfId="0" applyNumberFormat="1" applyBorder="1"/>
    <xf numFmtId="193" fontId="0" fillId="0" borderId="8" xfId="0" applyNumberFormat="1" applyBorder="1" applyAlignment="1">
      <alignment horizontal="right"/>
    </xf>
    <xf numFmtId="193" fontId="0" fillId="0" borderId="8" xfId="0" applyNumberFormat="1" applyBorder="1"/>
    <xf numFmtId="193" fontId="3" fillId="0" borderId="54" xfId="0" applyNumberFormat="1" applyFont="1" applyBorder="1"/>
    <xf numFmtId="193" fontId="65" fillId="0" borderId="56" xfId="0" applyNumberFormat="1" applyFont="1" applyBorder="1" applyAlignment="1">
      <alignment horizontal="center" vertical="center"/>
    </xf>
    <xf numFmtId="193" fontId="3" fillId="0" borderId="6" xfId="0" applyNumberFormat="1" applyFont="1" applyBorder="1"/>
    <xf numFmtId="193" fontId="0" fillId="0" borderId="0" xfId="0" quotePrefix="1" applyNumberFormat="1" applyBorder="1"/>
    <xf numFmtId="193" fontId="0" fillId="0" borderId="0" xfId="0" quotePrefix="1" applyNumberFormat="1" applyBorder="1" applyAlignment="1">
      <alignment horizontal="right"/>
    </xf>
    <xf numFmtId="193" fontId="3" fillId="0" borderId="6" xfId="0" quotePrefix="1" applyNumberFormat="1" applyFont="1" applyBorder="1" applyAlignment="1">
      <alignment horizontal="right"/>
    </xf>
    <xf numFmtId="1" fontId="0" fillId="0" borderId="3" xfId="0" quotePrefix="1" applyNumberFormat="1" applyFont="1" applyBorder="1" applyAlignment="1">
      <alignment horizontal="right"/>
    </xf>
    <xf numFmtId="0" fontId="82" fillId="4" borderId="0" xfId="0" applyFont="1" applyFill="1" applyBorder="1" applyAlignment="1">
      <alignment horizontal="center" vertical="top" wrapText="1"/>
    </xf>
    <xf numFmtId="43" fontId="81" fillId="4" borderId="6" xfId="0" applyNumberFormat="1" applyFont="1" applyFill="1" applyBorder="1" applyAlignment="1">
      <alignment horizontal="center" vertical="center"/>
    </xf>
    <xf numFmtId="43" fontId="82" fillId="4" borderId="6" xfId="0" applyNumberFormat="1" applyFont="1" applyFill="1" applyBorder="1" applyAlignment="1">
      <alignment horizontal="center" vertical="center" wrapText="1"/>
    </xf>
    <xf numFmtId="43" fontId="82" fillId="4" borderId="6" xfId="0" applyNumberFormat="1" applyFont="1" applyFill="1" applyBorder="1" applyAlignment="1">
      <alignment horizontal="center" vertical="center"/>
    </xf>
    <xf numFmtId="0" fontId="17" fillId="32" borderId="6" xfId="78" applyFont="1" applyFill="1" applyBorder="1" applyAlignment="1">
      <alignment horizontal="center" vertical="center" wrapText="1"/>
    </xf>
    <xf numFmtId="0" fontId="17" fillId="3" borderId="6" xfId="78" applyFont="1" applyFill="1" applyBorder="1" applyAlignment="1">
      <alignment vertical="center"/>
    </xf>
    <xf numFmtId="0" fontId="14" fillId="3" borderId="6" xfId="78" applyFont="1" applyFill="1" applyBorder="1"/>
    <xf numFmtId="0" fontId="14" fillId="32" borderId="6" xfId="78" applyFont="1" applyFill="1" applyBorder="1" applyAlignment="1">
      <alignment horizontal="center" vertical="center"/>
    </xf>
    <xf numFmtId="0" fontId="17" fillId="3" borderId="6" xfId="78" applyFont="1" applyFill="1" applyBorder="1"/>
    <xf numFmtId="0" fontId="17" fillId="32" borderId="6" xfId="78" applyFont="1" applyFill="1" applyBorder="1" applyAlignment="1">
      <alignment horizontal="center" vertical="center"/>
    </xf>
    <xf numFmtId="16" fontId="17" fillId="32" borderId="6" xfId="78" applyNumberFormat="1" applyFont="1" applyFill="1" applyBorder="1" applyAlignment="1">
      <alignment horizontal="center" vertical="center" wrapText="1"/>
    </xf>
    <xf numFmtId="16" fontId="17" fillId="32" borderId="6" xfId="78" quotePrefix="1" applyNumberFormat="1" applyFont="1" applyFill="1" applyBorder="1" applyAlignment="1">
      <alignment horizontal="center" vertical="center" wrapText="1"/>
    </xf>
    <xf numFmtId="0" fontId="17" fillId="30" borderId="6" xfId="78" applyFont="1" applyFill="1" applyBorder="1" applyAlignment="1">
      <alignment horizontal="center" vertical="center" wrapText="1"/>
    </xf>
    <xf numFmtId="0" fontId="17" fillId="30" borderId="6" xfId="78" applyFont="1" applyFill="1" applyBorder="1" applyAlignment="1">
      <alignment horizontal="left" vertical="center" wrapText="1"/>
    </xf>
    <xf numFmtId="0" fontId="17" fillId="30" borderId="6" xfId="78" applyFont="1" applyFill="1" applyBorder="1" applyAlignment="1">
      <alignment horizontal="center"/>
    </xf>
    <xf numFmtId="0" fontId="17" fillId="30" borderId="6" xfId="78" applyFont="1" applyFill="1" applyBorder="1" applyAlignment="1"/>
    <xf numFmtId="0" fontId="14" fillId="0" borderId="6" xfId="78" applyFont="1" applyBorder="1" applyAlignment="1">
      <alignment horizontal="center" vertical="center" wrapText="1"/>
    </xf>
    <xf numFmtId="2" fontId="17" fillId="0" borderId="6" xfId="78" applyNumberFormat="1" applyFont="1" applyBorder="1" applyAlignment="1">
      <alignment horizontal="center" vertical="center" wrapText="1"/>
    </xf>
    <xf numFmtId="0" fontId="17" fillId="0" borderId="6" xfId="78" applyFont="1" applyBorder="1" applyAlignment="1">
      <alignment horizontal="left" vertical="center" wrapText="1"/>
    </xf>
    <xf numFmtId="0" fontId="17" fillId="0" borderId="6" xfId="78" applyFont="1" applyBorder="1" applyAlignment="1">
      <alignment horizontal="center" vertical="center" wrapText="1"/>
    </xf>
    <xf numFmtId="0" fontId="14" fillId="0" borderId="6" xfId="78" applyFont="1" applyBorder="1" applyAlignment="1"/>
    <xf numFmtId="0" fontId="14" fillId="0" borderId="6" xfId="78" applyFont="1" applyBorder="1" applyAlignment="1">
      <alignment horizontal="left" vertical="center" wrapText="1"/>
    </xf>
    <xf numFmtId="0" fontId="162" fillId="0" borderId="6" xfId="78" applyFont="1" applyFill="1" applyBorder="1" applyAlignment="1"/>
    <xf numFmtId="2" fontId="14" fillId="0" borderId="6" xfId="78" applyNumberFormat="1" applyFont="1" applyBorder="1" applyAlignment="1">
      <alignment horizontal="center" vertical="center" wrapText="1"/>
    </xf>
    <xf numFmtId="2" fontId="14" fillId="0" borderId="6" xfId="78" applyNumberFormat="1" applyFont="1" applyBorder="1" applyAlignment="1">
      <alignment horizontal="center"/>
    </xf>
    <xf numFmtId="2" fontId="17" fillId="0" borderId="6" xfId="78" applyNumberFormat="1" applyFont="1" applyFill="1" applyBorder="1" applyAlignment="1">
      <alignment horizontal="center" vertical="center" wrapText="1"/>
    </xf>
    <xf numFmtId="169" fontId="17" fillId="0" borderId="6" xfId="78" applyNumberFormat="1" applyFont="1" applyBorder="1" applyAlignment="1">
      <alignment horizontal="center"/>
    </xf>
    <xf numFmtId="168" fontId="17" fillId="0" borderId="6" xfId="78" applyNumberFormat="1" applyFont="1" applyBorder="1" applyAlignment="1">
      <alignment horizontal="center" vertical="center" wrapText="1"/>
    </xf>
    <xf numFmtId="0" fontId="17" fillId="0" borderId="6" xfId="78" applyFont="1" applyBorder="1" applyAlignment="1">
      <alignment horizontal="left"/>
    </xf>
    <xf numFmtId="2" fontId="17" fillId="0" borderId="6" xfId="78" applyNumberFormat="1" applyFont="1" applyBorder="1" applyAlignment="1">
      <alignment horizontal="center"/>
    </xf>
    <xf numFmtId="168" fontId="17" fillId="0" borderId="6" xfId="78" applyNumberFormat="1" applyFont="1" applyBorder="1" applyAlignment="1">
      <alignment horizontal="center"/>
    </xf>
    <xf numFmtId="168" fontId="17" fillId="0" borderId="6" xfId="78" applyNumberFormat="1" applyFont="1" applyBorder="1" applyAlignment="1"/>
    <xf numFmtId="0" fontId="163" fillId="0" borderId="0" xfId="274" applyFont="1"/>
    <xf numFmtId="0" fontId="57" fillId="39" borderId="62" xfId="274" applyFont="1" applyFill="1" applyBorder="1" applyAlignment="1">
      <alignment horizontal="center"/>
    </xf>
    <xf numFmtId="0" fontId="116" fillId="39" borderId="6" xfId="274" applyFont="1" applyFill="1" applyBorder="1"/>
    <xf numFmtId="0" fontId="127" fillId="39" borderId="54" xfId="274" applyFont="1" applyFill="1" applyBorder="1"/>
    <xf numFmtId="0" fontId="127" fillId="0" borderId="127" xfId="274" applyFont="1" applyBorder="1"/>
    <xf numFmtId="0" fontId="51" fillId="3" borderId="6" xfId="95" applyFont="1" applyFill="1" applyBorder="1" applyAlignment="1">
      <alignment vertical="center" wrapText="1"/>
    </xf>
    <xf numFmtId="0" fontId="51" fillId="3" borderId="55" xfId="95" applyFont="1" applyFill="1" applyBorder="1" applyAlignment="1">
      <alignment vertical="center" wrapText="1"/>
    </xf>
    <xf numFmtId="0" fontId="51" fillId="3" borderId="56" xfId="95" applyFont="1" applyFill="1" applyBorder="1" applyAlignment="1">
      <alignment vertical="center" wrapText="1"/>
    </xf>
    <xf numFmtId="0" fontId="164" fillId="0" borderId="6" xfId="95" applyFont="1" applyBorder="1"/>
    <xf numFmtId="0" fontId="164" fillId="0" borderId="8" xfId="95" applyFont="1" applyBorder="1"/>
    <xf numFmtId="0" fontId="164" fillId="0" borderId="3" xfId="95" applyFont="1" applyBorder="1"/>
    <xf numFmtId="0" fontId="51" fillId="0" borderId="8" xfId="95" applyFont="1" applyBorder="1"/>
    <xf numFmtId="0" fontId="40" fillId="0" borderId="6" xfId="95" applyFont="1" applyBorder="1" applyAlignment="1">
      <alignment wrapText="1"/>
    </xf>
    <xf numFmtId="0" fontId="40" fillId="0" borderId="3" xfId="95" applyFont="1" applyBorder="1" applyAlignment="1">
      <alignment wrapText="1"/>
    </xf>
    <xf numFmtId="0" fontId="57" fillId="39" borderId="67" xfId="274" applyFont="1" applyFill="1" applyBorder="1" applyAlignment="1">
      <alignment horizontal="center" vertical="center" wrapText="1"/>
    </xf>
    <xf numFmtId="0" fontId="18" fillId="4" borderId="0" xfId="114" applyFont="1" applyFill="1" applyBorder="1"/>
    <xf numFmtId="0" fontId="18" fillId="4" borderId="0" xfId="114" applyFont="1" applyFill="1" applyBorder="1" applyAlignment="1">
      <alignment horizontal="centerContinuous"/>
    </xf>
    <xf numFmtId="0" fontId="4" fillId="4" borderId="0" xfId="114" applyFont="1" applyFill="1" applyBorder="1" applyAlignment="1"/>
    <xf numFmtId="2" fontId="4" fillId="4" borderId="0" xfId="114" applyNumberFormat="1" applyFont="1" applyFill="1" applyBorder="1" applyAlignment="1"/>
    <xf numFmtId="0" fontId="82" fillId="4" borderId="0" xfId="0" applyFont="1" applyFill="1" applyBorder="1" applyAlignment="1">
      <alignment horizontal="center"/>
    </xf>
    <xf numFmtId="0" fontId="18" fillId="4" borderId="0" xfId="114" applyFont="1" applyFill="1" applyBorder="1" applyAlignment="1">
      <alignment vertical="center" wrapText="1"/>
    </xf>
    <xf numFmtId="0" fontId="18" fillId="4" borderId="0" xfId="114" applyFont="1" applyFill="1" applyBorder="1" applyAlignment="1">
      <alignment horizontal="left"/>
    </xf>
    <xf numFmtId="167" fontId="14" fillId="0" borderId="6" xfId="114" applyNumberFormat="1" applyFont="1" applyFill="1" applyBorder="1" applyAlignment="1" applyProtection="1">
      <alignment horizontal="center" vertical="center"/>
    </xf>
    <xf numFmtId="167" fontId="14" fillId="0" borderId="6" xfId="114" applyNumberFormat="1" applyFont="1" applyFill="1" applyBorder="1" applyAlignment="1" applyProtection="1">
      <alignment horizontal="center" vertical="center" wrapText="1"/>
    </xf>
    <xf numFmtId="167" fontId="14" fillId="4" borderId="6" xfId="114" applyNumberFormat="1" applyFont="1" applyFill="1" applyBorder="1" applyAlignment="1" applyProtection="1">
      <alignment horizontal="center" vertical="center" wrapText="1"/>
    </xf>
    <xf numFmtId="43" fontId="116" fillId="0" borderId="6" xfId="0" applyNumberFormat="1" applyFont="1" applyBorder="1" applyAlignment="1">
      <alignment horizontal="center"/>
    </xf>
    <xf numFmtId="2" fontId="116" fillId="0" borderId="8" xfId="0" applyNumberFormat="1" applyFont="1" applyBorder="1" applyAlignment="1">
      <alignment vertical="center"/>
    </xf>
    <xf numFmtId="0" fontId="117" fillId="0" borderId="6" xfId="0" applyFont="1" applyFill="1" applyBorder="1"/>
    <xf numFmtId="0" fontId="17" fillId="0" borderId="6" xfId="6" applyFont="1" applyBorder="1" applyAlignment="1">
      <alignment vertical="center" wrapText="1"/>
    </xf>
    <xf numFmtId="0" fontId="17" fillId="0" borderId="6" xfId="6" applyFont="1" applyFill="1" applyBorder="1" applyAlignment="1">
      <alignment vertical="center" wrapText="1"/>
    </xf>
    <xf numFmtId="167" fontId="116" fillId="0" borderId="6" xfId="0" applyNumberFormat="1" applyFont="1" applyBorder="1" applyAlignment="1">
      <alignment horizontal="center"/>
    </xf>
    <xf numFmtId="1" fontId="116" fillId="0" borderId="6" xfId="0" applyNumberFormat="1" applyFont="1" applyBorder="1" applyAlignment="1">
      <alignment horizontal="center"/>
    </xf>
    <xf numFmtId="170" fontId="116" fillId="0" borderId="6" xfId="0" applyNumberFormat="1" applyFont="1" applyBorder="1" applyAlignment="1">
      <alignment horizontal="center"/>
    </xf>
    <xf numFmtId="43" fontId="116" fillId="0" borderId="0" xfId="0" applyNumberFormat="1" applyFont="1"/>
    <xf numFmtId="0" fontId="116" fillId="0" borderId="3" xfId="0" applyFont="1" applyBorder="1" applyAlignment="1"/>
    <xf numFmtId="0" fontId="81" fillId="0" borderId="6" xfId="0" applyFont="1" applyBorder="1" applyAlignment="1">
      <alignment horizontal="center"/>
    </xf>
    <xf numFmtId="0" fontId="18" fillId="3" borderId="6" xfId="13" applyFont="1" applyFill="1" applyBorder="1" applyAlignment="1">
      <alignment horizontal="center" vertical="center"/>
    </xf>
    <xf numFmtId="0" fontId="4" fillId="0" borderId="0" xfId="13" applyFont="1" applyBorder="1" applyAlignment="1">
      <alignment horizontal="center" vertical="center"/>
    </xf>
    <xf numFmtId="0" fontId="4" fillId="0" borderId="6" xfId="13" applyFont="1" applyBorder="1" applyAlignment="1">
      <alignment horizontal="center" vertical="center"/>
    </xf>
    <xf numFmtId="0" fontId="81" fillId="0" borderId="52" xfId="0" applyFont="1" applyBorder="1" applyAlignment="1">
      <alignment horizontal="center" vertical="top" wrapText="1"/>
    </xf>
    <xf numFmtId="0" fontId="81" fillId="0" borderId="3" xfId="0" applyFont="1" applyBorder="1" applyAlignment="1">
      <alignment horizontal="center" vertical="top" wrapText="1"/>
    </xf>
    <xf numFmtId="0" fontId="81" fillId="0" borderId="8" xfId="0" applyFont="1" applyBorder="1" applyAlignment="1">
      <alignment horizontal="center" vertical="top" wrapText="1"/>
    </xf>
    <xf numFmtId="2" fontId="18" fillId="0" borderId="12" xfId="0" applyNumberFormat="1" applyFont="1" applyBorder="1" applyAlignment="1">
      <alignment horizontal="center" vertical="top"/>
    </xf>
    <xf numFmtId="0" fontId="18" fillId="5" borderId="6" xfId="0" applyFont="1" applyFill="1" applyBorder="1" applyAlignment="1">
      <alignment horizontal="center" vertical="center" wrapText="1"/>
    </xf>
    <xf numFmtId="0" fontId="18" fillId="5" borderId="54" xfId="0" applyFont="1" applyFill="1" applyBorder="1" applyAlignment="1">
      <alignment horizontal="center" vertical="center" wrapText="1"/>
    </xf>
    <xf numFmtId="2" fontId="18" fillId="0" borderId="55" xfId="0" applyNumberFormat="1" applyFont="1" applyBorder="1" applyAlignment="1">
      <alignment horizontal="center" vertical="top"/>
    </xf>
    <xf numFmtId="2" fontId="18" fillId="0" borderId="56" xfId="0" applyNumberFormat="1" applyFont="1" applyBorder="1" applyAlignment="1">
      <alignment horizontal="center" vertical="top"/>
    </xf>
    <xf numFmtId="0" fontId="4" fillId="0" borderId="6" xfId="257" applyFont="1" applyBorder="1" applyAlignment="1">
      <alignment horizontal="center" vertical="center"/>
    </xf>
    <xf numFmtId="10" fontId="18" fillId="0" borderId="0" xfId="13" applyNumberFormat="1" applyFont="1" applyBorder="1" applyAlignment="1">
      <alignment horizontal="center" vertical="center"/>
    </xf>
    <xf numFmtId="0" fontId="18" fillId="3" borderId="6" xfId="13" applyFont="1" applyFill="1" applyBorder="1" applyAlignment="1">
      <alignment vertical="center" wrapText="1"/>
    </xf>
    <xf numFmtId="2" fontId="4" fillId="0" borderId="6" xfId="1" applyNumberFormat="1" applyFont="1" applyBorder="1" applyAlignment="1">
      <alignment horizontal="center" vertical="center"/>
    </xf>
    <xf numFmtId="0" fontId="81" fillId="0" borderId="6" xfId="0" applyFont="1" applyBorder="1" applyAlignment="1">
      <alignment horizontal="center"/>
    </xf>
    <xf numFmtId="0" fontId="82" fillId="0" borderId="0" xfId="0" applyFont="1" applyAlignment="1">
      <alignment horizontal="center"/>
    </xf>
    <xf numFmtId="0" fontId="4" fillId="0" borderId="6" xfId="13" applyFont="1" applyBorder="1" applyAlignment="1">
      <alignment horizontal="center" vertical="center"/>
    </xf>
    <xf numFmtId="0" fontId="81" fillId="0" borderId="6" xfId="0" applyFont="1" applyBorder="1" applyAlignment="1">
      <alignment horizontal="center" vertical="top" wrapText="1"/>
    </xf>
    <xf numFmtId="0" fontId="81" fillId="0" borderId="6" xfId="0" applyFont="1" applyBorder="1" applyAlignment="1">
      <alignment horizontal="center" vertical="center"/>
    </xf>
    <xf numFmtId="0" fontId="4" fillId="0" borderId="6" xfId="114" applyFont="1" applyFill="1" applyBorder="1" applyAlignment="1" applyProtection="1">
      <alignment horizontal="center" vertical="center"/>
    </xf>
    <xf numFmtId="0" fontId="4" fillId="4" borderId="6" xfId="0" applyFont="1" applyFill="1" applyBorder="1" applyAlignment="1">
      <alignment horizontal="center" vertical="center" wrapText="1"/>
    </xf>
    <xf numFmtId="0" fontId="40" fillId="0" borderId="0" xfId="92" applyFont="1"/>
    <xf numFmtId="0" fontId="40" fillId="0" borderId="17" xfId="92" applyFont="1" applyBorder="1"/>
    <xf numFmtId="0" fontId="40" fillId="0" borderId="0" xfId="92" applyFont="1" applyBorder="1"/>
    <xf numFmtId="0" fontId="40" fillId="0" borderId="5" xfId="92" applyFont="1" applyBorder="1"/>
    <xf numFmtId="0" fontId="40" fillId="0" borderId="3" xfId="92" applyFont="1" applyBorder="1"/>
    <xf numFmtId="0" fontId="40" fillId="0" borderId="0" xfId="92" quotePrefix="1" applyFont="1"/>
    <xf numFmtId="0" fontId="178" fillId="0" borderId="0" xfId="92" applyFont="1" applyAlignment="1">
      <alignment horizontal="center"/>
    </xf>
    <xf numFmtId="0" fontId="178" fillId="0" borderId="0" xfId="92" applyFont="1" applyAlignment="1"/>
    <xf numFmtId="0" fontId="40" fillId="3" borderId="0" xfId="92" applyFont="1" applyFill="1" applyAlignment="1">
      <alignment horizontal="right"/>
    </xf>
    <xf numFmtId="0" fontId="40" fillId="3" borderId="52" xfId="92" applyFont="1" applyFill="1" applyBorder="1" applyAlignment="1">
      <alignment horizontal="right"/>
    </xf>
    <xf numFmtId="0" fontId="51" fillId="3" borderId="0" xfId="92" applyFont="1" applyFill="1" applyAlignment="1">
      <alignment horizontal="center"/>
    </xf>
    <xf numFmtId="0" fontId="51" fillId="3" borderId="12" xfId="92" applyFont="1" applyFill="1" applyBorder="1" applyAlignment="1">
      <alignment horizontal="center"/>
    </xf>
    <xf numFmtId="0" fontId="51" fillId="3" borderId="59" xfId="92" applyFont="1" applyFill="1" applyBorder="1" applyAlignment="1">
      <alignment horizontal="center"/>
    </xf>
    <xf numFmtId="0" fontId="51" fillId="3" borderId="106" xfId="92" applyFont="1" applyFill="1" applyBorder="1" applyAlignment="1">
      <alignment horizontal="center"/>
    </xf>
    <xf numFmtId="0" fontId="40" fillId="3" borderId="14" xfId="92" applyFont="1" applyFill="1" applyBorder="1" applyAlignment="1">
      <alignment horizontal="right"/>
    </xf>
    <xf numFmtId="0" fontId="51" fillId="3" borderId="3" xfId="92" applyFont="1" applyFill="1" applyBorder="1" applyAlignment="1">
      <alignment horizontal="center"/>
    </xf>
    <xf numFmtId="0" fontId="180" fillId="3" borderId="0" xfId="92" applyFont="1" applyFill="1" applyAlignment="1">
      <alignment horizontal="center"/>
    </xf>
    <xf numFmtId="0" fontId="40" fillId="3" borderId="3" xfId="92" applyFont="1" applyFill="1" applyBorder="1" applyAlignment="1">
      <alignment horizontal="right"/>
    </xf>
    <xf numFmtId="0" fontId="51" fillId="3" borderId="52" xfId="92" applyFont="1" applyFill="1" applyBorder="1" applyAlignment="1">
      <alignment horizontal="center"/>
    </xf>
    <xf numFmtId="0" fontId="181" fillId="3" borderId="0" xfId="92" applyFont="1" applyFill="1" applyAlignment="1">
      <alignment horizontal="center"/>
    </xf>
    <xf numFmtId="0" fontId="51" fillId="3" borderId="0" xfId="92" applyFont="1" applyFill="1" applyBorder="1" applyAlignment="1">
      <alignment horizontal="center"/>
    </xf>
    <xf numFmtId="0" fontId="51" fillId="3" borderId="14" xfId="92" applyFont="1" applyFill="1" applyBorder="1" applyAlignment="1">
      <alignment horizontal="center"/>
    </xf>
    <xf numFmtId="0" fontId="51" fillId="3" borderId="106" xfId="92" applyFont="1" applyFill="1" applyBorder="1" applyAlignment="1">
      <alignment horizontal="right"/>
    </xf>
    <xf numFmtId="0" fontId="51" fillId="3" borderId="3" xfId="92" applyFont="1" applyFill="1" applyBorder="1" applyAlignment="1">
      <alignment horizontal="right"/>
    </xf>
    <xf numFmtId="0" fontId="51" fillId="3" borderId="35" xfId="92" applyFont="1" applyFill="1" applyBorder="1" applyAlignment="1">
      <alignment horizontal="right"/>
    </xf>
    <xf numFmtId="0" fontId="51" fillId="3" borderId="96" xfId="92" applyFont="1" applyFill="1" applyBorder="1" applyAlignment="1">
      <alignment horizontal="right"/>
    </xf>
    <xf numFmtId="0" fontId="51" fillId="3" borderId="97" xfId="92" applyFont="1" applyFill="1" applyBorder="1" applyAlignment="1">
      <alignment horizontal="right"/>
    </xf>
    <xf numFmtId="0" fontId="51" fillId="3" borderId="135" xfId="92" applyFont="1" applyFill="1" applyBorder="1" applyAlignment="1">
      <alignment horizontal="right"/>
    </xf>
    <xf numFmtId="0" fontId="51" fillId="0" borderId="0" xfId="92" applyFont="1" applyBorder="1" applyAlignment="1">
      <alignment horizontal="right"/>
    </xf>
    <xf numFmtId="0" fontId="51" fillId="0" borderId="3" xfId="92" applyFont="1" applyBorder="1" applyAlignment="1">
      <alignment horizontal="right"/>
    </xf>
    <xf numFmtId="0" fontId="51" fillId="0" borderId="106" xfId="92" applyFont="1" applyBorder="1" applyAlignment="1">
      <alignment horizontal="right"/>
    </xf>
    <xf numFmtId="0" fontId="51" fillId="0" borderId="30" xfId="92" applyFont="1" applyBorder="1" applyAlignment="1">
      <alignment horizontal="right"/>
    </xf>
    <xf numFmtId="0" fontId="51" fillId="0" borderId="5" xfId="92" applyFont="1" applyBorder="1" applyAlignment="1">
      <alignment horizontal="right"/>
    </xf>
    <xf numFmtId="0" fontId="178" fillId="0" borderId="3" xfId="92" applyFont="1" applyBorder="1"/>
    <xf numFmtId="0" fontId="51" fillId="0" borderId="0" xfId="92" applyFont="1" applyAlignment="1">
      <alignment horizontal="center"/>
    </xf>
    <xf numFmtId="0" fontId="51" fillId="0" borderId="3" xfId="92" applyFont="1" applyBorder="1" applyAlignment="1">
      <alignment horizontal="center"/>
    </xf>
    <xf numFmtId="0" fontId="51" fillId="0" borderId="106" xfId="92" applyFont="1" applyBorder="1" applyAlignment="1">
      <alignment horizontal="center"/>
    </xf>
    <xf numFmtId="0" fontId="51" fillId="0" borderId="0" xfId="92" applyFont="1" applyBorder="1" applyAlignment="1">
      <alignment horizontal="center"/>
    </xf>
    <xf numFmtId="176" fontId="40" fillId="0" borderId="106" xfId="92" applyNumberFormat="1" applyFont="1" applyBorder="1" applyAlignment="1" applyProtection="1">
      <alignment horizontal="center"/>
    </xf>
    <xf numFmtId="0" fontId="51" fillId="0" borderId="14" xfId="92" applyFont="1" applyBorder="1" applyAlignment="1">
      <alignment horizontal="center"/>
    </xf>
    <xf numFmtId="2" fontId="40" fillId="0" borderId="0" xfId="92" applyNumberFormat="1" applyFont="1" applyAlignment="1">
      <alignment horizontal="right"/>
    </xf>
    <xf numFmtId="2" fontId="40" fillId="0" borderId="3" xfId="92" applyNumberFormat="1" applyFont="1" applyBorder="1"/>
    <xf numFmtId="2" fontId="40" fillId="0" borderId="0" xfId="92" applyNumberFormat="1" applyFont="1"/>
    <xf numFmtId="2" fontId="40" fillId="0" borderId="106" xfId="92" applyNumberFormat="1" applyFont="1" applyBorder="1"/>
    <xf numFmtId="2" fontId="40" fillId="0" borderId="0" xfId="92" applyNumberFormat="1" applyFont="1" applyBorder="1"/>
    <xf numFmtId="1" fontId="40" fillId="0" borderId="3" xfId="92" applyNumberFormat="1" applyFont="1" applyBorder="1"/>
    <xf numFmtId="1" fontId="40" fillId="0" borderId="106" xfId="92" applyNumberFormat="1" applyFont="1" applyBorder="1" applyProtection="1"/>
    <xf numFmtId="1" fontId="40" fillId="0" borderId="14" xfId="92" applyNumberFormat="1" applyFont="1" applyBorder="1"/>
    <xf numFmtId="1" fontId="40" fillId="0" borderId="0" xfId="92" applyNumberFormat="1" applyFont="1"/>
    <xf numFmtId="1" fontId="40" fillId="0" borderId="3" xfId="92" applyNumberFormat="1" applyFont="1" applyBorder="1" applyProtection="1"/>
    <xf numFmtId="0" fontId="40" fillId="0" borderId="8" xfId="92" applyFont="1" applyBorder="1"/>
    <xf numFmtId="2" fontId="40" fillId="0" borderId="17" xfId="92" applyNumberFormat="1" applyFont="1" applyBorder="1"/>
    <xf numFmtId="2" fontId="40" fillId="0" borderId="8" xfId="92" applyNumberFormat="1" applyFont="1" applyBorder="1"/>
    <xf numFmtId="2" fontId="40" fillId="0" borderId="15" xfId="92" applyNumberFormat="1" applyFont="1" applyBorder="1"/>
    <xf numFmtId="1" fontId="40" fillId="0" borderId="8" xfId="92" applyNumberFormat="1" applyFont="1" applyBorder="1"/>
    <xf numFmtId="2" fontId="40" fillId="0" borderId="14" xfId="92" applyNumberFormat="1" applyFont="1" applyBorder="1"/>
    <xf numFmtId="1" fontId="40" fillId="0" borderId="16" xfId="92" applyNumberFormat="1" applyFont="1" applyBorder="1"/>
    <xf numFmtId="1" fontId="40" fillId="0" borderId="17" xfId="92" applyNumberFormat="1" applyFont="1" applyBorder="1"/>
    <xf numFmtId="0" fontId="51" fillId="0" borderId="6" xfId="92" applyFont="1" applyBorder="1" applyAlignment="1">
      <alignment horizontal="center"/>
    </xf>
    <xf numFmtId="2" fontId="40" fillId="0" borderId="6" xfId="92" applyNumberFormat="1" applyFont="1" applyBorder="1"/>
    <xf numFmtId="2" fontId="40" fillId="0" borderId="54" xfId="92" applyNumberFormat="1" applyFont="1" applyBorder="1"/>
    <xf numFmtId="2" fontId="40" fillId="0" borderId="55" xfId="92" applyNumberFormat="1" applyFont="1" applyBorder="1"/>
    <xf numFmtId="1" fontId="40" fillId="0" borderId="6" xfId="92" applyNumberFormat="1" applyFont="1" applyBorder="1"/>
    <xf numFmtId="2" fontId="40" fillId="0" borderId="6" xfId="92" applyNumberFormat="1" applyFont="1" applyBorder="1" applyProtection="1"/>
    <xf numFmtId="1" fontId="40" fillId="0" borderId="54" xfId="92" applyNumberFormat="1" applyFont="1" applyBorder="1" applyProtection="1"/>
    <xf numFmtId="1" fontId="40" fillId="0" borderId="56" xfId="92" applyNumberFormat="1" applyFont="1" applyBorder="1"/>
    <xf numFmtId="1" fontId="182" fillId="0" borderId="6" xfId="92" applyNumberFormat="1" applyFont="1" applyBorder="1"/>
    <xf numFmtId="1" fontId="40" fillId="0" borderId="6" xfId="92" applyNumberFormat="1" applyFont="1" applyBorder="1" applyProtection="1"/>
    <xf numFmtId="0" fontId="183" fillId="0" borderId="6" xfId="92" applyNumberFormat="1" applyFont="1" applyBorder="1"/>
    <xf numFmtId="2" fontId="40" fillId="0" borderId="52" xfId="92" applyNumberFormat="1" applyFont="1" applyBorder="1"/>
    <xf numFmtId="1" fontId="40" fillId="0" borderId="0" xfId="92" applyNumberFormat="1" applyFont="1" applyBorder="1"/>
    <xf numFmtId="1" fontId="40" fillId="0" borderId="52" xfId="92" applyNumberFormat="1" applyFont="1" applyBorder="1"/>
    <xf numFmtId="1" fontId="183" fillId="0" borderId="3" xfId="92" applyNumberFormat="1" applyFont="1" applyFill="1" applyBorder="1"/>
    <xf numFmtId="1" fontId="40" fillId="0" borderId="106" xfId="92" applyNumberFormat="1" applyFont="1" applyBorder="1"/>
    <xf numFmtId="1" fontId="51" fillId="0" borderId="0" xfId="92" applyNumberFormat="1" applyFont="1" applyBorder="1" applyAlignment="1" applyProtection="1">
      <alignment horizontal="right"/>
    </xf>
    <xf numFmtId="1" fontId="40" fillId="0" borderId="0" xfId="92" applyNumberFormat="1" applyFont="1" applyFill="1" applyBorder="1"/>
    <xf numFmtId="1" fontId="180" fillId="0" borderId="6" xfId="92" applyNumberFormat="1" applyFont="1" applyBorder="1"/>
    <xf numFmtId="1" fontId="51" fillId="0" borderId="6" xfId="92" applyNumberFormat="1" applyFont="1" applyBorder="1"/>
    <xf numFmtId="0" fontId="184" fillId="0" borderId="6" xfId="92" applyNumberFormat="1" applyFont="1" applyFill="1" applyBorder="1"/>
    <xf numFmtId="1" fontId="40" fillId="0" borderId="0" xfId="92" applyNumberFormat="1" applyFont="1" applyBorder="1" applyAlignment="1">
      <alignment horizontal="right"/>
    </xf>
    <xf numFmtId="1" fontId="40" fillId="0" borderId="0" xfId="92" applyNumberFormat="1" applyFont="1" applyBorder="1" applyProtection="1"/>
    <xf numFmtId="1" fontId="40" fillId="0" borderId="14" xfId="92" applyNumberFormat="1" applyFont="1" applyBorder="1" applyProtection="1"/>
    <xf numFmtId="2" fontId="40" fillId="0" borderId="8" xfId="92" applyNumberFormat="1" applyFont="1" applyBorder="1" applyProtection="1"/>
    <xf numFmtId="1" fontId="40" fillId="0" borderId="8" xfId="92" applyNumberFormat="1" applyFont="1" applyBorder="1" applyProtection="1"/>
    <xf numFmtId="2" fontId="40" fillId="0" borderId="54" xfId="92" applyNumberFormat="1" applyFont="1" applyBorder="1" applyProtection="1"/>
    <xf numFmtId="1" fontId="184" fillId="0" borderId="6" xfId="92" applyNumberFormat="1" applyFont="1" applyBorder="1"/>
    <xf numFmtId="1" fontId="181" fillId="0" borderId="6" xfId="92" applyNumberFormat="1" applyFont="1" applyBorder="1"/>
    <xf numFmtId="2" fontId="40" fillId="0" borderId="14" xfId="92" applyNumberFormat="1" applyFont="1" applyBorder="1" applyProtection="1"/>
    <xf numFmtId="2" fontId="40" fillId="0" borderId="106" xfId="92" applyNumberFormat="1" applyFont="1" applyBorder="1" applyProtection="1"/>
    <xf numFmtId="0" fontId="178" fillId="0" borderId="3" xfId="92" applyFont="1" applyBorder="1" applyAlignment="1">
      <alignment horizontal="center"/>
    </xf>
    <xf numFmtId="1" fontId="40" fillId="0" borderId="55" xfId="92" applyNumberFormat="1" applyFont="1" applyBorder="1"/>
    <xf numFmtId="0" fontId="40" fillId="0" borderId="96" xfId="92" applyFont="1" applyBorder="1"/>
    <xf numFmtId="1" fontId="40" fillId="0" borderId="35" xfId="92" applyNumberFormat="1" applyFont="1" applyBorder="1"/>
    <xf numFmtId="1" fontId="40" fillId="0" borderId="96" xfId="92" applyNumberFormat="1" applyFont="1" applyBorder="1"/>
    <xf numFmtId="1" fontId="40" fillId="0" borderId="97" xfId="92" applyNumberFormat="1" applyFont="1" applyBorder="1"/>
    <xf numFmtId="1" fontId="40" fillId="0" borderId="129" xfId="92" applyNumberFormat="1" applyFont="1" applyBorder="1"/>
    <xf numFmtId="1" fontId="40" fillId="0" borderId="135" xfId="92" applyNumberFormat="1" applyFont="1" applyBorder="1"/>
    <xf numFmtId="0" fontId="4" fillId="4" borderId="54" xfId="0" applyFont="1" applyFill="1" applyBorder="1" applyAlignment="1">
      <alignment vertical="top"/>
    </xf>
    <xf numFmtId="2" fontId="18" fillId="4" borderId="0" xfId="0" applyNumberFormat="1" applyFont="1" applyFill="1" applyBorder="1" applyAlignment="1">
      <alignment horizontal="center"/>
    </xf>
    <xf numFmtId="0" fontId="18" fillId="4" borderId="0" xfId="0" applyFont="1" applyFill="1" applyBorder="1" applyAlignment="1">
      <alignment wrapText="1"/>
    </xf>
    <xf numFmtId="0" fontId="4" fillId="4" borderId="0" xfId="0" applyFont="1" applyFill="1" applyBorder="1" applyAlignment="1">
      <alignment wrapText="1"/>
    </xf>
    <xf numFmtId="0" fontId="18" fillId="4" borderId="0" xfId="0" applyFont="1" applyFill="1" applyBorder="1" applyAlignment="1">
      <alignment horizontal="center" vertical="center" wrapText="1"/>
    </xf>
    <xf numFmtId="0" fontId="18" fillId="4" borderId="106" xfId="0" applyFont="1" applyFill="1" applyBorder="1" applyAlignment="1">
      <alignment horizontal="center" vertical="center" wrapText="1"/>
    </xf>
    <xf numFmtId="0" fontId="58" fillId="0" borderId="0" xfId="0" applyFont="1"/>
    <xf numFmtId="0" fontId="185" fillId="0" borderId="0" xfId="0" applyFont="1"/>
    <xf numFmtId="0" fontId="153" fillId="0" borderId="0" xfId="0" applyFont="1" applyBorder="1"/>
    <xf numFmtId="0" fontId="4" fillId="0" borderId="0" xfId="0" applyFont="1" applyBorder="1"/>
    <xf numFmtId="0" fontId="45" fillId="0" borderId="0" xfId="0" applyFont="1"/>
    <xf numFmtId="0" fontId="153" fillId="0" borderId="0" xfId="0" applyFont="1"/>
    <xf numFmtId="0" fontId="153" fillId="0" borderId="17" xfId="0" applyFont="1" applyBorder="1"/>
    <xf numFmtId="0" fontId="4" fillId="0" borderId="17" xfId="0" applyFont="1" applyBorder="1"/>
    <xf numFmtId="0" fontId="4" fillId="3" borderId="52" xfId="0" applyFont="1" applyFill="1" applyBorder="1"/>
    <xf numFmtId="0" fontId="4" fillId="3" borderId="52" xfId="0" applyFont="1" applyFill="1" applyBorder="1" applyAlignment="1">
      <alignment horizontal="right"/>
    </xf>
    <xf numFmtId="0" fontId="4" fillId="3" borderId="0" xfId="0" applyFont="1" applyFill="1" applyAlignment="1">
      <alignment horizontal="right"/>
    </xf>
    <xf numFmtId="0" fontId="4" fillId="3" borderId="14" xfId="0" applyFont="1" applyFill="1" applyBorder="1" applyAlignment="1">
      <alignment horizontal="right"/>
    </xf>
    <xf numFmtId="0" fontId="17" fillId="3" borderId="0" xfId="0" applyFont="1" applyFill="1" applyAlignment="1">
      <alignment horizontal="center"/>
    </xf>
    <xf numFmtId="0" fontId="17" fillId="3" borderId="52" xfId="0" applyFont="1" applyFill="1" applyBorder="1" applyAlignment="1">
      <alignment horizontal="right"/>
    </xf>
    <xf numFmtId="0" fontId="17" fillId="3" borderId="12" xfId="0" applyFont="1" applyFill="1" applyBorder="1" applyAlignment="1">
      <alignment horizontal="right"/>
    </xf>
    <xf numFmtId="0" fontId="14" fillId="3" borderId="13" xfId="0" applyFont="1" applyFill="1" applyBorder="1" applyAlignment="1">
      <alignment horizontal="right"/>
    </xf>
    <xf numFmtId="0" fontId="17" fillId="3" borderId="3" xfId="0" applyFont="1" applyFill="1" applyBorder="1" applyAlignment="1">
      <alignment horizontal="center"/>
    </xf>
    <xf numFmtId="0" fontId="18" fillId="3" borderId="3" xfId="0" applyFont="1" applyFill="1" applyBorder="1" applyAlignment="1">
      <alignment horizontal="center"/>
    </xf>
    <xf numFmtId="0" fontId="18" fillId="3" borderId="0" xfId="0" applyFont="1" applyFill="1" applyAlignment="1">
      <alignment horizontal="right"/>
    </xf>
    <xf numFmtId="0" fontId="17" fillId="3" borderId="14" xfId="0" applyFont="1" applyFill="1" applyBorder="1" applyAlignment="1">
      <alignment horizontal="left"/>
    </xf>
    <xf numFmtId="0" fontId="17" fillId="3" borderId="3" xfId="0" applyFont="1" applyFill="1" applyBorder="1" applyAlignment="1">
      <alignment horizontal="right"/>
    </xf>
    <xf numFmtId="0" fontId="17" fillId="3" borderId="106" xfId="0" applyFont="1" applyFill="1" applyBorder="1" applyAlignment="1">
      <alignment horizontal="right"/>
    </xf>
    <xf numFmtId="0" fontId="17" fillId="3" borderId="14" xfId="0" applyFont="1" applyFill="1" applyBorder="1" applyAlignment="1">
      <alignment horizontal="center"/>
    </xf>
    <xf numFmtId="0" fontId="4" fillId="3" borderId="3" xfId="0" applyFont="1" applyFill="1" applyBorder="1"/>
    <xf numFmtId="0" fontId="4" fillId="3" borderId="3" xfId="0" applyFont="1" applyFill="1" applyBorder="1" applyAlignment="1">
      <alignment horizontal="right"/>
    </xf>
    <xf numFmtId="0" fontId="14" fillId="3" borderId="3" xfId="0" applyFont="1" applyFill="1" applyBorder="1" applyAlignment="1">
      <alignment horizontal="right"/>
    </xf>
    <xf numFmtId="0" fontId="14" fillId="3" borderId="106" xfId="0" applyFont="1" applyFill="1" applyBorder="1" applyAlignment="1">
      <alignment horizontal="right"/>
    </xf>
    <xf numFmtId="0" fontId="14" fillId="3" borderId="14" xfId="0" applyFont="1" applyFill="1" applyBorder="1" applyAlignment="1">
      <alignment horizontal="right"/>
    </xf>
    <xf numFmtId="0" fontId="4" fillId="3" borderId="7" xfId="0" applyFont="1" applyFill="1" applyBorder="1"/>
    <xf numFmtId="0" fontId="18" fillId="3" borderId="7" xfId="0" applyFont="1" applyFill="1" applyBorder="1" applyAlignment="1">
      <alignment horizontal="center"/>
    </xf>
    <xf numFmtId="0" fontId="18" fillId="3" borderId="101" xfId="0" applyFont="1" applyFill="1" applyBorder="1" applyAlignment="1">
      <alignment horizontal="center"/>
    </xf>
    <xf numFmtId="0" fontId="18" fillId="3" borderId="100" xfId="0" applyFont="1" applyFill="1" applyBorder="1" applyAlignment="1">
      <alignment horizontal="center"/>
    </xf>
    <xf numFmtId="0" fontId="111" fillId="0" borderId="3" xfId="0" applyFont="1" applyBorder="1"/>
    <xf numFmtId="0" fontId="18" fillId="0" borderId="3" xfId="0" applyFont="1" applyBorder="1" applyAlignment="1">
      <alignment horizontal="center"/>
    </xf>
    <xf numFmtId="0" fontId="18" fillId="0" borderId="0" xfId="0" applyFont="1" applyAlignment="1">
      <alignment horizontal="center"/>
    </xf>
    <xf numFmtId="0" fontId="18" fillId="0" borderId="14" xfId="0" applyFont="1" applyBorder="1" applyAlignment="1">
      <alignment horizontal="center"/>
    </xf>
    <xf numFmtId="0" fontId="18" fillId="0" borderId="106" xfId="0" applyFont="1" applyBorder="1" applyAlignment="1">
      <alignment horizontal="center"/>
    </xf>
    <xf numFmtId="176" fontId="4" fillId="0" borderId="0" xfId="0" applyNumberFormat="1" applyFont="1" applyBorder="1" applyAlignment="1" applyProtection="1">
      <alignment horizontal="center"/>
    </xf>
    <xf numFmtId="0" fontId="4" fillId="0" borderId="5" xfId="0" applyFont="1" applyBorder="1"/>
    <xf numFmtId="1" fontId="4" fillId="0" borderId="3" xfId="0" applyNumberFormat="1" applyFont="1" applyBorder="1" applyAlignment="1">
      <alignment horizontal="right"/>
    </xf>
    <xf numFmtId="1" fontId="4" fillId="0" borderId="0" xfId="0" applyNumberFormat="1" applyFont="1" applyAlignment="1">
      <alignment horizontal="right"/>
    </xf>
    <xf numFmtId="1" fontId="4" fillId="0" borderId="14" xfId="0" applyNumberFormat="1" applyFont="1" applyBorder="1"/>
    <xf numFmtId="1" fontId="4" fillId="0" borderId="0" xfId="0" applyNumberFormat="1" applyFont="1"/>
    <xf numFmtId="1" fontId="4" fillId="0" borderId="3" xfId="0" applyNumberFormat="1" applyFont="1" applyBorder="1"/>
    <xf numFmtId="1" fontId="4" fillId="0" borderId="106" xfId="0" applyNumberFormat="1" applyFont="1" applyBorder="1"/>
    <xf numFmtId="1" fontId="4" fillId="0" borderId="3" xfId="0" applyNumberFormat="1" applyFont="1" applyBorder="1" applyProtection="1"/>
    <xf numFmtId="1" fontId="18" fillId="0" borderId="106" xfId="0" applyNumberFormat="1" applyFont="1" applyBorder="1" applyAlignment="1">
      <alignment horizontal="center"/>
    </xf>
    <xf numFmtId="1" fontId="81" fillId="0" borderId="14" xfId="0" applyNumberFormat="1" applyFont="1" applyBorder="1"/>
    <xf numFmtId="0" fontId="4" fillId="0" borderId="8" xfId="0" applyFont="1" applyBorder="1"/>
    <xf numFmtId="1" fontId="4" fillId="0" borderId="8" xfId="0" applyNumberFormat="1" applyFont="1" applyBorder="1"/>
    <xf numFmtId="1" fontId="4" fillId="0" borderId="17" xfId="0" applyNumberFormat="1" applyFont="1" applyBorder="1"/>
    <xf numFmtId="1" fontId="4" fillId="0" borderId="15" xfId="0" applyNumberFormat="1" applyFont="1" applyBorder="1"/>
    <xf numFmtId="1" fontId="18" fillId="0" borderId="6" xfId="0" applyNumberFormat="1" applyFont="1" applyBorder="1"/>
    <xf numFmtId="1" fontId="18" fillId="0" borderId="55" xfId="0" applyNumberFormat="1" applyFont="1" applyBorder="1"/>
    <xf numFmtId="1" fontId="18" fillId="0" borderId="56" xfId="0" applyNumberFormat="1" applyFont="1" applyBorder="1"/>
    <xf numFmtId="1" fontId="18" fillId="0" borderId="54" xfId="0" applyNumberFormat="1" applyFont="1" applyBorder="1"/>
    <xf numFmtId="1" fontId="18" fillId="0" borderId="56" xfId="0" applyNumberFormat="1" applyFont="1" applyBorder="1" applyProtection="1"/>
    <xf numFmtId="1" fontId="18" fillId="0" borderId="6" xfId="0" applyNumberFormat="1" applyFont="1" applyBorder="1" applyProtection="1"/>
    <xf numFmtId="2" fontId="4" fillId="0" borderId="0" xfId="0" applyNumberFormat="1" applyFont="1"/>
    <xf numFmtId="2" fontId="4" fillId="0" borderId="106" xfId="0" applyNumberFormat="1" applyFont="1" applyBorder="1"/>
    <xf numFmtId="1" fontId="4" fillId="0" borderId="52" xfId="0" applyNumberFormat="1" applyFont="1" applyBorder="1" applyProtection="1"/>
    <xf numFmtId="1" fontId="81" fillId="0" borderId="14" xfId="0" applyNumberFormat="1" applyFont="1" applyFill="1" applyBorder="1"/>
    <xf numFmtId="1" fontId="4" fillId="0" borderId="14" xfId="0" applyNumberFormat="1" applyFont="1" applyBorder="1" applyProtection="1"/>
    <xf numFmtId="2" fontId="4" fillId="0" borderId="17" xfId="0" applyNumberFormat="1" applyFont="1" applyBorder="1"/>
    <xf numFmtId="1" fontId="4" fillId="0" borderId="16" xfId="0" applyNumberFormat="1" applyFont="1" applyBorder="1"/>
    <xf numFmtId="1" fontId="4" fillId="0" borderId="55" xfId="0" applyNumberFormat="1" applyFont="1" applyBorder="1"/>
    <xf numFmtId="1" fontId="4" fillId="0" borderId="54" xfId="0" applyNumberFormat="1" applyFont="1" applyBorder="1" applyAlignment="1">
      <alignment horizontal="center"/>
    </xf>
    <xf numFmtId="2" fontId="4" fillId="0" borderId="106" xfId="0" applyNumberFormat="1" applyFont="1" applyBorder="1" applyAlignment="1">
      <alignment horizontal="center"/>
    </xf>
    <xf numFmtId="1" fontId="4" fillId="0" borderId="106" xfId="0" applyNumberFormat="1" applyFont="1" applyBorder="1" applyAlignment="1">
      <alignment horizontal="center"/>
    </xf>
    <xf numFmtId="1" fontId="4" fillId="0" borderId="3" xfId="0" quotePrefix="1" applyNumberFormat="1" applyFont="1" applyBorder="1"/>
    <xf numFmtId="2" fontId="4" fillId="0" borderId="8" xfId="0" applyNumberFormat="1" applyFont="1" applyBorder="1"/>
    <xf numFmtId="2" fontId="4" fillId="0" borderId="15" xfId="0" applyNumberFormat="1" applyFont="1" applyBorder="1"/>
    <xf numFmtId="1" fontId="4" fillId="0" borderId="16" xfId="0" applyNumberFormat="1" applyFont="1" applyBorder="1" applyProtection="1"/>
    <xf numFmtId="1" fontId="4" fillId="0" borderId="54" xfId="0" applyNumberFormat="1" applyFont="1" applyBorder="1"/>
    <xf numFmtId="2" fontId="18" fillId="0" borderId="14" xfId="0" applyNumberFormat="1" applyFont="1" applyBorder="1"/>
    <xf numFmtId="2" fontId="18" fillId="0" borderId="0" xfId="0" applyNumberFormat="1" applyFont="1"/>
    <xf numFmtId="2" fontId="18" fillId="0" borderId="3" xfId="0" applyNumberFormat="1" applyFont="1" applyBorder="1"/>
    <xf numFmtId="0" fontId="111" fillId="0" borderId="96" xfId="0" applyFont="1" applyBorder="1" applyAlignment="1">
      <alignment horizontal="center"/>
    </xf>
    <xf numFmtId="1" fontId="18" fillId="0" borderId="96" xfId="0" applyNumberFormat="1" applyFont="1" applyBorder="1"/>
    <xf numFmtId="1" fontId="18" fillId="0" borderId="35" xfId="0" applyNumberFormat="1" applyFont="1" applyBorder="1"/>
    <xf numFmtId="1" fontId="18" fillId="0" borderId="135" xfId="0" applyNumberFormat="1" applyFont="1" applyBorder="1"/>
    <xf numFmtId="2" fontId="18" fillId="0" borderId="96" xfId="0" applyNumberFormat="1" applyFont="1" applyBorder="1"/>
    <xf numFmtId="2" fontId="4" fillId="0" borderId="97" xfId="0" applyNumberFormat="1" applyFont="1" applyBorder="1" applyAlignment="1">
      <alignment horizontal="center"/>
    </xf>
    <xf numFmtId="1" fontId="18" fillId="0" borderId="96" xfId="0" applyNumberFormat="1" applyFont="1" applyBorder="1" applyProtection="1"/>
    <xf numFmtId="1" fontId="4" fillId="0" borderId="0" xfId="0" applyNumberFormat="1" applyFont="1" applyBorder="1"/>
    <xf numFmtId="176" fontId="40" fillId="0" borderId="0" xfId="422" applyNumberFormat="1" applyFont="1" applyProtection="1"/>
    <xf numFmtId="176" fontId="40" fillId="0" borderId="0" xfId="422" applyNumberFormat="1" applyFont="1" applyBorder="1" applyAlignment="1" applyProtection="1">
      <alignment horizontal="left"/>
    </xf>
    <xf numFmtId="176" fontId="4" fillId="0" borderId="0" xfId="422" applyNumberFormat="1" applyFont="1" applyBorder="1" applyProtection="1"/>
    <xf numFmtId="176" fontId="40" fillId="0" borderId="0" xfId="422" applyNumberFormat="1" applyFont="1" applyBorder="1" applyProtection="1"/>
    <xf numFmtId="0" fontId="40" fillId="0" borderId="0" xfId="422" applyFont="1" applyBorder="1"/>
    <xf numFmtId="198" fontId="4" fillId="0" borderId="0" xfId="422" applyNumberFormat="1" applyFont="1" applyBorder="1" applyProtection="1"/>
    <xf numFmtId="0" fontId="40" fillId="0" borderId="0" xfId="422" applyFont="1"/>
    <xf numFmtId="0" fontId="40" fillId="0" borderId="0" xfId="0" applyFont="1"/>
    <xf numFmtId="0" fontId="18" fillId="0" borderId="0" xfId="422" applyFont="1" applyAlignment="1"/>
    <xf numFmtId="0" fontId="18" fillId="0" borderId="0" xfId="422" applyFont="1" applyAlignment="1">
      <alignment horizontal="left"/>
    </xf>
    <xf numFmtId="0" fontId="45" fillId="0" borderId="0" xfId="422" applyFont="1" applyAlignment="1">
      <alignment horizontal="left"/>
    </xf>
    <xf numFmtId="0" fontId="17" fillId="0" borderId="0" xfId="422" applyFont="1"/>
    <xf numFmtId="176" fontId="40" fillId="0" borderId="0" xfId="422" applyNumberFormat="1" applyFont="1" applyBorder="1" applyAlignment="1" applyProtection="1">
      <alignment horizontal="fill"/>
    </xf>
    <xf numFmtId="176" fontId="40" fillId="0" borderId="17" xfId="422" applyNumberFormat="1" applyFont="1" applyBorder="1" applyAlignment="1" applyProtection="1">
      <alignment horizontal="fill"/>
    </xf>
    <xf numFmtId="176" fontId="40" fillId="0" borderId="0" xfId="422" applyNumberFormat="1" applyFont="1" applyBorder="1" applyAlignment="1" applyProtection="1">
      <alignment horizontal="center"/>
    </xf>
    <xf numFmtId="176" fontId="51" fillId="0" borderId="12" xfId="422" applyNumberFormat="1" applyFont="1" applyBorder="1" applyAlignment="1" applyProtection="1">
      <alignment horizontal="right"/>
    </xf>
    <xf numFmtId="176" fontId="51" fillId="0" borderId="12" xfId="422" applyNumberFormat="1" applyFont="1" applyBorder="1" applyAlignment="1" applyProtection="1">
      <alignment horizontal="center"/>
    </xf>
    <xf numFmtId="176" fontId="51" fillId="0" borderId="52" xfId="422" applyNumberFormat="1" applyFont="1" applyBorder="1" applyAlignment="1" applyProtection="1">
      <alignment horizontal="center"/>
    </xf>
    <xf numFmtId="0" fontId="117" fillId="0" borderId="13" xfId="0" applyFont="1" applyBorder="1" applyAlignment="1">
      <alignment horizontal="center"/>
    </xf>
    <xf numFmtId="176" fontId="51" fillId="0" borderId="0" xfId="422" applyNumberFormat="1" applyFont="1" applyAlignment="1" applyProtection="1">
      <alignment horizontal="center"/>
    </xf>
    <xf numFmtId="0" fontId="51" fillId="0" borderId="106" xfId="422" applyFont="1" applyBorder="1" applyAlignment="1">
      <alignment horizontal="right"/>
    </xf>
    <xf numFmtId="0" fontId="51" fillId="0" borderId="106" xfId="422" applyFont="1" applyBorder="1"/>
    <xf numFmtId="176" fontId="51" fillId="0" borderId="3" xfId="422" applyNumberFormat="1" applyFont="1" applyBorder="1" applyAlignment="1" applyProtection="1">
      <alignment horizontal="center"/>
    </xf>
    <xf numFmtId="0" fontId="117" fillId="0" borderId="14" xfId="0" applyFont="1" applyBorder="1" applyAlignment="1">
      <alignment horizontal="center"/>
    </xf>
    <xf numFmtId="176" fontId="51" fillId="0" borderId="106" xfId="422" applyNumberFormat="1" applyFont="1" applyBorder="1" applyAlignment="1" applyProtection="1">
      <alignment horizontal="center"/>
    </xf>
    <xf numFmtId="0" fontId="51" fillId="0" borderId="106" xfId="422" applyFont="1" applyBorder="1" applyAlignment="1">
      <alignment horizontal="fill"/>
    </xf>
    <xf numFmtId="176" fontId="51" fillId="0" borderId="3" xfId="422" applyNumberFormat="1" applyFont="1" applyBorder="1" applyProtection="1"/>
    <xf numFmtId="176" fontId="51" fillId="0" borderId="0" xfId="422" applyNumberFormat="1" applyFont="1" applyBorder="1" applyAlignment="1" applyProtection="1">
      <alignment horizontal="center"/>
    </xf>
    <xf numFmtId="0" fontId="40" fillId="0" borderId="54" xfId="422" applyFont="1" applyBorder="1" applyAlignment="1">
      <alignment horizontal="fill"/>
    </xf>
    <xf numFmtId="0" fontId="40" fillId="0" borderId="54" xfId="422" applyFont="1" applyBorder="1"/>
    <xf numFmtId="176" fontId="40" fillId="0" borderId="6" xfId="422" applyNumberFormat="1" applyFont="1" applyBorder="1" applyAlignment="1" applyProtection="1">
      <alignment horizontal="fill"/>
    </xf>
    <xf numFmtId="176" fontId="14" fillId="0" borderId="56" xfId="422" applyNumberFormat="1" applyFont="1" applyBorder="1" applyAlignment="1" applyProtection="1">
      <alignment horizontal="center"/>
    </xf>
    <xf numFmtId="176" fontId="40" fillId="0" borderId="6" xfId="422" applyNumberFormat="1" applyFont="1" applyBorder="1" applyAlignment="1" applyProtection="1">
      <alignment horizontal="center"/>
    </xf>
    <xf numFmtId="0" fontId="40" fillId="0" borderId="106" xfId="422" applyFont="1" applyBorder="1" applyAlignment="1">
      <alignment horizontal="center"/>
    </xf>
    <xf numFmtId="0" fontId="40" fillId="0" borderId="106" xfId="422" applyFont="1" applyBorder="1"/>
    <xf numFmtId="176" fontId="40" fillId="0" borderId="3" xfId="422" applyNumberFormat="1" applyFont="1" applyBorder="1" applyAlignment="1" applyProtection="1">
      <alignment horizontal="center"/>
    </xf>
    <xf numFmtId="0" fontId="40" fillId="0" borderId="3" xfId="422" applyFont="1" applyBorder="1"/>
    <xf numFmtId="2" fontId="40" fillId="0" borderId="0" xfId="422" applyNumberFormat="1" applyFont="1"/>
    <xf numFmtId="0" fontId="40" fillId="0" borderId="3" xfId="422" applyFont="1" applyBorder="1" applyAlignment="1">
      <alignment horizontal="center"/>
    </xf>
    <xf numFmtId="0" fontId="40" fillId="0" borderId="106" xfId="422" quotePrefix="1" applyFont="1" applyBorder="1"/>
    <xf numFmtId="0" fontId="40" fillId="0" borderId="15" xfId="422" applyFont="1" applyBorder="1"/>
    <xf numFmtId="0" fontId="186" fillId="0" borderId="96" xfId="422" applyFont="1" applyBorder="1"/>
    <xf numFmtId="176" fontId="40" fillId="0" borderId="8" xfId="422" applyNumberFormat="1" applyFont="1" applyBorder="1" applyProtection="1"/>
    <xf numFmtId="0" fontId="40" fillId="0" borderId="17" xfId="422" applyFont="1" applyBorder="1"/>
    <xf numFmtId="0" fontId="40" fillId="0" borderId="8" xfId="422" applyFont="1" applyBorder="1"/>
    <xf numFmtId="0" fontId="40" fillId="0" borderId="0" xfId="422" applyFont="1" applyBorder="1" applyAlignment="1">
      <alignment horizontal="center"/>
    </xf>
    <xf numFmtId="176" fontId="186" fillId="0" borderId="0" xfId="422" applyNumberFormat="1" applyFont="1" applyBorder="1" applyProtection="1"/>
    <xf numFmtId="0" fontId="40" fillId="0" borderId="59" xfId="422" applyFont="1" applyBorder="1"/>
    <xf numFmtId="170" fontId="4" fillId="0" borderId="54" xfId="0" applyNumberFormat="1" applyFont="1" applyFill="1" applyBorder="1" applyAlignment="1">
      <alignment horizontal="center" vertical="center"/>
    </xf>
    <xf numFmtId="170" fontId="4" fillId="0" borderId="6" xfId="0" applyNumberFormat="1" applyFont="1" applyFill="1" applyBorder="1" applyAlignment="1">
      <alignment horizontal="center" vertical="center"/>
    </xf>
    <xf numFmtId="170" fontId="4" fillId="0" borderId="6" xfId="0" quotePrefix="1" applyNumberFormat="1" applyFont="1" applyFill="1" applyBorder="1" applyAlignment="1">
      <alignment horizontal="center" vertical="center" wrapText="1"/>
    </xf>
    <xf numFmtId="170" fontId="18" fillId="0" borderId="6" xfId="0" applyNumberFormat="1" applyFont="1" applyBorder="1" applyAlignment="1">
      <alignment horizontal="center" vertical="center"/>
    </xf>
    <xf numFmtId="170" fontId="18" fillId="4" borderId="6" xfId="0" applyNumberFormat="1" applyFont="1" applyFill="1" applyBorder="1" applyAlignment="1">
      <alignment horizontal="center" vertical="center"/>
    </xf>
    <xf numFmtId="170" fontId="4" fillId="4" borderId="6" xfId="0" applyNumberFormat="1" applyFont="1" applyFill="1" applyBorder="1" applyAlignment="1">
      <alignment horizontal="center" vertical="top"/>
    </xf>
    <xf numFmtId="170" fontId="18" fillId="4" borderId="6" xfId="0" applyNumberFormat="1" applyFont="1" applyFill="1" applyBorder="1" applyAlignment="1">
      <alignment horizontal="center" vertical="top"/>
    </xf>
    <xf numFmtId="2" fontId="4" fillId="0" borderId="6" xfId="0" applyNumberFormat="1" applyFont="1" applyFill="1" applyBorder="1" applyAlignment="1">
      <alignment horizontal="center"/>
    </xf>
    <xf numFmtId="2" fontId="4" fillId="0" borderId="6" xfId="0" quotePrefix="1" applyNumberFormat="1" applyFont="1" applyBorder="1" applyAlignment="1">
      <alignment horizontal="center" vertical="top" wrapText="1"/>
    </xf>
    <xf numFmtId="2" fontId="4" fillId="0" borderId="52" xfId="0" quotePrefix="1" applyNumberFormat="1" applyFont="1" applyBorder="1" applyAlignment="1">
      <alignment horizontal="center" vertical="top" wrapText="1"/>
    </xf>
    <xf numFmtId="10" fontId="0" fillId="0" borderId="0" xfId="0" applyNumberFormat="1"/>
    <xf numFmtId="2" fontId="18" fillId="0" borderId="54" xfId="0" applyNumberFormat="1" applyFont="1" applyBorder="1" applyAlignment="1">
      <alignment vertical="top"/>
    </xf>
    <xf numFmtId="2" fontId="18" fillId="0" borderId="55" xfId="0" applyNumberFormat="1" applyFont="1" applyBorder="1" applyAlignment="1">
      <alignment vertical="top"/>
    </xf>
    <xf numFmtId="0" fontId="18" fillId="4" borderId="52" xfId="6" applyFont="1" applyFill="1" applyBorder="1">
      <alignment vertical="center"/>
    </xf>
    <xf numFmtId="0" fontId="18" fillId="4" borderId="0" xfId="0" quotePrefix="1" applyFont="1" applyFill="1" applyBorder="1" applyAlignment="1">
      <alignment horizontal="center" vertical="center" wrapText="1"/>
    </xf>
    <xf numFmtId="2" fontId="4" fillId="4" borderId="106" xfId="0" applyNumberFormat="1" applyFont="1" applyFill="1" applyBorder="1"/>
    <xf numFmtId="2" fontId="4" fillId="4" borderId="106" xfId="0" quotePrefix="1" applyNumberFormat="1" applyFont="1" applyFill="1" applyBorder="1" applyAlignment="1">
      <alignment horizontal="right" vertical="top" wrapText="1"/>
    </xf>
    <xf numFmtId="2" fontId="18" fillId="4" borderId="106" xfId="0" applyNumberFormat="1" applyFont="1" applyFill="1" applyBorder="1" applyAlignment="1">
      <alignment horizontal="right" vertical="top"/>
    </xf>
    <xf numFmtId="2" fontId="18" fillId="4" borderId="0" xfId="0" applyNumberFormat="1" applyFont="1" applyFill="1" applyBorder="1" applyAlignment="1">
      <alignment vertical="top"/>
    </xf>
    <xf numFmtId="2" fontId="4" fillId="4" borderId="0" xfId="0" applyNumberFormat="1" applyFont="1" applyFill="1" applyBorder="1" applyAlignment="1">
      <alignment vertical="top"/>
    </xf>
    <xf numFmtId="0" fontId="82" fillId="4" borderId="0" xfId="0" applyFont="1" applyFill="1" applyBorder="1"/>
    <xf numFmtId="2" fontId="4" fillId="4" borderId="52" xfId="0" applyNumberFormat="1" applyFont="1" applyFill="1" applyBorder="1" applyAlignment="1">
      <alignment horizontal="center"/>
    </xf>
    <xf numFmtId="2" fontId="4" fillId="0" borderId="52" xfId="0" applyNumberFormat="1" applyFont="1" applyBorder="1" applyAlignment="1">
      <alignment horizontal="center"/>
    </xf>
    <xf numFmtId="0" fontId="112" fillId="0" borderId="0" xfId="0" applyFont="1" applyBorder="1" applyAlignment="1">
      <alignment horizontal="center" wrapText="1"/>
    </xf>
    <xf numFmtId="0" fontId="81" fillId="0" borderId="52" xfId="0" applyFont="1" applyBorder="1" applyAlignment="1">
      <alignment wrapText="1"/>
    </xf>
    <xf numFmtId="0" fontId="81" fillId="0" borderId="8" xfId="0" applyFont="1" applyBorder="1" applyAlignment="1">
      <alignment wrapText="1"/>
    </xf>
    <xf numFmtId="170" fontId="4" fillId="4" borderId="6" xfId="0" applyNumberFormat="1" applyFont="1" applyFill="1" applyBorder="1" applyAlignment="1">
      <alignment horizontal="center"/>
    </xf>
    <xf numFmtId="0" fontId="18" fillId="4" borderId="6" xfId="0" applyFont="1" applyFill="1" applyBorder="1" applyAlignment="1"/>
    <xf numFmtId="0" fontId="18" fillId="4" borderId="0" xfId="0" applyFont="1" applyFill="1" applyBorder="1" applyAlignment="1"/>
    <xf numFmtId="170" fontId="18" fillId="4" borderId="6" xfId="0" applyNumberFormat="1" applyFont="1" applyFill="1" applyBorder="1" applyAlignment="1">
      <alignment horizontal="center"/>
    </xf>
    <xf numFmtId="0" fontId="18" fillId="0" borderId="0" xfId="257" applyFont="1" applyBorder="1">
      <alignment vertical="center"/>
    </xf>
    <xf numFmtId="0" fontId="17" fillId="3" borderId="6" xfId="6" applyFont="1" applyFill="1" applyBorder="1" applyAlignment="1">
      <alignment horizontal="center" vertical="center" wrapText="1"/>
    </xf>
    <xf numFmtId="0" fontId="17" fillId="3" borderId="6" xfId="260" applyFont="1" applyFill="1" applyBorder="1" applyAlignment="1">
      <alignment horizontal="center" vertical="center" wrapText="1"/>
    </xf>
    <xf numFmtId="0" fontId="14" fillId="0" borderId="6" xfId="260" applyFont="1" applyFill="1" applyBorder="1" applyAlignment="1">
      <alignment horizontal="left" vertical="top"/>
    </xf>
    <xf numFmtId="170" fontId="14" fillId="0" borderId="6" xfId="260" applyNumberFormat="1" applyFont="1" applyFill="1" applyBorder="1" applyAlignment="1">
      <alignment horizontal="center" vertical="top"/>
    </xf>
    <xf numFmtId="170" fontId="14" fillId="0" borderId="6" xfId="260" applyNumberFormat="1" applyFont="1" applyFill="1" applyBorder="1" applyAlignment="1">
      <alignment horizontal="center"/>
    </xf>
    <xf numFmtId="0" fontId="17" fillId="0" borderId="6" xfId="260" applyFont="1" applyFill="1" applyBorder="1" applyAlignment="1">
      <alignment horizontal="left" vertical="top"/>
    </xf>
    <xf numFmtId="170" fontId="17" fillId="0" borderId="6" xfId="260" applyNumberFormat="1" applyFont="1" applyFill="1" applyBorder="1" applyAlignment="1">
      <alignment horizontal="center" vertical="top"/>
    </xf>
    <xf numFmtId="0" fontId="14" fillId="0" borderId="0" xfId="260" applyFont="1"/>
    <xf numFmtId="0" fontId="158" fillId="0" borderId="0" xfId="260" applyFont="1" applyFill="1" applyBorder="1" applyAlignment="1">
      <alignment horizontal="left"/>
    </xf>
    <xf numFmtId="0" fontId="158" fillId="0" borderId="0" xfId="260" applyFont="1" applyBorder="1" applyAlignment="1">
      <alignment horizontal="left"/>
    </xf>
    <xf numFmtId="0" fontId="14" fillId="0" borderId="0" xfId="260" applyFont="1" applyBorder="1"/>
    <xf numFmtId="170" fontId="14" fillId="0" borderId="0" xfId="260" applyNumberFormat="1" applyFont="1" applyFill="1" applyBorder="1"/>
    <xf numFmtId="0" fontId="14" fillId="0" borderId="0" xfId="260" applyFont="1" applyFill="1" applyBorder="1" applyAlignment="1">
      <alignment horizontal="left" vertical="top"/>
    </xf>
    <xf numFmtId="170" fontId="14" fillId="0" borderId="0" xfId="260" applyNumberFormat="1" applyFont="1" applyFill="1" applyBorder="1" applyAlignment="1">
      <alignment horizontal="left" vertical="top"/>
    </xf>
    <xf numFmtId="0" fontId="18" fillId="0" borderId="108" xfId="260" applyFont="1" applyFill="1" applyBorder="1" applyAlignment="1">
      <alignment horizontal="center" vertical="center" wrapText="1"/>
    </xf>
    <xf numFmtId="0" fontId="4" fillId="0" borderId="55" xfId="260" quotePrefix="1" applyFont="1" applyFill="1" applyBorder="1" applyAlignment="1">
      <alignment horizontal="center" vertical="top" wrapText="1"/>
    </xf>
    <xf numFmtId="0" fontId="4" fillId="0" borderId="55" xfId="260" applyFont="1" applyFill="1" applyBorder="1" applyAlignment="1">
      <alignment horizontal="left" vertical="top"/>
    </xf>
    <xf numFmtId="0" fontId="4" fillId="0" borderId="59" xfId="260" applyFont="1" applyFill="1" applyBorder="1" applyAlignment="1">
      <alignment vertical="top"/>
    </xf>
    <xf numFmtId="0" fontId="18" fillId="0" borderId="21" xfId="260" applyFont="1" applyFill="1" applyBorder="1" applyAlignment="1">
      <alignment horizontal="left" vertical="top"/>
    </xf>
    <xf numFmtId="0" fontId="4" fillId="0" borderId="59" xfId="260" applyFont="1" applyFill="1" applyBorder="1" applyAlignment="1">
      <alignment horizontal="left" vertical="top"/>
    </xf>
    <xf numFmtId="0" fontId="17" fillId="3" borderId="52" xfId="260" applyFont="1" applyFill="1" applyBorder="1" applyAlignment="1">
      <alignment horizontal="center" vertical="center" wrapText="1"/>
    </xf>
    <xf numFmtId="170" fontId="14" fillId="4" borderId="6" xfId="0" applyNumberFormat="1" applyFont="1" applyFill="1" applyBorder="1" applyAlignment="1">
      <alignment horizontal="center"/>
    </xf>
    <xf numFmtId="2" fontId="127" fillId="0" borderId="0" xfId="274" applyNumberFormat="1" applyFont="1" applyAlignment="1">
      <alignment horizontal="center"/>
    </xf>
    <xf numFmtId="0" fontId="4" fillId="4" borderId="0" xfId="0" applyFont="1" applyFill="1" applyBorder="1" applyAlignment="1">
      <alignment horizontal="center" wrapText="1"/>
    </xf>
    <xf numFmtId="0" fontId="40" fillId="0" borderId="19" xfId="92" applyFont="1" applyBorder="1" applyAlignment="1">
      <alignment horizontal="center"/>
    </xf>
    <xf numFmtId="0" fontId="17" fillId="0" borderId="19" xfId="78" applyFont="1" applyBorder="1" applyAlignment="1">
      <alignment horizontal="center"/>
    </xf>
    <xf numFmtId="10" fontId="14" fillId="0" borderId="6" xfId="1" applyNumberFormat="1" applyFont="1" applyBorder="1" applyAlignment="1">
      <alignment horizontal="center"/>
    </xf>
    <xf numFmtId="0" fontId="14" fillId="0" borderId="6" xfId="95" applyFont="1" applyBorder="1" applyAlignment="1">
      <alignment horizontal="center" vertical="center"/>
    </xf>
    <xf numFmtId="0" fontId="81" fillId="4" borderId="23" xfId="0" applyFont="1" applyFill="1" applyBorder="1" applyAlignment="1">
      <alignment horizontal="center"/>
    </xf>
    <xf numFmtId="0" fontId="81" fillId="0" borderId="29" xfId="0" applyFont="1" applyBorder="1" applyAlignment="1">
      <alignment horizontal="center" wrapText="1"/>
    </xf>
    <xf numFmtId="0" fontId="82" fillId="3" borderId="52" xfId="0" applyFont="1" applyFill="1" applyBorder="1" applyAlignment="1">
      <alignment horizontal="center"/>
    </xf>
    <xf numFmtId="43" fontId="81" fillId="0" borderId="6" xfId="0" applyNumberFormat="1" applyFont="1" applyBorder="1" applyAlignment="1">
      <alignment horizontal="center" vertical="center"/>
    </xf>
    <xf numFmtId="0" fontId="81" fillId="0" borderId="0" xfId="0" applyFont="1" applyBorder="1" applyAlignment="1"/>
    <xf numFmtId="0" fontId="81" fillId="0" borderId="0" xfId="0" applyFont="1" applyBorder="1" applyAlignment="1">
      <alignment vertical="center"/>
    </xf>
    <xf numFmtId="0" fontId="4" fillId="0" borderId="0" xfId="0" applyFont="1" applyBorder="1" applyAlignment="1">
      <alignment horizontal="center" vertical="center" wrapText="1"/>
    </xf>
    <xf numFmtId="167" fontId="4" fillId="0" borderId="6" xfId="114" applyNumberFormat="1" applyFont="1" applyFill="1" applyBorder="1" applyAlignment="1" applyProtection="1">
      <alignment horizontal="center" vertical="center"/>
    </xf>
    <xf numFmtId="0" fontId="79" fillId="0" borderId="0" xfId="0" applyFont="1" applyBorder="1" applyAlignment="1">
      <alignment horizontal="center" vertical="top" wrapText="1"/>
    </xf>
    <xf numFmtId="187" fontId="81" fillId="0" borderId="6" xfId="0" applyNumberFormat="1" applyFont="1" applyBorder="1" applyAlignment="1">
      <alignment horizontal="center"/>
    </xf>
    <xf numFmtId="167" fontId="4" fillId="0" borderId="6" xfId="114" applyNumberFormat="1" applyFont="1" applyFill="1" applyBorder="1" applyAlignment="1" applyProtection="1">
      <alignment horizontal="center" vertical="center" wrapText="1"/>
    </xf>
    <xf numFmtId="167" fontId="4" fillId="4" borderId="6" xfId="114" applyNumberFormat="1" applyFont="1" applyFill="1" applyBorder="1" applyAlignment="1" applyProtection="1">
      <alignment horizontal="center" vertical="center" wrapText="1"/>
    </xf>
    <xf numFmtId="187" fontId="81" fillId="4" borderId="6" xfId="0" applyNumberFormat="1" applyFont="1" applyFill="1" applyBorder="1" applyAlignment="1">
      <alignment horizontal="center"/>
    </xf>
    <xf numFmtId="0" fontId="4" fillId="0" borderId="6" xfId="13" applyFont="1" applyFill="1" applyBorder="1" applyAlignment="1">
      <alignment horizontal="center" vertical="center"/>
    </xf>
    <xf numFmtId="1" fontId="81" fillId="0" borderId="6" xfId="0" applyNumberFormat="1" applyFont="1" applyBorder="1" applyAlignment="1">
      <alignment horizontal="center"/>
    </xf>
    <xf numFmtId="0" fontId="18" fillId="4" borderId="6" xfId="0" quotePrefix="1" applyFont="1" applyFill="1" applyBorder="1" applyAlignment="1">
      <alignment horizontal="center" vertical="center" wrapText="1"/>
    </xf>
    <xf numFmtId="0" fontId="79" fillId="0" borderId="0" xfId="0" applyFont="1" applyBorder="1" applyAlignment="1">
      <alignment horizontal="center" wrapText="1"/>
    </xf>
    <xf numFmtId="0" fontId="81" fillId="0" borderId="6" xfId="0" applyFont="1" applyFill="1" applyBorder="1" applyAlignment="1">
      <alignment horizontal="center" vertical="center"/>
    </xf>
    <xf numFmtId="43" fontId="81" fillId="0" borderId="0" xfId="0" applyNumberFormat="1" applyFont="1" applyAlignment="1">
      <alignment horizontal="center"/>
    </xf>
    <xf numFmtId="0" fontId="73" fillId="0" borderId="37" xfId="0" applyFont="1" applyBorder="1" applyAlignment="1">
      <alignment horizontal="center" vertical="center"/>
    </xf>
    <xf numFmtId="0" fontId="73" fillId="0" borderId="22" xfId="0" applyFont="1" applyBorder="1" applyAlignment="1">
      <alignment horizontal="center"/>
    </xf>
    <xf numFmtId="0" fontId="73" fillId="0" borderId="39" xfId="0" applyFont="1" applyBorder="1" applyAlignment="1">
      <alignment horizontal="center" vertical="center"/>
    </xf>
    <xf numFmtId="0" fontId="73" fillId="0" borderId="31" xfId="0" applyNumberFormat="1" applyFont="1" applyBorder="1" applyAlignment="1">
      <alignment horizontal="center"/>
    </xf>
    <xf numFmtId="0" fontId="73" fillId="0" borderId="104" xfId="0" applyNumberFormat="1" applyFont="1" applyBorder="1" applyAlignment="1">
      <alignment horizontal="center"/>
    </xf>
    <xf numFmtId="2" fontId="73" fillId="0" borderId="19" xfId="0" applyNumberFormat="1" applyFont="1" applyBorder="1" applyAlignment="1">
      <alignment horizontal="center"/>
    </xf>
    <xf numFmtId="2" fontId="73" fillId="0" borderId="37" xfId="0" applyNumberFormat="1" applyFont="1" applyBorder="1" applyAlignment="1">
      <alignment horizontal="center"/>
    </xf>
    <xf numFmtId="2" fontId="73" fillId="0" borderId="21" xfId="0" applyNumberFormat="1" applyFont="1" applyBorder="1" applyAlignment="1">
      <alignment horizontal="center"/>
    </xf>
    <xf numFmtId="2" fontId="73" fillId="0" borderId="22" xfId="0" applyNumberFormat="1" applyFont="1" applyBorder="1" applyAlignment="1">
      <alignment horizontal="center"/>
    </xf>
    <xf numFmtId="0" fontId="73" fillId="0" borderId="19" xfId="0" applyFont="1" applyBorder="1"/>
    <xf numFmtId="0" fontId="73" fillId="0" borderId="20" xfId="0" applyFont="1" applyBorder="1"/>
    <xf numFmtId="0" fontId="73" fillId="0" borderId="19" xfId="0" applyNumberFormat="1" applyFont="1" applyBorder="1" applyAlignment="1">
      <alignment horizontal="center" vertical="center"/>
    </xf>
    <xf numFmtId="0" fontId="189" fillId="0" borderId="20" xfId="0" applyFont="1" applyBorder="1" applyAlignment="1">
      <alignment horizontal="center" vertical="center"/>
    </xf>
    <xf numFmtId="0" fontId="189" fillId="0" borderId="19" xfId="0" applyFont="1" applyBorder="1" applyAlignment="1">
      <alignment horizontal="center" vertical="center"/>
    </xf>
    <xf numFmtId="0" fontId="73" fillId="0" borderId="19" xfId="0" applyNumberFormat="1" applyFont="1" applyBorder="1" applyAlignment="1">
      <alignment horizontal="center"/>
    </xf>
    <xf numFmtId="0" fontId="73" fillId="0" borderId="21" xfId="0" applyNumberFormat="1" applyFont="1" applyBorder="1" applyAlignment="1">
      <alignment horizontal="center"/>
    </xf>
    <xf numFmtId="2" fontId="73" fillId="0" borderId="19" xfId="0" applyNumberFormat="1" applyFont="1" applyBorder="1" applyAlignment="1">
      <alignment horizontal="right"/>
    </xf>
    <xf numFmtId="0" fontId="16" fillId="0" borderId="19" xfId="0" applyFont="1" applyBorder="1"/>
    <xf numFmtId="0" fontId="16" fillId="0" borderId="20" xfId="0" applyFont="1" applyBorder="1"/>
    <xf numFmtId="0" fontId="73" fillId="0" borderId="38" xfId="0" applyFont="1" applyBorder="1" applyAlignment="1">
      <alignment horizontal="center" vertical="center"/>
    </xf>
    <xf numFmtId="10" fontId="73" fillId="0" borderId="35" xfId="0" applyNumberFormat="1" applyFont="1" applyBorder="1" applyAlignment="1">
      <alignment horizontal="center"/>
    </xf>
    <xf numFmtId="0" fontId="73" fillId="0" borderId="39" xfId="0" applyFont="1" applyBorder="1" applyAlignment="1">
      <alignment horizontal="center"/>
    </xf>
    <xf numFmtId="0" fontId="73" fillId="0" borderId="34" xfId="0" applyFont="1" applyBorder="1" applyAlignment="1">
      <alignment horizontal="center"/>
    </xf>
    <xf numFmtId="2" fontId="73" fillId="0" borderId="39" xfId="0" applyNumberFormat="1" applyFont="1" applyBorder="1"/>
    <xf numFmtId="2" fontId="73" fillId="0" borderId="39" xfId="0" applyNumberFormat="1" applyFont="1" applyBorder="1" applyAlignment="1">
      <alignment horizontal="right"/>
    </xf>
    <xf numFmtId="2" fontId="73" fillId="0" borderId="104" xfId="0" applyNumberFormat="1" applyFont="1" applyBorder="1" applyAlignment="1">
      <alignment horizontal="right"/>
    </xf>
    <xf numFmtId="0" fontId="64" fillId="0" borderId="0" xfId="0" applyFont="1"/>
    <xf numFmtId="2" fontId="73" fillId="0" borderId="97" xfId="0" applyNumberFormat="1" applyFont="1" applyBorder="1" applyAlignment="1">
      <alignment horizontal="right"/>
    </xf>
    <xf numFmtId="0" fontId="73" fillId="0" borderId="39" xfId="0" applyFont="1" applyBorder="1" applyAlignment="1"/>
    <xf numFmtId="0" fontId="73" fillId="0" borderId="34" xfId="0" applyFont="1" applyBorder="1" applyAlignment="1">
      <alignment horizontal="center" vertical="center"/>
    </xf>
    <xf numFmtId="2" fontId="73" fillId="0" borderId="39" xfId="0" applyNumberFormat="1" applyFont="1" applyBorder="1" applyAlignment="1"/>
    <xf numFmtId="2" fontId="73" fillId="0" borderId="19" xfId="0" applyNumberFormat="1" applyFont="1" applyBorder="1" applyAlignment="1"/>
    <xf numFmtId="2" fontId="73" fillId="0" borderId="36" xfId="0" applyNumberFormat="1" applyFont="1" applyBorder="1" applyAlignment="1"/>
    <xf numFmtId="1" fontId="73" fillId="0" borderId="19" xfId="0" applyNumberFormat="1" applyFont="1" applyBorder="1" applyAlignment="1">
      <alignment horizontal="center" vertical="center"/>
    </xf>
    <xf numFmtId="0" fontId="73" fillId="0" borderId="23" xfId="0" applyFont="1" applyBorder="1" applyAlignment="1">
      <alignment horizontal="center" vertical="center"/>
    </xf>
    <xf numFmtId="0" fontId="73" fillId="0" borderId="19" xfId="0" applyFont="1" applyBorder="1" applyAlignment="1">
      <alignment horizontal="center" vertical="center"/>
    </xf>
    <xf numFmtId="0" fontId="73" fillId="0" borderId="35" xfId="0" applyFont="1" applyBorder="1" applyAlignment="1">
      <alignment horizontal="center"/>
    </xf>
    <xf numFmtId="0" fontId="73" fillId="0" borderId="39" xfId="0" applyNumberFormat="1" applyFont="1" applyBorder="1" applyAlignment="1"/>
    <xf numFmtId="0" fontId="73" fillId="0" borderId="35" xfId="0" applyNumberFormat="1" applyFont="1" applyBorder="1" applyAlignment="1">
      <alignment horizontal="center"/>
    </xf>
    <xf numFmtId="2" fontId="73" fillId="0" borderId="35" xfId="0" applyNumberFormat="1" applyFont="1" applyBorder="1" applyAlignment="1"/>
    <xf numFmtId="0" fontId="73" fillId="0" borderId="35" xfId="0" applyNumberFormat="1" applyFont="1" applyBorder="1" applyAlignment="1">
      <alignment horizontal="center" vertical="center"/>
    </xf>
    <xf numFmtId="10" fontId="73" fillId="0" borderId="180" xfId="0" applyNumberFormat="1" applyFont="1" applyBorder="1" applyAlignment="1">
      <alignment horizontal="center"/>
    </xf>
    <xf numFmtId="0" fontId="73" fillId="0" borderId="71" xfId="0" applyNumberFormat="1" applyFont="1" applyBorder="1" applyAlignment="1">
      <alignment horizontal="center"/>
    </xf>
    <xf numFmtId="0" fontId="73" fillId="0" borderId="180" xfId="0" applyNumberFormat="1" applyFont="1" applyBorder="1" applyAlignment="1"/>
    <xf numFmtId="2" fontId="73" fillId="0" borderId="71" xfId="0" applyNumberFormat="1" applyFont="1" applyBorder="1" applyAlignment="1"/>
    <xf numFmtId="2" fontId="73" fillId="0" borderId="181" xfId="0" applyNumberFormat="1" applyFont="1" applyBorder="1" applyAlignment="1"/>
    <xf numFmtId="2" fontId="73" fillId="0" borderId="182" xfId="0" applyNumberFormat="1" applyFont="1" applyBorder="1" applyAlignment="1"/>
    <xf numFmtId="2" fontId="73" fillId="0" borderId="183" xfId="0" applyNumberFormat="1" applyFont="1" applyBorder="1" applyAlignment="1"/>
    <xf numFmtId="2" fontId="73" fillId="0" borderId="184" xfId="0" applyNumberFormat="1" applyFont="1" applyBorder="1" applyAlignment="1"/>
    <xf numFmtId="10" fontId="73" fillId="0" borderId="0" xfId="0" applyNumberFormat="1" applyFont="1" applyBorder="1" applyAlignment="1">
      <alignment horizontal="center"/>
    </xf>
    <xf numFmtId="0" fontId="73" fillId="0" borderId="185" xfId="0" applyNumberFormat="1" applyFont="1" applyBorder="1" applyAlignment="1">
      <alignment horizontal="center"/>
    </xf>
    <xf numFmtId="2" fontId="73" fillId="0" borderId="185" xfId="0" applyNumberFormat="1" applyFont="1" applyBorder="1" applyAlignment="1"/>
    <xf numFmtId="2" fontId="73" fillId="0" borderId="186" xfId="0" applyNumberFormat="1" applyFont="1" applyBorder="1" applyAlignment="1"/>
    <xf numFmtId="2" fontId="73" fillId="0" borderId="187" xfId="0" applyNumberFormat="1" applyFont="1" applyBorder="1" applyAlignment="1"/>
    <xf numFmtId="2" fontId="73" fillId="0" borderId="66" xfId="0" applyNumberFormat="1" applyFont="1" applyBorder="1" applyAlignment="1"/>
    <xf numFmtId="2" fontId="73" fillId="0" borderId="188" xfId="0" applyNumberFormat="1" applyFont="1" applyBorder="1" applyAlignment="1"/>
    <xf numFmtId="0" fontId="73" fillId="0" borderId="71" xfId="0" applyNumberFormat="1" applyFont="1" applyBorder="1" applyAlignment="1"/>
    <xf numFmtId="2" fontId="75" fillId="0" borderId="189" xfId="0" applyNumberFormat="1" applyFont="1" applyBorder="1" applyAlignment="1"/>
    <xf numFmtId="10" fontId="73" fillId="0" borderId="21" xfId="0" applyNumberFormat="1" applyFont="1" applyBorder="1" applyAlignment="1">
      <alignment horizontal="center" vertical="center"/>
    </xf>
    <xf numFmtId="2" fontId="73" fillId="0" borderId="21" xfId="0" applyNumberFormat="1" applyFont="1" applyBorder="1" applyAlignment="1">
      <alignment horizontal="right"/>
    </xf>
    <xf numFmtId="2" fontId="73" fillId="0" borderId="19" xfId="0" applyNumberFormat="1" applyFont="1" applyBorder="1"/>
    <xf numFmtId="2" fontId="73" fillId="31" borderId="39" xfId="0" applyNumberFormat="1" applyFont="1" applyFill="1" applyBorder="1" applyAlignment="1"/>
    <xf numFmtId="0" fontId="73" fillId="0" borderId="19" xfId="0" applyNumberFormat="1" applyFont="1" applyBorder="1" applyAlignment="1"/>
    <xf numFmtId="0" fontId="73" fillId="0" borderId="21" xfId="0" applyNumberFormat="1" applyFont="1" applyBorder="1" applyAlignment="1">
      <alignment horizontal="center" vertical="center"/>
    </xf>
    <xf numFmtId="14" fontId="73" fillId="0" borderId="181" xfId="0" applyNumberFormat="1" applyFont="1" applyBorder="1" applyAlignment="1">
      <alignment horizontal="left"/>
    </xf>
    <xf numFmtId="14" fontId="73" fillId="0" borderId="70" xfId="0" applyNumberFormat="1" applyFont="1" applyBorder="1" applyAlignment="1"/>
    <xf numFmtId="10" fontId="73" fillId="0" borderId="37" xfId="0" applyNumberFormat="1" applyFont="1" applyBorder="1" applyAlignment="1">
      <alignment horizontal="center" vertical="center"/>
    </xf>
    <xf numFmtId="10" fontId="73" fillId="0" borderId="39" xfId="0" applyNumberFormat="1" applyFont="1" applyBorder="1" applyAlignment="1">
      <alignment horizontal="center" vertical="center"/>
    </xf>
    <xf numFmtId="0" fontId="73" fillId="0" borderId="181" xfId="0" applyNumberFormat="1" applyFont="1" applyBorder="1" applyAlignment="1">
      <alignment horizontal="center"/>
    </xf>
    <xf numFmtId="0" fontId="73" fillId="0" borderId="70" xfId="0" applyNumberFormat="1" applyFont="1" applyBorder="1" applyAlignment="1"/>
    <xf numFmtId="0" fontId="73" fillId="0" borderId="39" xfId="0" applyNumberFormat="1" applyFont="1" applyBorder="1" applyAlignment="1">
      <alignment horizontal="center" vertical="center"/>
    </xf>
    <xf numFmtId="10" fontId="73" fillId="0" borderId="23" xfId="0" applyNumberFormat="1" applyFont="1" applyBorder="1" applyAlignment="1">
      <alignment vertical="center"/>
    </xf>
    <xf numFmtId="10" fontId="73" fillId="0" borderId="37" xfId="0" applyNumberFormat="1" applyFont="1" applyBorder="1" applyAlignment="1">
      <alignment vertical="center"/>
    </xf>
    <xf numFmtId="10" fontId="73" fillId="0" borderId="21" xfId="0" applyNumberFormat="1" applyFont="1" applyFill="1" applyBorder="1" applyAlignment="1">
      <alignment horizontal="center" vertical="center"/>
    </xf>
    <xf numFmtId="2" fontId="73" fillId="0" borderId="21" xfId="0" applyNumberFormat="1" applyFont="1" applyBorder="1" applyAlignment="1"/>
    <xf numFmtId="0" fontId="73" fillId="0" borderId="20" xfId="0" applyNumberFormat="1" applyFont="1" applyBorder="1" applyAlignment="1">
      <alignment horizontal="center"/>
    </xf>
    <xf numFmtId="0" fontId="73" fillId="0" borderId="21" xfId="0" applyFont="1" applyBorder="1" applyAlignment="1">
      <alignment horizontal="center"/>
    </xf>
    <xf numFmtId="2" fontId="73" fillId="0" borderId="20" xfId="0" applyNumberFormat="1" applyFont="1" applyBorder="1" applyAlignment="1">
      <alignment horizontal="right"/>
    </xf>
    <xf numFmtId="0" fontId="16" fillId="0" borderId="38" xfId="0" applyFont="1" applyBorder="1"/>
    <xf numFmtId="0" fontId="16" fillId="0" borderId="32" xfId="0" applyFont="1" applyBorder="1"/>
    <xf numFmtId="0" fontId="73" fillId="0" borderId="20" xfId="0" applyFont="1" applyBorder="1" applyAlignment="1">
      <alignment horizontal="center"/>
    </xf>
    <xf numFmtId="0" fontId="189" fillId="0" borderId="20" xfId="0" applyFont="1" applyBorder="1" applyAlignment="1">
      <alignment horizontal="center"/>
    </xf>
    <xf numFmtId="0" fontId="189" fillId="0" borderId="19" xfId="0" applyFont="1" applyBorder="1" applyAlignment="1">
      <alignment horizontal="center"/>
    </xf>
    <xf numFmtId="0" fontId="73" fillId="0" borderId="19" xfId="0" applyFont="1" applyBorder="1" applyAlignment="1">
      <alignment horizontal="center"/>
    </xf>
    <xf numFmtId="1" fontId="73" fillId="0" borderId="37" xfId="0" applyNumberFormat="1" applyFont="1" applyBorder="1" applyAlignment="1">
      <alignment horizontal="center" vertical="center"/>
    </xf>
    <xf numFmtId="10" fontId="73" fillId="0" borderId="25" xfId="0" applyNumberFormat="1" applyFont="1" applyBorder="1" applyAlignment="1">
      <alignment horizontal="center" vertical="center"/>
    </xf>
    <xf numFmtId="0" fontId="73" fillId="0" borderId="37" xfId="0" applyFont="1" applyBorder="1" applyAlignment="1">
      <alignment vertical="center"/>
    </xf>
    <xf numFmtId="2" fontId="73" fillId="0" borderId="37" xfId="0" applyNumberFormat="1" applyFont="1" applyBorder="1" applyAlignment="1">
      <alignment vertical="center"/>
    </xf>
    <xf numFmtId="2" fontId="73" fillId="0" borderId="23" xfId="0" applyNumberFormat="1" applyFont="1" applyBorder="1" applyAlignment="1">
      <alignment vertical="center"/>
    </xf>
    <xf numFmtId="1" fontId="73" fillId="0" borderId="20" xfId="0" applyNumberFormat="1" applyFont="1" applyBorder="1" applyAlignment="1">
      <alignment horizontal="center"/>
    </xf>
    <xf numFmtId="1" fontId="73" fillId="0" borderId="19" xfId="0" applyNumberFormat="1" applyFont="1" applyBorder="1" applyAlignment="1">
      <alignment horizontal="center"/>
    </xf>
    <xf numFmtId="0" fontId="73" fillId="0" borderId="22" xfId="0" quotePrefix="1" applyFont="1" applyBorder="1" applyAlignment="1">
      <alignment horizontal="center"/>
    </xf>
    <xf numFmtId="2" fontId="73" fillId="31" borderId="19" xfId="0" applyNumberFormat="1" applyFont="1" applyFill="1" applyBorder="1"/>
    <xf numFmtId="2" fontId="73" fillId="0" borderId="19" xfId="0" applyNumberFormat="1" applyFont="1" applyFill="1" applyBorder="1" applyAlignment="1">
      <alignment horizontal="right"/>
    </xf>
    <xf numFmtId="2" fontId="73" fillId="0" borderId="20" xfId="0" applyNumberFormat="1" applyFont="1" applyBorder="1"/>
    <xf numFmtId="2" fontId="73" fillId="0" borderId="21" xfId="0" applyNumberFormat="1" applyFont="1" applyBorder="1"/>
    <xf numFmtId="0" fontId="73" fillId="0" borderId="37" xfId="0" applyFont="1" applyBorder="1" applyAlignment="1">
      <alignment horizontal="center"/>
    </xf>
    <xf numFmtId="0" fontId="73" fillId="0" borderId="24" xfId="0" applyFont="1" applyBorder="1" applyAlignment="1">
      <alignment horizontal="center"/>
    </xf>
    <xf numFmtId="0" fontId="73" fillId="0" borderId="37" xfId="0" applyFont="1" applyBorder="1" applyAlignment="1"/>
    <xf numFmtId="0" fontId="73" fillId="0" borderId="24" xfId="0" applyFont="1" applyBorder="1" applyAlignment="1"/>
    <xf numFmtId="1" fontId="73" fillId="0" borderId="20" xfId="0" applyNumberFormat="1" applyFont="1" applyFill="1" applyBorder="1" applyAlignment="1">
      <alignment horizontal="center"/>
    </xf>
    <xf numFmtId="1" fontId="73" fillId="0" borderId="19" xfId="0" applyNumberFormat="1" applyFont="1" applyFill="1" applyBorder="1" applyAlignment="1">
      <alignment horizontal="center"/>
    </xf>
    <xf numFmtId="0" fontId="0" fillId="0" borderId="38" xfId="0" applyBorder="1"/>
    <xf numFmtId="0" fontId="0" fillId="0" borderId="20" xfId="0" applyBorder="1"/>
    <xf numFmtId="0" fontId="192" fillId="0" borderId="21" xfId="0" applyFont="1" applyBorder="1"/>
    <xf numFmtId="0" fontId="192" fillId="0" borderId="19" xfId="0" applyFont="1" applyBorder="1"/>
    <xf numFmtId="0" fontId="0" fillId="0" borderId="21" xfId="0" applyBorder="1"/>
    <xf numFmtId="2" fontId="192" fillId="0" borderId="19" xfId="0" applyNumberFormat="1" applyFont="1" applyBorder="1"/>
    <xf numFmtId="2" fontId="71" fillId="0" borderId="0" xfId="0" applyNumberFormat="1" applyFont="1"/>
    <xf numFmtId="2" fontId="73" fillId="0" borderId="190" xfId="0" applyNumberFormat="1" applyFont="1" applyBorder="1" applyAlignment="1"/>
    <xf numFmtId="2" fontId="75" fillId="0" borderId="71" xfId="0" applyNumberFormat="1" applyFont="1" applyBorder="1" applyAlignment="1"/>
    <xf numFmtId="14" fontId="73" fillId="0" borderId="71" xfId="0" quotePrefix="1" applyNumberFormat="1" applyFont="1" applyBorder="1" applyAlignment="1"/>
    <xf numFmtId="14" fontId="73" fillId="0" borderId="180" xfId="0" applyNumberFormat="1" applyFont="1" applyBorder="1" applyAlignment="1"/>
    <xf numFmtId="10" fontId="73" fillId="0" borderId="22" xfId="0" applyNumberFormat="1" applyFont="1" applyBorder="1" applyAlignment="1">
      <alignment horizontal="center"/>
    </xf>
    <xf numFmtId="14" fontId="73" fillId="0" borderId="191" xfId="0" applyNumberFormat="1" applyFont="1" applyBorder="1" applyAlignment="1">
      <alignment horizontal="left"/>
    </xf>
    <xf numFmtId="10" fontId="73" fillId="0" borderId="180" xfId="0" applyNumberFormat="1" applyFont="1" applyBorder="1" applyAlignment="1"/>
    <xf numFmtId="2" fontId="73" fillId="0" borderId="192" xfId="0" applyNumberFormat="1" applyFont="1" applyBorder="1" applyAlignment="1"/>
    <xf numFmtId="0" fontId="193" fillId="0" borderId="0" xfId="0" applyFont="1"/>
    <xf numFmtId="10" fontId="73" fillId="0" borderId="38" xfId="0" applyNumberFormat="1" applyFont="1" applyBorder="1" applyAlignment="1">
      <alignment horizontal="center" vertical="center"/>
    </xf>
    <xf numFmtId="0" fontId="73" fillId="0" borderId="181" xfId="0" applyNumberFormat="1" applyFont="1" applyBorder="1" applyAlignment="1"/>
    <xf numFmtId="2" fontId="75" fillId="0" borderId="192" xfId="0" applyNumberFormat="1" applyFont="1" applyBorder="1" applyAlignment="1"/>
    <xf numFmtId="2" fontId="75" fillId="0" borderId="190" xfId="0" applyNumberFormat="1" applyFont="1" applyBorder="1" applyAlignment="1"/>
    <xf numFmtId="10" fontId="73" fillId="0" borderId="70" xfId="0" applyNumberFormat="1" applyFont="1" applyFill="1" applyBorder="1" applyAlignment="1">
      <alignment vertical="center"/>
    </xf>
    <xf numFmtId="14" fontId="73" fillId="0" borderId="181" xfId="0" applyNumberFormat="1" applyFont="1" applyBorder="1" applyAlignment="1"/>
    <xf numFmtId="2" fontId="73" fillId="0" borderId="70" xfId="0" applyNumberFormat="1" applyFont="1" applyBorder="1" applyAlignment="1"/>
    <xf numFmtId="0" fontId="192" fillId="0" borderId="22" xfId="0" applyFont="1" applyBorder="1"/>
    <xf numFmtId="0" fontId="192" fillId="0" borderId="0" xfId="0" applyFont="1" applyBorder="1"/>
    <xf numFmtId="168" fontId="116" fillId="0" borderId="6" xfId="0" applyNumberFormat="1" applyFont="1" applyBorder="1" applyAlignment="1">
      <alignment horizontal="center"/>
    </xf>
    <xf numFmtId="199" fontId="116" fillId="0" borderId="6" xfId="0" applyNumberFormat="1" applyFont="1" applyBorder="1" applyAlignment="1">
      <alignment horizontal="center"/>
    </xf>
    <xf numFmtId="1" fontId="116" fillId="0" borderId="6" xfId="0" applyNumberFormat="1" applyFont="1" applyBorder="1" applyAlignment="1">
      <alignment horizontal="center" vertical="center"/>
    </xf>
    <xf numFmtId="2" fontId="73" fillId="0" borderId="34" xfId="0" applyNumberFormat="1" applyFont="1" applyBorder="1"/>
    <xf numFmtId="2" fontId="73" fillId="0" borderId="27" xfId="0" applyNumberFormat="1" applyFont="1" applyBorder="1" applyAlignment="1">
      <alignment horizontal="right"/>
    </xf>
    <xf numFmtId="2" fontId="73" fillId="0" borderId="41" xfId="0" applyNumberFormat="1" applyFont="1" applyBorder="1" applyAlignment="1">
      <alignment horizontal="right"/>
    </xf>
    <xf numFmtId="2" fontId="73" fillId="0" borderId="33" xfId="0" applyNumberFormat="1" applyFont="1" applyBorder="1" applyAlignment="1">
      <alignment horizontal="right"/>
    </xf>
    <xf numFmtId="2" fontId="73" fillId="0" borderId="94" xfId="0" applyNumberFormat="1" applyFont="1" applyBorder="1" applyAlignment="1">
      <alignment horizontal="right"/>
    </xf>
    <xf numFmtId="2" fontId="73" fillId="0" borderId="34" xfId="0" applyNumberFormat="1" applyFont="1" applyBorder="1" applyAlignment="1">
      <alignment horizontal="right"/>
    </xf>
    <xf numFmtId="2" fontId="73" fillId="0" borderId="35" xfId="0" applyNumberFormat="1" applyFont="1" applyBorder="1" applyAlignment="1">
      <alignment horizontal="right"/>
    </xf>
    <xf numFmtId="10" fontId="73" fillId="0" borderId="35" xfId="0" applyNumberFormat="1" applyFont="1" applyBorder="1" applyAlignment="1">
      <alignment horizontal="center" vertical="center"/>
    </xf>
    <xf numFmtId="0" fontId="73" fillId="0" borderId="39" xfId="0" applyNumberFormat="1" applyFont="1" applyBorder="1" applyAlignment="1">
      <alignment horizontal="center"/>
    </xf>
    <xf numFmtId="2" fontId="73" fillId="0" borderId="36" xfId="0" applyNumberFormat="1" applyFont="1" applyBorder="1" applyAlignment="1">
      <alignment horizontal="right"/>
    </xf>
    <xf numFmtId="2" fontId="73" fillId="0" borderId="22" xfId="0" applyNumberFormat="1" applyFont="1" applyBorder="1" applyAlignment="1">
      <alignment horizontal="right"/>
    </xf>
    <xf numFmtId="10" fontId="73" fillId="0" borderId="22" xfId="0" applyNumberFormat="1" applyFont="1" applyFill="1" applyBorder="1" applyAlignment="1">
      <alignment horizontal="center" vertical="center"/>
    </xf>
    <xf numFmtId="0" fontId="73" fillId="0" borderId="34" xfId="0" applyNumberFormat="1" applyFont="1" applyBorder="1" applyAlignment="1">
      <alignment horizontal="center" vertical="center"/>
    </xf>
    <xf numFmtId="10" fontId="73" fillId="0" borderId="34" xfId="0" applyNumberFormat="1" applyFont="1" applyBorder="1" applyAlignment="1">
      <alignment horizontal="center" vertical="center"/>
    </xf>
    <xf numFmtId="0" fontId="73" fillId="0" borderId="21" xfId="0" applyFont="1" applyBorder="1"/>
    <xf numFmtId="0" fontId="73" fillId="0" borderId="22" xfId="0" applyFont="1" applyBorder="1"/>
    <xf numFmtId="10" fontId="73" fillId="0" borderId="25" xfId="0" applyNumberFormat="1" applyFont="1" applyBorder="1" applyAlignment="1">
      <alignment vertical="center"/>
    </xf>
    <xf numFmtId="0" fontId="194" fillId="0" borderId="20" xfId="0" applyFont="1" applyBorder="1"/>
    <xf numFmtId="0" fontId="194" fillId="0" borderId="21" xfId="0" applyFont="1" applyBorder="1"/>
    <xf numFmtId="0" fontId="194" fillId="0" borderId="22" xfId="0" applyFont="1" applyBorder="1"/>
    <xf numFmtId="0" fontId="194" fillId="0" borderId="0" xfId="0" applyFont="1"/>
    <xf numFmtId="0" fontId="71" fillId="0" borderId="0" xfId="0" applyFont="1"/>
    <xf numFmtId="2" fontId="3" fillId="0" borderId="0" xfId="0" applyNumberFormat="1" applyFont="1"/>
    <xf numFmtId="1" fontId="73" fillId="0" borderId="38" xfId="0" applyNumberFormat="1" applyFont="1" applyBorder="1" applyAlignment="1">
      <alignment horizontal="center" vertical="center"/>
    </xf>
    <xf numFmtId="0" fontId="73" fillId="0" borderId="34" xfId="0" applyFont="1" applyBorder="1" applyAlignment="1"/>
    <xf numFmtId="2" fontId="73" fillId="0" borderId="104" xfId="0" applyNumberFormat="1" applyFont="1" applyBorder="1" applyAlignment="1"/>
    <xf numFmtId="2" fontId="73" fillId="0" borderId="27" xfId="0" applyNumberFormat="1" applyFont="1" applyBorder="1" applyAlignment="1"/>
    <xf numFmtId="0" fontId="73" fillId="0" borderId="35" xfId="0" applyNumberFormat="1" applyFont="1" applyBorder="1" applyAlignment="1"/>
    <xf numFmtId="0" fontId="0" fillId="0" borderId="0" xfId="0" applyNumberFormat="1"/>
    <xf numFmtId="0" fontId="73" fillId="0" borderId="21" xfId="0" applyNumberFormat="1" applyFont="1" applyBorder="1" applyAlignment="1"/>
    <xf numFmtId="2" fontId="73" fillId="0" borderId="22" xfId="0" applyNumberFormat="1" applyFont="1" applyBorder="1" applyAlignment="1"/>
    <xf numFmtId="0" fontId="195" fillId="0" borderId="6" xfId="0" applyFont="1" applyBorder="1"/>
    <xf numFmtId="0" fontId="196" fillId="0" borderId="6" xfId="0" applyFont="1" applyBorder="1"/>
    <xf numFmtId="0" fontId="73" fillId="0" borderId="19" xfId="0" quotePrefix="1" applyFont="1" applyBorder="1" applyAlignment="1">
      <alignment horizontal="center"/>
    </xf>
    <xf numFmtId="1" fontId="73" fillId="0" borderId="20" xfId="0" applyNumberFormat="1" applyFont="1" applyBorder="1" applyAlignment="1"/>
    <xf numFmtId="9" fontId="73" fillId="0" borderId="20" xfId="0" quotePrefix="1" applyNumberFormat="1" applyFont="1" applyBorder="1" applyAlignment="1">
      <alignment horizontal="center"/>
    </xf>
    <xf numFmtId="0" fontId="0" fillId="0" borderId="22" xfId="0" applyBorder="1"/>
    <xf numFmtId="2" fontId="74" fillId="0" borderId="0" xfId="0" applyNumberFormat="1" applyFont="1"/>
    <xf numFmtId="0" fontId="3" fillId="0" borderId="55" xfId="0" applyFont="1" applyBorder="1" applyAlignment="1">
      <alignment horizontal="center"/>
    </xf>
    <xf numFmtId="2" fontId="0" fillId="0" borderId="6" xfId="0" applyNumberFormat="1" applyBorder="1" applyAlignment="1">
      <alignment horizontal="center" vertical="center"/>
    </xf>
    <xf numFmtId="2" fontId="0" fillId="0" borderId="8" xfId="0" applyNumberFormat="1" applyBorder="1" applyAlignment="1">
      <alignment horizontal="center" vertical="center"/>
    </xf>
    <xf numFmtId="0" fontId="0" fillId="0" borderId="54" xfId="0" applyBorder="1" applyAlignment="1">
      <alignment horizontal="center" vertical="center"/>
    </xf>
    <xf numFmtId="2" fontId="3" fillId="0" borderId="54" xfId="0" applyNumberFormat="1" applyFont="1" applyBorder="1" applyAlignment="1">
      <alignment horizontal="center" vertical="center"/>
    </xf>
    <xf numFmtId="0" fontId="3" fillId="3" borderId="6" xfId="0" applyFont="1" applyFill="1" applyBorder="1" applyAlignment="1">
      <alignment horizontal="center" vertical="center"/>
    </xf>
    <xf numFmtId="0" fontId="0" fillId="0" borderId="6" xfId="0" applyBorder="1" applyAlignment="1">
      <alignment horizontal="center"/>
    </xf>
    <xf numFmtId="0" fontId="3" fillId="0" borderId="6" xfId="0" applyFont="1" applyBorder="1" applyAlignment="1">
      <alignment horizontal="center"/>
    </xf>
    <xf numFmtId="10" fontId="0" fillId="0" borderId="6" xfId="0" applyNumberFormat="1" applyBorder="1" applyAlignment="1">
      <alignment horizontal="center"/>
    </xf>
    <xf numFmtId="2" fontId="0" fillId="0" borderId="6" xfId="0" applyNumberFormat="1" applyBorder="1" applyAlignment="1">
      <alignment horizontal="center"/>
    </xf>
    <xf numFmtId="2" fontId="3" fillId="0" borderId="6" xfId="0" applyNumberFormat="1" applyFont="1" applyBorder="1" applyAlignment="1">
      <alignment horizontal="center"/>
    </xf>
    <xf numFmtId="10" fontId="4" fillId="4" borderId="0" xfId="1" applyNumberFormat="1" applyFont="1" applyFill="1" applyBorder="1" applyAlignment="1">
      <alignment horizontal="center"/>
    </xf>
    <xf numFmtId="2" fontId="0" fillId="0" borderId="0" xfId="0" applyNumberFormat="1" applyBorder="1" applyAlignment="1">
      <alignment horizontal="center"/>
    </xf>
    <xf numFmtId="2" fontId="0" fillId="0" borderId="0" xfId="0" applyNumberFormat="1" applyBorder="1" applyAlignment="1">
      <alignment horizontal="center" vertical="center"/>
    </xf>
    <xf numFmtId="0" fontId="3" fillId="3" borderId="54" xfId="0" applyFont="1" applyFill="1" applyBorder="1" applyAlignment="1">
      <alignment horizontal="center" vertical="center" wrapText="1"/>
    </xf>
    <xf numFmtId="0" fontId="3" fillId="4" borderId="0" xfId="0" applyFont="1" applyFill="1" applyBorder="1" applyAlignment="1"/>
    <xf numFmtId="0" fontId="3" fillId="4" borderId="0" xfId="0" applyFont="1" applyFill="1" applyBorder="1" applyAlignment="1">
      <alignment horizontal="center" vertical="center" wrapText="1"/>
    </xf>
    <xf numFmtId="0" fontId="3" fillId="4" borderId="0" xfId="0" applyFont="1" applyFill="1" applyBorder="1" applyAlignment="1">
      <alignment horizontal="center" vertical="center"/>
    </xf>
    <xf numFmtId="0" fontId="3" fillId="4" borderId="106" xfId="0" applyFont="1" applyFill="1" applyBorder="1" applyAlignment="1"/>
    <xf numFmtId="0" fontId="3" fillId="4" borderId="106" xfId="0" applyFont="1" applyFill="1" applyBorder="1" applyAlignment="1">
      <alignment horizontal="center" vertical="center" wrapText="1"/>
    </xf>
    <xf numFmtId="0" fontId="3" fillId="0" borderId="54" xfId="0" applyFont="1" applyBorder="1" applyAlignment="1">
      <alignment horizontal="center" vertical="center"/>
    </xf>
    <xf numFmtId="0" fontId="0" fillId="0" borderId="6" xfId="0" applyBorder="1" applyAlignment="1"/>
    <xf numFmtId="0" fontId="18" fillId="4" borderId="0" xfId="0" applyFont="1" applyFill="1" applyBorder="1" applyAlignment="1">
      <alignment horizontal="center" vertical="center"/>
    </xf>
    <xf numFmtId="0" fontId="18" fillId="5" borderId="6" xfId="0" applyFont="1" applyFill="1" applyBorder="1" applyAlignment="1">
      <alignment horizontal="center" vertical="center" wrapText="1"/>
    </xf>
    <xf numFmtId="2" fontId="81" fillId="0" borderId="8" xfId="0" applyNumberFormat="1" applyFont="1" applyBorder="1" applyAlignment="1">
      <alignment horizontal="center"/>
    </xf>
    <xf numFmtId="0" fontId="18" fillId="4" borderId="0" xfId="6" applyFont="1" applyFill="1" applyBorder="1" applyAlignment="1">
      <alignment horizontal="center" vertical="center" wrapText="1"/>
    </xf>
    <xf numFmtId="2" fontId="116" fillId="0" borderId="6" xfId="0" applyNumberFormat="1" applyFont="1" applyBorder="1" applyAlignment="1">
      <alignment horizontal="center" vertical="center"/>
    </xf>
    <xf numFmtId="0" fontId="116" fillId="0" borderId="6" xfId="0" applyFont="1" applyBorder="1" applyAlignment="1">
      <alignment horizontal="center" vertical="center"/>
    </xf>
    <xf numFmtId="0" fontId="81" fillId="4" borderId="6" xfId="0" applyFont="1" applyFill="1" applyBorder="1" applyAlignment="1">
      <alignment horizontal="left" vertical="top" wrapText="1"/>
    </xf>
    <xf numFmtId="193" fontId="192" fillId="0" borderId="0" xfId="0" applyNumberFormat="1" applyFont="1"/>
    <xf numFmtId="193" fontId="0" fillId="0" borderId="7" xfId="0" applyNumberFormat="1" applyBorder="1" applyAlignment="1">
      <alignment horizontal="right"/>
    </xf>
    <xf numFmtId="175" fontId="0" fillId="0" borderId="7" xfId="0" applyNumberFormat="1" applyBorder="1" applyAlignment="1">
      <alignment horizontal="right"/>
    </xf>
    <xf numFmtId="193" fontId="0" fillId="0" borderId="0" xfId="0" applyNumberFormat="1" applyBorder="1" applyAlignment="1">
      <alignment horizontal="right"/>
    </xf>
    <xf numFmtId="193" fontId="3" fillId="0" borderId="0" xfId="0" applyNumberFormat="1" applyFont="1"/>
    <xf numFmtId="193" fontId="209" fillId="0" borderId="23" xfId="0" applyNumberFormat="1" applyFont="1" applyBorder="1" applyAlignment="1">
      <alignment horizontal="left"/>
    </xf>
    <xf numFmtId="193" fontId="43" fillId="0" borderId="24" xfId="0" applyNumberFormat="1" applyFont="1" applyBorder="1"/>
    <xf numFmtId="193" fontId="0" fillId="0" borderId="24" xfId="0" applyNumberFormat="1" applyBorder="1"/>
    <xf numFmtId="193" fontId="0" fillId="0" borderId="25" xfId="0" applyNumberFormat="1" applyBorder="1"/>
    <xf numFmtId="193" fontId="43" fillId="0" borderId="34" xfId="0" applyNumberFormat="1" applyFont="1" applyBorder="1"/>
    <xf numFmtId="193" fontId="43" fillId="0" borderId="35" xfId="0" applyNumberFormat="1" applyFont="1" applyBorder="1"/>
    <xf numFmtId="193" fontId="192" fillId="0" borderId="35" xfId="0" applyNumberFormat="1" applyFont="1" applyBorder="1" applyAlignment="1">
      <alignment horizontal="center" vertical="center"/>
    </xf>
    <xf numFmtId="193" fontId="0" fillId="0" borderId="35" xfId="0" applyNumberFormat="1" applyBorder="1"/>
    <xf numFmtId="193" fontId="0" fillId="0" borderId="36" xfId="0" applyNumberFormat="1" applyBorder="1"/>
    <xf numFmtId="193" fontId="160" fillId="0" borderId="106" xfId="0" applyNumberFormat="1" applyFont="1" applyBorder="1" applyAlignment="1">
      <alignment horizontal="center"/>
    </xf>
    <xf numFmtId="193" fontId="66" fillId="0" borderId="106" xfId="0" applyNumberFormat="1" applyFont="1" applyBorder="1" applyAlignment="1">
      <alignment horizontal="center"/>
    </xf>
    <xf numFmtId="193" fontId="65" fillId="40" borderId="26" xfId="0" applyNumberFormat="1" applyFont="1" applyFill="1" applyBorder="1" applyAlignment="1">
      <alignment horizontal="right"/>
    </xf>
    <xf numFmtId="193" fontId="65" fillId="40" borderId="104" xfId="0" applyNumberFormat="1" applyFont="1" applyFill="1" applyBorder="1" applyAlignment="1">
      <alignment horizontal="center"/>
    </xf>
    <xf numFmtId="193" fontId="65" fillId="40" borderId="31" xfId="0" applyNumberFormat="1" applyFont="1" applyFill="1" applyBorder="1" applyAlignment="1">
      <alignment horizontal="center"/>
    </xf>
    <xf numFmtId="193" fontId="7" fillId="40" borderId="11" xfId="0" applyNumberFormat="1" applyFont="1" applyFill="1" applyBorder="1"/>
    <xf numFmtId="193" fontId="65" fillId="40" borderId="11" xfId="0" applyNumberFormat="1" applyFont="1" applyFill="1" applyBorder="1" applyAlignment="1">
      <alignment horizontal="center"/>
    </xf>
    <xf numFmtId="193" fontId="65" fillId="40" borderId="27" xfId="0" applyNumberFormat="1" applyFont="1" applyFill="1" applyBorder="1" applyAlignment="1">
      <alignment horizontal="center"/>
    </xf>
    <xf numFmtId="170" fontId="81" fillId="0" borderId="6" xfId="0" applyNumberFormat="1" applyFont="1" applyBorder="1" applyAlignment="1">
      <alignment horizontal="center" vertical="center"/>
    </xf>
    <xf numFmtId="9" fontId="81" fillId="4" borderId="0" xfId="0" applyNumberFormat="1" applyFont="1" applyFill="1" applyBorder="1" applyAlignment="1">
      <alignment horizontal="center" vertical="center"/>
    </xf>
    <xf numFmtId="2" fontId="81" fillId="4" borderId="0" xfId="0" applyNumberFormat="1" applyFont="1" applyFill="1" applyBorder="1" applyAlignment="1">
      <alignment horizontal="center"/>
    </xf>
    <xf numFmtId="2" fontId="81" fillId="0" borderId="6" xfId="0" applyNumberFormat="1" applyFont="1" applyBorder="1" applyAlignment="1">
      <alignment horizontal="center" vertical="center" shrinkToFit="1" readingOrder="1"/>
    </xf>
    <xf numFmtId="0" fontId="81" fillId="0" borderId="6" xfId="0" applyFont="1" applyBorder="1" applyAlignment="1">
      <alignment horizontal="center" shrinkToFit="1" readingOrder="1"/>
    </xf>
    <xf numFmtId="0" fontId="81" fillId="4" borderId="6" xfId="0" applyFont="1" applyFill="1" applyBorder="1" applyAlignment="1">
      <alignment horizontal="center" shrinkToFit="1" readingOrder="1"/>
    </xf>
    <xf numFmtId="9" fontId="81" fillId="0" borderId="6" xfId="0" applyNumberFormat="1" applyFont="1" applyBorder="1" applyAlignment="1">
      <alignment horizontal="center" vertical="center" shrinkToFit="1" readingOrder="1"/>
    </xf>
    <xf numFmtId="9" fontId="81" fillId="0" borderId="6" xfId="1" applyFont="1" applyBorder="1" applyAlignment="1">
      <alignment horizontal="center" vertical="center" shrinkToFit="1" readingOrder="1"/>
    </xf>
    <xf numFmtId="10" fontId="81" fillId="0" borderId="6" xfId="1" applyNumberFormat="1" applyFont="1" applyBorder="1" applyAlignment="1">
      <alignment horizontal="center" vertical="center" shrinkToFit="1" readingOrder="1"/>
    </xf>
    <xf numFmtId="9" fontId="81" fillId="0" borderId="52" xfId="0" applyNumberFormat="1" applyFont="1" applyBorder="1" applyAlignment="1">
      <alignment horizontal="center" vertical="center" shrinkToFit="1" readingOrder="1"/>
    </xf>
    <xf numFmtId="10" fontId="81" fillId="0" borderId="52" xfId="1" applyNumberFormat="1" applyFont="1" applyBorder="1" applyAlignment="1">
      <alignment horizontal="center" vertical="center" shrinkToFit="1" readingOrder="1"/>
    </xf>
    <xf numFmtId="10" fontId="81" fillId="4" borderId="6" xfId="1" applyNumberFormat="1" applyFont="1" applyFill="1" applyBorder="1" applyAlignment="1">
      <alignment horizontal="center" vertical="center" shrinkToFit="1" readingOrder="1"/>
    </xf>
    <xf numFmtId="10" fontId="81" fillId="0" borderId="6" xfId="0" applyNumberFormat="1" applyFont="1" applyBorder="1" applyAlignment="1">
      <alignment horizontal="center" vertical="center" shrinkToFit="1" readingOrder="1"/>
    </xf>
    <xf numFmtId="2" fontId="81" fillId="4" borderId="6" xfId="0" applyNumberFormat="1" applyFont="1" applyFill="1" applyBorder="1" applyAlignment="1">
      <alignment horizontal="center" vertical="center" shrinkToFit="1" readingOrder="1"/>
    </xf>
    <xf numFmtId="0" fontId="18" fillId="4" borderId="54" xfId="6" applyFont="1" applyFill="1" applyBorder="1" applyAlignment="1">
      <alignment vertical="center"/>
    </xf>
    <xf numFmtId="0" fontId="18" fillId="4" borderId="106" xfId="6" applyFont="1" applyFill="1" applyBorder="1" applyAlignment="1">
      <alignment vertical="center"/>
    </xf>
    <xf numFmtId="170" fontId="4" fillId="4" borderId="0" xfId="0" applyNumberFormat="1" applyFont="1" applyFill="1" applyBorder="1"/>
    <xf numFmtId="10" fontId="4" fillId="4" borderId="0" xfId="0" applyNumberFormat="1" applyFont="1" applyFill="1" applyBorder="1"/>
    <xf numFmtId="0" fontId="4" fillId="4" borderId="0" xfId="0" applyFont="1" applyFill="1" applyBorder="1" applyAlignment="1">
      <alignment horizontal="center" vertical="center"/>
    </xf>
    <xf numFmtId="0" fontId="4" fillId="0" borderId="6" xfId="78" applyFont="1" applyBorder="1" applyAlignment="1">
      <alignment horizontal="center"/>
    </xf>
    <xf numFmtId="2" fontId="4" fillId="4" borderId="6" xfId="78" applyNumberFormat="1" applyFont="1" applyFill="1" applyBorder="1" applyAlignment="1">
      <alignment horizontal="center"/>
    </xf>
    <xf numFmtId="2" fontId="4" fillId="0" borderId="6" xfId="78" applyNumberFormat="1" applyFont="1" applyBorder="1" applyAlignment="1">
      <alignment horizontal="center" vertical="center" wrapText="1"/>
    </xf>
    <xf numFmtId="2" fontId="4" fillId="4" borderId="6" xfId="78" applyNumberFormat="1" applyFont="1" applyFill="1" applyBorder="1" applyAlignment="1">
      <alignment horizontal="center" vertical="center" wrapText="1"/>
    </xf>
    <xf numFmtId="167" fontId="4" fillId="0" borderId="6" xfId="78" applyNumberFormat="1" applyFont="1" applyBorder="1" applyAlignment="1">
      <alignment horizontal="center" vertical="center" wrapText="1"/>
    </xf>
    <xf numFmtId="2" fontId="4" fillId="0" borderId="6" xfId="6" applyNumberFormat="1" applyFont="1" applyBorder="1" applyAlignment="1">
      <alignment horizontal="center" vertical="top" wrapText="1"/>
    </xf>
    <xf numFmtId="10" fontId="4" fillId="0" borderId="6" xfId="1" applyNumberFormat="1" applyFont="1" applyBorder="1" applyAlignment="1">
      <alignment horizontal="center"/>
    </xf>
    <xf numFmtId="2" fontId="4" fillId="0" borderId="6" xfId="7" applyNumberFormat="1" applyFont="1" applyBorder="1" applyAlignment="1">
      <alignment horizontal="center" vertical="center"/>
    </xf>
    <xf numFmtId="0" fontId="14" fillId="0" borderId="106" xfId="95" applyFont="1" applyBorder="1"/>
    <xf numFmtId="0" fontId="14" fillId="0" borderId="54" xfId="95" applyFont="1" applyBorder="1" applyAlignment="1">
      <alignment horizontal="center" vertical="center"/>
    </xf>
    <xf numFmtId="10" fontId="14" fillId="0" borderId="54" xfId="1" applyNumberFormat="1" applyFont="1" applyBorder="1" applyAlignment="1">
      <alignment horizontal="center"/>
    </xf>
    <xf numFmtId="2" fontId="81" fillId="0" borderId="6" xfId="0" applyNumberFormat="1" applyFont="1" applyBorder="1" applyAlignment="1">
      <alignment horizontal="right" vertical="top" wrapText="1"/>
    </xf>
    <xf numFmtId="2" fontId="82" fillId="0" borderId="6" xfId="0" applyNumberFormat="1" applyFont="1" applyBorder="1" applyAlignment="1">
      <alignment horizontal="right" vertical="top" wrapText="1"/>
    </xf>
    <xf numFmtId="0" fontId="18" fillId="4" borderId="106" xfId="0" applyFont="1" applyFill="1" applyBorder="1" applyAlignment="1">
      <alignment wrapText="1"/>
    </xf>
    <xf numFmtId="2" fontId="4" fillId="4" borderId="15" xfId="0" applyNumberFormat="1" applyFont="1" applyFill="1" applyBorder="1" applyAlignment="1">
      <alignment vertical="top"/>
    </xf>
    <xf numFmtId="0" fontId="4" fillId="4" borderId="106" xfId="0" applyFont="1" applyFill="1" applyBorder="1" applyAlignment="1">
      <alignment horizontal="center"/>
    </xf>
    <xf numFmtId="0" fontId="4" fillId="4" borderId="106" xfId="0" applyFont="1" applyFill="1" applyBorder="1" applyAlignment="1">
      <alignment vertical="top"/>
    </xf>
    <xf numFmtId="0" fontId="116" fillId="0" borderId="6" xfId="0" applyFont="1" applyBorder="1" applyAlignment="1">
      <alignment vertical="center"/>
    </xf>
    <xf numFmtId="0" fontId="81" fillId="0" borderId="6" xfId="0" applyFont="1" applyBorder="1" applyAlignment="1">
      <alignment horizontal="center"/>
    </xf>
    <xf numFmtId="0" fontId="82" fillId="0" borderId="6" xfId="0" applyFont="1" applyBorder="1" applyAlignment="1">
      <alignment horizontal="center"/>
    </xf>
    <xf numFmtId="170" fontId="4" fillId="0" borderId="6" xfId="13" applyNumberFormat="1" applyFont="1" applyBorder="1" applyAlignment="1">
      <alignment horizontal="center" vertical="center"/>
    </xf>
    <xf numFmtId="0" fontId="4" fillId="0" borderId="6" xfId="13" applyFont="1" applyBorder="1" applyAlignment="1">
      <alignment horizontal="center" vertical="center"/>
    </xf>
    <xf numFmtId="0" fontId="0" fillId="0" borderId="6" xfId="0" applyBorder="1" applyAlignment="1">
      <alignment horizontal="center" vertical="center"/>
    </xf>
    <xf numFmtId="2" fontId="0" fillId="0" borderId="6" xfId="0" applyNumberFormat="1" applyBorder="1" applyAlignment="1">
      <alignment horizontal="center" vertical="center"/>
    </xf>
    <xf numFmtId="0" fontId="0" fillId="0" borderId="6" xfId="0" applyBorder="1" applyAlignment="1">
      <alignment horizontal="center"/>
    </xf>
    <xf numFmtId="0" fontId="3" fillId="3" borderId="6" xfId="0" applyFont="1" applyFill="1" applyBorder="1" applyAlignment="1">
      <alignment horizontal="center" vertical="center"/>
    </xf>
    <xf numFmtId="0" fontId="81" fillId="0" borderId="6" xfId="0" applyFont="1" applyBorder="1" applyAlignment="1">
      <alignment horizontal="center" vertical="center"/>
    </xf>
    <xf numFmtId="0" fontId="4" fillId="0" borderId="6" xfId="114" applyFont="1" applyFill="1" applyBorder="1" applyAlignment="1" applyProtection="1">
      <alignment horizontal="center" vertical="center"/>
    </xf>
    <xf numFmtId="2" fontId="81" fillId="4" borderId="6" xfId="0" applyNumberFormat="1" applyFont="1" applyFill="1" applyBorder="1" applyAlignment="1">
      <alignment horizontal="center" vertical="center"/>
    </xf>
    <xf numFmtId="0" fontId="81" fillId="0" borderId="0" xfId="0" applyFont="1" applyBorder="1" applyAlignment="1">
      <alignment horizontal="center"/>
    </xf>
    <xf numFmtId="2" fontId="81" fillId="0" borderId="6" xfId="0" applyNumberFormat="1" applyFont="1" applyBorder="1" applyAlignment="1">
      <alignment horizontal="center" vertical="center"/>
    </xf>
    <xf numFmtId="0" fontId="4" fillId="0" borderId="6" xfId="13" applyFont="1" applyFill="1" applyBorder="1" applyAlignment="1">
      <alignment horizontal="center" vertical="center"/>
    </xf>
    <xf numFmtId="0" fontId="116" fillId="0" borderId="6" xfId="0" applyFont="1" applyBorder="1" applyAlignment="1">
      <alignment horizontal="center"/>
    </xf>
    <xf numFmtId="2" fontId="3" fillId="0" borderId="6" xfId="0" applyNumberFormat="1" applyFont="1" applyBorder="1" applyAlignment="1">
      <alignment horizontal="center"/>
    </xf>
    <xf numFmtId="2" fontId="0" fillId="0" borderId="6" xfId="0" applyNumberFormat="1" applyBorder="1" applyAlignment="1">
      <alignment horizontal="center"/>
    </xf>
    <xf numFmtId="0" fontId="0" fillId="0" borderId="6" xfId="0" applyBorder="1" applyAlignment="1">
      <alignment horizontal="center" vertical="center" wrapText="1"/>
    </xf>
    <xf numFmtId="0" fontId="0" fillId="0" borderId="6" xfId="0" applyBorder="1" applyAlignment="1">
      <alignment horizontal="center"/>
    </xf>
    <xf numFmtId="0" fontId="116" fillId="0" borderId="6" xfId="0" applyFont="1" applyBorder="1" applyAlignment="1">
      <alignment horizontal="center"/>
    </xf>
    <xf numFmtId="0" fontId="117" fillId="3" borderId="6" xfId="0" applyFont="1" applyFill="1" applyBorder="1" applyAlignment="1">
      <alignment horizontal="center"/>
    </xf>
    <xf numFmtId="2" fontId="81" fillId="4" borderId="8" xfId="0" applyNumberFormat="1" applyFont="1" applyFill="1" applyBorder="1" applyAlignment="1">
      <alignment horizontal="center" vertical="center"/>
    </xf>
    <xf numFmtId="2" fontId="82" fillId="4" borderId="8" xfId="0" applyNumberFormat="1" applyFont="1" applyFill="1" applyBorder="1" applyAlignment="1">
      <alignment horizontal="center" vertical="center"/>
    </xf>
    <xf numFmtId="214" fontId="116" fillId="0" borderId="6" xfId="0" applyNumberFormat="1" applyFont="1" applyBorder="1" applyAlignment="1">
      <alignment horizontal="center"/>
    </xf>
    <xf numFmtId="0" fontId="4" fillId="4" borderId="6" xfId="114" applyFont="1" applyFill="1" applyBorder="1" applyAlignment="1">
      <alignment horizontal="left" vertical="center" wrapText="1"/>
    </xf>
    <xf numFmtId="10" fontId="127" fillId="0" borderId="6" xfId="1" applyNumberFormat="1" applyFont="1" applyBorder="1"/>
    <xf numFmtId="10" fontId="127" fillId="0" borderId="0" xfId="274" applyNumberFormat="1" applyFont="1"/>
    <xf numFmtId="10" fontId="14" fillId="0" borderId="0" xfId="95" applyNumberFormat="1" applyFont="1" applyBorder="1"/>
    <xf numFmtId="10" fontId="4" fillId="4" borderId="0" xfId="1" applyNumberFormat="1" applyFont="1" applyFill="1" applyBorder="1"/>
    <xf numFmtId="0" fontId="0" fillId="0" borderId="6" xfId="0" applyBorder="1" applyAlignment="1">
      <alignment horizontal="left" vertical="center" wrapText="1"/>
    </xf>
    <xf numFmtId="0" fontId="0" fillId="0" borderId="6" xfId="0" applyBorder="1" applyAlignment="1">
      <alignment horizontal="left"/>
    </xf>
    <xf numFmtId="0" fontId="0" fillId="0" borderId="6" xfId="0" applyBorder="1" applyAlignment="1">
      <alignment vertical="center" wrapText="1"/>
    </xf>
    <xf numFmtId="167" fontId="0" fillId="0" borderId="6" xfId="0" applyNumberFormat="1" applyBorder="1" applyAlignment="1">
      <alignment horizontal="center"/>
    </xf>
    <xf numFmtId="0" fontId="3" fillId="0" borderId="0" xfId="0" applyFont="1" applyBorder="1" applyAlignment="1"/>
    <xf numFmtId="9" fontId="0" fillId="0" borderId="6" xfId="0" applyNumberFormat="1" applyBorder="1" applyAlignment="1">
      <alignment horizontal="center"/>
    </xf>
    <xf numFmtId="9" fontId="0" fillId="0" borderId="0" xfId="0" applyNumberFormat="1" applyAlignment="1">
      <alignment horizontal="center"/>
    </xf>
    <xf numFmtId="2" fontId="4" fillId="0" borderId="6" xfId="13" applyNumberFormat="1" applyFont="1" applyFill="1" applyBorder="1">
      <alignment vertical="center"/>
    </xf>
    <xf numFmtId="9" fontId="4" fillId="0" borderId="6" xfId="1" applyFont="1" applyBorder="1" applyAlignment="1">
      <alignment horizontal="center" vertical="center"/>
    </xf>
    <xf numFmtId="190" fontId="4" fillId="0" borderId="6" xfId="1" applyNumberFormat="1" applyFont="1" applyBorder="1" applyAlignment="1">
      <alignment horizontal="center" vertical="center"/>
    </xf>
    <xf numFmtId="0" fontId="0" fillId="37" borderId="0" xfId="0" applyFill="1"/>
    <xf numFmtId="0" fontId="17" fillId="3" borderId="6" xfId="0" applyFont="1" applyFill="1" applyBorder="1" applyAlignment="1">
      <alignment horizontal="center" vertical="center" wrapText="1"/>
    </xf>
    <xf numFmtId="0" fontId="156" fillId="4" borderId="6" xfId="0" applyFont="1" applyFill="1" applyBorder="1" applyAlignment="1">
      <alignment horizontal="center" wrapText="1"/>
    </xf>
    <xf numFmtId="0" fontId="0" fillId="0" borderId="6" xfId="0" applyBorder="1" applyAlignment="1">
      <alignment horizontal="left" wrapText="1"/>
    </xf>
    <xf numFmtId="9" fontId="0" fillId="0" borderId="6" xfId="0" applyNumberFormat="1" applyBorder="1" applyAlignment="1">
      <alignment horizontal="center" vertical="center" wrapText="1"/>
    </xf>
    <xf numFmtId="2" fontId="4" fillId="0" borderId="6" xfId="114" applyNumberFormat="1" applyFont="1" applyFill="1" applyBorder="1" applyAlignment="1" applyProtection="1">
      <alignment horizontal="center" vertical="center" wrapText="1"/>
    </xf>
    <xf numFmtId="2" fontId="84" fillId="0" borderId="6" xfId="114" applyNumberFormat="1" applyFont="1" applyFill="1" applyBorder="1" applyAlignment="1" applyProtection="1">
      <alignment horizontal="center" vertical="center" wrapText="1"/>
    </xf>
    <xf numFmtId="170" fontId="4" fillId="0" borderId="6" xfId="114" applyNumberFormat="1" applyFont="1" applyFill="1" applyBorder="1" applyAlignment="1">
      <alignment horizontal="center" vertical="center"/>
    </xf>
    <xf numFmtId="170" fontId="4" fillId="0" borderId="6" xfId="13" applyNumberFormat="1" applyFont="1" applyFill="1" applyBorder="1" applyAlignment="1">
      <alignment horizontal="center" vertical="center"/>
    </xf>
    <xf numFmtId="10" fontId="4" fillId="0" borderId="6" xfId="1" applyNumberFormat="1" applyFont="1" applyFill="1" applyBorder="1" applyAlignment="1" applyProtection="1">
      <alignment horizontal="center" vertical="center" wrapText="1"/>
    </xf>
    <xf numFmtId="10" fontId="4" fillId="0" borderId="6" xfId="1" applyNumberFormat="1" applyFont="1" applyFill="1" applyBorder="1" applyAlignment="1">
      <alignment horizontal="center" vertical="center"/>
    </xf>
    <xf numFmtId="170" fontId="4" fillId="0" borderId="6" xfId="14" applyNumberFormat="1" applyFont="1" applyFill="1" applyBorder="1" applyAlignment="1">
      <alignment horizontal="center" vertical="center"/>
    </xf>
    <xf numFmtId="2" fontId="81" fillId="4" borderId="6" xfId="0" applyNumberFormat="1" applyFont="1" applyFill="1" applyBorder="1" applyAlignment="1">
      <alignment horizontal="center" vertical="center"/>
    </xf>
    <xf numFmtId="0" fontId="21" fillId="0" borderId="0" xfId="274"/>
    <xf numFmtId="0" fontId="43" fillId="3" borderId="63" xfId="274" applyFont="1" applyFill="1" applyBorder="1" applyAlignment="1">
      <alignment horizontal="center" vertical="center" wrapText="1"/>
    </xf>
    <xf numFmtId="0" fontId="43" fillId="0" borderId="54" xfId="274" applyFont="1" applyBorder="1"/>
    <xf numFmtId="0" fontId="21" fillId="0" borderId="106" xfId="274" applyBorder="1"/>
    <xf numFmtId="0" fontId="43" fillId="0" borderId="127" xfId="274" applyFont="1" applyBorder="1"/>
    <xf numFmtId="9" fontId="4" fillId="0" borderId="6" xfId="1" applyFont="1" applyBorder="1" applyAlignment="1">
      <alignment horizontal="center"/>
    </xf>
    <xf numFmtId="2" fontId="81" fillId="0" borderId="52" xfId="1" applyNumberFormat="1" applyFont="1" applyBorder="1" applyAlignment="1">
      <alignment horizontal="center" vertical="center" shrinkToFit="1" readingOrder="1"/>
    </xf>
    <xf numFmtId="0" fontId="82" fillId="3" borderId="6" xfId="0" applyFont="1" applyFill="1" applyBorder="1" applyAlignment="1">
      <alignment horizontal="center" vertical="center" wrapText="1"/>
    </xf>
    <xf numFmtId="0" fontId="82" fillId="3" borderId="55" xfId="0" applyFont="1" applyFill="1" applyBorder="1" applyAlignment="1">
      <alignment horizontal="center" vertical="center" wrapText="1"/>
    </xf>
    <xf numFmtId="0" fontId="81" fillId="0" borderId="6" xfId="0" applyFont="1" applyBorder="1" applyAlignment="1">
      <alignment horizontal="center" vertical="center"/>
    </xf>
    <xf numFmtId="2" fontId="116" fillId="0" borderId="6" xfId="0" applyNumberFormat="1" applyFont="1" applyBorder="1" applyAlignment="1">
      <alignment horizontal="center" vertical="center"/>
    </xf>
    <xf numFmtId="0" fontId="81" fillId="3" borderId="52" xfId="0" applyFont="1" applyFill="1" applyBorder="1" applyAlignment="1">
      <alignment horizontal="center" vertical="center"/>
    </xf>
    <xf numFmtId="2" fontId="18" fillId="0" borderId="0" xfId="78" applyNumberFormat="1" applyFont="1" applyBorder="1" applyAlignment="1">
      <alignment horizontal="center" vertical="center"/>
    </xf>
    <xf numFmtId="0" fontId="81" fillId="3" borderId="3" xfId="0" applyFont="1" applyFill="1" applyBorder="1" applyAlignment="1">
      <alignment horizontal="center" vertical="center"/>
    </xf>
    <xf numFmtId="2" fontId="4" fillId="0" borderId="0" xfId="78" applyNumberFormat="1" applyFont="1" applyBorder="1" applyAlignment="1">
      <alignment horizontal="center" vertical="center"/>
    </xf>
    <xf numFmtId="0" fontId="81" fillId="3" borderId="8" xfId="0" applyFont="1" applyFill="1" applyBorder="1" applyAlignment="1">
      <alignment horizontal="center" vertical="center"/>
    </xf>
    <xf numFmtId="0" fontId="81" fillId="0" borderId="6" xfId="0" applyFont="1" applyBorder="1" applyAlignment="1">
      <alignment horizontal="left"/>
    </xf>
    <xf numFmtId="0" fontId="4" fillId="38" borderId="6" xfId="78" applyFont="1" applyFill="1" applyBorder="1" applyAlignment="1">
      <alignment horizontal="left" vertical="center" wrapText="1"/>
    </xf>
    <xf numFmtId="0" fontId="81" fillId="38" borderId="6" xfId="0" applyFont="1" applyFill="1" applyBorder="1" applyAlignment="1">
      <alignment horizontal="left" vertical="top" wrapText="1"/>
    </xf>
    <xf numFmtId="0" fontId="82" fillId="4" borderId="6" xfId="0" applyFont="1" applyFill="1" applyBorder="1" applyAlignment="1">
      <alignment horizontal="left" vertical="top" wrapText="1"/>
    </xf>
    <xf numFmtId="0" fontId="81" fillId="0" borderId="0" xfId="0" applyFont="1" applyAlignment="1">
      <alignment horizontal="left"/>
    </xf>
    <xf numFmtId="0" fontId="18" fillId="0" borderId="56" xfId="78" applyFont="1" applyFill="1" applyBorder="1" applyAlignment="1" applyProtection="1">
      <alignment horizontal="left" vertical="center" wrapText="1"/>
    </xf>
    <xf numFmtId="0" fontId="43" fillId="3" borderId="6" xfId="274" applyFont="1" applyFill="1" applyBorder="1" applyAlignment="1">
      <alignment horizontal="left" vertical="center"/>
    </xf>
    <xf numFmtId="1" fontId="21" fillId="0" borderId="6" xfId="274" applyNumberFormat="1" applyBorder="1" applyAlignment="1">
      <alignment horizontal="left"/>
    </xf>
    <xf numFmtId="1" fontId="43" fillId="0" borderId="6" xfId="274" applyNumberFormat="1" applyFont="1" applyBorder="1" applyAlignment="1">
      <alignment horizontal="left"/>
    </xf>
    <xf numFmtId="0" fontId="21" fillId="0" borderId="106" xfId="274" applyBorder="1" applyAlignment="1">
      <alignment horizontal="left"/>
    </xf>
    <xf numFmtId="0" fontId="21" fillId="0" borderId="0" xfId="274" applyAlignment="1">
      <alignment horizontal="left"/>
    </xf>
    <xf numFmtId="0" fontId="21" fillId="0" borderId="6" xfId="274" applyBorder="1" applyAlignment="1">
      <alignment horizontal="left"/>
    </xf>
    <xf numFmtId="2" fontId="18" fillId="0" borderId="6" xfId="13" applyNumberFormat="1" applyFont="1" applyBorder="1" applyAlignment="1">
      <alignment horizontal="center" vertical="center"/>
    </xf>
    <xf numFmtId="2" fontId="18" fillId="0" borderId="6" xfId="1" applyNumberFormat="1" applyFont="1" applyBorder="1" applyAlignment="1">
      <alignment horizontal="center" vertical="center"/>
    </xf>
    <xf numFmtId="0" fontId="4" fillId="61" borderId="6" xfId="13" applyFont="1" applyFill="1" applyBorder="1" applyAlignment="1">
      <alignment horizontal="center" vertical="center"/>
    </xf>
    <xf numFmtId="2" fontId="4" fillId="61" borderId="6" xfId="13" applyNumberFormat="1" applyFont="1" applyFill="1" applyBorder="1" applyAlignment="1">
      <alignment horizontal="center" vertical="center"/>
    </xf>
    <xf numFmtId="0" fontId="116" fillId="0" borderId="0" xfId="0" applyFont="1" applyAlignment="1">
      <alignment vertical="center"/>
    </xf>
    <xf numFmtId="0" fontId="81" fillId="0" borderId="6" xfId="0" applyFont="1" applyBorder="1" applyAlignment="1">
      <alignment horizontal="center" vertical="center"/>
    </xf>
    <xf numFmtId="2" fontId="81" fillId="0" borderId="6" xfId="0" applyNumberFormat="1" applyFont="1" applyBorder="1" applyAlignment="1">
      <alignment horizontal="center" vertical="center"/>
    </xf>
    <xf numFmtId="2" fontId="81" fillId="4" borderId="6" xfId="0" applyNumberFormat="1" applyFont="1" applyFill="1" applyBorder="1" applyAlignment="1">
      <alignment horizontal="center" vertical="center"/>
    </xf>
    <xf numFmtId="0" fontId="18" fillId="3" borderId="6" xfId="13" applyFont="1" applyFill="1" applyBorder="1" applyAlignment="1">
      <alignment horizontal="center" vertical="center" wrapText="1"/>
    </xf>
    <xf numFmtId="0" fontId="4" fillId="0" borderId="54" xfId="13" applyFont="1" applyBorder="1" applyAlignment="1">
      <alignment horizontal="center" vertical="center"/>
    </xf>
    <xf numFmtId="0" fontId="18" fillId="0" borderId="0" xfId="13" applyFont="1" applyBorder="1" applyAlignment="1">
      <alignment horizontal="center" vertical="center"/>
    </xf>
    <xf numFmtId="0" fontId="4" fillId="0" borderId="6" xfId="13" applyFont="1" applyBorder="1" applyAlignment="1">
      <alignment horizontal="center" vertical="center"/>
    </xf>
    <xf numFmtId="0" fontId="4" fillId="30" borderId="6" xfId="78" applyFont="1" applyFill="1" applyBorder="1" applyAlignment="1" applyProtection="1">
      <alignment horizontal="center"/>
    </xf>
    <xf numFmtId="0" fontId="18" fillId="4" borderId="0" xfId="13" applyFont="1" applyFill="1" applyBorder="1" applyAlignment="1">
      <alignment horizontal="center" vertical="center" wrapText="1"/>
    </xf>
    <xf numFmtId="0" fontId="18" fillId="3" borderId="4" xfId="13" applyFont="1" applyFill="1" applyBorder="1" applyAlignment="1">
      <alignment horizontal="center" vertical="center" wrapText="1"/>
    </xf>
    <xf numFmtId="2" fontId="81" fillId="4" borderId="6" xfId="0" applyNumberFormat="1" applyFont="1" applyFill="1" applyBorder="1" applyAlignment="1">
      <alignment horizontal="center" vertical="center"/>
    </xf>
    <xf numFmtId="0" fontId="18" fillId="0" borderId="6" xfId="0" applyFont="1" applyFill="1" applyBorder="1" applyAlignment="1">
      <alignment horizontal="center" vertical="center"/>
    </xf>
    <xf numFmtId="0" fontId="82" fillId="0" borderId="6" xfId="0" applyFont="1" applyFill="1" applyBorder="1"/>
    <xf numFmtId="0" fontId="18" fillId="0" borderId="0" xfId="0" applyFont="1" applyFill="1" applyBorder="1" applyAlignment="1">
      <alignment horizontal="center" vertical="center"/>
    </xf>
    <xf numFmtId="2" fontId="4" fillId="0" borderId="6" xfId="0" applyNumberFormat="1" applyFont="1" applyFill="1" applyBorder="1" applyAlignment="1">
      <alignment horizontal="center" vertical="center"/>
    </xf>
    <xf numFmtId="2" fontId="81" fillId="4" borderId="6" xfId="1" applyNumberFormat="1" applyFont="1" applyFill="1" applyBorder="1" applyAlignment="1">
      <alignment horizontal="center" vertical="center" shrinkToFit="1" readingOrder="1"/>
    </xf>
    <xf numFmtId="2" fontId="4" fillId="4" borderId="6" xfId="0" applyNumberFormat="1" applyFont="1" applyFill="1" applyBorder="1" applyAlignment="1">
      <alignment horizontal="center" vertical="center" wrapText="1"/>
    </xf>
    <xf numFmtId="10" fontId="4" fillId="4" borderId="6" xfId="0" applyNumberFormat="1" applyFont="1" applyFill="1" applyBorder="1" applyAlignment="1">
      <alignment horizontal="center" vertical="center" wrapText="1"/>
    </xf>
    <xf numFmtId="0" fontId="18" fillId="4" borderId="0" xfId="3" applyFont="1" applyFill="1" applyBorder="1" applyAlignment="1">
      <alignment vertical="center"/>
    </xf>
    <xf numFmtId="0" fontId="4" fillId="4" borderId="0" xfId="3" applyFont="1" applyFill="1" applyBorder="1" applyAlignment="1">
      <alignment vertical="center"/>
    </xf>
    <xf numFmtId="0" fontId="18" fillId="4" borderId="0" xfId="3" applyFont="1" applyFill="1" applyBorder="1" applyAlignment="1">
      <alignment horizontal="center" vertical="center"/>
    </xf>
    <xf numFmtId="0" fontId="4" fillId="4" borderId="6" xfId="0" applyFont="1" applyFill="1" applyBorder="1" applyAlignment="1">
      <alignment horizontal="left" vertical="center" wrapText="1"/>
    </xf>
    <xf numFmtId="0" fontId="18" fillId="0" borderId="0" xfId="114" applyFont="1" applyBorder="1" applyAlignment="1">
      <alignment horizontal="center"/>
    </xf>
    <xf numFmtId="0" fontId="18" fillId="3" borderId="91" xfId="13" applyFont="1" applyFill="1" applyBorder="1" applyAlignment="1">
      <alignment vertical="center" wrapText="1"/>
    </xf>
    <xf numFmtId="0" fontId="4" fillId="0" borderId="99" xfId="13" applyFont="1" applyBorder="1" applyAlignment="1">
      <alignment horizontal="center" vertical="center"/>
    </xf>
    <xf numFmtId="0" fontId="18" fillId="2" borderId="7" xfId="114" quotePrefix="1" applyFont="1" applyFill="1" applyBorder="1" applyAlignment="1">
      <alignment horizontal="left" vertical="top" wrapText="1"/>
    </xf>
    <xf numFmtId="0" fontId="18" fillId="2" borderId="7" xfId="114" quotePrefix="1" applyFont="1" applyFill="1" applyBorder="1" applyAlignment="1">
      <alignment horizontal="center" vertical="top" wrapText="1"/>
    </xf>
    <xf numFmtId="0" fontId="4" fillId="0" borderId="0" xfId="13" applyFont="1" applyFill="1" applyBorder="1" applyAlignment="1">
      <alignment horizontal="center" vertical="center"/>
    </xf>
    <xf numFmtId="0" fontId="18" fillId="0" borderId="0" xfId="78" applyFont="1" applyBorder="1" applyAlignment="1">
      <alignment horizontal="center"/>
    </xf>
    <xf numFmtId="0" fontId="18" fillId="0" borderId="0" xfId="13" applyFont="1" applyBorder="1" applyAlignment="1">
      <alignment horizontal="left" vertical="center"/>
    </xf>
    <xf numFmtId="10" fontId="18" fillId="0" borderId="6" xfId="1" applyNumberFormat="1" applyFont="1" applyBorder="1" applyAlignment="1">
      <alignment horizontal="center" vertical="center"/>
    </xf>
    <xf numFmtId="0" fontId="18" fillId="0" borderId="6" xfId="13" applyFont="1" applyBorder="1" applyAlignment="1">
      <alignment horizontal="left" vertical="center"/>
    </xf>
    <xf numFmtId="170" fontId="18" fillId="0" borderId="6" xfId="13" applyNumberFormat="1" applyFont="1" applyBorder="1" applyAlignment="1">
      <alignment horizontal="left" vertical="center"/>
    </xf>
    <xf numFmtId="0" fontId="18" fillId="0" borderId="0" xfId="3" applyFont="1" applyBorder="1" applyAlignment="1">
      <alignment horizontal="left"/>
    </xf>
    <xf numFmtId="0" fontId="18" fillId="0" borderId="0" xfId="3" applyFont="1" applyBorder="1" applyAlignment="1">
      <alignment horizontal="centerContinuous"/>
    </xf>
    <xf numFmtId="0" fontId="4" fillId="0" borderId="0" xfId="3" applyFont="1" applyBorder="1"/>
    <xf numFmtId="0" fontId="18" fillId="0" borderId="0" xfId="3" applyFont="1" applyBorder="1"/>
    <xf numFmtId="0" fontId="18" fillId="0" borderId="0" xfId="3" applyFont="1" applyBorder="1" applyAlignment="1">
      <alignment horizontal="right"/>
    </xf>
    <xf numFmtId="0" fontId="4" fillId="0" borderId="6" xfId="3" quotePrefix="1" applyFont="1" applyBorder="1" applyAlignment="1">
      <alignment horizontal="center" vertical="top" wrapText="1"/>
    </xf>
    <xf numFmtId="0" fontId="18" fillId="0" borderId="6" xfId="3" quotePrefix="1" applyFont="1" applyBorder="1" applyAlignment="1">
      <alignment horizontal="right" vertical="top" wrapText="1"/>
    </xf>
    <xf numFmtId="0" fontId="18" fillId="0" borderId="0" xfId="3" applyFont="1" applyBorder="1" applyAlignment="1">
      <alignment horizontal="center" vertical="top"/>
    </xf>
    <xf numFmtId="0" fontId="52" fillId="0" borderId="0" xfId="3" applyFont="1" applyFill="1" applyBorder="1" applyAlignment="1">
      <alignment horizontal="left"/>
    </xf>
    <xf numFmtId="2" fontId="18" fillId="0" borderId="0" xfId="3" applyNumberFormat="1" applyFont="1" applyBorder="1" applyAlignment="1">
      <alignment horizontal="center" vertical="top"/>
    </xf>
    <xf numFmtId="2" fontId="18" fillId="0" borderId="0" xfId="3" applyNumberFormat="1" applyFont="1" applyBorder="1" applyAlignment="1">
      <alignment vertical="top"/>
    </xf>
    <xf numFmtId="0" fontId="18" fillId="0" borderId="0" xfId="3" applyFont="1" applyBorder="1" applyAlignment="1">
      <alignment vertical="top"/>
    </xf>
    <xf numFmtId="0" fontId="4" fillId="0" borderId="6" xfId="3" quotePrefix="1" applyFont="1" applyFill="1" applyBorder="1" applyAlignment="1">
      <alignment horizontal="center" vertical="top" wrapText="1"/>
    </xf>
    <xf numFmtId="0" fontId="18" fillId="0" borderId="6" xfId="3" quotePrefix="1" applyFont="1" applyFill="1" applyBorder="1" applyAlignment="1">
      <alignment horizontal="right" vertical="top" wrapText="1"/>
    </xf>
    <xf numFmtId="0" fontId="18" fillId="0" borderId="6" xfId="3" quotePrefix="1" applyFont="1" applyFill="1" applyBorder="1" applyAlignment="1">
      <alignment horizontal="center" vertical="top" wrapText="1"/>
    </xf>
    <xf numFmtId="0" fontId="18" fillId="0" borderId="6" xfId="3" quotePrefix="1" applyFont="1" applyFill="1" applyBorder="1" applyAlignment="1">
      <alignment vertical="top" wrapText="1"/>
    </xf>
    <xf numFmtId="2" fontId="18" fillId="0" borderId="6" xfId="3" applyNumberFormat="1" applyFont="1" applyFill="1" applyBorder="1" applyAlignment="1">
      <alignment vertical="top"/>
    </xf>
    <xf numFmtId="0" fontId="4" fillId="0" borderId="6" xfId="3" quotePrefix="1" applyFont="1" applyFill="1" applyBorder="1" applyAlignment="1">
      <alignment vertical="top" wrapText="1"/>
    </xf>
    <xf numFmtId="0" fontId="40" fillId="0" borderId="0" xfId="3" applyFont="1" applyBorder="1" applyAlignment="1">
      <alignment horizontal="left" vertical="top"/>
    </xf>
    <xf numFmtId="0" fontId="14" fillId="0" borderId="0" xfId="257" applyFont="1">
      <alignment vertical="center"/>
    </xf>
    <xf numFmtId="0" fontId="17" fillId="0" borderId="0" xfId="257" applyFont="1" applyBorder="1">
      <alignment vertical="center"/>
    </xf>
    <xf numFmtId="0" fontId="17" fillId="3" borderId="6" xfId="257" applyFont="1" applyFill="1" applyBorder="1" applyAlignment="1">
      <alignment horizontal="center" vertical="center" wrapText="1"/>
    </xf>
    <xf numFmtId="0" fontId="14" fillId="0" borderId="6" xfId="257" applyFont="1" applyBorder="1" applyAlignment="1">
      <alignment horizontal="center" vertical="center"/>
    </xf>
    <xf numFmtId="0" fontId="14" fillId="0" borderId="6" xfId="257" applyFont="1" applyBorder="1" applyAlignment="1">
      <alignment vertical="top" wrapText="1"/>
    </xf>
    <xf numFmtId="0" fontId="14" fillId="2" borderId="6" xfId="260" applyFont="1" applyFill="1" applyBorder="1" applyAlignment="1" applyProtection="1">
      <alignment horizontal="left"/>
    </xf>
    <xf numFmtId="0" fontId="14" fillId="0" borderId="6" xfId="257" applyFont="1" applyBorder="1" applyAlignment="1">
      <alignment horizontal="center" vertical="top" wrapText="1"/>
    </xf>
    <xf numFmtId="170" fontId="14" fillId="0" borderId="6" xfId="257" applyNumberFormat="1" applyFont="1" applyBorder="1" applyAlignment="1">
      <alignment horizontal="center" vertical="center"/>
    </xf>
    <xf numFmtId="0" fontId="17" fillId="0" borderId="6" xfId="257" applyFont="1" applyBorder="1" applyAlignment="1">
      <alignment vertical="top" wrapText="1"/>
    </xf>
    <xf numFmtId="0" fontId="17" fillId="0" borderId="6" xfId="257" applyFont="1" applyBorder="1" applyAlignment="1">
      <alignment horizontal="center" vertical="top" wrapText="1"/>
    </xf>
    <xf numFmtId="0" fontId="17" fillId="0" borderId="0" xfId="257" applyFont="1">
      <alignment vertical="center"/>
    </xf>
    <xf numFmtId="0" fontId="17" fillId="0" borderId="6" xfId="257" applyFont="1" applyBorder="1" applyAlignment="1">
      <alignment horizontal="center" vertical="center"/>
    </xf>
    <xf numFmtId="0" fontId="14" fillId="0" borderId="0" xfId="257" applyFont="1" applyBorder="1" applyAlignment="1">
      <alignment vertical="center"/>
    </xf>
    <xf numFmtId="0" fontId="4" fillId="0" borderId="6" xfId="114" applyFont="1" applyFill="1" applyBorder="1" applyAlignment="1">
      <alignment vertical="top" wrapText="1"/>
    </xf>
    <xf numFmtId="0" fontId="4" fillId="0" borderId="6" xfId="114" applyFont="1" applyFill="1" applyBorder="1" applyAlignment="1">
      <alignment vertical="top"/>
    </xf>
    <xf numFmtId="0" fontId="18" fillId="0" borderId="6" xfId="114" applyFont="1" applyFill="1" applyBorder="1" applyAlignment="1">
      <alignment vertical="top"/>
    </xf>
    <xf numFmtId="0" fontId="81" fillId="0" borderId="0" xfId="0" applyFont="1" applyAlignment="1">
      <alignment wrapText="1"/>
    </xf>
    <xf numFmtId="0" fontId="18" fillId="4" borderId="0" xfId="3" applyFont="1" applyFill="1" applyBorder="1" applyAlignment="1">
      <alignment vertical="top" wrapText="1"/>
    </xf>
    <xf numFmtId="2" fontId="81" fillId="0" borderId="6" xfId="0" applyNumberFormat="1" applyFont="1" applyBorder="1" applyAlignment="1">
      <alignment horizontal="center" wrapText="1"/>
    </xf>
    <xf numFmtId="0" fontId="82" fillId="3" borderId="6" xfId="0" applyFont="1" applyFill="1" applyBorder="1" applyAlignment="1">
      <alignment vertical="center" wrapText="1"/>
    </xf>
    <xf numFmtId="2" fontId="81" fillId="31" borderId="6" xfId="0" applyNumberFormat="1" applyFont="1" applyFill="1" applyBorder="1" applyAlignment="1">
      <alignment horizontal="center" vertical="center"/>
    </xf>
    <xf numFmtId="0" fontId="117" fillId="3" borderId="6" xfId="0" applyFont="1" applyFill="1" applyBorder="1" applyAlignment="1">
      <alignment vertical="center" wrapText="1"/>
    </xf>
    <xf numFmtId="170" fontId="4" fillId="4" borderId="6" xfId="257" applyNumberFormat="1" applyFont="1" applyFill="1" applyBorder="1" applyAlignment="1">
      <alignment horizontal="center" vertical="center"/>
    </xf>
    <xf numFmtId="2" fontId="117" fillId="0" borderId="6" xfId="0" applyNumberFormat="1" applyFont="1" applyBorder="1" applyAlignment="1">
      <alignment horizontal="center"/>
    </xf>
    <xf numFmtId="9" fontId="0" fillId="0" borderId="6" xfId="1" applyFont="1" applyBorder="1"/>
    <xf numFmtId="10" fontId="0" fillId="0" borderId="6" xfId="1" applyNumberFormat="1" applyFont="1" applyBorder="1"/>
    <xf numFmtId="0" fontId="0" fillId="0" borderId="6" xfId="0" applyFont="1" applyBorder="1"/>
    <xf numFmtId="0" fontId="0" fillId="0" borderId="0" xfId="0" applyFont="1"/>
    <xf numFmtId="0" fontId="0" fillId="0" borderId="6" xfId="0" applyFont="1" applyBorder="1" applyAlignment="1">
      <alignment horizontal="center"/>
    </xf>
    <xf numFmtId="10" fontId="0" fillId="0" borderId="6" xfId="0" applyNumberFormat="1" applyFont="1" applyBorder="1"/>
    <xf numFmtId="0" fontId="13" fillId="0" borderId="0" xfId="78" applyFont="1"/>
    <xf numFmtId="0" fontId="9" fillId="0" borderId="54" xfId="78" applyBorder="1"/>
    <xf numFmtId="0" fontId="9" fillId="0" borderId="55" xfId="78" applyBorder="1"/>
    <xf numFmtId="0" fontId="9" fillId="0" borderId="56" xfId="78" applyBorder="1"/>
    <xf numFmtId="0" fontId="9" fillId="0" borderId="82" xfId="78" applyFont="1" applyBorder="1" applyAlignment="1">
      <alignment horizontal="center"/>
    </xf>
    <xf numFmtId="0" fontId="4" fillId="0" borderId="79" xfId="6" applyFont="1" applyFill="1" applyBorder="1">
      <alignment vertical="center"/>
    </xf>
    <xf numFmtId="0" fontId="9" fillId="0" borderId="79" xfId="78" applyFont="1" applyBorder="1"/>
    <xf numFmtId="0" fontId="4" fillId="0" borderId="86" xfId="6" applyFont="1" applyFill="1" applyBorder="1">
      <alignment vertical="center"/>
    </xf>
    <xf numFmtId="0" fontId="9" fillId="0" borderId="68" xfId="78" applyFont="1" applyBorder="1"/>
    <xf numFmtId="0" fontId="13" fillId="0" borderId="109" xfId="78" applyFont="1" applyBorder="1"/>
    <xf numFmtId="0" fontId="4" fillId="0" borderId="68" xfId="6" applyFont="1" applyBorder="1">
      <alignment vertical="center"/>
    </xf>
    <xf numFmtId="0" fontId="4" fillId="0" borderId="81" xfId="6" applyFont="1" applyBorder="1" applyAlignment="1">
      <alignment horizontal="center" vertical="center"/>
    </xf>
    <xf numFmtId="0" fontId="4" fillId="0" borderId="81" xfId="6" applyFont="1" applyBorder="1">
      <alignment vertical="center"/>
    </xf>
    <xf numFmtId="0" fontId="4" fillId="0" borderId="68" xfId="6" applyFont="1" applyBorder="1" applyAlignment="1">
      <alignment horizontal="center" vertical="center"/>
    </xf>
    <xf numFmtId="0" fontId="9" fillId="0" borderId="110" xfId="78" applyFont="1" applyFill="1" applyBorder="1"/>
    <xf numFmtId="0" fontId="4" fillId="0" borderId="69" xfId="6" applyFont="1" applyBorder="1">
      <alignment vertical="center"/>
    </xf>
    <xf numFmtId="0" fontId="9" fillId="0" borderId="64" xfId="78" applyBorder="1"/>
    <xf numFmtId="2" fontId="18" fillId="0" borderId="62" xfId="6" applyNumberFormat="1" applyFont="1" applyBorder="1" applyAlignment="1">
      <alignment horizontal="right" vertical="center"/>
    </xf>
    <xf numFmtId="0" fontId="9" fillId="0" borderId="85" xfId="78" applyBorder="1"/>
    <xf numFmtId="2" fontId="9" fillId="0" borderId="79" xfId="78" applyNumberFormat="1" applyBorder="1"/>
    <xf numFmtId="2" fontId="18" fillId="0" borderId="65" xfId="6" applyNumberFormat="1" applyFont="1" applyFill="1" applyBorder="1" applyAlignment="1">
      <alignment horizontal="right" vertical="center"/>
    </xf>
    <xf numFmtId="2" fontId="210" fillId="0" borderId="67" xfId="6" applyNumberFormat="1" applyFont="1" applyBorder="1" applyAlignment="1">
      <alignment horizontal="right" vertical="center"/>
    </xf>
    <xf numFmtId="0" fontId="9" fillId="0" borderId="61" xfId="78" applyBorder="1"/>
    <xf numFmtId="2" fontId="13" fillId="0" borderId="62" xfId="78" applyNumberFormat="1" applyFont="1" applyBorder="1"/>
    <xf numFmtId="2" fontId="18" fillId="0" borderId="67" xfId="6" applyNumberFormat="1" applyFont="1" applyBorder="1" applyAlignment="1">
      <alignment horizontal="right" vertical="center"/>
    </xf>
    <xf numFmtId="2" fontId="9" fillId="0" borderId="68" xfId="78" applyNumberFormat="1" applyBorder="1"/>
    <xf numFmtId="2" fontId="9" fillId="0" borderId="0" xfId="78" applyNumberFormat="1" applyFill="1" applyBorder="1"/>
    <xf numFmtId="0" fontId="9" fillId="0" borderId="68" xfId="78" applyFont="1" applyFill="1" applyBorder="1"/>
    <xf numFmtId="0" fontId="9" fillId="0" borderId="62" xfId="78" applyFont="1" applyFill="1" applyBorder="1"/>
    <xf numFmtId="2" fontId="9" fillId="0" borderId="62" xfId="78" applyNumberFormat="1" applyFont="1" applyFill="1" applyBorder="1"/>
    <xf numFmtId="0" fontId="18" fillId="0" borderId="67" xfId="6" applyFont="1" applyBorder="1">
      <alignment vertical="center"/>
    </xf>
    <xf numFmtId="0" fontId="18" fillId="0" borderId="62" xfId="6" applyFont="1" applyFill="1" applyBorder="1" applyAlignment="1">
      <alignment horizontal="center" vertical="center"/>
    </xf>
    <xf numFmtId="2" fontId="18" fillId="0" borderId="61" xfId="6" applyNumberFormat="1" applyFont="1" applyBorder="1" applyAlignment="1">
      <alignment horizontal="right" vertical="center"/>
    </xf>
    <xf numFmtId="2" fontId="18" fillId="0" borderId="61" xfId="6" applyNumberFormat="1" applyFont="1" applyFill="1" applyBorder="1" applyAlignment="1">
      <alignment horizontal="right" vertical="center"/>
    </xf>
    <xf numFmtId="0" fontId="4" fillId="0" borderId="75" xfId="6" applyFont="1" applyBorder="1">
      <alignment vertical="center"/>
    </xf>
    <xf numFmtId="0" fontId="4" fillId="0" borderId="75" xfId="6" applyFont="1" applyBorder="1" applyAlignment="1">
      <alignment vertical="center" wrapText="1"/>
    </xf>
    <xf numFmtId="2" fontId="18" fillId="0" borderId="85" xfId="6" applyNumberFormat="1" applyFont="1" applyFill="1" applyBorder="1" applyAlignment="1">
      <alignment horizontal="right" vertical="center"/>
    </xf>
    <xf numFmtId="2" fontId="18" fillId="0" borderId="79" xfId="6" applyNumberFormat="1" applyFont="1" applyBorder="1" applyAlignment="1">
      <alignment horizontal="right" vertical="center"/>
    </xf>
    <xf numFmtId="0" fontId="18" fillId="0" borderId="74" xfId="6" applyFont="1" applyBorder="1" applyAlignment="1">
      <alignment horizontal="right" vertical="center"/>
    </xf>
    <xf numFmtId="0" fontId="4" fillId="0" borderId="74" xfId="6" applyFont="1" applyBorder="1" applyAlignment="1">
      <alignment vertical="center" wrapText="1"/>
    </xf>
    <xf numFmtId="0" fontId="4" fillId="0" borderId="74" xfId="6" applyFont="1" applyFill="1" applyBorder="1" applyAlignment="1">
      <alignment horizontal="center" vertical="center"/>
    </xf>
    <xf numFmtId="2" fontId="18" fillId="0" borderId="70" xfId="6" applyNumberFormat="1" applyFont="1" applyBorder="1" applyAlignment="1">
      <alignment horizontal="right" vertical="center"/>
    </xf>
    <xf numFmtId="2" fontId="18" fillId="0" borderId="74" xfId="6" applyNumberFormat="1" applyFont="1" applyBorder="1" applyAlignment="1">
      <alignment horizontal="right" vertical="center"/>
    </xf>
    <xf numFmtId="0" fontId="18" fillId="0" borderId="68" xfId="6" applyFont="1" applyBorder="1" applyAlignment="1">
      <alignment horizontal="right" vertical="center"/>
    </xf>
    <xf numFmtId="0" fontId="4" fillId="0" borderId="76" xfId="6" applyFont="1" applyFill="1" applyBorder="1" applyAlignment="1">
      <alignment horizontal="center" vertical="center"/>
    </xf>
    <xf numFmtId="2" fontId="18" fillId="0" borderId="73" xfId="6" applyNumberFormat="1" applyFont="1" applyBorder="1" applyAlignment="1">
      <alignment horizontal="right" vertical="center"/>
    </xf>
    <xf numFmtId="2" fontId="18" fillId="0" borderId="76" xfId="6" applyNumberFormat="1" applyFont="1" applyBorder="1" applyAlignment="1">
      <alignment horizontal="right" vertical="center"/>
    </xf>
    <xf numFmtId="2" fontId="18" fillId="0" borderId="111" xfId="6" applyNumberFormat="1" applyFont="1" applyBorder="1" applyAlignment="1">
      <alignment horizontal="right" vertical="center"/>
    </xf>
    <xf numFmtId="2" fontId="18" fillId="0" borderId="68" xfId="6" applyNumberFormat="1" applyFont="1" applyBorder="1" applyAlignment="1">
      <alignment horizontal="right" vertical="center"/>
    </xf>
    <xf numFmtId="0" fontId="18" fillId="0" borderId="62" xfId="6" applyFont="1" applyBorder="1" applyAlignment="1">
      <alignment horizontal="right" vertical="center"/>
    </xf>
    <xf numFmtId="0" fontId="18" fillId="0" borderId="61" xfId="6" applyFont="1" applyBorder="1">
      <alignment vertical="center"/>
    </xf>
    <xf numFmtId="0" fontId="9" fillId="0" borderId="84" xfId="78" applyFont="1" applyBorder="1"/>
    <xf numFmtId="0" fontId="18" fillId="0" borderId="62" xfId="6" applyFont="1" applyFill="1" applyBorder="1">
      <alignment vertical="center"/>
    </xf>
    <xf numFmtId="0" fontId="18" fillId="0" borderId="60" xfId="6" applyFont="1" applyFill="1" applyBorder="1" applyAlignment="1">
      <alignment vertical="center" wrapText="1"/>
    </xf>
    <xf numFmtId="0" fontId="9" fillId="0" borderId="63" xfId="78" applyBorder="1" applyAlignment="1">
      <alignment horizontal="center"/>
    </xf>
    <xf numFmtId="0" fontId="9" fillId="0" borderId="63" xfId="78" applyBorder="1"/>
    <xf numFmtId="0" fontId="13" fillId="0" borderId="63" xfId="78" applyFont="1" applyBorder="1"/>
    <xf numFmtId="0" fontId="13" fillId="0" borderId="62" xfId="78" applyFont="1" applyBorder="1"/>
    <xf numFmtId="0" fontId="9" fillId="0" borderId="81" xfId="78" applyBorder="1" applyAlignment="1">
      <alignment horizontal="center"/>
    </xf>
    <xf numFmtId="0" fontId="9" fillId="0" borderId="81" xfId="78" applyBorder="1"/>
    <xf numFmtId="0" fontId="13" fillId="0" borderId="60" xfId="78" applyFont="1" applyBorder="1"/>
    <xf numFmtId="2" fontId="13" fillId="0" borderId="63" xfId="78" applyNumberFormat="1" applyFont="1" applyBorder="1"/>
    <xf numFmtId="0" fontId="81" fillId="0" borderId="6" xfId="0" applyFont="1" applyFill="1" applyBorder="1" applyAlignment="1">
      <alignment horizontal="center"/>
    </xf>
    <xf numFmtId="167" fontId="81" fillId="0" borderId="6" xfId="0" applyNumberFormat="1" applyFont="1" applyBorder="1" applyAlignment="1">
      <alignment horizontal="center" shrinkToFit="1" readingOrder="1"/>
    </xf>
    <xf numFmtId="0" fontId="3" fillId="0" borderId="0" xfId="0" applyFont="1" applyAlignment="1">
      <alignment horizontal="right"/>
    </xf>
    <xf numFmtId="2" fontId="4" fillId="4" borderId="6" xfId="6" applyNumberFormat="1" applyFont="1" applyFill="1" applyBorder="1" applyAlignment="1">
      <alignment horizontal="center" vertical="center"/>
    </xf>
    <xf numFmtId="0" fontId="18" fillId="3" borderId="6" xfId="6" applyFont="1" applyFill="1" applyBorder="1" applyAlignment="1">
      <alignment horizontal="center" vertical="center" wrapText="1"/>
    </xf>
    <xf numFmtId="0" fontId="81" fillId="0" borderId="6" xfId="0" applyFont="1" applyBorder="1" applyAlignment="1">
      <alignment horizontal="center" vertical="center"/>
    </xf>
    <xf numFmtId="2" fontId="81" fillId="4" borderId="6" xfId="0" applyNumberFormat="1" applyFont="1" applyFill="1" applyBorder="1" applyAlignment="1">
      <alignment horizontal="center" vertical="center"/>
    </xf>
    <xf numFmtId="0" fontId="18" fillId="4" borderId="0" xfId="78" applyFont="1" applyFill="1" applyBorder="1"/>
    <xf numFmtId="0" fontId="18" fillId="0" borderId="6" xfId="6" applyFont="1" applyBorder="1" applyAlignment="1">
      <alignment horizontal="center" vertical="top" wrapText="1"/>
    </xf>
    <xf numFmtId="10" fontId="81" fillId="0" borderId="6" xfId="0" applyNumberFormat="1" applyFont="1" applyBorder="1" applyAlignment="1">
      <alignment horizontal="center" shrinkToFit="1" readingOrder="1"/>
    </xf>
    <xf numFmtId="10" fontId="81" fillId="4" borderId="6" xfId="0" applyNumberFormat="1" applyFont="1" applyFill="1" applyBorder="1" applyAlignment="1">
      <alignment horizontal="center" shrinkToFit="1" readingOrder="1"/>
    </xf>
    <xf numFmtId="0" fontId="84" fillId="4" borderId="6" xfId="114" applyFont="1" applyFill="1" applyBorder="1" applyAlignment="1">
      <alignment horizontal="left" vertical="center" wrapText="1"/>
    </xf>
    <xf numFmtId="0" fontId="117" fillId="3" borderId="6" xfId="0" applyFont="1" applyFill="1" applyBorder="1" applyAlignment="1">
      <alignment horizontal="center" vertical="center" wrapText="1"/>
    </xf>
    <xf numFmtId="0" fontId="117" fillId="3" borderId="6" xfId="0" applyFont="1" applyFill="1" applyBorder="1" applyAlignment="1">
      <alignment horizontal="center" vertical="center"/>
    </xf>
    <xf numFmtId="0" fontId="82" fillId="3" borderId="6" xfId="0" applyFont="1" applyFill="1" applyBorder="1" applyAlignment="1">
      <alignment horizontal="center" vertical="center" wrapText="1"/>
    </xf>
    <xf numFmtId="0" fontId="82" fillId="3" borderId="6" xfId="0" applyFont="1" applyFill="1" applyBorder="1" applyAlignment="1">
      <alignment horizontal="center" vertical="center"/>
    </xf>
    <xf numFmtId="0" fontId="81" fillId="4" borderId="0" xfId="0" applyFont="1" applyFill="1" applyBorder="1" applyAlignment="1">
      <alignment horizontal="center" vertical="center"/>
    </xf>
    <xf numFmtId="0" fontId="18" fillId="0" borderId="0" xfId="13" applyFont="1" applyBorder="1" applyAlignment="1">
      <alignment horizontal="left" vertical="center"/>
    </xf>
    <xf numFmtId="0" fontId="81" fillId="4" borderId="6" xfId="0" applyFont="1" applyFill="1" applyBorder="1" applyAlignment="1">
      <alignment horizontal="center" vertical="center"/>
    </xf>
    <xf numFmtId="2" fontId="81" fillId="4" borderId="6" xfId="0" applyNumberFormat="1" applyFont="1" applyFill="1" applyBorder="1" applyAlignment="1">
      <alignment horizontal="center" vertical="center"/>
    </xf>
    <xf numFmtId="0" fontId="116" fillId="0" borderId="6" xfId="0" applyFont="1" applyBorder="1" applyAlignment="1">
      <alignment horizontal="center"/>
    </xf>
    <xf numFmtId="0" fontId="81" fillId="0" borderId="6" xfId="0" applyFont="1" applyBorder="1" applyAlignment="1">
      <alignment horizontal="center"/>
    </xf>
    <xf numFmtId="0" fontId="117" fillId="0" borderId="6" xfId="0" applyFont="1" applyBorder="1" applyAlignment="1">
      <alignment horizontal="center"/>
    </xf>
    <xf numFmtId="2" fontId="116" fillId="0" borderId="6" xfId="0" applyNumberFormat="1" applyFont="1" applyBorder="1" applyAlignment="1">
      <alignment horizontal="center"/>
    </xf>
    <xf numFmtId="0" fontId="117" fillId="3" borderId="15" xfId="0" applyFont="1" applyFill="1" applyBorder="1" applyAlignment="1">
      <alignment horizontal="center"/>
    </xf>
    <xf numFmtId="0" fontId="117" fillId="3" borderId="8" xfId="0" applyFont="1" applyFill="1" applyBorder="1" applyAlignment="1">
      <alignment horizontal="center"/>
    </xf>
    <xf numFmtId="10" fontId="117" fillId="0" borderId="56" xfId="1" applyNumberFormat="1" applyFont="1" applyBorder="1" applyAlignment="1">
      <alignment horizontal="center" vertical="center"/>
    </xf>
    <xf numFmtId="2" fontId="116" fillId="0" borderId="56" xfId="0" applyNumberFormat="1" applyFont="1" applyBorder="1" applyAlignment="1">
      <alignment horizontal="center" vertical="center"/>
    </xf>
    <xf numFmtId="0" fontId="116" fillId="0" borderId="0" xfId="0" applyFont="1" applyBorder="1" applyAlignment="1">
      <alignment horizontal="center" vertical="center"/>
    </xf>
    <xf numFmtId="0" fontId="116" fillId="0" borderId="59" xfId="0" applyFont="1" applyBorder="1" applyAlignment="1">
      <alignment horizontal="center" vertical="center"/>
    </xf>
    <xf numFmtId="167" fontId="0" fillId="0" borderId="0" xfId="0" applyNumberFormat="1" applyBorder="1" applyAlignment="1">
      <alignment horizontal="center"/>
    </xf>
    <xf numFmtId="0" fontId="3" fillId="0" borderId="6" xfId="0" applyFont="1" applyBorder="1" applyAlignment="1">
      <alignment vertical="center" wrapText="1"/>
    </xf>
    <xf numFmtId="167" fontId="3" fillId="0" borderId="6" xfId="0" applyNumberFormat="1" applyFont="1" applyBorder="1" applyAlignment="1">
      <alignment horizontal="center"/>
    </xf>
    <xf numFmtId="10" fontId="81" fillId="4" borderId="6" xfId="1" applyNumberFormat="1" applyFont="1" applyFill="1" applyBorder="1" applyAlignment="1">
      <alignment horizontal="center" vertical="top" wrapText="1"/>
    </xf>
    <xf numFmtId="2" fontId="81" fillId="4" borderId="6" xfId="0" quotePrefix="1" applyNumberFormat="1" applyFont="1" applyFill="1" applyBorder="1" applyAlignment="1">
      <alignment horizontal="center" vertical="top" wrapText="1"/>
    </xf>
    <xf numFmtId="0" fontId="117" fillId="0" borderId="8" xfId="0" applyFont="1" applyBorder="1"/>
    <xf numFmtId="10" fontId="116" fillId="0" borderId="54" xfId="0" applyNumberFormat="1" applyFont="1" applyBorder="1" applyAlignment="1"/>
    <xf numFmtId="10" fontId="116" fillId="0" borderId="56" xfId="0" applyNumberFormat="1" applyFont="1" applyBorder="1" applyAlignment="1"/>
    <xf numFmtId="10" fontId="116" fillId="0" borderId="54" xfId="0" applyNumberFormat="1" applyFont="1" applyBorder="1" applyAlignment="1">
      <alignment horizontal="center"/>
    </xf>
    <xf numFmtId="2" fontId="116" fillId="0" borderId="56" xfId="0" applyNumberFormat="1" applyFont="1" applyBorder="1" applyAlignment="1">
      <alignment horizontal="center"/>
    </xf>
    <xf numFmtId="2" fontId="117" fillId="0" borderId="6" xfId="0" applyNumberFormat="1" applyFont="1" applyBorder="1" applyAlignment="1">
      <alignment horizontal="center" vertical="center"/>
    </xf>
    <xf numFmtId="2" fontId="117" fillId="0" borderId="54" xfId="0" applyNumberFormat="1" applyFont="1" applyBorder="1" applyAlignment="1"/>
    <xf numFmtId="2" fontId="117" fillId="0" borderId="56" xfId="0" applyNumberFormat="1" applyFont="1" applyBorder="1" applyAlignment="1"/>
    <xf numFmtId="0" fontId="117" fillId="0" borderId="0" xfId="0" applyFont="1" applyBorder="1" applyAlignment="1">
      <alignment horizontal="left"/>
    </xf>
    <xf numFmtId="0" fontId="82" fillId="0" borderId="0" xfId="0" applyFont="1" applyBorder="1" applyAlignment="1">
      <alignment horizontal="left"/>
    </xf>
    <xf numFmtId="10" fontId="81" fillId="31" borderId="52" xfId="1" applyNumberFormat="1" applyFont="1" applyFill="1" applyBorder="1" applyAlignment="1">
      <alignment horizontal="center" vertical="center" shrinkToFit="1" readingOrder="1"/>
    </xf>
    <xf numFmtId="10" fontId="81" fillId="0" borderId="6" xfId="1" applyNumberFormat="1" applyFont="1" applyFill="1" applyBorder="1" applyAlignment="1">
      <alignment horizontal="center" vertical="center" shrinkToFit="1" readingOrder="1"/>
    </xf>
    <xf numFmtId="0" fontId="81" fillId="0" borderId="6" xfId="0" applyFont="1" applyFill="1" applyBorder="1" applyAlignment="1">
      <alignment horizontal="center" shrinkToFit="1" readingOrder="1"/>
    </xf>
    <xf numFmtId="0" fontId="4" fillId="4" borderId="6" xfId="114" applyFont="1" applyFill="1" applyBorder="1" applyAlignment="1">
      <alignment horizontal="left" vertical="center" wrapText="1" shrinkToFit="1"/>
    </xf>
    <xf numFmtId="0" fontId="4" fillId="0" borderId="6" xfId="0" applyFont="1" applyFill="1" applyBorder="1" applyAlignment="1">
      <alignment horizontal="left" vertical="center" wrapText="1" shrinkToFit="1"/>
    </xf>
    <xf numFmtId="0" fontId="4" fillId="0" borderId="6" xfId="0" applyFont="1" applyBorder="1" applyAlignment="1">
      <alignment horizontal="left" vertical="center" wrapText="1" shrinkToFit="1"/>
    </xf>
    <xf numFmtId="0" fontId="84" fillId="0" borderId="6" xfId="0" applyFont="1" applyFill="1" applyBorder="1" applyAlignment="1">
      <alignment horizontal="left" vertical="center" wrapText="1" shrinkToFit="1"/>
    </xf>
    <xf numFmtId="0" fontId="4" fillId="0" borderId="52" xfId="0" applyFont="1" applyBorder="1" applyAlignment="1">
      <alignment horizontal="left" vertical="center" wrapText="1" shrinkToFit="1"/>
    </xf>
    <xf numFmtId="0" fontId="4" fillId="0" borderId="52" xfId="114" applyFont="1" applyFill="1" applyBorder="1" applyAlignment="1">
      <alignment horizontal="left" vertical="center" wrapText="1" shrinkToFit="1"/>
    </xf>
    <xf numFmtId="0" fontId="18" fillId="0" borderId="52" xfId="114" applyFont="1" applyFill="1" applyBorder="1" applyAlignment="1">
      <alignment horizontal="left" vertical="center" wrapText="1" shrinkToFit="1"/>
    </xf>
    <xf numFmtId="0" fontId="4" fillId="0" borderId="6" xfId="114" applyFont="1" applyFill="1" applyBorder="1" applyAlignment="1">
      <alignment horizontal="left" vertical="center" wrapText="1" shrinkToFit="1"/>
    </xf>
    <xf numFmtId="10" fontId="116" fillId="0" borderId="6" xfId="0" applyNumberFormat="1" applyFont="1" applyBorder="1" applyAlignment="1"/>
    <xf numFmtId="2" fontId="117" fillId="0" borderId="6" xfId="0" applyNumberFormat="1" applyFont="1" applyBorder="1" applyAlignment="1"/>
    <xf numFmtId="0" fontId="82" fillId="0" borderId="0" xfId="0" applyFont="1" applyBorder="1" applyAlignment="1"/>
    <xf numFmtId="2" fontId="81" fillId="0" borderId="0" xfId="0" applyNumberFormat="1" applyFont="1" applyBorder="1"/>
    <xf numFmtId="0" fontId="82" fillId="0" borderId="17" xfId="0" applyFont="1" applyBorder="1" applyAlignment="1">
      <alignment horizontal="left"/>
    </xf>
    <xf numFmtId="0" fontId="82" fillId="0" borderId="17" xfId="0" applyFont="1" applyBorder="1" applyAlignment="1">
      <alignment horizontal="center" wrapText="1"/>
    </xf>
    <xf numFmtId="0" fontId="82" fillId="4" borderId="0" xfId="0" applyFont="1" applyFill="1" applyBorder="1" applyAlignment="1">
      <alignment horizontal="center" vertical="center"/>
    </xf>
    <xf numFmtId="10" fontId="81" fillId="0" borderId="6" xfId="1" applyNumberFormat="1" applyFont="1" applyBorder="1"/>
    <xf numFmtId="0" fontId="81" fillId="63" borderId="0" xfId="0" applyFont="1" applyFill="1"/>
    <xf numFmtId="0" fontId="82" fillId="63" borderId="0" xfId="0" applyFont="1" applyFill="1" applyBorder="1" applyAlignment="1">
      <alignment horizontal="left"/>
    </xf>
    <xf numFmtId="0" fontId="82" fillId="4" borderId="0" xfId="0" applyFont="1" applyFill="1" applyBorder="1" applyAlignment="1">
      <alignment horizontal="left" vertical="center"/>
    </xf>
    <xf numFmtId="2" fontId="82" fillId="0" borderId="6" xfId="0" applyNumberFormat="1" applyFont="1" applyBorder="1"/>
    <xf numFmtId="0" fontId="82" fillId="0" borderId="6" xfId="0" applyFont="1" applyFill="1" applyBorder="1" applyAlignment="1">
      <alignment horizontal="center" vertical="center"/>
    </xf>
    <xf numFmtId="0" fontId="82" fillId="0" borderId="6" xfId="0" applyFont="1" applyFill="1" applyBorder="1" applyAlignment="1">
      <alignment horizontal="left" vertical="center"/>
    </xf>
    <xf numFmtId="0" fontId="82" fillId="3" borderId="52" xfId="0" applyFont="1" applyFill="1" applyBorder="1" applyAlignment="1">
      <alignment vertical="center"/>
    </xf>
    <xf numFmtId="0" fontId="82" fillId="0" borderId="0" xfId="0" applyFont="1" applyFill="1" applyBorder="1" applyAlignment="1">
      <alignment horizontal="left"/>
    </xf>
    <xf numFmtId="0" fontId="81" fillId="0" borderId="0" xfId="0" applyFont="1" applyFill="1" applyBorder="1"/>
    <xf numFmtId="2" fontId="82" fillId="0" borderId="0" xfId="0" applyNumberFormat="1" applyFont="1" applyBorder="1"/>
    <xf numFmtId="0" fontId="4" fillId="4" borderId="0" xfId="6" applyFont="1" applyFill="1" applyAlignment="1">
      <alignment horizontal="right" vertical="center"/>
    </xf>
    <xf numFmtId="0" fontId="18" fillId="4" borderId="0" xfId="5" applyFont="1" applyFill="1" applyAlignment="1">
      <alignment horizontal="right" vertical="center"/>
    </xf>
    <xf numFmtId="2" fontId="18" fillId="0" borderId="6" xfId="6" applyNumberFormat="1" applyFont="1" applyFill="1" applyBorder="1" applyAlignment="1">
      <alignment horizontal="right" vertical="center"/>
    </xf>
    <xf numFmtId="2" fontId="18" fillId="0" borderId="6" xfId="13" applyNumberFormat="1" applyFont="1" applyFill="1" applyBorder="1" applyAlignment="1">
      <alignment horizontal="right" vertical="center"/>
    </xf>
    <xf numFmtId="2" fontId="4" fillId="0" borderId="6" xfId="13" applyNumberFormat="1" applyFont="1" applyFill="1" applyBorder="1" applyAlignment="1">
      <alignment horizontal="right" vertical="center"/>
    </xf>
    <xf numFmtId="2" fontId="4" fillId="0" borderId="54" xfId="13" applyNumberFormat="1" applyFont="1" applyFill="1" applyBorder="1" applyAlignment="1">
      <alignment horizontal="right" vertical="center"/>
    </xf>
    <xf numFmtId="0" fontId="4" fillId="4" borderId="0" xfId="6" applyFont="1" applyFill="1" applyBorder="1" applyAlignment="1">
      <alignment horizontal="right" vertical="center"/>
    </xf>
    <xf numFmtId="0" fontId="0" fillId="0" borderId="6" xfId="0" applyBorder="1" applyAlignment="1">
      <alignment horizontal="center"/>
    </xf>
    <xf numFmtId="0" fontId="0" fillId="0" borderId="6" xfId="0" applyBorder="1" applyAlignment="1">
      <alignment horizontal="center"/>
    </xf>
    <xf numFmtId="187" fontId="0" fillId="0" borderId="6" xfId="0" applyNumberFormat="1" applyBorder="1" applyAlignment="1">
      <alignment horizontal="center"/>
    </xf>
    <xf numFmtId="0" fontId="3" fillId="40" borderId="6" xfId="0" applyFont="1" applyFill="1" applyBorder="1" applyAlignment="1">
      <alignment horizontal="center"/>
    </xf>
    <xf numFmtId="2" fontId="4" fillId="4" borderId="0" xfId="6" applyNumberFormat="1" applyFont="1" applyFill="1" applyAlignment="1">
      <alignment horizontal="right" vertical="center"/>
    </xf>
    <xf numFmtId="170" fontId="0" fillId="0" borderId="6" xfId="0" applyNumberFormat="1" applyBorder="1" applyAlignment="1">
      <alignment horizontal="center"/>
    </xf>
    <xf numFmtId="0" fontId="18" fillId="4" borderId="0" xfId="3" applyFont="1" applyFill="1" applyBorder="1" applyAlignment="1">
      <alignment horizontal="center" vertical="top"/>
    </xf>
    <xf numFmtId="0" fontId="82" fillId="3" borderId="6" xfId="0" applyFont="1" applyFill="1" applyBorder="1" applyAlignment="1">
      <alignment horizontal="center" vertical="center" wrapText="1"/>
    </xf>
    <xf numFmtId="0" fontId="82" fillId="3" borderId="6" xfId="0" applyFont="1" applyFill="1" applyBorder="1" applyAlignment="1">
      <alignment horizontal="center" vertical="top" wrapText="1"/>
    </xf>
    <xf numFmtId="0" fontId="82" fillId="36" borderId="6" xfId="0" applyFont="1" applyFill="1" applyBorder="1" applyAlignment="1">
      <alignment horizontal="center"/>
    </xf>
    <xf numFmtId="0" fontId="4" fillId="30" borderId="6" xfId="78" applyFont="1" applyFill="1" applyBorder="1" applyAlignment="1" applyProtection="1">
      <alignment horizontal="center"/>
    </xf>
    <xf numFmtId="0" fontId="18" fillId="3" borderId="6" xfId="6" applyFont="1" applyFill="1" applyBorder="1" applyAlignment="1">
      <alignment horizontal="center" vertical="center" wrapText="1"/>
    </xf>
    <xf numFmtId="2" fontId="81" fillId="4" borderId="6" xfId="0" applyNumberFormat="1" applyFont="1" applyFill="1" applyBorder="1" applyAlignment="1">
      <alignment horizontal="center" vertical="center"/>
    </xf>
    <xf numFmtId="0" fontId="0" fillId="0" borderId="6" xfId="0" applyFill="1" applyBorder="1" applyAlignment="1">
      <alignment horizontal="left"/>
    </xf>
    <xf numFmtId="0" fontId="81" fillId="0" borderId="6" xfId="0" applyFont="1" applyBorder="1" applyAlignment="1">
      <alignment horizontal="center" vertical="center"/>
    </xf>
    <xf numFmtId="2" fontId="81" fillId="0" borderId="6" xfId="0" applyNumberFormat="1" applyFont="1" applyBorder="1" applyAlignment="1">
      <alignment horizontal="center" vertical="center"/>
    </xf>
    <xf numFmtId="0" fontId="81" fillId="0" borderId="6" xfId="0" applyFont="1" applyBorder="1" applyAlignment="1">
      <alignment horizontal="center"/>
    </xf>
    <xf numFmtId="2" fontId="81" fillId="4" borderId="6" xfId="0" applyNumberFormat="1" applyFont="1" applyFill="1" applyBorder="1" applyAlignment="1">
      <alignment horizontal="left" vertical="center"/>
    </xf>
    <xf numFmtId="2" fontId="82" fillId="4" borderId="6" xfId="0" applyNumberFormat="1" applyFont="1" applyFill="1" applyBorder="1" applyAlignment="1">
      <alignment horizontal="center" vertical="center"/>
    </xf>
    <xf numFmtId="0" fontId="82" fillId="37" borderId="6" xfId="0" applyFont="1" applyFill="1" applyBorder="1" applyAlignment="1">
      <alignment horizontal="center"/>
    </xf>
    <xf numFmtId="10" fontId="81" fillId="4" borderId="0" xfId="0" applyNumberFormat="1" applyFont="1" applyFill="1" applyBorder="1"/>
    <xf numFmtId="2" fontId="94" fillId="4" borderId="0" xfId="0" applyNumberFormat="1" applyFont="1" applyFill="1" applyBorder="1"/>
    <xf numFmtId="0" fontId="81" fillId="4" borderId="0" xfId="0" applyFont="1" applyFill="1"/>
    <xf numFmtId="10" fontId="4" fillId="4" borderId="6" xfId="1" applyNumberFormat="1" applyFont="1" applyFill="1" applyBorder="1" applyAlignment="1">
      <alignment horizontal="center" vertical="center" wrapText="1"/>
    </xf>
    <xf numFmtId="2" fontId="81" fillId="0" borderId="6" xfId="0" applyNumberFormat="1" applyFont="1" applyBorder="1" applyAlignment="1">
      <alignment horizontal="center" shrinkToFit="1" readingOrder="1"/>
    </xf>
    <xf numFmtId="10" fontId="81" fillId="0" borderId="6" xfId="1" applyNumberFormat="1" applyFont="1" applyBorder="1" applyAlignment="1">
      <alignment horizontal="center" shrinkToFit="1" readingOrder="1"/>
    </xf>
    <xf numFmtId="0" fontId="18" fillId="3" borderId="136" xfId="13" applyFont="1" applyFill="1" applyBorder="1" applyAlignment="1">
      <alignment horizontal="center" vertical="center" wrapText="1"/>
    </xf>
    <xf numFmtId="170" fontId="4" fillId="0" borderId="53" xfId="13" applyNumberFormat="1" applyFont="1" applyFill="1" applyBorder="1" applyAlignment="1">
      <alignment horizontal="center" vertical="center"/>
    </xf>
    <xf numFmtId="170" fontId="18" fillId="0" borderId="6" xfId="13" applyNumberFormat="1" applyFont="1" applyBorder="1" applyAlignment="1">
      <alignment horizontal="center" vertical="center"/>
    </xf>
    <xf numFmtId="170" fontId="18" fillId="0" borderId="53" xfId="13" applyNumberFormat="1" applyFont="1" applyBorder="1" applyAlignment="1">
      <alignment horizontal="center" vertical="center"/>
    </xf>
    <xf numFmtId="170" fontId="18" fillId="0" borderId="7" xfId="13" applyNumberFormat="1" applyFont="1" applyBorder="1" applyAlignment="1">
      <alignment horizontal="center" vertical="center"/>
    </xf>
    <xf numFmtId="170" fontId="18" fillId="0" borderId="58" xfId="13" applyNumberFormat="1" applyFont="1" applyBorder="1" applyAlignment="1">
      <alignment horizontal="center" vertical="center"/>
    </xf>
    <xf numFmtId="0" fontId="18" fillId="2" borderId="7" xfId="114" quotePrefix="1" applyFont="1" applyFill="1" applyBorder="1" applyAlignment="1">
      <alignment horizontal="center" vertical="center" wrapText="1"/>
    </xf>
    <xf numFmtId="2" fontId="4" fillId="4" borderId="6" xfId="13" applyNumberFormat="1" applyFont="1" applyFill="1" applyBorder="1" applyAlignment="1">
      <alignment horizontal="center" vertical="center"/>
    </xf>
    <xf numFmtId="0" fontId="18" fillId="0" borderId="52" xfId="13" applyFont="1" applyBorder="1" applyAlignment="1">
      <alignment horizontal="center" vertical="center"/>
    </xf>
    <xf numFmtId="170" fontId="4" fillId="0" borderId="6" xfId="13" applyNumberFormat="1" applyFont="1" applyFill="1" applyBorder="1" applyAlignment="1">
      <alignment horizontal="center" vertical="center" wrapText="1"/>
    </xf>
    <xf numFmtId="0" fontId="4" fillId="4" borderId="6" xfId="141" applyFont="1" applyFill="1" applyBorder="1" applyAlignment="1">
      <alignment vertical="center" wrapText="1"/>
    </xf>
    <xf numFmtId="167" fontId="81" fillId="4" borderId="6" xfId="0" applyNumberFormat="1" applyFont="1" applyFill="1" applyBorder="1" applyAlignment="1">
      <alignment horizontal="center"/>
    </xf>
    <xf numFmtId="0" fontId="4" fillId="30" borderId="0" xfId="78" applyFont="1" applyFill="1" applyBorder="1" applyAlignment="1" applyProtection="1">
      <alignment horizontal="center"/>
    </xf>
    <xf numFmtId="0" fontId="84" fillId="0" borderId="6" xfId="0" applyFont="1" applyBorder="1" applyAlignment="1">
      <alignment horizontal="left" vertical="center" wrapText="1" shrinkToFit="1"/>
    </xf>
    <xf numFmtId="2" fontId="81" fillId="0" borderId="6" xfId="1" applyNumberFormat="1" applyFont="1" applyFill="1" applyBorder="1" applyAlignment="1">
      <alignment horizontal="center" vertical="center" shrinkToFit="1" readingOrder="1"/>
    </xf>
    <xf numFmtId="0" fontId="115" fillId="0" borderId="0" xfId="0" applyFont="1" applyBorder="1" applyAlignment="1">
      <alignment horizontal="center" wrapText="1"/>
    </xf>
    <xf numFmtId="0" fontId="4" fillId="0" borderId="6" xfId="260" applyFont="1" applyBorder="1" applyAlignment="1">
      <alignment vertical="top" wrapText="1"/>
    </xf>
    <xf numFmtId="0" fontId="4" fillId="0" borderId="6" xfId="260" applyFont="1" applyFill="1" applyBorder="1" applyAlignment="1" applyProtection="1">
      <alignment vertical="top" wrapText="1"/>
    </xf>
    <xf numFmtId="0" fontId="4" fillId="0" borderId="10" xfId="260" applyFont="1" applyBorder="1" applyAlignment="1">
      <alignment horizontal="center"/>
    </xf>
    <xf numFmtId="0" fontId="4" fillId="0" borderId="53" xfId="257" applyFont="1" applyBorder="1">
      <alignment vertical="center"/>
    </xf>
    <xf numFmtId="2" fontId="4" fillId="0" borderId="6" xfId="257" applyNumberFormat="1" applyFont="1" applyBorder="1" applyAlignment="1">
      <alignment horizontal="center" vertical="center"/>
    </xf>
    <xf numFmtId="0" fontId="4" fillId="4" borderId="6" xfId="141" applyFont="1" applyFill="1" applyBorder="1" applyAlignment="1">
      <alignment horizontal="left" vertical="center" wrapText="1"/>
    </xf>
    <xf numFmtId="9" fontId="81" fillId="0" borderId="6" xfId="0" applyNumberFormat="1" applyFont="1" applyBorder="1" applyAlignment="1">
      <alignment horizontal="left" vertical="center"/>
    </xf>
    <xf numFmtId="0" fontId="17" fillId="0" borderId="0" xfId="260" applyFont="1" applyFill="1" applyBorder="1" applyAlignment="1">
      <alignment horizontal="left" vertical="top"/>
    </xf>
    <xf numFmtId="190" fontId="4" fillId="0" borderId="6" xfId="1" applyNumberFormat="1" applyFont="1" applyBorder="1" applyAlignment="1">
      <alignment horizontal="center"/>
    </xf>
    <xf numFmtId="0" fontId="84" fillId="4" borderId="6" xfId="0" applyFont="1" applyFill="1" applyBorder="1" applyAlignment="1">
      <alignment wrapText="1"/>
    </xf>
    <xf numFmtId="9" fontId="81" fillId="4" borderId="6" xfId="0" applyNumberFormat="1" applyFont="1" applyFill="1" applyBorder="1"/>
    <xf numFmtId="170" fontId="81" fillId="0" borderId="6" xfId="0" applyNumberFormat="1" applyFont="1" applyBorder="1" applyAlignment="1">
      <alignment horizontal="center"/>
    </xf>
    <xf numFmtId="0" fontId="82" fillId="0" borderId="0" xfId="0" applyFont="1" applyFill="1" applyBorder="1" applyAlignment="1">
      <alignment wrapText="1"/>
    </xf>
    <xf numFmtId="2" fontId="4" fillId="0" borderId="0" xfId="13" applyNumberFormat="1" applyFont="1" applyFill="1">
      <alignment vertical="center"/>
    </xf>
    <xf numFmtId="0" fontId="81" fillId="0" borderId="6" xfId="0" applyFont="1" applyBorder="1" applyAlignment="1">
      <alignment horizontal="left" vertical="center"/>
    </xf>
    <xf numFmtId="2" fontId="81" fillId="31" borderId="6" xfId="0" applyNumberFormat="1" applyFont="1" applyFill="1" applyBorder="1"/>
    <xf numFmtId="0" fontId="4" fillId="4" borderId="0" xfId="13" applyFont="1" applyFill="1">
      <alignment vertical="center"/>
    </xf>
    <xf numFmtId="2" fontId="81" fillId="4" borderId="6" xfId="0" applyNumberFormat="1" applyFont="1" applyFill="1" applyBorder="1" applyAlignment="1">
      <alignment horizontal="center" vertical="center"/>
    </xf>
    <xf numFmtId="0" fontId="14" fillId="4" borderId="0" xfId="257" applyFont="1" applyFill="1">
      <alignment vertical="center"/>
    </xf>
    <xf numFmtId="0" fontId="18" fillId="4" borderId="0" xfId="3" applyFont="1" applyFill="1" applyBorder="1" applyAlignment="1">
      <alignment horizontal="left" vertical="center"/>
    </xf>
    <xf numFmtId="0" fontId="82" fillId="3" borderId="6" xfId="0" applyFont="1" applyFill="1" applyBorder="1" applyAlignment="1">
      <alignment horizontal="center" vertical="center" wrapText="1"/>
    </xf>
    <xf numFmtId="0" fontId="18" fillId="4" borderId="0" xfId="5" applyFont="1" applyFill="1" applyBorder="1" applyAlignment="1">
      <alignment horizontal="center" vertical="center"/>
    </xf>
    <xf numFmtId="0" fontId="82" fillId="3" borderId="6" xfId="0" applyFont="1" applyFill="1" applyBorder="1" applyAlignment="1">
      <alignment horizontal="center" vertical="center"/>
    </xf>
    <xf numFmtId="0" fontId="82" fillId="3" borderId="6" xfId="0" applyFont="1" applyFill="1" applyBorder="1" applyAlignment="1">
      <alignment horizontal="center" vertical="top" wrapText="1"/>
    </xf>
    <xf numFmtId="2" fontId="4" fillId="0" borderId="6" xfId="13" applyNumberFormat="1" applyFont="1" applyFill="1" applyBorder="1" applyAlignment="1">
      <alignment horizontal="center" vertical="center"/>
    </xf>
    <xf numFmtId="0" fontId="18" fillId="4" borderId="0" xfId="3" applyFont="1" applyFill="1" applyBorder="1" applyAlignment="1">
      <alignment horizontal="center" vertical="top" wrapText="1"/>
    </xf>
    <xf numFmtId="0" fontId="81" fillId="0" borderId="6" xfId="0" applyFont="1" applyBorder="1" applyAlignment="1">
      <alignment vertical="center"/>
    </xf>
    <xf numFmtId="0" fontId="81" fillId="0" borderId="6" xfId="0" applyFont="1" applyBorder="1" applyAlignment="1">
      <alignment horizontal="center" vertical="center"/>
    </xf>
    <xf numFmtId="2" fontId="81" fillId="4" borderId="6" xfId="0" applyNumberFormat="1" applyFont="1" applyFill="1" applyBorder="1" applyAlignment="1">
      <alignment horizontal="center" vertical="center"/>
    </xf>
    <xf numFmtId="2" fontId="81" fillId="0" borderId="6" xfId="0" applyNumberFormat="1" applyFont="1" applyBorder="1" applyAlignment="1">
      <alignment horizontal="center" vertical="center"/>
    </xf>
    <xf numFmtId="0" fontId="4" fillId="4" borderId="6" xfId="0" applyFont="1" applyFill="1" applyBorder="1" applyAlignment="1">
      <alignment horizontal="center" vertical="center" wrapText="1"/>
    </xf>
    <xf numFmtId="0" fontId="81" fillId="0" borderId="6" xfId="0" applyFont="1" applyBorder="1" applyAlignment="1">
      <alignment horizontal="center" wrapText="1"/>
    </xf>
    <xf numFmtId="0" fontId="81" fillId="0" borderId="6" xfId="0" applyFont="1" applyBorder="1" applyAlignment="1">
      <alignment horizontal="center"/>
    </xf>
    <xf numFmtId="0" fontId="81" fillId="0" borderId="6" xfId="0" applyFont="1" applyBorder="1" applyAlignment="1">
      <alignment horizontal="center" vertical="center" wrapText="1"/>
    </xf>
    <xf numFmtId="9" fontId="82" fillId="0" borderId="6" xfId="0" applyNumberFormat="1" applyFont="1" applyBorder="1" applyAlignment="1">
      <alignment horizontal="center" vertical="center" shrinkToFit="1" readingOrder="1"/>
    </xf>
    <xf numFmtId="9" fontId="82" fillId="0" borderId="52" xfId="0" applyNumberFormat="1" applyFont="1" applyBorder="1" applyAlignment="1">
      <alignment horizontal="center" vertical="center" shrinkToFit="1" readingOrder="1"/>
    </xf>
    <xf numFmtId="10" fontId="82" fillId="0" borderId="52" xfId="1" applyNumberFormat="1" applyFont="1" applyBorder="1" applyAlignment="1">
      <alignment horizontal="center" vertical="center" shrinkToFit="1" readingOrder="1"/>
    </xf>
    <xf numFmtId="15" fontId="4" fillId="0" borderId="0" xfId="114" applyNumberFormat="1" applyFont="1" applyFill="1" applyBorder="1"/>
    <xf numFmtId="0" fontId="211" fillId="0" borderId="6" xfId="0" applyFont="1" applyBorder="1" applyAlignment="1">
      <alignment wrapText="1"/>
    </xf>
    <xf numFmtId="1" fontId="81" fillId="0" borderId="6" xfId="0" applyNumberFormat="1" applyFont="1" applyBorder="1" applyAlignment="1">
      <alignment horizontal="center" vertical="center"/>
    </xf>
    <xf numFmtId="0" fontId="18" fillId="4" borderId="0" xfId="3" applyFont="1" applyFill="1" applyBorder="1" applyAlignment="1">
      <alignment horizontal="center" vertical="center" wrapText="1"/>
    </xf>
    <xf numFmtId="0" fontId="4" fillId="4" borderId="0" xfId="0" applyFont="1" applyFill="1" applyBorder="1" applyAlignment="1">
      <alignment horizontal="center" vertical="center" wrapText="1"/>
    </xf>
    <xf numFmtId="0" fontId="4" fillId="4" borderId="0" xfId="0" applyFont="1" applyFill="1" applyBorder="1" applyAlignment="1">
      <alignment horizontal="left" vertical="center" wrapText="1"/>
    </xf>
    <xf numFmtId="2" fontId="4" fillId="4" borderId="0" xfId="0" applyNumberFormat="1" applyFont="1" applyFill="1" applyBorder="1" applyAlignment="1">
      <alignment horizontal="center" vertical="center" wrapText="1"/>
    </xf>
    <xf numFmtId="0" fontId="81" fillId="38" borderId="0" xfId="0" applyFont="1" applyFill="1" applyAlignment="1">
      <alignment vertical="center" wrapText="1"/>
    </xf>
    <xf numFmtId="0" fontId="81" fillId="38" borderId="0" xfId="0" applyFont="1" applyFill="1" applyAlignment="1">
      <alignment vertical="center"/>
    </xf>
    <xf numFmtId="0" fontId="82" fillId="0" borderId="0" xfId="0" applyFont="1" applyAlignment="1">
      <alignment vertical="center"/>
    </xf>
    <xf numFmtId="0" fontId="81" fillId="0" borderId="0" xfId="0" applyFont="1" applyAlignment="1">
      <alignment vertical="center" wrapText="1"/>
    </xf>
    <xf numFmtId="9" fontId="4" fillId="0" borderId="6" xfId="1" applyFont="1" applyFill="1" applyBorder="1" applyAlignment="1" applyProtection="1">
      <alignment horizontal="center" vertical="center" wrapText="1"/>
    </xf>
    <xf numFmtId="9" fontId="4" fillId="0" borderId="6" xfId="1" applyFont="1" applyFill="1" applyBorder="1" applyAlignment="1">
      <alignment horizontal="center" vertical="center"/>
    </xf>
    <xf numFmtId="10" fontId="81" fillId="4" borderId="6" xfId="1" applyNumberFormat="1" applyFont="1" applyFill="1" applyBorder="1" applyAlignment="1">
      <alignment horizontal="center"/>
    </xf>
    <xf numFmtId="190" fontId="81" fillId="0" borderId="6" xfId="1" applyNumberFormat="1" applyFont="1" applyBorder="1"/>
    <xf numFmtId="185" fontId="81" fillId="0" borderId="6" xfId="0" applyNumberFormat="1" applyFont="1" applyBorder="1" applyAlignment="1">
      <alignment horizontal="center"/>
    </xf>
    <xf numFmtId="187" fontId="81" fillId="0" borderId="6" xfId="0" applyNumberFormat="1" applyFont="1" applyBorder="1" applyAlignment="1">
      <alignment horizontal="center" vertical="center"/>
    </xf>
    <xf numFmtId="0" fontId="4" fillId="4" borderId="0" xfId="6" applyFont="1" applyFill="1" applyAlignment="1">
      <alignment vertical="center"/>
    </xf>
    <xf numFmtId="0" fontId="4" fillId="4" borderId="0" xfId="3" applyFont="1" applyFill="1" applyBorder="1" applyAlignment="1">
      <alignment horizontal="right" vertical="center"/>
    </xf>
    <xf numFmtId="0" fontId="18" fillId="4" borderId="0" xfId="3" applyFont="1" applyFill="1" applyBorder="1" applyAlignment="1">
      <alignment horizontal="right" vertical="center"/>
    </xf>
    <xf numFmtId="2" fontId="18" fillId="4" borderId="0" xfId="3" applyNumberFormat="1" applyFont="1" applyFill="1" applyBorder="1" applyAlignment="1">
      <alignment horizontal="right" vertical="center"/>
    </xf>
    <xf numFmtId="0" fontId="4" fillId="0" borderId="0" xfId="6" applyFont="1" applyAlignment="1">
      <alignment vertical="center"/>
    </xf>
    <xf numFmtId="40" fontId="4" fillId="4" borderId="0" xfId="6" applyNumberFormat="1" applyFont="1" applyFill="1" applyAlignment="1">
      <alignment vertical="center"/>
    </xf>
    <xf numFmtId="2" fontId="4" fillId="4" borderId="0" xfId="6" applyNumberFormat="1" applyFont="1" applyFill="1" applyAlignment="1">
      <alignment vertical="center"/>
    </xf>
    <xf numFmtId="2" fontId="18" fillId="0" borderId="6" xfId="6" applyNumberFormat="1" applyFont="1" applyFill="1" applyBorder="1" applyAlignment="1">
      <alignment vertical="center"/>
    </xf>
    <xf numFmtId="40" fontId="18" fillId="4" borderId="0" xfId="6" applyNumberFormat="1" applyFont="1" applyFill="1" applyAlignment="1">
      <alignment vertical="center"/>
    </xf>
    <xf numFmtId="0" fontId="18" fillId="4" borderId="0" xfId="6" applyFont="1" applyFill="1" applyAlignment="1">
      <alignment vertical="center"/>
    </xf>
    <xf numFmtId="0" fontId="18" fillId="0" borderId="6" xfId="13" applyFont="1" applyFill="1" applyBorder="1" applyAlignment="1">
      <alignment vertical="center"/>
    </xf>
    <xf numFmtId="2" fontId="18" fillId="0" borderId="6" xfId="13" applyNumberFormat="1" applyFont="1" applyFill="1" applyBorder="1" applyAlignment="1">
      <alignment vertical="center"/>
    </xf>
    <xf numFmtId="40" fontId="18" fillId="0" borderId="0" xfId="6" applyNumberFormat="1" applyFont="1" applyFill="1" applyAlignment="1">
      <alignment vertical="center"/>
    </xf>
    <xf numFmtId="0" fontId="18" fillId="0" borderId="0" xfId="6" applyFont="1" applyFill="1" applyAlignment="1">
      <alignment vertical="center"/>
    </xf>
    <xf numFmtId="2" fontId="4" fillId="0" borderId="0" xfId="6" applyNumberFormat="1" applyFont="1" applyFill="1" applyAlignment="1">
      <alignment vertical="center"/>
    </xf>
    <xf numFmtId="40" fontId="4" fillId="0" borderId="0" xfId="6" applyNumberFormat="1" applyFont="1" applyFill="1" applyAlignment="1">
      <alignment vertical="center"/>
    </xf>
    <xf numFmtId="0" fontId="4" fillId="0" borderId="0" xfId="6" applyFont="1" applyFill="1" applyAlignment="1">
      <alignment vertical="center"/>
    </xf>
    <xf numFmtId="0" fontId="18" fillId="0" borderId="6" xfId="6" applyFont="1" applyFill="1" applyBorder="1" applyAlignment="1">
      <alignment vertical="center"/>
    </xf>
    <xf numFmtId="0" fontId="4" fillId="4" borderId="0" xfId="6" applyFont="1" applyFill="1" applyBorder="1" applyAlignment="1">
      <alignment vertical="center"/>
    </xf>
    <xf numFmtId="4" fontId="4" fillId="4" borderId="0" xfId="3" applyNumberFormat="1" applyFont="1" applyFill="1" applyBorder="1" applyAlignment="1">
      <alignment horizontal="right" vertical="center"/>
    </xf>
    <xf numFmtId="2" fontId="4" fillId="4" borderId="0" xfId="3" applyNumberFormat="1" applyFont="1" applyFill="1" applyBorder="1" applyAlignment="1">
      <alignment horizontal="right" vertical="center"/>
    </xf>
    <xf numFmtId="0" fontId="111" fillId="4" borderId="0" xfId="3" applyFont="1" applyFill="1" applyBorder="1" applyAlignment="1">
      <alignment vertical="center"/>
    </xf>
    <xf numFmtId="0" fontId="18" fillId="4" borderId="0" xfId="3" applyFont="1" applyFill="1" applyBorder="1" applyAlignment="1">
      <alignment horizontal="center" vertical="top"/>
    </xf>
    <xf numFmtId="0" fontId="18" fillId="3" borderId="6" xfId="6" applyFont="1" applyFill="1" applyBorder="1" applyAlignment="1">
      <alignment horizontal="center" vertical="center"/>
    </xf>
    <xf numFmtId="0" fontId="82" fillId="3" borderId="6" xfId="0" applyFont="1" applyFill="1" applyBorder="1" applyAlignment="1">
      <alignment horizontal="center" vertical="center" wrapText="1"/>
    </xf>
    <xf numFmtId="0" fontId="82" fillId="3" borderId="6" xfId="0" applyFont="1" applyFill="1" applyBorder="1" applyAlignment="1">
      <alignment horizontal="center" vertical="center"/>
    </xf>
    <xf numFmtId="0" fontId="82" fillId="0" borderId="6" xfId="0" applyFont="1" applyBorder="1" applyAlignment="1">
      <alignment horizontal="center"/>
    </xf>
    <xf numFmtId="0" fontId="82" fillId="3" borderId="52" xfId="0" applyFont="1" applyFill="1" applyBorder="1" applyAlignment="1">
      <alignment horizontal="center" vertical="center"/>
    </xf>
    <xf numFmtId="0" fontId="117" fillId="3" borderId="6" xfId="0" applyFont="1" applyFill="1" applyBorder="1" applyAlignment="1">
      <alignment horizontal="center" vertical="center" wrapText="1"/>
    </xf>
    <xf numFmtId="0" fontId="82" fillId="0" borderId="0" xfId="0" applyFont="1" applyBorder="1" applyAlignment="1">
      <alignment horizontal="center" wrapText="1"/>
    </xf>
    <xf numFmtId="0" fontId="81" fillId="0" borderId="6" xfId="0" applyFont="1" applyBorder="1" applyAlignment="1">
      <alignment vertical="center"/>
    </xf>
    <xf numFmtId="0" fontId="3" fillId="3" borderId="6" xfId="0" applyFont="1" applyFill="1" applyBorder="1" applyAlignment="1">
      <alignment horizontal="center" vertical="center"/>
    </xf>
    <xf numFmtId="0" fontId="81" fillId="0" borderId="6" xfId="0" applyFont="1" applyBorder="1" applyAlignment="1">
      <alignment horizontal="center" vertical="center"/>
    </xf>
    <xf numFmtId="0" fontId="81" fillId="0" borderId="0" xfId="0" applyFont="1" applyBorder="1" applyAlignment="1">
      <alignment horizontal="center" vertical="center"/>
    </xf>
    <xf numFmtId="1" fontId="81" fillId="0" borderId="52" xfId="0" applyNumberFormat="1" applyFont="1" applyBorder="1" applyAlignment="1">
      <alignment horizontal="center" vertical="center"/>
    </xf>
    <xf numFmtId="1" fontId="81" fillId="0" borderId="8" xfId="0" applyNumberFormat="1" applyFont="1" applyBorder="1" applyAlignment="1">
      <alignment horizontal="center" vertical="center"/>
    </xf>
    <xf numFmtId="0" fontId="116" fillId="0" borderId="6" xfId="0" applyFont="1" applyBorder="1" applyAlignment="1">
      <alignment horizontal="center"/>
    </xf>
    <xf numFmtId="0" fontId="116" fillId="0" borderId="6" xfId="0" applyFont="1" applyBorder="1" applyAlignment="1">
      <alignment horizontal="center" vertical="center"/>
    </xf>
    <xf numFmtId="0" fontId="117" fillId="3" borderId="6" xfId="0" applyFont="1" applyFill="1" applyBorder="1" applyAlignment="1">
      <alignment horizontal="center" vertical="center"/>
    </xf>
    <xf numFmtId="0" fontId="117" fillId="0" borderId="6" xfId="0" applyFont="1" applyBorder="1" applyAlignment="1">
      <alignment horizontal="center" vertical="center"/>
    </xf>
    <xf numFmtId="0" fontId="3" fillId="3" borderId="6" xfId="0" applyFont="1" applyFill="1" applyBorder="1" applyAlignment="1">
      <alignment horizontal="center" vertical="center" wrapText="1"/>
    </xf>
    <xf numFmtId="0" fontId="81" fillId="0" borderId="6" xfId="0" applyFont="1" applyBorder="1" applyAlignment="1">
      <alignment horizontal="center"/>
    </xf>
    <xf numFmtId="0" fontId="3" fillId="0" borderId="6" xfId="0" applyFont="1" applyBorder="1" applyAlignment="1">
      <alignment horizontal="center"/>
    </xf>
    <xf numFmtId="0" fontId="17" fillId="0" borderId="6" xfId="0" applyFont="1" applyBorder="1" applyAlignment="1">
      <alignment horizontal="left"/>
    </xf>
    <xf numFmtId="0" fontId="116" fillId="0" borderId="0" xfId="0" applyFont="1" applyBorder="1" applyAlignment="1">
      <alignment horizontal="center"/>
    </xf>
    <xf numFmtId="0" fontId="117" fillId="3" borderId="54" xfId="0" applyFont="1" applyFill="1" applyBorder="1" applyAlignment="1">
      <alignment horizontal="center" vertical="center"/>
    </xf>
    <xf numFmtId="0" fontId="117" fillId="3" borderId="56" xfId="0" applyFont="1" applyFill="1" applyBorder="1" applyAlignment="1">
      <alignment horizontal="center" vertical="center"/>
    </xf>
    <xf numFmtId="0" fontId="82" fillId="0" borderId="6" xfId="0" applyFont="1" applyBorder="1" applyAlignment="1">
      <alignment horizontal="center" vertical="center"/>
    </xf>
    <xf numFmtId="0" fontId="0" fillId="0" borderId="8" xfId="0" applyBorder="1"/>
    <xf numFmtId="0" fontId="82" fillId="0" borderId="6" xfId="0" applyFont="1" applyBorder="1" applyAlignment="1">
      <alignment horizontal="center"/>
    </xf>
    <xf numFmtId="0" fontId="82" fillId="3" borderId="6" xfId="0" applyFont="1" applyFill="1" applyBorder="1" applyAlignment="1">
      <alignment horizontal="center" vertical="center" wrapText="1"/>
    </xf>
    <xf numFmtId="0" fontId="81" fillId="0" borderId="6" xfId="0" applyFont="1" applyBorder="1" applyAlignment="1">
      <alignment vertical="center"/>
    </xf>
    <xf numFmtId="0" fontId="81" fillId="0" borderId="6" xfId="0" applyFont="1" applyBorder="1" applyAlignment="1">
      <alignment horizontal="center" vertical="center"/>
    </xf>
    <xf numFmtId="0" fontId="116" fillId="0" borderId="6" xfId="0" applyFont="1" applyBorder="1" applyAlignment="1">
      <alignment horizontal="center" vertical="center"/>
    </xf>
    <xf numFmtId="0" fontId="117" fillId="0" borderId="6" xfId="0" applyFont="1" applyBorder="1" applyAlignment="1">
      <alignment horizontal="center" vertical="center"/>
    </xf>
    <xf numFmtId="0" fontId="82" fillId="0" borderId="6" xfId="0" applyFont="1" applyBorder="1" applyAlignment="1">
      <alignment horizontal="center" vertical="center"/>
    </xf>
    <xf numFmtId="0" fontId="177" fillId="0" borderId="0" xfId="121" applyFont="1" applyFill="1" applyBorder="1"/>
    <xf numFmtId="0" fontId="212" fillId="0" borderId="0" xfId="5" applyFont="1" applyFill="1" applyBorder="1" applyAlignment="1">
      <alignment vertical="center" wrapText="1"/>
    </xf>
    <xf numFmtId="165" fontId="212" fillId="0" borderId="0" xfId="121" applyNumberFormat="1" applyFont="1" applyFill="1" applyBorder="1" applyAlignment="1">
      <alignment vertical="center"/>
    </xf>
    <xf numFmtId="0" fontId="212" fillId="0" borderId="0" xfId="121" applyNumberFormat="1" applyFont="1" applyFill="1" applyBorder="1" applyAlignment="1">
      <alignment horizontal="center" vertical="center"/>
    </xf>
    <xf numFmtId="0" fontId="212" fillId="0" borderId="0" xfId="121" applyFont="1" applyFill="1" applyBorder="1" applyAlignment="1">
      <alignment horizontal="center" vertical="center"/>
    </xf>
    <xf numFmtId="0" fontId="212" fillId="0" borderId="0" xfId="121" applyFont="1" applyFill="1" applyBorder="1" applyAlignment="1">
      <alignment vertical="center"/>
    </xf>
    <xf numFmtId="0" fontId="177" fillId="0" borderId="56" xfId="121" applyFont="1" applyFill="1" applyBorder="1"/>
    <xf numFmtId="0" fontId="177" fillId="0" borderId="6" xfId="121" applyFont="1" applyFill="1" applyBorder="1"/>
    <xf numFmtId="0" fontId="212" fillId="0" borderId="6" xfId="121" applyFont="1" applyFill="1" applyBorder="1"/>
    <xf numFmtId="10" fontId="177" fillId="0" borderId="0" xfId="121" applyNumberFormat="1" applyFont="1" applyFill="1" applyBorder="1"/>
    <xf numFmtId="10" fontId="177" fillId="0" borderId="56" xfId="121" applyNumberFormat="1" applyFont="1" applyFill="1" applyBorder="1"/>
    <xf numFmtId="9" fontId="177" fillId="0" borderId="6" xfId="121" applyNumberFormat="1" applyFont="1" applyFill="1" applyBorder="1"/>
    <xf numFmtId="165" fontId="177" fillId="0" borderId="0" xfId="121" applyNumberFormat="1" applyFont="1" applyFill="1" applyBorder="1" applyAlignment="1">
      <alignment horizontal="left"/>
    </xf>
    <xf numFmtId="1" fontId="177" fillId="0" borderId="0" xfId="121" applyNumberFormat="1" applyFont="1" applyFill="1" applyBorder="1" applyAlignment="1">
      <alignment horizontal="right"/>
    </xf>
    <xf numFmtId="9" fontId="177" fillId="0" borderId="0" xfId="121" applyNumberFormat="1" applyFont="1" applyFill="1" applyBorder="1"/>
    <xf numFmtId="0" fontId="212" fillId="0" borderId="0" xfId="121" applyFont="1" applyFill="1" applyBorder="1" applyAlignment="1">
      <alignment horizontal="left" vertical="center"/>
    </xf>
    <xf numFmtId="0" fontId="212" fillId="0" borderId="0" xfId="121" applyFont="1" applyFill="1" applyBorder="1" applyAlignment="1">
      <alignment horizontal="right" vertical="center"/>
    </xf>
    <xf numFmtId="0" fontId="15" fillId="3" borderId="6" xfId="78" applyFont="1" applyFill="1" applyBorder="1" applyAlignment="1">
      <alignment horizontal="center" vertical="center" wrapText="1"/>
    </xf>
    <xf numFmtId="0" fontId="212" fillId="0" borderId="6" xfId="78" applyFont="1" applyFill="1" applyBorder="1" applyAlignment="1">
      <alignment horizontal="left" vertical="center"/>
    </xf>
    <xf numFmtId="0" fontId="177" fillId="0" borderId="6" xfId="78" applyFont="1" applyFill="1" applyBorder="1" applyAlignment="1">
      <alignment horizontal="left" vertical="center"/>
    </xf>
    <xf numFmtId="0" fontId="177" fillId="0" borderId="6" xfId="78" applyFont="1" applyFill="1" applyBorder="1" applyAlignment="1">
      <alignment horizontal="center" vertical="center" wrapText="1"/>
    </xf>
    <xf numFmtId="2" fontId="177" fillId="0" borderId="6" xfId="78" applyNumberFormat="1" applyFont="1" applyFill="1" applyBorder="1" applyAlignment="1">
      <alignment horizontal="right" vertical="center" wrapText="1"/>
    </xf>
    <xf numFmtId="0" fontId="177" fillId="0" borderId="6" xfId="78" applyFont="1" applyFill="1" applyBorder="1" applyAlignment="1">
      <alignment horizontal="right" vertical="center"/>
    </xf>
    <xf numFmtId="2" fontId="177" fillId="0" borderId="6" xfId="78" applyNumberFormat="1" applyFont="1" applyFill="1" applyBorder="1" applyAlignment="1">
      <alignment horizontal="right" vertical="center"/>
    </xf>
    <xf numFmtId="2" fontId="177" fillId="0" borderId="0" xfId="121" applyNumberFormat="1" applyFont="1" applyFill="1" applyBorder="1"/>
    <xf numFmtId="0" fontId="177" fillId="0" borderId="6" xfId="78" applyFont="1" applyFill="1" applyBorder="1" applyAlignment="1">
      <alignment horizontal="center" vertical="center"/>
    </xf>
    <xf numFmtId="0" fontId="177" fillId="0" borderId="6" xfId="78" applyFont="1" applyFill="1" applyBorder="1" applyAlignment="1">
      <alignment horizontal="left" vertical="center" wrapText="1"/>
    </xf>
    <xf numFmtId="0" fontId="212" fillId="0" borderId="6" xfId="78" applyFont="1" applyFill="1" applyBorder="1"/>
    <xf numFmtId="0" fontId="177" fillId="0" borderId="6" xfId="78" applyFont="1" applyFill="1" applyBorder="1"/>
    <xf numFmtId="164" fontId="212" fillId="0" borderId="6" xfId="486" applyNumberFormat="1" applyFont="1" applyFill="1" applyBorder="1"/>
    <xf numFmtId="0" fontId="212" fillId="3" borderId="6" xfId="121" applyFont="1" applyFill="1" applyBorder="1"/>
    <xf numFmtId="1" fontId="177" fillId="0" borderId="6" xfId="121" applyNumberFormat="1" applyFont="1" applyFill="1" applyBorder="1"/>
    <xf numFmtId="1" fontId="212" fillId="0" borderId="6" xfId="121" applyNumberFormat="1" applyFont="1" applyFill="1" applyBorder="1"/>
    <xf numFmtId="0" fontId="0" fillId="0" borderId="0" xfId="0" applyFont="1" applyAlignment="1">
      <alignment horizontal="right"/>
    </xf>
    <xf numFmtId="0" fontId="3" fillId="0" borderId="20" xfId="0" applyFont="1" applyBorder="1" applyAlignment="1"/>
    <xf numFmtId="0" fontId="117" fillId="3" borderId="6" xfId="0" applyFont="1" applyFill="1" applyBorder="1" applyAlignment="1">
      <alignment vertical="center"/>
    </xf>
    <xf numFmtId="0" fontId="3" fillId="3" borderId="6" xfId="0" applyFont="1" applyFill="1" applyBorder="1" applyAlignment="1">
      <alignment horizontal="right" vertical="center"/>
    </xf>
    <xf numFmtId="0" fontId="3" fillId="3" borderId="6" xfId="0" applyFont="1" applyFill="1" applyBorder="1" applyAlignment="1">
      <alignment horizontal="right" vertical="center" wrapText="1"/>
    </xf>
    <xf numFmtId="0" fontId="0" fillId="0" borderId="0" xfId="0" applyFont="1" applyAlignment="1">
      <alignment vertical="center"/>
    </xf>
    <xf numFmtId="2" fontId="0" fillId="0" borderId="52" xfId="0" applyNumberFormat="1" applyFont="1" applyBorder="1" applyAlignment="1">
      <alignment vertical="center"/>
    </xf>
    <xf numFmtId="0" fontId="0" fillId="0" borderId="6" xfId="0" applyFont="1" applyBorder="1" applyAlignment="1">
      <alignment horizontal="right"/>
    </xf>
    <xf numFmtId="2" fontId="0" fillId="0" borderId="6" xfId="0" applyNumberFormat="1" applyFont="1" applyBorder="1" applyAlignment="1">
      <alignment horizontal="right"/>
    </xf>
    <xf numFmtId="9" fontId="0" fillId="0" borderId="0" xfId="0" applyNumberFormat="1" applyFont="1"/>
    <xf numFmtId="0" fontId="0" fillId="0" borderId="52" xfId="0" applyFont="1" applyBorder="1" applyAlignment="1">
      <alignment vertical="center"/>
    </xf>
    <xf numFmtId="10" fontId="0" fillId="31" borderId="6" xfId="0" applyNumberFormat="1" applyFont="1" applyFill="1" applyBorder="1"/>
    <xf numFmtId="165" fontId="0" fillId="4" borderId="6" xfId="142" applyNumberFormat="1" applyFont="1" applyFill="1" applyBorder="1"/>
    <xf numFmtId="2" fontId="3" fillId="0" borderId="6" xfId="0" applyNumberFormat="1" applyFont="1" applyBorder="1" applyAlignment="1">
      <alignment horizontal="right"/>
    </xf>
    <xf numFmtId="2" fontId="3" fillId="0" borderId="0" xfId="0" applyNumberFormat="1" applyFont="1" applyBorder="1" applyAlignment="1">
      <alignment horizontal="right"/>
    </xf>
    <xf numFmtId="0" fontId="0" fillId="0" borderId="0" xfId="0" applyFont="1" applyBorder="1" applyAlignment="1">
      <alignment horizontal="right"/>
    </xf>
    <xf numFmtId="1" fontId="3" fillId="0" borderId="0" xfId="0" applyNumberFormat="1" applyFont="1" applyBorder="1" applyAlignment="1">
      <alignment horizontal="right"/>
    </xf>
    <xf numFmtId="0" fontId="15" fillId="0" borderId="6" xfId="78" applyFont="1" applyFill="1" applyBorder="1" applyAlignment="1">
      <alignment horizontal="left" vertical="center"/>
    </xf>
    <xf numFmtId="0" fontId="16" fillId="0" borderId="6" xfId="78" applyFont="1" applyFill="1" applyBorder="1" applyAlignment="1">
      <alignment horizontal="left" vertical="center"/>
    </xf>
    <xf numFmtId="0" fontId="16" fillId="0" borderId="6" xfId="78" applyFont="1" applyFill="1" applyBorder="1" applyAlignment="1">
      <alignment horizontal="center" vertical="center" wrapText="1"/>
    </xf>
    <xf numFmtId="0" fontId="16" fillId="0" borderId="6" xfId="121" applyFont="1" applyFill="1" applyBorder="1" applyAlignment="1">
      <alignment horizontal="center"/>
    </xf>
    <xf numFmtId="2" fontId="0" fillId="0" borderId="6" xfId="0" applyNumberFormat="1" applyFont="1" applyBorder="1" applyAlignment="1">
      <alignment horizontal="center" vertical="center"/>
    </xf>
    <xf numFmtId="1" fontId="0" fillId="0" borderId="6" xfId="0" applyNumberFormat="1" applyFont="1" applyBorder="1" applyAlignment="1">
      <alignment horizontal="center" vertical="center"/>
    </xf>
    <xf numFmtId="2" fontId="0" fillId="0" borderId="6" xfId="0" applyNumberFormat="1" applyFont="1" applyBorder="1" applyAlignment="1">
      <alignment horizontal="center"/>
    </xf>
    <xf numFmtId="0" fontId="16" fillId="0" borderId="6" xfId="78" applyFont="1" applyFill="1" applyBorder="1" applyAlignment="1">
      <alignment horizontal="center" vertical="center"/>
    </xf>
    <xf numFmtId="0" fontId="16" fillId="0" borderId="6" xfId="78" applyFont="1" applyFill="1" applyBorder="1" applyAlignment="1">
      <alignment horizontal="left" vertical="center" wrapText="1"/>
    </xf>
    <xf numFmtId="1" fontId="0" fillId="0" borderId="0" xfId="0" applyNumberFormat="1" applyFont="1" applyAlignment="1">
      <alignment horizontal="center"/>
    </xf>
    <xf numFmtId="0" fontId="15" fillId="0" borderId="6" xfId="78" applyFont="1" applyFill="1" applyBorder="1"/>
    <xf numFmtId="0" fontId="16" fillId="0" borderId="6" xfId="78" applyFont="1" applyFill="1" applyBorder="1"/>
    <xf numFmtId="1" fontId="3" fillId="0" borderId="6" xfId="0" applyNumberFormat="1" applyFont="1" applyBorder="1" applyAlignment="1">
      <alignment horizontal="center" vertical="center"/>
    </xf>
    <xf numFmtId="2" fontId="3" fillId="0" borderId="6" xfId="0" applyNumberFormat="1" applyFont="1" applyBorder="1" applyAlignment="1">
      <alignment horizontal="center" vertical="center"/>
    </xf>
    <xf numFmtId="0" fontId="117" fillId="0" borderId="0" xfId="0" applyFont="1" applyBorder="1" applyAlignment="1"/>
    <xf numFmtId="9" fontId="3" fillId="0" borderId="0" xfId="0" applyNumberFormat="1" applyFont="1"/>
    <xf numFmtId="1" fontId="0" fillId="0" borderId="6" xfId="0" applyNumberFormat="1" applyFont="1" applyBorder="1" applyAlignment="1">
      <alignment vertical="center"/>
    </xf>
    <xf numFmtId="1" fontId="0" fillId="0" borderId="6" xfId="0" applyNumberFormat="1" applyFont="1" applyBorder="1" applyAlignment="1">
      <alignment horizontal="center"/>
    </xf>
    <xf numFmtId="1" fontId="0" fillId="0" borderId="6" xfId="0" applyNumberFormat="1" applyFont="1" applyBorder="1" applyAlignment="1">
      <alignment horizontal="right"/>
    </xf>
    <xf numFmtId="0" fontId="0" fillId="61" borderId="0" xfId="0" applyFont="1" applyFill="1"/>
    <xf numFmtId="0" fontId="0" fillId="61" borderId="0" xfId="0" applyFont="1" applyFill="1" applyAlignment="1">
      <alignment horizontal="right"/>
    </xf>
    <xf numFmtId="0" fontId="117" fillId="61" borderId="0" xfId="0" applyFont="1" applyFill="1" applyBorder="1" applyAlignment="1">
      <alignment horizontal="left"/>
    </xf>
    <xf numFmtId="0" fontId="3" fillId="61" borderId="0" xfId="0" applyFont="1" applyFill="1" applyAlignment="1">
      <alignment horizontal="left"/>
    </xf>
    <xf numFmtId="0" fontId="117" fillId="61" borderId="6" xfId="0" applyFont="1" applyFill="1" applyBorder="1" applyAlignment="1">
      <alignment horizontal="center" vertical="center"/>
    </xf>
    <xf numFmtId="0" fontId="0" fillId="61" borderId="6" xfId="0" applyFont="1" applyFill="1" applyBorder="1" applyAlignment="1">
      <alignment horizontal="center"/>
    </xf>
    <xf numFmtId="0" fontId="15" fillId="61" borderId="6" xfId="78" applyFont="1" applyFill="1" applyBorder="1" applyAlignment="1">
      <alignment horizontal="left" vertical="center"/>
    </xf>
    <xf numFmtId="0" fontId="0" fillId="61" borderId="6" xfId="0" applyFont="1" applyFill="1" applyBorder="1" applyAlignment="1">
      <alignment horizontal="center" vertical="center"/>
    </xf>
    <xf numFmtId="0" fontId="0" fillId="61" borderId="6" xfId="0" applyFont="1" applyFill="1" applyBorder="1" applyAlignment="1">
      <alignment horizontal="right"/>
    </xf>
    <xf numFmtId="0" fontId="0" fillId="61" borderId="6" xfId="0" applyFont="1" applyFill="1" applyBorder="1"/>
    <xf numFmtId="0" fontId="16" fillId="61" borderId="6" xfId="78" applyFont="1" applyFill="1" applyBorder="1" applyAlignment="1">
      <alignment horizontal="left" vertical="center"/>
    </xf>
    <xf numFmtId="0" fontId="16" fillId="61" borderId="6" xfId="78" applyFont="1" applyFill="1" applyBorder="1" applyAlignment="1">
      <alignment horizontal="center" vertical="center" wrapText="1"/>
    </xf>
    <xf numFmtId="1" fontId="0" fillId="61" borderId="6" xfId="0" applyNumberFormat="1" applyFont="1" applyFill="1" applyBorder="1" applyAlignment="1">
      <alignment horizontal="center" vertical="center"/>
    </xf>
    <xf numFmtId="2" fontId="0" fillId="61" borderId="6" xfId="0" applyNumberFormat="1" applyFont="1" applyFill="1" applyBorder="1" applyAlignment="1">
      <alignment horizontal="center" vertical="center"/>
    </xf>
    <xf numFmtId="0" fontId="16" fillId="61" borderId="6" xfId="78" applyFont="1" applyFill="1" applyBorder="1" applyAlignment="1">
      <alignment horizontal="center" vertical="center"/>
    </xf>
    <xf numFmtId="0" fontId="16" fillId="61" borderId="6" xfId="78" applyFont="1" applyFill="1" applyBorder="1" applyAlignment="1">
      <alignment horizontal="left" vertical="center" wrapText="1"/>
    </xf>
    <xf numFmtId="0" fontId="3" fillId="61" borderId="6" xfId="0" applyFont="1" applyFill="1" applyBorder="1" applyAlignment="1">
      <alignment horizontal="center"/>
    </xf>
    <xf numFmtId="0" fontId="15" fillId="61" borderId="6" xfId="78" applyFont="1" applyFill="1" applyBorder="1"/>
    <xf numFmtId="0" fontId="3" fillId="61" borderId="0" xfId="0" applyFont="1" applyFill="1"/>
    <xf numFmtId="1" fontId="3" fillId="61" borderId="6" xfId="0" applyNumberFormat="1" applyFont="1" applyFill="1" applyBorder="1" applyAlignment="1">
      <alignment horizontal="center" vertical="center"/>
    </xf>
    <xf numFmtId="2" fontId="3" fillId="61" borderId="6" xfId="0" applyNumberFormat="1" applyFont="1" applyFill="1" applyBorder="1" applyAlignment="1">
      <alignment horizontal="center" vertical="center"/>
    </xf>
    <xf numFmtId="0" fontId="177" fillId="0" borderId="0" xfId="78" applyFont="1" applyFill="1" applyBorder="1"/>
    <xf numFmtId="0" fontId="9" fillId="0" borderId="0" xfId="78" applyFont="1" applyFill="1"/>
    <xf numFmtId="0" fontId="213" fillId="0" borderId="6" xfId="5" applyFont="1" applyFill="1" applyBorder="1" applyAlignment="1">
      <alignment horizontal="center" vertical="center" wrapText="1"/>
    </xf>
    <xf numFmtId="165" fontId="214" fillId="0" borderId="6" xfId="121" applyNumberFormat="1" applyFont="1" applyFill="1" applyBorder="1" applyAlignment="1">
      <alignment horizontal="left" vertical="center" wrapText="1"/>
    </xf>
    <xf numFmtId="199" fontId="215" fillId="0" borderId="6" xfId="78" applyNumberFormat="1" applyFont="1" applyFill="1" applyBorder="1"/>
    <xf numFmtId="170" fontId="215" fillId="0" borderId="6" xfId="78" applyNumberFormat="1" applyFont="1" applyFill="1" applyBorder="1"/>
    <xf numFmtId="170" fontId="215" fillId="0" borderId="6" xfId="7" applyNumberFormat="1" applyFont="1" applyFill="1" applyBorder="1" applyAlignment="1">
      <alignment horizontal="left"/>
    </xf>
    <xf numFmtId="170" fontId="215" fillId="0" borderId="6" xfId="7" applyNumberFormat="1" applyFont="1" applyFill="1" applyBorder="1" applyAlignment="1">
      <alignment horizontal="right"/>
    </xf>
    <xf numFmtId="170" fontId="215" fillId="0" borderId="6" xfId="78" applyNumberFormat="1" applyFont="1" applyFill="1" applyBorder="1" applyAlignment="1">
      <alignment horizontal="right"/>
    </xf>
    <xf numFmtId="2" fontId="177" fillId="0" borderId="12" xfId="78" applyNumberFormat="1" applyFont="1" applyFill="1" applyBorder="1"/>
    <xf numFmtId="2" fontId="177" fillId="0" borderId="59" xfId="78" applyNumberFormat="1" applyFont="1" applyFill="1" applyBorder="1"/>
    <xf numFmtId="10" fontId="177" fillId="0" borderId="13" xfId="78" applyNumberFormat="1" applyFont="1" applyFill="1" applyBorder="1"/>
    <xf numFmtId="165" fontId="214" fillId="0" borderId="6" xfId="121" applyNumberFormat="1" applyFont="1" applyFill="1" applyBorder="1" applyAlignment="1">
      <alignment horizontal="left"/>
    </xf>
    <xf numFmtId="1" fontId="214" fillId="0" borderId="6" xfId="121" applyNumberFormat="1" applyFont="1" applyFill="1" applyBorder="1" applyAlignment="1">
      <alignment horizontal="left"/>
    </xf>
    <xf numFmtId="2" fontId="177" fillId="0" borderId="106" xfId="78" applyNumberFormat="1" applyFont="1" applyFill="1" applyBorder="1"/>
    <xf numFmtId="2" fontId="177" fillId="0" borderId="0" xfId="78" applyNumberFormat="1" applyFont="1" applyFill="1" applyBorder="1"/>
    <xf numFmtId="10" fontId="177" fillId="0" borderId="14" xfId="78" applyNumberFormat="1" applyFont="1" applyFill="1" applyBorder="1"/>
    <xf numFmtId="165" fontId="215" fillId="0" borderId="6" xfId="142" applyNumberFormat="1" applyFont="1" applyFill="1" applyBorder="1"/>
    <xf numFmtId="1" fontId="216" fillId="0" borderId="6" xfId="78" applyNumberFormat="1" applyFont="1" applyFill="1" applyBorder="1"/>
    <xf numFmtId="199" fontId="216" fillId="0" borderId="6" xfId="78" applyNumberFormat="1" applyFont="1" applyFill="1" applyBorder="1"/>
    <xf numFmtId="170" fontId="216" fillId="0" borderId="6" xfId="78" applyNumberFormat="1" applyFont="1" applyFill="1" applyBorder="1"/>
    <xf numFmtId="0" fontId="217" fillId="0" borderId="6" xfId="5" applyFont="1" applyFill="1" applyBorder="1" applyAlignment="1">
      <alignment vertical="center" wrapText="1"/>
    </xf>
    <xf numFmtId="1" fontId="215" fillId="0" borderId="6" xfId="78" applyNumberFormat="1" applyFont="1" applyFill="1" applyBorder="1"/>
    <xf numFmtId="165" fontId="214" fillId="0" borderId="6" xfId="121" applyNumberFormat="1" applyFont="1" applyFill="1" applyBorder="1" applyAlignment="1" applyProtection="1">
      <alignment horizontal="left" vertical="center" wrapText="1"/>
    </xf>
    <xf numFmtId="2" fontId="177" fillId="0" borderId="14" xfId="78" applyNumberFormat="1" applyFont="1" applyFill="1" applyBorder="1"/>
    <xf numFmtId="165" fontId="217" fillId="0" borderId="6" xfId="121" applyNumberFormat="1" applyFont="1" applyFill="1" applyBorder="1" applyAlignment="1" applyProtection="1">
      <alignment horizontal="left" vertical="center" wrapText="1"/>
    </xf>
    <xf numFmtId="0" fontId="216" fillId="0" borderId="6" xfId="78" applyFont="1" applyFill="1" applyBorder="1" applyAlignment="1">
      <alignment horizontal="left"/>
    </xf>
    <xf numFmtId="170" fontId="15" fillId="0" borderId="6" xfId="78" applyNumberFormat="1" applyFont="1" applyFill="1" applyBorder="1"/>
    <xf numFmtId="170" fontId="216" fillId="0" borderId="6" xfId="7" applyNumberFormat="1" applyFont="1" applyFill="1" applyBorder="1" applyAlignment="1">
      <alignment horizontal="left"/>
    </xf>
    <xf numFmtId="170" fontId="216" fillId="0" borderId="6" xfId="7" applyNumberFormat="1" applyFont="1" applyFill="1" applyBorder="1" applyAlignment="1">
      <alignment horizontal="right"/>
    </xf>
    <xf numFmtId="170" fontId="216" fillId="0" borderId="6" xfId="78" applyNumberFormat="1" applyFont="1" applyFill="1" applyBorder="1" applyAlignment="1">
      <alignment horizontal="right"/>
    </xf>
    <xf numFmtId="2" fontId="177" fillId="0" borderId="15" xfId="78" applyNumberFormat="1" applyFont="1" applyFill="1" applyBorder="1"/>
    <xf numFmtId="2" fontId="177" fillId="0" borderId="17" xfId="78" applyNumberFormat="1" applyFont="1" applyFill="1" applyBorder="1"/>
    <xf numFmtId="2" fontId="177" fillId="0" borderId="16" xfId="78" applyNumberFormat="1" applyFont="1" applyFill="1" applyBorder="1"/>
    <xf numFmtId="0" fontId="9" fillId="0" borderId="0" xfId="78" applyFont="1" applyFill="1" applyAlignment="1">
      <alignment horizontal="right"/>
    </xf>
    <xf numFmtId="0" fontId="116" fillId="0" borderId="0" xfId="112" applyFont="1"/>
    <xf numFmtId="2" fontId="116" fillId="0" borderId="6" xfId="0" applyNumberFormat="1" applyFont="1" applyBorder="1" applyAlignment="1">
      <alignment vertical="center"/>
    </xf>
    <xf numFmtId="0" fontId="117" fillId="0" borderId="0" xfId="112" applyFont="1"/>
    <xf numFmtId="0" fontId="116" fillId="0" borderId="6" xfId="112" applyFont="1" applyBorder="1"/>
    <xf numFmtId="10" fontId="116" fillId="0" borderId="6" xfId="1" applyNumberFormat="1" applyFont="1" applyBorder="1"/>
    <xf numFmtId="2" fontId="116" fillId="0" borderId="6" xfId="112" applyNumberFormat="1" applyFont="1" applyBorder="1"/>
    <xf numFmtId="0" fontId="117" fillId="0" borderId="6" xfId="112" applyFont="1" applyBorder="1"/>
    <xf numFmtId="2" fontId="117" fillId="0" borderId="6" xfId="112" applyNumberFormat="1" applyFont="1" applyBorder="1"/>
    <xf numFmtId="1" fontId="116" fillId="0" borderId="6" xfId="112" applyNumberFormat="1" applyFont="1" applyBorder="1"/>
    <xf numFmtId="0" fontId="116" fillId="0" borderId="0" xfId="112" applyFont="1" applyBorder="1"/>
    <xf numFmtId="0" fontId="116" fillId="61" borderId="0" xfId="112" applyFont="1" applyFill="1"/>
    <xf numFmtId="0" fontId="117" fillId="61" borderId="0" xfId="112" applyFont="1" applyFill="1"/>
    <xf numFmtId="0" fontId="117" fillId="61" borderId="6" xfId="112" applyFont="1" applyFill="1" applyBorder="1" applyAlignment="1">
      <alignment horizontal="center" vertical="center"/>
    </xf>
    <xf numFmtId="0" fontId="116" fillId="61" borderId="6" xfId="112" applyFont="1" applyFill="1" applyBorder="1"/>
    <xf numFmtId="2" fontId="116" fillId="61" borderId="6" xfId="112" applyNumberFormat="1" applyFont="1" applyFill="1" applyBorder="1"/>
    <xf numFmtId="0" fontId="117" fillId="61" borderId="6" xfId="112" applyFont="1" applyFill="1" applyBorder="1"/>
    <xf numFmtId="2" fontId="117" fillId="61" borderId="6" xfId="112" applyNumberFormat="1" applyFont="1" applyFill="1" applyBorder="1"/>
    <xf numFmtId="0" fontId="116" fillId="61" borderId="0" xfId="112" applyFont="1" applyFill="1" applyBorder="1"/>
    <xf numFmtId="0" fontId="117" fillId="61" borderId="0" xfId="112" applyFont="1" applyFill="1" applyBorder="1"/>
    <xf numFmtId="2" fontId="117" fillId="61" borderId="0" xfId="112" applyNumberFormat="1" applyFont="1" applyFill="1" applyBorder="1"/>
    <xf numFmtId="0" fontId="117" fillId="0" borderId="0" xfId="112" applyFont="1" applyBorder="1"/>
    <xf numFmtId="2" fontId="117" fillId="0" borderId="0" xfId="112" applyNumberFormat="1" applyFont="1" applyBorder="1"/>
    <xf numFmtId="0" fontId="116" fillId="64" borderId="0" xfId="112" applyFont="1" applyFill="1"/>
    <xf numFmtId="0" fontId="117" fillId="64" borderId="0" xfId="112" applyFont="1" applyFill="1"/>
    <xf numFmtId="10" fontId="116" fillId="0" borderId="6" xfId="112" applyNumberFormat="1" applyFont="1" applyBorder="1"/>
    <xf numFmtId="1" fontId="116" fillId="0" borderId="0" xfId="112" applyNumberFormat="1" applyFont="1"/>
    <xf numFmtId="0" fontId="116" fillId="0" borderId="6" xfId="112" applyFont="1" applyBorder="1" applyAlignment="1">
      <alignment horizontal="right"/>
    </xf>
    <xf numFmtId="2" fontId="116" fillId="0" borderId="6" xfId="112" applyNumberFormat="1" applyFont="1" applyBorder="1" applyAlignment="1">
      <alignment horizontal="right"/>
    </xf>
    <xf numFmtId="0" fontId="116" fillId="37" borderId="0" xfId="112" applyFont="1" applyFill="1"/>
    <xf numFmtId="0" fontId="117" fillId="37" borderId="0" xfId="112" applyFont="1" applyFill="1"/>
    <xf numFmtId="1" fontId="116" fillId="37" borderId="0" xfId="112" applyNumberFormat="1" applyFont="1" applyFill="1"/>
    <xf numFmtId="0" fontId="117" fillId="37" borderId="6" xfId="0" applyFont="1" applyFill="1" applyBorder="1" applyAlignment="1">
      <alignment vertical="center"/>
    </xf>
    <xf numFmtId="0" fontId="117" fillId="37" borderId="6" xfId="0" applyFont="1" applyFill="1" applyBorder="1" applyAlignment="1">
      <alignment horizontal="right" vertical="center"/>
    </xf>
    <xf numFmtId="0" fontId="116" fillId="37" borderId="6" xfId="112" applyFont="1" applyFill="1" applyBorder="1"/>
    <xf numFmtId="1" fontId="116" fillId="37" borderId="6" xfId="112" applyNumberFormat="1" applyFont="1" applyFill="1" applyBorder="1" applyAlignment="1">
      <alignment horizontal="right"/>
    </xf>
    <xf numFmtId="2" fontId="116" fillId="37" borderId="6" xfId="112" applyNumberFormat="1" applyFont="1" applyFill="1" applyBorder="1" applyAlignment="1">
      <alignment horizontal="right"/>
    </xf>
    <xf numFmtId="0" fontId="14" fillId="37" borderId="6" xfId="0" applyFont="1" applyFill="1" applyBorder="1" applyAlignment="1">
      <alignment horizontal="left"/>
    </xf>
    <xf numFmtId="0" fontId="117" fillId="3" borderId="6" xfId="112" applyFont="1" applyFill="1" applyBorder="1" applyAlignment="1">
      <alignment horizontal="center" vertical="center" wrapText="1"/>
    </xf>
    <xf numFmtId="0" fontId="117" fillId="3" borderId="6" xfId="112" applyFont="1" applyFill="1" applyBorder="1" applyAlignment="1">
      <alignment horizontal="right" vertical="center" wrapText="1"/>
    </xf>
    <xf numFmtId="0" fontId="117" fillId="0" borderId="6" xfId="112" applyFont="1" applyFill="1" applyBorder="1" applyAlignment="1">
      <alignment vertical="center" wrapText="1"/>
    </xf>
    <xf numFmtId="0" fontId="117" fillId="0" borderId="6" xfId="112" applyFont="1" applyFill="1" applyBorder="1" applyAlignment="1">
      <alignment horizontal="right" vertical="center" wrapText="1"/>
    </xf>
    <xf numFmtId="0" fontId="14" fillId="0" borderId="6" xfId="0" applyFont="1" applyBorder="1" applyAlignment="1">
      <alignment horizontal="right"/>
    </xf>
    <xf numFmtId="0" fontId="218" fillId="0" borderId="6" xfId="112" applyFont="1" applyBorder="1" applyAlignment="1">
      <alignment horizontal="right"/>
    </xf>
    <xf numFmtId="2" fontId="218" fillId="0" borderId="6" xfId="112" applyNumberFormat="1" applyFont="1" applyBorder="1" applyAlignment="1">
      <alignment horizontal="right"/>
    </xf>
    <xf numFmtId="0" fontId="218" fillId="0" borderId="6" xfId="112" applyFont="1" applyBorder="1"/>
    <xf numFmtId="0" fontId="116" fillId="0" borderId="6" xfId="1" applyNumberFormat="1" applyFont="1" applyBorder="1" applyAlignment="1">
      <alignment horizontal="right"/>
    </xf>
    <xf numFmtId="9" fontId="116" fillId="0" borderId="6" xfId="112" applyNumberFormat="1" applyFont="1" applyBorder="1" applyAlignment="1">
      <alignment horizontal="right"/>
    </xf>
    <xf numFmtId="9" fontId="116" fillId="0" borderId="6" xfId="1" applyNumberFormat="1" applyFont="1" applyBorder="1" applyAlignment="1">
      <alignment horizontal="right"/>
    </xf>
    <xf numFmtId="0" fontId="14" fillId="0" borderId="6" xfId="0" applyFont="1" applyBorder="1" applyAlignment="1">
      <alignment horizontal="left"/>
    </xf>
    <xf numFmtId="0" fontId="116" fillId="31" borderId="6" xfId="112" applyFont="1" applyFill="1" applyBorder="1"/>
    <xf numFmtId="9" fontId="116" fillId="0" borderId="0" xfId="112" applyNumberFormat="1" applyFont="1"/>
    <xf numFmtId="0" fontId="116" fillId="0" borderId="6" xfId="112" applyFont="1" applyFill="1" applyBorder="1"/>
    <xf numFmtId="2" fontId="116" fillId="0" borderId="6" xfId="1" applyNumberFormat="1" applyFont="1" applyBorder="1" applyAlignment="1">
      <alignment horizontal="right"/>
    </xf>
    <xf numFmtId="2" fontId="116" fillId="0" borderId="6" xfId="112" applyNumberFormat="1" applyFont="1" applyFill="1" applyBorder="1"/>
    <xf numFmtId="1" fontId="81" fillId="4" borderId="6" xfId="1" applyNumberFormat="1" applyFont="1" applyFill="1" applyBorder="1" applyAlignment="1">
      <alignment horizontal="center" vertical="center" shrinkToFit="1" readingOrder="1"/>
    </xf>
    <xf numFmtId="2" fontId="81" fillId="0" borderId="6" xfId="0" applyNumberFormat="1" applyFont="1" applyBorder="1" applyAlignment="1">
      <alignment horizontal="right"/>
    </xf>
    <xf numFmtId="10" fontId="116" fillId="0" borderId="6" xfId="1" applyNumberFormat="1" applyFont="1" applyBorder="1" applyAlignment="1">
      <alignment vertical="center"/>
    </xf>
    <xf numFmtId="0" fontId="117" fillId="31" borderId="6" xfId="0" applyFont="1" applyFill="1" applyBorder="1" applyAlignment="1">
      <alignment horizontal="center" vertical="center"/>
    </xf>
    <xf numFmtId="0" fontId="117" fillId="31" borderId="6" xfId="0" applyFont="1" applyFill="1" applyBorder="1" applyAlignment="1">
      <alignment vertical="center"/>
    </xf>
    <xf numFmtId="2" fontId="117" fillId="31" borderId="6" xfId="0" applyNumberFormat="1" applyFont="1" applyFill="1" applyBorder="1" applyAlignment="1">
      <alignment vertical="center"/>
    </xf>
    <xf numFmtId="170" fontId="216" fillId="31" borderId="6" xfId="78" applyNumberFormat="1" applyFont="1" applyFill="1" applyBorder="1"/>
    <xf numFmtId="10" fontId="81" fillId="31" borderId="6" xfId="0" applyNumberFormat="1" applyFont="1" applyFill="1" applyBorder="1" applyAlignment="1">
      <alignment horizontal="center" shrinkToFit="1" readingOrder="1"/>
    </xf>
    <xf numFmtId="0" fontId="0" fillId="0" borderId="0" xfId="0" applyBorder="1" applyAlignment="1"/>
    <xf numFmtId="0" fontId="6" fillId="3" borderId="6" xfId="257" applyFont="1" applyFill="1" applyBorder="1" applyAlignment="1">
      <alignment vertical="center"/>
    </xf>
    <xf numFmtId="0" fontId="6" fillId="3" borderId="6" xfId="0" applyFont="1" applyFill="1" applyBorder="1" applyAlignment="1">
      <alignment vertical="center"/>
    </xf>
    <xf numFmtId="0" fontId="6" fillId="3" borderId="6" xfId="0" applyNumberFormat="1" applyFont="1" applyFill="1" applyBorder="1" applyAlignment="1">
      <alignment horizontal="center" vertical="center"/>
    </xf>
    <xf numFmtId="0" fontId="0" fillId="0" borderId="52" xfId="0" applyBorder="1"/>
    <xf numFmtId="0" fontId="6" fillId="3" borderId="52" xfId="257" applyFont="1" applyFill="1" applyBorder="1" applyAlignment="1">
      <alignment vertical="center"/>
    </xf>
    <xf numFmtId="0" fontId="6" fillId="3" borderId="52" xfId="0" applyFont="1" applyFill="1" applyBorder="1" applyAlignment="1">
      <alignment vertical="center"/>
    </xf>
    <xf numFmtId="0" fontId="6" fillId="3" borderId="52" xfId="0" applyNumberFormat="1" applyFont="1" applyFill="1" applyBorder="1" applyAlignment="1">
      <alignment horizontal="center" vertical="center"/>
    </xf>
    <xf numFmtId="0" fontId="6" fillId="3" borderId="3" xfId="0" applyNumberFormat="1" applyFont="1" applyFill="1" applyBorder="1" applyAlignment="1">
      <alignment horizontal="center" vertical="center"/>
    </xf>
    <xf numFmtId="0" fontId="5" fillId="0" borderId="6" xfId="0" applyFont="1" applyBorder="1" applyAlignment="1">
      <alignment horizontal="left" vertical="center" wrapText="1"/>
    </xf>
    <xf numFmtId="0" fontId="5" fillId="0" borderId="6" xfId="0" applyFont="1" applyBorder="1" applyAlignment="1">
      <alignment vertical="center"/>
    </xf>
    <xf numFmtId="10" fontId="0" fillId="0" borderId="0" xfId="1" applyNumberFormat="1" applyFont="1" applyBorder="1"/>
    <xf numFmtId="0" fontId="5" fillId="0" borderId="52" xfId="0" applyFont="1" applyBorder="1" applyAlignment="1">
      <alignment horizontal="right"/>
    </xf>
    <xf numFmtId="0" fontId="5" fillId="0" borderId="8" xfId="0" applyFont="1" applyBorder="1" applyAlignment="1">
      <alignment horizontal="left"/>
    </xf>
    <xf numFmtId="0" fontId="5" fillId="0" borderId="6" xfId="0" applyFont="1" applyFill="1" applyBorder="1" applyAlignment="1" applyProtection="1">
      <alignment horizontal="left" vertical="center" wrapText="1"/>
    </xf>
    <xf numFmtId="0" fontId="5" fillId="0" borderId="0" xfId="0" applyFont="1" applyBorder="1" applyAlignment="1">
      <alignment horizontal="left"/>
    </xf>
    <xf numFmtId="1" fontId="5" fillId="0" borderId="0" xfId="0" applyNumberFormat="1" applyFont="1" applyBorder="1" applyAlignment="1">
      <alignment horizontal="right"/>
    </xf>
    <xf numFmtId="0" fontId="3" fillId="0" borderId="0" xfId="0" applyFont="1" applyBorder="1" applyAlignment="1">
      <alignment horizontal="left"/>
    </xf>
    <xf numFmtId="0" fontId="5" fillId="0" borderId="0" xfId="0" applyFont="1" applyBorder="1" applyAlignment="1">
      <alignment horizontal="right"/>
    </xf>
    <xf numFmtId="187" fontId="3" fillId="0" borderId="6" xfId="0" applyNumberFormat="1" applyFont="1" applyBorder="1" applyAlignment="1">
      <alignment horizontal="center"/>
    </xf>
    <xf numFmtId="0" fontId="81" fillId="0" borderId="0" xfId="0" applyFont="1" applyAlignment="1">
      <alignment horizontal="right" vertical="center"/>
    </xf>
    <xf numFmtId="0" fontId="82" fillId="3" borderId="52" xfId="0" applyFont="1" applyFill="1" applyBorder="1" applyAlignment="1">
      <alignment horizontal="right" vertical="center" wrapText="1"/>
    </xf>
    <xf numFmtId="2" fontId="81" fillId="0" borderId="6" xfId="0" applyNumberFormat="1" applyFont="1" applyBorder="1" applyAlignment="1">
      <alignment horizontal="right" vertical="center"/>
    </xf>
    <xf numFmtId="2" fontId="82" fillId="0" borderId="6" xfId="0" applyNumberFormat="1" applyFont="1" applyBorder="1" applyAlignment="1">
      <alignment horizontal="right" vertical="center"/>
    </xf>
    <xf numFmtId="0" fontId="81" fillId="0" borderId="6" xfId="0" applyFont="1" applyBorder="1" applyAlignment="1">
      <alignment horizontal="right" vertical="center"/>
    </xf>
    <xf numFmtId="189" fontId="18" fillId="4" borderId="6" xfId="6" applyNumberFormat="1" applyFont="1" applyFill="1" applyBorder="1">
      <alignment vertical="center"/>
    </xf>
    <xf numFmtId="0" fontId="212" fillId="0" borderId="0" xfId="78" applyFont="1" applyFill="1" applyBorder="1" applyAlignment="1">
      <alignment horizontal="center" vertical="center"/>
    </xf>
    <xf numFmtId="0" fontId="212" fillId="0" borderId="0" xfId="257" applyFont="1" applyFill="1" applyAlignment="1">
      <alignment horizontal="center" vertical="center"/>
    </xf>
    <xf numFmtId="170" fontId="215" fillId="0" borderId="0" xfId="78" applyNumberFormat="1" applyFont="1" applyFill="1" applyBorder="1"/>
    <xf numFmtId="0" fontId="82" fillId="0" borderId="0" xfId="0" applyFont="1" applyBorder="1" applyAlignment="1">
      <alignment horizontal="center" vertical="center"/>
    </xf>
    <xf numFmtId="0" fontId="82" fillId="3" borderId="6" xfId="0" applyFont="1" applyFill="1" applyBorder="1" applyAlignment="1">
      <alignment vertical="center"/>
    </xf>
    <xf numFmtId="0" fontId="82" fillId="4" borderId="106" xfId="0" applyFont="1" applyFill="1" applyBorder="1" applyAlignment="1">
      <alignment vertical="center" wrapText="1"/>
    </xf>
    <xf numFmtId="0" fontId="82" fillId="4" borderId="0" xfId="0" applyFont="1" applyFill="1" applyBorder="1" applyAlignment="1">
      <alignment vertical="center" wrapText="1"/>
    </xf>
    <xf numFmtId="0" fontId="82" fillId="0" borderId="0" xfId="0" applyFont="1" applyBorder="1" applyAlignment="1">
      <alignment vertical="center"/>
    </xf>
    <xf numFmtId="0" fontId="81" fillId="4" borderId="106" xfId="0" applyFont="1" applyFill="1" applyBorder="1" applyAlignment="1">
      <alignment vertical="center"/>
    </xf>
    <xf numFmtId="0" fontId="81" fillId="4" borderId="0" xfId="0" applyFont="1" applyFill="1" applyBorder="1" applyAlignment="1">
      <alignment vertical="center"/>
    </xf>
    <xf numFmtId="2" fontId="81" fillId="0" borderId="54" xfId="0" applyNumberFormat="1" applyFont="1" applyBorder="1" applyAlignment="1">
      <alignment horizontal="center" vertical="center"/>
    </xf>
    <xf numFmtId="0" fontId="82" fillId="0" borderId="6" xfId="0" applyFont="1" applyBorder="1" applyAlignment="1">
      <alignment vertical="center"/>
    </xf>
    <xf numFmtId="1" fontId="81" fillId="0" borderId="54" xfId="0" applyNumberFormat="1" applyFont="1" applyBorder="1" applyAlignment="1">
      <alignment horizontal="center" vertical="center"/>
    </xf>
    <xf numFmtId="1" fontId="82" fillId="0" borderId="26" xfId="0" applyNumberFormat="1" applyFont="1" applyBorder="1" applyAlignment="1">
      <alignment horizontal="center" vertical="center"/>
    </xf>
    <xf numFmtId="0" fontId="81" fillId="0" borderId="55" xfId="0" applyFont="1" applyBorder="1" applyAlignment="1">
      <alignment horizontal="center" vertical="center"/>
    </xf>
    <xf numFmtId="0" fontId="81" fillId="0" borderId="54" xfId="0" applyFont="1" applyBorder="1" applyAlignment="1">
      <alignment horizontal="center" vertical="center"/>
    </xf>
    <xf numFmtId="0" fontId="82" fillId="0" borderId="0" xfId="0" applyFont="1" applyBorder="1" applyAlignment="1">
      <alignment horizontal="left" vertical="center"/>
    </xf>
    <xf numFmtId="0" fontId="82" fillId="0" borderId="6" xfId="0" applyFont="1" applyBorder="1" applyAlignment="1">
      <alignment horizontal="left" vertical="center"/>
    </xf>
    <xf numFmtId="0" fontId="18" fillId="3" borderId="6" xfId="114" applyFont="1" applyFill="1" applyBorder="1" applyAlignment="1">
      <alignment vertical="center"/>
    </xf>
    <xf numFmtId="2" fontId="18" fillId="3" borderId="6" xfId="114" applyNumberFormat="1" applyFont="1" applyFill="1" applyBorder="1" applyAlignment="1">
      <alignment vertical="center"/>
    </xf>
    <xf numFmtId="0" fontId="4" fillId="0" borderId="6" xfId="114" applyFont="1" applyFill="1" applyBorder="1" applyAlignment="1" applyProtection="1">
      <alignment horizontal="left" vertical="center" wrapText="1"/>
    </xf>
    <xf numFmtId="2" fontId="4" fillId="0" borderId="6" xfId="114" applyNumberFormat="1" applyFont="1" applyFill="1" applyBorder="1" applyAlignment="1">
      <alignment vertical="center"/>
    </xf>
    <xf numFmtId="0" fontId="4" fillId="0" borderId="6" xfId="114" applyFont="1" applyFill="1" applyBorder="1" applyAlignment="1">
      <alignment vertical="center"/>
    </xf>
    <xf numFmtId="4" fontId="0" fillId="0" borderId="0" xfId="0" applyNumberFormat="1"/>
    <xf numFmtId="190" fontId="81" fillId="0" borderId="6" xfId="1" applyNumberFormat="1" applyFont="1" applyBorder="1" applyAlignment="1">
      <alignment horizontal="right" vertical="center"/>
    </xf>
    <xf numFmtId="0" fontId="53" fillId="0" borderId="6" xfId="0" applyFont="1" applyBorder="1"/>
    <xf numFmtId="2" fontId="81" fillId="31" borderId="6" xfId="0" applyNumberFormat="1" applyFont="1" applyFill="1" applyBorder="1" applyAlignment="1">
      <alignment horizontal="right" vertical="center"/>
    </xf>
    <xf numFmtId="0" fontId="18" fillId="3" borderId="6" xfId="9" applyFont="1" applyFill="1" applyBorder="1" applyAlignment="1">
      <alignment horizontal="center" vertical="center" wrapText="1"/>
    </xf>
    <xf numFmtId="0" fontId="18" fillId="3" borderId="6" xfId="9" applyFont="1" applyFill="1" applyBorder="1" applyAlignment="1" applyProtection="1">
      <alignment vertical="center" wrapText="1"/>
    </xf>
    <xf numFmtId="165" fontId="4" fillId="0" borderId="6" xfId="121" applyNumberFormat="1" applyFont="1" applyFill="1" applyBorder="1" applyAlignment="1">
      <alignment horizontal="left" vertical="center" wrapText="1"/>
    </xf>
    <xf numFmtId="199" fontId="4" fillId="0" borderId="6" xfId="78" applyNumberFormat="1" applyFont="1" applyFill="1" applyBorder="1"/>
    <xf numFmtId="170" fontId="4" fillId="0" borderId="6" xfId="78" applyNumberFormat="1" applyFont="1" applyFill="1" applyBorder="1"/>
    <xf numFmtId="165" fontId="4" fillId="0" borderId="6" xfId="121" applyNumberFormat="1" applyFont="1" applyFill="1" applyBorder="1" applyAlignment="1">
      <alignment horizontal="left"/>
    </xf>
    <xf numFmtId="1" fontId="4" fillId="0" borderId="6" xfId="121" applyNumberFormat="1" applyFont="1" applyFill="1" applyBorder="1" applyAlignment="1">
      <alignment horizontal="left"/>
    </xf>
    <xf numFmtId="165" fontId="4" fillId="0" borderId="6" xfId="142" applyNumberFormat="1" applyFont="1" applyFill="1" applyBorder="1"/>
    <xf numFmtId="0" fontId="18" fillId="0" borderId="6" xfId="5" applyFont="1" applyFill="1" applyBorder="1" applyAlignment="1">
      <alignment vertical="center" wrapText="1"/>
    </xf>
    <xf numFmtId="165" fontId="4" fillId="0" borderId="6" xfId="121" applyNumberFormat="1" applyFont="1" applyFill="1" applyBorder="1" applyAlignment="1" applyProtection="1">
      <alignment horizontal="left" vertical="center" wrapText="1"/>
    </xf>
    <xf numFmtId="165" fontId="18" fillId="0" borderId="6" xfId="121" applyNumberFormat="1" applyFont="1" applyFill="1" applyBorder="1" applyAlignment="1" applyProtection="1">
      <alignment horizontal="left" vertical="center" wrapText="1"/>
    </xf>
    <xf numFmtId="0" fontId="18" fillId="0" borderId="6" xfId="78" applyFont="1" applyFill="1" applyBorder="1" applyAlignment="1">
      <alignment horizontal="left"/>
    </xf>
    <xf numFmtId="170" fontId="18" fillId="0" borderId="6" xfId="78" applyNumberFormat="1" applyFont="1" applyFill="1" applyBorder="1"/>
    <xf numFmtId="1" fontId="81" fillId="0" borderId="0" xfId="0" applyNumberFormat="1" applyFont="1"/>
    <xf numFmtId="0" fontId="18" fillId="37" borderId="6" xfId="5" applyFont="1" applyFill="1" applyBorder="1" applyAlignment="1">
      <alignment vertical="center" wrapText="1"/>
    </xf>
    <xf numFmtId="0" fontId="18" fillId="37" borderId="6" xfId="9" applyFont="1" applyFill="1" applyBorder="1" applyAlignment="1">
      <alignment vertical="center" wrapText="1"/>
    </xf>
    <xf numFmtId="0" fontId="81" fillId="37" borderId="6" xfId="0" applyFont="1" applyFill="1" applyBorder="1" applyAlignment="1">
      <alignment vertical="center"/>
    </xf>
    <xf numFmtId="9" fontId="81" fillId="0" borderId="6" xfId="1" applyFont="1" applyBorder="1"/>
    <xf numFmtId="2" fontId="82" fillId="31" borderId="6" xfId="0" applyNumberFormat="1" applyFont="1" applyFill="1" applyBorder="1" applyAlignment="1">
      <alignment horizontal="right" vertical="center"/>
    </xf>
    <xf numFmtId="170" fontId="81" fillId="0" borderId="0" xfId="0" applyNumberFormat="1" applyFont="1"/>
    <xf numFmtId="0" fontId="219" fillId="0" borderId="0" xfId="0" applyFont="1" applyAlignment="1">
      <alignment vertical="center"/>
    </xf>
    <xf numFmtId="10" fontId="81" fillId="0" borderId="0" xfId="0" applyNumberFormat="1" applyFont="1" applyAlignment="1">
      <alignment vertical="center"/>
    </xf>
    <xf numFmtId="9" fontId="82" fillId="31" borderId="6" xfId="1" applyFont="1" applyFill="1" applyBorder="1" applyAlignment="1">
      <alignment horizontal="center" vertical="center"/>
    </xf>
    <xf numFmtId="10" fontId="81" fillId="31" borderId="6" xfId="1" applyNumberFormat="1" applyFont="1" applyFill="1" applyBorder="1" applyAlignment="1">
      <alignment horizontal="center" vertical="center"/>
    </xf>
    <xf numFmtId="0" fontId="18" fillId="0" borderId="6" xfId="0" applyFont="1" applyFill="1" applyBorder="1" applyAlignment="1" applyProtection="1">
      <alignment horizontal="left" vertical="center"/>
    </xf>
    <xf numFmtId="0" fontId="4" fillId="0" borderId="6" xfId="0" applyFont="1" applyFill="1" applyBorder="1" applyAlignment="1" applyProtection="1">
      <alignment vertical="center"/>
    </xf>
    <xf numFmtId="0" fontId="4" fillId="0" borderId="6" xfId="0" applyFont="1" applyFill="1" applyBorder="1" applyAlignment="1" applyProtection="1">
      <alignment horizontal="left" vertical="center"/>
    </xf>
    <xf numFmtId="9" fontId="81" fillId="0" borderId="6" xfId="1" applyFont="1" applyBorder="1" applyAlignment="1">
      <alignment horizontal="center" vertical="center"/>
    </xf>
    <xf numFmtId="0" fontId="82" fillId="0" borderId="6" xfId="0" applyFont="1" applyFill="1" applyBorder="1" applyAlignment="1">
      <alignment vertical="center"/>
    </xf>
    <xf numFmtId="0" fontId="82" fillId="0" borderId="6" xfId="0" applyFont="1" applyFill="1" applyBorder="1" applyAlignment="1">
      <alignment vertical="center" wrapText="1"/>
    </xf>
    <xf numFmtId="0" fontId="81" fillId="0" borderId="6" xfId="112" applyFont="1" applyBorder="1" applyAlignment="1">
      <alignment vertical="center"/>
    </xf>
    <xf numFmtId="10" fontId="81" fillId="0" borderId="6" xfId="112" applyNumberFormat="1" applyFont="1" applyBorder="1" applyAlignment="1">
      <alignment vertical="center"/>
    </xf>
    <xf numFmtId="0" fontId="82" fillId="0" borderId="6" xfId="112" applyFont="1" applyBorder="1" applyAlignment="1">
      <alignment vertical="center"/>
    </xf>
    <xf numFmtId="2" fontId="81" fillId="37" borderId="6" xfId="0" applyNumberFormat="1" applyFont="1" applyFill="1" applyBorder="1" applyAlignment="1">
      <alignment horizontal="center" vertical="center"/>
    </xf>
    <xf numFmtId="0" fontId="81" fillId="37" borderId="0" xfId="0" applyFont="1" applyFill="1" applyAlignment="1">
      <alignment horizontal="center" vertical="center"/>
    </xf>
    <xf numFmtId="0" fontId="81" fillId="37" borderId="0" xfId="0" applyFont="1" applyFill="1" applyAlignment="1">
      <alignment vertical="center"/>
    </xf>
    <xf numFmtId="1" fontId="81" fillId="0" borderId="0" xfId="0" applyNumberFormat="1" applyFont="1" applyAlignment="1">
      <alignment horizontal="center" vertical="center"/>
    </xf>
    <xf numFmtId="2" fontId="116" fillId="0" borderId="0" xfId="112" applyNumberFormat="1" applyFont="1" applyBorder="1"/>
    <xf numFmtId="2" fontId="116" fillId="0" borderId="0" xfId="1" applyNumberFormat="1" applyFont="1" applyBorder="1" applyAlignment="1">
      <alignment horizontal="right"/>
    </xf>
    <xf numFmtId="164" fontId="81" fillId="0" borderId="0" xfId="0" applyNumberFormat="1" applyFont="1" applyBorder="1"/>
    <xf numFmtId="2" fontId="117" fillId="0" borderId="6" xfId="1" applyNumberFormat="1" applyFont="1" applyBorder="1" applyAlignment="1">
      <alignment horizontal="right"/>
    </xf>
    <xf numFmtId="1" fontId="116" fillId="0" borderId="6" xfId="1" applyNumberFormat="1" applyFont="1" applyBorder="1" applyAlignment="1">
      <alignment horizontal="right"/>
    </xf>
    <xf numFmtId="0" fontId="212" fillId="0" borderId="0" xfId="78" applyFont="1" applyFill="1" applyBorder="1" applyAlignment="1">
      <alignment horizontal="center" vertical="center"/>
    </xf>
    <xf numFmtId="0" fontId="212" fillId="0" borderId="0" xfId="257" applyFont="1" applyFill="1" applyAlignment="1">
      <alignment horizontal="center" vertical="center"/>
    </xf>
    <xf numFmtId="0" fontId="4" fillId="0" borderId="6" xfId="78" applyFont="1" applyBorder="1" applyAlignment="1">
      <alignment horizontal="left"/>
    </xf>
    <xf numFmtId="0" fontId="213" fillId="0" borderId="6" xfId="9" applyFont="1" applyFill="1" applyBorder="1" applyAlignment="1">
      <alignment horizontal="center" vertical="center" wrapText="1"/>
    </xf>
    <xf numFmtId="0" fontId="212" fillId="0" borderId="0" xfId="78" applyFont="1" applyFill="1" applyBorder="1" applyAlignment="1">
      <alignment vertical="center"/>
    </xf>
    <xf numFmtId="0" fontId="212" fillId="0" borderId="0" xfId="257" applyFont="1" applyFill="1" applyAlignment="1">
      <alignment vertical="center"/>
    </xf>
    <xf numFmtId="165" fontId="54" fillId="0" borderId="6" xfId="121" applyNumberFormat="1" applyFont="1" applyFill="1" applyBorder="1" applyAlignment="1">
      <alignment horizontal="left" vertical="center" wrapText="1"/>
    </xf>
    <xf numFmtId="199" fontId="54" fillId="0" borderId="6" xfId="78" applyNumberFormat="1" applyFont="1" applyFill="1" applyBorder="1"/>
    <xf numFmtId="170" fontId="54" fillId="0" borderId="6" xfId="78" applyNumberFormat="1" applyFont="1" applyFill="1" applyBorder="1"/>
    <xf numFmtId="170" fontId="54" fillId="0" borderId="6" xfId="7" applyNumberFormat="1" applyFont="1" applyFill="1" applyBorder="1" applyAlignment="1">
      <alignment horizontal="left"/>
    </xf>
    <xf numFmtId="170" fontId="54" fillId="0" borderId="6" xfId="78" applyNumberFormat="1" applyFont="1" applyFill="1" applyBorder="1" applyAlignment="1">
      <alignment horizontal="right"/>
    </xf>
    <xf numFmtId="170" fontId="54" fillId="0" borderId="6" xfId="7" applyNumberFormat="1" applyFont="1" applyFill="1" applyBorder="1" applyAlignment="1">
      <alignment horizontal="right"/>
    </xf>
    <xf numFmtId="165" fontId="54" fillId="0" borderId="6" xfId="121" applyNumberFormat="1" applyFont="1" applyFill="1" applyBorder="1" applyAlignment="1">
      <alignment horizontal="left"/>
    </xf>
    <xf numFmtId="1" fontId="54" fillId="0" borderId="6" xfId="121" applyNumberFormat="1" applyFont="1" applyFill="1" applyBorder="1" applyAlignment="1">
      <alignment horizontal="left"/>
    </xf>
    <xf numFmtId="165" fontId="54" fillId="0" borderId="6" xfId="142" applyNumberFormat="1" applyFont="1" applyFill="1" applyBorder="1"/>
    <xf numFmtId="1" fontId="213" fillId="0" borderId="6" xfId="78" applyNumberFormat="1" applyFont="1" applyFill="1" applyBorder="1"/>
    <xf numFmtId="199" fontId="213" fillId="0" borderId="6" xfId="78" applyNumberFormat="1" applyFont="1" applyFill="1" applyBorder="1"/>
    <xf numFmtId="170" fontId="213" fillId="0" borderId="6" xfId="78" applyNumberFormat="1" applyFont="1" applyFill="1" applyBorder="1"/>
    <xf numFmtId="0" fontId="213" fillId="0" borderId="6" xfId="5" applyFont="1" applyFill="1" applyBorder="1" applyAlignment="1">
      <alignment vertical="center" wrapText="1"/>
    </xf>
    <xf numFmtId="1" fontId="54" fillId="0" borderId="6" xfId="78" applyNumberFormat="1" applyFont="1" applyFill="1" applyBorder="1"/>
    <xf numFmtId="165" fontId="54" fillId="0" borderId="6" xfId="121" applyNumberFormat="1" applyFont="1" applyFill="1" applyBorder="1" applyAlignment="1" applyProtection="1">
      <alignment horizontal="left" vertical="center" wrapText="1"/>
    </xf>
    <xf numFmtId="165" fontId="213" fillId="0" borderId="6" xfId="121" applyNumberFormat="1" applyFont="1" applyFill="1" applyBorder="1" applyAlignment="1" applyProtection="1">
      <alignment horizontal="left" vertical="center" wrapText="1"/>
    </xf>
    <xf numFmtId="0" fontId="213" fillId="0" borderId="6" xfId="78" applyFont="1" applyFill="1" applyBorder="1" applyAlignment="1">
      <alignment horizontal="left"/>
    </xf>
    <xf numFmtId="170" fontId="213" fillId="0" borderId="6" xfId="7" applyNumberFormat="1" applyFont="1" applyFill="1" applyBorder="1" applyAlignment="1">
      <alignment horizontal="left"/>
    </xf>
    <xf numFmtId="170" fontId="213" fillId="0" borderId="6" xfId="78" applyNumberFormat="1" applyFont="1" applyFill="1" applyBorder="1" applyAlignment="1">
      <alignment horizontal="right"/>
    </xf>
    <xf numFmtId="170" fontId="54" fillId="0" borderId="0" xfId="78" applyNumberFormat="1" applyFont="1" applyFill="1" applyBorder="1"/>
    <xf numFmtId="170" fontId="213" fillId="31" borderId="6" xfId="78" applyNumberFormat="1" applyFont="1" applyFill="1" applyBorder="1"/>
    <xf numFmtId="0" fontId="54" fillId="0" borderId="0" xfId="78" applyFont="1" applyFill="1" applyBorder="1"/>
    <xf numFmtId="0" fontId="213" fillId="0" borderId="0" xfId="78" applyFont="1" applyFill="1" applyBorder="1" applyAlignment="1">
      <alignment vertical="center"/>
    </xf>
    <xf numFmtId="0" fontId="213" fillId="0" borderId="0" xfId="78" applyFont="1" applyFill="1" applyBorder="1" applyAlignment="1">
      <alignment horizontal="center" vertical="center"/>
    </xf>
    <xf numFmtId="0" fontId="213" fillId="0" borderId="0" xfId="257" applyFont="1" applyFill="1" applyAlignment="1">
      <alignment vertical="center"/>
    </xf>
    <xf numFmtId="0" fontId="213" fillId="0" borderId="0" xfId="257" applyFont="1" applyFill="1" applyAlignment="1">
      <alignment horizontal="center" vertical="center"/>
    </xf>
    <xf numFmtId="0" fontId="54" fillId="0" borderId="0" xfId="78" applyFont="1" applyFill="1"/>
    <xf numFmtId="0" fontId="54" fillId="0" borderId="0" xfId="78" applyFont="1" applyFill="1" applyAlignment="1">
      <alignment horizontal="right"/>
    </xf>
    <xf numFmtId="2" fontId="54" fillId="0" borderId="6" xfId="78" applyNumberFormat="1" applyFont="1" applyFill="1" applyBorder="1"/>
    <xf numFmtId="10" fontId="54" fillId="0" borderId="6" xfId="78" applyNumberFormat="1" applyFont="1" applyFill="1" applyBorder="1"/>
    <xf numFmtId="0" fontId="54" fillId="0" borderId="0" xfId="78" applyFont="1" applyFill="1" applyAlignment="1">
      <alignment horizontal="right" vertical="center"/>
    </xf>
    <xf numFmtId="0" fontId="54" fillId="0" borderId="0" xfId="78" applyFont="1" applyFill="1" applyAlignment="1">
      <alignment vertical="center"/>
    </xf>
    <xf numFmtId="0" fontId="51" fillId="0" borderId="0" xfId="78" applyFont="1" applyFill="1" applyBorder="1" applyAlignment="1">
      <alignment horizontal="center" vertical="center"/>
    </xf>
    <xf numFmtId="0" fontId="40" fillId="0" borderId="0" xfId="78" applyFont="1" applyFill="1" applyBorder="1"/>
    <xf numFmtId="0" fontId="51" fillId="0" borderId="0" xfId="257" applyFont="1" applyFill="1" applyAlignment="1">
      <alignment horizontal="center" vertical="center"/>
    </xf>
    <xf numFmtId="0" fontId="40" fillId="0" borderId="0" xfId="78" applyFont="1" applyFill="1"/>
    <xf numFmtId="170" fontId="54" fillId="37" borderId="6" xfId="78" applyNumberFormat="1" applyFont="1" applyFill="1" applyBorder="1"/>
    <xf numFmtId="170" fontId="54" fillId="0" borderId="59" xfId="7" applyNumberFormat="1" applyFont="1" applyFill="1" applyBorder="1" applyAlignment="1">
      <alignment horizontal="right"/>
    </xf>
    <xf numFmtId="2" fontId="40" fillId="0" borderId="59" xfId="78" applyNumberFormat="1" applyFont="1" applyFill="1" applyBorder="1"/>
    <xf numFmtId="10" fontId="40" fillId="0" borderId="13" xfId="78" applyNumberFormat="1" applyFont="1" applyFill="1" applyBorder="1"/>
    <xf numFmtId="170" fontId="54" fillId="0" borderId="0" xfId="7" applyNumberFormat="1" applyFont="1" applyFill="1" applyBorder="1" applyAlignment="1">
      <alignment horizontal="right"/>
    </xf>
    <xf numFmtId="2" fontId="40" fillId="0" borderId="0" xfId="78" applyNumberFormat="1" applyFont="1" applyFill="1" applyBorder="1"/>
    <xf numFmtId="10" fontId="40" fillId="0" borderId="14" xfId="78" applyNumberFormat="1" applyFont="1" applyFill="1" applyBorder="1"/>
    <xf numFmtId="170" fontId="54" fillId="0" borderId="0" xfId="78" applyNumberFormat="1" applyFont="1" applyFill="1" applyBorder="1" applyAlignment="1">
      <alignment horizontal="right"/>
    </xf>
    <xf numFmtId="2" fontId="40" fillId="0" borderId="14" xfId="78" applyNumberFormat="1" applyFont="1" applyFill="1" applyBorder="1"/>
    <xf numFmtId="170" fontId="213" fillId="0" borderId="17" xfId="78" applyNumberFormat="1" applyFont="1" applyFill="1" applyBorder="1" applyAlignment="1">
      <alignment horizontal="right"/>
    </xf>
    <xf numFmtId="2" fontId="40" fillId="0" borderId="17" xfId="78" applyNumberFormat="1" applyFont="1" applyFill="1" applyBorder="1"/>
    <xf numFmtId="2" fontId="40" fillId="0" borderId="16" xfId="78" applyNumberFormat="1" applyFont="1" applyFill="1" applyBorder="1"/>
    <xf numFmtId="0" fontId="40" fillId="0" borderId="0" xfId="78" applyFont="1" applyFill="1" applyAlignment="1">
      <alignment horizontal="right"/>
    </xf>
    <xf numFmtId="170" fontId="213" fillId="31" borderId="0" xfId="78" applyNumberFormat="1" applyFont="1" applyFill="1" applyBorder="1"/>
    <xf numFmtId="165" fontId="14" fillId="0" borderId="6" xfId="121" applyNumberFormat="1" applyFont="1" applyFill="1" applyBorder="1" applyAlignment="1">
      <alignment horizontal="left" vertical="center" wrapText="1"/>
    </xf>
    <xf numFmtId="165" fontId="14" fillId="0" borderId="6" xfId="121" applyNumberFormat="1" applyFont="1" applyFill="1" applyBorder="1" applyAlignment="1">
      <alignment horizontal="left"/>
    </xf>
    <xf numFmtId="1" fontId="14" fillId="0" borderId="6" xfId="121" applyNumberFormat="1" applyFont="1" applyFill="1" applyBorder="1" applyAlignment="1">
      <alignment horizontal="left"/>
    </xf>
    <xf numFmtId="165" fontId="14" fillId="0" borderId="6" xfId="142" applyNumberFormat="1" applyFont="1" applyFill="1" applyBorder="1"/>
    <xf numFmtId="0" fontId="17" fillId="0" borderId="6" xfId="5" applyFont="1" applyFill="1" applyBorder="1" applyAlignment="1">
      <alignment vertical="center" wrapText="1"/>
    </xf>
    <xf numFmtId="165" fontId="14" fillId="0" borderId="6" xfId="121" applyNumberFormat="1" applyFont="1" applyFill="1" applyBorder="1" applyAlignment="1" applyProtection="1">
      <alignment horizontal="left" vertical="center" wrapText="1"/>
    </xf>
    <xf numFmtId="165" fontId="17" fillId="0" borderId="6" xfId="121" applyNumberFormat="1" applyFont="1" applyFill="1" applyBorder="1" applyAlignment="1" applyProtection="1">
      <alignment horizontal="left" vertical="center" wrapText="1"/>
    </xf>
    <xf numFmtId="0" fontId="17" fillId="0" borderId="6" xfId="78" applyFont="1" applyFill="1" applyBorder="1" applyAlignment="1">
      <alignment horizontal="left"/>
    </xf>
    <xf numFmtId="0" fontId="116" fillId="0" borderId="0" xfId="0" applyFont="1" applyAlignment="1">
      <alignment vertical="center" wrapText="1"/>
    </xf>
    <xf numFmtId="2" fontId="117" fillId="0" borderId="6" xfId="0" applyNumberFormat="1" applyFont="1" applyBorder="1"/>
    <xf numFmtId="0" fontId="116" fillId="0" borderId="6" xfId="0" applyFont="1" applyBorder="1" applyAlignment="1">
      <alignment horizontal="center" vertical="center"/>
    </xf>
    <xf numFmtId="0" fontId="117" fillId="0" borderId="6" xfId="0" applyFont="1" applyBorder="1" applyAlignment="1">
      <alignment horizontal="center" vertical="center"/>
    </xf>
    <xf numFmtId="0" fontId="16" fillId="31" borderId="6" xfId="78" applyFont="1" applyFill="1" applyBorder="1" applyAlignment="1">
      <alignment horizontal="left" vertical="center"/>
    </xf>
    <xf numFmtId="2" fontId="0" fillId="0" borderId="6" xfId="0" applyNumberFormat="1" applyFont="1" applyBorder="1"/>
    <xf numFmtId="2" fontId="3" fillId="31" borderId="6" xfId="0" applyNumberFormat="1" applyFont="1" applyFill="1" applyBorder="1"/>
    <xf numFmtId="167" fontId="0" fillId="0" borderId="6" xfId="0" applyNumberFormat="1" applyFont="1" applyBorder="1"/>
    <xf numFmtId="167" fontId="3" fillId="31" borderId="6" xfId="0" applyNumberFormat="1" applyFont="1" applyFill="1" applyBorder="1"/>
    <xf numFmtId="2" fontId="18" fillId="4" borderId="0" xfId="5" applyNumberFormat="1" applyFont="1" applyFill="1" applyAlignment="1">
      <alignment horizontal="right" vertical="center"/>
    </xf>
    <xf numFmtId="0" fontId="117" fillId="0" borderId="6" xfId="0" applyFont="1" applyBorder="1" applyAlignment="1">
      <alignment horizontal="center"/>
    </xf>
    <xf numFmtId="2" fontId="81" fillId="4" borderId="6" xfId="0" applyNumberFormat="1" applyFont="1" applyFill="1" applyBorder="1" applyAlignment="1">
      <alignment horizontal="center" vertical="center"/>
    </xf>
    <xf numFmtId="0" fontId="81" fillId="0" borderId="6" xfId="0" applyFont="1" applyBorder="1" applyAlignment="1">
      <alignment horizontal="center"/>
    </xf>
    <xf numFmtId="0" fontId="18" fillId="65" borderId="6" xfId="6" applyFont="1" applyFill="1" applyBorder="1" applyAlignment="1">
      <alignment horizontal="center" vertical="center" wrapText="1"/>
    </xf>
    <xf numFmtId="2" fontId="4" fillId="65" borderId="6" xfId="0" applyNumberFormat="1" applyFont="1" applyFill="1" applyBorder="1" applyAlignment="1">
      <alignment horizontal="center" vertical="center"/>
    </xf>
    <xf numFmtId="2" fontId="81" fillId="65" borderId="6" xfId="0" applyNumberFormat="1" applyFont="1" applyFill="1" applyBorder="1" applyAlignment="1">
      <alignment horizontal="center" vertical="center"/>
    </xf>
    <xf numFmtId="2" fontId="18" fillId="65" borderId="6" xfId="0" applyNumberFormat="1" applyFont="1" applyFill="1" applyBorder="1" applyAlignment="1">
      <alignment horizontal="center"/>
    </xf>
    <xf numFmtId="2" fontId="82" fillId="65" borderId="6" xfId="0" applyNumberFormat="1" applyFont="1" applyFill="1" applyBorder="1" applyAlignment="1">
      <alignment horizontal="center"/>
    </xf>
    <xf numFmtId="2" fontId="18" fillId="0" borderId="6" xfId="0" applyNumberFormat="1" applyFont="1" applyBorder="1" applyAlignment="1">
      <alignment horizontal="right" vertical="center"/>
    </xf>
    <xf numFmtId="2" fontId="4" fillId="0" borderId="6" xfId="0" applyNumberFormat="1" applyFont="1" applyBorder="1" applyAlignment="1">
      <alignment horizontal="right" vertical="center" wrapText="1"/>
    </xf>
    <xf numFmtId="2" fontId="81" fillId="0" borderId="6" xfId="0" applyNumberFormat="1" applyFont="1" applyBorder="1" applyAlignment="1">
      <alignment horizontal="right" vertical="center" wrapText="1"/>
    </xf>
    <xf numFmtId="2" fontId="4" fillId="4" borderId="6" xfId="0" applyNumberFormat="1" applyFont="1" applyFill="1" applyBorder="1" applyAlignment="1">
      <alignment horizontal="right" vertical="center"/>
    </xf>
    <xf numFmtId="2" fontId="4" fillId="0" borderId="6" xfId="0" applyNumberFormat="1" applyFont="1" applyBorder="1" applyAlignment="1">
      <alignment horizontal="right" vertical="center"/>
    </xf>
    <xf numFmtId="2" fontId="4" fillId="0" borderId="52" xfId="0" applyNumberFormat="1" applyFont="1" applyBorder="1" applyAlignment="1">
      <alignment horizontal="right" vertical="center"/>
    </xf>
    <xf numFmtId="2" fontId="18" fillId="0" borderId="6" xfId="78" applyNumberFormat="1" applyFont="1" applyBorder="1" applyAlignment="1">
      <alignment horizontal="right" vertical="center"/>
    </xf>
    <xf numFmtId="2" fontId="18" fillId="4" borderId="6" xfId="0" applyNumberFormat="1" applyFont="1" applyFill="1" applyBorder="1" applyAlignment="1">
      <alignment horizontal="right" vertical="center"/>
    </xf>
    <xf numFmtId="2" fontId="4" fillId="0" borderId="52" xfId="6" applyNumberFormat="1" applyFont="1" applyFill="1" applyBorder="1" applyAlignment="1">
      <alignment horizontal="right" vertical="center"/>
    </xf>
    <xf numFmtId="2" fontId="4" fillId="0" borderId="3" xfId="6" applyNumberFormat="1" applyFont="1" applyFill="1" applyBorder="1" applyAlignment="1">
      <alignment horizontal="right" vertical="center"/>
    </xf>
    <xf numFmtId="2" fontId="4" fillId="0" borderId="8" xfId="6" applyNumberFormat="1" applyFont="1" applyFill="1" applyBorder="1" applyAlignment="1">
      <alignment horizontal="right" vertical="center"/>
    </xf>
    <xf numFmtId="2" fontId="18" fillId="0" borderId="6" xfId="0" applyNumberFormat="1" applyFont="1" applyBorder="1" applyAlignment="1">
      <alignment horizontal="right" vertical="center" wrapText="1"/>
    </xf>
    <xf numFmtId="2" fontId="18" fillId="4" borderId="6" xfId="0" applyNumberFormat="1" applyFont="1" applyFill="1" applyBorder="1" applyAlignment="1">
      <alignment horizontal="right"/>
    </xf>
    <xf numFmtId="2" fontId="82" fillId="0" borderId="6" xfId="0" applyNumberFormat="1" applyFont="1" applyBorder="1" applyAlignment="1">
      <alignment horizontal="right"/>
    </xf>
    <xf numFmtId="0" fontId="17" fillId="3" borderId="52" xfId="257" applyFont="1" applyFill="1" applyBorder="1" applyAlignment="1">
      <alignment vertical="center" wrapText="1"/>
    </xf>
    <xf numFmtId="170" fontId="4" fillId="0" borderId="6" xfId="13" applyNumberFormat="1" applyFont="1" applyFill="1" applyBorder="1" applyAlignment="1">
      <alignment horizontal="right" vertical="center"/>
    </xf>
    <xf numFmtId="170" fontId="18" fillId="0" borderId="6" xfId="13" applyNumberFormat="1" applyFont="1" applyFill="1" applyBorder="1" applyAlignment="1">
      <alignment horizontal="right" vertical="center"/>
    </xf>
    <xf numFmtId="170" fontId="4" fillId="0" borderId="54" xfId="13" applyNumberFormat="1" applyFont="1" applyFill="1" applyBorder="1" applyAlignment="1">
      <alignment horizontal="right" vertical="center"/>
    </xf>
    <xf numFmtId="170" fontId="4" fillId="0" borderId="6" xfId="13" applyNumberFormat="1" applyFont="1" applyFill="1" applyBorder="1" applyAlignment="1">
      <alignment vertical="center"/>
    </xf>
    <xf numFmtId="0" fontId="117" fillId="3" borderId="52" xfId="0" applyFont="1" applyFill="1" applyBorder="1" applyAlignment="1">
      <alignment wrapText="1"/>
    </xf>
    <xf numFmtId="0" fontId="116" fillId="0" borderId="6" xfId="0" applyFont="1" applyBorder="1" applyAlignment="1">
      <alignment horizontal="right" wrapText="1"/>
    </xf>
    <xf numFmtId="2" fontId="116" fillId="0" borderId="6" xfId="0" applyNumberFormat="1" applyFont="1" applyBorder="1" applyAlignment="1">
      <alignment horizontal="right" wrapText="1"/>
    </xf>
    <xf numFmtId="2" fontId="116" fillId="0" borderId="6" xfId="0" applyNumberFormat="1" applyFont="1" applyBorder="1" applyAlignment="1">
      <alignment wrapText="1"/>
    </xf>
    <xf numFmtId="0" fontId="117" fillId="0" borderId="6" xfId="0" applyFont="1" applyBorder="1" applyAlignment="1">
      <alignment horizontal="right" wrapText="1"/>
    </xf>
    <xf numFmtId="2" fontId="117" fillId="0" borderId="6" xfId="0" applyNumberFormat="1" applyFont="1" applyBorder="1" applyAlignment="1">
      <alignment horizontal="right" wrapText="1"/>
    </xf>
    <xf numFmtId="0" fontId="14" fillId="0" borderId="0" xfId="114" applyFont="1" applyFill="1" applyBorder="1"/>
    <xf numFmtId="0" fontId="116" fillId="0" borderId="6" xfId="0" applyFont="1" applyBorder="1" applyAlignment="1">
      <alignment horizontal="justify" wrapText="1"/>
    </xf>
    <xf numFmtId="0" fontId="116" fillId="0" borderId="6" xfId="0" applyFont="1" applyBorder="1" applyAlignment="1">
      <alignment horizontal="left" wrapText="1" indent="1"/>
    </xf>
    <xf numFmtId="0" fontId="14" fillId="0" borderId="0" xfId="114" applyFont="1" applyFill="1"/>
    <xf numFmtId="0" fontId="14" fillId="0" borderId="0" xfId="114" applyFont="1" applyFill="1" applyBorder="1" applyAlignment="1"/>
    <xf numFmtId="0" fontId="14" fillId="0" borderId="0" xfId="114" applyFont="1" applyFill="1" applyBorder="1" applyAlignment="1">
      <alignment vertical="top"/>
    </xf>
    <xf numFmtId="0" fontId="14" fillId="4" borderId="0" xfId="114" applyFont="1" applyFill="1" applyBorder="1"/>
    <xf numFmtId="0" fontId="14" fillId="4" borderId="0" xfId="114" applyFont="1" applyFill="1" applyBorder="1" applyAlignment="1"/>
    <xf numFmtId="0" fontId="14" fillId="4" borderId="0" xfId="114" applyFont="1" applyFill="1" applyBorder="1" applyAlignment="1">
      <alignment vertical="top"/>
    </xf>
    <xf numFmtId="0" fontId="17" fillId="4" borderId="0" xfId="114" applyFont="1" applyFill="1" applyBorder="1"/>
    <xf numFmtId="0" fontId="17" fillId="0" borderId="0" xfId="114" applyFont="1" applyFill="1" applyBorder="1"/>
    <xf numFmtId="0" fontId="4" fillId="0" borderId="56" xfId="114" applyFont="1" applyFill="1" applyBorder="1" applyAlignment="1" applyProtection="1">
      <alignment horizontal="left" vertical="center" wrapText="1"/>
    </xf>
    <xf numFmtId="0" fontId="18" fillId="4" borderId="0" xfId="78" applyFont="1" applyFill="1" applyBorder="1" applyAlignment="1">
      <alignment horizontal="left" vertical="center"/>
    </xf>
    <xf numFmtId="0" fontId="4" fillId="4" borderId="0" xfId="78" applyFont="1" applyFill="1" applyBorder="1" applyAlignment="1">
      <alignment horizontal="left" vertical="center" wrapText="1"/>
    </xf>
    <xf numFmtId="0" fontId="18" fillId="4" borderId="0" xfId="78" applyFont="1" applyFill="1" applyBorder="1" applyAlignment="1">
      <alignment horizontal="left" vertical="center" wrapText="1"/>
    </xf>
    <xf numFmtId="0" fontId="18" fillId="0" borderId="6" xfId="78" applyFont="1" applyFill="1" applyBorder="1" applyAlignment="1" applyProtection="1">
      <alignment horizontal="left" vertical="center" wrapText="1"/>
    </xf>
    <xf numFmtId="2" fontId="4" fillId="4" borderId="0" xfId="78" applyNumberFormat="1" applyFont="1" applyFill="1" applyBorder="1" applyAlignment="1">
      <alignment vertical="center"/>
    </xf>
    <xf numFmtId="0" fontId="105" fillId="4" borderId="0" xfId="78" applyFont="1" applyFill="1" applyBorder="1" applyAlignment="1">
      <alignment horizontal="left" vertical="center" wrapText="1"/>
    </xf>
    <xf numFmtId="0" fontId="105" fillId="4" borderId="0" xfId="78" applyFont="1" applyFill="1" applyBorder="1" applyAlignment="1">
      <alignment vertical="center"/>
    </xf>
    <xf numFmtId="0" fontId="106" fillId="4" borderId="0" xfId="5" applyFont="1" applyFill="1" applyBorder="1" applyAlignment="1">
      <alignment horizontal="center" vertical="center" wrapText="1"/>
    </xf>
    <xf numFmtId="0" fontId="106" fillId="4" borderId="0" xfId="78" applyFont="1" applyFill="1" applyBorder="1" applyAlignment="1">
      <alignment vertical="center"/>
    </xf>
    <xf numFmtId="186" fontId="18" fillId="4" borderId="6" xfId="78" applyNumberFormat="1" applyFont="1" applyFill="1" applyBorder="1" applyAlignment="1" applyProtection="1">
      <alignment horizontal="center" vertical="center"/>
    </xf>
    <xf numFmtId="0" fontId="53" fillId="0" borderId="6" xfId="0" applyFont="1" applyFill="1" applyBorder="1" applyAlignment="1">
      <alignment horizontal="left" vertical="center" wrapText="1"/>
    </xf>
    <xf numFmtId="0" fontId="53" fillId="4" borderId="6" xfId="114" applyFont="1" applyFill="1" applyBorder="1" applyAlignment="1">
      <alignment horizontal="left" vertical="center" wrapText="1" shrinkToFit="1"/>
    </xf>
    <xf numFmtId="0" fontId="53" fillId="0" borderId="6" xfId="0" applyFont="1" applyBorder="1" applyAlignment="1">
      <alignment horizontal="left" vertical="center" wrapText="1" shrinkToFit="1"/>
    </xf>
    <xf numFmtId="0" fontId="53" fillId="4" borderId="6" xfId="114" applyFont="1" applyFill="1" applyBorder="1" applyAlignment="1">
      <alignment horizontal="left" vertical="center" wrapText="1"/>
    </xf>
    <xf numFmtId="0" fontId="53" fillId="0" borderId="6" xfId="0" applyFont="1" applyFill="1" applyBorder="1" applyAlignment="1">
      <alignment horizontal="left" vertical="center" wrapText="1" shrinkToFit="1"/>
    </xf>
    <xf numFmtId="0" fontId="53" fillId="0" borderId="52" xfId="114" applyFont="1" applyFill="1" applyBorder="1" applyAlignment="1">
      <alignment horizontal="left" vertical="center" wrapText="1" shrinkToFit="1"/>
    </xf>
    <xf numFmtId="0" fontId="53" fillId="4" borderId="6" xfId="141" applyFont="1" applyFill="1" applyBorder="1" applyAlignment="1">
      <alignment vertical="center" wrapText="1"/>
    </xf>
    <xf numFmtId="0" fontId="53" fillId="0" borderId="6" xfId="0" applyFont="1" applyBorder="1" applyAlignment="1">
      <alignment wrapText="1"/>
    </xf>
    <xf numFmtId="10" fontId="81" fillId="4" borderId="6" xfId="1" applyNumberFormat="1" applyFont="1" applyFill="1" applyBorder="1"/>
    <xf numFmtId="0" fontId="4" fillId="0" borderId="0" xfId="13" applyFont="1" applyBorder="1" applyAlignment="1">
      <alignment horizontal="center" vertical="center"/>
    </xf>
    <xf numFmtId="0" fontId="18" fillId="3" borderId="6" xfId="13" applyFont="1" applyFill="1" applyBorder="1" applyAlignment="1">
      <alignment horizontal="center" vertical="center"/>
    </xf>
    <xf numFmtId="0" fontId="51" fillId="0" borderId="0" xfId="78" applyFont="1" applyFill="1" applyBorder="1" applyAlignment="1">
      <alignment horizontal="center" vertical="center"/>
    </xf>
    <xf numFmtId="0" fontId="51" fillId="0" borderId="0" xfId="257" applyFont="1" applyFill="1" applyAlignment="1">
      <alignment horizontal="center" vertical="center"/>
    </xf>
    <xf numFmtId="0" fontId="81" fillId="0" borderId="6" xfId="0" applyFont="1" applyBorder="1" applyAlignment="1">
      <alignment horizontal="center"/>
    </xf>
    <xf numFmtId="0" fontId="4" fillId="66" borderId="0" xfId="0" applyFont="1" applyFill="1" applyBorder="1"/>
    <xf numFmtId="0" fontId="4" fillId="66" borderId="0" xfId="0" applyFont="1" applyFill="1" applyBorder="1" applyAlignment="1">
      <alignment horizontal="center" vertical="center"/>
    </xf>
    <xf numFmtId="0" fontId="18" fillId="66" borderId="0" xfId="0" applyFont="1" applyFill="1" applyBorder="1" applyAlignment="1">
      <alignment horizontal="left" vertical="center" wrapText="1"/>
    </xf>
    <xf numFmtId="2" fontId="4" fillId="66" borderId="0" xfId="0" applyNumberFormat="1" applyFont="1" applyFill="1" applyBorder="1"/>
    <xf numFmtId="2" fontId="18" fillId="66" borderId="0" xfId="0" applyNumberFormat="1" applyFont="1" applyFill="1" applyBorder="1" applyAlignment="1">
      <alignment horizontal="right" vertical="top"/>
    </xf>
    <xf numFmtId="2" fontId="18" fillId="66" borderId="0" xfId="0" applyNumberFormat="1" applyFont="1" applyFill="1" applyBorder="1"/>
    <xf numFmtId="0" fontId="82" fillId="66" borderId="0" xfId="0" applyFont="1" applyFill="1" applyBorder="1"/>
    <xf numFmtId="168" fontId="18" fillId="66" borderId="0" xfId="0" applyNumberFormat="1" applyFont="1" applyFill="1" applyBorder="1"/>
    <xf numFmtId="0" fontId="53" fillId="0" borderId="0" xfId="0" applyFont="1" applyFill="1" applyBorder="1" applyAlignment="1">
      <alignment horizontal="left" vertical="center"/>
    </xf>
    <xf numFmtId="0" fontId="18" fillId="39" borderId="6" xfId="0" applyFont="1" applyFill="1" applyBorder="1" applyAlignment="1">
      <alignment horizontal="left" vertical="center" wrapText="1"/>
    </xf>
    <xf numFmtId="2" fontId="18" fillId="39" borderId="6" xfId="0" applyNumberFormat="1" applyFont="1" applyFill="1" applyBorder="1"/>
    <xf numFmtId="10" fontId="18" fillId="4" borderId="6" xfId="1" applyNumberFormat="1" applyFont="1" applyFill="1" applyBorder="1"/>
    <xf numFmtId="0" fontId="14" fillId="31" borderId="0" xfId="78" applyFont="1" applyFill="1"/>
    <xf numFmtId="2" fontId="14" fillId="31" borderId="0" xfId="78" applyNumberFormat="1" applyFont="1" applyFill="1"/>
    <xf numFmtId="2" fontId="79" fillId="0" borderId="6" xfId="3" applyNumberFormat="1" applyFont="1" applyFill="1" applyBorder="1" applyAlignment="1">
      <alignment horizontal="right" vertical="center" wrapText="1"/>
    </xf>
    <xf numFmtId="0" fontId="0" fillId="31" borderId="6" xfId="0" applyFill="1" applyBorder="1" applyAlignment="1">
      <alignment horizontal="center"/>
    </xf>
    <xf numFmtId="2" fontId="0" fillId="31" borderId="6" xfId="0" applyNumberFormat="1" applyFill="1" applyBorder="1" applyAlignment="1">
      <alignment horizontal="center"/>
    </xf>
    <xf numFmtId="2" fontId="3" fillId="31" borderId="6" xfId="0" applyNumberFormat="1" applyFont="1" applyFill="1" applyBorder="1" applyAlignment="1">
      <alignment horizontal="center"/>
    </xf>
    <xf numFmtId="0" fontId="51" fillId="0" borderId="0" xfId="78" applyFont="1" applyFill="1" applyBorder="1" applyAlignment="1">
      <alignment vertical="center"/>
    </xf>
    <xf numFmtId="0" fontId="51" fillId="0" borderId="0" xfId="257" applyFont="1" applyFill="1" applyAlignment="1">
      <alignment vertical="center"/>
    </xf>
    <xf numFmtId="2" fontId="14" fillId="0" borderId="0" xfId="257" applyNumberFormat="1" applyFont="1">
      <alignment vertical="center"/>
    </xf>
    <xf numFmtId="10" fontId="14" fillId="4" borderId="0" xfId="1" applyNumberFormat="1" applyFont="1" applyFill="1" applyAlignment="1">
      <alignment vertical="center"/>
    </xf>
    <xf numFmtId="2" fontId="18" fillId="0" borderId="0" xfId="114" applyNumberFormat="1" applyFont="1" applyFill="1" applyBorder="1"/>
    <xf numFmtId="0" fontId="18" fillId="0" borderId="6" xfId="78" applyFont="1" applyBorder="1" applyAlignment="1">
      <alignment horizontal="left" vertical="center" wrapText="1"/>
    </xf>
    <xf numFmtId="170" fontId="18" fillId="4" borderId="6" xfId="257" applyNumberFormat="1" applyFont="1" applyFill="1" applyBorder="1" applyAlignment="1">
      <alignment horizontal="center" vertical="center"/>
    </xf>
    <xf numFmtId="2" fontId="18" fillId="0" borderId="6" xfId="78" applyNumberFormat="1" applyFont="1" applyBorder="1" applyAlignment="1">
      <alignment horizontal="center" vertical="center"/>
    </xf>
    <xf numFmtId="2" fontId="18" fillId="4" borderId="6" xfId="6" applyNumberFormat="1" applyFont="1" applyFill="1" applyBorder="1" applyAlignment="1">
      <alignment horizontal="center" vertical="center"/>
    </xf>
    <xf numFmtId="2" fontId="18" fillId="0" borderId="6" xfId="78" applyNumberFormat="1" applyFont="1" applyBorder="1" applyAlignment="1">
      <alignment horizontal="center"/>
    </xf>
    <xf numFmtId="0" fontId="82" fillId="3" borderId="6" xfId="0" applyFont="1" applyFill="1" applyBorder="1" applyAlignment="1">
      <alignment horizontal="center" vertical="center" wrapText="1"/>
    </xf>
    <xf numFmtId="2" fontId="81" fillId="0" borderId="6" xfId="0" applyNumberFormat="1" applyFont="1" applyBorder="1" applyAlignment="1">
      <alignment horizontal="center" vertical="center"/>
    </xf>
    <xf numFmtId="0" fontId="81" fillId="0" borderId="6" xfId="0" applyFont="1" applyBorder="1" applyAlignment="1">
      <alignment horizontal="center" vertical="center"/>
    </xf>
    <xf numFmtId="0" fontId="81" fillId="0" borderId="6" xfId="0" applyFont="1" applyBorder="1" applyAlignment="1">
      <alignment vertical="center"/>
    </xf>
    <xf numFmtId="0" fontId="81" fillId="0" borderId="0" xfId="0" applyFont="1" applyBorder="1" applyAlignment="1">
      <alignment horizontal="center" vertical="center"/>
    </xf>
    <xf numFmtId="0" fontId="82" fillId="0" borderId="6" xfId="0" applyFont="1" applyBorder="1" applyAlignment="1">
      <alignment horizontal="center" vertical="center"/>
    </xf>
    <xf numFmtId="0" fontId="116" fillId="0" borderId="0" xfId="112" applyFont="1" applyFill="1"/>
    <xf numFmtId="0" fontId="117" fillId="0" borderId="6" xfId="0" applyFont="1" applyFill="1" applyBorder="1" applyAlignment="1">
      <alignment vertical="center"/>
    </xf>
    <xf numFmtId="0" fontId="117" fillId="0" borderId="6" xfId="0" applyFont="1" applyFill="1" applyBorder="1" applyAlignment="1">
      <alignment vertical="center" wrapText="1"/>
    </xf>
    <xf numFmtId="167" fontId="117" fillId="0" borderId="6" xfId="112" applyNumberFormat="1" applyFont="1" applyBorder="1"/>
    <xf numFmtId="1" fontId="117" fillId="0" borderId="6" xfId="112" applyNumberFormat="1" applyFont="1" applyBorder="1"/>
    <xf numFmtId="9" fontId="116" fillId="0" borderId="6" xfId="112" applyNumberFormat="1" applyFont="1" applyBorder="1"/>
    <xf numFmtId="2" fontId="116" fillId="0" borderId="0" xfId="112" applyNumberFormat="1" applyFont="1"/>
    <xf numFmtId="0" fontId="116" fillId="37" borderId="6" xfId="112" applyFont="1" applyFill="1" applyBorder="1" applyAlignment="1">
      <alignment horizontal="right"/>
    </xf>
    <xf numFmtId="10" fontId="116" fillId="37" borderId="6" xfId="112" applyNumberFormat="1" applyFont="1" applyFill="1" applyBorder="1"/>
    <xf numFmtId="2" fontId="116" fillId="37" borderId="6" xfId="112" applyNumberFormat="1" applyFont="1" applyFill="1" applyBorder="1"/>
    <xf numFmtId="0" fontId="117" fillId="37" borderId="6" xfId="0" applyFont="1" applyFill="1" applyBorder="1" applyAlignment="1">
      <alignment vertical="center" wrapText="1"/>
    </xf>
    <xf numFmtId="1" fontId="116" fillId="37" borderId="6" xfId="112" applyNumberFormat="1" applyFont="1" applyFill="1" applyBorder="1"/>
    <xf numFmtId="1" fontId="117" fillId="37" borderId="6" xfId="112" applyNumberFormat="1" applyFont="1" applyFill="1" applyBorder="1"/>
    <xf numFmtId="1" fontId="116" fillId="0" borderId="0" xfId="112" applyNumberFormat="1" applyFont="1" applyBorder="1"/>
    <xf numFmtId="1" fontId="116" fillId="0" borderId="0" xfId="112" applyNumberFormat="1" applyFont="1" applyBorder="1" applyAlignment="1">
      <alignment horizontal="right"/>
    </xf>
    <xf numFmtId="2" fontId="117" fillId="0" borderId="0" xfId="112" applyNumberFormat="1" applyFont="1" applyBorder="1" applyAlignment="1">
      <alignment horizontal="right"/>
    </xf>
    <xf numFmtId="2" fontId="116" fillId="0" borderId="0" xfId="112" applyNumberFormat="1" applyFont="1" applyBorder="1" applyAlignment="1">
      <alignment horizontal="right"/>
    </xf>
    <xf numFmtId="0" fontId="116" fillId="0" borderId="6" xfId="112" applyFont="1" applyBorder="1" applyAlignment="1">
      <alignment horizontal="center"/>
    </xf>
    <xf numFmtId="0" fontId="117" fillId="0" borderId="6" xfId="112" applyFont="1" applyBorder="1" applyAlignment="1">
      <alignment horizontal="center"/>
    </xf>
    <xf numFmtId="0" fontId="116" fillId="37" borderId="6" xfId="112" applyFont="1" applyFill="1" applyBorder="1" applyAlignment="1">
      <alignment horizontal="center"/>
    </xf>
    <xf numFmtId="2" fontId="117" fillId="37" borderId="6" xfId="112" applyNumberFormat="1" applyFont="1" applyFill="1" applyBorder="1" applyAlignment="1">
      <alignment horizontal="right"/>
    </xf>
    <xf numFmtId="0" fontId="117" fillId="37" borderId="6" xfId="112" applyFont="1" applyFill="1" applyBorder="1" applyAlignment="1">
      <alignment horizontal="center"/>
    </xf>
    <xf numFmtId="0" fontId="117" fillId="37" borderId="6" xfId="112" applyFont="1" applyFill="1" applyBorder="1"/>
    <xf numFmtId="0" fontId="116" fillId="67" borderId="0" xfId="112" applyFont="1" applyFill="1"/>
    <xf numFmtId="0" fontId="116" fillId="0" borderId="0" xfId="112" applyFont="1" applyAlignment="1">
      <alignment vertical="center"/>
    </xf>
    <xf numFmtId="0" fontId="117" fillId="3" borderId="6" xfId="112" applyFont="1" applyFill="1" applyBorder="1" applyAlignment="1">
      <alignment vertical="center"/>
    </xf>
    <xf numFmtId="2" fontId="116" fillId="37" borderId="6" xfId="1" applyNumberFormat="1" applyFont="1" applyFill="1" applyBorder="1" applyAlignment="1">
      <alignment horizontal="right"/>
    </xf>
    <xf numFmtId="0" fontId="220" fillId="0" borderId="0" xfId="0" applyFont="1" applyAlignment="1">
      <alignment vertical="center"/>
    </xf>
    <xf numFmtId="0" fontId="82" fillId="0" borderId="0" xfId="0" applyFont="1" applyAlignment="1">
      <alignment horizontal="center" vertical="center"/>
    </xf>
    <xf numFmtId="2" fontId="82" fillId="0" borderId="0" xfId="0" applyNumberFormat="1" applyFont="1" applyAlignment="1">
      <alignment vertical="center"/>
    </xf>
    <xf numFmtId="0" fontId="82" fillId="0" borderId="0" xfId="0" applyFont="1" applyAlignment="1">
      <alignment horizontal="left" vertical="center"/>
    </xf>
    <xf numFmtId="1" fontId="81" fillId="0" borderId="0" xfId="0" applyNumberFormat="1" applyFont="1" applyBorder="1" applyAlignment="1">
      <alignment horizontal="center" vertical="center"/>
    </xf>
    <xf numFmtId="10" fontId="81" fillId="0" borderId="0" xfId="0" applyNumberFormat="1" applyFont="1" applyBorder="1" applyAlignment="1">
      <alignment horizontal="center" vertical="center"/>
    </xf>
    <xf numFmtId="10" fontId="81" fillId="0" borderId="0" xfId="1" applyNumberFormat="1" applyFont="1" applyBorder="1" applyAlignment="1">
      <alignment horizontal="center" vertical="center"/>
    </xf>
    <xf numFmtId="0" fontId="81" fillId="4" borderId="56" xfId="0" applyFont="1" applyFill="1" applyBorder="1" applyAlignment="1">
      <alignment wrapText="1"/>
    </xf>
    <xf numFmtId="9" fontId="81" fillId="0" borderId="0" xfId="1" applyFont="1"/>
    <xf numFmtId="215" fontId="81" fillId="0" borderId="0" xfId="1" applyNumberFormat="1" applyFont="1"/>
    <xf numFmtId="10" fontId="81" fillId="0" borderId="0" xfId="1" applyNumberFormat="1" applyFont="1" applyAlignment="1">
      <alignment horizontal="center"/>
    </xf>
    <xf numFmtId="0" fontId="222" fillId="68" borderId="6" xfId="0" applyFont="1" applyFill="1" applyBorder="1" applyAlignment="1">
      <alignment horizontal="justify" vertical="top" wrapText="1"/>
    </xf>
    <xf numFmtId="0" fontId="221" fillId="0" borderId="6" xfId="0" applyFont="1" applyBorder="1" applyAlignment="1">
      <alignment horizontal="justify" vertical="top" wrapText="1"/>
    </xf>
    <xf numFmtId="0" fontId="224" fillId="0" borderId="6" xfId="0" applyFont="1" applyBorder="1" applyAlignment="1">
      <alignment horizontal="justify" wrapText="1"/>
    </xf>
    <xf numFmtId="0" fontId="224" fillId="0" borderId="6" xfId="0" applyFont="1" applyBorder="1" applyAlignment="1">
      <alignment horizontal="right" wrapText="1"/>
    </xf>
    <xf numFmtId="0" fontId="224" fillId="0" borderId="6" xfId="0" applyFont="1" applyBorder="1" applyAlignment="1">
      <alignment horizontal="right" vertical="top" wrapText="1"/>
    </xf>
    <xf numFmtId="0" fontId="223" fillId="0" borderId="6" xfId="0" applyFont="1" applyBorder="1" applyAlignment="1">
      <alignment horizontal="justify" wrapText="1"/>
    </xf>
    <xf numFmtId="0" fontId="223" fillId="0" borderId="6" xfId="0" applyFont="1" applyBorder="1" applyAlignment="1">
      <alignment horizontal="right" wrapText="1"/>
    </xf>
    <xf numFmtId="0" fontId="223" fillId="0" borderId="6" xfId="0" applyFont="1" applyBorder="1" applyAlignment="1">
      <alignment horizontal="right" vertical="top" wrapText="1"/>
    </xf>
    <xf numFmtId="0" fontId="222" fillId="0" borderId="6" xfId="0" applyFont="1" applyBorder="1" applyAlignment="1">
      <alignment horizontal="justify" vertical="top" wrapText="1"/>
    </xf>
    <xf numFmtId="0" fontId="221" fillId="0" borderId="6" xfId="0" applyFont="1" applyBorder="1" applyAlignment="1">
      <alignment horizontal="justify" wrapText="1"/>
    </xf>
    <xf numFmtId="0" fontId="222" fillId="0" borderId="6" xfId="0" applyFont="1" applyBorder="1" applyAlignment="1">
      <alignment horizontal="justify" wrapText="1"/>
    </xf>
    <xf numFmtId="2" fontId="224" fillId="0" borderId="6" xfId="0" applyNumberFormat="1" applyFont="1" applyBorder="1" applyAlignment="1">
      <alignment horizontal="right" vertical="top" wrapText="1"/>
    </xf>
    <xf numFmtId="10" fontId="4" fillId="4" borderId="0" xfId="1" applyNumberFormat="1" applyFont="1" applyFill="1" applyBorder="1" applyAlignment="1">
      <alignment vertical="center"/>
    </xf>
    <xf numFmtId="191" fontId="81" fillId="0" borderId="6" xfId="1" applyNumberFormat="1" applyFont="1" applyBorder="1" applyAlignment="1">
      <alignment horizontal="center"/>
    </xf>
    <xf numFmtId="0" fontId="116" fillId="0" borderId="6" xfId="0" applyFont="1" applyBorder="1" applyAlignment="1">
      <alignment horizontal="center"/>
    </xf>
    <xf numFmtId="2" fontId="116" fillId="0" borderId="6" xfId="0" applyNumberFormat="1" applyFont="1" applyBorder="1" applyAlignment="1">
      <alignment horizontal="center"/>
    </xf>
    <xf numFmtId="0" fontId="117" fillId="3" borderId="6" xfId="0" applyFont="1" applyFill="1" applyBorder="1" applyAlignment="1">
      <alignment horizontal="center" vertical="center"/>
    </xf>
    <xf numFmtId="0" fontId="117" fillId="3" borderId="56" xfId="0" applyFont="1" applyFill="1" applyBorder="1" applyAlignment="1">
      <alignment horizontal="center" vertical="center"/>
    </xf>
    <xf numFmtId="0" fontId="116" fillId="0" borderId="0" xfId="0" applyFont="1" applyBorder="1" applyAlignment="1">
      <alignment horizontal="center"/>
    </xf>
    <xf numFmtId="4" fontId="116" fillId="0" borderId="0" xfId="112" applyNumberFormat="1" applyFont="1"/>
    <xf numFmtId="2" fontId="0" fillId="31" borderId="52" xfId="0" applyNumberFormat="1" applyFont="1" applyFill="1" applyBorder="1" applyAlignment="1">
      <alignment vertical="center"/>
    </xf>
    <xf numFmtId="0" fontId="225" fillId="0" borderId="0" xfId="0" applyFont="1"/>
    <xf numFmtId="0" fontId="226" fillId="0" borderId="147" xfId="0" applyFont="1" applyBorder="1" applyAlignment="1">
      <alignment wrapText="1"/>
    </xf>
    <xf numFmtId="0" fontId="226" fillId="0" borderId="148" xfId="0" applyFont="1" applyBorder="1" applyAlignment="1">
      <alignment wrapText="1"/>
    </xf>
    <xf numFmtId="4" fontId="226" fillId="0" borderId="148" xfId="0" applyNumberFormat="1" applyFont="1" applyBorder="1" applyAlignment="1">
      <alignment horizontal="right" wrapText="1"/>
    </xf>
    <xf numFmtId="0" fontId="226" fillId="0" borderId="133" xfId="0" applyFont="1" applyBorder="1" applyAlignment="1">
      <alignment wrapText="1"/>
    </xf>
    <xf numFmtId="0" fontId="226" fillId="0" borderId="134" xfId="0" applyFont="1" applyBorder="1" applyAlignment="1">
      <alignment wrapText="1"/>
    </xf>
    <xf numFmtId="0" fontId="226" fillId="0" borderId="134" xfId="0" applyFont="1" applyBorder="1" applyAlignment="1">
      <alignment horizontal="right" wrapText="1"/>
    </xf>
    <xf numFmtId="4" fontId="226" fillId="0" borderId="134" xfId="0" applyNumberFormat="1" applyFont="1" applyBorder="1" applyAlignment="1">
      <alignment horizontal="right" wrapText="1"/>
    </xf>
    <xf numFmtId="0" fontId="227" fillId="0" borderId="134" xfId="0" applyFont="1" applyBorder="1" applyAlignment="1">
      <alignment wrapText="1"/>
    </xf>
    <xf numFmtId="0" fontId="227" fillId="0" borderId="134" xfId="0" applyFont="1" applyBorder="1" applyAlignment="1">
      <alignment horizontal="right" wrapText="1"/>
    </xf>
    <xf numFmtId="2" fontId="81" fillId="0" borderId="6" xfId="0" applyNumberFormat="1" applyFont="1" applyBorder="1" applyAlignment="1">
      <alignment horizontal="center" vertical="center"/>
    </xf>
    <xf numFmtId="0" fontId="81" fillId="0" borderId="6" xfId="0" applyFont="1" applyBorder="1" applyAlignment="1">
      <alignment horizontal="center" vertical="center"/>
    </xf>
    <xf numFmtId="0" fontId="81" fillId="0" borderId="6" xfId="0" applyFont="1" applyBorder="1" applyAlignment="1">
      <alignment vertical="center"/>
    </xf>
    <xf numFmtId="10" fontId="2" fillId="0" borderId="6" xfId="1" applyNumberFormat="1" applyFont="1" applyBorder="1"/>
    <xf numFmtId="10" fontId="0" fillId="0" borderId="6" xfId="0" applyNumberFormat="1" applyFont="1" applyFill="1" applyBorder="1"/>
    <xf numFmtId="0" fontId="0" fillId="0" borderId="0" xfId="0" applyFill="1" applyBorder="1"/>
    <xf numFmtId="10" fontId="0" fillId="0" borderId="0" xfId="0" applyNumberFormat="1" applyBorder="1"/>
    <xf numFmtId="1" fontId="73" fillId="64" borderId="20" xfId="0" applyNumberFormat="1" applyFont="1" applyFill="1" applyBorder="1" applyAlignment="1">
      <alignment horizontal="center"/>
    </xf>
    <xf numFmtId="1" fontId="73" fillId="64" borderId="19" xfId="0" applyNumberFormat="1" applyFont="1" applyFill="1" applyBorder="1" applyAlignment="1">
      <alignment horizontal="center"/>
    </xf>
    <xf numFmtId="9" fontId="73" fillId="64" borderId="21" xfId="0" quotePrefix="1" applyNumberFormat="1" applyFont="1" applyFill="1" applyBorder="1" applyAlignment="1">
      <alignment horizontal="center"/>
    </xf>
    <xf numFmtId="0" fontId="73" fillId="64" borderId="37" xfId="0" applyFont="1" applyFill="1" applyBorder="1" applyAlignment="1"/>
    <xf numFmtId="0" fontId="73" fillId="64" borderId="24" xfId="0" applyFont="1" applyFill="1" applyBorder="1" applyAlignment="1"/>
    <xf numFmtId="2" fontId="73" fillId="64" borderId="19" xfId="0" applyNumberFormat="1" applyFont="1" applyFill="1" applyBorder="1"/>
    <xf numFmtId="2" fontId="73" fillId="64" borderId="19" xfId="0" applyNumberFormat="1" applyFont="1" applyFill="1" applyBorder="1" applyAlignment="1"/>
    <xf numFmtId="2" fontId="73" fillId="64" borderId="37" xfId="0" applyNumberFormat="1" applyFont="1" applyFill="1" applyBorder="1" applyAlignment="1">
      <alignment vertical="center"/>
    </xf>
    <xf numFmtId="0" fontId="0" fillId="64" borderId="0" xfId="0" applyFill="1"/>
    <xf numFmtId="0" fontId="4" fillId="4" borderId="6" xfId="114" applyFont="1" applyFill="1" applyBorder="1" applyAlignment="1">
      <alignment horizontal="center" wrapText="1"/>
    </xf>
    <xf numFmtId="2" fontId="54" fillId="0" borderId="0" xfId="78" applyNumberFormat="1" applyFont="1" applyFill="1"/>
    <xf numFmtId="187" fontId="18" fillId="31" borderId="6" xfId="6" applyNumberFormat="1" applyFont="1" applyFill="1" applyBorder="1">
      <alignment vertical="center"/>
    </xf>
    <xf numFmtId="43" fontId="81" fillId="0" borderId="6" xfId="0" applyNumberFormat="1" applyFont="1" applyBorder="1" applyAlignment="1">
      <alignment horizontal="center" vertical="center" wrapText="1"/>
    </xf>
    <xf numFmtId="0" fontId="81" fillId="4" borderId="0" xfId="0" applyFont="1" applyFill="1" applyBorder="1" applyAlignment="1">
      <alignment horizontal="center" vertical="center"/>
    </xf>
    <xf numFmtId="0" fontId="4" fillId="0" borderId="6" xfId="78" applyFont="1" applyBorder="1" applyAlignment="1">
      <alignment horizontal="center"/>
    </xf>
    <xf numFmtId="0" fontId="81" fillId="0" borderId="6" xfId="0" applyFont="1" applyBorder="1" applyAlignment="1">
      <alignment horizontal="center"/>
    </xf>
    <xf numFmtId="2" fontId="0" fillId="61" borderId="0" xfId="0" applyNumberFormat="1" applyFont="1" applyFill="1"/>
    <xf numFmtId="0" fontId="213" fillId="0" borderId="0" xfId="78" applyFont="1" applyFill="1"/>
    <xf numFmtId="165" fontId="54" fillId="0" borderId="6" xfId="78" applyNumberFormat="1" applyFont="1" applyFill="1" applyBorder="1"/>
    <xf numFmtId="0" fontId="54" fillId="0" borderId="6" xfId="78" applyFont="1" applyFill="1" applyBorder="1"/>
    <xf numFmtId="0" fontId="54" fillId="0" borderId="0" xfId="78" applyFont="1" applyFill="1" applyAlignment="1">
      <alignment horizontal="center"/>
    </xf>
    <xf numFmtId="2" fontId="4" fillId="4" borderId="54" xfId="0" applyNumberFormat="1" applyFont="1" applyFill="1" applyBorder="1" applyAlignment="1">
      <alignment horizontal="center"/>
    </xf>
    <xf numFmtId="0" fontId="117" fillId="69" borderId="6" xfId="0" applyFont="1" applyFill="1" applyBorder="1" applyAlignment="1">
      <alignment horizontal="center" vertical="center" wrapText="1"/>
    </xf>
    <xf numFmtId="167" fontId="116" fillId="0" borderId="6" xfId="0" applyNumberFormat="1" applyFont="1" applyBorder="1"/>
    <xf numFmtId="0" fontId="82" fillId="3" borderId="6" xfId="0" applyFont="1" applyFill="1" applyBorder="1" applyAlignment="1">
      <alignment horizontal="center" vertical="center"/>
    </xf>
    <xf numFmtId="0" fontId="81" fillId="0" borderId="6" xfId="0" applyFont="1" applyBorder="1" applyAlignment="1">
      <alignment horizontal="center"/>
    </xf>
    <xf numFmtId="165" fontId="9" fillId="0" borderId="6" xfId="78" applyNumberFormat="1" applyFont="1" applyFill="1" applyBorder="1"/>
    <xf numFmtId="0" fontId="13" fillId="0" borderId="6" xfId="78" applyFont="1" applyFill="1" applyBorder="1" applyAlignment="1">
      <alignment vertical="center"/>
    </xf>
    <xf numFmtId="0" fontId="9" fillId="0" borderId="0" xfId="78" applyFont="1" applyFill="1" applyAlignment="1">
      <alignment vertical="center"/>
    </xf>
    <xf numFmtId="0" fontId="9" fillId="0" borderId="0" xfId="78" applyFont="1" applyFill="1" applyAlignment="1">
      <alignment horizontal="right" vertical="center"/>
    </xf>
    <xf numFmtId="2" fontId="9" fillId="0" borderId="6" xfId="78" applyNumberFormat="1" applyFont="1" applyFill="1" applyBorder="1"/>
    <xf numFmtId="187" fontId="81" fillId="0" borderId="6" xfId="0" applyNumberFormat="1" applyFont="1" applyBorder="1" applyAlignment="1">
      <alignment horizontal="right" vertical="center"/>
    </xf>
    <xf numFmtId="187" fontId="82" fillId="0" borderId="6" xfId="0" applyNumberFormat="1" applyFont="1" applyBorder="1" applyAlignment="1">
      <alignment horizontal="right" vertical="center"/>
    </xf>
    <xf numFmtId="2" fontId="81" fillId="0" borderId="0" xfId="0" applyNumberFormat="1" applyFont="1" applyAlignment="1">
      <alignment horizontal="right" vertical="center"/>
    </xf>
    <xf numFmtId="0" fontId="4" fillId="4" borderId="6" xfId="0" applyFont="1" applyFill="1" applyBorder="1" applyAlignment="1"/>
    <xf numFmtId="2" fontId="18" fillId="4" borderId="6" xfId="0" applyNumberFormat="1" applyFont="1" applyFill="1" applyBorder="1" applyAlignment="1"/>
    <xf numFmtId="167" fontId="117" fillId="0" borderId="6" xfId="0" applyNumberFormat="1" applyFont="1" applyBorder="1"/>
    <xf numFmtId="216" fontId="81" fillId="0" borderId="0" xfId="0" applyNumberFormat="1" applyFont="1"/>
    <xf numFmtId="0" fontId="82" fillId="0" borderId="0" xfId="0" applyFont="1"/>
    <xf numFmtId="10" fontId="81" fillId="0" borderId="6" xfId="0" applyNumberFormat="1" applyFont="1" applyBorder="1"/>
    <xf numFmtId="2" fontId="4" fillId="4" borderId="0" xfId="3" applyNumberFormat="1" applyFont="1" applyFill="1" applyBorder="1" applyAlignment="1">
      <alignment vertical="center"/>
    </xf>
    <xf numFmtId="10" fontId="18" fillId="4" borderId="0" xfId="1" applyNumberFormat="1" applyFont="1" applyFill="1" applyBorder="1" applyAlignment="1">
      <alignment horizontal="right" vertical="center"/>
    </xf>
    <xf numFmtId="0" fontId="18" fillId="4" borderId="0" xfId="3" applyFont="1" applyFill="1" applyBorder="1" applyAlignment="1">
      <alignment horizontal="center" vertical="top"/>
    </xf>
    <xf numFmtId="0" fontId="18" fillId="4" borderId="0" xfId="5" applyFont="1" applyFill="1" applyAlignment="1">
      <alignment horizontal="center" vertical="center"/>
    </xf>
    <xf numFmtId="0" fontId="18" fillId="4" borderId="0" xfId="3" applyFont="1" applyFill="1" applyBorder="1" applyAlignment="1">
      <alignment horizontal="center" vertical="center"/>
    </xf>
    <xf numFmtId="0" fontId="82" fillId="3" borderId="6" xfId="0" applyFont="1" applyFill="1" applyBorder="1" applyAlignment="1">
      <alignment horizontal="center" vertical="center" wrapText="1"/>
    </xf>
    <xf numFmtId="0" fontId="82" fillId="3" borderId="6" xfId="0" applyFont="1" applyFill="1" applyBorder="1" applyAlignment="1">
      <alignment horizontal="center" vertical="center"/>
    </xf>
    <xf numFmtId="0" fontId="18" fillId="4" borderId="0" xfId="78" applyFont="1" applyFill="1" applyBorder="1" applyAlignment="1">
      <alignment horizontal="center" vertical="center"/>
    </xf>
    <xf numFmtId="0" fontId="18" fillId="5" borderId="6" xfId="6" applyFont="1" applyFill="1" applyBorder="1" applyAlignment="1">
      <alignment horizontal="center" vertical="center" wrapText="1"/>
    </xf>
    <xf numFmtId="0" fontId="18" fillId="4" borderId="0" xfId="0" applyFont="1" applyFill="1" applyBorder="1" applyAlignment="1">
      <alignment horizontal="center" vertical="center"/>
    </xf>
    <xf numFmtId="0" fontId="18" fillId="3" borderId="6" xfId="0" applyFont="1" applyFill="1" applyBorder="1" applyAlignment="1">
      <alignment horizontal="center" vertical="center" wrapText="1"/>
    </xf>
    <xf numFmtId="2" fontId="4" fillId="0" borderId="6" xfId="13" applyNumberFormat="1" applyFont="1" applyFill="1" applyBorder="1" applyAlignment="1">
      <alignment horizontal="center" vertical="center"/>
    </xf>
    <xf numFmtId="0" fontId="18" fillId="3" borderId="6" xfId="6" applyFont="1" applyFill="1" applyBorder="1" applyAlignment="1">
      <alignment horizontal="center" vertical="center" wrapText="1"/>
    </xf>
    <xf numFmtId="0" fontId="18" fillId="3" borderId="52" xfId="6" applyFont="1" applyFill="1" applyBorder="1" applyAlignment="1">
      <alignment horizontal="center" vertical="center" wrapText="1"/>
    </xf>
    <xf numFmtId="0" fontId="18" fillId="0" borderId="0" xfId="114" applyFont="1" applyFill="1" applyBorder="1" applyAlignment="1">
      <alignment horizontal="center" vertical="center"/>
    </xf>
    <xf numFmtId="0" fontId="18" fillId="4" borderId="0" xfId="3" applyFont="1" applyFill="1" applyBorder="1" applyAlignment="1">
      <alignment horizontal="center" vertical="top" wrapText="1"/>
    </xf>
    <xf numFmtId="0" fontId="81" fillId="0" borderId="6" xfId="0" applyFont="1" applyBorder="1" applyAlignment="1">
      <alignment vertical="center"/>
    </xf>
    <xf numFmtId="0" fontId="82" fillId="0" borderId="0" xfId="0" applyFont="1" applyBorder="1" applyAlignment="1">
      <alignment horizontal="left" vertical="center"/>
    </xf>
    <xf numFmtId="2" fontId="81" fillId="0" borderId="52" xfId="0" applyNumberFormat="1" applyFont="1" applyBorder="1" applyAlignment="1">
      <alignment horizontal="center" vertical="center"/>
    </xf>
    <xf numFmtId="0" fontId="4" fillId="0" borderId="6" xfId="13" applyFont="1" applyFill="1" applyBorder="1" applyAlignment="1">
      <alignment horizontal="center" vertical="center"/>
    </xf>
    <xf numFmtId="0" fontId="4" fillId="0" borderId="6" xfId="6" applyFont="1" applyFill="1" applyBorder="1" applyAlignment="1">
      <alignment vertical="center"/>
    </xf>
    <xf numFmtId="0" fontId="79" fillId="0" borderId="6" xfId="3" applyFont="1" applyFill="1" applyBorder="1" applyAlignment="1">
      <alignment vertical="center"/>
    </xf>
    <xf numFmtId="2" fontId="79" fillId="0" borderId="6" xfId="3" applyNumberFormat="1" applyFont="1" applyFill="1" applyBorder="1" applyAlignment="1">
      <alignment vertical="center"/>
    </xf>
    <xf numFmtId="2" fontId="81" fillId="0" borderId="6" xfId="3" applyNumberFormat="1" applyFont="1" applyFill="1" applyBorder="1" applyAlignment="1">
      <alignment horizontal="right" vertical="center" wrapText="1"/>
    </xf>
    <xf numFmtId="0" fontId="4" fillId="0" borderId="6" xfId="13" applyFont="1" applyFill="1" applyBorder="1" applyAlignment="1">
      <alignment vertical="center"/>
    </xf>
    <xf numFmtId="2" fontId="4" fillId="0" borderId="6" xfId="13" applyNumberFormat="1" applyFont="1" applyFill="1" applyBorder="1" applyAlignment="1">
      <alignment vertical="center"/>
    </xf>
    <xf numFmtId="2" fontId="79" fillId="0" borderId="6" xfId="3" applyNumberFormat="1" applyFont="1" applyFill="1" applyBorder="1" applyAlignment="1">
      <alignment horizontal="right" vertical="center"/>
    </xf>
    <xf numFmtId="2" fontId="4" fillId="0" borderId="6" xfId="6" applyNumberFormat="1" applyFont="1" applyFill="1" applyBorder="1" applyAlignment="1">
      <alignment vertical="center"/>
    </xf>
    <xf numFmtId="2" fontId="81" fillId="0" borderId="6" xfId="13" applyNumberFormat="1" applyFont="1" applyFill="1" applyBorder="1" applyAlignment="1">
      <alignment horizontal="right" vertical="center"/>
    </xf>
    <xf numFmtId="0" fontId="4" fillId="0" borderId="6" xfId="13" applyFont="1" applyFill="1" applyBorder="1" applyAlignment="1">
      <alignment vertical="center" wrapText="1"/>
    </xf>
    <xf numFmtId="2" fontId="4" fillId="0" borderId="6" xfId="13" applyNumberFormat="1" applyFont="1" applyFill="1" applyBorder="1" applyAlignment="1">
      <alignment vertical="center" wrapText="1"/>
    </xf>
    <xf numFmtId="2" fontId="4" fillId="0" borderId="56" xfId="13" applyNumberFormat="1" applyFont="1" applyFill="1" applyBorder="1" applyAlignment="1">
      <alignment horizontal="right" vertical="center"/>
    </xf>
    <xf numFmtId="2" fontId="4" fillId="0" borderId="6" xfId="3" applyNumberFormat="1" applyFont="1" applyFill="1" applyBorder="1" applyAlignment="1">
      <alignment horizontal="right" vertical="center" wrapText="1"/>
    </xf>
    <xf numFmtId="2" fontId="4" fillId="0" borderId="6" xfId="6" applyNumberFormat="1" applyFont="1" applyFill="1" applyBorder="1" applyAlignment="1">
      <alignment horizontal="right" vertical="center"/>
    </xf>
    <xf numFmtId="2" fontId="81" fillId="0" borderId="6" xfId="6" applyNumberFormat="1" applyFont="1" applyFill="1" applyBorder="1" applyAlignment="1">
      <alignment horizontal="right" vertical="center"/>
    </xf>
    <xf numFmtId="2" fontId="81" fillId="0" borderId="0" xfId="6" applyNumberFormat="1" applyFont="1" applyFill="1" applyAlignment="1">
      <alignment horizontal="right" vertical="center"/>
    </xf>
    <xf numFmtId="0" fontId="80" fillId="0" borderId="6" xfId="3" applyFont="1" applyFill="1" applyBorder="1" applyAlignment="1">
      <alignment vertical="center"/>
    </xf>
    <xf numFmtId="2" fontId="80" fillId="0" borderId="6" xfId="3" applyNumberFormat="1" applyFont="1" applyFill="1" applyBorder="1" applyAlignment="1">
      <alignment vertical="center"/>
    </xf>
    <xf numFmtId="170" fontId="79" fillId="0" borderId="6" xfId="3" applyNumberFormat="1" applyFont="1" applyFill="1" applyBorder="1" applyAlignment="1">
      <alignment horizontal="right" vertical="center" wrapText="1"/>
    </xf>
    <xf numFmtId="0" fontId="79" fillId="0" borderId="6" xfId="3" applyFont="1" applyFill="1" applyBorder="1" applyAlignment="1">
      <alignment vertical="center" wrapText="1"/>
    </xf>
    <xf numFmtId="2" fontId="82" fillId="0" borderId="6" xfId="3" applyNumberFormat="1" applyFont="1" applyFill="1" applyBorder="1" applyAlignment="1">
      <alignment horizontal="right" vertical="center" wrapText="1"/>
    </xf>
    <xf numFmtId="170" fontId="4" fillId="0" borderId="6" xfId="6" applyNumberFormat="1" applyFont="1" applyFill="1" applyBorder="1" applyAlignment="1">
      <alignment horizontal="center" vertical="center"/>
    </xf>
    <xf numFmtId="187" fontId="18" fillId="0" borderId="6" xfId="6" applyNumberFormat="1" applyFont="1" applyFill="1" applyBorder="1" applyAlignment="1">
      <alignment horizontal="right" vertical="center"/>
    </xf>
    <xf numFmtId="0" fontId="18" fillId="0" borderId="0" xfId="114" applyFont="1" applyFill="1" applyBorder="1" applyAlignment="1">
      <alignment horizontal="left" vertical="top"/>
    </xf>
    <xf numFmtId="0" fontId="4" fillId="0" borderId="0" xfId="114" applyFont="1" applyFill="1" applyBorder="1" applyAlignment="1">
      <alignment horizontal="center" vertical="top"/>
    </xf>
    <xf numFmtId="0" fontId="18" fillId="0" borderId="52" xfId="13" applyFont="1" applyFill="1" applyBorder="1" applyAlignment="1">
      <alignment horizontal="right" vertical="center"/>
    </xf>
    <xf numFmtId="0" fontId="18" fillId="0" borderId="6" xfId="13" applyFont="1" applyFill="1" applyBorder="1">
      <alignment vertical="center"/>
    </xf>
    <xf numFmtId="10" fontId="4" fillId="0" borderId="6" xfId="13" applyNumberFormat="1" applyFont="1" applyFill="1" applyBorder="1" applyAlignment="1">
      <alignment horizontal="center" vertical="center"/>
    </xf>
    <xf numFmtId="10" fontId="4" fillId="0" borderId="0" xfId="1" applyNumberFormat="1" applyFont="1" applyFill="1" applyAlignment="1">
      <alignment vertical="center"/>
    </xf>
    <xf numFmtId="0" fontId="18" fillId="0" borderId="0" xfId="13" applyFont="1" applyFill="1" applyAlignment="1">
      <alignment horizontal="right" vertical="center"/>
    </xf>
    <xf numFmtId="2" fontId="4" fillId="0" borderId="6" xfId="0" applyNumberFormat="1" applyFont="1" applyFill="1" applyBorder="1" applyAlignment="1">
      <alignment horizontal="center" vertical="center" wrapText="1"/>
    </xf>
    <xf numFmtId="9" fontId="4" fillId="0" borderId="6" xfId="13" applyNumberFormat="1" applyFont="1" applyFill="1" applyBorder="1" applyAlignment="1">
      <alignment horizontal="center" vertical="center"/>
    </xf>
    <xf numFmtId="2" fontId="81" fillId="0" borderId="6" xfId="0" applyNumberFormat="1" applyFont="1" applyFill="1" applyBorder="1" applyAlignment="1">
      <alignment horizontal="center" vertical="center"/>
    </xf>
    <xf numFmtId="0" fontId="18" fillId="0" borderId="6" xfId="13" applyFont="1" applyFill="1" applyBorder="1" applyAlignment="1">
      <alignment horizontal="center" vertical="center"/>
    </xf>
    <xf numFmtId="0" fontId="18" fillId="0" borderId="6" xfId="114" applyFont="1" applyFill="1" applyBorder="1" applyAlignment="1">
      <alignment vertical="top" wrapText="1"/>
    </xf>
    <xf numFmtId="0" fontId="18" fillId="0" borderId="6" xfId="114" applyFont="1" applyFill="1" applyBorder="1"/>
    <xf numFmtId="2" fontId="4" fillId="0" borderId="6" xfId="114" applyNumberFormat="1" applyFont="1" applyFill="1" applyBorder="1" applyAlignment="1">
      <alignment horizontal="center" vertical="center" wrapText="1"/>
    </xf>
    <xf numFmtId="170" fontId="4" fillId="0" borderId="6" xfId="0" applyNumberFormat="1" applyFont="1" applyFill="1" applyBorder="1" applyAlignment="1">
      <alignment horizontal="center" vertical="top" wrapText="1"/>
    </xf>
    <xf numFmtId="0" fontId="18" fillId="0" borderId="6" xfId="114" applyFont="1" applyFill="1" applyBorder="1" applyAlignment="1">
      <alignment horizontal="center"/>
    </xf>
    <xf numFmtId="170" fontId="4" fillId="0" borderId="6" xfId="0" applyNumberFormat="1" applyFont="1" applyFill="1" applyBorder="1" applyAlignment="1">
      <alignment horizontal="center" vertical="center" wrapText="1"/>
    </xf>
    <xf numFmtId="0" fontId="4" fillId="0" borderId="6" xfId="114" applyFont="1" applyFill="1" applyBorder="1"/>
    <xf numFmtId="0" fontId="18" fillId="0" borderId="6" xfId="114" applyFont="1" applyFill="1" applyBorder="1" applyAlignment="1">
      <alignment horizontal="center" vertical="top"/>
    </xf>
    <xf numFmtId="0" fontId="17" fillId="4" borderId="0" xfId="0" applyFont="1" applyFill="1" applyBorder="1" applyAlignment="1">
      <alignment horizontal="left"/>
    </xf>
    <xf numFmtId="0" fontId="4" fillId="0" borderId="6" xfId="0" applyFont="1" applyFill="1" applyBorder="1" applyAlignment="1">
      <alignment vertical="center"/>
    </xf>
    <xf numFmtId="170" fontId="14" fillId="4" borderId="6" xfId="257" applyNumberFormat="1" applyFont="1" applyFill="1" applyBorder="1" applyAlignment="1">
      <alignment horizontal="right" vertical="center"/>
    </xf>
    <xf numFmtId="0" fontId="116" fillId="0" borderId="6" xfId="0" applyFont="1" applyBorder="1" applyAlignment="1">
      <alignment horizontal="right" vertical="center" wrapText="1"/>
    </xf>
    <xf numFmtId="2" fontId="116" fillId="0" borderId="6" xfId="0" applyNumberFormat="1" applyFont="1" applyBorder="1" applyAlignment="1">
      <alignment horizontal="right" vertical="center" wrapText="1"/>
    </xf>
    <xf numFmtId="0" fontId="14" fillId="0" borderId="6" xfId="257" applyFont="1" applyBorder="1" applyAlignment="1">
      <alignment horizontal="right" vertical="center"/>
    </xf>
    <xf numFmtId="2" fontId="14" fillId="0" borderId="6" xfId="257" applyNumberFormat="1" applyFont="1" applyBorder="1" applyAlignment="1">
      <alignment horizontal="right" vertical="center"/>
    </xf>
    <xf numFmtId="2" fontId="14" fillId="0" borderId="54" xfId="257" applyNumberFormat="1" applyFont="1" applyBorder="1" applyAlignment="1">
      <alignment horizontal="right" vertical="center"/>
    </xf>
    <xf numFmtId="170" fontId="14" fillId="0" borderId="6" xfId="257" applyNumberFormat="1" applyFont="1" applyBorder="1" applyAlignment="1">
      <alignment horizontal="right" vertical="center"/>
    </xf>
    <xf numFmtId="0" fontId="14" fillId="0" borderId="6" xfId="257" applyFont="1" applyBorder="1" applyAlignment="1">
      <alignment horizontal="right" vertical="top" wrapText="1"/>
    </xf>
    <xf numFmtId="0" fontId="17" fillId="0" borderId="6" xfId="257" applyFont="1" applyBorder="1" applyAlignment="1">
      <alignment horizontal="right" vertical="top" wrapText="1"/>
    </xf>
    <xf numFmtId="2" fontId="17" fillId="0" borderId="6" xfId="257" applyNumberFormat="1" applyFont="1" applyBorder="1" applyAlignment="1">
      <alignment horizontal="right" vertical="top" wrapText="1"/>
    </xf>
    <xf numFmtId="170" fontId="17" fillId="0" borderId="6" xfId="257" applyNumberFormat="1" applyFont="1" applyBorder="1" applyAlignment="1">
      <alignment horizontal="right" vertical="center"/>
    </xf>
    <xf numFmtId="2" fontId="17" fillId="0" borderId="6" xfId="257" applyNumberFormat="1" applyFont="1" applyBorder="1" applyAlignment="1">
      <alignment horizontal="right" vertical="center"/>
    </xf>
    <xf numFmtId="2" fontId="17" fillId="0" borderId="54" xfId="257" applyNumberFormat="1" applyFont="1" applyBorder="1" applyAlignment="1">
      <alignment horizontal="right" vertical="center"/>
    </xf>
    <xf numFmtId="0" fontId="81" fillId="0" borderId="6" xfId="0" applyFont="1" applyBorder="1" applyAlignment="1">
      <alignment horizontal="right" wrapText="1"/>
    </xf>
    <xf numFmtId="0" fontId="81" fillId="0" borderId="6" xfId="0" applyFont="1" applyBorder="1" applyAlignment="1">
      <alignment horizontal="right"/>
    </xf>
    <xf numFmtId="9" fontId="81" fillId="0" borderId="6" xfId="1" applyFont="1" applyBorder="1" applyAlignment="1">
      <alignment horizontal="right" wrapText="1"/>
    </xf>
    <xf numFmtId="2" fontId="81" fillId="0" borderId="6" xfId="0" applyNumberFormat="1" applyFont="1" applyBorder="1" applyAlignment="1">
      <alignment horizontal="right" wrapText="1"/>
    </xf>
    <xf numFmtId="0" fontId="81" fillId="3" borderId="6" xfId="0" applyFont="1" applyFill="1" applyBorder="1" applyAlignment="1">
      <alignment vertical="center"/>
    </xf>
    <xf numFmtId="0" fontId="81" fillId="3" borderId="54" xfId="0" applyFont="1" applyFill="1" applyBorder="1" applyAlignment="1">
      <alignment vertical="center"/>
    </xf>
    <xf numFmtId="200" fontId="81" fillId="0" borderId="6" xfId="486" applyNumberFormat="1" applyFont="1" applyBorder="1" applyAlignment="1">
      <alignment horizontal="right" vertical="center"/>
    </xf>
    <xf numFmtId="200" fontId="81" fillId="0" borderId="54" xfId="486" applyNumberFormat="1" applyFont="1" applyBorder="1" applyAlignment="1">
      <alignment horizontal="right" vertical="center"/>
    </xf>
    <xf numFmtId="200" fontId="81" fillId="0" borderId="52" xfId="486" applyNumberFormat="1" applyFont="1" applyBorder="1" applyAlignment="1">
      <alignment horizontal="right" vertical="center"/>
    </xf>
    <xf numFmtId="200" fontId="82" fillId="0" borderId="27" xfId="486" applyNumberFormat="1" applyFont="1" applyBorder="1" applyAlignment="1">
      <alignment horizontal="right" vertical="center"/>
    </xf>
    <xf numFmtId="200" fontId="81" fillId="0" borderId="8" xfId="486" applyNumberFormat="1" applyFont="1" applyBorder="1" applyAlignment="1">
      <alignment horizontal="right" vertical="center"/>
    </xf>
    <xf numFmtId="2" fontId="81" fillId="0" borderId="17" xfId="0" applyNumberFormat="1" applyFont="1" applyBorder="1" applyAlignment="1">
      <alignment horizontal="center" vertical="center"/>
    </xf>
    <xf numFmtId="200" fontId="81" fillId="0" borderId="56" xfId="486" applyNumberFormat="1" applyFont="1" applyBorder="1" applyAlignment="1">
      <alignment horizontal="right" vertical="center"/>
    </xf>
    <xf numFmtId="200" fontId="82" fillId="0" borderId="6" xfId="486" applyNumberFormat="1" applyFont="1" applyBorder="1" applyAlignment="1">
      <alignment horizontal="right" vertical="center"/>
    </xf>
    <xf numFmtId="2" fontId="177" fillId="0" borderId="6" xfId="121" applyNumberFormat="1" applyFont="1" applyFill="1" applyBorder="1"/>
    <xf numFmtId="0" fontId="18" fillId="0" borderId="0" xfId="13" applyFont="1" applyFill="1" applyAlignment="1">
      <alignment vertical="center"/>
    </xf>
    <xf numFmtId="2" fontId="116" fillId="0" borderId="6" xfId="0" applyNumberFormat="1" applyFont="1" applyBorder="1" applyAlignment="1">
      <alignment horizontal="center"/>
    </xf>
    <xf numFmtId="0" fontId="18" fillId="0" borderId="0" xfId="3" applyFont="1" applyBorder="1" applyAlignment="1">
      <alignment horizontal="center"/>
    </xf>
    <xf numFmtId="0" fontId="4" fillId="0" borderId="0" xfId="275" applyFont="1" applyFill="1" applyBorder="1" applyAlignment="1">
      <alignment vertical="top" wrapText="1"/>
    </xf>
    <xf numFmtId="2" fontId="4" fillId="0" borderId="0" xfId="3" applyNumberFormat="1" applyFont="1" applyBorder="1"/>
    <xf numFmtId="2" fontId="18" fillId="0" borderId="0" xfId="3" applyNumberFormat="1" applyFont="1" applyBorder="1"/>
    <xf numFmtId="2" fontId="4" fillId="2" borderId="6" xfId="275" applyNumberFormat="1" applyFont="1" applyFill="1" applyBorder="1" applyAlignment="1">
      <alignment vertical="top" wrapText="1"/>
    </xf>
    <xf numFmtId="0" fontId="4" fillId="0" borderId="6" xfId="3" quotePrefix="1" applyFont="1" applyFill="1" applyBorder="1" applyAlignment="1">
      <alignment horizontal="right" vertical="top" wrapText="1"/>
    </xf>
    <xf numFmtId="0" fontId="54" fillId="0" borderId="0" xfId="3" applyFont="1" applyBorder="1"/>
    <xf numFmtId="2" fontId="94" fillId="0" borderId="0" xfId="3" applyNumberFormat="1" applyFont="1" applyBorder="1"/>
    <xf numFmtId="0" fontId="94" fillId="0" borderId="0" xfId="3" applyFont="1" applyBorder="1"/>
    <xf numFmtId="2" fontId="4" fillId="0" borderId="6" xfId="275" applyNumberFormat="1" applyFont="1" applyFill="1" applyBorder="1" applyAlignment="1">
      <alignment vertical="top" wrapText="1"/>
    </xf>
    <xf numFmtId="0" fontId="81" fillId="0" borderId="6" xfId="0" applyFont="1" applyBorder="1" applyAlignment="1">
      <alignment horizontal="center" vertical="center"/>
    </xf>
    <xf numFmtId="0" fontId="82" fillId="3" borderId="6" xfId="0" applyFont="1" applyFill="1" applyBorder="1" applyAlignment="1">
      <alignment horizontal="center" vertical="center" wrapText="1"/>
    </xf>
    <xf numFmtId="170" fontId="4" fillId="65" borderId="6" xfId="0" applyNumberFormat="1" applyFont="1" applyFill="1" applyBorder="1" applyAlignment="1">
      <alignment horizontal="center" vertical="center"/>
    </xf>
    <xf numFmtId="0" fontId="81" fillId="65" borderId="6" xfId="0" applyFont="1" applyFill="1" applyBorder="1" applyAlignment="1">
      <alignment horizontal="center" vertical="center"/>
    </xf>
    <xf numFmtId="2" fontId="94" fillId="65" borderId="6" xfId="0" applyNumberFormat="1" applyFont="1" applyFill="1" applyBorder="1" applyAlignment="1">
      <alignment horizontal="center" vertical="center"/>
    </xf>
    <xf numFmtId="0" fontId="81" fillId="65" borderId="52" xfId="0" applyFont="1" applyFill="1" applyBorder="1" applyAlignment="1">
      <alignment horizontal="center" vertical="center"/>
    </xf>
    <xf numFmtId="170" fontId="18" fillId="0" borderId="6" xfId="114" applyNumberFormat="1" applyFont="1" applyFill="1" applyBorder="1" applyAlignment="1">
      <alignment horizontal="center" vertical="center"/>
    </xf>
    <xf numFmtId="200" fontId="81" fillId="0" borderId="6" xfId="486" applyNumberFormat="1" applyFont="1" applyBorder="1" applyAlignment="1">
      <alignment horizontal="right" vertical="center"/>
    </xf>
    <xf numFmtId="0" fontId="116" fillId="0" borderId="6" xfId="0" applyFont="1" applyBorder="1" applyAlignment="1">
      <alignment horizontal="center" vertical="center"/>
    </xf>
    <xf numFmtId="2" fontId="116" fillId="0" borderId="6" xfId="0" applyNumberFormat="1" applyFont="1" applyBorder="1" applyAlignment="1">
      <alignment horizontal="center" vertical="center"/>
    </xf>
    <xf numFmtId="0" fontId="116" fillId="0" borderId="6" xfId="0" applyFont="1" applyBorder="1" applyAlignment="1">
      <alignment horizontal="center"/>
    </xf>
    <xf numFmtId="0" fontId="117" fillId="0" borderId="6" xfId="0" applyFont="1" applyBorder="1" applyAlignment="1">
      <alignment horizontal="center"/>
    </xf>
    <xf numFmtId="0" fontId="17" fillId="0" borderId="6" xfId="0" applyFont="1" applyBorder="1" applyAlignment="1">
      <alignment horizontal="left"/>
    </xf>
    <xf numFmtId="10" fontId="116" fillId="31" borderId="6" xfId="112" applyNumberFormat="1" applyFont="1" applyFill="1" applyBorder="1"/>
    <xf numFmtId="0" fontId="117" fillId="37" borderId="6" xfId="0" applyFont="1" applyFill="1" applyBorder="1" applyAlignment="1">
      <alignment horizontal="left" vertical="center"/>
    </xf>
    <xf numFmtId="2" fontId="117" fillId="37" borderId="6" xfId="112" applyNumberFormat="1" applyFont="1" applyFill="1" applyBorder="1"/>
    <xf numFmtId="10" fontId="116" fillId="0" borderId="0" xfId="112" applyNumberFormat="1" applyFont="1"/>
    <xf numFmtId="0" fontId="117" fillId="69" borderId="6" xfId="112" applyFont="1" applyFill="1" applyBorder="1"/>
    <xf numFmtId="174" fontId="116" fillId="0" borderId="6" xfId="112" applyNumberFormat="1" applyFont="1" applyBorder="1"/>
    <xf numFmtId="0" fontId="133" fillId="0" borderId="0" xfId="112" applyFont="1"/>
    <xf numFmtId="0" fontId="117" fillId="69" borderId="6" xfId="112" applyFont="1" applyFill="1" applyBorder="1" applyAlignment="1">
      <alignment horizontal="center"/>
    </xf>
    <xf numFmtId="17" fontId="116" fillId="0" borderId="6" xfId="112" applyNumberFormat="1" applyFont="1" applyBorder="1"/>
    <xf numFmtId="10" fontId="117" fillId="0" borderId="6" xfId="1" applyNumberFormat="1" applyFont="1" applyBorder="1"/>
    <xf numFmtId="10" fontId="117" fillId="31" borderId="6" xfId="112" applyNumberFormat="1" applyFont="1" applyFill="1" applyBorder="1"/>
    <xf numFmtId="2" fontId="116" fillId="0" borderId="6" xfId="112" applyNumberFormat="1" applyFont="1" applyBorder="1" applyAlignment="1">
      <alignment horizontal="center"/>
    </xf>
    <xf numFmtId="17" fontId="117" fillId="0" borderId="6" xfId="112" applyNumberFormat="1" applyFont="1" applyBorder="1" applyAlignment="1">
      <alignment horizontal="right"/>
    </xf>
    <xf numFmtId="2" fontId="117" fillId="0" borderId="6" xfId="112" applyNumberFormat="1" applyFont="1" applyBorder="1" applyAlignment="1">
      <alignment horizontal="center"/>
    </xf>
    <xf numFmtId="10" fontId="116" fillId="0" borderId="0" xfId="1" applyNumberFormat="1" applyFont="1"/>
    <xf numFmtId="0" fontId="117" fillId="39" borderId="6" xfId="0" applyFont="1" applyFill="1" applyBorder="1" applyAlignment="1">
      <alignment horizontal="center" vertical="center"/>
    </xf>
    <xf numFmtId="0" fontId="117" fillId="39" borderId="6" xfId="0" applyFont="1" applyFill="1" applyBorder="1" applyAlignment="1">
      <alignment horizontal="left" vertical="center" wrapText="1"/>
    </xf>
    <xf numFmtId="0" fontId="117" fillId="39" borderId="6" xfId="0" applyFont="1" applyFill="1" applyBorder="1" applyAlignment="1">
      <alignment horizontal="left" vertical="center"/>
    </xf>
    <xf numFmtId="0" fontId="117" fillId="0" borderId="6" xfId="0" applyFont="1" applyFill="1" applyBorder="1" applyAlignment="1">
      <alignment horizontal="center"/>
    </xf>
    <xf numFmtId="0" fontId="116" fillId="0" borderId="6" xfId="0" applyFont="1" applyBorder="1" applyAlignment="1">
      <alignment horizontal="left" vertical="center" wrapText="1"/>
    </xf>
    <xf numFmtId="0" fontId="116" fillId="0" borderId="6" xfId="0" applyFont="1" applyBorder="1" applyAlignment="1">
      <alignment horizontal="left" vertical="center"/>
    </xf>
    <xf numFmtId="10" fontId="116" fillId="0" borderId="6" xfId="0" applyNumberFormat="1" applyFont="1" applyBorder="1" applyAlignment="1">
      <alignment horizontal="center" vertical="center"/>
    </xf>
    <xf numFmtId="0" fontId="117" fillId="0" borderId="6" xfId="0" applyFont="1" applyBorder="1" applyAlignment="1">
      <alignment horizontal="left" vertical="center" wrapText="1"/>
    </xf>
    <xf numFmtId="0" fontId="117" fillId="0" borderId="6" xfId="0" applyFont="1" applyBorder="1" applyAlignment="1">
      <alignment horizontal="left" vertical="center"/>
    </xf>
    <xf numFmtId="0" fontId="116" fillId="0" borderId="6" xfId="0" applyFont="1" applyBorder="1" applyAlignment="1">
      <alignment vertical="center" wrapText="1"/>
    </xf>
    <xf numFmtId="2" fontId="81" fillId="0" borderId="6" xfId="0" applyNumberFormat="1" applyFont="1" applyFill="1" applyBorder="1" applyAlignment="1">
      <alignment horizontal="right"/>
    </xf>
    <xf numFmtId="1" fontId="81" fillId="0" borderId="6" xfId="0" applyNumberFormat="1" applyFont="1" applyFill="1" applyBorder="1" applyAlignment="1">
      <alignment horizontal="right"/>
    </xf>
    <xf numFmtId="0" fontId="18" fillId="3" borderId="6" xfId="257" applyFont="1" applyFill="1" applyBorder="1" applyAlignment="1">
      <alignment vertical="center" wrapText="1"/>
    </xf>
    <xf numFmtId="0" fontId="4" fillId="0" borderId="6" xfId="260" applyFont="1" applyBorder="1" applyAlignment="1">
      <alignment horizontal="center"/>
    </xf>
    <xf numFmtId="0" fontId="18" fillId="3" borderId="6" xfId="3" applyFont="1" applyFill="1" applyBorder="1" applyAlignment="1">
      <alignment horizontal="center" vertical="center" wrapText="1"/>
    </xf>
    <xf numFmtId="0" fontId="4" fillId="0" borderId="6" xfId="3" applyFont="1" applyBorder="1" applyAlignment="1">
      <alignment horizontal="left" vertical="top"/>
    </xf>
    <xf numFmtId="0" fontId="18" fillId="2" borderId="6" xfId="275" applyFont="1" applyFill="1" applyBorder="1" applyAlignment="1">
      <alignment vertical="top" wrapText="1"/>
    </xf>
    <xf numFmtId="2" fontId="18" fillId="0" borderId="6" xfId="3" quotePrefix="1" applyNumberFormat="1" applyFont="1" applyBorder="1" applyAlignment="1">
      <alignment horizontal="right" vertical="top" wrapText="1"/>
    </xf>
    <xf numFmtId="0" fontId="4" fillId="0" borderId="6" xfId="3" applyFont="1" applyBorder="1" applyAlignment="1">
      <alignment horizontal="right" vertical="top"/>
    </xf>
    <xf numFmtId="2" fontId="4" fillId="0" borderId="6" xfId="3" quotePrefix="1" applyNumberFormat="1" applyFont="1" applyBorder="1" applyAlignment="1">
      <alignment horizontal="right" vertical="top" wrapText="1"/>
    </xf>
    <xf numFmtId="0" fontId="4" fillId="0" borderId="6" xfId="3" quotePrefix="1" applyFont="1" applyBorder="1" applyAlignment="1">
      <alignment horizontal="right" vertical="top" wrapText="1"/>
    </xf>
    <xf numFmtId="0" fontId="4" fillId="0" borderId="6" xfId="3" applyFont="1" applyFill="1" applyBorder="1" applyAlignment="1">
      <alignment horizontal="left" vertical="top"/>
    </xf>
    <xf numFmtId="0" fontId="4" fillId="0" borderId="6" xfId="275" applyFont="1" applyFill="1" applyBorder="1" applyAlignment="1">
      <alignment horizontal="right" vertical="top" wrapText="1"/>
    </xf>
    <xf numFmtId="2" fontId="4" fillId="0" borderId="6" xfId="3" quotePrefix="1" applyNumberFormat="1" applyFont="1" applyFill="1" applyBorder="1" applyAlignment="1">
      <alignment horizontal="right" vertical="top" wrapText="1"/>
    </xf>
    <xf numFmtId="2" fontId="4" fillId="0" borderId="6" xfId="275" applyNumberFormat="1" applyFont="1" applyFill="1" applyBorder="1" applyAlignment="1">
      <alignment horizontal="right" vertical="top" wrapText="1"/>
    </xf>
    <xf numFmtId="0" fontId="228" fillId="0" borderId="6" xfId="3" applyFont="1" applyFill="1" applyBorder="1" applyAlignment="1">
      <alignment horizontal="left" vertical="top"/>
    </xf>
    <xf numFmtId="0" fontId="228" fillId="0" borderId="6" xfId="275" applyFont="1" applyFill="1" applyBorder="1" applyAlignment="1">
      <alignment vertical="top" wrapText="1"/>
    </xf>
    <xf numFmtId="2" fontId="228" fillId="0" borderId="6" xfId="275" applyNumberFormat="1" applyFont="1" applyFill="1" applyBorder="1" applyAlignment="1">
      <alignment horizontal="right" vertical="top" wrapText="1"/>
    </xf>
    <xf numFmtId="2" fontId="18" fillId="0" borderId="6" xfId="3" quotePrefix="1" applyNumberFormat="1" applyFont="1" applyFill="1" applyBorder="1" applyAlignment="1">
      <alignment horizontal="right" vertical="top" wrapText="1"/>
    </xf>
    <xf numFmtId="2" fontId="18" fillId="0" borderId="6" xfId="3" quotePrefix="1" applyNumberFormat="1" applyFont="1" applyFill="1" applyBorder="1" applyAlignment="1">
      <alignment vertical="top" wrapText="1"/>
    </xf>
    <xf numFmtId="2" fontId="4" fillId="0" borderId="6" xfId="3" quotePrefix="1" applyNumberFormat="1" applyFont="1" applyFill="1" applyBorder="1" applyAlignment="1">
      <alignment vertical="top" wrapText="1"/>
    </xf>
    <xf numFmtId="0" fontId="119" fillId="0" borderId="6" xfId="0" applyFont="1" applyFill="1" applyBorder="1" applyAlignment="1">
      <alignment wrapText="1"/>
    </xf>
    <xf numFmtId="0" fontId="50" fillId="0" borderId="6" xfId="0" applyFont="1" applyFill="1" applyBorder="1" applyAlignment="1">
      <alignment wrapText="1"/>
    </xf>
    <xf numFmtId="0" fontId="0" fillId="0" borderId="6" xfId="0" applyFill="1" applyBorder="1" applyAlignment="1">
      <alignment wrapText="1"/>
    </xf>
    <xf numFmtId="0" fontId="9" fillId="0" borderId="6" xfId="0" applyFont="1" applyFill="1" applyBorder="1" applyAlignment="1">
      <alignment wrapText="1"/>
    </xf>
    <xf numFmtId="0" fontId="18" fillId="0" borderId="6" xfId="3" applyFont="1" applyBorder="1" applyAlignment="1">
      <alignment horizontal="center" vertical="top"/>
    </xf>
    <xf numFmtId="0" fontId="52" fillId="0" borderId="6" xfId="3" applyFont="1" applyFill="1" applyBorder="1" applyAlignment="1">
      <alignment horizontal="left"/>
    </xf>
    <xf numFmtId="2" fontId="18" fillId="0" borderId="6" xfId="3" applyNumberFormat="1" applyFont="1" applyBorder="1" applyAlignment="1">
      <alignment vertical="top"/>
    </xf>
    <xf numFmtId="1" fontId="82" fillId="0" borderId="6" xfId="0" applyNumberFormat="1" applyFont="1" applyBorder="1" applyAlignment="1">
      <alignment horizontal="center" vertical="center"/>
    </xf>
    <xf numFmtId="0" fontId="81" fillId="0" borderId="6" xfId="0" applyFont="1" applyFill="1" applyBorder="1" applyAlignment="1">
      <alignment vertical="center"/>
    </xf>
    <xf numFmtId="9" fontId="82" fillId="0" borderId="6" xfId="1" applyNumberFormat="1" applyFont="1" applyFill="1" applyBorder="1" applyAlignment="1">
      <alignment horizontal="center" vertical="center"/>
    </xf>
    <xf numFmtId="10" fontId="81" fillId="0" borderId="6" xfId="1" applyNumberFormat="1" applyFont="1" applyFill="1" applyBorder="1" applyAlignment="1">
      <alignment horizontal="center" vertical="center"/>
    </xf>
    <xf numFmtId="9" fontId="82" fillId="0" borderId="6" xfId="1" applyFont="1" applyFill="1" applyBorder="1" applyAlignment="1">
      <alignment horizontal="center" vertical="center"/>
    </xf>
    <xf numFmtId="9" fontId="81" fillId="0" borderId="6" xfId="1" applyFont="1" applyFill="1" applyBorder="1" applyAlignment="1">
      <alignment horizontal="center" vertical="center"/>
    </xf>
    <xf numFmtId="0" fontId="19" fillId="0" borderId="6" xfId="6" applyFont="1" applyBorder="1">
      <alignment vertical="center"/>
    </xf>
    <xf numFmtId="0" fontId="19" fillId="4" borderId="6" xfId="6" applyFont="1" applyFill="1" applyBorder="1" applyAlignment="1">
      <alignment horizontal="left" vertical="center"/>
    </xf>
    <xf numFmtId="0" fontId="4" fillId="4" borderId="6" xfId="6" applyFont="1" applyFill="1" applyBorder="1" applyAlignment="1">
      <alignment horizontal="left" vertical="center"/>
    </xf>
    <xf numFmtId="0" fontId="19" fillId="0" borderId="6" xfId="6" applyFont="1" applyFill="1" applyBorder="1" applyAlignment="1">
      <alignment vertical="top" wrapText="1"/>
    </xf>
    <xf numFmtId="0" fontId="4" fillId="0" borderId="6" xfId="6" applyFont="1" applyFill="1" applyBorder="1" applyAlignment="1">
      <alignment vertical="top" wrapText="1"/>
    </xf>
    <xf numFmtId="0" fontId="19" fillId="0" borderId="6" xfId="6" applyFont="1" applyBorder="1" applyAlignment="1">
      <alignment vertical="top" wrapText="1"/>
    </xf>
    <xf numFmtId="0" fontId="18" fillId="3" borderId="6" xfId="3" applyFont="1" applyFill="1" applyBorder="1" applyAlignment="1">
      <alignment horizontal="center" vertical="center" wrapText="1"/>
    </xf>
    <xf numFmtId="0" fontId="18" fillId="3" borderId="6" xfId="3" applyFont="1" applyFill="1" applyBorder="1" applyAlignment="1">
      <alignment horizontal="centerContinuous" vertical="center" wrapText="1"/>
    </xf>
    <xf numFmtId="2" fontId="228" fillId="0" borderId="6" xfId="275" applyNumberFormat="1" applyFont="1" applyFill="1" applyBorder="1" applyAlignment="1">
      <alignment vertical="top" wrapText="1"/>
    </xf>
    <xf numFmtId="0" fontId="213" fillId="39" borderId="6" xfId="5" applyFont="1" applyFill="1" applyBorder="1" applyAlignment="1">
      <alignment horizontal="center" vertical="center" wrapText="1"/>
    </xf>
    <xf numFmtId="0" fontId="213" fillId="39" borderId="6" xfId="9" applyFont="1" applyFill="1" applyBorder="1" applyAlignment="1">
      <alignment horizontal="center" vertical="center" wrapText="1"/>
    </xf>
    <xf numFmtId="0" fontId="82" fillId="3" borderId="6" xfId="0" applyFont="1" applyFill="1" applyBorder="1" applyAlignment="1">
      <alignment horizontal="center" vertical="center" wrapText="1"/>
    </xf>
    <xf numFmtId="0" fontId="18" fillId="5" borderId="6" xfId="6" applyFont="1" applyFill="1" applyBorder="1" applyAlignment="1">
      <alignment horizontal="center" vertical="center" wrapText="1"/>
    </xf>
    <xf numFmtId="0" fontId="18" fillId="3" borderId="6" xfId="0" applyFont="1" applyFill="1" applyBorder="1" applyAlignment="1">
      <alignment horizontal="center" vertical="center" wrapText="1"/>
    </xf>
    <xf numFmtId="0" fontId="18" fillId="3" borderId="6" xfId="13" applyFont="1" applyFill="1" applyBorder="1" applyAlignment="1">
      <alignment horizontal="center" vertical="center" wrapText="1"/>
    </xf>
    <xf numFmtId="0" fontId="18" fillId="3" borderId="6" xfId="6" applyFont="1" applyFill="1" applyBorder="1" applyAlignment="1">
      <alignment horizontal="center" vertical="center" wrapText="1"/>
    </xf>
    <xf numFmtId="0" fontId="15" fillId="3" borderId="6" xfId="78" applyFont="1" applyFill="1" applyBorder="1" applyAlignment="1">
      <alignment horizontal="center" vertical="center" wrapText="1"/>
    </xf>
    <xf numFmtId="0" fontId="4" fillId="0" borderId="0" xfId="13" applyFont="1" applyFill="1" applyAlignment="1">
      <alignment vertical="center" wrapText="1"/>
    </xf>
    <xf numFmtId="0" fontId="4" fillId="0" borderId="0" xfId="13" applyFont="1" applyFill="1" applyBorder="1" applyAlignment="1">
      <alignment vertical="center" wrapText="1"/>
    </xf>
    <xf numFmtId="0" fontId="4" fillId="4" borderId="0" xfId="13" applyFont="1" applyFill="1" applyBorder="1" applyAlignment="1">
      <alignment vertical="center" wrapText="1"/>
    </xf>
    <xf numFmtId="0" fontId="4" fillId="0" borderId="0" xfId="13" applyFont="1" applyAlignment="1">
      <alignment vertical="center" wrapText="1"/>
    </xf>
    <xf numFmtId="0" fontId="117" fillId="3" borderId="52" xfId="0" applyFont="1" applyFill="1" applyBorder="1" applyAlignment="1">
      <alignment horizontal="center" vertical="center" wrapText="1"/>
    </xf>
    <xf numFmtId="0" fontId="18" fillId="4" borderId="0" xfId="3" applyFont="1" applyFill="1" applyBorder="1" applyAlignment="1">
      <alignment horizontal="center" vertical="top"/>
    </xf>
    <xf numFmtId="0" fontId="18" fillId="4" borderId="0" xfId="5" applyFont="1" applyFill="1" applyAlignment="1">
      <alignment horizontal="center" vertical="center"/>
    </xf>
    <xf numFmtId="0" fontId="18" fillId="4" borderId="0" xfId="3" applyFont="1" applyFill="1" applyBorder="1" applyAlignment="1">
      <alignment horizontal="center" vertical="center"/>
    </xf>
    <xf numFmtId="0" fontId="82" fillId="3" borderId="6" xfId="0" applyFont="1" applyFill="1" applyBorder="1" applyAlignment="1">
      <alignment horizontal="center" vertical="center" wrapText="1"/>
    </xf>
    <xf numFmtId="0" fontId="18" fillId="4" borderId="0" xfId="5" applyFont="1" applyFill="1" applyBorder="1" applyAlignment="1">
      <alignment horizontal="center" vertical="center"/>
    </xf>
    <xf numFmtId="0" fontId="18" fillId="3" borderId="6" xfId="0" applyFont="1" applyFill="1" applyBorder="1" applyAlignment="1">
      <alignment horizontal="center" vertical="center" wrapText="1"/>
    </xf>
    <xf numFmtId="0" fontId="18" fillId="3" borderId="6" xfId="13" applyFont="1" applyFill="1" applyBorder="1" applyAlignment="1">
      <alignment horizontal="center" vertical="center" wrapText="1"/>
    </xf>
    <xf numFmtId="0" fontId="18" fillId="0" borderId="0" xfId="13" applyFont="1" applyBorder="1" applyAlignment="1">
      <alignment horizontal="center" vertical="center"/>
    </xf>
    <xf numFmtId="0" fontId="18" fillId="0" borderId="0" xfId="13" applyFont="1" applyBorder="1" applyAlignment="1">
      <alignment horizontal="left" vertical="center"/>
    </xf>
    <xf numFmtId="0" fontId="4" fillId="30" borderId="6" xfId="78" applyFont="1" applyFill="1" applyBorder="1" applyAlignment="1" applyProtection="1">
      <alignment horizontal="center"/>
    </xf>
    <xf numFmtId="0" fontId="4" fillId="0" borderId="6" xfId="78" applyFont="1" applyBorder="1" applyAlignment="1">
      <alignment horizontal="center"/>
    </xf>
    <xf numFmtId="170" fontId="4" fillId="0" borderId="6" xfId="13" applyNumberFormat="1" applyFont="1" applyBorder="1" applyAlignment="1">
      <alignment horizontal="center" vertical="center"/>
    </xf>
    <xf numFmtId="0" fontId="4" fillId="0" borderId="0" xfId="13" applyFont="1" applyBorder="1" applyAlignment="1">
      <alignment horizontal="center" vertical="center"/>
    </xf>
    <xf numFmtId="170" fontId="4" fillId="0" borderId="6" xfId="13" applyNumberFormat="1" applyFont="1" applyFill="1" applyBorder="1" applyAlignment="1">
      <alignment horizontal="center" vertical="center"/>
    </xf>
    <xf numFmtId="0" fontId="18" fillId="0" borderId="0" xfId="114" applyFont="1" applyBorder="1" applyAlignment="1">
      <alignment horizontal="center"/>
    </xf>
    <xf numFmtId="0" fontId="18" fillId="4" borderId="0" xfId="13" applyFont="1" applyFill="1" applyBorder="1" applyAlignment="1">
      <alignment horizontal="center" vertical="center" wrapText="1"/>
    </xf>
    <xf numFmtId="0" fontId="18" fillId="3" borderId="6" xfId="6" applyFont="1" applyFill="1" applyBorder="1" applyAlignment="1">
      <alignment horizontal="center" vertical="center" wrapText="1"/>
    </xf>
    <xf numFmtId="0" fontId="81" fillId="0" borderId="6" xfId="0" applyFont="1" applyBorder="1" applyAlignment="1">
      <alignment vertical="center"/>
    </xf>
    <xf numFmtId="0" fontId="14" fillId="0" borderId="0" xfId="114" applyFont="1" applyBorder="1"/>
    <xf numFmtId="0" fontId="17" fillId="0" borderId="0" xfId="114" applyFont="1" applyBorder="1" applyAlignment="1">
      <alignment horizontal="center"/>
    </xf>
    <xf numFmtId="0" fontId="17" fillId="0" borderId="0" xfId="114" applyFont="1" applyBorder="1" applyAlignment="1">
      <alignment horizontal="centerContinuous" vertical="top"/>
    </xf>
    <xf numFmtId="0" fontId="17" fillId="0" borderId="0" xfId="114" applyFont="1" applyBorder="1" applyAlignment="1">
      <alignment horizontal="centerContinuous"/>
    </xf>
    <xf numFmtId="0" fontId="17" fillId="0" borderId="0" xfId="114" applyFont="1" applyBorder="1" applyAlignment="1">
      <alignment horizontal="left"/>
    </xf>
    <xf numFmtId="0" fontId="17" fillId="0" borderId="0" xfId="114" applyFont="1" applyBorder="1" applyAlignment="1">
      <alignment horizontal="right"/>
    </xf>
    <xf numFmtId="0" fontId="14" fillId="0" borderId="0" xfId="114" applyFont="1" applyBorder="1" applyAlignment="1"/>
    <xf numFmtId="0" fontId="14" fillId="0" borderId="0" xfId="114" applyFont="1" applyBorder="1" applyAlignment="1">
      <alignment vertical="top"/>
    </xf>
    <xf numFmtId="0" fontId="17" fillId="0" borderId="6" xfId="114" quotePrefix="1" applyFont="1" applyBorder="1" applyAlignment="1">
      <alignment horizontal="center" vertical="top" wrapText="1"/>
    </xf>
    <xf numFmtId="0" fontId="17" fillId="0" borderId="0" xfId="114" applyFont="1" applyBorder="1"/>
    <xf numFmtId="0" fontId="17" fillId="0" borderId="6" xfId="114" applyFont="1" applyBorder="1"/>
    <xf numFmtId="0" fontId="17" fillId="0" borderId="6" xfId="114" applyFont="1" applyBorder="1" applyAlignment="1">
      <alignment vertical="top"/>
    </xf>
    <xf numFmtId="0" fontId="17" fillId="0" borderId="6" xfId="114" applyFont="1" applyBorder="1" applyAlignment="1">
      <alignment horizontal="right"/>
    </xf>
    <xf numFmtId="0" fontId="14" fillId="0" borderId="6" xfId="114" applyFont="1" applyBorder="1"/>
    <xf numFmtId="0" fontId="14" fillId="0" borderId="0" xfId="114" applyFont="1"/>
    <xf numFmtId="0" fontId="17" fillId="0" borderId="0" xfId="114" applyFont="1" applyBorder="1" applyAlignment="1">
      <alignment vertical="top"/>
    </xf>
    <xf numFmtId="0" fontId="57" fillId="0" borderId="0" xfId="114" applyFont="1" applyFill="1" applyBorder="1"/>
    <xf numFmtId="0" fontId="127" fillId="0" borderId="0" xfId="114" applyFont="1" applyFill="1" applyBorder="1"/>
    <xf numFmtId="0" fontId="14" fillId="0" borderId="0" xfId="114" applyFont="1" applyFill="1" applyBorder="1" applyProtection="1"/>
    <xf numFmtId="165" fontId="14" fillId="0" borderId="0" xfId="114" applyNumberFormat="1" applyFont="1" applyFill="1" applyBorder="1" applyProtection="1"/>
    <xf numFmtId="0" fontId="158" fillId="0" borderId="0" xfId="114" applyFont="1" applyBorder="1" applyAlignment="1">
      <alignment horizontal="left"/>
    </xf>
    <xf numFmtId="0" fontId="14" fillId="0" borderId="0" xfId="114" applyFont="1" applyAlignment="1"/>
    <xf numFmtId="16" fontId="17" fillId="5" borderId="6" xfId="114" applyNumberFormat="1" applyFont="1" applyFill="1" applyBorder="1" applyAlignment="1">
      <alignment horizontal="center" vertical="center" wrapText="1"/>
    </xf>
    <xf numFmtId="0" fontId="17" fillId="5" borderId="6" xfId="114" applyFont="1" applyFill="1" applyBorder="1" applyAlignment="1">
      <alignment horizontal="center" vertical="center" wrapText="1"/>
    </xf>
    <xf numFmtId="0" fontId="17" fillId="5" borderId="6" xfId="6" applyFont="1" applyFill="1" applyBorder="1" applyAlignment="1">
      <alignment horizontal="center" vertical="center" wrapText="1"/>
    </xf>
    <xf numFmtId="0" fontId="17" fillId="0" borderId="6" xfId="114" applyFont="1" applyBorder="1" applyAlignment="1">
      <alignment vertical="top" wrapText="1"/>
    </xf>
    <xf numFmtId="0" fontId="14" fillId="0" borderId="6" xfId="114" applyFont="1" applyFill="1" applyBorder="1" applyAlignment="1" applyProtection="1">
      <alignment vertical="top" wrapText="1"/>
    </xf>
    <xf numFmtId="0" fontId="14" fillId="0" borderId="6" xfId="114" applyFont="1" applyFill="1" applyBorder="1" applyAlignment="1" applyProtection="1">
      <alignment horizontal="left" vertical="top" wrapText="1"/>
    </xf>
    <xf numFmtId="0" fontId="57" fillId="0" borderId="6" xfId="114" applyFont="1" applyFill="1" applyBorder="1"/>
    <xf numFmtId="0" fontId="127" fillId="0" borderId="6" xfId="114" applyFont="1" applyFill="1" applyBorder="1"/>
    <xf numFmtId="2" fontId="81" fillId="4" borderId="6" xfId="0" applyNumberFormat="1" applyFont="1" applyFill="1" applyBorder="1" applyAlignment="1">
      <alignment horizontal="right" vertical="center"/>
    </xf>
    <xf numFmtId="2" fontId="4" fillId="0" borderId="6" xfId="0" applyNumberFormat="1" applyFont="1" applyBorder="1" applyAlignment="1">
      <alignment horizontal="right" vertical="top"/>
    </xf>
    <xf numFmtId="2" fontId="81" fillId="4" borderId="6" xfId="0" applyNumberFormat="1" applyFont="1" applyFill="1" applyBorder="1" applyAlignment="1">
      <alignment horizontal="right"/>
    </xf>
    <xf numFmtId="0" fontId="81" fillId="0" borderId="0" xfId="0" applyFont="1" applyFill="1" applyAlignment="1">
      <alignment horizontal="right" vertical="center"/>
    </xf>
    <xf numFmtId="187" fontId="18" fillId="4" borderId="6" xfId="6" applyNumberFormat="1" applyFont="1" applyFill="1" applyBorder="1" applyAlignment="1">
      <alignment horizontal="right" vertical="center"/>
    </xf>
    <xf numFmtId="0" fontId="18" fillId="3" borderId="6" xfId="257" applyFont="1" applyFill="1" applyBorder="1" applyAlignment="1">
      <alignment vertical="center"/>
    </xf>
    <xf numFmtId="0" fontId="18" fillId="3" borderId="6" xfId="0" applyFont="1" applyFill="1" applyBorder="1" applyAlignment="1">
      <alignment vertical="center"/>
    </xf>
    <xf numFmtId="0" fontId="4" fillId="0" borderId="6" xfId="0" applyFont="1" applyBorder="1" applyAlignment="1">
      <alignment vertical="center"/>
    </xf>
    <xf numFmtId="0" fontId="4" fillId="0" borderId="6" xfId="0" applyFont="1" applyFill="1" applyBorder="1" applyAlignment="1" applyProtection="1">
      <alignment horizontal="left" vertical="center" wrapText="1"/>
    </xf>
    <xf numFmtId="0" fontId="4" fillId="0" borderId="0" xfId="78" applyFont="1" applyAlignment="1">
      <alignment vertical="center"/>
    </xf>
    <xf numFmtId="0" fontId="18" fillId="0" borderId="0" xfId="78" applyFont="1" applyBorder="1" applyAlignment="1">
      <alignment horizontal="center" vertical="center"/>
    </xf>
    <xf numFmtId="0" fontId="18" fillId="0" borderId="0" xfId="78" applyFont="1" applyBorder="1" applyAlignment="1">
      <alignment horizontal="centerContinuous"/>
    </xf>
    <xf numFmtId="0" fontId="18" fillId="0" borderId="0" xfId="78" applyFont="1" applyBorder="1" applyAlignment="1">
      <alignment horizontal="left"/>
    </xf>
    <xf numFmtId="0" fontId="81" fillId="0" borderId="52" xfId="0" applyFont="1" applyBorder="1" applyAlignment="1">
      <alignment vertical="center"/>
    </xf>
    <xf numFmtId="0" fontId="81" fillId="0" borderId="8" xfId="0" applyFont="1" applyBorder="1" applyAlignment="1">
      <alignment vertical="center"/>
    </xf>
    <xf numFmtId="0" fontId="18" fillId="0" borderId="0" xfId="78" applyFont="1" applyBorder="1" applyAlignment="1">
      <alignment horizontal="left" vertical="center"/>
    </xf>
    <xf numFmtId="0" fontId="18" fillId="0" borderId="0" xfId="78" applyFont="1" applyBorder="1" applyAlignment="1">
      <alignment horizontal="centerContinuous" vertical="center"/>
    </xf>
    <xf numFmtId="0" fontId="4" fillId="0" borderId="0" xfId="78" applyFont="1" applyBorder="1" applyAlignment="1">
      <alignment vertical="center"/>
    </xf>
    <xf numFmtId="0" fontId="4" fillId="0" borderId="0" xfId="78" applyFont="1" applyFill="1" applyBorder="1" applyAlignment="1" applyProtection="1">
      <alignment vertical="center"/>
    </xf>
    <xf numFmtId="165" fontId="4" fillId="0" borderId="0" xfId="78" applyNumberFormat="1" applyFont="1" applyFill="1" applyBorder="1" applyAlignment="1" applyProtection="1">
      <alignment vertical="center"/>
    </xf>
    <xf numFmtId="0" fontId="52" fillId="0" borderId="0" xfId="78" applyFont="1" applyBorder="1" applyAlignment="1">
      <alignment horizontal="left" vertical="center"/>
    </xf>
    <xf numFmtId="1" fontId="4" fillId="0" borderId="6" xfId="0" applyNumberFormat="1" applyFont="1" applyBorder="1" applyAlignment="1">
      <alignment horizontal="right" vertical="center"/>
    </xf>
    <xf numFmtId="0" fontId="4" fillId="0" borderId="6" xfId="0" applyFont="1" applyBorder="1" applyAlignment="1">
      <alignment horizontal="right" vertical="center"/>
    </xf>
    <xf numFmtId="0" fontId="18" fillId="0" borderId="0" xfId="78" applyFont="1" applyBorder="1" applyAlignment="1">
      <alignment vertical="center"/>
    </xf>
    <xf numFmtId="0" fontId="4" fillId="0" borderId="6" xfId="78" applyFont="1" applyBorder="1" applyAlignment="1">
      <alignment vertical="center"/>
    </xf>
    <xf numFmtId="0" fontId="212" fillId="0" borderId="0" xfId="0" applyFont="1" applyFill="1" applyBorder="1" applyAlignment="1" applyProtection="1">
      <alignment horizontal="left"/>
    </xf>
    <xf numFmtId="0" fontId="177" fillId="0" borderId="0" xfId="6" applyFont="1" applyFill="1" applyBorder="1">
      <alignment vertical="center"/>
    </xf>
    <xf numFmtId="0" fontId="177" fillId="0" borderId="0" xfId="0" applyFont="1" applyFill="1" applyBorder="1"/>
    <xf numFmtId="0" fontId="212" fillId="0" borderId="0" xfId="6" applyFont="1" applyFill="1">
      <alignment vertical="center"/>
    </xf>
    <xf numFmtId="0" fontId="177" fillId="0" borderId="0" xfId="6" applyFont="1" applyFill="1">
      <alignment vertical="center"/>
    </xf>
    <xf numFmtId="0" fontId="177" fillId="0" borderId="6" xfId="6" applyFont="1" applyFill="1" applyBorder="1" applyAlignment="1">
      <alignment horizontal="center" vertical="center"/>
    </xf>
    <xf numFmtId="0" fontId="177" fillId="0" borderId="6" xfId="6" applyFont="1" applyFill="1" applyBorder="1">
      <alignment vertical="center"/>
    </xf>
    <xf numFmtId="0" fontId="212" fillId="0" borderId="6" xfId="0" applyFont="1" applyFill="1" applyBorder="1" applyAlignment="1" applyProtection="1">
      <alignment horizontal="left"/>
    </xf>
    <xf numFmtId="0" fontId="177" fillId="0" borderId="6" xfId="0" applyFont="1" applyFill="1" applyBorder="1"/>
    <xf numFmtId="1" fontId="177" fillId="0" borderId="6" xfId="0" applyNumberFormat="1" applyFont="1" applyFill="1" applyBorder="1"/>
    <xf numFmtId="0" fontId="230" fillId="0" borderId="6" xfId="6" applyFont="1" applyFill="1" applyBorder="1">
      <alignment vertical="center"/>
    </xf>
    <xf numFmtId="0" fontId="212" fillId="0" borderId="6" xfId="6" applyFont="1" applyFill="1" applyBorder="1" applyAlignment="1">
      <alignment horizontal="center" vertical="center"/>
    </xf>
    <xf numFmtId="0" fontId="212" fillId="0" borderId="6" xfId="0" applyFont="1" applyFill="1" applyBorder="1" applyAlignment="1" applyProtection="1">
      <alignment horizontal="right" vertical="center"/>
    </xf>
    <xf numFmtId="1" fontId="212" fillId="0" borderId="6" xfId="0" applyNumberFormat="1" applyFont="1" applyFill="1" applyBorder="1" applyAlignment="1" applyProtection="1">
      <alignment horizontal="right" vertical="center"/>
    </xf>
    <xf numFmtId="0" fontId="177" fillId="0" borderId="6" xfId="0" applyFont="1" applyFill="1" applyBorder="1" applyAlignment="1" applyProtection="1">
      <alignment horizontal="left"/>
    </xf>
    <xf numFmtId="1" fontId="177" fillId="0" borderId="6" xfId="6" applyNumberFormat="1" applyFont="1" applyFill="1" applyBorder="1">
      <alignment vertical="center"/>
    </xf>
    <xf numFmtId="0" fontId="177" fillId="0" borderId="6" xfId="0" applyFont="1" applyFill="1" applyBorder="1" applyAlignment="1">
      <alignment vertical="top" wrapText="1"/>
    </xf>
    <xf numFmtId="2" fontId="177" fillId="0" borderId="6" xfId="0" applyNumberFormat="1" applyFont="1" applyFill="1" applyBorder="1" applyAlignment="1">
      <alignment vertical="top" wrapText="1"/>
    </xf>
    <xf numFmtId="2" fontId="177" fillId="0" borderId="6" xfId="6" applyNumberFormat="1" applyFont="1" applyFill="1" applyBorder="1">
      <alignment vertical="center"/>
    </xf>
    <xf numFmtId="2" fontId="212" fillId="0" borderId="6" xfId="6" applyNumberFormat="1" applyFont="1" applyFill="1" applyBorder="1">
      <alignment vertical="center"/>
    </xf>
    <xf numFmtId="0" fontId="212" fillId="0" borderId="6" xfId="6" applyFont="1" applyFill="1" applyBorder="1">
      <alignment vertical="center"/>
    </xf>
    <xf numFmtId="0" fontId="177" fillId="0" borderId="0" xfId="6" applyFont="1" applyFill="1" applyBorder="1" applyAlignment="1">
      <alignment vertical="center" wrapText="1"/>
    </xf>
    <xf numFmtId="1" fontId="177" fillId="0" borderId="0" xfId="6" applyNumberFormat="1" applyFont="1" applyFill="1" applyBorder="1">
      <alignment vertical="center"/>
    </xf>
    <xf numFmtId="0" fontId="212" fillId="3" borderId="6" xfId="6" applyFont="1" applyFill="1" applyBorder="1" applyAlignment="1">
      <alignment horizontal="center" vertical="center" wrapText="1"/>
    </xf>
    <xf numFmtId="2" fontId="81" fillId="0" borderId="6" xfId="0" applyNumberFormat="1" applyFont="1" applyBorder="1" applyAlignment="1">
      <alignment horizontal="center" vertical="center"/>
    </xf>
    <xf numFmtId="0" fontId="18" fillId="0" borderId="0" xfId="0" applyFont="1" applyFill="1" applyBorder="1" applyAlignment="1">
      <alignment horizontal="left"/>
    </xf>
    <xf numFmtId="0" fontId="4" fillId="0" borderId="0" xfId="0" applyFont="1" applyFill="1" applyBorder="1"/>
    <xf numFmtId="0" fontId="4" fillId="0" borderId="0" xfId="0" applyFont="1" applyFill="1" applyBorder="1" applyAlignment="1">
      <alignment horizontal="centerContinuous"/>
    </xf>
    <xf numFmtId="0" fontId="4" fillId="0" borderId="0" xfId="0" applyFont="1" applyFill="1" applyBorder="1" applyAlignment="1">
      <alignment vertical="top"/>
    </xf>
    <xf numFmtId="0" fontId="4" fillId="0" borderId="6" xfId="0" quotePrefix="1" applyFont="1" applyFill="1" applyBorder="1" applyAlignment="1">
      <alignment horizontal="center" vertical="top" wrapText="1"/>
    </xf>
    <xf numFmtId="0" fontId="4" fillId="0" borderId="6" xfId="0" applyFont="1" applyFill="1" applyBorder="1" applyAlignment="1">
      <alignment horizontal="left"/>
    </xf>
    <xf numFmtId="2" fontId="4" fillId="0" borderId="6" xfId="2" applyNumberFormat="1" applyFont="1" applyFill="1" applyBorder="1" applyAlignment="1">
      <alignment horizontal="center" vertical="center"/>
    </xf>
    <xf numFmtId="0" fontId="4" fillId="0" borderId="6" xfId="0" applyFont="1" applyFill="1" applyBorder="1" applyAlignment="1">
      <alignment horizontal="center" vertical="top"/>
    </xf>
    <xf numFmtId="0" fontId="18" fillId="0" borderId="0" xfId="0" applyFont="1" applyFill="1" applyBorder="1"/>
    <xf numFmtId="0" fontId="4" fillId="0" borderId="0" xfId="0" applyFont="1" applyFill="1"/>
    <xf numFmtId="2" fontId="18" fillId="0" borderId="6" xfId="2" applyNumberFormat="1" applyFont="1" applyFill="1" applyBorder="1" applyAlignment="1">
      <alignment horizontal="center" vertical="center"/>
    </xf>
    <xf numFmtId="2" fontId="18" fillId="0" borderId="6" xfId="3" quotePrefix="1" applyNumberFormat="1" applyFont="1" applyBorder="1" applyAlignment="1">
      <alignment horizontal="right" vertical="center" wrapText="1"/>
    </xf>
    <xf numFmtId="0" fontId="18" fillId="0" borderId="6" xfId="3" quotePrefix="1" applyFont="1" applyBorder="1" applyAlignment="1">
      <alignment horizontal="right" vertical="center" wrapText="1"/>
    </xf>
    <xf numFmtId="2" fontId="4" fillId="0" borderId="6" xfId="3" quotePrefix="1" applyNumberFormat="1" applyFont="1" applyBorder="1" applyAlignment="1">
      <alignment horizontal="right" vertical="center" wrapText="1"/>
    </xf>
    <xf numFmtId="0" fontId="4" fillId="2" borderId="6" xfId="275" applyFont="1" applyFill="1" applyBorder="1" applyAlignment="1">
      <alignment vertical="center" wrapText="1"/>
    </xf>
    <xf numFmtId="2" fontId="4" fillId="2" borderId="6" xfId="275" applyNumberFormat="1" applyFont="1" applyFill="1" applyBorder="1" applyAlignment="1">
      <alignment vertical="center" wrapText="1"/>
    </xf>
    <xf numFmtId="2" fontId="4" fillId="0" borderId="6" xfId="3" quotePrefix="1" applyNumberFormat="1" applyFont="1" applyFill="1" applyBorder="1" applyAlignment="1">
      <alignment horizontal="right" vertical="center" wrapText="1"/>
    </xf>
    <xf numFmtId="0" fontId="4" fillId="0" borderId="6" xfId="275" applyFont="1" applyFill="1" applyBorder="1" applyAlignment="1">
      <alignment vertical="center" wrapText="1"/>
    </xf>
    <xf numFmtId="2" fontId="4" fillId="0" borderId="6" xfId="275" applyNumberFormat="1" applyFont="1" applyFill="1" applyBorder="1" applyAlignment="1">
      <alignment vertical="center" wrapText="1"/>
    </xf>
    <xf numFmtId="2" fontId="18" fillId="0" borderId="6" xfId="3" quotePrefix="1" applyNumberFormat="1" applyFont="1" applyFill="1" applyBorder="1" applyAlignment="1">
      <alignment horizontal="right" vertical="center" wrapText="1"/>
    </xf>
    <xf numFmtId="0" fontId="18" fillId="0" borderId="6" xfId="3" quotePrefix="1" applyFont="1" applyFill="1" applyBorder="1" applyAlignment="1">
      <alignment horizontal="right" vertical="center" wrapText="1"/>
    </xf>
    <xf numFmtId="0" fontId="4" fillId="0" borderId="6" xfId="3" quotePrefix="1" applyFont="1" applyFill="1" applyBorder="1" applyAlignment="1">
      <alignment vertical="center" wrapText="1"/>
    </xf>
    <xf numFmtId="0" fontId="18" fillId="0" borderId="6" xfId="3" quotePrefix="1" applyFont="1" applyFill="1" applyBorder="1" applyAlignment="1">
      <alignment horizontal="center" vertical="center" wrapText="1"/>
    </xf>
    <xf numFmtId="0" fontId="18" fillId="0" borderId="6" xfId="3" quotePrefix="1" applyFont="1" applyFill="1" applyBorder="1" applyAlignment="1">
      <alignment vertical="center" wrapText="1"/>
    </xf>
    <xf numFmtId="2" fontId="18" fillId="0" borderId="6" xfId="3" quotePrefix="1" applyNumberFormat="1" applyFont="1" applyFill="1" applyBorder="1" applyAlignment="1">
      <alignment vertical="center" wrapText="1"/>
    </xf>
    <xf numFmtId="0" fontId="18" fillId="0" borderId="6" xfId="275" applyFont="1" applyFill="1" applyBorder="1" applyAlignment="1">
      <alignment vertical="center" wrapText="1"/>
    </xf>
    <xf numFmtId="0" fontId="4" fillId="0" borderId="6" xfId="3" quotePrefix="1" applyFont="1" applyFill="1" applyBorder="1" applyAlignment="1">
      <alignment horizontal="center" vertical="center" wrapText="1"/>
    </xf>
    <xf numFmtId="2" fontId="18" fillId="0" borderId="6" xfId="3" applyNumberFormat="1" applyFont="1" applyFill="1" applyBorder="1" applyAlignment="1">
      <alignment vertical="center"/>
    </xf>
    <xf numFmtId="2" fontId="18" fillId="0" borderId="6" xfId="3" applyNumberFormat="1" applyFont="1" applyBorder="1" applyAlignment="1">
      <alignment vertical="center"/>
    </xf>
    <xf numFmtId="0" fontId="82" fillId="0" borderId="6" xfId="0" applyFont="1" applyBorder="1" applyAlignment="1">
      <alignment horizontal="left" vertical="center" wrapText="1"/>
    </xf>
    <xf numFmtId="0" fontId="81" fillId="0" borderId="6" xfId="0" applyFont="1" applyBorder="1" applyAlignment="1">
      <alignment vertical="center"/>
    </xf>
    <xf numFmtId="165" fontId="18" fillId="0" borderId="0" xfId="78" applyNumberFormat="1" applyFont="1" applyBorder="1" applyAlignment="1">
      <alignment horizontal="center" vertical="center"/>
    </xf>
    <xf numFmtId="0" fontId="81" fillId="0" borderId="6" xfId="0" applyFont="1" applyBorder="1" applyAlignment="1">
      <alignment horizontal="center"/>
    </xf>
    <xf numFmtId="0" fontId="18" fillId="3" borderId="6" xfId="6" applyFont="1" applyFill="1" applyBorder="1" applyAlignment="1">
      <alignment horizontal="center" vertical="center" wrapText="1"/>
    </xf>
    <xf numFmtId="170" fontId="54" fillId="0" borderId="6" xfId="78" applyNumberFormat="1" applyFont="1" applyFill="1" applyBorder="1" applyAlignment="1">
      <alignment wrapText="1"/>
    </xf>
    <xf numFmtId="0" fontId="18" fillId="4" borderId="0" xfId="6" applyFont="1" applyFill="1" applyBorder="1" applyAlignment="1">
      <alignment horizontal="right" vertical="center"/>
    </xf>
    <xf numFmtId="0" fontId="18" fillId="0" borderId="6" xfId="0" applyFont="1" applyFill="1" applyBorder="1" applyAlignment="1">
      <alignment horizontal="center"/>
    </xf>
    <xf numFmtId="0" fontId="0" fillId="0" borderId="6" xfId="0" applyBorder="1"/>
    <xf numFmtId="0" fontId="6" fillId="4" borderId="54" xfId="257" applyFont="1" applyFill="1" applyBorder="1" applyAlignment="1">
      <alignment vertical="center"/>
    </xf>
    <xf numFmtId="0" fontId="6" fillId="4" borderId="55" xfId="257" applyFont="1" applyFill="1" applyBorder="1" applyAlignment="1">
      <alignment vertical="center"/>
    </xf>
    <xf numFmtId="0" fontId="6" fillId="0" borderId="54" xfId="0" applyFont="1" applyBorder="1" applyAlignment="1"/>
    <xf numFmtId="0" fontId="6" fillId="0" borderId="55" xfId="0" applyFont="1" applyBorder="1" applyAlignment="1"/>
    <xf numFmtId="0" fontId="6" fillId="3" borderId="54" xfId="0" applyNumberFormat="1" applyFont="1" applyFill="1" applyBorder="1" applyAlignment="1">
      <alignment horizontal="center" vertical="center"/>
    </xf>
    <xf numFmtId="1" fontId="0" fillId="0" borderId="54" xfId="0" applyNumberFormat="1" applyBorder="1"/>
    <xf numFmtId="2" fontId="0" fillId="0" borderId="0" xfId="0" applyNumberFormat="1" applyFont="1"/>
    <xf numFmtId="167" fontId="81" fillId="0" borderId="0" xfId="0" applyNumberFormat="1" applyFont="1"/>
    <xf numFmtId="0" fontId="82" fillId="3" borderId="6" xfId="0" applyFont="1" applyFill="1" applyBorder="1" applyAlignment="1">
      <alignment horizontal="center" vertical="center" wrapText="1"/>
    </xf>
    <xf numFmtId="10" fontId="82" fillId="0" borderId="6" xfId="1" applyNumberFormat="1" applyFont="1" applyFill="1" applyBorder="1" applyAlignment="1">
      <alignment horizontal="center" vertical="center"/>
    </xf>
    <xf numFmtId="10" fontId="4" fillId="0" borderId="6" xfId="1" applyNumberFormat="1" applyFont="1" applyBorder="1" applyAlignment="1">
      <alignment horizontal="center" vertical="center"/>
    </xf>
    <xf numFmtId="0" fontId="18" fillId="0" borderId="6" xfId="78" applyFont="1" applyBorder="1" applyAlignment="1">
      <alignment vertical="center"/>
    </xf>
    <xf numFmtId="0" fontId="4" fillId="0" borderId="6" xfId="78" applyFont="1" applyBorder="1" applyAlignment="1">
      <alignment vertical="center" wrapText="1"/>
    </xf>
    <xf numFmtId="0" fontId="18" fillId="3" borderId="6" xfId="6" applyFont="1" applyFill="1" applyBorder="1" applyAlignment="1">
      <alignment horizontal="center" vertical="center"/>
    </xf>
    <xf numFmtId="0" fontId="18" fillId="4" borderId="0" xfId="5" applyFont="1" applyFill="1" applyAlignment="1">
      <alignment horizontal="center" vertical="center"/>
    </xf>
    <xf numFmtId="0" fontId="18" fillId="4" borderId="0" xfId="3" applyFont="1" applyFill="1" applyBorder="1" applyAlignment="1">
      <alignment horizontal="center" vertical="center"/>
    </xf>
    <xf numFmtId="0" fontId="82" fillId="0" borderId="6" xfId="0" applyFont="1" applyBorder="1" applyAlignment="1">
      <alignment horizontal="center" vertical="center"/>
    </xf>
    <xf numFmtId="0" fontId="82" fillId="3" borderId="52" xfId="0" applyFont="1" applyFill="1" applyBorder="1" applyAlignment="1">
      <alignment horizontal="center" vertical="center"/>
    </xf>
    <xf numFmtId="0" fontId="82" fillId="3" borderId="6" xfId="0" applyFont="1" applyFill="1" applyBorder="1" applyAlignment="1">
      <alignment horizontal="center" vertical="center"/>
    </xf>
    <xf numFmtId="0" fontId="82" fillId="3" borderId="52" xfId="0" applyFont="1" applyFill="1" applyBorder="1" applyAlignment="1">
      <alignment horizontal="center" vertical="center" wrapText="1"/>
    </xf>
    <xf numFmtId="0" fontId="82" fillId="3" borderId="6" xfId="0" applyFont="1" applyFill="1" applyBorder="1" applyAlignment="1">
      <alignment horizontal="center" vertical="center" wrapText="1"/>
    </xf>
    <xf numFmtId="2" fontId="81" fillId="0" borderId="6" xfId="0" applyNumberFormat="1" applyFont="1" applyBorder="1" applyAlignment="1">
      <alignment horizontal="center" vertical="center"/>
    </xf>
    <xf numFmtId="0" fontId="81" fillId="0" borderId="6" xfId="0" applyFont="1" applyBorder="1" applyAlignment="1">
      <alignment horizontal="center" vertical="center"/>
    </xf>
    <xf numFmtId="0" fontId="82" fillId="0" borderId="6" xfId="0" applyFont="1" applyBorder="1" applyAlignment="1">
      <alignment horizontal="center"/>
    </xf>
    <xf numFmtId="0" fontId="18" fillId="3" borderId="6" xfId="6" applyFont="1" applyFill="1" applyBorder="1" applyAlignment="1">
      <alignment horizontal="center" vertical="center" wrapText="1"/>
    </xf>
    <xf numFmtId="0" fontId="81" fillId="4" borderId="6" xfId="0" applyFont="1" applyFill="1" applyBorder="1" applyAlignment="1">
      <alignment horizontal="center" vertical="center"/>
    </xf>
    <xf numFmtId="0" fontId="116" fillId="0" borderId="6" xfId="0" applyFont="1" applyBorder="1" applyAlignment="1">
      <alignment horizontal="center"/>
    </xf>
    <xf numFmtId="0" fontId="81" fillId="0" borderId="6" xfId="0" applyFont="1" applyBorder="1" applyAlignment="1">
      <alignment horizontal="center"/>
    </xf>
    <xf numFmtId="2" fontId="116" fillId="0" borderId="6" xfId="0" applyNumberFormat="1" applyFont="1" applyBorder="1" applyAlignment="1">
      <alignment horizontal="center"/>
    </xf>
    <xf numFmtId="0" fontId="116" fillId="31" borderId="26" xfId="0" applyFont="1" applyFill="1" applyBorder="1"/>
    <xf numFmtId="2" fontId="116" fillId="0" borderId="6" xfId="0" applyNumberFormat="1" applyFont="1" applyFill="1" applyBorder="1"/>
    <xf numFmtId="0" fontId="219" fillId="4" borderId="0" xfId="3" applyFont="1" applyFill="1" applyBorder="1" applyAlignment="1">
      <alignment vertical="center"/>
    </xf>
    <xf numFmtId="0" fontId="4" fillId="4" borderId="6" xfId="3" applyFont="1" applyFill="1" applyBorder="1" applyAlignment="1">
      <alignment vertical="center" wrapText="1"/>
    </xf>
    <xf numFmtId="0" fontId="111" fillId="4" borderId="6" xfId="3" applyFont="1" applyFill="1" applyBorder="1" applyAlignment="1">
      <alignment vertical="center" wrapText="1"/>
    </xf>
    <xf numFmtId="0" fontId="4" fillId="4" borderId="6" xfId="3" applyFont="1" applyFill="1" applyBorder="1" applyAlignment="1">
      <alignment vertical="center"/>
    </xf>
    <xf numFmtId="4" fontId="4" fillId="4" borderId="6" xfId="3" applyNumberFormat="1" applyFont="1" applyFill="1" applyBorder="1" applyAlignment="1">
      <alignment horizontal="right" vertical="center"/>
    </xf>
    <xf numFmtId="2" fontId="4" fillId="4" borderId="6" xfId="3" applyNumberFormat="1" applyFont="1" applyFill="1" applyBorder="1" applyAlignment="1">
      <alignment horizontal="right" vertical="center"/>
    </xf>
    <xf numFmtId="167" fontId="4" fillId="4" borderId="6" xfId="3" applyNumberFormat="1" applyFont="1" applyFill="1" applyBorder="1" applyAlignment="1">
      <alignment horizontal="right" vertical="center" wrapText="1"/>
    </xf>
    <xf numFmtId="217" fontId="18" fillId="0" borderId="6" xfId="6" applyNumberFormat="1" applyFont="1" applyFill="1" applyBorder="1" applyAlignment="1">
      <alignment horizontal="right" vertical="center"/>
    </xf>
    <xf numFmtId="0" fontId="4" fillId="4" borderId="6" xfId="3" applyFont="1" applyFill="1" applyBorder="1" applyAlignment="1">
      <alignment horizontal="right" vertical="center"/>
    </xf>
    <xf numFmtId="0" fontId="111" fillId="4" borderId="6" xfId="3" applyFont="1" applyFill="1" applyBorder="1" applyAlignment="1">
      <alignment vertical="center"/>
    </xf>
    <xf numFmtId="0" fontId="4" fillId="4" borderId="6" xfId="6" applyFont="1" applyFill="1" applyBorder="1" applyAlignment="1">
      <alignment horizontal="center" vertical="center"/>
    </xf>
    <xf numFmtId="0" fontId="231" fillId="4" borderId="0" xfId="6" applyFont="1" applyFill="1" applyAlignment="1">
      <alignment vertical="center"/>
    </xf>
    <xf numFmtId="2" fontId="4" fillId="31" borderId="6" xfId="13" applyNumberFormat="1" applyFont="1" applyFill="1" applyBorder="1" applyAlignment="1">
      <alignment horizontal="right" vertical="center"/>
    </xf>
    <xf numFmtId="167" fontId="4" fillId="31" borderId="6" xfId="3" applyNumberFormat="1" applyFont="1" applyFill="1" applyBorder="1" applyAlignment="1">
      <alignment horizontal="right" vertical="center" wrapText="1"/>
    </xf>
    <xf numFmtId="0" fontId="82" fillId="3" borderId="6" xfId="0" applyFont="1" applyFill="1" applyBorder="1" applyAlignment="1">
      <alignment horizontal="right" vertical="center" wrapText="1"/>
    </xf>
    <xf numFmtId="0" fontId="81" fillId="0" borderId="6" xfId="0" applyFont="1" applyFill="1" applyBorder="1"/>
    <xf numFmtId="2" fontId="116" fillId="0" borderId="6" xfId="0" applyNumberFormat="1" applyFont="1" applyFill="1" applyBorder="1" applyAlignment="1">
      <alignment horizontal="center" vertical="center" wrapText="1"/>
    </xf>
    <xf numFmtId="2" fontId="116" fillId="31" borderId="11" xfId="0" applyNumberFormat="1" applyFont="1" applyFill="1" applyBorder="1"/>
    <xf numFmtId="0" fontId="117" fillId="69" borderId="9" xfId="0" applyFont="1" applyFill="1" applyBorder="1" applyAlignment="1">
      <alignment horizontal="center" vertical="center" wrapText="1"/>
    </xf>
    <xf numFmtId="0" fontId="117" fillId="69" borderId="4" xfId="0" applyFont="1" applyFill="1" applyBorder="1" applyAlignment="1">
      <alignment horizontal="center" vertical="center" wrapText="1"/>
    </xf>
    <xf numFmtId="0" fontId="117" fillId="69" borderId="57" xfId="0" applyFont="1" applyFill="1" applyBorder="1" applyAlignment="1">
      <alignment horizontal="center" vertical="center" wrapText="1"/>
    </xf>
    <xf numFmtId="0" fontId="116" fillId="0" borderId="53" xfId="0" applyFont="1" applyBorder="1"/>
    <xf numFmtId="0" fontId="116" fillId="0" borderId="10" xfId="0" applyFont="1" applyBorder="1"/>
    <xf numFmtId="0" fontId="116" fillId="0" borderId="99" xfId="0" applyFont="1" applyBorder="1"/>
    <xf numFmtId="0" fontId="116" fillId="0" borderId="58" xfId="0" applyFont="1" applyBorder="1"/>
    <xf numFmtId="0" fontId="116" fillId="0" borderId="7" xfId="0" applyFont="1" applyBorder="1" applyAlignment="1">
      <alignment horizontal="center"/>
    </xf>
    <xf numFmtId="2" fontId="116" fillId="0" borderId="53" xfId="0" applyNumberFormat="1" applyFont="1" applyBorder="1"/>
    <xf numFmtId="0" fontId="18" fillId="62" borderId="6" xfId="6" applyFont="1" applyFill="1" applyBorder="1" applyAlignment="1">
      <alignment horizontal="center" vertical="center"/>
    </xf>
    <xf numFmtId="0" fontId="18" fillId="62" borderId="6" xfId="3" applyFont="1" applyFill="1" applyBorder="1" applyAlignment="1">
      <alignment vertical="center"/>
    </xf>
    <xf numFmtId="187" fontId="18" fillId="62" borderId="6" xfId="6" applyNumberFormat="1" applyFont="1" applyFill="1" applyBorder="1" applyAlignment="1">
      <alignment horizontal="right" vertical="center"/>
    </xf>
    <xf numFmtId="0" fontId="125" fillId="0" borderId="10" xfId="0" applyFont="1" applyBorder="1"/>
    <xf numFmtId="0" fontId="117" fillId="69" borderId="6" xfId="112" applyFont="1" applyFill="1" applyBorder="1" applyAlignment="1">
      <alignment horizontal="center"/>
    </xf>
    <xf numFmtId="0" fontId="17" fillId="0" borderId="6" xfId="0" applyFont="1" applyBorder="1" applyAlignment="1">
      <alignment horizontal="left"/>
    </xf>
    <xf numFmtId="0" fontId="19" fillId="0" borderId="0" xfId="6" applyFont="1" applyAlignment="1">
      <alignment horizontal="center" vertical="center"/>
    </xf>
    <xf numFmtId="0" fontId="19" fillId="0" borderId="6" xfId="6" applyFont="1" applyBorder="1" applyAlignment="1">
      <alignment horizontal="center" vertical="center"/>
    </xf>
    <xf numFmtId="0" fontId="14" fillId="0" borderId="0" xfId="6" applyFont="1" applyAlignment="1">
      <alignment horizontal="center" vertical="center"/>
    </xf>
    <xf numFmtId="0" fontId="14" fillId="0" borderId="0" xfId="489" applyFont="1" applyBorder="1"/>
    <xf numFmtId="0" fontId="17" fillId="0" borderId="0" xfId="489" applyFont="1" applyBorder="1" applyAlignment="1">
      <alignment horizontal="center" vertical="center"/>
    </xf>
    <xf numFmtId="0" fontId="232" fillId="0" borderId="0" xfId="489" applyAlignment="1">
      <alignment horizontal="center" vertical="center"/>
    </xf>
    <xf numFmtId="167" fontId="0" fillId="0" borderId="6" xfId="0" applyNumberFormat="1" applyFont="1" applyBorder="1" applyAlignment="1">
      <alignment horizontal="right"/>
    </xf>
    <xf numFmtId="167" fontId="0" fillId="0" borderId="52" xfId="0" applyNumberFormat="1" applyFont="1" applyBorder="1" applyAlignment="1">
      <alignment vertical="center"/>
    </xf>
    <xf numFmtId="0" fontId="212" fillId="0" borderId="6" xfId="78" applyFont="1" applyFill="1" applyBorder="1" applyAlignment="1">
      <alignment horizontal="center" vertical="center"/>
    </xf>
    <xf numFmtId="2" fontId="212" fillId="0" borderId="6" xfId="121" applyNumberFormat="1" applyFont="1" applyFill="1" applyBorder="1"/>
    <xf numFmtId="0" fontId="82" fillId="0" borderId="6" xfId="0" applyFont="1" applyBorder="1" applyAlignment="1">
      <alignment horizontal="center" vertical="center"/>
    </xf>
    <xf numFmtId="0" fontId="82" fillId="3" borderId="52" xfId="0" applyFont="1" applyFill="1" applyBorder="1" applyAlignment="1">
      <alignment horizontal="center" vertical="center"/>
    </xf>
    <xf numFmtId="0" fontId="82" fillId="3" borderId="6" xfId="0" applyFont="1" applyFill="1" applyBorder="1" applyAlignment="1">
      <alignment horizontal="center" vertical="center"/>
    </xf>
    <xf numFmtId="0" fontId="81" fillId="0" borderId="6" xfId="0" applyFont="1" applyBorder="1" applyAlignment="1">
      <alignment vertical="center"/>
    </xf>
    <xf numFmtId="0" fontId="82" fillId="3" borderId="52" xfId="0" applyFont="1" applyFill="1" applyBorder="1" applyAlignment="1">
      <alignment horizontal="center" vertical="center" wrapText="1"/>
    </xf>
    <xf numFmtId="2" fontId="81" fillId="0" borderId="6" xfId="0" applyNumberFormat="1" applyFont="1" applyBorder="1" applyAlignment="1">
      <alignment horizontal="center" vertical="center"/>
    </xf>
    <xf numFmtId="0" fontId="81" fillId="0" borderId="6" xfId="0" applyFont="1" applyBorder="1" applyAlignment="1">
      <alignment horizontal="center" vertical="center"/>
    </xf>
    <xf numFmtId="0" fontId="82" fillId="3" borderId="6" xfId="0" applyFont="1" applyFill="1" applyBorder="1" applyAlignment="1">
      <alignment horizontal="center" vertical="center" wrapText="1"/>
    </xf>
    <xf numFmtId="187" fontId="18" fillId="4" borderId="6" xfId="6" applyNumberFormat="1" applyFont="1" applyFill="1" applyBorder="1" applyAlignment="1">
      <alignment vertical="center"/>
    </xf>
    <xf numFmtId="0" fontId="81" fillId="63" borderId="0" xfId="0" applyFont="1" applyFill="1" applyAlignment="1">
      <alignment vertical="center"/>
    </xf>
    <xf numFmtId="2" fontId="82" fillId="0" borderId="0" xfId="0" applyNumberFormat="1" applyFont="1" applyBorder="1" applyAlignment="1">
      <alignment vertical="center"/>
    </xf>
    <xf numFmtId="2" fontId="81" fillId="0" borderId="0" xfId="0" applyNumberFormat="1" applyFont="1" applyBorder="1" applyAlignment="1">
      <alignment vertical="center"/>
    </xf>
    <xf numFmtId="0" fontId="82" fillId="0" borderId="6" xfId="0" applyFont="1" applyBorder="1" applyAlignment="1">
      <alignment vertical="center" wrapText="1"/>
    </xf>
    <xf numFmtId="0" fontId="18" fillId="4" borderId="0" xfId="78" applyFont="1" applyFill="1" applyBorder="1" applyAlignment="1">
      <alignment horizontal="center" vertical="center"/>
    </xf>
    <xf numFmtId="0" fontId="18" fillId="3" borderId="6" xfId="6" applyFont="1" applyFill="1" applyBorder="1" applyAlignment="1">
      <alignment horizontal="center" vertical="center" wrapText="1"/>
    </xf>
    <xf numFmtId="0" fontId="18" fillId="3" borderId="52" xfId="6" applyFont="1" applyFill="1" applyBorder="1" applyAlignment="1">
      <alignment horizontal="center" vertical="center" wrapText="1"/>
    </xf>
    <xf numFmtId="0" fontId="0" fillId="0" borderId="6" xfId="0" applyBorder="1"/>
    <xf numFmtId="0" fontId="4" fillId="0" borderId="6" xfId="13" applyFont="1" applyFill="1" applyBorder="1" applyAlignment="1">
      <alignment horizontal="center" vertical="center"/>
    </xf>
    <xf numFmtId="0" fontId="0" fillId="0" borderId="6" xfId="0" applyBorder="1" applyAlignment="1">
      <alignment horizontal="center"/>
    </xf>
    <xf numFmtId="2" fontId="116" fillId="0" borderId="6" xfId="0" applyNumberFormat="1" applyFont="1" applyBorder="1" applyAlignment="1">
      <alignment horizontal="center"/>
    </xf>
    <xf numFmtId="0" fontId="14" fillId="0" borderId="6" xfId="260" applyFont="1" applyBorder="1" applyAlignment="1">
      <alignment horizontal="center" vertical="center"/>
    </xf>
    <xf numFmtId="0" fontId="82" fillId="3" borderId="6" xfId="0" applyFont="1" applyFill="1" applyBorder="1" applyAlignment="1">
      <alignment horizontal="center" vertical="center"/>
    </xf>
    <xf numFmtId="0" fontId="81" fillId="0" borderId="6" xfId="0" applyFont="1" applyBorder="1" applyAlignment="1">
      <alignment vertical="center"/>
    </xf>
    <xf numFmtId="0" fontId="82" fillId="0" borderId="6" xfId="0" applyFont="1" applyBorder="1" applyAlignment="1">
      <alignment horizontal="center"/>
    </xf>
    <xf numFmtId="0" fontId="81" fillId="0" borderId="0" xfId="0" applyFont="1" applyAlignment="1">
      <alignment horizontal="center" wrapText="1"/>
    </xf>
    <xf numFmtId="0" fontId="18" fillId="3" borderId="6" xfId="0" applyFont="1" applyFill="1" applyBorder="1" applyAlignment="1">
      <alignment horizontal="center" vertical="center" wrapText="1"/>
    </xf>
    <xf numFmtId="0" fontId="213" fillId="39" borderId="6" xfId="9" applyFont="1" applyFill="1" applyBorder="1" applyAlignment="1">
      <alignment horizontal="center" vertical="center" wrapText="1"/>
    </xf>
    <xf numFmtId="0" fontId="81" fillId="0" borderId="6" xfId="0" applyFont="1" applyBorder="1" applyAlignment="1">
      <alignment horizontal="center"/>
    </xf>
    <xf numFmtId="170" fontId="9" fillId="0" borderId="0" xfId="78" applyNumberFormat="1" applyFont="1" applyFill="1" applyAlignment="1">
      <alignment horizontal="right"/>
    </xf>
    <xf numFmtId="10" fontId="0" fillId="0" borderId="3" xfId="1" applyNumberFormat="1" applyFont="1" applyFill="1" applyBorder="1" applyAlignment="1">
      <alignment horizontal="center" vertical="center"/>
    </xf>
    <xf numFmtId="9" fontId="3" fillId="0" borderId="6" xfId="1" applyFont="1" applyFill="1" applyBorder="1"/>
    <xf numFmtId="0" fontId="6" fillId="0" borderId="6" xfId="0" applyFont="1" applyFill="1" applyBorder="1" applyAlignment="1" applyProtection="1">
      <alignment horizontal="left" vertical="center" wrapText="1"/>
    </xf>
    <xf numFmtId="1" fontId="6" fillId="0" borderId="6" xfId="0" applyNumberFormat="1" applyFont="1" applyBorder="1" applyAlignment="1">
      <alignment horizontal="right"/>
    </xf>
    <xf numFmtId="0" fontId="13" fillId="3" borderId="6" xfId="0" applyNumberFormat="1" applyFont="1" applyFill="1" applyBorder="1" applyAlignment="1">
      <alignment horizontal="center" vertical="center"/>
    </xf>
    <xf numFmtId="1" fontId="0" fillId="0" borderId="0" xfId="0" applyNumberFormat="1" applyFill="1" applyBorder="1"/>
    <xf numFmtId="2" fontId="3" fillId="0" borderId="54" xfId="0" applyNumberFormat="1" applyFont="1" applyBorder="1"/>
    <xf numFmtId="0" fontId="8" fillId="0" borderId="6" xfId="0" applyFont="1" applyBorder="1" applyAlignment="1">
      <alignment horizontal="left"/>
    </xf>
    <xf numFmtId="0" fontId="3" fillId="0" borderId="6" xfId="0" applyFont="1" applyBorder="1" applyAlignment="1">
      <alignment horizontal="left"/>
    </xf>
    <xf numFmtId="0" fontId="3" fillId="0" borderId="6" xfId="0" applyFont="1" applyBorder="1" applyAlignment="1">
      <alignment horizontal="center" vertical="center"/>
    </xf>
    <xf numFmtId="0" fontId="0" fillId="0" borderId="6" xfId="0" applyFill="1" applyBorder="1" applyAlignment="1">
      <alignment horizontal="center" vertical="center"/>
    </xf>
    <xf numFmtId="0" fontId="3" fillId="0" borderId="6" xfId="0" applyFont="1" applyFill="1" applyBorder="1" applyAlignment="1">
      <alignment horizontal="left"/>
    </xf>
    <xf numFmtId="2" fontId="0" fillId="4" borderId="6" xfId="0" applyNumberFormat="1" applyFont="1" applyFill="1" applyBorder="1" applyAlignment="1">
      <alignment horizontal="center" vertical="center"/>
    </xf>
    <xf numFmtId="0" fontId="117" fillId="0" borderId="0" xfId="112" applyFont="1" applyAlignment="1">
      <alignment vertical="center"/>
    </xf>
    <xf numFmtId="0" fontId="3" fillId="39" borderId="6" xfId="0" applyFont="1" applyFill="1" applyBorder="1" applyAlignment="1">
      <alignment horizontal="center" vertical="center" wrapText="1"/>
    </xf>
    <xf numFmtId="0" fontId="116" fillId="31" borderId="0" xfId="112" applyFont="1" applyFill="1"/>
    <xf numFmtId="10" fontId="116" fillId="31" borderId="0" xfId="1" applyNumberFormat="1" applyFont="1" applyFill="1"/>
    <xf numFmtId="0" fontId="233" fillId="0" borderId="0" xfId="112" applyFont="1"/>
    <xf numFmtId="0" fontId="18" fillId="0" borderId="6" xfId="6" applyFont="1" applyBorder="1" applyAlignment="1">
      <alignment horizontal="center" vertical="center"/>
    </xf>
    <xf numFmtId="2" fontId="18" fillId="0" borderId="6" xfId="7" applyNumberFormat="1" applyFont="1" applyBorder="1" applyAlignment="1">
      <alignment horizontal="center" vertical="center"/>
    </xf>
    <xf numFmtId="0" fontId="116" fillId="0" borderId="6" xfId="0" applyFont="1" applyBorder="1" applyAlignment="1">
      <alignment horizontal="center"/>
    </xf>
    <xf numFmtId="164" fontId="81" fillId="0" borderId="6" xfId="0" applyNumberFormat="1" applyFont="1" applyBorder="1" applyAlignment="1">
      <alignment vertical="center"/>
    </xf>
    <xf numFmtId="199" fontId="215" fillId="31" borderId="6" xfId="78" applyNumberFormat="1" applyFont="1" applyFill="1" applyBorder="1"/>
    <xf numFmtId="170" fontId="215" fillId="31" borderId="6" xfId="78" applyNumberFormat="1" applyFont="1" applyFill="1" applyBorder="1"/>
    <xf numFmtId="9" fontId="81" fillId="0" borderId="6" xfId="1" applyFont="1" applyBorder="1" applyAlignment="1">
      <alignment horizontal="center"/>
    </xf>
    <xf numFmtId="0" fontId="81" fillId="31" borderId="0" xfId="0" applyFont="1" applyFill="1"/>
    <xf numFmtId="2" fontId="4" fillId="4" borderId="0" xfId="6" applyNumberFormat="1" applyFont="1" applyFill="1" applyBorder="1" applyAlignment="1">
      <alignment vertical="center"/>
    </xf>
    <xf numFmtId="2" fontId="81" fillId="37" borderId="6" xfId="0" applyNumberFormat="1" applyFont="1" applyFill="1" applyBorder="1" applyAlignment="1">
      <alignment vertical="center"/>
    </xf>
    <xf numFmtId="0" fontId="82" fillId="31" borderId="0" xfId="0" applyFont="1" applyFill="1"/>
    <xf numFmtId="10" fontId="54" fillId="0" borderId="0" xfId="1" applyNumberFormat="1" applyFont="1" applyFill="1"/>
    <xf numFmtId="0" fontId="16" fillId="61" borderId="6" xfId="121" applyFont="1" applyFill="1" applyBorder="1" applyAlignment="1">
      <alignment horizontal="center"/>
    </xf>
    <xf numFmtId="2" fontId="0" fillId="61" borderId="6" xfId="0" applyNumberFormat="1" applyFont="1" applyFill="1" applyBorder="1" applyAlignment="1">
      <alignment horizontal="center"/>
    </xf>
    <xf numFmtId="10" fontId="0" fillId="61" borderId="6" xfId="0" applyNumberFormat="1" applyFont="1" applyFill="1" applyBorder="1"/>
    <xf numFmtId="2" fontId="3" fillId="61" borderId="0" xfId="0" applyNumberFormat="1" applyFont="1" applyFill="1"/>
    <xf numFmtId="0" fontId="222" fillId="68" borderId="6" xfId="0" applyFont="1" applyFill="1" applyBorder="1" applyAlignment="1">
      <alignment horizontal="center" wrapText="1"/>
    </xf>
    <xf numFmtId="0" fontId="0" fillId="68" borderId="6" xfId="0" applyFill="1" applyBorder="1" applyAlignment="1">
      <alignment wrapText="1"/>
    </xf>
    <xf numFmtId="0" fontId="224" fillId="0" borderId="6" xfId="0" applyFont="1" applyBorder="1" applyAlignment="1">
      <alignment horizontal="left" wrapText="1"/>
    </xf>
    <xf numFmtId="0" fontId="224" fillId="0" borderId="6" xfId="0" applyFont="1" applyBorder="1" applyAlignment="1">
      <alignment horizontal="center"/>
    </xf>
    <xf numFmtId="0" fontId="224" fillId="0" borderId="6" xfId="0" applyFont="1" applyBorder="1" applyAlignment="1">
      <alignment horizontal="right"/>
    </xf>
    <xf numFmtId="2" fontId="224" fillId="0" borderId="6" xfId="0" applyNumberFormat="1" applyFont="1" applyBorder="1" applyAlignment="1">
      <alignment horizontal="right"/>
    </xf>
    <xf numFmtId="2" fontId="224" fillId="0" borderId="6" xfId="0" applyNumberFormat="1" applyFont="1" applyBorder="1" applyAlignment="1">
      <alignment horizontal="right" wrapText="1"/>
    </xf>
    <xf numFmtId="2" fontId="79" fillId="0" borderId="6" xfId="0" applyNumberFormat="1" applyFont="1" applyBorder="1" applyAlignment="1">
      <alignment horizontal="center" vertical="center"/>
    </xf>
    <xf numFmtId="2" fontId="82" fillId="0" borderId="6" xfId="0" applyNumberFormat="1" applyFont="1" applyFill="1" applyBorder="1" applyAlignment="1">
      <alignment horizontal="right"/>
    </xf>
    <xf numFmtId="2" fontId="81" fillId="0" borderId="0" xfId="0" applyNumberFormat="1" applyFont="1" applyBorder="1" applyAlignment="1">
      <alignment horizontal="center"/>
    </xf>
    <xf numFmtId="2" fontId="81" fillId="0" borderId="6" xfId="0" applyNumberFormat="1" applyFont="1" applyBorder="1" applyAlignment="1">
      <alignment horizontal="center" vertical="center"/>
    </xf>
    <xf numFmtId="164" fontId="116" fillId="0" borderId="6" xfId="0" applyNumberFormat="1" applyFont="1" applyBorder="1"/>
    <xf numFmtId="0" fontId="116" fillId="0" borderId="56" xfId="0" applyFont="1" applyBorder="1"/>
    <xf numFmtId="0" fontId="116" fillId="0" borderId="6" xfId="0" applyFont="1" applyBorder="1" applyAlignment="1">
      <alignment horizontal="center"/>
    </xf>
    <xf numFmtId="0" fontId="15" fillId="3" borderId="6" xfId="78" applyFont="1" applyFill="1" applyBorder="1" applyAlignment="1">
      <alignment horizontal="center" vertical="center" wrapText="1"/>
    </xf>
    <xf numFmtId="0" fontId="117" fillId="3" borderId="6" xfId="0" applyFont="1" applyFill="1" applyBorder="1" applyAlignment="1">
      <alignment horizontal="center" vertical="center" wrapText="1"/>
    </xf>
    <xf numFmtId="0" fontId="81" fillId="0" borderId="6" xfId="0" applyFont="1" applyBorder="1" applyAlignment="1">
      <alignment vertical="center"/>
    </xf>
    <xf numFmtId="0" fontId="82" fillId="3" borderId="6" xfId="0" applyFont="1" applyFill="1" applyBorder="1" applyAlignment="1">
      <alignment horizontal="center" vertical="center"/>
    </xf>
    <xf numFmtId="0" fontId="82" fillId="3" borderId="6" xfId="0" applyFont="1" applyFill="1" applyBorder="1" applyAlignment="1">
      <alignment horizontal="center" vertical="center" wrapText="1"/>
    </xf>
    <xf numFmtId="0" fontId="116" fillId="0" borderId="52" xfId="0" applyFont="1" applyBorder="1" applyAlignment="1">
      <alignment horizontal="center"/>
    </xf>
    <xf numFmtId="2" fontId="81" fillId="0" borderId="52" xfId="0" applyNumberFormat="1" applyFont="1" applyBorder="1" applyAlignment="1">
      <alignment horizontal="center" vertical="center"/>
    </xf>
    <xf numFmtId="200" fontId="81" fillId="0" borderId="6" xfId="486" applyNumberFormat="1" applyFont="1" applyBorder="1" applyAlignment="1">
      <alignment horizontal="right" vertical="center"/>
    </xf>
    <xf numFmtId="0" fontId="82" fillId="0" borderId="0" xfId="0" applyFont="1" applyBorder="1" applyAlignment="1">
      <alignment horizontal="left" vertical="center"/>
    </xf>
    <xf numFmtId="0" fontId="116" fillId="0" borderId="6" xfId="0" applyFont="1" applyBorder="1" applyAlignment="1">
      <alignment horizontal="center"/>
    </xf>
    <xf numFmtId="0" fontId="116" fillId="0" borderId="56" xfId="0" applyFont="1" applyBorder="1" applyAlignment="1">
      <alignment horizontal="center"/>
    </xf>
    <xf numFmtId="2" fontId="116" fillId="0" borderId="6" xfId="0" applyNumberFormat="1" applyFont="1" applyBorder="1" applyAlignment="1">
      <alignment horizontal="center" vertical="center"/>
    </xf>
    <xf numFmtId="0" fontId="117" fillId="3" borderId="6" xfId="0" applyFont="1" applyFill="1" applyBorder="1" applyAlignment="1">
      <alignment horizontal="center"/>
    </xf>
    <xf numFmtId="2" fontId="5" fillId="0" borderId="6" xfId="0" applyNumberFormat="1" applyFont="1" applyBorder="1" applyAlignment="1">
      <alignment vertical="center"/>
    </xf>
    <xf numFmtId="15" fontId="116" fillId="0" borderId="6" xfId="0" applyNumberFormat="1" applyFont="1" applyBorder="1" applyAlignment="1">
      <alignment horizontal="center"/>
    </xf>
    <xf numFmtId="0" fontId="116" fillId="0" borderId="0" xfId="0" applyFont="1" applyBorder="1" applyAlignment="1">
      <alignment horizontal="center"/>
    </xf>
    <xf numFmtId="0" fontId="116" fillId="0" borderId="6" xfId="0" applyFont="1" applyBorder="1" applyAlignment="1">
      <alignment horizontal="center"/>
    </xf>
    <xf numFmtId="0" fontId="117" fillId="0" borderId="6" xfId="0" applyFont="1" applyBorder="1" applyAlignment="1">
      <alignment horizontal="center"/>
    </xf>
    <xf numFmtId="2" fontId="116" fillId="0" borderId="6" xfId="0" applyNumberFormat="1" applyFont="1" applyBorder="1" applyAlignment="1">
      <alignment horizontal="center"/>
    </xf>
    <xf numFmtId="10" fontId="117" fillId="0" borderId="6" xfId="1" applyNumberFormat="1" applyFont="1" applyBorder="1" applyAlignment="1">
      <alignment horizontal="center"/>
    </xf>
    <xf numFmtId="1" fontId="0" fillId="0" borderId="6" xfId="0" applyNumberFormat="1" applyFill="1" applyBorder="1"/>
    <xf numFmtId="2" fontId="0" fillId="70" borderId="6" xfId="0" applyNumberFormat="1" applyFont="1" applyFill="1" applyBorder="1"/>
    <xf numFmtId="0" fontId="0" fillId="70" borderId="6" xfId="0" applyFont="1" applyFill="1" applyBorder="1"/>
    <xf numFmtId="2" fontId="3" fillId="70" borderId="6" xfId="0" applyNumberFormat="1" applyFont="1" applyFill="1" applyBorder="1" applyAlignment="1">
      <alignment horizontal="right"/>
    </xf>
    <xf numFmtId="2" fontId="0" fillId="0" borderId="6" xfId="0" applyNumberFormat="1" applyFont="1" applyFill="1" applyBorder="1" applyAlignment="1">
      <alignment horizontal="right"/>
    </xf>
    <xf numFmtId="2" fontId="0" fillId="0" borderId="52" xfId="0" applyNumberFormat="1" applyFont="1" applyFill="1" applyBorder="1" applyAlignment="1">
      <alignment vertical="center"/>
    </xf>
    <xf numFmtId="2" fontId="3" fillId="0" borderId="6" xfId="0" applyNumberFormat="1" applyFont="1" applyFill="1" applyBorder="1" applyAlignment="1">
      <alignment horizontal="right"/>
    </xf>
    <xf numFmtId="0" fontId="81" fillId="0" borderId="6" xfId="0" applyFont="1" applyFill="1" applyBorder="1" applyAlignment="1">
      <alignment horizontal="left" vertical="top" wrapText="1"/>
    </xf>
    <xf numFmtId="0" fontId="82" fillId="0" borderId="6" xfId="0" applyFont="1" applyFill="1" applyBorder="1" applyAlignment="1">
      <alignment horizontal="center" vertical="top" wrapText="1"/>
    </xf>
    <xf numFmtId="2" fontId="81" fillId="0" borderId="6" xfId="0" applyNumberFormat="1" applyFont="1" applyFill="1" applyBorder="1" applyAlignment="1">
      <alignment vertical="center" wrapText="1"/>
    </xf>
    <xf numFmtId="0" fontId="5" fillId="2" borderId="6" xfId="257" applyFont="1" applyFill="1" applyBorder="1" applyAlignment="1">
      <alignment vertical="center"/>
    </xf>
    <xf numFmtId="2" fontId="5" fillId="0" borderId="6" xfId="0" applyNumberFormat="1" applyFont="1" applyBorder="1" applyAlignment="1">
      <alignment horizontal="center" vertical="center" wrapText="1"/>
    </xf>
    <xf numFmtId="0" fontId="5" fillId="0" borderId="6" xfId="0" applyNumberFormat="1" applyFont="1" applyBorder="1" applyAlignment="1">
      <alignment vertical="center"/>
    </xf>
    <xf numFmtId="0" fontId="5" fillId="0" borderId="6" xfId="0" applyFont="1" applyBorder="1" applyAlignment="1">
      <alignment horizontal="center" vertical="center"/>
    </xf>
    <xf numFmtId="2" fontId="5" fillId="0" borderId="6" xfId="0" applyNumberFormat="1" applyFont="1" applyBorder="1" applyAlignment="1">
      <alignment vertical="center" wrapText="1"/>
    </xf>
    <xf numFmtId="0" fontId="5" fillId="0" borderId="6" xfId="0" applyFont="1" applyBorder="1" applyAlignment="1">
      <alignment horizontal="right" vertical="center" wrapText="1"/>
    </xf>
    <xf numFmtId="1" fontId="5" fillId="0" borderId="6" xfId="0" applyNumberFormat="1" applyFont="1" applyBorder="1"/>
    <xf numFmtId="0" fontId="5" fillId="0" borderId="6" xfId="0" applyFont="1" applyBorder="1"/>
    <xf numFmtId="2" fontId="5" fillId="0" borderId="6" xfId="0" applyNumberFormat="1" applyFont="1" applyBorder="1" applyAlignment="1"/>
    <xf numFmtId="174" fontId="6" fillId="0" borderId="6" xfId="0" applyNumberFormat="1" applyFont="1" applyBorder="1"/>
    <xf numFmtId="166" fontId="5" fillId="0" borderId="6" xfId="0" applyNumberFormat="1" applyFont="1" applyBorder="1"/>
    <xf numFmtId="167" fontId="5" fillId="0" borderId="6" xfId="0" applyNumberFormat="1" applyFont="1" applyBorder="1"/>
    <xf numFmtId="174" fontId="5" fillId="0" borderId="0" xfId="0" applyNumberFormat="1" applyFont="1"/>
    <xf numFmtId="219" fontId="115" fillId="0" borderId="6" xfId="0" applyNumberFormat="1" applyFont="1" applyBorder="1" applyAlignment="1">
      <alignment vertical="center"/>
    </xf>
    <xf numFmtId="219" fontId="115" fillId="0" borderId="6" xfId="0" applyNumberFormat="1" applyFont="1" applyBorder="1"/>
    <xf numFmtId="200" fontId="81" fillId="4" borderId="106" xfId="0" applyNumberFormat="1" applyFont="1" applyFill="1" applyBorder="1" applyAlignment="1">
      <alignment vertical="center"/>
    </xf>
    <xf numFmtId="164" fontId="81" fillId="0" borderId="0" xfId="0" applyNumberFormat="1" applyFont="1" applyAlignment="1">
      <alignment vertical="center"/>
    </xf>
    <xf numFmtId="2" fontId="116" fillId="0" borderId="0" xfId="0" applyNumberFormat="1" applyFont="1" applyAlignment="1">
      <alignment vertical="center"/>
    </xf>
    <xf numFmtId="0" fontId="81" fillId="0" borderId="6" xfId="0" applyFont="1" applyBorder="1" applyAlignment="1">
      <alignment vertical="center"/>
    </xf>
    <xf numFmtId="0" fontId="82" fillId="0" borderId="0" xfId="0" applyFont="1" applyBorder="1" applyAlignment="1">
      <alignment horizontal="left" vertical="center"/>
    </xf>
    <xf numFmtId="200" fontId="81" fillId="0" borderId="6" xfId="486" applyNumberFormat="1" applyFont="1" applyBorder="1" applyAlignment="1">
      <alignment horizontal="right" vertical="center"/>
    </xf>
    <xf numFmtId="2" fontId="81" fillId="0" borderId="6" xfId="0" applyNumberFormat="1" applyFont="1" applyBorder="1" applyAlignment="1">
      <alignment horizontal="center" vertical="center"/>
    </xf>
    <xf numFmtId="0" fontId="116" fillId="0" borderId="6" xfId="0" applyFont="1" applyBorder="1" applyAlignment="1">
      <alignment horizontal="center"/>
    </xf>
    <xf numFmtId="2" fontId="116" fillId="0" borderId="6" xfId="0" applyNumberFormat="1" applyFont="1" applyBorder="1" applyAlignment="1">
      <alignment horizontal="center" vertical="center"/>
    </xf>
    <xf numFmtId="0" fontId="81" fillId="0" borderId="6" xfId="0" applyFont="1" applyBorder="1" applyAlignment="1">
      <alignment horizontal="center"/>
    </xf>
    <xf numFmtId="0" fontId="117" fillId="0" borderId="6" xfId="0" applyFont="1" applyBorder="1" applyAlignment="1">
      <alignment horizontal="center"/>
    </xf>
    <xf numFmtId="0" fontId="82" fillId="65" borderId="6" xfId="0" applyFont="1" applyFill="1" applyBorder="1" applyAlignment="1">
      <alignment horizontal="center" vertical="center" wrapText="1"/>
    </xf>
    <xf numFmtId="201" fontId="4" fillId="0" borderId="6" xfId="1" applyNumberFormat="1" applyFont="1" applyBorder="1" applyAlignment="1">
      <alignment horizontal="center"/>
    </xf>
    <xf numFmtId="10" fontId="224" fillId="0" borderId="6" xfId="0" applyNumberFormat="1" applyFont="1" applyBorder="1" applyAlignment="1">
      <alignment horizontal="center"/>
    </xf>
    <xf numFmtId="165" fontId="4" fillId="0" borderId="6" xfId="121" applyNumberFormat="1" applyFont="1" applyFill="1" applyBorder="1" applyAlignment="1">
      <alignment horizontal="left" vertical="center"/>
    </xf>
    <xf numFmtId="165" fontId="4" fillId="0" borderId="6" xfId="142" applyNumberFormat="1" applyFont="1" applyFill="1" applyBorder="1" applyAlignment="1">
      <alignment vertical="center"/>
    </xf>
    <xf numFmtId="0" fontId="81" fillId="37" borderId="6" xfId="0" applyFont="1" applyFill="1" applyBorder="1" applyAlignment="1">
      <alignment horizontal="center" vertical="center"/>
    </xf>
    <xf numFmtId="191" fontId="81" fillId="0" borderId="6" xfId="1" applyNumberFormat="1" applyFont="1" applyBorder="1" applyAlignment="1">
      <alignment horizontal="right" vertical="center"/>
    </xf>
    <xf numFmtId="191" fontId="81" fillId="0" borderId="6" xfId="1" applyNumberFormat="1" applyFont="1" applyBorder="1" applyAlignment="1">
      <alignment vertical="center"/>
    </xf>
    <xf numFmtId="0" fontId="14" fillId="0" borderId="6" xfId="257" applyFont="1" applyBorder="1" applyAlignment="1">
      <alignment vertical="top"/>
    </xf>
    <xf numFmtId="2" fontId="18" fillId="4" borderId="6" xfId="0" applyNumberFormat="1" applyFont="1" applyFill="1" applyBorder="1" applyAlignment="1">
      <alignment horizontal="center" vertical="center"/>
    </xf>
    <xf numFmtId="2" fontId="18" fillId="65" borderId="6" xfId="0" applyNumberFormat="1" applyFont="1" applyFill="1" applyBorder="1" applyAlignment="1">
      <alignment horizontal="center" vertical="center"/>
    </xf>
    <xf numFmtId="2" fontId="4" fillId="4" borderId="6" xfId="0" applyNumberFormat="1" applyFont="1" applyFill="1" applyBorder="1" applyAlignment="1">
      <alignment horizontal="center" vertical="center"/>
    </xf>
    <xf numFmtId="0" fontId="232" fillId="0" borderId="0" xfId="489" applyAlignment="1">
      <alignment horizontal="center" vertical="center"/>
    </xf>
    <xf numFmtId="0" fontId="0" fillId="0" borderId="6" xfId="0" applyBorder="1"/>
    <xf numFmtId="0" fontId="3" fillId="3" borderId="6" xfId="0" applyFont="1" applyFill="1" applyBorder="1" applyAlignment="1">
      <alignment horizontal="center" vertical="center" wrapText="1"/>
    </xf>
    <xf numFmtId="0" fontId="0" fillId="0" borderId="6" xfId="0" applyBorder="1" applyAlignment="1">
      <alignment horizontal="center"/>
    </xf>
    <xf numFmtId="0" fontId="0" fillId="4" borderId="6" xfId="0" applyFill="1" applyBorder="1" applyAlignment="1">
      <alignment horizontal="center" vertical="center"/>
    </xf>
    <xf numFmtId="0" fontId="0" fillId="0" borderId="56" xfId="0" applyBorder="1"/>
    <xf numFmtId="0" fontId="232" fillId="0" borderId="0" xfId="489" applyAlignment="1"/>
    <xf numFmtId="0" fontId="17" fillId="0" borderId="0" xfId="489" applyFont="1" applyBorder="1" applyAlignment="1">
      <alignment vertical="center"/>
    </xf>
    <xf numFmtId="0" fontId="232" fillId="0" borderId="0" xfId="489" applyAlignment="1">
      <alignment vertical="center"/>
    </xf>
    <xf numFmtId="0" fontId="3" fillId="3" borderId="6" xfId="0" applyFont="1" applyFill="1" applyBorder="1" applyAlignment="1">
      <alignment vertical="center"/>
    </xf>
    <xf numFmtId="0" fontId="8" fillId="0" borderId="6" xfId="0" applyFont="1" applyBorder="1" applyAlignment="1">
      <alignment horizontal="left" vertical="center"/>
    </xf>
    <xf numFmtId="0" fontId="0" fillId="0" borderId="6" xfId="0" applyBorder="1" applyAlignment="1">
      <alignment horizontal="left" vertical="center"/>
    </xf>
    <xf numFmtId="0" fontId="3" fillId="0" borderId="6" xfId="0" applyFont="1" applyBorder="1" applyAlignment="1">
      <alignment horizontal="left" vertical="center"/>
    </xf>
    <xf numFmtId="0" fontId="0" fillId="0" borderId="3" xfId="0" applyFill="1" applyBorder="1" applyAlignment="1">
      <alignment horizontal="center" vertical="center"/>
    </xf>
    <xf numFmtId="0" fontId="3" fillId="0" borderId="3" xfId="0" applyFont="1" applyFill="1" applyBorder="1" applyAlignment="1">
      <alignment horizontal="left" vertical="center"/>
    </xf>
    <xf numFmtId="0" fontId="3" fillId="3" borderId="56" xfId="0" applyFont="1" applyFill="1" applyBorder="1" applyAlignment="1">
      <alignment horizontal="center" vertical="center" wrapText="1"/>
    </xf>
    <xf numFmtId="0" fontId="17" fillId="0" borderId="0" xfId="489" applyFont="1" applyBorder="1"/>
    <xf numFmtId="0" fontId="17" fillId="0" borderId="0" xfId="489" applyFont="1" applyBorder="1" applyAlignment="1">
      <alignment horizontal="left" vertical="center"/>
    </xf>
    <xf numFmtId="2" fontId="0" fillId="4" borderId="6" xfId="0" applyNumberFormat="1" applyFill="1" applyBorder="1" applyAlignment="1">
      <alignment horizontal="center" vertical="center"/>
    </xf>
    <xf numFmtId="0" fontId="7" fillId="0" borderId="6" xfId="0" applyFont="1" applyBorder="1" applyAlignment="1">
      <alignment horizontal="left" vertical="center"/>
    </xf>
    <xf numFmtId="0" fontId="82" fillId="3" borderId="6" xfId="0" applyFont="1" applyFill="1" applyBorder="1" applyAlignment="1">
      <alignment horizontal="center" vertical="center" wrapText="1"/>
    </xf>
    <xf numFmtId="164" fontId="81" fillId="0" borderId="0" xfId="0" applyNumberFormat="1" applyFont="1"/>
    <xf numFmtId="0" fontId="4" fillId="0" borderId="6" xfId="0" applyFont="1" applyBorder="1" applyAlignment="1">
      <alignment horizontal="left"/>
    </xf>
    <xf numFmtId="1" fontId="4" fillId="0" borderId="6" xfId="0" applyNumberFormat="1" applyFont="1" applyBorder="1" applyAlignment="1">
      <alignment horizontal="right"/>
    </xf>
    <xf numFmtId="0" fontId="4" fillId="0" borderId="6" xfId="0" applyFont="1" applyBorder="1" applyAlignment="1">
      <alignment horizontal="right"/>
    </xf>
    <xf numFmtId="0" fontId="4" fillId="0" borderId="52" xfId="0" applyFont="1" applyBorder="1" applyAlignment="1">
      <alignment horizontal="left"/>
    </xf>
    <xf numFmtId="0" fontId="4" fillId="0" borderId="52" xfId="0" applyFont="1" applyBorder="1" applyAlignment="1">
      <alignment horizontal="right"/>
    </xf>
    <xf numFmtId="0" fontId="4" fillId="0" borderId="8" xfId="0" applyFont="1" applyBorder="1" applyAlignment="1">
      <alignment horizontal="left"/>
    </xf>
    <xf numFmtId="0" fontId="4" fillId="0" borderId="8" xfId="0" applyFont="1" applyBorder="1" applyAlignment="1">
      <alignment horizontal="right"/>
    </xf>
    <xf numFmtId="1" fontId="81" fillId="0" borderId="6" xfId="0" applyNumberFormat="1" applyFont="1" applyBorder="1"/>
    <xf numFmtId="1" fontId="81" fillId="0" borderId="6" xfId="0" applyNumberFormat="1" applyFont="1" applyFill="1" applyBorder="1"/>
    <xf numFmtId="0" fontId="82" fillId="3" borderId="6" xfId="0" applyFont="1" applyFill="1" applyBorder="1" applyAlignment="1">
      <alignment horizontal="center" vertical="center" wrapText="1"/>
    </xf>
    <xf numFmtId="0" fontId="81" fillId="0" borderId="0" xfId="0" applyFont="1" applyFill="1" applyBorder="1" applyAlignment="1"/>
    <xf numFmtId="0" fontId="18" fillId="3" borderId="6" xfId="13" applyFont="1" applyFill="1" applyBorder="1" applyAlignment="1">
      <alignment horizontal="center" vertical="center" wrapText="1"/>
    </xf>
    <xf numFmtId="0" fontId="4" fillId="0" borderId="6" xfId="13" applyFont="1" applyFill="1" applyBorder="1" applyAlignment="1">
      <alignment horizontal="center" vertical="center"/>
    </xf>
    <xf numFmtId="0" fontId="82" fillId="0" borderId="0" xfId="0" applyFont="1" applyBorder="1" applyAlignment="1">
      <alignment vertical="top" wrapText="1"/>
    </xf>
    <xf numFmtId="2" fontId="4" fillId="0" borderId="6" xfId="13" applyNumberFormat="1" applyFont="1" applyFill="1" applyBorder="1" applyAlignment="1">
      <alignment horizontal="center" vertical="center"/>
    </xf>
    <xf numFmtId="0" fontId="4" fillId="0" borderId="6" xfId="13" applyFont="1" applyFill="1" applyBorder="1" applyAlignment="1">
      <alignment horizontal="center" vertical="center"/>
    </xf>
    <xf numFmtId="10" fontId="81" fillId="0" borderId="6" xfId="1" applyNumberFormat="1" applyFont="1" applyBorder="1" applyAlignment="1">
      <alignment horizontal="right"/>
    </xf>
    <xf numFmtId="0" fontId="18" fillId="5" borderId="6" xfId="6" applyFont="1" applyFill="1" applyBorder="1" applyAlignment="1">
      <alignment horizontal="center" vertical="center" wrapText="1"/>
    </xf>
    <xf numFmtId="10" fontId="177" fillId="0" borderId="0" xfId="1" applyNumberFormat="1" applyFont="1" applyFill="1" applyBorder="1"/>
    <xf numFmtId="0" fontId="18" fillId="3" borderId="6" xfId="6" applyFont="1" applyFill="1" applyBorder="1" applyAlignment="1">
      <alignment horizontal="center" vertical="center" wrapText="1"/>
    </xf>
    <xf numFmtId="0" fontId="81" fillId="0" borderId="6" xfId="0" applyFont="1" applyBorder="1" applyAlignment="1">
      <alignment horizontal="center" vertical="center"/>
    </xf>
    <xf numFmtId="0" fontId="81" fillId="0" borderId="6" xfId="0" applyFont="1" applyBorder="1" applyAlignment="1">
      <alignment horizontal="center"/>
    </xf>
    <xf numFmtId="0" fontId="4" fillId="4" borderId="6" xfId="6" applyFont="1" applyFill="1" applyBorder="1" applyAlignment="1">
      <alignment vertical="center"/>
    </xf>
    <xf numFmtId="2" fontId="4" fillId="4" borderId="6" xfId="6" applyNumberFormat="1" applyFont="1" applyFill="1" applyBorder="1" applyAlignment="1">
      <alignment horizontal="right" vertical="center"/>
    </xf>
    <xf numFmtId="164" fontId="4" fillId="4" borderId="6" xfId="6" applyNumberFormat="1" applyFont="1" applyFill="1" applyBorder="1" applyAlignment="1">
      <alignment horizontal="right" vertical="center"/>
    </xf>
    <xf numFmtId="0" fontId="4" fillId="4" borderId="6" xfId="6" applyFont="1" applyFill="1" applyBorder="1" applyAlignment="1">
      <alignment horizontal="right" vertical="center"/>
    </xf>
    <xf numFmtId="0" fontId="18" fillId="4" borderId="6" xfId="3" applyFont="1" applyFill="1" applyBorder="1" applyAlignment="1">
      <alignment horizontal="left" vertical="center"/>
    </xf>
    <xf numFmtId="0" fontId="18" fillId="4" borderId="6" xfId="6" applyFont="1" applyFill="1" applyBorder="1" applyAlignment="1">
      <alignment horizontal="right" vertical="center" wrapText="1"/>
    </xf>
    <xf numFmtId="2" fontId="18" fillId="4" borderId="6" xfId="6" applyNumberFormat="1" applyFont="1" applyFill="1" applyBorder="1" applyAlignment="1">
      <alignment horizontal="right" vertical="center" wrapText="1"/>
    </xf>
    <xf numFmtId="0" fontId="18" fillId="4" borderId="6" xfId="6" applyFont="1" applyFill="1" applyBorder="1" applyAlignment="1">
      <alignment vertical="center" wrapText="1"/>
    </xf>
    <xf numFmtId="0" fontId="18" fillId="4" borderId="6" xfId="3" applyFont="1" applyFill="1" applyBorder="1" applyAlignment="1">
      <alignment horizontal="right" vertical="center" wrapText="1"/>
    </xf>
    <xf numFmtId="0" fontId="18" fillId="4" borderId="6" xfId="3" applyFont="1" applyFill="1" applyBorder="1" applyAlignment="1">
      <alignment horizontal="center" vertical="center" wrapText="1"/>
    </xf>
    <xf numFmtId="0" fontId="4" fillId="4" borderId="6" xfId="3" applyFont="1" applyFill="1" applyBorder="1" applyAlignment="1">
      <alignment horizontal="right" vertical="center" wrapText="1"/>
    </xf>
    <xf numFmtId="2" fontId="4" fillId="4" borderId="6" xfId="3" applyNumberFormat="1" applyFont="1" applyFill="1" applyBorder="1" applyAlignment="1">
      <alignment horizontal="right" vertical="center" wrapText="1"/>
    </xf>
    <xf numFmtId="2" fontId="4" fillId="4" borderId="6" xfId="1" applyNumberFormat="1" applyFont="1" applyFill="1" applyBorder="1" applyAlignment="1">
      <alignment horizontal="right" vertical="center"/>
    </xf>
    <xf numFmtId="0" fontId="18" fillId="3" borderId="6" xfId="3" applyFont="1" applyFill="1" applyBorder="1" applyAlignment="1">
      <alignment horizontal="center" vertical="center" wrapText="1"/>
    </xf>
    <xf numFmtId="2" fontId="4" fillId="31" borderId="6" xfId="0" applyNumberFormat="1" applyFont="1" applyFill="1" applyBorder="1" applyAlignment="1">
      <alignment horizontal="center" vertical="center"/>
    </xf>
    <xf numFmtId="0" fontId="18" fillId="3" borderId="6" xfId="6" applyFont="1" applyFill="1" applyBorder="1" applyAlignment="1">
      <alignment horizontal="center" vertical="center" wrapText="1"/>
    </xf>
    <xf numFmtId="0" fontId="18" fillId="3" borderId="6" xfId="0" applyFont="1" applyFill="1" applyBorder="1" applyAlignment="1">
      <alignment horizontal="center" vertical="center" wrapText="1"/>
    </xf>
    <xf numFmtId="0" fontId="4" fillId="0" borderId="0" xfId="13" applyFont="1" applyBorder="1" applyAlignment="1">
      <alignment horizontal="center" vertical="center"/>
    </xf>
    <xf numFmtId="0" fontId="18" fillId="3" borderId="6" xfId="0" applyFont="1" applyFill="1" applyBorder="1" applyAlignment="1">
      <alignment horizontal="center" vertical="center"/>
    </xf>
    <xf numFmtId="170" fontId="4" fillId="0" borderId="6" xfId="13" applyNumberFormat="1" applyFont="1" applyFill="1" applyBorder="1" applyAlignment="1">
      <alignment horizontal="center" vertical="center"/>
    </xf>
    <xf numFmtId="0" fontId="3" fillId="3" borderId="56" xfId="0" applyFont="1" applyFill="1" applyBorder="1" applyAlignment="1">
      <alignment horizontal="left" vertical="center"/>
    </xf>
    <xf numFmtId="0" fontId="3" fillId="3" borderId="56" xfId="0" applyFont="1" applyFill="1" applyBorder="1" applyAlignment="1">
      <alignment horizontal="left" vertical="center" wrapText="1"/>
    </xf>
    <xf numFmtId="0" fontId="0" fillId="0" borderId="6" xfId="0" applyFont="1" applyBorder="1" applyAlignment="1">
      <alignment horizontal="left"/>
    </xf>
    <xf numFmtId="0" fontId="0" fillId="0" borderId="6" xfId="0" applyFont="1" applyFill="1" applyBorder="1" applyAlignment="1">
      <alignment horizontal="left"/>
    </xf>
    <xf numFmtId="0" fontId="7" fillId="0" borderId="6" xfId="0" applyFont="1" applyBorder="1" applyAlignment="1">
      <alignment horizontal="left"/>
    </xf>
    <xf numFmtId="0" fontId="4" fillId="4" borderId="0" xfId="6" applyFont="1" applyFill="1" applyAlignment="1">
      <alignment vertical="center" wrapText="1"/>
    </xf>
    <xf numFmtId="0" fontId="4" fillId="4" borderId="0" xfId="3" applyFont="1" applyFill="1" applyBorder="1" applyAlignment="1">
      <alignment vertical="center" wrapText="1"/>
    </xf>
    <xf numFmtId="1" fontId="4" fillId="4" borderId="0" xfId="6" applyNumberFormat="1" applyFont="1" applyFill="1" applyAlignment="1">
      <alignment vertical="center" wrapText="1"/>
    </xf>
    <xf numFmtId="0" fontId="4" fillId="4" borderId="0" xfId="6" applyFont="1" applyFill="1" applyBorder="1" applyAlignment="1">
      <alignment vertical="center" wrapText="1"/>
    </xf>
    <xf numFmtId="187" fontId="4" fillId="0" borderId="6" xfId="6" applyNumberFormat="1" applyFont="1" applyFill="1" applyBorder="1" applyAlignment="1">
      <alignment horizontal="right" vertical="center"/>
    </xf>
    <xf numFmtId="0" fontId="81" fillId="0" borderId="6" xfId="0" applyFont="1" applyBorder="1" applyAlignment="1">
      <alignment horizontal="center"/>
    </xf>
    <xf numFmtId="0" fontId="18" fillId="4" borderId="0" xfId="3" applyFont="1" applyFill="1" applyBorder="1" applyAlignment="1">
      <alignment horizontal="center" vertical="top"/>
    </xf>
    <xf numFmtId="0" fontId="18" fillId="4" borderId="0" xfId="5" applyFont="1" applyFill="1" applyAlignment="1">
      <alignment horizontal="center" vertical="center"/>
    </xf>
    <xf numFmtId="0" fontId="18" fillId="4" borderId="0" xfId="3" applyFont="1" applyFill="1" applyBorder="1" applyAlignment="1">
      <alignment horizontal="center" vertical="center"/>
    </xf>
    <xf numFmtId="0" fontId="82" fillId="3" borderId="54" xfId="0" applyFont="1" applyFill="1" applyBorder="1" applyAlignment="1">
      <alignment horizontal="center" vertical="top" wrapText="1"/>
    </xf>
    <xf numFmtId="0" fontId="82" fillId="3" borderId="6" xfId="0" applyFont="1" applyFill="1" applyBorder="1" applyAlignment="1">
      <alignment horizontal="center" vertical="top" wrapText="1"/>
    </xf>
    <xf numFmtId="0" fontId="18" fillId="0" borderId="0" xfId="13" applyFont="1" applyBorder="1" applyAlignment="1">
      <alignment horizontal="left" vertical="center"/>
    </xf>
    <xf numFmtId="0" fontId="18" fillId="3" borderId="6" xfId="13" applyFont="1" applyFill="1" applyBorder="1" applyAlignment="1">
      <alignment horizontal="center" vertical="center"/>
    </xf>
    <xf numFmtId="2" fontId="4" fillId="0" borderId="6" xfId="13" applyNumberFormat="1" applyFont="1" applyFill="1" applyBorder="1" applyAlignment="1">
      <alignment horizontal="center" vertical="center"/>
    </xf>
    <xf numFmtId="0" fontId="81" fillId="0" borderId="6" xfId="0" applyFont="1" applyBorder="1" applyAlignment="1">
      <alignment horizontal="center" vertical="center"/>
    </xf>
    <xf numFmtId="0" fontId="81" fillId="4" borderId="6" xfId="0" applyFont="1" applyFill="1" applyBorder="1" applyAlignment="1">
      <alignment horizontal="center" vertical="center"/>
    </xf>
    <xf numFmtId="0" fontId="4" fillId="0" borderId="6" xfId="13" applyFont="1" applyFill="1" applyBorder="1" applyAlignment="1">
      <alignment horizontal="center" vertical="center"/>
    </xf>
    <xf numFmtId="0" fontId="81" fillId="0" borderId="6" xfId="0" applyFont="1" applyBorder="1" applyAlignment="1">
      <alignment horizontal="center"/>
    </xf>
    <xf numFmtId="2" fontId="4" fillId="0" borderId="6" xfId="13" applyNumberFormat="1" applyFont="1" applyFill="1" applyBorder="1" applyAlignment="1">
      <alignment horizontal="center" vertical="center"/>
    </xf>
    <xf numFmtId="0" fontId="0" fillId="0" borderId="6" xfId="0" applyBorder="1"/>
    <xf numFmtId="0" fontId="4" fillId="0" borderId="6" xfId="13" applyFont="1" applyFill="1" applyBorder="1" applyAlignment="1">
      <alignment horizontal="center" vertical="center"/>
    </xf>
    <xf numFmtId="0" fontId="3" fillId="3" borderId="6" xfId="0" applyFont="1" applyFill="1" applyBorder="1" applyAlignment="1">
      <alignment horizontal="center" vertical="center" wrapText="1"/>
    </xf>
    <xf numFmtId="0" fontId="81" fillId="65" borderId="6" xfId="0" applyFont="1" applyFill="1" applyBorder="1" applyAlignment="1">
      <alignment vertical="center"/>
    </xf>
    <xf numFmtId="0" fontId="82" fillId="4" borderId="6" xfId="0" applyFont="1" applyFill="1" applyBorder="1" applyAlignment="1">
      <alignment horizontal="center" vertical="center"/>
    </xf>
    <xf numFmtId="10" fontId="0" fillId="4" borderId="6" xfId="0" applyNumberFormat="1" applyFill="1" applyBorder="1" applyAlignment="1">
      <alignment horizontal="center" vertical="center"/>
    </xf>
    <xf numFmtId="10" fontId="0" fillId="0" borderId="6" xfId="0" applyNumberFormat="1" applyBorder="1" applyAlignment="1">
      <alignment horizontal="center" vertical="center"/>
    </xf>
    <xf numFmtId="10" fontId="0" fillId="0" borderId="6" xfId="1" applyNumberFormat="1" applyFont="1" applyBorder="1" applyAlignment="1">
      <alignment horizontal="center" vertical="center"/>
    </xf>
    <xf numFmtId="164" fontId="81" fillId="0" borderId="6" xfId="486" applyFont="1" applyBorder="1" applyAlignment="1">
      <alignment horizontal="center" vertical="center" wrapText="1"/>
    </xf>
    <xf numFmtId="164" fontId="81" fillId="0" borderId="6" xfId="486" applyFont="1" applyBorder="1" applyAlignment="1">
      <alignment horizontal="center" vertical="center"/>
    </xf>
    <xf numFmtId="164" fontId="79" fillId="0" borderId="6" xfId="486" applyFont="1" applyBorder="1" applyAlignment="1">
      <alignment horizontal="center" vertical="center"/>
    </xf>
    <xf numFmtId="164" fontId="81" fillId="4" borderId="6" xfId="486" applyFont="1" applyFill="1" applyBorder="1" applyAlignment="1">
      <alignment horizontal="center" vertical="center"/>
    </xf>
    <xf numFmtId="164" fontId="81" fillId="0" borderId="6" xfId="486" applyFont="1" applyFill="1" applyBorder="1" applyAlignment="1">
      <alignment horizontal="center" vertical="center" wrapText="1"/>
    </xf>
    <xf numFmtId="164" fontId="81" fillId="0" borderId="54" xfId="486" applyFont="1" applyBorder="1" applyAlignment="1">
      <alignment horizontal="center" vertical="center"/>
    </xf>
    <xf numFmtId="164" fontId="81" fillId="4" borderId="6" xfId="486" applyFont="1" applyFill="1" applyBorder="1" applyAlignment="1">
      <alignment horizontal="center" vertical="center" wrapText="1"/>
    </xf>
    <xf numFmtId="164" fontId="81" fillId="0" borderId="6" xfId="486" applyFont="1" applyFill="1" applyBorder="1" applyAlignment="1">
      <alignment horizontal="center" vertical="center"/>
    </xf>
    <xf numFmtId="164" fontId="81" fillId="4" borderId="6" xfId="486" applyFont="1" applyFill="1" applyBorder="1" applyAlignment="1">
      <alignment horizontal="right" vertical="center"/>
    </xf>
    <xf numFmtId="164" fontId="79" fillId="0" borderId="6" xfId="486" applyFont="1" applyFill="1" applyBorder="1" applyAlignment="1">
      <alignment horizontal="center" vertical="center"/>
    </xf>
    <xf numFmtId="164" fontId="82" fillId="0" borderId="6" xfId="486" applyFont="1" applyBorder="1" applyAlignment="1">
      <alignment horizontal="center" vertical="center" wrapText="1"/>
    </xf>
    <xf numFmtId="164" fontId="82" fillId="0" borderId="6" xfId="486" applyFont="1" applyFill="1" applyBorder="1" applyAlignment="1">
      <alignment horizontal="center" vertical="center" wrapText="1"/>
    </xf>
    <xf numFmtId="164" fontId="82" fillId="0" borderId="6" xfId="486" applyFont="1" applyBorder="1" applyAlignment="1">
      <alignment horizontal="center" vertical="center"/>
    </xf>
    <xf numFmtId="164" fontId="80" fillId="0" borderId="6" xfId="486" applyFont="1" applyBorder="1" applyAlignment="1">
      <alignment horizontal="center" vertical="center"/>
    </xf>
    <xf numFmtId="0" fontId="4" fillId="4" borderId="0" xfId="3" applyFont="1" applyFill="1" applyBorder="1" applyAlignment="1">
      <alignment vertical="top"/>
    </xf>
    <xf numFmtId="0" fontId="18" fillId="4" borderId="0" xfId="5" applyFont="1" applyFill="1" applyAlignment="1">
      <alignment horizontal="center" vertical="top"/>
    </xf>
    <xf numFmtId="0" fontId="18" fillId="4" borderId="0" xfId="5" applyFont="1" applyFill="1" applyBorder="1" applyAlignment="1">
      <alignment horizontal="center" vertical="top"/>
    </xf>
    <xf numFmtId="0" fontId="18" fillId="4" borderId="0" xfId="5" applyFont="1" applyFill="1" applyBorder="1" applyAlignment="1">
      <alignment vertical="top"/>
    </xf>
    <xf numFmtId="0" fontId="82" fillId="3" borderId="54" xfId="0" applyFont="1" applyFill="1" applyBorder="1" applyAlignment="1">
      <alignment vertical="top" wrapText="1"/>
    </xf>
    <xf numFmtId="0" fontId="82" fillId="3" borderId="55" xfId="0" applyFont="1" applyFill="1" applyBorder="1" applyAlignment="1">
      <alignment vertical="top" wrapText="1"/>
    </xf>
    <xf numFmtId="0" fontId="82" fillId="3" borderId="56" xfId="0" applyFont="1" applyFill="1" applyBorder="1" applyAlignment="1">
      <alignment vertical="top" wrapText="1"/>
    </xf>
    <xf numFmtId="0" fontId="223" fillId="71" borderId="33" xfId="0" applyFont="1" applyFill="1" applyBorder="1" applyAlignment="1">
      <alignment horizontal="center" vertical="top" wrapText="1"/>
    </xf>
    <xf numFmtId="0" fontId="81" fillId="0" borderId="6" xfId="0" applyFont="1" applyFill="1" applyBorder="1" applyAlignment="1">
      <alignment horizontal="center" vertical="top"/>
    </xf>
    <xf numFmtId="2" fontId="81" fillId="0" borderId="6" xfId="0" applyNumberFormat="1" applyFont="1" applyFill="1" applyBorder="1" applyAlignment="1">
      <alignment horizontal="center" vertical="top"/>
    </xf>
    <xf numFmtId="2" fontId="81" fillId="0" borderId="54" xfId="0" applyNumberFormat="1" applyFont="1" applyFill="1" applyBorder="1" applyAlignment="1">
      <alignment horizontal="center" vertical="top"/>
    </xf>
    <xf numFmtId="167" fontId="81" fillId="0" borderId="6" xfId="0" applyNumberFormat="1" applyFont="1" applyFill="1" applyBorder="1" applyAlignment="1">
      <alignment horizontal="center" vertical="top"/>
    </xf>
    <xf numFmtId="0" fontId="81" fillId="0" borderId="0" xfId="0" applyFont="1" applyFill="1" applyAlignment="1">
      <alignment vertical="top"/>
    </xf>
    <xf numFmtId="0" fontId="223" fillId="71" borderId="36" xfId="0" applyFont="1" applyFill="1" applyBorder="1" applyAlignment="1">
      <alignment horizontal="center" vertical="top" wrapText="1"/>
    </xf>
    <xf numFmtId="0" fontId="224" fillId="0" borderId="39" xfId="0" applyFont="1" applyBorder="1" applyAlignment="1">
      <alignment horizontal="center" vertical="top"/>
    </xf>
    <xf numFmtId="0" fontId="224" fillId="0" borderId="36" xfId="0" applyFont="1" applyBorder="1" applyAlignment="1">
      <alignment horizontal="left" vertical="top"/>
    </xf>
    <xf numFmtId="2" fontId="224" fillId="0" borderId="36" xfId="0" applyNumberFormat="1" applyFont="1" applyBorder="1" applyAlignment="1">
      <alignment horizontal="right" vertical="top"/>
    </xf>
    <xf numFmtId="2" fontId="81" fillId="0" borderId="6" xfId="0" applyNumberFormat="1" applyFont="1" applyFill="1" applyBorder="1" applyAlignment="1">
      <alignment vertical="top"/>
    </xf>
    <xf numFmtId="0" fontId="81" fillId="0" borderId="6" xfId="0" applyFont="1" applyFill="1" applyBorder="1" applyAlignment="1">
      <alignment vertical="top"/>
    </xf>
    <xf numFmtId="185" fontId="81" fillId="0" borderId="6" xfId="0" applyNumberFormat="1" applyFont="1" applyFill="1" applyBorder="1" applyAlignment="1">
      <alignment horizontal="center" vertical="top"/>
    </xf>
    <xf numFmtId="2" fontId="81" fillId="31" borderId="6" xfId="0" applyNumberFormat="1" applyFont="1" applyFill="1" applyBorder="1" applyAlignment="1">
      <alignment horizontal="center" vertical="top"/>
    </xf>
    <xf numFmtId="2" fontId="81" fillId="31" borderId="54" xfId="0" applyNumberFormat="1" applyFont="1" applyFill="1" applyBorder="1" applyAlignment="1">
      <alignment horizontal="center" vertical="top"/>
    </xf>
    <xf numFmtId="0" fontId="223" fillId="0" borderId="39" xfId="0" applyFont="1" applyBorder="1" applyAlignment="1">
      <alignment horizontal="center" vertical="top"/>
    </xf>
    <xf numFmtId="0" fontId="223" fillId="0" borderId="36" xfId="0" applyFont="1" applyBorder="1" applyAlignment="1">
      <alignment horizontal="left" vertical="top"/>
    </xf>
    <xf numFmtId="2" fontId="223" fillId="0" borderId="36" xfId="0" applyNumberFormat="1" applyFont="1" applyBorder="1" applyAlignment="1">
      <alignment horizontal="right" vertical="top"/>
    </xf>
    <xf numFmtId="2" fontId="82" fillId="0" borderId="6" xfId="0" applyNumberFormat="1" applyFont="1" applyFill="1" applyBorder="1" applyAlignment="1">
      <alignment horizontal="center" vertical="top"/>
    </xf>
    <xf numFmtId="2" fontId="82" fillId="31" borderId="6" xfId="0" applyNumberFormat="1" applyFont="1" applyFill="1" applyBorder="1" applyAlignment="1">
      <alignment horizontal="center" vertical="top"/>
    </xf>
    <xf numFmtId="1" fontId="81" fillId="0" borderId="6" xfId="0" applyNumberFormat="1" applyFont="1" applyFill="1" applyBorder="1" applyAlignment="1">
      <alignment horizontal="center" vertical="top"/>
    </xf>
    <xf numFmtId="2" fontId="81" fillId="0" borderId="0" xfId="0" applyNumberFormat="1" applyFont="1" applyFill="1" applyAlignment="1">
      <alignment vertical="top"/>
    </xf>
    <xf numFmtId="2" fontId="94" fillId="31" borderId="6" xfId="0" applyNumberFormat="1" applyFont="1" applyFill="1" applyBorder="1" applyAlignment="1">
      <alignment horizontal="center" vertical="top"/>
    </xf>
    <xf numFmtId="2" fontId="94" fillId="31" borderId="54" xfId="0" applyNumberFormat="1" applyFont="1" applyFill="1" applyBorder="1" applyAlignment="1">
      <alignment horizontal="center" vertical="top"/>
    </xf>
    <xf numFmtId="2" fontId="53" fillId="31" borderId="54" xfId="0" applyNumberFormat="1" applyFont="1" applyFill="1" applyBorder="1" applyAlignment="1">
      <alignment horizontal="center" vertical="top"/>
    </xf>
    <xf numFmtId="0" fontId="82" fillId="0" borderId="6" xfId="0" applyFont="1" applyFill="1" applyBorder="1" applyAlignment="1">
      <alignment horizontal="center" vertical="top"/>
    </xf>
    <xf numFmtId="0" fontId="82" fillId="0" borderId="6" xfId="0" applyFont="1" applyFill="1" applyBorder="1" applyAlignment="1">
      <alignment horizontal="left" vertical="top" wrapText="1"/>
    </xf>
    <xf numFmtId="2" fontId="81" fillId="0" borderId="0" xfId="0" applyNumberFormat="1" applyFont="1" applyAlignment="1">
      <alignment vertical="top"/>
    </xf>
    <xf numFmtId="218" fontId="81" fillId="0" borderId="0" xfId="0" applyNumberFormat="1" applyFont="1" applyAlignment="1">
      <alignment vertical="top"/>
    </xf>
    <xf numFmtId="0" fontId="81" fillId="0" borderId="0" xfId="0" applyNumberFormat="1" applyFont="1" applyAlignment="1">
      <alignment vertical="top" wrapText="1"/>
    </xf>
    <xf numFmtId="2" fontId="81" fillId="0" borderId="0" xfId="0" applyNumberFormat="1" applyFont="1" applyAlignment="1">
      <alignment vertical="top" wrapText="1"/>
    </xf>
    <xf numFmtId="0" fontId="81" fillId="0" borderId="0" xfId="0" applyFont="1" applyAlignment="1">
      <alignment vertical="top" wrapText="1"/>
    </xf>
    <xf numFmtId="2" fontId="81" fillId="0" borderId="6" xfId="0" applyNumberFormat="1" applyFont="1" applyBorder="1" applyAlignment="1">
      <alignment horizontal="center" vertical="top"/>
    </xf>
    <xf numFmtId="0" fontId="81" fillId="0" borderId="6" xfId="0" applyFont="1" applyBorder="1" applyAlignment="1">
      <alignment horizontal="center" vertical="top"/>
    </xf>
    <xf numFmtId="0" fontId="81" fillId="0" borderId="6" xfId="0" applyFont="1" applyBorder="1" applyAlignment="1">
      <alignment vertical="top"/>
    </xf>
    <xf numFmtId="2" fontId="81" fillId="0" borderId="0" xfId="0" applyNumberFormat="1" applyFont="1" applyBorder="1" applyAlignment="1">
      <alignment vertical="top"/>
    </xf>
    <xf numFmtId="0" fontId="81" fillId="0" borderId="0" xfId="0" applyFont="1" applyBorder="1" applyAlignment="1">
      <alignment vertical="top"/>
    </xf>
    <xf numFmtId="17" fontId="0" fillId="0" borderId="6" xfId="0" applyNumberFormat="1" applyBorder="1" applyAlignment="1">
      <alignment vertical="top"/>
    </xf>
    <xf numFmtId="0" fontId="81" fillId="31" borderId="6" xfId="0" applyFont="1" applyFill="1" applyBorder="1" applyAlignment="1">
      <alignment horizontal="center" vertical="top"/>
    </xf>
    <xf numFmtId="2" fontId="81" fillId="0" borderId="6" xfId="0" applyNumberFormat="1" applyFont="1" applyBorder="1" applyAlignment="1">
      <alignment vertical="top"/>
    </xf>
    <xf numFmtId="2" fontId="81" fillId="0" borderId="0" xfId="0" applyNumberFormat="1" applyFont="1" applyBorder="1" applyAlignment="1">
      <alignment horizontal="center" vertical="top"/>
    </xf>
    <xf numFmtId="9" fontId="116" fillId="0" borderId="0" xfId="1" applyFont="1" applyAlignment="1">
      <alignment vertical="center"/>
    </xf>
    <xf numFmtId="0" fontId="18" fillId="3" borderId="6" xfId="0" applyNumberFormat="1" applyFont="1" applyFill="1" applyBorder="1" applyAlignment="1">
      <alignment horizontal="center" vertical="center" wrapText="1"/>
    </xf>
    <xf numFmtId="0" fontId="18" fillId="3" borderId="54" xfId="0" applyFont="1" applyFill="1" applyBorder="1" applyAlignment="1">
      <alignment vertical="center"/>
    </xf>
    <xf numFmtId="168" fontId="116" fillId="0" borderId="6" xfId="0" applyNumberFormat="1" applyFont="1" applyBorder="1" applyAlignment="1">
      <alignment vertical="center"/>
    </xf>
    <xf numFmtId="0" fontId="17" fillId="4" borderId="54" xfId="257" applyFont="1" applyFill="1" applyBorder="1" applyAlignment="1">
      <alignment vertical="center"/>
    </xf>
    <xf numFmtId="0" fontId="17" fillId="4" borderId="55" xfId="257" applyFont="1" applyFill="1" applyBorder="1" applyAlignment="1">
      <alignment vertical="center"/>
    </xf>
    <xf numFmtId="0" fontId="17" fillId="4" borderId="6" xfId="257" applyFont="1" applyFill="1" applyBorder="1" applyAlignment="1">
      <alignment vertical="center"/>
    </xf>
    <xf numFmtId="0" fontId="14" fillId="0" borderId="6" xfId="0" applyFont="1" applyBorder="1" applyAlignment="1">
      <alignment horizontal="left" vertical="center" wrapText="1"/>
    </xf>
    <xf numFmtId="0" fontId="14" fillId="0" borderId="54" xfId="0" applyFont="1" applyBorder="1" applyAlignment="1">
      <alignment vertical="center"/>
    </xf>
    <xf numFmtId="1" fontId="14" fillId="0" borderId="54" xfId="0" applyNumberFormat="1" applyFont="1" applyBorder="1" applyAlignment="1">
      <alignment horizontal="right"/>
    </xf>
    <xf numFmtId="0" fontId="14" fillId="0" borderId="54" xfId="0" applyFont="1" applyBorder="1" applyAlignment="1">
      <alignment horizontal="right"/>
    </xf>
    <xf numFmtId="0" fontId="14" fillId="0" borderId="52" xfId="0" applyFont="1" applyBorder="1" applyAlignment="1">
      <alignment horizontal="left"/>
    </xf>
    <xf numFmtId="0" fontId="14" fillId="0" borderId="12" xfId="0" applyFont="1" applyBorder="1" applyAlignment="1">
      <alignment horizontal="right"/>
    </xf>
    <xf numFmtId="0" fontId="17" fillId="0" borderId="54" xfId="0" applyFont="1" applyBorder="1" applyAlignment="1"/>
    <xf numFmtId="0" fontId="17" fillId="0" borderId="55" xfId="0" applyFont="1" applyBorder="1" applyAlignment="1"/>
    <xf numFmtId="2" fontId="17" fillId="0" borderId="6" xfId="0" applyNumberFormat="1" applyFont="1" applyBorder="1" applyAlignment="1"/>
    <xf numFmtId="0" fontId="14" fillId="0" borderId="8" xfId="0" applyFont="1" applyBorder="1" applyAlignment="1">
      <alignment horizontal="left"/>
    </xf>
    <xf numFmtId="0" fontId="14" fillId="0" borderId="15" xfId="0" applyFont="1" applyBorder="1" applyAlignment="1">
      <alignment horizontal="right"/>
    </xf>
    <xf numFmtId="0" fontId="14" fillId="0" borderId="6" xfId="0" applyFont="1" applyFill="1" applyBorder="1" applyAlignment="1" applyProtection="1">
      <alignment horizontal="left" vertical="center" wrapText="1"/>
    </xf>
    <xf numFmtId="0" fontId="17" fillId="39" borderId="52" xfId="9" applyFont="1" applyFill="1" applyBorder="1" applyAlignment="1">
      <alignment vertical="center" wrapText="1"/>
    </xf>
    <xf numFmtId="0" fontId="17" fillId="39" borderId="52" xfId="5" applyFont="1" applyFill="1" applyBorder="1" applyAlignment="1">
      <alignment vertical="center" wrapText="1"/>
    </xf>
    <xf numFmtId="0" fontId="17" fillId="39" borderId="52" xfId="9" applyFont="1" applyFill="1" applyBorder="1" applyAlignment="1" applyProtection="1">
      <alignment vertical="center" wrapText="1"/>
    </xf>
    <xf numFmtId="0" fontId="17" fillId="39" borderId="52" xfId="9" applyFont="1" applyFill="1" applyBorder="1" applyAlignment="1">
      <alignment horizontal="center" vertical="center" wrapText="1"/>
    </xf>
    <xf numFmtId="0" fontId="17" fillId="39" borderId="52" xfId="5" applyFont="1" applyFill="1" applyBorder="1" applyAlignment="1">
      <alignment horizontal="center" vertical="center" wrapText="1"/>
    </xf>
    <xf numFmtId="0" fontId="17" fillId="39" borderId="52" xfId="9" applyFont="1" applyFill="1" applyBorder="1" applyAlignment="1" applyProtection="1">
      <alignment horizontal="center" vertical="center" wrapText="1"/>
    </xf>
    <xf numFmtId="0" fontId="17" fillId="39" borderId="6" xfId="9" applyFont="1" applyFill="1" applyBorder="1" applyAlignment="1" applyProtection="1">
      <alignment horizontal="center" vertical="center" wrapText="1"/>
    </xf>
    <xf numFmtId="170" fontId="14" fillId="0" borderId="6" xfId="78" applyNumberFormat="1" applyFont="1" applyFill="1" applyBorder="1" applyAlignment="1">
      <alignment horizontal="right"/>
    </xf>
    <xf numFmtId="170" fontId="14" fillId="0" borderId="6" xfId="7" applyNumberFormat="1" applyFont="1" applyFill="1" applyBorder="1" applyAlignment="1">
      <alignment horizontal="right"/>
    </xf>
    <xf numFmtId="0" fontId="17" fillId="0" borderId="6" xfId="5" applyFont="1" applyFill="1" applyBorder="1" applyAlignment="1">
      <alignment vertical="center"/>
    </xf>
    <xf numFmtId="170" fontId="17" fillId="0" borderId="6" xfId="78" applyNumberFormat="1" applyFont="1" applyFill="1" applyBorder="1" applyAlignment="1">
      <alignment horizontal="right"/>
    </xf>
    <xf numFmtId="0" fontId="0" fillId="0" borderId="6" xfId="0" applyFont="1" applyBorder="1" applyAlignment="1">
      <alignment horizontal="center" vertical="center"/>
    </xf>
    <xf numFmtId="0" fontId="82" fillId="3" borderId="52" xfId="0" applyFont="1" applyFill="1" applyBorder="1" applyAlignment="1">
      <alignment horizontal="center" vertical="center" wrapText="1"/>
    </xf>
    <xf numFmtId="0" fontId="3" fillId="39" borderId="8" xfId="0" applyFont="1" applyFill="1" applyBorder="1" applyAlignment="1">
      <alignment horizontal="center" vertical="center" wrapText="1"/>
    </xf>
    <xf numFmtId="0" fontId="17" fillId="0" borderId="0" xfId="489" applyFont="1" applyBorder="1" applyAlignment="1">
      <alignment horizontal="center" vertical="center"/>
    </xf>
    <xf numFmtId="0" fontId="17" fillId="3" borderId="52" xfId="257" applyFont="1" applyFill="1" applyBorder="1" applyAlignment="1">
      <alignment horizontal="center" vertical="center" wrapText="1"/>
    </xf>
    <xf numFmtId="0" fontId="18" fillId="3" borderId="6" xfId="257" applyFont="1" applyFill="1" applyBorder="1" applyAlignment="1">
      <alignment horizontal="center" vertical="center" wrapText="1"/>
    </xf>
    <xf numFmtId="0" fontId="0" fillId="0" borderId="6" xfId="0" applyBorder="1"/>
    <xf numFmtId="0" fontId="0" fillId="0" borderId="6" xfId="0" applyBorder="1" applyAlignment="1">
      <alignment horizontal="center"/>
    </xf>
    <xf numFmtId="0" fontId="14" fillId="0" borderId="6" xfId="489" applyFont="1" applyBorder="1"/>
    <xf numFmtId="2" fontId="14" fillId="0" borderId="6" xfId="489" applyNumberFormat="1" applyFont="1" applyBorder="1" applyAlignment="1">
      <alignment horizontal="center"/>
    </xf>
    <xf numFmtId="2" fontId="17" fillId="0" borderId="6" xfId="489" applyNumberFormat="1" applyFont="1" applyBorder="1" applyAlignment="1">
      <alignment horizontal="center"/>
    </xf>
    <xf numFmtId="2" fontId="82" fillId="0" borderId="6" xfId="0" applyNumberFormat="1" applyFont="1" applyFill="1" applyBorder="1" applyAlignment="1">
      <alignment horizontal="center" vertical="center"/>
    </xf>
    <xf numFmtId="0" fontId="4" fillId="4" borderId="6" xfId="6" applyFont="1" applyFill="1" applyBorder="1" applyAlignment="1">
      <alignment vertical="center" wrapText="1"/>
    </xf>
    <xf numFmtId="0" fontId="0" fillId="0" borderId="0" xfId="0" applyFont="1" applyAlignment="1">
      <alignment horizontal="center" vertical="center"/>
    </xf>
    <xf numFmtId="0" fontId="240" fillId="0" borderId="0" xfId="0" applyFont="1" applyAlignment="1">
      <alignment horizontal="right"/>
    </xf>
    <xf numFmtId="0" fontId="0" fillId="0" borderId="0" xfId="0" applyFont="1" applyAlignment="1">
      <alignment horizontal="left" vertical="center"/>
    </xf>
    <xf numFmtId="0" fontId="0" fillId="0" borderId="0" xfId="0" applyFont="1" applyAlignment="1">
      <alignment horizontal="center" vertical="center" wrapText="1"/>
    </xf>
    <xf numFmtId="174" fontId="0" fillId="0" borderId="6" xfId="0" applyNumberFormat="1" applyFont="1" applyBorder="1" applyAlignment="1">
      <alignment horizontal="center" vertical="center"/>
    </xf>
    <xf numFmtId="0" fontId="0" fillId="0" borderId="6" xfId="0" applyFont="1" applyFill="1" applyBorder="1"/>
    <xf numFmtId="2" fontId="0" fillId="0" borderId="6" xfId="0" applyNumberFormat="1" applyFont="1" applyFill="1" applyBorder="1" applyAlignment="1">
      <alignment horizontal="center" vertical="center"/>
    </xf>
    <xf numFmtId="0" fontId="0" fillId="0" borderId="6" xfId="0" applyFont="1" applyFill="1" applyBorder="1" applyAlignment="1">
      <alignment horizontal="center" vertical="center"/>
    </xf>
    <xf numFmtId="0" fontId="0" fillId="0" borderId="0" xfId="0" applyFont="1" applyFill="1"/>
    <xf numFmtId="166" fontId="241" fillId="0" borderId="56" xfId="3" applyNumberFormat="1" applyFont="1" applyFill="1" applyBorder="1" applyAlignment="1">
      <alignment horizontal="center" vertical="center"/>
    </xf>
    <xf numFmtId="0" fontId="3" fillId="39" borderId="15" xfId="0" applyFont="1" applyFill="1" applyBorder="1" applyAlignment="1">
      <alignment horizontal="center" vertical="center" wrapText="1"/>
    </xf>
    <xf numFmtId="0" fontId="10" fillId="0" borderId="0" xfId="489" applyFont="1" applyAlignment="1">
      <alignment vertical="center"/>
    </xf>
    <xf numFmtId="0" fontId="2" fillId="0" borderId="0" xfId="0" applyFont="1"/>
    <xf numFmtId="0" fontId="3" fillId="0" borderId="17" xfId="0" applyFont="1" applyBorder="1" applyAlignment="1">
      <alignment vertical="center" wrapText="1"/>
    </xf>
    <xf numFmtId="43" fontId="243" fillId="0" borderId="6" xfId="3" applyNumberFormat="1" applyFont="1" applyFill="1" applyBorder="1" applyAlignment="1">
      <alignment horizontal="center" vertical="center"/>
    </xf>
    <xf numFmtId="43" fontId="1" fillId="0" borderId="6" xfId="0" applyNumberFormat="1" applyFont="1" applyFill="1" applyBorder="1" applyAlignment="1">
      <alignment horizontal="center" vertical="center"/>
    </xf>
    <xf numFmtId="43" fontId="1" fillId="0" borderId="6" xfId="0" applyNumberFormat="1" applyFont="1" applyFill="1" applyBorder="1" applyAlignment="1">
      <alignment horizontal="center"/>
    </xf>
    <xf numFmtId="43" fontId="1" fillId="0" borderId="6" xfId="0" applyNumberFormat="1" applyFont="1" applyFill="1" applyBorder="1"/>
    <xf numFmtId="43" fontId="239" fillId="0" borderId="6" xfId="0" applyNumberFormat="1" applyFont="1" applyFill="1" applyBorder="1" applyAlignment="1">
      <alignment horizontal="center"/>
    </xf>
    <xf numFmtId="2" fontId="2" fillId="0" borderId="0" xfId="0" applyNumberFormat="1" applyFont="1"/>
    <xf numFmtId="43" fontId="244" fillId="0" borderId="6" xfId="3" applyNumberFormat="1" applyFont="1" applyFill="1" applyBorder="1" applyAlignment="1">
      <alignment horizontal="center" vertical="center"/>
    </xf>
    <xf numFmtId="43" fontId="239" fillId="0" borderId="6" xfId="0" applyNumberFormat="1" applyFont="1" applyFill="1" applyBorder="1" applyAlignment="1">
      <alignment horizontal="center" vertical="center"/>
    </xf>
    <xf numFmtId="43" fontId="239" fillId="0" borderId="6" xfId="0" applyNumberFormat="1" applyFont="1" applyFill="1" applyBorder="1"/>
    <xf numFmtId="0" fontId="3" fillId="0" borderId="0" xfId="0" applyFont="1" applyBorder="1" applyAlignment="1">
      <alignment horizontal="center" vertical="center"/>
    </xf>
    <xf numFmtId="220" fontId="3" fillId="0" borderId="0" xfId="0" applyNumberFormat="1" applyFont="1" applyBorder="1"/>
    <xf numFmtId="220" fontId="3" fillId="0" borderId="0" xfId="0" applyNumberFormat="1" applyFont="1" applyBorder="1" applyAlignment="1">
      <alignment horizontal="center"/>
    </xf>
    <xf numFmtId="43" fontId="243" fillId="0" borderId="6" xfId="3" applyNumberFormat="1" applyFont="1" applyFill="1" applyBorder="1" applyAlignment="1">
      <alignment vertical="center"/>
    </xf>
    <xf numFmtId="43" fontId="1" fillId="0" borderId="6" xfId="0" applyNumberFormat="1" applyFont="1" applyFill="1" applyBorder="1" applyAlignment="1">
      <alignment vertical="center"/>
    </xf>
    <xf numFmtId="43" fontId="1" fillId="0" borderId="6" xfId="0" applyNumberFormat="1" applyFont="1" applyFill="1" applyBorder="1" applyAlignment="1"/>
    <xf numFmtId="43" fontId="239" fillId="0" borderId="6" xfId="0" applyNumberFormat="1" applyFont="1" applyFill="1" applyBorder="1" applyAlignment="1"/>
    <xf numFmtId="43" fontId="2" fillId="0" borderId="6" xfId="0" quotePrefix="1" applyNumberFormat="1" applyFont="1" applyFill="1" applyBorder="1" applyAlignment="1">
      <alignment vertical="center"/>
    </xf>
    <xf numFmtId="43" fontId="244" fillId="0" borderId="6" xfId="3" applyNumberFormat="1" applyFont="1" applyFill="1" applyBorder="1" applyAlignment="1">
      <alignment vertical="center"/>
    </xf>
    <xf numFmtId="43" fontId="239" fillId="0" borderId="6" xfId="0" applyNumberFormat="1" applyFont="1" applyFill="1" applyBorder="1" applyAlignment="1">
      <alignment vertical="center"/>
    </xf>
    <xf numFmtId="43" fontId="239" fillId="0" borderId="56" xfId="0" applyNumberFormat="1" applyFont="1" applyFill="1" applyBorder="1" applyAlignment="1"/>
    <xf numFmtId="0" fontId="2" fillId="0" borderId="6" xfId="0" applyFont="1" applyFill="1" applyBorder="1" applyAlignment="1">
      <alignment horizontal="center"/>
    </xf>
    <xf numFmtId="17" fontId="2" fillId="0" borderId="6" xfId="0" applyNumberFormat="1" applyFont="1" applyFill="1" applyBorder="1" applyAlignment="1">
      <alignment horizontal="left" vertical="center"/>
    </xf>
    <xf numFmtId="43" fontId="2" fillId="0" borderId="6" xfId="0" applyNumberFormat="1" applyFont="1" applyFill="1" applyBorder="1" applyAlignment="1"/>
    <xf numFmtId="43" fontId="2" fillId="0" borderId="6" xfId="0" applyNumberFormat="1" applyFont="1" applyFill="1" applyBorder="1" applyAlignment="1">
      <alignment vertical="center"/>
    </xf>
    <xf numFmtId="43" fontId="2" fillId="0" borderId="6" xfId="0" quotePrefix="1" applyNumberFormat="1" applyFont="1" applyFill="1" applyBorder="1" applyAlignment="1"/>
    <xf numFmtId="0" fontId="2" fillId="0" borderId="6" xfId="0" applyFont="1" applyFill="1" applyBorder="1" applyAlignment="1">
      <alignment horizontal="center" vertical="center"/>
    </xf>
    <xf numFmtId="17" fontId="2" fillId="0" borderId="52" xfId="0" applyNumberFormat="1" applyFont="1" applyFill="1" applyBorder="1" applyAlignment="1">
      <alignment horizontal="left" vertical="center"/>
    </xf>
    <xf numFmtId="43" fontId="2" fillId="0" borderId="52" xfId="0" quotePrefix="1" applyNumberFormat="1" applyFont="1" applyFill="1" applyBorder="1" applyAlignment="1">
      <alignment vertical="center"/>
    </xf>
    <xf numFmtId="43" fontId="2" fillId="0" borderId="52" xfId="0" applyNumberFormat="1" applyFont="1" applyFill="1" applyBorder="1" applyAlignment="1"/>
    <xf numFmtId="43" fontId="2" fillId="0" borderId="52" xfId="0" quotePrefix="1" applyNumberFormat="1" applyFont="1" applyFill="1" applyBorder="1" applyAlignment="1"/>
    <xf numFmtId="43" fontId="3" fillId="0" borderId="56" xfId="0" applyNumberFormat="1" applyFont="1" applyFill="1" applyBorder="1" applyAlignment="1"/>
    <xf numFmtId="43" fontId="3" fillId="0" borderId="6" xfId="0" applyNumberFormat="1" applyFont="1" applyFill="1" applyBorder="1" applyAlignment="1">
      <alignment vertical="center"/>
    </xf>
    <xf numFmtId="43" fontId="3" fillId="0" borderId="6" xfId="0" applyNumberFormat="1" applyFont="1" applyFill="1" applyBorder="1" applyAlignment="1"/>
    <xf numFmtId="43" fontId="3" fillId="0" borderId="56" xfId="0" applyNumberFormat="1" applyFont="1" applyFill="1" applyBorder="1" applyAlignment="1">
      <alignment vertical="center"/>
    </xf>
    <xf numFmtId="43" fontId="2" fillId="0" borderId="6" xfId="0" applyNumberFormat="1" applyFont="1" applyFill="1" applyBorder="1" applyAlignment="1">
      <alignment horizontal="center" vertical="center"/>
    </xf>
    <xf numFmtId="0" fontId="3" fillId="0" borderId="56" xfId="0" applyFont="1" applyFill="1" applyBorder="1"/>
    <xf numFmtId="43" fontId="3" fillId="0" borderId="6" xfId="0" applyNumberFormat="1" applyFont="1" applyFill="1" applyBorder="1" applyAlignment="1">
      <alignment horizontal="center" vertical="center"/>
    </xf>
    <xf numFmtId="43" fontId="3" fillId="0" borderId="6" xfId="0" applyNumberFormat="1" applyFont="1" applyFill="1" applyBorder="1"/>
    <xf numFmtId="43" fontId="3" fillId="0" borderId="6" xfId="0" applyNumberFormat="1" applyFont="1" applyFill="1" applyBorder="1" applyAlignment="1">
      <alignment horizontal="center"/>
    </xf>
    <xf numFmtId="0" fontId="3" fillId="0" borderId="56" xfId="0" applyFont="1" applyFill="1" applyBorder="1" applyAlignment="1">
      <alignment vertical="center"/>
    </xf>
    <xf numFmtId="2" fontId="3" fillId="0" borderId="6" xfId="0" applyNumberFormat="1" applyFont="1" applyFill="1" applyBorder="1" applyAlignment="1">
      <alignment vertical="center"/>
    </xf>
    <xf numFmtId="2" fontId="3" fillId="0" borderId="56" xfId="0" applyNumberFormat="1" applyFont="1" applyFill="1" applyBorder="1" applyAlignment="1">
      <alignment horizontal="center" vertical="center"/>
    </xf>
    <xf numFmtId="2" fontId="3" fillId="0" borderId="6" xfId="0" applyNumberFormat="1" applyFont="1" applyFill="1" applyBorder="1" applyAlignment="1">
      <alignment horizontal="center" vertical="center"/>
    </xf>
    <xf numFmtId="43" fontId="0" fillId="0" borderId="6" xfId="0" applyNumberFormat="1" applyFill="1" applyBorder="1" applyAlignment="1">
      <alignment horizontal="center" vertical="center" wrapText="1" shrinkToFit="1"/>
    </xf>
    <xf numFmtId="0" fontId="15" fillId="39" borderId="6" xfId="120" applyFont="1" applyFill="1" applyBorder="1" applyAlignment="1">
      <alignment horizontal="center" vertical="center" wrapText="1"/>
    </xf>
    <xf numFmtId="0" fontId="12" fillId="39" borderId="6" xfId="0" applyFont="1" applyFill="1" applyBorder="1" applyAlignment="1">
      <alignment horizontal="center" vertical="center" wrapText="1"/>
    </xf>
    <xf numFmtId="166" fontId="13" fillId="0" borderId="6" xfId="0" applyNumberFormat="1" applyFont="1" applyFill="1" applyBorder="1" applyAlignment="1">
      <alignment horizontal="center" vertical="center"/>
    </xf>
    <xf numFmtId="43" fontId="0" fillId="0" borderId="6" xfId="0" quotePrefix="1" applyNumberFormat="1" applyFill="1" applyBorder="1" applyAlignment="1">
      <alignment horizontal="center" vertical="center" wrapText="1" shrinkToFit="1"/>
    </xf>
    <xf numFmtId="221" fontId="13" fillId="0" borderId="6" xfId="0" applyNumberFormat="1" applyFont="1" applyFill="1" applyBorder="1" applyAlignment="1">
      <alignment horizontal="center" vertical="center"/>
    </xf>
    <xf numFmtId="43" fontId="0" fillId="0" borderId="6" xfId="0" applyNumberFormat="1" applyFill="1" applyBorder="1" applyAlignment="1">
      <alignment horizontal="center" shrinkToFit="1"/>
    </xf>
    <xf numFmtId="43" fontId="0" fillId="0" borderId="6" xfId="0" applyNumberFormat="1" applyFill="1" applyBorder="1" applyAlignment="1">
      <alignment horizontal="center"/>
    </xf>
    <xf numFmtId="43" fontId="0" fillId="0" borderId="6" xfId="0" applyNumberFormat="1" applyFill="1" applyBorder="1" applyAlignment="1"/>
    <xf numFmtId="174" fontId="0" fillId="0" borderId="6" xfId="0" applyNumberFormat="1" applyBorder="1" applyAlignment="1">
      <alignment horizontal="center" vertical="center"/>
    </xf>
    <xf numFmtId="9" fontId="0" fillId="0" borderId="6" xfId="1" applyFont="1" applyBorder="1" applyAlignment="1">
      <alignment horizontal="center" vertical="center"/>
    </xf>
    <xf numFmtId="2" fontId="0" fillId="0" borderId="6" xfId="0" applyNumberFormat="1" applyFill="1" applyBorder="1" applyAlignment="1">
      <alignment horizontal="center" vertical="center"/>
    </xf>
    <xf numFmtId="0" fontId="3" fillId="0" borderId="0" xfId="0" applyFont="1" applyFill="1" applyBorder="1"/>
    <xf numFmtId="0" fontId="3" fillId="39" borderId="6" xfId="0" applyFont="1" applyFill="1" applyBorder="1" applyAlignment="1">
      <alignment horizontal="center" vertical="center"/>
    </xf>
    <xf numFmtId="0" fontId="245" fillId="0" borderId="6" xfId="0" applyFont="1" applyFill="1" applyBorder="1" applyAlignment="1">
      <alignment horizontal="left" vertical="center" wrapText="1"/>
    </xf>
    <xf numFmtId="2" fontId="245" fillId="0" borderId="6" xfId="0" applyNumberFormat="1" applyFont="1" applyFill="1" applyBorder="1" applyAlignment="1">
      <alignment horizontal="right" vertical="center" wrapText="1"/>
    </xf>
    <xf numFmtId="0" fontId="246" fillId="72" borderId="6" xfId="0" applyFont="1" applyFill="1" applyBorder="1" applyAlignment="1">
      <alignment horizontal="center" vertical="center" wrapText="1"/>
    </xf>
    <xf numFmtId="0" fontId="245" fillId="0" borderId="6" xfId="0" applyFont="1" applyBorder="1" applyAlignment="1">
      <alignment vertical="center"/>
    </xf>
    <xf numFmtId="0" fontId="246" fillId="0" borderId="6" xfId="0" applyFont="1" applyBorder="1" applyAlignment="1">
      <alignment horizontal="center" vertical="center"/>
    </xf>
    <xf numFmtId="0" fontId="246" fillId="0" borderId="6" xfId="0" applyFont="1" applyBorder="1" applyAlignment="1">
      <alignment horizontal="center" vertical="center" wrapText="1"/>
    </xf>
    <xf numFmtId="0" fontId="245" fillId="0" borderId="6" xfId="0" applyFont="1" applyBorder="1" applyAlignment="1">
      <alignment horizontal="left" vertical="center" wrapText="1"/>
    </xf>
    <xf numFmtId="0" fontId="245" fillId="0" borderId="6" xfId="0" applyFont="1" applyBorder="1" applyAlignment="1">
      <alignment horizontal="center" vertical="center"/>
    </xf>
    <xf numFmtId="2" fontId="245" fillId="0" borderId="6" xfId="0" applyNumberFormat="1" applyFont="1" applyBorder="1" applyAlignment="1">
      <alignment horizontal="right" vertical="center"/>
    </xf>
    <xf numFmtId="2" fontId="245" fillId="0" borderId="6" xfId="0" applyNumberFormat="1" applyFont="1" applyBorder="1" applyAlignment="1">
      <alignment vertical="center" wrapText="1"/>
    </xf>
    <xf numFmtId="2" fontId="245" fillId="0" borderId="6" xfId="0" applyNumberFormat="1" applyFont="1" applyBorder="1" applyAlignment="1">
      <alignment horizontal="center" vertical="center"/>
    </xf>
    <xf numFmtId="0" fontId="245" fillId="0" borderId="6" xfId="0" applyFont="1" applyBorder="1" applyAlignment="1">
      <alignment horizontal="left" vertical="center"/>
    </xf>
    <xf numFmtId="0" fontId="246" fillId="0" borderId="6" xfId="0" applyFont="1" applyBorder="1" applyAlignment="1">
      <alignment horizontal="left" vertical="center"/>
    </xf>
    <xf numFmtId="2" fontId="246" fillId="0" borderId="6" xfId="0" applyNumberFormat="1" applyFont="1" applyBorder="1" applyAlignment="1">
      <alignment horizontal="right" vertical="center"/>
    </xf>
    <xf numFmtId="2" fontId="246" fillId="0" borderId="6" xfId="0" applyNumberFormat="1" applyFont="1" applyBorder="1" applyAlignment="1">
      <alignment horizontal="center" vertical="center" wrapText="1"/>
    </xf>
    <xf numFmtId="2" fontId="246" fillId="0" borderId="6" xfId="0" applyNumberFormat="1" applyFont="1" applyBorder="1" applyAlignment="1">
      <alignment vertical="center"/>
    </xf>
    <xf numFmtId="0" fontId="4" fillId="3" borderId="6" xfId="260" applyFont="1" applyFill="1" applyBorder="1" applyAlignment="1">
      <alignment vertical="center" wrapText="1"/>
    </xf>
    <xf numFmtId="165" fontId="14" fillId="0" borderId="6" xfId="121" applyNumberFormat="1" applyFont="1" applyFill="1" applyBorder="1" applyAlignment="1">
      <alignment horizontal="right" vertical="center" wrapText="1"/>
    </xf>
    <xf numFmtId="164" fontId="116" fillId="0" borderId="6" xfId="486" applyFont="1" applyBorder="1" applyAlignment="1">
      <alignment horizontal="right" vertical="center"/>
    </xf>
    <xf numFmtId="1" fontId="14" fillId="0" borderId="6" xfId="121" applyNumberFormat="1" applyFont="1" applyFill="1" applyBorder="1" applyAlignment="1">
      <alignment horizontal="right"/>
    </xf>
    <xf numFmtId="165" fontId="14" fillId="0" borderId="6" xfId="121" applyNumberFormat="1" applyFont="1" applyFill="1" applyBorder="1" applyAlignment="1">
      <alignment horizontal="right"/>
    </xf>
    <xf numFmtId="165" fontId="17" fillId="0" borderId="6" xfId="121" applyNumberFormat="1" applyFont="1" applyFill="1" applyBorder="1" applyAlignment="1">
      <alignment horizontal="right"/>
    </xf>
    <xf numFmtId="0" fontId="116" fillId="0" borderId="6" xfId="0" applyFont="1" applyBorder="1" applyAlignment="1">
      <alignment horizontal="right" vertical="center"/>
    </xf>
    <xf numFmtId="165" fontId="17" fillId="0" borderId="6" xfId="78" applyNumberFormat="1" applyFont="1" applyFill="1" applyBorder="1" applyAlignment="1">
      <alignment horizontal="right"/>
    </xf>
    <xf numFmtId="39" fontId="3" fillId="0" borderId="54" xfId="0" applyNumberFormat="1" applyFont="1" applyFill="1" applyBorder="1" applyAlignment="1">
      <alignment vertical="center"/>
    </xf>
    <xf numFmtId="39" fontId="3" fillId="0" borderId="55" xfId="0" applyNumberFormat="1" applyFont="1" applyFill="1" applyBorder="1" applyAlignment="1">
      <alignment vertical="center"/>
    </xf>
    <xf numFmtId="39" fontId="3" fillId="0" borderId="56" xfId="0" applyNumberFormat="1" applyFont="1" applyFill="1" applyBorder="1" applyAlignment="1">
      <alignment vertical="center"/>
    </xf>
    <xf numFmtId="43" fontId="18" fillId="4" borderId="0" xfId="3" applyNumberFormat="1" applyFont="1" applyFill="1" applyBorder="1" applyAlignment="1">
      <alignment horizontal="center" vertical="center"/>
    </xf>
    <xf numFmtId="2" fontId="81" fillId="0" borderId="6" xfId="0" applyNumberFormat="1" applyFont="1" applyBorder="1" applyAlignment="1">
      <alignment horizontal="center" vertical="center"/>
    </xf>
    <xf numFmtId="0" fontId="82" fillId="3" borderId="6" xfId="0" applyFont="1" applyFill="1" applyBorder="1" applyAlignment="1">
      <alignment horizontal="center" vertical="center" wrapText="1"/>
    </xf>
    <xf numFmtId="0" fontId="18" fillId="4" borderId="0" xfId="13" applyFont="1" applyFill="1" applyBorder="1" applyAlignment="1">
      <alignment horizontal="center" vertical="center" wrapText="1"/>
    </xf>
    <xf numFmtId="170" fontId="4" fillId="0" borderId="6" xfId="13" applyNumberFormat="1" applyFont="1" applyBorder="1" applyAlignment="1">
      <alignment horizontal="center" vertical="center"/>
    </xf>
    <xf numFmtId="2" fontId="4" fillId="0" borderId="6" xfId="13" applyNumberFormat="1" applyFont="1" applyFill="1" applyBorder="1" applyAlignment="1">
      <alignment horizontal="center" vertical="center"/>
    </xf>
    <xf numFmtId="0" fontId="18" fillId="0" borderId="0" xfId="13" applyFont="1" applyBorder="1" applyAlignment="1">
      <alignment horizontal="center" vertical="center"/>
    </xf>
    <xf numFmtId="2" fontId="4" fillId="31" borderId="6" xfId="3" applyNumberFormat="1" applyFont="1" applyFill="1" applyBorder="1" applyAlignment="1">
      <alignment horizontal="right" vertical="center" wrapText="1"/>
    </xf>
    <xf numFmtId="0" fontId="238" fillId="0" borderId="21" xfId="0" applyFont="1" applyBorder="1" applyAlignment="1">
      <alignment vertical="center"/>
    </xf>
    <xf numFmtId="0" fontId="238" fillId="0" borderId="22" xfId="0" applyFont="1" applyBorder="1" applyAlignment="1">
      <alignment vertical="center"/>
    </xf>
    <xf numFmtId="0" fontId="18" fillId="4" borderId="0" xfId="3" applyFont="1" applyFill="1" applyBorder="1" applyAlignment="1">
      <alignment horizontal="center" vertical="top"/>
    </xf>
    <xf numFmtId="0" fontId="18" fillId="4" borderId="0" xfId="3" applyFont="1" applyFill="1" applyBorder="1" applyAlignment="1">
      <alignment horizontal="center" vertical="center"/>
    </xf>
    <xf numFmtId="0" fontId="153" fillId="4" borderId="6" xfId="114" applyFont="1" applyFill="1" applyBorder="1" applyAlignment="1">
      <alignment horizontal="left" vertical="center" wrapText="1" shrinkToFit="1"/>
    </xf>
    <xf numFmtId="0" fontId="212" fillId="0" borderId="0" xfId="0" applyFont="1" applyFill="1" applyBorder="1" applyAlignment="1">
      <alignment vertical="center"/>
    </xf>
    <xf numFmtId="0" fontId="177" fillId="0" borderId="0" xfId="0" applyFont="1" applyFill="1" applyBorder="1" applyAlignment="1">
      <alignment vertical="center"/>
    </xf>
    <xf numFmtId="0" fontId="177" fillId="0" borderId="0" xfId="0" applyFont="1" applyFill="1" applyAlignment="1">
      <alignment vertical="center"/>
    </xf>
    <xf numFmtId="0" fontId="212" fillId="0" borderId="0" xfId="0" applyFont="1" applyFill="1" applyAlignment="1">
      <alignment vertical="center"/>
    </xf>
    <xf numFmtId="0" fontId="18" fillId="4" borderId="0" xfId="5" applyFont="1" applyFill="1" applyBorder="1" applyAlignment="1">
      <alignment vertical="center" wrapText="1"/>
    </xf>
    <xf numFmtId="0" fontId="18" fillId="4" borderId="0" xfId="3" applyFont="1" applyFill="1" applyBorder="1" applyAlignment="1">
      <alignment vertical="center" wrapText="1"/>
    </xf>
    <xf numFmtId="0" fontId="18" fillId="3" borderId="0" xfId="13" applyFont="1" applyFill="1" applyBorder="1" applyAlignment="1">
      <alignment horizontal="center" vertical="center" wrapText="1"/>
    </xf>
    <xf numFmtId="0" fontId="18" fillId="3" borderId="0" xfId="0" applyFont="1" applyFill="1" applyBorder="1" applyAlignment="1">
      <alignment horizontal="center" vertical="center" wrapText="1"/>
    </xf>
    <xf numFmtId="170" fontId="4" fillId="0" borderId="0" xfId="13" applyNumberFormat="1" applyFont="1" applyFill="1" applyBorder="1" applyAlignment="1">
      <alignment horizontal="center" vertical="center"/>
    </xf>
    <xf numFmtId="170" fontId="18" fillId="0" borderId="0" xfId="13" applyNumberFormat="1" applyFont="1" applyBorder="1" applyAlignment="1">
      <alignment horizontal="center" vertical="center"/>
    </xf>
    <xf numFmtId="0" fontId="18" fillId="0" borderId="0" xfId="13" applyFont="1" applyFill="1" applyBorder="1" applyAlignment="1">
      <alignment horizontal="right" vertical="center"/>
    </xf>
    <xf numFmtId="2" fontId="18" fillId="0" borderId="54" xfId="13" applyNumberFormat="1" applyFont="1" applyFill="1" applyBorder="1" applyAlignment="1">
      <alignment horizontal="center" vertical="center"/>
    </xf>
    <xf numFmtId="2" fontId="82" fillId="0" borderId="54" xfId="0" applyNumberFormat="1" applyFont="1" applyFill="1" applyBorder="1" applyAlignment="1">
      <alignment horizontal="center" vertical="center"/>
    </xf>
    <xf numFmtId="10" fontId="4" fillId="0" borderId="54" xfId="13" applyNumberFormat="1" applyFont="1" applyFill="1" applyBorder="1" applyAlignment="1">
      <alignment horizontal="center" vertical="center"/>
    </xf>
    <xf numFmtId="2" fontId="4" fillId="0" borderId="54" xfId="13" applyNumberFormat="1" applyFont="1" applyFill="1" applyBorder="1" applyAlignment="1">
      <alignment horizontal="center" vertical="center"/>
    </xf>
    <xf numFmtId="2" fontId="18" fillId="0" borderId="56" xfId="13" applyNumberFormat="1" applyFont="1" applyFill="1" applyBorder="1" applyAlignment="1">
      <alignment horizontal="center" vertical="center"/>
    </xf>
    <xf numFmtId="10" fontId="4" fillId="0" borderId="56" xfId="13" applyNumberFormat="1" applyFont="1" applyFill="1" applyBorder="1" applyAlignment="1">
      <alignment horizontal="center" vertical="center"/>
    </xf>
    <xf numFmtId="2" fontId="4" fillId="0" borderId="56" xfId="13" applyNumberFormat="1" applyFont="1" applyFill="1" applyBorder="1" applyAlignment="1">
      <alignment horizontal="center" vertical="center"/>
    </xf>
    <xf numFmtId="2" fontId="18" fillId="0" borderId="106" xfId="13" applyNumberFormat="1" applyFont="1" applyFill="1" applyBorder="1" applyAlignment="1">
      <alignment horizontal="center" vertical="center"/>
    </xf>
    <xf numFmtId="2" fontId="82" fillId="0" borderId="106" xfId="0" applyNumberFormat="1" applyFont="1" applyFill="1" applyBorder="1" applyAlignment="1">
      <alignment horizontal="center" vertical="center"/>
    </xf>
    <xf numFmtId="10" fontId="4" fillId="0" borderId="106" xfId="13" applyNumberFormat="1" applyFont="1" applyFill="1" applyBorder="1" applyAlignment="1">
      <alignment horizontal="center" vertical="center"/>
    </xf>
    <xf numFmtId="2" fontId="4" fillId="0" borderId="106" xfId="13" applyNumberFormat="1" applyFont="1" applyFill="1" applyBorder="1" applyAlignment="1">
      <alignment horizontal="center" vertical="center"/>
    </xf>
    <xf numFmtId="170" fontId="4" fillId="0" borderId="54" xfId="13" applyNumberFormat="1" applyFont="1" applyFill="1" applyBorder="1" applyAlignment="1">
      <alignment vertical="center"/>
    </xf>
    <xf numFmtId="170" fontId="4" fillId="0" borderId="55" xfId="13" applyNumberFormat="1" applyFont="1" applyFill="1" applyBorder="1" applyAlignment="1">
      <alignment vertical="center"/>
    </xf>
    <xf numFmtId="170" fontId="4" fillId="0" borderId="56" xfId="13" applyNumberFormat="1" applyFont="1" applyFill="1" applyBorder="1" applyAlignment="1">
      <alignment vertical="center"/>
    </xf>
    <xf numFmtId="0" fontId="18" fillId="3" borderId="13" xfId="13" applyFont="1" applyFill="1" applyBorder="1" applyAlignment="1">
      <alignment vertical="center" wrapText="1"/>
    </xf>
    <xf numFmtId="0" fontId="18" fillId="3" borderId="16" xfId="13" applyFont="1" applyFill="1" applyBorder="1" applyAlignment="1">
      <alignment vertical="center" wrapText="1"/>
    </xf>
    <xf numFmtId="0" fontId="17" fillId="0" borderId="0" xfId="257" applyFont="1" applyBorder="1" applyAlignment="1">
      <alignment vertical="center"/>
    </xf>
    <xf numFmtId="0" fontId="17" fillId="4" borderId="0" xfId="3" applyFont="1" applyFill="1" applyBorder="1" applyAlignment="1">
      <alignment vertical="top"/>
    </xf>
    <xf numFmtId="0" fontId="17" fillId="0" borderId="0" xfId="260" applyFont="1" applyBorder="1" applyAlignment="1">
      <alignment vertical="center"/>
    </xf>
    <xf numFmtId="0" fontId="18" fillId="0" borderId="0" xfId="260" applyFont="1" applyBorder="1" applyAlignment="1"/>
    <xf numFmtId="0" fontId="18" fillId="0" borderId="0" xfId="257" applyFont="1" applyAlignment="1">
      <alignment vertical="center" wrapText="1"/>
    </xf>
    <xf numFmtId="0" fontId="18" fillId="0" borderId="0" xfId="0" applyFont="1" applyFill="1" applyBorder="1" applyAlignment="1"/>
    <xf numFmtId="2" fontId="81" fillId="0" borderId="6" xfId="0" applyNumberFormat="1" applyFont="1" applyBorder="1" applyAlignment="1">
      <alignment horizontal="center" vertical="center"/>
    </xf>
    <xf numFmtId="0" fontId="18" fillId="0" borderId="17" xfId="13" applyFont="1" applyBorder="1">
      <alignment vertical="center"/>
    </xf>
    <xf numFmtId="0" fontId="18" fillId="4" borderId="0" xfId="0" applyFont="1" applyFill="1" applyBorder="1" applyAlignment="1">
      <alignment vertical="top"/>
    </xf>
    <xf numFmtId="0" fontId="18" fillId="4" borderId="0" xfId="0" applyFont="1" applyFill="1" applyBorder="1" applyAlignment="1">
      <alignment vertical="center"/>
    </xf>
    <xf numFmtId="0" fontId="18" fillId="4" borderId="17" xfId="78" applyFont="1" applyFill="1" applyBorder="1" applyAlignment="1">
      <alignment horizontal="center"/>
    </xf>
    <xf numFmtId="0" fontId="18" fillId="4" borderId="17" xfId="6" applyFont="1" applyFill="1" applyBorder="1">
      <alignment vertical="center"/>
    </xf>
    <xf numFmtId="0" fontId="18" fillId="4" borderId="17" xfId="78" applyFont="1" applyFill="1" applyBorder="1" applyAlignment="1">
      <alignment horizontal="left" vertical="center"/>
    </xf>
    <xf numFmtId="0" fontId="18" fillId="4" borderId="0" xfId="6" applyFont="1" applyFill="1" applyBorder="1" applyAlignment="1">
      <alignment vertical="center" wrapText="1"/>
    </xf>
    <xf numFmtId="0" fontId="18" fillId="0" borderId="0" xfId="114" applyFont="1" applyFill="1" applyBorder="1" applyAlignment="1">
      <alignment vertical="center"/>
    </xf>
    <xf numFmtId="10" fontId="0" fillId="31" borderId="6" xfId="0" applyNumberFormat="1" applyFill="1" applyBorder="1" applyAlignment="1">
      <alignment horizontal="center"/>
    </xf>
    <xf numFmtId="0" fontId="18" fillId="3" borderId="6" xfId="6" applyFont="1" applyFill="1" applyBorder="1" applyAlignment="1">
      <alignment horizontal="center" vertical="center" wrapText="1"/>
    </xf>
    <xf numFmtId="0" fontId="81" fillId="0" borderId="6" xfId="0" applyFont="1" applyBorder="1" applyAlignment="1">
      <alignment horizontal="center" vertical="center"/>
    </xf>
    <xf numFmtId="2" fontId="81" fillId="0" borderId="6" xfId="0" applyNumberFormat="1" applyFont="1" applyBorder="1" applyAlignment="1">
      <alignment horizontal="center" vertical="center"/>
    </xf>
    <xf numFmtId="0" fontId="0" fillId="0" borderId="6" xfId="0" applyBorder="1" applyAlignment="1">
      <alignment horizontal="center"/>
    </xf>
    <xf numFmtId="164" fontId="81" fillId="4" borderId="0" xfId="0" applyNumberFormat="1" applyFont="1" applyFill="1" applyBorder="1" applyAlignment="1">
      <alignment vertical="center"/>
    </xf>
    <xf numFmtId="10" fontId="81" fillId="0" borderId="6" xfId="0" applyNumberFormat="1" applyFont="1" applyFill="1" applyBorder="1" applyAlignment="1">
      <alignment horizontal="center"/>
    </xf>
    <xf numFmtId="0" fontId="105" fillId="0" borderId="0" xfId="13" applyFont="1">
      <alignment vertical="center"/>
    </xf>
    <xf numFmtId="0" fontId="105" fillId="4" borderId="0" xfId="13" applyFont="1" applyFill="1" applyBorder="1">
      <alignment vertical="center"/>
    </xf>
    <xf numFmtId="10" fontId="105" fillId="0" borderId="0" xfId="0" applyNumberFormat="1" applyFont="1" applyAlignment="1">
      <alignment vertical="center"/>
    </xf>
    <xf numFmtId="0" fontId="238" fillId="0" borderId="20" xfId="0" applyFont="1" applyBorder="1" applyAlignment="1">
      <alignment horizontal="center" vertical="center"/>
    </xf>
    <xf numFmtId="0" fontId="238" fillId="0" borderId="21" xfId="0" applyFont="1" applyBorder="1" applyAlignment="1">
      <alignment horizontal="center" vertical="center"/>
    </xf>
    <xf numFmtId="0" fontId="18" fillId="0" borderId="0" xfId="6" applyFont="1" applyAlignment="1">
      <alignment horizontal="center" vertical="center"/>
    </xf>
    <xf numFmtId="0" fontId="9" fillId="0" borderId="0" xfId="3" applyAlignment="1">
      <alignment horizontal="center" vertical="center"/>
    </xf>
    <xf numFmtId="0" fontId="18" fillId="4" borderId="0" xfId="3" applyFont="1" applyFill="1" applyBorder="1" applyAlignment="1">
      <alignment horizontal="center" vertical="top"/>
    </xf>
    <xf numFmtId="0" fontId="18" fillId="0" borderId="0" xfId="3" applyFont="1" applyBorder="1" applyAlignment="1">
      <alignment horizontal="center" vertical="center" wrapText="1"/>
    </xf>
    <xf numFmtId="0" fontId="9" fillId="0" borderId="0" xfId="3" applyAlignment="1">
      <alignment horizontal="center" vertical="center" wrapText="1"/>
    </xf>
    <xf numFmtId="0" fontId="18" fillId="3" borderId="6" xfId="6" applyFont="1" applyFill="1" applyBorder="1" applyAlignment="1">
      <alignment horizontal="center" vertical="center"/>
    </xf>
    <xf numFmtId="0" fontId="18" fillId="3" borderId="52" xfId="6" applyFont="1" applyFill="1" applyBorder="1" applyAlignment="1">
      <alignment horizontal="center" vertical="center"/>
    </xf>
    <xf numFmtId="0" fontId="18" fillId="3" borderId="8" xfId="6" applyFont="1" applyFill="1" applyBorder="1" applyAlignment="1">
      <alignment horizontal="center" vertical="center"/>
    </xf>
    <xf numFmtId="0" fontId="18" fillId="3" borderId="12" xfId="6" applyFont="1" applyFill="1" applyBorder="1" applyAlignment="1">
      <alignment horizontal="center" vertical="center" wrapText="1"/>
    </xf>
    <xf numFmtId="0" fontId="18" fillId="3" borderId="59" xfId="6" applyFont="1" applyFill="1" applyBorder="1" applyAlignment="1">
      <alignment horizontal="center" vertical="center" wrapText="1"/>
    </xf>
    <xf numFmtId="0" fontId="18" fillId="3" borderId="13" xfId="6" applyFont="1" applyFill="1" applyBorder="1" applyAlignment="1">
      <alignment horizontal="center" vertical="center" wrapText="1"/>
    </xf>
    <xf numFmtId="0" fontId="18" fillId="3" borderId="15" xfId="6" applyFont="1" applyFill="1" applyBorder="1" applyAlignment="1">
      <alignment horizontal="center" vertical="center" wrapText="1"/>
    </xf>
    <xf numFmtId="0" fontId="18" fillId="3" borderId="17" xfId="6" applyFont="1" applyFill="1" applyBorder="1" applyAlignment="1">
      <alignment horizontal="center" vertical="center" wrapText="1"/>
    </xf>
    <xf numFmtId="0" fontId="18" fillId="3" borderId="16" xfId="6" applyFont="1" applyFill="1" applyBorder="1" applyAlignment="1">
      <alignment horizontal="center" vertical="center" wrapText="1"/>
    </xf>
    <xf numFmtId="0" fontId="18" fillId="3" borderId="54" xfId="6" applyFont="1" applyFill="1" applyBorder="1" applyAlignment="1">
      <alignment horizontal="center" vertical="center" wrapText="1"/>
    </xf>
    <xf numFmtId="0" fontId="18" fillId="3" borderId="56" xfId="6" applyFont="1" applyFill="1" applyBorder="1" applyAlignment="1">
      <alignment horizontal="center" vertical="center" wrapText="1"/>
    </xf>
    <xf numFmtId="0" fontId="18" fillId="4" borderId="6" xfId="3" applyFont="1" applyFill="1" applyBorder="1" applyAlignment="1">
      <alignment horizontal="left" vertical="center"/>
    </xf>
    <xf numFmtId="0" fontId="18" fillId="4" borderId="0" xfId="5" applyFont="1" applyFill="1" applyAlignment="1">
      <alignment horizontal="center" vertical="center"/>
    </xf>
    <xf numFmtId="0" fontId="18" fillId="4" borderId="0" xfId="3" applyFont="1" applyFill="1" applyBorder="1" applyAlignment="1">
      <alignment horizontal="center" vertical="center"/>
    </xf>
    <xf numFmtId="0" fontId="18" fillId="3" borderId="3" xfId="6" applyFont="1" applyFill="1" applyBorder="1" applyAlignment="1">
      <alignment horizontal="center" vertical="center"/>
    </xf>
    <xf numFmtId="0" fontId="0" fillId="0" borderId="1" xfId="0" applyBorder="1" applyAlignment="1">
      <alignment horizontal="center"/>
    </xf>
    <xf numFmtId="0" fontId="0" fillId="0" borderId="3" xfId="0" applyBorder="1" applyAlignment="1">
      <alignment horizontal="center"/>
    </xf>
    <xf numFmtId="0" fontId="0" fillId="0" borderId="8" xfId="0"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25" xfId="0" applyFont="1" applyBorder="1" applyAlignment="1">
      <alignment horizontal="center"/>
    </xf>
    <xf numFmtId="0" fontId="3" fillId="0" borderId="28" xfId="0" applyFont="1" applyBorder="1" applyAlignment="1">
      <alignment horizontal="center"/>
    </xf>
    <xf numFmtId="0" fontId="3" fillId="0" borderId="5" xfId="0" applyFont="1" applyBorder="1" applyAlignment="1">
      <alignment horizontal="center"/>
    </xf>
    <xf numFmtId="0" fontId="3" fillId="0" borderId="29" xfId="0" applyFont="1" applyBorder="1" applyAlignment="1">
      <alignment horizontal="center"/>
    </xf>
    <xf numFmtId="0" fontId="212" fillId="3" borderId="6" xfId="121" applyFont="1" applyFill="1" applyBorder="1" applyAlignment="1">
      <alignment horizontal="center"/>
    </xf>
    <xf numFmtId="0" fontId="15" fillId="3" borderId="6" xfId="78" applyFont="1" applyFill="1" applyBorder="1" applyAlignment="1">
      <alignment horizontal="center" vertical="center" wrapText="1"/>
    </xf>
    <xf numFmtId="0" fontId="15" fillId="3" borderId="52" xfId="78" applyFont="1" applyFill="1" applyBorder="1" applyAlignment="1">
      <alignment horizontal="center" vertical="center"/>
    </xf>
    <xf numFmtId="0" fontId="15" fillId="3" borderId="8" xfId="78" applyFont="1" applyFill="1" applyBorder="1" applyAlignment="1">
      <alignment horizontal="center" vertical="center"/>
    </xf>
    <xf numFmtId="0" fontId="15" fillId="3" borderId="6" xfId="78" applyFont="1" applyFill="1" applyBorder="1" applyAlignment="1">
      <alignment horizontal="center" vertical="center"/>
    </xf>
    <xf numFmtId="0" fontId="15" fillId="3" borderId="52" xfId="78" applyFont="1" applyFill="1" applyBorder="1" applyAlignment="1">
      <alignment horizontal="center" vertical="center" wrapText="1"/>
    </xf>
    <xf numFmtId="0" fontId="15" fillId="3" borderId="8" xfId="78" applyFont="1" applyFill="1" applyBorder="1" applyAlignment="1">
      <alignment horizontal="center" vertical="center" wrapText="1"/>
    </xf>
    <xf numFmtId="0" fontId="15" fillId="3" borderId="54" xfId="78" applyFont="1" applyFill="1" applyBorder="1" applyAlignment="1">
      <alignment horizontal="center" vertical="center"/>
    </xf>
    <xf numFmtId="0" fontId="15" fillId="3" borderId="56" xfId="78" applyFont="1" applyFill="1" applyBorder="1" applyAlignment="1">
      <alignment horizontal="center" vertical="center"/>
    </xf>
    <xf numFmtId="0" fontId="18" fillId="0" borderId="6" xfId="0" applyFont="1" applyBorder="1" applyAlignment="1">
      <alignment horizontal="center"/>
    </xf>
    <xf numFmtId="0" fontId="82" fillId="0" borderId="6" xfId="0" applyFont="1" applyBorder="1" applyAlignment="1">
      <alignment horizontal="center" vertical="center"/>
    </xf>
    <xf numFmtId="0" fontId="18" fillId="4" borderId="6" xfId="257" applyFont="1" applyFill="1" applyBorder="1" applyAlignment="1">
      <alignment horizontal="center" vertical="center"/>
    </xf>
    <xf numFmtId="0" fontId="18" fillId="0" borderId="6" xfId="0" applyFont="1" applyBorder="1" applyAlignment="1">
      <alignment horizontal="center" vertical="center"/>
    </xf>
    <xf numFmtId="0" fontId="117" fillId="61" borderId="54" xfId="0" applyFont="1" applyFill="1" applyBorder="1" applyAlignment="1">
      <alignment horizontal="center" vertical="center"/>
    </xf>
    <xf numFmtId="0" fontId="117" fillId="61" borderId="56" xfId="0" applyFont="1" applyFill="1" applyBorder="1" applyAlignment="1">
      <alignment horizontal="center" vertical="center"/>
    </xf>
    <xf numFmtId="0" fontId="0" fillId="61" borderId="6" xfId="0" applyFont="1" applyFill="1" applyBorder="1" applyAlignment="1">
      <alignment horizontal="center" vertical="center"/>
    </xf>
    <xf numFmtId="0" fontId="117" fillId="61" borderId="6" xfId="0" applyFont="1" applyFill="1" applyBorder="1" applyAlignment="1">
      <alignment horizontal="center" vertical="center"/>
    </xf>
    <xf numFmtId="0" fontId="117" fillId="3" borderId="6" xfId="0" applyFont="1" applyFill="1" applyBorder="1" applyAlignment="1">
      <alignment horizontal="center" vertical="center"/>
    </xf>
    <xf numFmtId="0" fontId="0" fillId="0" borderId="6" xfId="0" applyFont="1" applyBorder="1" applyAlignment="1">
      <alignment horizontal="center" vertical="center"/>
    </xf>
    <xf numFmtId="0" fontId="117" fillId="3" borderId="54" xfId="0" applyFont="1" applyFill="1" applyBorder="1" applyAlignment="1">
      <alignment horizontal="center" vertical="center"/>
    </xf>
    <xf numFmtId="0" fontId="117" fillId="3" borderId="56" xfId="0" applyFont="1" applyFill="1" applyBorder="1" applyAlignment="1">
      <alignment horizontal="center" vertical="center"/>
    </xf>
    <xf numFmtId="0" fontId="117" fillId="3" borderId="55" xfId="0" applyFont="1" applyFill="1" applyBorder="1" applyAlignment="1">
      <alignment horizontal="center" vertical="center"/>
    </xf>
    <xf numFmtId="0" fontId="117" fillId="3" borderId="6" xfId="0" applyFont="1" applyFill="1" applyBorder="1" applyAlignment="1">
      <alignment horizontal="center" vertical="center" wrapText="1"/>
    </xf>
    <xf numFmtId="0" fontId="6" fillId="0" borderId="6" xfId="0" applyFont="1" applyBorder="1" applyAlignment="1">
      <alignment horizontal="center"/>
    </xf>
    <xf numFmtId="0" fontId="3" fillId="0" borderId="6" xfId="0" applyFont="1" applyBorder="1" applyAlignment="1">
      <alignment horizontal="center"/>
    </xf>
    <xf numFmtId="0" fontId="6" fillId="4" borderId="6" xfId="257" applyFont="1" applyFill="1" applyBorder="1" applyAlignment="1">
      <alignment horizontal="center" vertical="center"/>
    </xf>
    <xf numFmtId="0" fontId="81" fillId="0" borderId="6" xfId="0" applyFont="1" applyBorder="1" applyAlignment="1">
      <alignment vertical="center"/>
    </xf>
    <xf numFmtId="0" fontId="82" fillId="3" borderId="52" xfId="0" applyFont="1" applyFill="1" applyBorder="1" applyAlignment="1">
      <alignment horizontal="center" vertical="center"/>
    </xf>
    <xf numFmtId="0" fontId="82" fillId="3" borderId="8" xfId="0" applyFont="1" applyFill="1" applyBorder="1" applyAlignment="1">
      <alignment horizontal="center" vertical="center"/>
    </xf>
    <xf numFmtId="0" fontId="82" fillId="3" borderId="12" xfId="0" applyFont="1" applyFill="1" applyBorder="1" applyAlignment="1">
      <alignment horizontal="center" vertical="center"/>
    </xf>
    <xf numFmtId="0" fontId="82" fillId="3" borderId="59" xfId="0" applyFont="1" applyFill="1" applyBorder="1" applyAlignment="1">
      <alignment horizontal="center" vertical="center"/>
    </xf>
    <xf numFmtId="0" fontId="82" fillId="3" borderId="13" xfId="0" applyFont="1" applyFill="1" applyBorder="1" applyAlignment="1">
      <alignment horizontal="center" vertical="center"/>
    </xf>
    <xf numFmtId="0" fontId="82" fillId="3" borderId="15" xfId="0" applyFont="1" applyFill="1" applyBorder="1" applyAlignment="1">
      <alignment horizontal="center" vertical="center"/>
    </xf>
    <xf numFmtId="0" fontId="82" fillId="3" borderId="17" xfId="0" applyFont="1" applyFill="1" applyBorder="1" applyAlignment="1">
      <alignment horizontal="center" vertical="center"/>
    </xf>
    <xf numFmtId="0" fontId="82" fillId="3" borderId="16" xfId="0" applyFont="1" applyFill="1" applyBorder="1" applyAlignment="1">
      <alignment horizontal="center" vertical="center"/>
    </xf>
    <xf numFmtId="0" fontId="18" fillId="4" borderId="0" xfId="5" applyFont="1" applyFill="1" applyBorder="1" applyAlignment="1">
      <alignment horizontal="center" vertical="center"/>
    </xf>
    <xf numFmtId="0" fontId="82" fillId="3" borderId="54" xfId="0" applyFont="1" applyFill="1" applyBorder="1" applyAlignment="1">
      <alignment horizontal="center" vertical="center"/>
    </xf>
    <xf numFmtId="0" fontId="82" fillId="3" borderId="56" xfId="0" applyFont="1" applyFill="1" applyBorder="1" applyAlignment="1">
      <alignment horizontal="center" vertical="center"/>
    </xf>
    <xf numFmtId="0" fontId="82" fillId="0" borderId="0" xfId="0" applyFont="1" applyBorder="1" applyAlignment="1">
      <alignment horizontal="center"/>
    </xf>
    <xf numFmtId="0" fontId="82" fillId="3" borderId="6" xfId="0" applyFont="1" applyFill="1" applyBorder="1" applyAlignment="1">
      <alignment horizontal="center" vertical="center"/>
    </xf>
    <xf numFmtId="0" fontId="82" fillId="0" borderId="0" xfId="0" applyFont="1" applyBorder="1" applyAlignment="1">
      <alignment horizontal="center" wrapText="1"/>
    </xf>
    <xf numFmtId="0" fontId="82" fillId="3" borderId="3" xfId="0" applyFont="1" applyFill="1" applyBorder="1" applyAlignment="1">
      <alignment horizontal="center" vertical="center"/>
    </xf>
    <xf numFmtId="0" fontId="82" fillId="3" borderId="52" xfId="0" applyFont="1" applyFill="1" applyBorder="1" applyAlignment="1">
      <alignment horizontal="center" vertical="center" wrapText="1"/>
    </xf>
    <xf numFmtId="0" fontId="82" fillId="3" borderId="3" xfId="0" applyFont="1" applyFill="1" applyBorder="1" applyAlignment="1">
      <alignment horizontal="center" vertical="center" wrapText="1"/>
    </xf>
    <xf numFmtId="0" fontId="82" fillId="3" borderId="8" xfId="0" applyFont="1" applyFill="1" applyBorder="1" applyAlignment="1">
      <alignment horizontal="center" vertical="center" wrapText="1"/>
    </xf>
    <xf numFmtId="0" fontId="17" fillId="0" borderId="6" xfId="114" applyFont="1" applyBorder="1" applyAlignment="1"/>
    <xf numFmtId="0" fontId="9" fillId="0" borderId="6" xfId="114" applyBorder="1" applyAlignment="1"/>
    <xf numFmtId="0" fontId="12" fillId="0" borderId="0" xfId="114" applyFont="1" applyBorder="1" applyAlignment="1">
      <alignment horizontal="center" vertical="center"/>
    </xf>
    <xf numFmtId="0" fontId="9" fillId="0" borderId="0" xfId="114" applyFont="1" applyAlignment="1">
      <alignment horizontal="center" vertical="center"/>
    </xf>
    <xf numFmtId="0" fontId="17" fillId="5" borderId="6" xfId="114" applyFont="1" applyFill="1" applyBorder="1" applyAlignment="1">
      <alignment horizontal="center" vertical="center" wrapText="1"/>
    </xf>
    <xf numFmtId="0" fontId="17" fillId="5" borderId="6" xfId="114" applyFont="1" applyFill="1" applyBorder="1" applyAlignment="1">
      <alignment horizontal="center"/>
    </xf>
    <xf numFmtId="16" fontId="17" fillId="5" borderId="6" xfId="114" applyNumberFormat="1" applyFont="1" applyFill="1" applyBorder="1" applyAlignment="1">
      <alignment horizontal="center" vertical="center" wrapText="1"/>
    </xf>
    <xf numFmtId="0" fontId="9" fillId="0" borderId="6" xfId="114" applyBorder="1" applyAlignment="1">
      <alignment horizontal="center" vertical="center" wrapText="1"/>
    </xf>
    <xf numFmtId="0" fontId="17" fillId="0" borderId="12" xfId="114" applyFont="1" applyBorder="1" applyAlignment="1">
      <alignment horizontal="center" vertical="center" textRotation="45" wrapText="1"/>
    </xf>
    <xf numFmtId="0" fontId="17" fillId="0" borderId="13" xfId="114" quotePrefix="1" applyFont="1" applyBorder="1" applyAlignment="1">
      <alignment horizontal="center" vertical="center" textRotation="45" wrapText="1"/>
    </xf>
    <xf numFmtId="0" fontId="17" fillId="0" borderId="106" xfId="114" quotePrefix="1" applyFont="1" applyBorder="1" applyAlignment="1">
      <alignment horizontal="center" vertical="center" textRotation="45" wrapText="1"/>
    </xf>
    <xf numFmtId="0" fontId="17" fillId="0" borderId="14" xfId="114" quotePrefix="1" applyFont="1" applyBorder="1" applyAlignment="1">
      <alignment horizontal="center" vertical="center" textRotation="45" wrapText="1"/>
    </xf>
    <xf numFmtId="0" fontId="17" fillId="0" borderId="15" xfId="114" quotePrefix="1" applyFont="1" applyBorder="1" applyAlignment="1">
      <alignment horizontal="center" vertical="center" textRotation="45" wrapText="1"/>
    </xf>
    <xf numFmtId="0" fontId="17" fillId="0" borderId="16" xfId="114" quotePrefix="1" applyFont="1" applyBorder="1" applyAlignment="1">
      <alignment horizontal="center" vertical="center" textRotation="45" wrapText="1"/>
    </xf>
    <xf numFmtId="0" fontId="17" fillId="0" borderId="6" xfId="114" applyFont="1" applyBorder="1" applyAlignment="1">
      <alignment horizontal="center" vertical="center" textRotation="45" wrapText="1"/>
    </xf>
    <xf numFmtId="0" fontId="17" fillId="0" borderId="6" xfId="114" quotePrefix="1" applyFont="1" applyBorder="1" applyAlignment="1">
      <alignment horizontal="center" vertical="center" textRotation="45" wrapText="1"/>
    </xf>
    <xf numFmtId="0" fontId="14" fillId="0" borderId="6" xfId="114" applyFont="1" applyBorder="1" applyAlignment="1"/>
    <xf numFmtId="0" fontId="127" fillId="0" borderId="6" xfId="114" applyFont="1" applyFill="1" applyBorder="1" applyAlignment="1"/>
    <xf numFmtId="0" fontId="17" fillId="0" borderId="6" xfId="114" quotePrefix="1" applyFont="1" applyBorder="1" applyAlignment="1">
      <alignment horizontal="center" vertical="top" wrapText="1"/>
    </xf>
    <xf numFmtId="0" fontId="9" fillId="0" borderId="6" xfId="114" applyBorder="1" applyAlignment="1">
      <alignment horizontal="center" vertical="top" wrapText="1"/>
    </xf>
    <xf numFmtId="0" fontId="17" fillId="0" borderId="6" xfId="114" applyFont="1" applyBorder="1" applyAlignment="1">
      <alignment horizontal="right"/>
    </xf>
    <xf numFmtId="0" fontId="9" fillId="0" borderId="6" xfId="114" applyBorder="1" applyAlignment="1">
      <alignment horizontal="right"/>
    </xf>
    <xf numFmtId="0" fontId="117" fillId="3" borderId="54" xfId="0" applyFont="1" applyFill="1" applyBorder="1" applyAlignment="1">
      <alignment horizontal="center" vertical="center" wrapText="1"/>
    </xf>
    <xf numFmtId="0" fontId="117" fillId="3" borderId="55" xfId="0" applyFont="1" applyFill="1" applyBorder="1" applyAlignment="1">
      <alignment horizontal="center" vertical="center" wrapText="1"/>
    </xf>
    <xf numFmtId="0" fontId="117" fillId="3" borderId="56" xfId="0" applyFont="1" applyFill="1" applyBorder="1" applyAlignment="1">
      <alignment horizontal="center" vertical="center" wrapText="1"/>
    </xf>
    <xf numFmtId="0" fontId="17" fillId="3" borderId="6" xfId="9" applyFont="1" applyFill="1" applyBorder="1" applyAlignment="1">
      <alignment horizontal="center" vertical="center" wrapText="1"/>
    </xf>
    <xf numFmtId="0" fontId="17" fillId="3" borderId="6" xfId="5" applyFont="1" applyFill="1" applyBorder="1" applyAlignment="1">
      <alignment horizontal="center" vertical="center" wrapText="1"/>
    </xf>
    <xf numFmtId="0" fontId="82" fillId="3" borderId="6" xfId="0" applyFont="1" applyFill="1" applyBorder="1" applyAlignment="1">
      <alignment horizontal="center" vertical="center" wrapText="1"/>
    </xf>
    <xf numFmtId="164" fontId="81" fillId="0" borderId="52" xfId="486" applyFont="1" applyBorder="1" applyAlignment="1">
      <alignment horizontal="center" vertical="center" wrapText="1"/>
    </xf>
    <xf numFmtId="164" fontId="81" fillId="0" borderId="3" xfId="486" applyFont="1" applyBorder="1" applyAlignment="1">
      <alignment horizontal="center" vertical="center" wrapText="1"/>
    </xf>
    <xf numFmtId="0" fontId="82" fillId="0" borderId="6" xfId="0" applyFont="1" applyBorder="1" applyAlignment="1">
      <alignment horizontal="center"/>
    </xf>
    <xf numFmtId="0" fontId="82" fillId="3" borderId="54" xfId="0" applyFont="1" applyFill="1" applyBorder="1" applyAlignment="1">
      <alignment horizontal="center" vertical="center" wrapText="1"/>
    </xf>
    <xf numFmtId="0" fontId="82" fillId="3" borderId="55" xfId="0" applyFont="1" applyFill="1" applyBorder="1" applyAlignment="1">
      <alignment horizontal="center" vertical="center" wrapText="1"/>
    </xf>
    <xf numFmtId="0" fontId="82" fillId="3" borderId="56" xfId="0" applyFont="1" applyFill="1" applyBorder="1" applyAlignment="1">
      <alignment horizontal="center" vertical="center" wrapText="1"/>
    </xf>
    <xf numFmtId="0" fontId="82" fillId="0" borderId="17" xfId="0" applyFont="1" applyBorder="1" applyAlignment="1">
      <alignment horizontal="center"/>
    </xf>
    <xf numFmtId="0" fontId="81" fillId="0" borderId="0" xfId="0" applyFont="1" applyFill="1" applyAlignment="1">
      <alignment horizontal="left" wrapText="1"/>
    </xf>
    <xf numFmtId="0" fontId="81" fillId="0" borderId="0" xfId="0" applyFont="1" applyAlignment="1">
      <alignment horizontal="left" wrapText="1"/>
    </xf>
    <xf numFmtId="0" fontId="82" fillId="0" borderId="20" xfId="0" applyFont="1" applyBorder="1" applyAlignment="1">
      <alignment horizontal="center"/>
    </xf>
    <xf numFmtId="0" fontId="82" fillId="0" borderId="21" xfId="0" applyFont="1" applyBorder="1" applyAlignment="1">
      <alignment horizontal="center"/>
    </xf>
    <xf numFmtId="0" fontId="82" fillId="0" borderId="22" xfId="0" applyFont="1" applyBorder="1" applyAlignment="1">
      <alignment horizontal="center"/>
    </xf>
    <xf numFmtId="0" fontId="81" fillId="0" borderId="0" xfId="0" applyFont="1" applyFill="1" applyBorder="1" applyAlignment="1">
      <alignment horizontal="left" vertical="center" wrapText="1"/>
    </xf>
    <xf numFmtId="0" fontId="81" fillId="0" borderId="0" xfId="0" applyFont="1" applyAlignment="1">
      <alignment horizontal="left" vertical="top" wrapText="1"/>
    </xf>
    <xf numFmtId="0" fontId="83" fillId="0" borderId="0" xfId="0" applyFont="1" applyAlignment="1">
      <alignment horizontal="center"/>
    </xf>
    <xf numFmtId="0" fontId="82" fillId="0" borderId="0" xfId="0" applyFont="1" applyAlignment="1">
      <alignment horizontal="center"/>
    </xf>
    <xf numFmtId="0" fontId="81" fillId="4" borderId="0" xfId="0" applyFont="1" applyFill="1" applyBorder="1" applyAlignment="1">
      <alignment horizontal="center" vertical="center"/>
    </xf>
    <xf numFmtId="0" fontId="81" fillId="0" borderId="0" xfId="0" applyFont="1" applyFill="1" applyBorder="1" applyAlignment="1">
      <alignment horizontal="left" vertical="top" wrapText="1"/>
    </xf>
    <xf numFmtId="0" fontId="82" fillId="4" borderId="0" xfId="0" applyFont="1" applyFill="1" applyBorder="1" applyAlignment="1">
      <alignment horizontal="center" vertical="center" wrapText="1"/>
    </xf>
    <xf numFmtId="0" fontId="82" fillId="3" borderId="54" xfId="0" applyFont="1" applyFill="1" applyBorder="1" applyAlignment="1">
      <alignment horizontal="center" vertical="top" wrapText="1"/>
    </xf>
    <xf numFmtId="0" fontId="82" fillId="3" borderId="55" xfId="0" applyFont="1" applyFill="1" applyBorder="1" applyAlignment="1">
      <alignment horizontal="center" vertical="top" wrapText="1"/>
    </xf>
    <xf numFmtId="0" fontId="82" fillId="3" borderId="56" xfId="0" applyFont="1" applyFill="1" applyBorder="1" applyAlignment="1">
      <alignment horizontal="center" vertical="top" wrapText="1"/>
    </xf>
    <xf numFmtId="0" fontId="82" fillId="3" borderId="6" xfId="0" applyFont="1" applyFill="1" applyBorder="1" applyAlignment="1">
      <alignment horizontal="center" vertical="top" wrapText="1"/>
    </xf>
    <xf numFmtId="0" fontId="81" fillId="0" borderId="0" xfId="0" applyFont="1" applyFill="1" applyBorder="1" applyAlignment="1">
      <alignment horizontal="left" wrapText="1"/>
    </xf>
    <xf numFmtId="0" fontId="82" fillId="0" borderId="23" xfId="0" applyFont="1" applyBorder="1" applyAlignment="1">
      <alignment horizontal="center"/>
    </xf>
    <xf numFmtId="0" fontId="82" fillId="0" borderId="24" xfId="0" applyFont="1" applyBorder="1" applyAlignment="1">
      <alignment horizontal="center"/>
    </xf>
    <xf numFmtId="0" fontId="82" fillId="0" borderId="25" xfId="0" applyFont="1" applyBorder="1" applyAlignment="1">
      <alignment horizontal="center"/>
    </xf>
    <xf numFmtId="0" fontId="81" fillId="0" borderId="0" xfId="0" applyFont="1" applyBorder="1" applyAlignment="1">
      <alignment horizontal="left" vertical="center" wrapText="1"/>
    </xf>
    <xf numFmtId="0" fontId="82" fillId="0" borderId="54" xfId="0" applyFont="1" applyBorder="1" applyAlignment="1">
      <alignment horizontal="center"/>
    </xf>
    <xf numFmtId="0" fontId="82" fillId="0" borderId="55" xfId="0" applyFont="1" applyBorder="1" applyAlignment="1">
      <alignment horizontal="center"/>
    </xf>
    <xf numFmtId="0" fontId="82" fillId="0" borderId="56" xfId="0" applyFont="1" applyBorder="1" applyAlignment="1">
      <alignment horizontal="center"/>
    </xf>
    <xf numFmtId="0" fontId="81" fillId="0" borderId="0" xfId="0" applyNumberFormat="1" applyFont="1" applyAlignment="1">
      <alignment horizontal="left" vertical="top" wrapText="1"/>
    </xf>
    <xf numFmtId="0" fontId="81" fillId="0" borderId="0" xfId="0" applyFont="1" applyAlignment="1">
      <alignment horizontal="left" vertical="top"/>
    </xf>
    <xf numFmtId="0" fontId="223" fillId="71" borderId="37" xfId="0" applyFont="1" applyFill="1" applyBorder="1" applyAlignment="1">
      <alignment horizontal="center" vertical="top" wrapText="1"/>
    </xf>
    <xf numFmtId="0" fontId="223" fillId="71" borderId="38" xfId="0" applyFont="1" applyFill="1" applyBorder="1" applyAlignment="1">
      <alignment horizontal="center" vertical="top" wrapText="1"/>
    </xf>
    <xf numFmtId="0" fontId="223" fillId="71" borderId="195" xfId="0" applyFont="1" applyFill="1" applyBorder="1" applyAlignment="1">
      <alignment horizontal="center" vertical="top" wrapText="1"/>
    </xf>
    <xf numFmtId="0" fontId="82" fillId="3" borderId="54" xfId="0" quotePrefix="1" applyFont="1" applyFill="1" applyBorder="1" applyAlignment="1">
      <alignment horizontal="center" vertical="top" wrapText="1"/>
    </xf>
    <xf numFmtId="0" fontId="223" fillId="71" borderId="20" xfId="0" applyFont="1" applyFill="1" applyBorder="1" applyAlignment="1">
      <alignment horizontal="center" vertical="top"/>
    </xf>
    <xf numFmtId="0" fontId="223" fillId="71" borderId="21" xfId="0" applyFont="1" applyFill="1" applyBorder="1" applyAlignment="1">
      <alignment horizontal="center" vertical="top"/>
    </xf>
    <xf numFmtId="0" fontId="223" fillId="71" borderId="22" xfId="0" applyFont="1" applyFill="1" applyBorder="1" applyAlignment="1">
      <alignment horizontal="center" vertical="top"/>
    </xf>
    <xf numFmtId="0" fontId="223" fillId="71" borderId="39" xfId="0" applyFont="1" applyFill="1" applyBorder="1" applyAlignment="1">
      <alignment horizontal="center" vertical="top" wrapText="1"/>
    </xf>
    <xf numFmtId="0" fontId="234" fillId="0" borderId="0" xfId="0" applyFont="1" applyAlignment="1">
      <alignment horizontal="center" vertical="top"/>
    </xf>
    <xf numFmtId="0" fontId="8" fillId="0" borderId="0" xfId="0" applyFont="1" applyAlignment="1">
      <alignment horizontal="center" vertical="top"/>
    </xf>
    <xf numFmtId="0" fontId="82" fillId="0" borderId="6" xfId="0" applyFont="1" applyBorder="1" applyAlignment="1">
      <alignment horizontal="center" vertical="top"/>
    </xf>
    <xf numFmtId="0" fontId="82" fillId="3" borderId="6" xfId="0" applyFont="1" applyFill="1" applyBorder="1" applyAlignment="1">
      <alignment horizontal="center" vertical="top"/>
    </xf>
    <xf numFmtId="0" fontId="117" fillId="61" borderId="52" xfId="0" applyFont="1" applyFill="1" applyBorder="1" applyAlignment="1">
      <alignment horizontal="center" vertical="center"/>
    </xf>
    <xf numFmtId="0" fontId="117" fillId="61" borderId="8" xfId="0" applyFont="1" applyFill="1" applyBorder="1" applyAlignment="1">
      <alignment horizontal="center" vertical="center"/>
    </xf>
    <xf numFmtId="0" fontId="222" fillId="68" borderId="6" xfId="0" applyFont="1" applyFill="1" applyBorder="1" applyAlignment="1">
      <alignment horizontal="center" wrapText="1"/>
    </xf>
    <xf numFmtId="0" fontId="223" fillId="0" borderId="6" xfId="0" applyFont="1" applyBorder="1" applyAlignment="1">
      <alignment horizontal="center"/>
    </xf>
    <xf numFmtId="0" fontId="117" fillId="39" borderId="6" xfId="112" applyFont="1" applyFill="1" applyBorder="1" applyAlignment="1">
      <alignment horizontal="center" vertical="center"/>
    </xf>
    <xf numFmtId="0" fontId="3" fillId="39" borderId="52" xfId="0" applyFont="1" applyFill="1" applyBorder="1" applyAlignment="1">
      <alignment horizontal="center" vertical="center" wrapText="1"/>
    </xf>
    <xf numFmtId="0" fontId="3" fillId="39" borderId="8" xfId="0" applyFont="1" applyFill="1" applyBorder="1" applyAlignment="1">
      <alignment horizontal="center" vertical="center" wrapText="1"/>
    </xf>
    <xf numFmtId="0" fontId="117" fillId="69" borderId="6" xfId="112" applyFont="1" applyFill="1" applyBorder="1" applyAlignment="1">
      <alignment horizontal="center"/>
    </xf>
    <xf numFmtId="0" fontId="17" fillId="0" borderId="0" xfId="489" applyFont="1" applyBorder="1" applyAlignment="1">
      <alignment horizontal="center"/>
    </xf>
    <xf numFmtId="0" fontId="17" fillId="0" borderId="0" xfId="490" applyFont="1" applyAlignment="1">
      <alignment horizontal="center" vertical="center"/>
    </xf>
    <xf numFmtId="0" fontId="17" fillId="2" borderId="0" xfId="489" applyFont="1" applyFill="1" applyBorder="1" applyAlignment="1">
      <alignment horizontal="center" vertical="center"/>
    </xf>
    <xf numFmtId="0" fontId="17" fillId="0" borderId="0" xfId="489" applyFont="1" applyBorder="1" applyAlignment="1">
      <alignment horizontal="center" vertical="center"/>
    </xf>
    <xf numFmtId="16" fontId="0" fillId="0" borderId="6" xfId="0" applyNumberFormat="1" applyFont="1" applyBorder="1" applyAlignment="1">
      <alignment horizontal="center" vertical="center"/>
    </xf>
    <xf numFmtId="0" fontId="3" fillId="39" borderId="54" xfId="0" applyFont="1" applyFill="1" applyBorder="1" applyAlignment="1">
      <alignment horizontal="center" vertical="center" wrapText="1"/>
    </xf>
    <xf numFmtId="0" fontId="3" fillId="39" borderId="56" xfId="0" applyFont="1" applyFill="1" applyBorder="1" applyAlignment="1">
      <alignment horizontal="center" vertical="center" wrapText="1"/>
    </xf>
    <xf numFmtId="0" fontId="3" fillId="39" borderId="6" xfId="0" applyFont="1" applyFill="1" applyBorder="1" applyAlignment="1">
      <alignment horizontal="center" vertical="center" wrapText="1"/>
    </xf>
    <xf numFmtId="0" fontId="0" fillId="0" borderId="6" xfId="0" applyBorder="1" applyAlignment="1">
      <alignment horizontal="center" vertical="center"/>
    </xf>
    <xf numFmtId="16" fontId="0" fillId="0" borderId="6" xfId="0" applyNumberFormat="1" applyBorder="1" applyAlignment="1">
      <alignment horizontal="center" vertical="center"/>
    </xf>
    <xf numFmtId="0" fontId="242" fillId="39" borderId="52" xfId="3" applyFont="1" applyFill="1" applyBorder="1" applyAlignment="1">
      <alignment horizontal="center" vertical="center" wrapText="1"/>
    </xf>
    <xf numFmtId="0" fontId="242" fillId="39" borderId="3" xfId="3" applyFont="1" applyFill="1" applyBorder="1" applyAlignment="1">
      <alignment horizontal="center" vertical="center" wrapText="1"/>
    </xf>
    <xf numFmtId="0" fontId="242" fillId="39" borderId="8" xfId="3" applyFont="1" applyFill="1" applyBorder="1" applyAlignment="1">
      <alignment horizontal="center" vertical="center" wrapText="1"/>
    </xf>
    <xf numFmtId="0" fontId="3" fillId="39" borderId="3" xfId="0" applyFont="1" applyFill="1" applyBorder="1" applyAlignment="1">
      <alignment horizontal="center" vertical="center" wrapText="1"/>
    </xf>
    <xf numFmtId="0" fontId="3" fillId="39" borderId="52" xfId="0" applyFont="1" applyFill="1" applyBorder="1" applyAlignment="1">
      <alignment horizontal="center" vertical="center"/>
    </xf>
    <xf numFmtId="0" fontId="3" fillId="39" borderId="3" xfId="0" applyFont="1" applyFill="1" applyBorder="1" applyAlignment="1">
      <alignment horizontal="center" vertical="center"/>
    </xf>
    <xf numFmtId="0" fontId="3" fillId="39" borderId="8" xfId="0" applyFont="1" applyFill="1" applyBorder="1" applyAlignment="1">
      <alignment horizontal="center" vertical="center"/>
    </xf>
    <xf numFmtId="0" fontId="3" fillId="39" borderId="13" xfId="0" applyFont="1" applyFill="1" applyBorder="1" applyAlignment="1">
      <alignment horizontal="center" vertical="center" wrapText="1"/>
    </xf>
    <xf numFmtId="0" fontId="3" fillId="39" borderId="14" xfId="0" applyFont="1" applyFill="1" applyBorder="1" applyAlignment="1">
      <alignment horizontal="center" vertical="center" wrapText="1"/>
    </xf>
    <xf numFmtId="0" fontId="3" fillId="39" borderId="16" xfId="0" applyFont="1" applyFill="1" applyBorder="1" applyAlignment="1">
      <alignment horizontal="center" vertical="center" wrapText="1"/>
    </xf>
    <xf numFmtId="0" fontId="3" fillId="39" borderId="54" xfId="0" applyFont="1" applyFill="1" applyBorder="1" applyAlignment="1">
      <alignment horizontal="center" vertical="center"/>
    </xf>
    <xf numFmtId="0" fontId="3" fillId="39" borderId="55" xfId="0" applyFont="1" applyFill="1" applyBorder="1" applyAlignment="1">
      <alignment horizontal="center" vertical="center"/>
    </xf>
    <xf numFmtId="0" fontId="3" fillId="39" borderId="56" xfId="0" applyFont="1" applyFill="1" applyBorder="1" applyAlignment="1">
      <alignment horizontal="center" vertical="center"/>
    </xf>
    <xf numFmtId="0" fontId="3" fillId="39" borderId="13" xfId="0" applyFont="1" applyFill="1" applyBorder="1" applyAlignment="1">
      <alignment horizontal="center" vertical="center"/>
    </xf>
    <xf numFmtId="0" fontId="3" fillId="39" borderId="14" xfId="0" applyFont="1" applyFill="1" applyBorder="1" applyAlignment="1">
      <alignment horizontal="center" vertical="center"/>
    </xf>
    <xf numFmtId="0" fontId="3" fillId="39" borderId="16" xfId="0" applyFont="1" applyFill="1" applyBorder="1" applyAlignment="1">
      <alignment horizontal="center" vertical="center"/>
    </xf>
    <xf numFmtId="0" fontId="3" fillId="39" borderId="12" xfId="0" applyFont="1" applyFill="1" applyBorder="1" applyAlignment="1">
      <alignment horizontal="center" vertical="center" wrapText="1"/>
    </xf>
    <xf numFmtId="0" fontId="3" fillId="39" borderId="106" xfId="0" applyFont="1" applyFill="1" applyBorder="1" applyAlignment="1">
      <alignment horizontal="center" vertical="center" wrapText="1"/>
    </xf>
    <xf numFmtId="0" fontId="3" fillId="39" borderId="15" xfId="0" applyFont="1" applyFill="1" applyBorder="1" applyAlignment="1">
      <alignment horizontal="center" vertical="center" wrapText="1"/>
    </xf>
    <xf numFmtId="0" fontId="3" fillId="39" borderId="55" xfId="0" applyFont="1" applyFill="1" applyBorder="1" applyAlignment="1">
      <alignment horizontal="center" vertical="center" wrapText="1"/>
    </xf>
    <xf numFmtId="0" fontId="10" fillId="0" borderId="56" xfId="3" applyFont="1" applyFill="1" applyBorder="1" applyAlignment="1">
      <alignment horizontal="left" vertical="center" wrapText="1"/>
    </xf>
    <xf numFmtId="0" fontId="10" fillId="0" borderId="6" xfId="3" applyFont="1" applyFill="1" applyBorder="1" applyAlignment="1">
      <alignment horizontal="left" vertical="center" wrapText="1"/>
    </xf>
    <xf numFmtId="2" fontId="3" fillId="0" borderId="6" xfId="0" applyNumberFormat="1" applyFont="1" applyFill="1" applyBorder="1" applyAlignment="1">
      <alignment horizontal="center" vertical="center"/>
    </xf>
    <xf numFmtId="0" fontId="10" fillId="0" borderId="54" xfId="3" applyFont="1" applyFill="1" applyBorder="1" applyAlignment="1">
      <alignment horizontal="center" vertical="center" wrapText="1"/>
    </xf>
    <xf numFmtId="0" fontId="10" fillId="0" borderId="55" xfId="3" applyFont="1" applyFill="1" applyBorder="1" applyAlignment="1">
      <alignment horizontal="center" vertical="center" wrapText="1"/>
    </xf>
    <xf numFmtId="0" fontId="10" fillId="0" borderId="56" xfId="3" applyFont="1" applyFill="1" applyBorder="1" applyAlignment="1">
      <alignment horizontal="center" vertical="center" wrapText="1"/>
    </xf>
    <xf numFmtId="2" fontId="3" fillId="0" borderId="54" xfId="0" applyNumberFormat="1" applyFont="1" applyFill="1" applyBorder="1" applyAlignment="1">
      <alignment horizontal="center" vertical="center"/>
    </xf>
    <xf numFmtId="2" fontId="3" fillId="0" borderId="55" xfId="0" applyNumberFormat="1" applyFont="1" applyFill="1" applyBorder="1" applyAlignment="1">
      <alignment horizontal="center" vertical="center"/>
    </xf>
    <xf numFmtId="2" fontId="3" fillId="0" borderId="56" xfId="0" applyNumberFormat="1" applyFont="1" applyFill="1" applyBorder="1" applyAlignment="1">
      <alignment horizontal="center" vertical="center"/>
    </xf>
    <xf numFmtId="43" fontId="3" fillId="0" borderId="6" xfId="0" applyNumberFormat="1" applyFont="1" applyFill="1" applyBorder="1" applyAlignment="1">
      <alignment horizontal="center" vertical="center"/>
    </xf>
    <xf numFmtId="43" fontId="3" fillId="0" borderId="54" xfId="0" applyNumberFormat="1" applyFont="1" applyFill="1" applyBorder="1" applyAlignment="1">
      <alignment horizontal="center" vertical="center"/>
    </xf>
    <xf numFmtId="43" fontId="3" fillId="0" borderId="55" xfId="0" applyNumberFormat="1" applyFont="1" applyFill="1" applyBorder="1" applyAlignment="1">
      <alignment horizontal="center" vertical="center"/>
    </xf>
    <xf numFmtId="43" fontId="3" fillId="0" borderId="56" xfId="0" applyNumberFormat="1" applyFont="1" applyFill="1" applyBorder="1" applyAlignment="1">
      <alignment horizontal="center" vertical="center"/>
    </xf>
    <xf numFmtId="39" fontId="3" fillId="0" borderId="54" xfId="0" applyNumberFormat="1" applyFont="1" applyFill="1" applyBorder="1" applyAlignment="1">
      <alignment horizontal="center" vertical="center"/>
    </xf>
    <xf numFmtId="39" fontId="3" fillId="0" borderId="55" xfId="0" applyNumberFormat="1" applyFont="1" applyFill="1" applyBorder="1" applyAlignment="1">
      <alignment horizontal="center" vertical="center"/>
    </xf>
    <xf numFmtId="39" fontId="3" fillId="0" borderId="56" xfId="0" applyNumberFormat="1" applyFont="1" applyFill="1" applyBorder="1" applyAlignment="1">
      <alignment horizontal="center" vertical="center"/>
    </xf>
    <xf numFmtId="39" fontId="3" fillId="0" borderId="54" xfId="0" applyNumberFormat="1" applyFont="1" applyFill="1" applyBorder="1" applyAlignment="1">
      <alignment horizontal="center"/>
    </xf>
    <xf numFmtId="39" fontId="3" fillId="0" borderId="55" xfId="0" applyNumberFormat="1" applyFont="1" applyFill="1" applyBorder="1" applyAlignment="1">
      <alignment horizontal="center"/>
    </xf>
    <xf numFmtId="39" fontId="3" fillId="0" borderId="56" xfId="0" applyNumberFormat="1" applyFont="1" applyFill="1" applyBorder="1" applyAlignment="1">
      <alignment horizontal="center"/>
    </xf>
    <xf numFmtId="0" fontId="12" fillId="39" borderId="6" xfId="0" applyFont="1" applyFill="1" applyBorder="1" applyAlignment="1">
      <alignment horizontal="center" vertical="center" wrapText="1"/>
    </xf>
    <xf numFmtId="165" fontId="10" fillId="0" borderId="54" xfId="3" applyNumberFormat="1" applyFont="1" applyFill="1" applyBorder="1" applyAlignment="1">
      <alignment horizontal="left" vertical="center"/>
    </xf>
    <xf numFmtId="165" fontId="10" fillId="0" borderId="55" xfId="3" applyNumberFormat="1" applyFont="1" applyFill="1" applyBorder="1" applyAlignment="1">
      <alignment horizontal="left" vertical="center"/>
    </xf>
    <xf numFmtId="165" fontId="10" fillId="0" borderId="54" xfId="3" applyNumberFormat="1" applyFont="1" applyFill="1" applyBorder="1" applyAlignment="1">
      <alignment horizontal="center" vertical="center"/>
    </xf>
    <xf numFmtId="165" fontId="10" fillId="0" borderId="55" xfId="3" applyNumberFormat="1" applyFont="1" applyFill="1" applyBorder="1" applyAlignment="1">
      <alignment horizontal="center" vertical="center"/>
    </xf>
    <xf numFmtId="165" fontId="10" fillId="0" borderId="54" xfId="3" applyNumberFormat="1" applyFont="1" applyFill="1" applyBorder="1" applyAlignment="1">
      <alignment horizontal="left" vertical="center" wrapText="1"/>
    </xf>
    <xf numFmtId="165" fontId="10" fillId="0" borderId="55" xfId="3" applyNumberFormat="1" applyFont="1" applyFill="1" applyBorder="1" applyAlignment="1">
      <alignment horizontal="left" vertical="center" wrapText="1"/>
    </xf>
    <xf numFmtId="165" fontId="10" fillId="0" borderId="56" xfId="3" applyNumberFormat="1" applyFont="1" applyFill="1" applyBorder="1" applyAlignment="1">
      <alignment horizontal="left" vertical="center" wrapText="1"/>
    </xf>
    <xf numFmtId="165" fontId="12" fillId="0" borderId="6" xfId="3" applyNumberFormat="1" applyFont="1" applyFill="1" applyBorder="1" applyAlignment="1">
      <alignment horizontal="center" vertical="center" wrapText="1"/>
    </xf>
    <xf numFmtId="39" fontId="3" fillId="0" borderId="6" xfId="0" applyNumberFormat="1" applyFont="1" applyFill="1" applyBorder="1" applyAlignment="1">
      <alignment horizontal="center" vertical="center"/>
    </xf>
    <xf numFmtId="0" fontId="12" fillId="39" borderId="52" xfId="0" applyFont="1" applyFill="1" applyBorder="1" applyAlignment="1">
      <alignment horizontal="center" vertical="center" wrapText="1"/>
    </xf>
    <xf numFmtId="0" fontId="12" fillId="39" borderId="3" xfId="0" applyFont="1" applyFill="1" applyBorder="1" applyAlignment="1">
      <alignment horizontal="center" vertical="center" wrapText="1"/>
    </xf>
    <xf numFmtId="0" fontId="17" fillId="3" borderId="54" xfId="260" applyFont="1" applyFill="1" applyBorder="1" applyAlignment="1">
      <alignment horizontal="center" vertical="center" wrapText="1"/>
    </xf>
    <xf numFmtId="0" fontId="17" fillId="3" borderId="56" xfId="260" applyFont="1" applyFill="1" applyBorder="1" applyAlignment="1">
      <alignment horizontal="center" vertical="center" wrapText="1"/>
    </xf>
    <xf numFmtId="0" fontId="18" fillId="3" borderId="54" xfId="260" applyFont="1" applyFill="1" applyBorder="1" applyAlignment="1">
      <alignment horizontal="center"/>
    </xf>
    <xf numFmtId="0" fontId="18" fillId="3" borderId="55" xfId="260" applyFont="1" applyFill="1" applyBorder="1" applyAlignment="1">
      <alignment horizontal="center"/>
    </xf>
    <xf numFmtId="0" fontId="18" fillId="3" borderId="56" xfId="260" applyFont="1" applyFill="1" applyBorder="1" applyAlignment="1">
      <alignment horizontal="center"/>
    </xf>
    <xf numFmtId="0" fontId="18" fillId="0" borderId="0" xfId="260" applyFont="1" applyBorder="1" applyAlignment="1">
      <alignment horizontal="center" vertical="center"/>
    </xf>
    <xf numFmtId="0" fontId="17" fillId="3" borderId="52" xfId="260" applyFont="1" applyFill="1" applyBorder="1" applyAlignment="1">
      <alignment horizontal="center" vertical="center"/>
    </xf>
    <xf numFmtId="0" fontId="17" fillId="3" borderId="3" xfId="260" applyFont="1" applyFill="1" applyBorder="1" applyAlignment="1">
      <alignment horizontal="center" vertical="center"/>
    </xf>
    <xf numFmtId="0" fontId="17" fillId="3" borderId="8" xfId="260" applyFont="1" applyFill="1" applyBorder="1" applyAlignment="1">
      <alignment horizontal="center" vertical="center"/>
    </xf>
    <xf numFmtId="0" fontId="17" fillId="3" borderId="52" xfId="260" applyFont="1" applyFill="1" applyBorder="1" applyAlignment="1">
      <alignment horizontal="center" vertical="center" wrapText="1"/>
    </xf>
    <xf numFmtId="0" fontId="17" fillId="3" borderId="3" xfId="260" applyFont="1" applyFill="1" applyBorder="1" applyAlignment="1">
      <alignment horizontal="center" vertical="center" wrapText="1"/>
    </xf>
    <xf numFmtId="0" fontId="17" fillId="3" borderId="8" xfId="260" applyFont="1" applyFill="1" applyBorder="1" applyAlignment="1">
      <alignment horizontal="center" vertical="center" wrapText="1"/>
    </xf>
    <xf numFmtId="0" fontId="17" fillId="3" borderId="12" xfId="260" applyFont="1" applyFill="1" applyBorder="1" applyAlignment="1">
      <alignment horizontal="center" vertical="center" wrapText="1"/>
    </xf>
    <xf numFmtId="0" fontId="17" fillId="3" borderId="13" xfId="260" applyFont="1" applyFill="1" applyBorder="1" applyAlignment="1">
      <alignment horizontal="center" vertical="center" wrapText="1"/>
    </xf>
    <xf numFmtId="0" fontId="17" fillId="3" borderId="15" xfId="260" applyFont="1" applyFill="1" applyBorder="1" applyAlignment="1">
      <alignment horizontal="center" vertical="center" wrapText="1"/>
    </xf>
    <xf numFmtId="0" fontId="17" fillId="3" borderId="16" xfId="260" applyFont="1" applyFill="1" applyBorder="1" applyAlignment="1">
      <alignment horizontal="center" vertical="center" wrapText="1"/>
    </xf>
    <xf numFmtId="0" fontId="17" fillId="3" borderId="14" xfId="260" applyFont="1" applyFill="1" applyBorder="1" applyAlignment="1">
      <alignment horizontal="center" vertical="center" wrapText="1"/>
    </xf>
    <xf numFmtId="0" fontId="18" fillId="4" borderId="0" xfId="78" applyFont="1" applyFill="1" applyBorder="1" applyAlignment="1">
      <alignment horizontal="center" vertical="center"/>
    </xf>
    <xf numFmtId="0" fontId="18" fillId="3" borderId="52" xfId="78" applyFont="1" applyFill="1" applyBorder="1" applyAlignment="1">
      <alignment horizontal="center" vertical="center"/>
    </xf>
    <xf numFmtId="0" fontId="18" fillId="3" borderId="8" xfId="78" applyFont="1" applyFill="1" applyBorder="1" applyAlignment="1">
      <alignment horizontal="center" vertical="center"/>
    </xf>
    <xf numFmtId="0" fontId="18" fillId="3" borderId="52" xfId="78" applyFont="1" applyFill="1" applyBorder="1" applyAlignment="1">
      <alignment horizontal="center" vertical="center" wrapText="1"/>
    </xf>
    <xf numFmtId="0" fontId="18" fillId="3" borderId="3" xfId="78" applyFont="1" applyFill="1" applyBorder="1" applyAlignment="1">
      <alignment horizontal="center" vertical="center" wrapText="1"/>
    </xf>
    <xf numFmtId="0" fontId="18" fillId="3" borderId="8" xfId="78" applyFont="1" applyFill="1" applyBorder="1" applyAlignment="1">
      <alignment horizontal="center" vertical="center" wrapText="1"/>
    </xf>
    <xf numFmtId="0" fontId="18" fillId="3" borderId="6" xfId="5" applyFont="1" applyFill="1" applyBorder="1" applyAlignment="1">
      <alignment horizontal="center" vertical="center" wrapText="1"/>
    </xf>
    <xf numFmtId="0" fontId="18" fillId="3" borderId="3" xfId="78" applyFont="1" applyFill="1" applyBorder="1" applyAlignment="1">
      <alignment horizontal="center" vertical="center"/>
    </xf>
    <xf numFmtId="0" fontId="18" fillId="3" borderId="12" xfId="5" applyFont="1" applyFill="1" applyBorder="1" applyAlignment="1">
      <alignment horizontal="center" vertical="center" wrapText="1"/>
    </xf>
    <xf numFmtId="0" fontId="18" fillId="3" borderId="59" xfId="5" applyFont="1" applyFill="1" applyBorder="1" applyAlignment="1">
      <alignment horizontal="center" vertical="center" wrapText="1"/>
    </xf>
    <xf numFmtId="0" fontId="18" fillId="3" borderId="13" xfId="5" applyFont="1" applyFill="1" applyBorder="1" applyAlignment="1">
      <alignment horizontal="center" vertical="center" wrapText="1"/>
    </xf>
    <xf numFmtId="0" fontId="18" fillId="3" borderId="15" xfId="5" applyFont="1" applyFill="1" applyBorder="1" applyAlignment="1">
      <alignment horizontal="center" vertical="center" wrapText="1"/>
    </xf>
    <xf numFmtId="0" fontId="18" fillId="3" borderId="17" xfId="5" applyFont="1" applyFill="1" applyBorder="1" applyAlignment="1">
      <alignment horizontal="center" vertical="center" wrapText="1"/>
    </xf>
    <xf numFmtId="0" fontId="18" fillId="3" borderId="16" xfId="5" applyFont="1" applyFill="1" applyBorder="1" applyAlignment="1">
      <alignment horizontal="center" vertical="center" wrapText="1"/>
    </xf>
    <xf numFmtId="0" fontId="82" fillId="4" borderId="0" xfId="0" applyFont="1" applyFill="1" applyBorder="1" applyAlignment="1">
      <alignment horizontal="center" vertical="center"/>
    </xf>
    <xf numFmtId="0" fontId="82" fillId="4" borderId="0" xfId="0" applyFont="1" applyFill="1" applyBorder="1" applyAlignment="1">
      <alignment horizontal="center"/>
    </xf>
    <xf numFmtId="0" fontId="81" fillId="0" borderId="0" xfId="0" applyFont="1" applyAlignment="1">
      <alignment horizontal="center" wrapText="1"/>
    </xf>
    <xf numFmtId="0" fontId="82" fillId="3" borderId="54" xfId="0" applyFont="1" applyFill="1" applyBorder="1" applyAlignment="1">
      <alignment horizontal="center"/>
    </xf>
    <xf numFmtId="0" fontId="82" fillId="3" borderId="56" xfId="0" applyFont="1" applyFill="1" applyBorder="1" applyAlignment="1">
      <alignment horizontal="center"/>
    </xf>
    <xf numFmtId="0" fontId="82" fillId="3" borderId="55" xfId="0" applyFont="1" applyFill="1" applyBorder="1" applyAlignment="1">
      <alignment horizontal="center"/>
    </xf>
    <xf numFmtId="0" fontId="18" fillId="4" borderId="0" xfId="0" applyFont="1" applyFill="1" applyBorder="1" applyAlignment="1">
      <alignment horizontal="center" vertical="top"/>
    </xf>
    <xf numFmtId="0" fontId="18" fillId="4" borderId="0" xfId="0" applyFont="1" applyFill="1" applyBorder="1" applyAlignment="1">
      <alignment horizontal="center" vertical="center"/>
    </xf>
    <xf numFmtId="0" fontId="82" fillId="36" borderId="6" xfId="0" applyFont="1" applyFill="1" applyBorder="1" applyAlignment="1">
      <alignment horizontal="center"/>
    </xf>
    <xf numFmtId="0" fontId="82" fillId="36" borderId="12" xfId="0" applyFont="1" applyFill="1" applyBorder="1" applyAlignment="1">
      <alignment horizontal="center" vertical="center"/>
    </xf>
    <xf numFmtId="0" fontId="82" fillId="36" borderId="13" xfId="0" applyFont="1" applyFill="1" applyBorder="1" applyAlignment="1">
      <alignment horizontal="center" vertical="center"/>
    </xf>
    <xf numFmtId="0" fontId="82" fillId="36" borderId="15" xfId="0" applyFont="1" applyFill="1" applyBorder="1" applyAlignment="1">
      <alignment horizontal="center" vertical="center"/>
    </xf>
    <xf numFmtId="0" fontId="82" fillId="36" borderId="16" xfId="0" applyFont="1" applyFill="1" applyBorder="1" applyAlignment="1">
      <alignment horizontal="center" vertical="center"/>
    </xf>
    <xf numFmtId="0" fontId="82" fillId="63" borderId="54" xfId="0" applyFont="1" applyFill="1" applyBorder="1" applyAlignment="1">
      <alignment horizontal="center"/>
    </xf>
    <xf numFmtId="0" fontId="82" fillId="63" borderId="55" xfId="0" applyFont="1" applyFill="1" applyBorder="1" applyAlignment="1">
      <alignment horizontal="center"/>
    </xf>
    <xf numFmtId="0" fontId="82" fillId="63" borderId="56" xfId="0" applyFont="1" applyFill="1" applyBorder="1" applyAlignment="1">
      <alignment horizontal="center"/>
    </xf>
    <xf numFmtId="0" fontId="212" fillId="0" borderId="0" xfId="6" applyFont="1" applyFill="1" applyBorder="1" applyAlignment="1">
      <alignment horizontal="center" vertical="center"/>
    </xf>
    <xf numFmtId="0" fontId="212" fillId="0" borderId="0" xfId="0" applyFont="1" applyFill="1" applyBorder="1" applyAlignment="1">
      <alignment horizontal="center" vertical="center"/>
    </xf>
    <xf numFmtId="0" fontId="212" fillId="3" borderId="52" xfId="6" applyFont="1" applyFill="1" applyBorder="1" applyAlignment="1">
      <alignment horizontal="center" vertical="center" wrapText="1"/>
    </xf>
    <xf numFmtId="0" fontId="212" fillId="3" borderId="8" xfId="6" applyFont="1" applyFill="1" applyBorder="1" applyAlignment="1">
      <alignment horizontal="center" vertical="center" wrapText="1"/>
    </xf>
    <xf numFmtId="43" fontId="4" fillId="0" borderId="52" xfId="7" applyFont="1" applyFill="1" applyBorder="1" applyAlignment="1">
      <alignment horizontal="center"/>
    </xf>
    <xf numFmtId="43" fontId="4" fillId="0" borderId="3" xfId="7" applyFont="1" applyFill="1" applyBorder="1" applyAlignment="1">
      <alignment horizontal="center"/>
    </xf>
    <xf numFmtId="43" fontId="4" fillId="0" borderId="8" xfId="7" applyFont="1" applyFill="1" applyBorder="1" applyAlignment="1">
      <alignment horizontal="center"/>
    </xf>
    <xf numFmtId="0" fontId="18" fillId="65" borderId="52" xfId="6" applyFont="1" applyFill="1" applyBorder="1" applyAlignment="1">
      <alignment horizontal="center" vertical="center" wrapText="1"/>
    </xf>
    <xf numFmtId="0" fontId="18" fillId="65" borderId="3" xfId="6" applyFont="1" applyFill="1" applyBorder="1" applyAlignment="1">
      <alignment horizontal="center" vertical="center" wrapText="1"/>
    </xf>
    <xf numFmtId="0" fontId="18" fillId="65" borderId="8" xfId="6" applyFont="1" applyFill="1" applyBorder="1" applyAlignment="1">
      <alignment horizontal="center" vertical="center" wrapText="1"/>
    </xf>
    <xf numFmtId="0" fontId="18" fillId="5" borderId="52" xfId="6" applyFont="1" applyFill="1" applyBorder="1" applyAlignment="1">
      <alignment horizontal="center" vertical="center"/>
    </xf>
    <xf numFmtId="0" fontId="18" fillId="5" borderId="3" xfId="6" applyFont="1" applyFill="1" applyBorder="1" applyAlignment="1">
      <alignment horizontal="center" vertical="center"/>
    </xf>
    <xf numFmtId="0" fontId="18" fillId="5" borderId="8" xfId="6" applyFont="1" applyFill="1" applyBorder="1" applyAlignment="1">
      <alignment horizontal="center" vertical="center"/>
    </xf>
    <xf numFmtId="0" fontId="18" fillId="5" borderId="12" xfId="6" applyFont="1" applyFill="1" applyBorder="1" applyAlignment="1">
      <alignment horizontal="center" vertical="center" wrapText="1"/>
    </xf>
    <xf numFmtId="0" fontId="18" fillId="5" borderId="13" xfId="6" applyFont="1" applyFill="1" applyBorder="1" applyAlignment="1">
      <alignment horizontal="center" vertical="center" wrapText="1"/>
    </xf>
    <xf numFmtId="0" fontId="18" fillId="5" borderId="15" xfId="6" applyFont="1" applyFill="1" applyBorder="1" applyAlignment="1">
      <alignment horizontal="center" vertical="center" wrapText="1"/>
    </xf>
    <xf numFmtId="0" fontId="18" fillId="5" borderId="16" xfId="6" applyFont="1" applyFill="1" applyBorder="1" applyAlignment="1">
      <alignment horizontal="center" vertical="center" wrapText="1"/>
    </xf>
    <xf numFmtId="0" fontId="18" fillId="5" borderId="14" xfId="6" applyFont="1" applyFill="1" applyBorder="1" applyAlignment="1">
      <alignment horizontal="center" vertical="center" wrapText="1"/>
    </xf>
    <xf numFmtId="0" fontId="4" fillId="4" borderId="52"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8" xfId="0" applyFont="1" applyFill="1" applyBorder="1" applyAlignment="1">
      <alignment horizontal="center" vertical="center"/>
    </xf>
    <xf numFmtId="0" fontId="18" fillId="5" borderId="6" xfId="6" applyFont="1" applyFill="1" applyBorder="1" applyAlignment="1">
      <alignment horizontal="center" vertical="center" wrapText="1"/>
    </xf>
    <xf numFmtId="2" fontId="4" fillId="4" borderId="52" xfId="0" applyNumberFormat="1" applyFont="1" applyFill="1" applyBorder="1" applyAlignment="1">
      <alignment horizontal="right" vertical="center"/>
    </xf>
    <xf numFmtId="2" fontId="4" fillId="4" borderId="3" xfId="0" applyNumberFormat="1" applyFont="1" applyFill="1" applyBorder="1" applyAlignment="1">
      <alignment horizontal="right" vertical="center"/>
    </xf>
    <xf numFmtId="2" fontId="4" fillId="4" borderId="8" xfId="0" applyNumberFormat="1" applyFont="1" applyFill="1" applyBorder="1" applyAlignment="1">
      <alignment horizontal="right" vertical="center"/>
    </xf>
    <xf numFmtId="2" fontId="4" fillId="0" borderId="52" xfId="0" applyNumberFormat="1" applyFont="1" applyBorder="1" applyAlignment="1">
      <alignment horizontal="right" vertical="center"/>
    </xf>
    <xf numFmtId="2" fontId="4" fillId="0" borderId="3" xfId="0" applyNumberFormat="1" applyFont="1" applyBorder="1" applyAlignment="1">
      <alignment horizontal="right" vertical="center"/>
    </xf>
    <xf numFmtId="2" fontId="4" fillId="0" borderId="8" xfId="0" applyNumberFormat="1" applyFont="1" applyBorder="1" applyAlignment="1">
      <alignment horizontal="right" vertical="center"/>
    </xf>
    <xf numFmtId="2" fontId="4" fillId="0" borderId="52" xfId="0" applyNumberFormat="1" applyFont="1" applyBorder="1" applyAlignment="1">
      <alignment horizontal="right" vertical="center" wrapText="1"/>
    </xf>
    <xf numFmtId="2" fontId="4" fillId="0" borderId="3" xfId="0" applyNumberFormat="1" applyFont="1" applyBorder="1" applyAlignment="1">
      <alignment horizontal="right" vertical="center" wrapText="1"/>
    </xf>
    <xf numFmtId="2" fontId="4" fillId="0" borderId="8" xfId="0" applyNumberFormat="1" applyFont="1" applyBorder="1" applyAlignment="1">
      <alignment horizontal="right" vertical="center" wrapText="1"/>
    </xf>
    <xf numFmtId="0" fontId="18" fillId="3" borderId="6" xfId="3" applyFont="1" applyFill="1" applyBorder="1" applyAlignment="1">
      <alignment horizontal="center" vertical="center" wrapText="1"/>
    </xf>
    <xf numFmtId="0" fontId="18" fillId="3" borderId="52" xfId="3" applyFont="1" applyFill="1" applyBorder="1" applyAlignment="1">
      <alignment horizontal="center" vertical="center" wrapText="1"/>
    </xf>
    <xf numFmtId="0" fontId="18" fillId="3" borderId="3" xfId="3" applyFont="1" applyFill="1" applyBorder="1" applyAlignment="1">
      <alignment horizontal="center" vertical="center" wrapText="1"/>
    </xf>
    <xf numFmtId="0" fontId="18" fillId="3" borderId="8" xfId="3" applyFont="1" applyFill="1" applyBorder="1" applyAlignment="1">
      <alignment horizontal="center" vertical="center" wrapText="1"/>
    </xf>
    <xf numFmtId="0" fontId="18" fillId="3" borderId="12" xfId="3" applyFont="1" applyFill="1" applyBorder="1" applyAlignment="1">
      <alignment horizontal="center" vertical="center" wrapText="1"/>
    </xf>
    <xf numFmtId="0" fontId="18" fillId="3" borderId="106" xfId="3" applyFont="1" applyFill="1" applyBorder="1" applyAlignment="1">
      <alignment horizontal="center" vertical="center" wrapText="1"/>
    </xf>
    <xf numFmtId="0" fontId="18" fillId="3" borderId="15" xfId="3" applyFont="1" applyFill="1" applyBorder="1" applyAlignment="1">
      <alignment horizontal="center" vertical="center" wrapText="1"/>
    </xf>
    <xf numFmtId="0" fontId="18" fillId="3" borderId="59" xfId="3" applyFont="1" applyFill="1" applyBorder="1" applyAlignment="1">
      <alignment horizontal="center" vertical="center" wrapText="1"/>
    </xf>
    <xf numFmtId="0" fontId="18" fillId="3" borderId="0" xfId="3" applyFont="1" applyFill="1" applyBorder="1" applyAlignment="1">
      <alignment horizontal="center" vertical="center" wrapText="1"/>
    </xf>
    <xf numFmtId="0" fontId="18" fillId="3" borderId="17"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18" fillId="3" borderId="14" xfId="3" applyFont="1" applyFill="1" applyBorder="1" applyAlignment="1">
      <alignment horizontal="center" vertical="center" wrapText="1"/>
    </xf>
    <xf numFmtId="0" fontId="18" fillId="3" borderId="16" xfId="3" applyFont="1" applyFill="1" applyBorder="1" applyAlignment="1">
      <alignment horizontal="center" vertical="center" wrapText="1"/>
    </xf>
    <xf numFmtId="0" fontId="18" fillId="0" borderId="0" xfId="114" applyFont="1" applyFill="1" applyBorder="1" applyAlignment="1">
      <alignment horizontal="center"/>
    </xf>
    <xf numFmtId="0" fontId="18" fillId="0" borderId="0" xfId="13" applyFont="1" applyFill="1" applyAlignment="1">
      <alignment horizontal="center" vertical="center"/>
    </xf>
    <xf numFmtId="0" fontId="18" fillId="4" borderId="0" xfId="5" applyFont="1" applyFill="1" applyBorder="1" applyAlignment="1">
      <alignment horizontal="center" vertical="center" wrapText="1"/>
    </xf>
    <xf numFmtId="0" fontId="18" fillId="4" borderId="0" xfId="3" applyFont="1" applyFill="1" applyBorder="1" applyAlignment="1">
      <alignment horizontal="center" vertical="center" wrapText="1"/>
    </xf>
    <xf numFmtId="0" fontId="18" fillId="3" borderId="5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8" xfId="0" applyFont="1" applyFill="1" applyBorder="1" applyAlignment="1">
      <alignment horizontal="center" vertical="center" wrapText="1"/>
    </xf>
    <xf numFmtId="0" fontId="18" fillId="3" borderId="54" xfId="0" applyFont="1" applyFill="1" applyBorder="1" applyAlignment="1">
      <alignment horizontal="center" vertical="center" wrapText="1"/>
    </xf>
    <xf numFmtId="0" fontId="18" fillId="3" borderId="56" xfId="0" applyFont="1" applyFill="1" applyBorder="1" applyAlignment="1">
      <alignment horizontal="center" vertical="center" wrapText="1"/>
    </xf>
    <xf numFmtId="0" fontId="18" fillId="3" borderId="12" xfId="0" applyFont="1" applyFill="1" applyBorder="1" applyAlignment="1">
      <alignment horizontal="center" vertical="center" wrapText="1"/>
    </xf>
    <xf numFmtId="0" fontId="18" fillId="3" borderId="13" xfId="0" applyFont="1" applyFill="1" applyBorder="1" applyAlignment="1">
      <alignment horizontal="center" vertical="center" wrapText="1"/>
    </xf>
    <xf numFmtId="0" fontId="18" fillId="3" borderId="15" xfId="0" applyFont="1" applyFill="1" applyBorder="1" applyAlignment="1">
      <alignment horizontal="center" vertical="center" wrapText="1"/>
    </xf>
    <xf numFmtId="0" fontId="18" fillId="3" borderId="16" xfId="0" applyFont="1" applyFill="1" applyBorder="1" applyAlignment="1">
      <alignment horizontal="center" vertical="center" wrapText="1"/>
    </xf>
    <xf numFmtId="0" fontId="18" fillId="3" borderId="55" xfId="0" applyFont="1" applyFill="1" applyBorder="1" applyAlignment="1">
      <alignment horizontal="center" vertical="center" wrapText="1"/>
    </xf>
    <xf numFmtId="0" fontId="18" fillId="3" borderId="6" xfId="0" applyFont="1" applyFill="1" applyBorder="1" applyAlignment="1">
      <alignment horizontal="center" vertical="center" wrapText="1"/>
    </xf>
    <xf numFmtId="0" fontId="82" fillId="3" borderId="55" xfId="0" applyFont="1" applyFill="1" applyBorder="1" applyAlignment="1">
      <alignment horizontal="center" vertical="center"/>
    </xf>
    <xf numFmtId="0" fontId="18" fillId="4" borderId="0" xfId="0" applyFont="1" applyFill="1" applyBorder="1" applyAlignment="1">
      <alignment horizontal="center" wrapText="1"/>
    </xf>
    <xf numFmtId="0" fontId="4" fillId="4" borderId="0" xfId="0" applyFont="1" applyFill="1" applyBorder="1" applyAlignment="1">
      <alignment horizontal="center" wrapText="1"/>
    </xf>
    <xf numFmtId="0" fontId="18" fillId="5" borderId="6" xfId="0" applyFont="1" applyFill="1" applyBorder="1" applyAlignment="1">
      <alignment horizontal="center" wrapText="1"/>
    </xf>
    <xf numFmtId="0" fontId="18" fillId="5" borderId="54" xfId="0" applyFont="1" applyFill="1" applyBorder="1" applyAlignment="1">
      <alignment horizontal="center" wrapText="1"/>
    </xf>
    <xf numFmtId="0" fontId="18" fillId="5" borderId="55" xfId="0" applyFont="1" applyFill="1" applyBorder="1" applyAlignment="1">
      <alignment horizontal="center" wrapText="1"/>
    </xf>
    <xf numFmtId="0" fontId="18" fillId="4" borderId="106" xfId="0" applyFont="1" applyFill="1" applyBorder="1" applyAlignment="1">
      <alignment horizontal="center" wrapText="1"/>
    </xf>
    <xf numFmtId="0" fontId="18" fillId="5" borderId="56" xfId="0" applyFont="1" applyFill="1" applyBorder="1" applyAlignment="1">
      <alignment horizontal="center" wrapText="1"/>
    </xf>
    <xf numFmtId="2" fontId="18" fillId="0" borderId="12" xfId="0" applyNumberFormat="1" applyFont="1" applyBorder="1" applyAlignment="1">
      <alignment horizontal="center" vertical="top"/>
    </xf>
    <xf numFmtId="2" fontId="18" fillId="0" borderId="59" xfId="0" applyNumberFormat="1" applyFont="1" applyBorder="1" applyAlignment="1">
      <alignment horizontal="center" vertical="top"/>
    </xf>
    <xf numFmtId="2" fontId="18" fillId="0" borderId="13" xfId="0" applyNumberFormat="1" applyFont="1" applyBorder="1" applyAlignment="1">
      <alignment horizontal="center" vertical="top"/>
    </xf>
    <xf numFmtId="2" fontId="18" fillId="0" borderId="106" xfId="0" applyNumberFormat="1" applyFont="1" applyBorder="1" applyAlignment="1">
      <alignment horizontal="center" vertical="top"/>
    </xf>
    <xf numFmtId="2" fontId="18" fillId="0" borderId="0" xfId="0" applyNumberFormat="1" applyFont="1" applyBorder="1" applyAlignment="1">
      <alignment horizontal="center" vertical="top"/>
    </xf>
    <xf numFmtId="2" fontId="18" fillId="0" borderId="14" xfId="0" applyNumberFormat="1" applyFont="1" applyBorder="1" applyAlignment="1">
      <alignment horizontal="center" vertical="top"/>
    </xf>
    <xf numFmtId="2" fontId="18" fillId="0" borderId="15" xfId="0" applyNumberFormat="1" applyFont="1" applyBorder="1" applyAlignment="1">
      <alignment horizontal="center" vertical="top"/>
    </xf>
    <xf numFmtId="2" fontId="18" fillId="0" borderId="17" xfId="0" applyNumberFormat="1" applyFont="1" applyBorder="1" applyAlignment="1">
      <alignment horizontal="center" vertical="top"/>
    </xf>
    <xf numFmtId="2" fontId="18" fillId="0" borderId="16" xfId="0" applyNumberFormat="1" applyFont="1" applyBorder="1" applyAlignment="1">
      <alignment horizontal="center" vertical="top"/>
    </xf>
    <xf numFmtId="2" fontId="4" fillId="0" borderId="12" xfId="0" applyNumberFormat="1" applyFont="1" applyFill="1" applyBorder="1" applyAlignment="1">
      <alignment horizontal="center" vertical="center"/>
    </xf>
    <xf numFmtId="2" fontId="4" fillId="0" borderId="59" xfId="0" applyNumberFormat="1" applyFont="1" applyFill="1" applyBorder="1" applyAlignment="1">
      <alignment horizontal="center" vertical="center"/>
    </xf>
    <xf numFmtId="2" fontId="4" fillId="0" borderId="13"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2" fontId="4" fillId="0" borderId="17" xfId="0" applyNumberFormat="1" applyFont="1" applyFill="1" applyBorder="1" applyAlignment="1">
      <alignment horizontal="center" vertical="center"/>
    </xf>
    <xf numFmtId="2" fontId="4" fillId="0" borderId="16" xfId="0" applyNumberFormat="1" applyFont="1" applyFill="1" applyBorder="1" applyAlignment="1">
      <alignment horizontal="center" vertical="center"/>
    </xf>
    <xf numFmtId="0" fontId="18" fillId="4" borderId="0" xfId="3" applyFont="1" applyFill="1" applyBorder="1" applyAlignment="1">
      <alignment horizontal="center"/>
    </xf>
    <xf numFmtId="0" fontId="18" fillId="5" borderId="6" xfId="0" applyFont="1" applyFill="1" applyBorder="1" applyAlignment="1">
      <alignment horizontal="center" vertical="center" wrapText="1"/>
    </xf>
    <xf numFmtId="0" fontId="18" fillId="5" borderId="54" xfId="0" applyFont="1" applyFill="1" applyBorder="1" applyAlignment="1">
      <alignment horizontal="center" vertical="center" wrapText="1"/>
    </xf>
    <xf numFmtId="0" fontId="18" fillId="5" borderId="55"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4" fillId="0" borderId="6" xfId="0" applyFont="1" applyBorder="1" applyAlignment="1">
      <alignment horizontal="center" wrapText="1"/>
    </xf>
    <xf numFmtId="0" fontId="18" fillId="4" borderId="54" xfId="0" applyFont="1" applyFill="1" applyBorder="1" applyAlignment="1">
      <alignment horizontal="center"/>
    </xf>
    <xf numFmtId="0" fontId="18" fillId="4" borderId="56" xfId="0" applyFont="1" applyFill="1" applyBorder="1" applyAlignment="1">
      <alignment horizontal="center"/>
    </xf>
    <xf numFmtId="0" fontId="18" fillId="3" borderId="6" xfId="0" applyFont="1" applyFill="1" applyBorder="1" applyAlignment="1">
      <alignment horizontal="center"/>
    </xf>
    <xf numFmtId="0" fontId="18" fillId="3" borderId="54" xfId="0" applyFont="1" applyFill="1" applyBorder="1" applyAlignment="1">
      <alignment horizontal="center"/>
    </xf>
    <xf numFmtId="0" fontId="18" fillId="3" borderId="56" xfId="0" applyFont="1" applyFill="1" applyBorder="1" applyAlignment="1">
      <alignment horizontal="center"/>
    </xf>
    <xf numFmtId="0" fontId="18" fillId="3" borderId="52" xfId="0" applyFont="1" applyFill="1" applyBorder="1" applyAlignment="1">
      <alignment horizontal="center" vertical="center"/>
    </xf>
    <xf numFmtId="0" fontId="18" fillId="3" borderId="8" xfId="0" applyFont="1" applyFill="1" applyBorder="1" applyAlignment="1">
      <alignment horizontal="center" vertical="center"/>
    </xf>
    <xf numFmtId="0" fontId="18" fillId="4" borderId="6" xfId="0" applyFont="1" applyFill="1" applyBorder="1" applyAlignment="1">
      <alignment horizontal="center"/>
    </xf>
    <xf numFmtId="0" fontId="18" fillId="4" borderId="26" xfId="0" applyFont="1" applyFill="1" applyBorder="1" applyAlignment="1">
      <alignment horizontal="center"/>
    </xf>
    <xf numFmtId="0" fontId="18" fillId="4" borderId="11" xfId="0" applyFont="1" applyFill="1" applyBorder="1" applyAlignment="1">
      <alignment horizontal="center"/>
    </xf>
    <xf numFmtId="0" fontId="18" fillId="4" borderId="27" xfId="0" applyFont="1" applyFill="1" applyBorder="1" applyAlignment="1">
      <alignment horizontal="center"/>
    </xf>
    <xf numFmtId="0" fontId="18" fillId="0" borderId="6" xfId="0" applyFont="1" applyBorder="1" applyAlignment="1">
      <alignment horizontal="center" wrapText="1"/>
    </xf>
    <xf numFmtId="170" fontId="4" fillId="0" borderId="6" xfId="13" applyNumberFormat="1" applyFont="1" applyBorder="1" applyAlignment="1">
      <alignment horizontal="center" vertical="center"/>
    </xf>
    <xf numFmtId="0" fontId="18" fillId="3" borderId="6" xfId="114" applyFont="1" applyFill="1" applyBorder="1" applyAlignment="1">
      <alignment horizontal="center" vertical="center" wrapText="1"/>
    </xf>
    <xf numFmtId="0" fontId="18" fillId="3" borderId="6" xfId="13" applyFont="1" applyFill="1" applyBorder="1" applyAlignment="1">
      <alignment horizontal="center" vertical="center" wrapText="1"/>
    </xf>
    <xf numFmtId="0" fontId="4" fillId="0" borderId="0" xfId="13" applyFont="1" applyBorder="1" applyAlignment="1">
      <alignment horizontal="center" vertical="center"/>
    </xf>
    <xf numFmtId="2" fontId="4" fillId="0" borderId="6" xfId="13" applyNumberFormat="1" applyFont="1" applyFill="1" applyBorder="1" applyAlignment="1">
      <alignment horizontal="center" vertical="center"/>
    </xf>
    <xf numFmtId="0" fontId="18" fillId="3" borderId="12" xfId="13" applyFont="1" applyFill="1" applyBorder="1" applyAlignment="1">
      <alignment horizontal="center" vertical="center" wrapText="1"/>
    </xf>
    <xf numFmtId="0" fontId="18" fillId="3" borderId="59" xfId="13" applyFont="1" applyFill="1" applyBorder="1" applyAlignment="1">
      <alignment horizontal="center" vertical="center" wrapText="1"/>
    </xf>
    <xf numFmtId="0" fontId="18" fillId="3" borderId="15" xfId="13" applyFont="1" applyFill="1" applyBorder="1" applyAlignment="1">
      <alignment horizontal="center" vertical="center" wrapText="1"/>
    </xf>
    <xf numFmtId="0" fontId="18" fillId="3" borderId="17" xfId="13" applyFont="1" applyFill="1" applyBorder="1" applyAlignment="1">
      <alignment horizontal="center" vertical="center" wrapText="1"/>
    </xf>
    <xf numFmtId="170" fontId="4" fillId="4" borderId="0" xfId="13" applyNumberFormat="1" applyFont="1" applyFill="1" applyBorder="1" applyAlignment="1">
      <alignment horizontal="right" vertical="center"/>
    </xf>
    <xf numFmtId="0" fontId="4" fillId="0" borderId="6" xfId="78" applyFont="1" applyBorder="1" applyAlignment="1">
      <alignment horizontal="center"/>
    </xf>
    <xf numFmtId="0" fontId="4" fillId="30" borderId="6" xfId="78" applyFont="1" applyFill="1" applyBorder="1" applyAlignment="1" applyProtection="1">
      <alignment horizontal="center"/>
    </xf>
    <xf numFmtId="0" fontId="18" fillId="3" borderId="5" xfId="13" applyFont="1" applyFill="1" applyBorder="1" applyAlignment="1">
      <alignment horizontal="center" vertical="center" wrapText="1"/>
    </xf>
    <xf numFmtId="0" fontId="18" fillId="3" borderId="8" xfId="13" applyFont="1" applyFill="1" applyBorder="1" applyAlignment="1">
      <alignment horizontal="center" vertical="center" wrapText="1"/>
    </xf>
    <xf numFmtId="0" fontId="4" fillId="0" borderId="52" xfId="257" applyFont="1" applyBorder="1" applyAlignment="1">
      <alignment horizontal="center" vertical="center"/>
    </xf>
    <xf numFmtId="0" fontId="4" fillId="0" borderId="3" xfId="257" applyFont="1" applyBorder="1" applyAlignment="1">
      <alignment horizontal="center" vertical="center"/>
    </xf>
    <xf numFmtId="0" fontId="4" fillId="0" borderId="8" xfId="257" applyFont="1" applyBorder="1" applyAlignment="1">
      <alignment horizontal="center" vertical="center"/>
    </xf>
    <xf numFmtId="0" fontId="18" fillId="4" borderId="0" xfId="13" applyFont="1" applyFill="1" applyBorder="1" applyAlignment="1">
      <alignment horizontal="center" vertical="center"/>
    </xf>
    <xf numFmtId="0" fontId="4" fillId="0" borderId="52" xfId="78" applyFont="1" applyBorder="1" applyAlignment="1">
      <alignment horizontal="center" vertical="center"/>
    </xf>
    <xf numFmtId="0" fontId="4" fillId="0" borderId="3" xfId="78" applyFont="1" applyBorder="1" applyAlignment="1">
      <alignment horizontal="center" vertical="center"/>
    </xf>
    <xf numFmtId="0" fontId="4" fillId="0" borderId="8" xfId="78" applyFont="1" applyBorder="1" applyAlignment="1">
      <alignment horizontal="center" vertical="center"/>
    </xf>
    <xf numFmtId="0" fontId="18" fillId="4" borderId="0" xfId="13" applyFont="1" applyFill="1" applyBorder="1" applyAlignment="1">
      <alignment horizontal="center" vertical="center" wrapText="1"/>
    </xf>
    <xf numFmtId="0" fontId="4" fillId="4" borderId="0" xfId="114" applyFont="1" applyFill="1" applyBorder="1" applyAlignment="1">
      <alignment horizontal="center" vertical="center" wrapText="1"/>
    </xf>
    <xf numFmtId="0" fontId="18" fillId="3" borderId="4" xfId="13" applyFont="1" applyFill="1" applyBorder="1" applyAlignment="1">
      <alignment horizontal="center" vertical="center"/>
    </xf>
    <xf numFmtId="0" fontId="18" fillId="3" borderId="6" xfId="13" applyFont="1" applyFill="1" applyBorder="1" applyAlignment="1">
      <alignment horizontal="center" vertical="center"/>
    </xf>
    <xf numFmtId="0" fontId="18" fillId="3" borderId="93" xfId="13" applyFont="1" applyFill="1" applyBorder="1" applyAlignment="1">
      <alignment horizontal="center" vertical="center" wrapText="1"/>
    </xf>
    <xf numFmtId="0" fontId="18" fillId="3" borderId="40" xfId="13" applyFont="1" applyFill="1" applyBorder="1" applyAlignment="1">
      <alignment horizontal="center" vertical="center" wrapText="1"/>
    </xf>
    <xf numFmtId="0" fontId="18" fillId="0" borderId="0" xfId="13" applyFont="1" applyBorder="1" applyAlignment="1">
      <alignment horizontal="left" vertical="center"/>
    </xf>
    <xf numFmtId="0" fontId="4" fillId="30" borderId="6" xfId="78" applyFont="1" applyFill="1" applyBorder="1" applyAlignment="1" applyProtection="1">
      <alignment horizontal="center" vertical="center"/>
    </xf>
    <xf numFmtId="170" fontId="18" fillId="0" borderId="0" xfId="13" applyNumberFormat="1" applyFont="1" applyFill="1" applyBorder="1" applyAlignment="1">
      <alignment horizontal="left" vertical="center"/>
    </xf>
    <xf numFmtId="0" fontId="18" fillId="0" borderId="0" xfId="13" applyFont="1" applyBorder="1" applyAlignment="1">
      <alignment horizontal="center" vertical="center"/>
    </xf>
    <xf numFmtId="10" fontId="18" fillId="0" borderId="54" xfId="13" applyNumberFormat="1" applyFont="1" applyBorder="1" applyAlignment="1">
      <alignment horizontal="left" vertical="center"/>
    </xf>
    <xf numFmtId="10" fontId="18" fillId="0" borderId="56" xfId="13" applyNumberFormat="1" applyFont="1" applyBorder="1" applyAlignment="1">
      <alignment horizontal="left" vertical="center"/>
    </xf>
    <xf numFmtId="10" fontId="18" fillId="0" borderId="6" xfId="13" applyNumberFormat="1" applyFont="1" applyBorder="1" applyAlignment="1">
      <alignment horizontal="left" vertical="center"/>
    </xf>
    <xf numFmtId="0" fontId="18" fillId="0" borderId="0" xfId="114" applyFont="1" applyBorder="1" applyAlignment="1">
      <alignment horizontal="center"/>
    </xf>
    <xf numFmtId="10" fontId="18" fillId="0" borderId="6" xfId="13" applyNumberFormat="1" applyFont="1" applyBorder="1" applyAlignment="1">
      <alignment horizontal="center" vertical="center"/>
    </xf>
    <xf numFmtId="0" fontId="18" fillId="3" borderId="28" xfId="13" applyFont="1" applyFill="1" applyBorder="1" applyAlignment="1">
      <alignment horizontal="center" vertical="center"/>
    </xf>
    <xf numFmtId="0" fontId="18" fillId="3" borderId="103" xfId="13" applyFont="1" applyFill="1" applyBorder="1" applyAlignment="1">
      <alignment horizontal="center" vertical="center"/>
    </xf>
    <xf numFmtId="0" fontId="18" fillId="3" borderId="5" xfId="13" applyFont="1" applyFill="1" applyBorder="1" applyAlignment="1">
      <alignment horizontal="center" vertical="center"/>
    </xf>
    <xf numFmtId="0" fontId="18" fillId="3" borderId="8" xfId="13" applyFont="1" applyFill="1" applyBorder="1" applyAlignment="1">
      <alignment horizontal="center" vertical="center"/>
    </xf>
    <xf numFmtId="0" fontId="18" fillId="3" borderId="28" xfId="13" applyFont="1" applyFill="1" applyBorder="1" applyAlignment="1">
      <alignment horizontal="center" vertical="center" wrapText="1"/>
    </xf>
    <xf numFmtId="0" fontId="18" fillId="3" borderId="103" xfId="13" applyFont="1" applyFill="1" applyBorder="1" applyAlignment="1">
      <alignment horizontal="center" vertical="center" wrapText="1"/>
    </xf>
    <xf numFmtId="0" fontId="116" fillId="0" borderId="6" xfId="0" applyFont="1" applyBorder="1" applyAlignment="1">
      <alignment horizontal="center" vertical="top" wrapText="1"/>
    </xf>
    <xf numFmtId="0" fontId="116" fillId="0" borderId="6" xfId="0" applyFont="1" applyBorder="1" applyAlignment="1">
      <alignment horizontal="left" wrapText="1" indent="1"/>
    </xf>
    <xf numFmtId="0" fontId="116" fillId="0" borderId="52" xfId="0" applyFont="1" applyBorder="1" applyAlignment="1">
      <alignment horizontal="center"/>
    </xf>
    <xf numFmtId="0" fontId="116" fillId="0" borderId="3" xfId="0" applyFont="1" applyBorder="1" applyAlignment="1">
      <alignment horizontal="center"/>
    </xf>
    <xf numFmtId="0" fontId="116" fillId="0" borderId="8" xfId="0" applyFont="1" applyBorder="1" applyAlignment="1">
      <alignment horizontal="center"/>
    </xf>
    <xf numFmtId="0" fontId="17" fillId="0" borderId="54" xfId="257" applyFont="1" applyBorder="1" applyAlignment="1">
      <alignment horizontal="center" vertical="center"/>
    </xf>
    <xf numFmtId="0" fontId="17" fillId="0" borderId="55" xfId="257" applyFont="1" applyBorder="1" applyAlignment="1">
      <alignment horizontal="center" vertical="center"/>
    </xf>
    <xf numFmtId="0" fontId="17" fillId="0" borderId="56" xfId="257" applyFont="1" applyBorder="1" applyAlignment="1">
      <alignment horizontal="center" vertical="center"/>
    </xf>
    <xf numFmtId="0" fontId="17" fillId="3" borderId="6" xfId="257" applyFont="1" applyFill="1" applyBorder="1" applyAlignment="1">
      <alignment horizontal="center" vertical="center" wrapText="1"/>
    </xf>
    <xf numFmtId="0" fontId="14" fillId="0" borderId="6" xfId="257" applyFont="1" applyBorder="1" applyAlignment="1">
      <alignment horizontal="center" vertical="center"/>
    </xf>
    <xf numFmtId="0" fontId="17" fillId="3" borderId="52" xfId="257" applyFont="1" applyFill="1" applyBorder="1" applyAlignment="1">
      <alignment horizontal="center" vertical="center" wrapText="1"/>
    </xf>
    <xf numFmtId="0" fontId="17" fillId="3" borderId="8" xfId="257" applyFont="1" applyFill="1" applyBorder="1" applyAlignment="1">
      <alignment horizontal="center" vertical="center" wrapText="1"/>
    </xf>
    <xf numFmtId="0" fontId="14" fillId="3" borderId="6" xfId="260" applyFont="1" applyFill="1" applyBorder="1" applyAlignment="1">
      <alignment horizontal="center" vertical="center" wrapText="1"/>
    </xf>
    <xf numFmtId="0" fontId="17" fillId="3" borderId="54" xfId="257" applyFont="1" applyFill="1" applyBorder="1" applyAlignment="1">
      <alignment horizontal="center" vertical="center" wrapText="1"/>
    </xf>
    <xf numFmtId="0" fontId="17" fillId="3" borderId="56" xfId="257" applyFont="1" applyFill="1" applyBorder="1" applyAlignment="1">
      <alignment horizontal="center" vertical="center" wrapText="1"/>
    </xf>
    <xf numFmtId="0" fontId="17" fillId="0" borderId="0" xfId="257" applyFont="1" applyBorder="1" applyAlignment="1">
      <alignment horizontal="center" vertical="center"/>
    </xf>
    <xf numFmtId="0" fontId="17" fillId="4" borderId="0" xfId="3" applyFont="1" applyFill="1" applyBorder="1" applyAlignment="1">
      <alignment horizontal="center" vertical="top"/>
    </xf>
    <xf numFmtId="0" fontId="17" fillId="0" borderId="0" xfId="260" applyFont="1" applyBorder="1" applyAlignment="1">
      <alignment horizontal="center" vertical="center"/>
    </xf>
    <xf numFmtId="0" fontId="18" fillId="0" borderId="0" xfId="257" applyFont="1" applyAlignment="1">
      <alignment horizontal="center" vertical="center" wrapText="1"/>
    </xf>
    <xf numFmtId="0" fontId="18" fillId="3" borderId="6" xfId="260" applyFont="1" applyFill="1" applyBorder="1" applyAlignment="1">
      <alignment horizontal="center" vertical="center" wrapText="1"/>
    </xf>
    <xf numFmtId="0" fontId="18" fillId="3" borderId="6" xfId="257" applyFont="1" applyFill="1" applyBorder="1" applyAlignment="1">
      <alignment horizontal="center" vertical="center" wrapText="1"/>
    </xf>
    <xf numFmtId="0" fontId="18" fillId="0" borderId="0" xfId="260" applyFont="1" applyBorder="1" applyAlignment="1">
      <alignment horizontal="center"/>
    </xf>
    <xf numFmtId="0" fontId="18" fillId="3" borderId="6" xfId="260" applyFont="1" applyFill="1" applyBorder="1" applyAlignment="1">
      <alignment horizontal="center" vertical="center"/>
    </xf>
    <xf numFmtId="0" fontId="18" fillId="3" borderId="6" xfId="257" applyFont="1" applyFill="1" applyBorder="1" applyAlignment="1">
      <alignment horizontal="center" vertical="center"/>
    </xf>
    <xf numFmtId="0" fontId="18" fillId="4" borderId="0" xfId="6" applyFont="1" applyFill="1" applyBorder="1" applyAlignment="1">
      <alignment horizontal="center" vertical="center" wrapText="1"/>
    </xf>
    <xf numFmtId="0" fontId="18" fillId="3" borderId="6" xfId="6" applyFont="1" applyFill="1" applyBorder="1" applyAlignment="1">
      <alignment horizontal="center" vertical="center" wrapText="1"/>
    </xf>
    <xf numFmtId="0" fontId="18" fillId="3" borderId="52" xfId="6" applyFont="1" applyFill="1" applyBorder="1" applyAlignment="1">
      <alignment horizontal="center" vertical="center" wrapText="1"/>
    </xf>
    <xf numFmtId="0" fontId="18" fillId="3" borderId="3" xfId="6" applyFont="1" applyFill="1" applyBorder="1" applyAlignment="1">
      <alignment horizontal="center" vertical="center" wrapText="1"/>
    </xf>
    <xf numFmtId="0" fontId="18" fillId="3" borderId="8" xfId="6" applyFont="1" applyFill="1" applyBorder="1" applyAlignment="1">
      <alignment horizontal="center" vertical="center" wrapText="1"/>
    </xf>
    <xf numFmtId="0" fontId="18" fillId="3" borderId="54" xfId="78" applyFont="1" applyFill="1" applyBorder="1" applyAlignment="1">
      <alignment horizontal="center"/>
    </xf>
    <xf numFmtId="0" fontId="18" fillId="3" borderId="55" xfId="78" applyFont="1" applyFill="1" applyBorder="1" applyAlignment="1">
      <alignment horizontal="center"/>
    </xf>
    <xf numFmtId="0" fontId="18" fillId="3" borderId="56" xfId="78" applyFont="1" applyFill="1" applyBorder="1" applyAlignment="1">
      <alignment horizontal="center"/>
    </xf>
    <xf numFmtId="0" fontId="4" fillId="4" borderId="0" xfId="6" applyFont="1" applyFill="1" applyBorder="1" applyAlignment="1">
      <alignment horizontal="center" vertical="center"/>
    </xf>
    <xf numFmtId="0" fontId="18" fillId="0" borderId="0" xfId="114" applyFont="1" applyFill="1" applyBorder="1" applyAlignment="1">
      <alignment horizontal="center" vertical="center"/>
    </xf>
    <xf numFmtId="0" fontId="18" fillId="4" borderId="32" xfId="3" applyFont="1" applyFill="1" applyBorder="1" applyAlignment="1">
      <alignment horizontal="center" vertical="top"/>
    </xf>
    <xf numFmtId="0" fontId="18" fillId="3" borderId="54" xfId="13" applyFont="1" applyFill="1" applyBorder="1" applyAlignment="1">
      <alignment horizontal="center" vertical="center" wrapText="1"/>
    </xf>
    <xf numFmtId="0" fontId="18" fillId="3" borderId="56" xfId="13" applyFont="1" applyFill="1" applyBorder="1" applyAlignment="1">
      <alignment horizontal="center" vertical="center" wrapText="1"/>
    </xf>
    <xf numFmtId="170" fontId="4" fillId="0" borderId="52" xfId="13" applyNumberFormat="1" applyFont="1" applyFill="1" applyBorder="1" applyAlignment="1">
      <alignment vertical="center"/>
    </xf>
    <xf numFmtId="170" fontId="4" fillId="0" borderId="3" xfId="13" applyNumberFormat="1" applyFont="1" applyFill="1" applyBorder="1" applyAlignment="1">
      <alignment vertical="center"/>
    </xf>
    <xf numFmtId="170" fontId="4" fillId="0" borderId="8" xfId="13" applyNumberFormat="1" applyFont="1" applyFill="1" applyBorder="1" applyAlignment="1">
      <alignment vertical="center"/>
    </xf>
    <xf numFmtId="170" fontId="4" fillId="0" borderId="12" xfId="13" applyNumberFormat="1" applyFont="1" applyFill="1" applyBorder="1" applyAlignment="1">
      <alignment horizontal="right" vertical="center"/>
    </xf>
    <xf numFmtId="170" fontId="4" fillId="0" borderId="15" xfId="13" applyNumberFormat="1" applyFont="1" applyFill="1" applyBorder="1" applyAlignment="1">
      <alignment horizontal="right" vertical="center"/>
    </xf>
    <xf numFmtId="170" fontId="4" fillId="0" borderId="52" xfId="13" applyNumberFormat="1" applyFont="1" applyFill="1" applyBorder="1" applyAlignment="1">
      <alignment horizontal="right" vertical="center"/>
    </xf>
    <xf numFmtId="170" fontId="4" fillId="0" borderId="8" xfId="13" applyNumberFormat="1" applyFont="1" applyFill="1" applyBorder="1" applyAlignment="1">
      <alignment horizontal="right" vertical="center"/>
    </xf>
    <xf numFmtId="16" fontId="18" fillId="3" borderId="52" xfId="114" applyNumberFormat="1" applyFont="1" applyFill="1" applyBorder="1" applyAlignment="1">
      <alignment horizontal="center" vertical="center" wrapText="1"/>
    </xf>
    <xf numFmtId="16" fontId="18" fillId="3" borderId="3" xfId="114" applyNumberFormat="1" applyFont="1" applyFill="1" applyBorder="1" applyAlignment="1">
      <alignment horizontal="center" vertical="center" wrapText="1"/>
    </xf>
    <xf numFmtId="16" fontId="18" fillId="3" borderId="8" xfId="114" applyNumberFormat="1" applyFont="1" applyFill="1" applyBorder="1" applyAlignment="1">
      <alignment horizontal="center" vertical="center" wrapText="1"/>
    </xf>
    <xf numFmtId="0" fontId="0" fillId="0" borderId="8" xfId="0" applyBorder="1"/>
    <xf numFmtId="0" fontId="0" fillId="0" borderId="13" xfId="0" applyBorder="1"/>
    <xf numFmtId="0" fontId="0" fillId="0" borderId="15" xfId="0" applyBorder="1"/>
    <xf numFmtId="0" fontId="0" fillId="0" borderId="16" xfId="0" applyBorder="1"/>
    <xf numFmtId="0" fontId="18" fillId="3" borderId="6" xfId="114" applyFont="1" applyFill="1" applyBorder="1" applyAlignment="1">
      <alignment horizontal="center"/>
    </xf>
    <xf numFmtId="0" fontId="0" fillId="0" borderId="6" xfId="0" applyBorder="1"/>
    <xf numFmtId="0" fontId="18" fillId="3" borderId="52" xfId="0" applyFont="1" applyFill="1" applyBorder="1" applyAlignment="1">
      <alignment horizontal="left" vertical="center" wrapText="1"/>
    </xf>
    <xf numFmtId="0" fontId="18" fillId="3" borderId="8" xfId="0" applyFont="1" applyFill="1" applyBorder="1" applyAlignment="1">
      <alignment horizontal="left" vertical="center" wrapText="1"/>
    </xf>
    <xf numFmtId="0" fontId="18" fillId="0" borderId="0" xfId="0" applyFont="1" applyFill="1" applyBorder="1" applyAlignment="1">
      <alignment horizontal="center"/>
    </xf>
    <xf numFmtId="0" fontId="18" fillId="4" borderId="0" xfId="3" applyFont="1" applyFill="1" applyBorder="1" applyAlignment="1">
      <alignment horizontal="center" vertical="top" wrapText="1"/>
    </xf>
    <xf numFmtId="0" fontId="82" fillId="3" borderId="6" xfId="0" applyFont="1" applyFill="1" applyBorder="1" applyAlignment="1">
      <alignment horizontal="center" wrapText="1"/>
    </xf>
    <xf numFmtId="0" fontId="82" fillId="3" borderId="12" xfId="0" applyFont="1" applyFill="1" applyBorder="1" applyAlignment="1">
      <alignment horizontal="center" vertical="center" wrapText="1"/>
    </xf>
    <xf numFmtId="0" fontId="82" fillId="3" borderId="13" xfId="0" applyFont="1" applyFill="1" applyBorder="1" applyAlignment="1">
      <alignment horizontal="center" vertical="center" wrapText="1"/>
    </xf>
    <xf numFmtId="0" fontId="82" fillId="3" borderId="15" xfId="0" applyFont="1" applyFill="1" applyBorder="1" applyAlignment="1">
      <alignment horizontal="center" vertical="center" wrapText="1"/>
    </xf>
    <xf numFmtId="0" fontId="82" fillId="3" borderId="16" xfId="0" applyFont="1" applyFill="1" applyBorder="1" applyAlignment="1">
      <alignment horizontal="center" vertical="center" wrapText="1"/>
    </xf>
    <xf numFmtId="0" fontId="82" fillId="3" borderId="6" xfId="0" applyFont="1" applyFill="1" applyBorder="1" applyAlignment="1">
      <alignment horizontal="center"/>
    </xf>
    <xf numFmtId="200" fontId="81" fillId="0" borderId="52" xfId="486" applyNumberFormat="1" applyFont="1" applyBorder="1" applyAlignment="1">
      <alignment horizontal="right" vertical="center"/>
    </xf>
    <xf numFmtId="200" fontId="81" fillId="0" borderId="8" xfId="486" applyNumberFormat="1" applyFont="1" applyBorder="1" applyAlignment="1">
      <alignment horizontal="right" vertical="center"/>
    </xf>
    <xf numFmtId="2" fontId="81" fillId="0" borderId="52" xfId="0" applyNumberFormat="1" applyFont="1" applyBorder="1" applyAlignment="1">
      <alignment horizontal="center" vertical="center"/>
    </xf>
    <xf numFmtId="2" fontId="81" fillId="0" borderId="8" xfId="0" applyNumberFormat="1" applyFont="1" applyBorder="1" applyAlignment="1">
      <alignment horizontal="center" vertical="center"/>
    </xf>
    <xf numFmtId="0" fontId="82" fillId="0" borderId="0" xfId="0" applyFont="1" applyBorder="1" applyAlignment="1">
      <alignment horizontal="left" vertical="center"/>
    </xf>
    <xf numFmtId="200" fontId="81" fillId="0" borderId="3" xfId="486" applyNumberFormat="1" applyFont="1" applyBorder="1" applyAlignment="1">
      <alignment horizontal="right" vertical="center"/>
    </xf>
    <xf numFmtId="2" fontId="81" fillId="0" borderId="3" xfId="0" applyNumberFormat="1" applyFont="1" applyBorder="1" applyAlignment="1">
      <alignment horizontal="center" vertical="center"/>
    </xf>
    <xf numFmtId="200" fontId="81" fillId="0" borderId="6" xfId="486" applyNumberFormat="1" applyFont="1" applyBorder="1" applyAlignment="1">
      <alignment horizontal="right" vertical="center"/>
    </xf>
    <xf numFmtId="0" fontId="81" fillId="0" borderId="6" xfId="0" applyFont="1" applyBorder="1" applyAlignment="1">
      <alignment horizontal="center" vertical="center"/>
    </xf>
    <xf numFmtId="2" fontId="5" fillId="0" borderId="6" xfId="0" applyNumberFormat="1" applyFont="1" applyBorder="1" applyAlignment="1">
      <alignment horizontal="center" vertical="center"/>
    </xf>
    <xf numFmtId="2" fontId="5" fillId="0" borderId="6" xfId="0" applyNumberFormat="1" applyFont="1" applyBorder="1" applyAlignment="1">
      <alignment vertical="center"/>
    </xf>
    <xf numFmtId="0" fontId="5" fillId="0" borderId="6" xfId="0" applyFont="1" applyBorder="1" applyAlignment="1">
      <alignment horizontal="center" vertical="center" wrapText="1"/>
    </xf>
    <xf numFmtId="0" fontId="9" fillId="0" borderId="106" xfId="78" applyFont="1" applyFill="1" applyBorder="1" applyAlignment="1">
      <alignment horizontal="center" vertical="center"/>
    </xf>
    <xf numFmtId="2" fontId="212" fillId="0" borderId="6" xfId="78" applyNumberFormat="1" applyFont="1" applyFill="1" applyBorder="1" applyAlignment="1">
      <alignment horizontal="center" vertical="center"/>
    </xf>
    <xf numFmtId="0" fontId="213" fillId="39" borderId="6" xfId="9" applyFont="1" applyFill="1" applyBorder="1" applyAlignment="1" applyProtection="1">
      <alignment horizontal="right" vertical="center" wrapText="1"/>
    </xf>
    <xf numFmtId="0" fontId="213" fillId="39" borderId="52" xfId="9" applyFont="1" applyFill="1" applyBorder="1" applyAlignment="1" applyProtection="1">
      <alignment horizontal="right" vertical="center" wrapText="1"/>
    </xf>
    <xf numFmtId="0" fontId="213" fillId="39" borderId="8" xfId="9" applyFont="1" applyFill="1" applyBorder="1" applyAlignment="1" applyProtection="1">
      <alignment horizontal="right" vertical="center" wrapText="1"/>
    </xf>
    <xf numFmtId="0" fontId="213" fillId="39" borderId="52" xfId="9" applyFont="1" applyFill="1" applyBorder="1" applyAlignment="1">
      <alignment horizontal="center" vertical="center" wrapText="1"/>
    </xf>
    <xf numFmtId="0" fontId="213" fillId="39" borderId="8" xfId="9" applyFont="1" applyFill="1" applyBorder="1" applyAlignment="1">
      <alignment horizontal="center" vertical="center" wrapText="1"/>
    </xf>
    <xf numFmtId="0" fontId="213" fillId="39" borderId="52" xfId="5" applyFont="1" applyFill="1" applyBorder="1" applyAlignment="1">
      <alignment horizontal="center" vertical="center"/>
    </xf>
    <xf numFmtId="0" fontId="213" fillId="39" borderId="8" xfId="5" applyFont="1" applyFill="1" applyBorder="1" applyAlignment="1">
      <alignment horizontal="center" vertical="center"/>
    </xf>
    <xf numFmtId="0" fontId="213" fillId="39" borderId="54" xfId="9" applyFont="1" applyFill="1" applyBorder="1" applyAlignment="1" applyProtection="1">
      <alignment horizontal="center" vertical="center" wrapText="1"/>
    </xf>
    <xf numFmtId="0" fontId="213" fillId="39" borderId="55" xfId="9" applyFont="1" applyFill="1" applyBorder="1" applyAlignment="1" applyProtection="1">
      <alignment horizontal="center" vertical="center" wrapText="1"/>
    </xf>
    <xf numFmtId="0" fontId="213" fillId="39" borderId="56" xfId="9" applyFont="1" applyFill="1" applyBorder="1" applyAlignment="1" applyProtection="1">
      <alignment horizontal="center" vertical="center" wrapText="1"/>
    </xf>
    <xf numFmtId="0" fontId="213" fillId="39" borderId="52" xfId="9" applyFont="1" applyFill="1" applyBorder="1" applyAlignment="1" applyProtection="1">
      <alignment horizontal="center" vertical="center" wrapText="1"/>
    </xf>
    <xf numFmtId="0" fontId="213" fillId="39" borderId="8" xfId="9" applyFont="1" applyFill="1" applyBorder="1" applyAlignment="1" applyProtection="1">
      <alignment horizontal="center" vertical="center" wrapText="1"/>
    </xf>
    <xf numFmtId="0" fontId="213" fillId="39" borderId="54" xfId="9" applyFont="1" applyFill="1" applyBorder="1" applyAlignment="1" applyProtection="1">
      <alignment horizontal="center" vertical="top" wrapText="1"/>
    </xf>
    <xf numFmtId="0" fontId="213" fillId="39" borderId="55" xfId="9" applyFont="1" applyFill="1" applyBorder="1" applyAlignment="1" applyProtection="1">
      <alignment horizontal="center" vertical="top" wrapText="1"/>
    </xf>
    <xf numFmtId="0" fontId="213" fillId="39" borderId="56" xfId="9" applyFont="1" applyFill="1" applyBorder="1" applyAlignment="1" applyProtection="1">
      <alignment horizontal="center" vertical="top" wrapText="1"/>
    </xf>
    <xf numFmtId="0" fontId="213" fillId="0" borderId="6" xfId="9" applyFont="1" applyFill="1" applyBorder="1" applyAlignment="1" applyProtection="1">
      <alignment horizontal="right" vertical="center" wrapText="1"/>
    </xf>
    <xf numFmtId="0" fontId="213" fillId="39" borderId="6" xfId="9" applyFont="1" applyFill="1" applyBorder="1" applyAlignment="1" applyProtection="1">
      <alignment horizontal="center" vertical="center" wrapText="1"/>
    </xf>
    <xf numFmtId="2" fontId="213" fillId="0" borderId="6" xfId="78" applyNumberFormat="1" applyFont="1" applyFill="1" applyBorder="1" applyAlignment="1">
      <alignment horizontal="center" vertical="center"/>
    </xf>
    <xf numFmtId="0" fontId="213" fillId="39" borderId="6" xfId="9" applyFont="1" applyFill="1" applyBorder="1" applyAlignment="1" applyProtection="1">
      <alignment horizontal="center" vertical="top" wrapText="1"/>
    </xf>
    <xf numFmtId="0" fontId="213" fillId="39" borderId="6" xfId="9" applyFont="1" applyFill="1" applyBorder="1" applyAlignment="1">
      <alignment horizontal="center" vertical="center" wrapText="1"/>
    </xf>
    <xf numFmtId="0" fontId="213" fillId="39" borderId="6" xfId="5" applyFont="1" applyFill="1" applyBorder="1" applyAlignment="1">
      <alignment horizontal="center" vertical="center"/>
    </xf>
    <xf numFmtId="0" fontId="3" fillId="3" borderId="5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18" fillId="3" borderId="6" xfId="3" applyFont="1" applyFill="1" applyBorder="1" applyAlignment="1">
      <alignment horizontal="center" vertical="top"/>
    </xf>
    <xf numFmtId="0" fontId="81" fillId="0" borderId="54" xfId="0" applyFont="1" applyBorder="1" applyAlignment="1">
      <alignment horizontal="center" vertical="center" wrapText="1"/>
    </xf>
    <xf numFmtId="0" fontId="81" fillId="0" borderId="56" xfId="0" applyFont="1" applyBorder="1" applyAlignment="1">
      <alignment horizontal="center" vertical="center" wrapText="1"/>
    </xf>
    <xf numFmtId="2" fontId="81" fillId="0" borderId="54" xfId="0" applyNumberFormat="1" applyFont="1" applyBorder="1" applyAlignment="1">
      <alignment horizontal="center"/>
    </xf>
    <xf numFmtId="2" fontId="81" fillId="0" borderId="56" xfId="0" applyNumberFormat="1" applyFont="1" applyBorder="1" applyAlignment="1">
      <alignment horizontal="center"/>
    </xf>
    <xf numFmtId="0" fontId="81" fillId="0" borderId="52" xfId="0" applyFont="1" applyBorder="1" applyAlignment="1">
      <alignment horizontal="center" vertical="center"/>
    </xf>
    <xf numFmtId="0" fontId="81" fillId="0" borderId="3" xfId="0" applyFont="1" applyBorder="1" applyAlignment="1">
      <alignment horizontal="center" vertical="center"/>
    </xf>
    <xf numFmtId="0" fontId="81" fillId="0" borderId="8" xfId="0" applyFont="1" applyBorder="1" applyAlignment="1">
      <alignment horizontal="center" vertical="center"/>
    </xf>
    <xf numFmtId="2" fontId="81" fillId="0" borderId="52" xfId="0" applyNumberFormat="1" applyFont="1" applyBorder="1" applyAlignment="1">
      <alignment horizontal="center"/>
    </xf>
    <xf numFmtId="2" fontId="81" fillId="0" borderId="8" xfId="0" applyNumberFormat="1" applyFont="1" applyBorder="1" applyAlignment="1">
      <alignment horizontal="center"/>
    </xf>
    <xf numFmtId="0" fontId="81" fillId="0" borderId="54" xfId="0" applyFont="1" applyBorder="1" applyAlignment="1">
      <alignment horizontal="center"/>
    </xf>
    <xf numFmtId="0" fontId="81" fillId="0" borderId="56" xfId="0" applyFont="1" applyBorder="1" applyAlignment="1">
      <alignment horizontal="center"/>
    </xf>
    <xf numFmtId="0" fontId="4" fillId="4" borderId="6" xfId="0" applyFont="1" applyFill="1" applyBorder="1" applyAlignment="1">
      <alignment horizontal="center" vertical="center" wrapText="1"/>
    </xf>
    <xf numFmtId="0" fontId="81" fillId="0" borderId="106" xfId="0" applyFont="1" applyBorder="1" applyAlignment="1">
      <alignment horizontal="center" vertical="center"/>
    </xf>
    <xf numFmtId="0" fontId="81" fillId="0" borderId="0" xfId="0" applyFont="1" applyBorder="1" applyAlignment="1">
      <alignment horizontal="center" vertical="center"/>
    </xf>
    <xf numFmtId="0" fontId="81" fillId="0" borderId="14" xfId="0" applyFont="1" applyBorder="1" applyAlignment="1">
      <alignment horizontal="center" vertical="center"/>
    </xf>
    <xf numFmtId="0" fontId="81" fillId="0" borderId="106" xfId="0" applyFont="1" applyBorder="1" applyAlignment="1">
      <alignment horizontal="center"/>
    </xf>
    <xf numFmtId="0" fontId="81" fillId="0" borderId="0" xfId="0" applyFont="1" applyBorder="1" applyAlignment="1">
      <alignment horizontal="center"/>
    </xf>
    <xf numFmtId="0" fontId="81" fillId="0" borderId="14" xfId="0" applyFont="1" applyBorder="1" applyAlignment="1">
      <alignment horizontal="center"/>
    </xf>
    <xf numFmtId="0" fontId="81" fillId="0" borderId="12"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06"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6" xfId="0" applyFont="1" applyBorder="1" applyAlignment="1">
      <alignment horizontal="center" vertical="center" wrapText="1"/>
    </xf>
    <xf numFmtId="0" fontId="79" fillId="0" borderId="12" xfId="0" applyFont="1" applyBorder="1" applyAlignment="1">
      <alignment horizontal="center" vertical="center" wrapText="1"/>
    </xf>
    <xf numFmtId="0" fontId="79" fillId="0" borderId="13" xfId="0" applyFont="1" applyBorder="1" applyAlignment="1">
      <alignment horizontal="center" vertical="center" wrapText="1"/>
    </xf>
    <xf numFmtId="0" fontId="79" fillId="0" borderId="106" xfId="0" applyFont="1" applyBorder="1" applyAlignment="1">
      <alignment horizontal="center" vertical="center" wrapText="1"/>
    </xf>
    <xf numFmtId="0" fontId="79" fillId="0" borderId="14" xfId="0" applyFont="1" applyBorder="1" applyAlignment="1">
      <alignment horizontal="center" vertical="center" wrapText="1"/>
    </xf>
    <xf numFmtId="0" fontId="79" fillId="0" borderId="15" xfId="0" applyFont="1" applyBorder="1" applyAlignment="1">
      <alignment horizontal="center" vertical="center" wrapText="1"/>
    </xf>
    <xf numFmtId="0" fontId="79" fillId="0" borderId="16" xfId="0" applyFont="1" applyBorder="1" applyAlignment="1">
      <alignment horizontal="center" vertical="center" wrapText="1"/>
    </xf>
    <xf numFmtId="2" fontId="81" fillId="4" borderId="52" xfId="0" applyNumberFormat="1" applyFont="1" applyFill="1" applyBorder="1" applyAlignment="1">
      <alignment horizontal="center" vertical="center"/>
    </xf>
    <xf numFmtId="2" fontId="81" fillId="4" borderId="3" xfId="0" applyNumberFormat="1" applyFont="1" applyFill="1" applyBorder="1" applyAlignment="1">
      <alignment horizontal="center" vertical="center"/>
    </xf>
    <xf numFmtId="2" fontId="81" fillId="4" borderId="8" xfId="0" applyNumberFormat="1" applyFont="1" applyFill="1" applyBorder="1" applyAlignment="1">
      <alignment horizontal="center" vertical="center"/>
    </xf>
    <xf numFmtId="0" fontId="4" fillId="0" borderId="52" xfId="13" applyFont="1" applyBorder="1" applyAlignment="1">
      <alignment horizontal="center" vertical="center"/>
    </xf>
    <xf numFmtId="0" fontId="4" fillId="0" borderId="3" xfId="13" applyFont="1" applyBorder="1" applyAlignment="1">
      <alignment horizontal="center" vertical="center"/>
    </xf>
    <xf numFmtId="0" fontId="4" fillId="0" borderId="8" xfId="13" applyFont="1" applyBorder="1" applyAlignment="1">
      <alignment horizontal="center" vertical="center"/>
    </xf>
    <xf numFmtId="2" fontId="81" fillId="0" borderId="6" xfId="0" applyNumberFormat="1" applyFont="1" applyBorder="1" applyAlignment="1">
      <alignment horizontal="center" vertical="center"/>
    </xf>
    <xf numFmtId="0" fontId="4" fillId="0" borderId="6" xfId="13" applyFont="1" applyFill="1" applyBorder="1" applyAlignment="1">
      <alignment horizontal="center" vertical="center"/>
    </xf>
    <xf numFmtId="0" fontId="4" fillId="0" borderId="6" xfId="114" applyFont="1" applyFill="1" applyBorder="1" applyAlignment="1" applyProtection="1">
      <alignment horizontal="center" vertical="center"/>
    </xf>
    <xf numFmtId="187" fontId="81" fillId="4" borderId="52" xfId="0" applyNumberFormat="1" applyFont="1" applyFill="1" applyBorder="1" applyAlignment="1">
      <alignment horizontal="center" vertical="center"/>
    </xf>
    <xf numFmtId="187" fontId="81" fillId="4" borderId="3" xfId="0" applyNumberFormat="1" applyFont="1" applyFill="1" applyBorder="1" applyAlignment="1">
      <alignment horizontal="center" vertical="center"/>
    </xf>
    <xf numFmtId="187" fontId="81" fillId="4" borderId="8" xfId="0" applyNumberFormat="1" applyFont="1" applyFill="1" applyBorder="1" applyAlignment="1">
      <alignment horizontal="center" vertical="center"/>
    </xf>
    <xf numFmtId="0" fontId="81" fillId="0" borderId="54" xfId="0" applyFont="1" applyFill="1" applyBorder="1" applyAlignment="1">
      <alignment horizontal="center" vertical="center"/>
    </xf>
    <xf numFmtId="0" fontId="81" fillId="0" borderId="56" xfId="0" applyFont="1" applyFill="1" applyBorder="1" applyAlignment="1">
      <alignment horizontal="center" vertical="center"/>
    </xf>
    <xf numFmtId="0" fontId="116" fillId="0" borderId="52" xfId="0" applyFont="1" applyBorder="1" applyAlignment="1">
      <alignment horizontal="center" vertical="center" wrapText="1"/>
    </xf>
    <xf numFmtId="0" fontId="116" fillId="0" borderId="3" xfId="0" applyFont="1" applyBorder="1" applyAlignment="1">
      <alignment horizontal="center" vertical="center" wrapText="1"/>
    </xf>
    <xf numFmtId="0" fontId="116" fillId="0" borderId="8" xfId="0" applyFont="1" applyBorder="1" applyAlignment="1">
      <alignment horizontal="center" vertical="center" wrapText="1"/>
    </xf>
    <xf numFmtId="0" fontId="82" fillId="3" borderId="106" xfId="0" applyFont="1" applyFill="1" applyBorder="1" applyAlignment="1">
      <alignment horizontal="center" vertical="center"/>
    </xf>
    <xf numFmtId="0" fontId="82" fillId="3" borderId="14" xfId="0" applyFont="1" applyFill="1" applyBorder="1" applyAlignment="1">
      <alignment horizontal="center" vertical="center"/>
    </xf>
    <xf numFmtId="2" fontId="81" fillId="4" borderId="6" xfId="0" applyNumberFormat="1" applyFont="1" applyFill="1" applyBorder="1" applyAlignment="1">
      <alignment horizontal="center" vertical="center"/>
    </xf>
    <xf numFmtId="0" fontId="4" fillId="0" borderId="12" xfId="13" applyFont="1" applyFill="1" applyBorder="1" applyAlignment="1">
      <alignment horizontal="center" vertical="center"/>
    </xf>
    <xf numFmtId="0" fontId="4" fillId="0" borderId="13" xfId="13" applyFont="1" applyFill="1" applyBorder="1" applyAlignment="1">
      <alignment horizontal="center" vertical="center"/>
    </xf>
    <xf numFmtId="0" fontId="4" fillId="0" borderId="15" xfId="13" applyFont="1" applyFill="1" applyBorder="1" applyAlignment="1">
      <alignment horizontal="center" vertical="center"/>
    </xf>
    <xf numFmtId="0" fontId="4" fillId="0" borderId="16" xfId="13" applyFont="1" applyFill="1" applyBorder="1" applyAlignment="1">
      <alignment horizontal="center" vertical="center"/>
    </xf>
    <xf numFmtId="1" fontId="81" fillId="0" borderId="52" xfId="0" applyNumberFormat="1" applyFont="1" applyBorder="1" applyAlignment="1">
      <alignment horizontal="center" vertical="center"/>
    </xf>
    <xf numFmtId="1" fontId="81" fillId="0" borderId="3" xfId="0" applyNumberFormat="1" applyFont="1" applyBorder="1" applyAlignment="1">
      <alignment horizontal="center" vertical="center"/>
    </xf>
    <xf numFmtId="1" fontId="81" fillId="0" borderId="8" xfId="0" applyNumberFormat="1" applyFont="1" applyBorder="1" applyAlignment="1">
      <alignment horizontal="center" vertical="center"/>
    </xf>
    <xf numFmtId="0" fontId="81" fillId="4" borderId="6" xfId="0" applyFont="1" applyFill="1" applyBorder="1" applyAlignment="1">
      <alignment horizontal="center" vertical="center"/>
    </xf>
    <xf numFmtId="0" fontId="116" fillId="0" borderId="6" xfId="0" applyFont="1" applyBorder="1" applyAlignment="1">
      <alignment horizontal="center"/>
    </xf>
    <xf numFmtId="0" fontId="116" fillId="0" borderId="54" xfId="0" applyFont="1" applyBorder="1" applyAlignment="1">
      <alignment horizontal="center" vertical="center" wrapText="1"/>
    </xf>
    <xf numFmtId="0" fontId="116" fillId="0" borderId="56" xfId="0" applyFont="1" applyBorder="1" applyAlignment="1">
      <alignment horizontal="center" vertical="center" wrapText="1"/>
    </xf>
    <xf numFmtId="2" fontId="116" fillId="0" borderId="52" xfId="0" applyNumberFormat="1" applyFont="1" applyBorder="1" applyAlignment="1">
      <alignment horizontal="center" vertical="center"/>
    </xf>
    <xf numFmtId="2" fontId="116" fillId="0" borderId="3" xfId="0" applyNumberFormat="1" applyFont="1" applyBorder="1" applyAlignment="1">
      <alignment horizontal="center" vertical="center"/>
    </xf>
    <xf numFmtId="2" fontId="116" fillId="0" borderId="8" xfId="0" applyNumberFormat="1" applyFont="1" applyBorder="1" applyAlignment="1">
      <alignment horizontal="center" vertical="center"/>
    </xf>
    <xf numFmtId="170" fontId="116" fillId="0" borderId="52" xfId="0" applyNumberFormat="1" applyFont="1" applyBorder="1" applyAlignment="1">
      <alignment horizontal="center" vertical="center"/>
    </xf>
    <xf numFmtId="170" fontId="116" fillId="0" borderId="3" xfId="0" applyNumberFormat="1" applyFont="1" applyBorder="1" applyAlignment="1">
      <alignment horizontal="center" vertical="center"/>
    </xf>
    <xf numFmtId="170" fontId="116" fillId="0" borderId="8" xfId="0" applyNumberFormat="1" applyFont="1" applyBorder="1" applyAlignment="1">
      <alignment horizontal="center" vertical="center"/>
    </xf>
    <xf numFmtId="0" fontId="116" fillId="0" borderId="3" xfId="0" applyFont="1" applyBorder="1" applyAlignment="1">
      <alignment horizontal="center" vertical="center"/>
    </xf>
    <xf numFmtId="0" fontId="116" fillId="0" borderId="8" xfId="0" applyFont="1" applyBorder="1" applyAlignment="1">
      <alignment horizontal="center" vertical="center"/>
    </xf>
    <xf numFmtId="0" fontId="116" fillId="0" borderId="12" xfId="0" applyFont="1" applyBorder="1" applyAlignment="1">
      <alignment horizontal="center" vertical="center" wrapText="1"/>
    </xf>
    <xf numFmtId="0" fontId="116" fillId="0" borderId="13" xfId="0" applyFont="1" applyBorder="1" applyAlignment="1">
      <alignment horizontal="center" vertical="center" wrapText="1"/>
    </xf>
    <xf numFmtId="0" fontId="116" fillId="0" borderId="106" xfId="0" applyFont="1" applyBorder="1" applyAlignment="1">
      <alignment horizontal="center" vertical="center" wrapText="1"/>
    </xf>
    <xf numFmtId="0" fontId="116" fillId="0" borderId="14" xfId="0" applyFont="1" applyBorder="1" applyAlignment="1">
      <alignment horizontal="center" vertical="center" wrapText="1"/>
    </xf>
    <xf numFmtId="0" fontId="116" fillId="0" borderId="15" xfId="0" applyFont="1" applyBorder="1" applyAlignment="1">
      <alignment horizontal="center" vertical="center" wrapText="1"/>
    </xf>
    <xf numFmtId="0" fontId="116" fillId="0" borderId="16" xfId="0" applyFont="1" applyBorder="1" applyAlignment="1">
      <alignment horizontal="center" vertical="center" wrapText="1"/>
    </xf>
    <xf numFmtId="0" fontId="116" fillId="0" borderId="6" xfId="0" applyFont="1" applyBorder="1" applyAlignment="1">
      <alignment horizontal="center" vertical="center" wrapText="1"/>
    </xf>
    <xf numFmtId="0" fontId="116" fillId="0" borderId="12" xfId="0" applyFont="1" applyBorder="1" applyAlignment="1">
      <alignment horizontal="center" vertical="center"/>
    </xf>
    <xf numFmtId="0" fontId="116" fillId="0" borderId="13" xfId="0" applyFont="1" applyBorder="1" applyAlignment="1">
      <alignment horizontal="center" vertical="center"/>
    </xf>
    <xf numFmtId="0" fontId="116" fillId="0" borderId="106" xfId="0" applyFont="1" applyBorder="1" applyAlignment="1">
      <alignment horizontal="center" vertical="center"/>
    </xf>
    <xf numFmtId="0" fontId="116" fillId="0" borderId="14" xfId="0" applyFont="1" applyBorder="1" applyAlignment="1">
      <alignment horizontal="center" vertical="center"/>
    </xf>
    <xf numFmtId="0" fontId="116" fillId="0" borderId="15" xfId="0" applyFont="1" applyBorder="1" applyAlignment="1">
      <alignment horizontal="center" vertical="center"/>
    </xf>
    <xf numFmtId="0" fontId="116" fillId="0" borderId="16" xfId="0" applyFont="1" applyBorder="1" applyAlignment="1">
      <alignment horizontal="center" vertical="center"/>
    </xf>
    <xf numFmtId="0" fontId="116" fillId="0" borderId="54" xfId="0" applyFont="1" applyBorder="1" applyAlignment="1">
      <alignment horizontal="center"/>
    </xf>
    <xf numFmtId="0" fontId="116" fillId="0" borderId="56" xfId="0" applyFont="1" applyBorder="1" applyAlignment="1">
      <alignment horizontal="center"/>
    </xf>
    <xf numFmtId="2" fontId="116" fillId="0" borderId="6" xfId="0" applyNumberFormat="1" applyFont="1" applyBorder="1" applyAlignment="1">
      <alignment horizontal="center" vertical="center"/>
    </xf>
    <xf numFmtId="0" fontId="116" fillId="0" borderId="6" xfId="0" applyFont="1" applyBorder="1" applyAlignment="1">
      <alignment horizontal="center" vertical="center"/>
    </xf>
    <xf numFmtId="0" fontId="4" fillId="4" borderId="54" xfId="0" applyFont="1" applyFill="1" applyBorder="1" applyAlignment="1">
      <alignment horizontal="left" vertical="center" wrapText="1"/>
    </xf>
    <xf numFmtId="0" fontId="4" fillId="4" borderId="56" xfId="0" applyFont="1" applyFill="1" applyBorder="1" applyAlignment="1">
      <alignment horizontal="left" vertical="center" wrapText="1"/>
    </xf>
    <xf numFmtId="0" fontId="4" fillId="0" borderId="54" xfId="6" applyFont="1" applyBorder="1" applyAlignment="1">
      <alignment horizontal="center" vertical="center" wrapText="1"/>
    </xf>
    <xf numFmtId="0" fontId="4" fillId="0" borderId="56" xfId="6" applyFont="1" applyBorder="1" applyAlignment="1">
      <alignment horizontal="center" vertical="center" wrapText="1"/>
    </xf>
    <xf numFmtId="43" fontId="116" fillId="0" borderId="52" xfId="0" applyNumberFormat="1" applyFont="1" applyBorder="1" applyAlignment="1">
      <alignment horizontal="center" vertical="center"/>
    </xf>
    <xf numFmtId="43" fontId="116" fillId="0" borderId="8" xfId="0" applyNumberFormat="1" applyFont="1" applyBorder="1" applyAlignment="1">
      <alignment horizontal="center" vertical="center"/>
    </xf>
    <xf numFmtId="0" fontId="116" fillId="0" borderId="52" xfId="0" applyFont="1" applyBorder="1" applyAlignment="1">
      <alignment horizontal="center" vertical="center"/>
    </xf>
    <xf numFmtId="0" fontId="81" fillId="0" borderId="52" xfId="0" applyFont="1" applyBorder="1" applyAlignment="1">
      <alignment horizontal="center"/>
    </xf>
    <xf numFmtId="0" fontId="81" fillId="0" borderId="3" xfId="0" applyFont="1" applyBorder="1" applyAlignment="1">
      <alignment horizontal="center"/>
    </xf>
    <xf numFmtId="0" fontId="81" fillId="0" borderId="8" xfId="0" applyFont="1" applyBorder="1" applyAlignment="1">
      <alignment horizontal="center"/>
    </xf>
    <xf numFmtId="0" fontId="117" fillId="3" borderId="6" xfId="0" applyFont="1" applyFill="1" applyBorder="1" applyAlignment="1">
      <alignment horizontal="center"/>
    </xf>
    <xf numFmtId="0" fontId="213" fillId="0" borderId="52" xfId="9" applyFont="1" applyFill="1" applyBorder="1" applyAlignment="1" applyProtection="1">
      <alignment horizontal="center" vertical="center" wrapText="1"/>
    </xf>
    <xf numFmtId="0" fontId="213" fillId="0" borderId="8" xfId="9" applyFont="1" applyFill="1" applyBorder="1" applyAlignment="1" applyProtection="1">
      <alignment horizontal="center" vertical="center" wrapText="1"/>
    </xf>
    <xf numFmtId="0" fontId="213" fillId="0" borderId="6" xfId="9" applyFont="1" applyFill="1" applyBorder="1" applyAlignment="1">
      <alignment horizontal="center" vertical="center" wrapText="1"/>
    </xf>
    <xf numFmtId="0" fontId="213" fillId="0" borderId="6" xfId="5" applyFont="1" applyFill="1" applyBorder="1" applyAlignment="1">
      <alignment horizontal="center" vertical="center"/>
    </xf>
    <xf numFmtId="0" fontId="213" fillId="0" borderId="6" xfId="9" applyFont="1" applyFill="1" applyBorder="1" applyAlignment="1" applyProtection="1">
      <alignment horizontal="center" vertical="center" wrapText="1"/>
    </xf>
    <xf numFmtId="0" fontId="117" fillId="0" borderId="54" xfId="0" applyFont="1" applyFill="1" applyBorder="1" applyAlignment="1">
      <alignment horizontal="left" vertical="center" wrapText="1"/>
    </xf>
    <xf numFmtId="0" fontId="117" fillId="0" borderId="55" xfId="0" applyFont="1" applyFill="1" applyBorder="1" applyAlignment="1">
      <alignment horizontal="left" vertical="center" wrapText="1"/>
    </xf>
    <xf numFmtId="0" fontId="117" fillId="0" borderId="56" xfId="0" applyFont="1" applyFill="1" applyBorder="1" applyAlignment="1">
      <alignment horizontal="left" vertical="center" wrapText="1"/>
    </xf>
    <xf numFmtId="0" fontId="117" fillId="0" borderId="54" xfId="0" applyFont="1" applyBorder="1" applyAlignment="1">
      <alignment horizontal="left" vertical="center" wrapText="1"/>
    </xf>
    <xf numFmtId="0" fontId="117" fillId="0" borderId="55" xfId="0" applyFont="1" applyBorder="1" applyAlignment="1">
      <alignment horizontal="left" vertical="center" wrapText="1"/>
    </xf>
    <xf numFmtId="0" fontId="117" fillId="0" borderId="56" xfId="0" applyFont="1" applyBorder="1" applyAlignment="1">
      <alignment horizontal="left" vertical="center" wrapText="1"/>
    </xf>
    <xf numFmtId="0" fontId="51" fillId="0" borderId="0" xfId="78" applyFont="1" applyFill="1" applyBorder="1" applyAlignment="1">
      <alignment horizontal="center" vertical="center" wrapText="1"/>
    </xf>
    <xf numFmtId="0" fontId="18" fillId="3" borderId="6" xfId="9" applyFont="1" applyFill="1" applyBorder="1" applyAlignment="1" applyProtection="1">
      <alignment horizontal="center" vertical="center" wrapText="1"/>
    </xf>
    <xf numFmtId="0" fontId="18" fillId="3" borderId="6" xfId="5" applyFont="1" applyFill="1" applyBorder="1" applyAlignment="1">
      <alignment horizontal="center" vertical="center"/>
    </xf>
    <xf numFmtId="0" fontId="18" fillId="3" borderId="6" xfId="9" applyFont="1" applyFill="1" applyBorder="1" applyAlignment="1">
      <alignment horizontal="center" vertical="center" wrapText="1"/>
    </xf>
    <xf numFmtId="0" fontId="82" fillId="65" borderId="6" xfId="0" applyFont="1" applyFill="1" applyBorder="1" applyAlignment="1">
      <alignment horizontal="center" vertical="center" wrapText="1"/>
    </xf>
    <xf numFmtId="0" fontId="18" fillId="65" borderId="6" xfId="9" applyFont="1" applyFill="1" applyBorder="1" applyAlignment="1">
      <alignment horizontal="center" vertical="center" wrapText="1"/>
    </xf>
    <xf numFmtId="2" fontId="51" fillId="0" borderId="6" xfId="78" applyNumberFormat="1" applyFont="1" applyFill="1" applyBorder="1" applyAlignment="1">
      <alignment horizontal="center" vertical="center"/>
    </xf>
    <xf numFmtId="0" fontId="213" fillId="0" borderId="6" xfId="9" applyFont="1" applyFill="1" applyBorder="1" applyAlignment="1" applyProtection="1">
      <alignment horizontal="center" vertical="top" wrapText="1"/>
    </xf>
    <xf numFmtId="0" fontId="117" fillId="0" borderId="6" xfId="0" applyFont="1" applyBorder="1" applyAlignment="1">
      <alignment horizontal="center" vertical="center"/>
    </xf>
    <xf numFmtId="0" fontId="117" fillId="0" borderId="54" xfId="0" applyFont="1" applyBorder="1" applyAlignment="1">
      <alignment horizontal="center" vertical="center"/>
    </xf>
    <xf numFmtId="0" fontId="117" fillId="0" borderId="55" xfId="0" applyFont="1" applyBorder="1" applyAlignment="1">
      <alignment horizontal="center" vertical="center"/>
    </xf>
    <xf numFmtId="0" fontId="117" fillId="0" borderId="56" xfId="0" applyFont="1" applyBorder="1" applyAlignment="1">
      <alignment horizontal="center" vertical="center"/>
    </xf>
    <xf numFmtId="0" fontId="14" fillId="39" borderId="6" xfId="0" applyFont="1" applyFill="1" applyBorder="1" applyAlignment="1">
      <alignment horizontal="center" wrapText="1"/>
    </xf>
    <xf numFmtId="9" fontId="14" fillId="39" borderId="6" xfId="0" applyNumberFormat="1" applyFont="1" applyFill="1" applyBorder="1" applyAlignment="1">
      <alignment horizontal="center" wrapText="1"/>
    </xf>
    <xf numFmtId="0" fontId="51" fillId="0" borderId="23" xfId="0" applyFont="1" applyBorder="1" applyAlignment="1">
      <alignment horizontal="center" vertical="center" wrapText="1"/>
    </xf>
    <xf numFmtId="0" fontId="51" fillId="0" borderId="24" xfId="0" applyFont="1" applyBorder="1" applyAlignment="1">
      <alignment horizontal="center" vertical="center" wrapText="1"/>
    </xf>
    <xf numFmtId="0" fontId="51" fillId="0" borderId="25" xfId="0" applyFont="1" applyBorder="1" applyAlignment="1">
      <alignment horizontal="center" vertical="center" wrapText="1"/>
    </xf>
    <xf numFmtId="0" fontId="51" fillId="0" borderId="32" xfId="0" applyFont="1" applyBorder="1" applyAlignment="1">
      <alignment horizontal="center" vertical="center" wrapText="1"/>
    </xf>
    <xf numFmtId="0" fontId="51" fillId="0" borderId="0" xfId="0" applyFont="1" applyBorder="1" applyAlignment="1">
      <alignment horizontal="center" vertical="center" wrapText="1"/>
    </xf>
    <xf numFmtId="0" fontId="51" fillId="0" borderId="33" xfId="0" applyFont="1" applyBorder="1" applyAlignment="1">
      <alignment horizontal="center" vertical="center" wrapText="1"/>
    </xf>
    <xf numFmtId="0" fontId="51" fillId="0" borderId="102" xfId="0" applyFont="1" applyBorder="1" applyAlignment="1">
      <alignment horizontal="center" vertical="center" wrapText="1"/>
    </xf>
    <xf numFmtId="0" fontId="51" fillId="0" borderId="17" xfId="0" applyFont="1" applyBorder="1" applyAlignment="1">
      <alignment horizontal="center" vertical="center" wrapText="1"/>
    </xf>
    <xf numFmtId="0" fontId="51" fillId="0" borderId="89" xfId="0" applyFont="1" applyBorder="1" applyAlignment="1">
      <alignment horizontal="center" vertical="center" wrapText="1"/>
    </xf>
    <xf numFmtId="0" fontId="14" fillId="39" borderId="6" xfId="0" applyFont="1" applyFill="1" applyBorder="1" applyAlignment="1">
      <alignment horizontal="center" vertical="center"/>
    </xf>
    <xf numFmtId="0" fontId="14" fillId="39" borderId="6" xfId="0" applyFont="1" applyFill="1" applyBorder="1" applyAlignment="1">
      <alignment horizontal="center" vertical="center" wrapText="1"/>
    </xf>
    <xf numFmtId="0" fontId="129" fillId="0" borderId="106" xfId="0" applyFont="1" applyBorder="1" applyAlignment="1">
      <alignment horizontal="center"/>
    </xf>
    <xf numFmtId="0" fontId="129" fillId="0" borderId="0" xfId="0" applyFont="1" applyBorder="1" applyAlignment="1">
      <alignment horizontal="center"/>
    </xf>
    <xf numFmtId="0" fontId="129" fillId="0" borderId="14" xfId="0" applyFont="1" applyBorder="1" applyAlignment="1">
      <alignment horizontal="center"/>
    </xf>
    <xf numFmtId="0" fontId="129" fillId="0" borderId="15" xfId="0" applyFont="1" applyBorder="1" applyAlignment="1">
      <alignment horizontal="center"/>
    </xf>
    <xf numFmtId="0" fontId="129" fillId="0" borderId="17" xfId="0" applyFont="1" applyBorder="1" applyAlignment="1">
      <alignment horizontal="center"/>
    </xf>
    <xf numFmtId="0" fontId="129" fillId="0" borderId="16" xfId="0" applyFont="1" applyBorder="1" applyAlignment="1">
      <alignment horizontal="center"/>
    </xf>
    <xf numFmtId="0" fontId="142" fillId="3" borderId="54" xfId="0" applyFont="1" applyFill="1" applyBorder="1" applyAlignment="1">
      <alignment horizontal="center"/>
    </xf>
    <xf numFmtId="0" fontId="142" fillId="3" borderId="56" xfId="0" applyFont="1" applyFill="1" applyBorder="1" applyAlignment="1">
      <alignment horizontal="center"/>
    </xf>
    <xf numFmtId="0" fontId="0" fillId="37" borderId="52" xfId="0" applyFill="1" applyBorder="1" applyAlignment="1">
      <alignment horizontal="center" vertical="center" wrapText="1"/>
    </xf>
    <xf numFmtId="0" fontId="0" fillId="37" borderId="3" xfId="0" applyFill="1" applyBorder="1" applyAlignment="1">
      <alignment horizontal="center" vertical="center" wrapText="1"/>
    </xf>
    <xf numFmtId="0" fontId="0" fillId="37" borderId="8" xfId="0" applyFill="1" applyBorder="1" applyAlignment="1">
      <alignment horizontal="center" vertical="center" wrapText="1"/>
    </xf>
    <xf numFmtId="0" fontId="3" fillId="0" borderId="20" xfId="0" applyFont="1"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26" xfId="0" applyFont="1" applyBorder="1" applyAlignment="1">
      <alignment horizontal="center"/>
    </xf>
    <xf numFmtId="0" fontId="3" fillId="0" borderId="31" xfId="0" applyFont="1" applyBorder="1" applyAlignment="1">
      <alignment horizontal="center"/>
    </xf>
    <xf numFmtId="0" fontId="3" fillId="0" borderId="11" xfId="0" applyFont="1" applyBorder="1" applyAlignment="1">
      <alignment horizontal="center"/>
    </xf>
    <xf numFmtId="0" fontId="3" fillId="0" borderId="27" xfId="0" applyFont="1" applyBorder="1" applyAlignment="1">
      <alignment horizontal="center"/>
    </xf>
    <xf numFmtId="0" fontId="9" fillId="0" borderId="114" xfId="78" applyFont="1" applyFill="1" applyBorder="1" applyAlignment="1">
      <alignment horizontal="center"/>
    </xf>
    <xf numFmtId="0" fontId="9" fillId="0" borderId="116" xfId="78" applyFont="1" applyFill="1" applyBorder="1" applyAlignment="1">
      <alignment horizontal="center"/>
    </xf>
    <xf numFmtId="0" fontId="9" fillId="0" borderId="120" xfId="78" applyFont="1" applyFill="1" applyBorder="1" applyAlignment="1">
      <alignment horizontal="center"/>
    </xf>
    <xf numFmtId="0" fontId="9" fillId="3" borderId="67" xfId="78" applyFont="1" applyFill="1" applyBorder="1" applyAlignment="1">
      <alignment horizontal="center"/>
    </xf>
    <xf numFmtId="0" fontId="9" fillId="3" borderId="62" xfId="78" applyFont="1" applyFill="1" applyBorder="1" applyAlignment="1">
      <alignment horizontal="center"/>
    </xf>
    <xf numFmtId="0" fontId="10" fillId="3" borderId="6" xfId="78" applyFont="1" applyFill="1" applyBorder="1" applyAlignment="1">
      <alignment horizontal="center" vertical="center"/>
    </xf>
    <xf numFmtId="0" fontId="10" fillId="3" borderId="68" xfId="78" applyFont="1" applyFill="1" applyBorder="1" applyAlignment="1">
      <alignment horizontal="center"/>
    </xf>
    <xf numFmtId="0" fontId="10" fillId="3" borderId="81" xfId="78" applyFont="1" applyFill="1" applyBorder="1" applyAlignment="1">
      <alignment horizontal="center"/>
    </xf>
    <xf numFmtId="0" fontId="81" fillId="0" borderId="6" xfId="0" applyFont="1" applyBorder="1" applyAlignment="1">
      <alignment horizontal="justify" wrapText="1"/>
    </xf>
    <xf numFmtId="0" fontId="81" fillId="0" borderId="6" xfId="0" applyFont="1" applyBorder="1" applyAlignment="1">
      <alignment horizontal="center" wrapText="1"/>
    </xf>
    <xf numFmtId="0" fontId="82" fillId="0" borderId="6" xfId="0" applyFont="1" applyBorder="1" applyAlignment="1">
      <alignment horizontal="center" wrapText="1"/>
    </xf>
    <xf numFmtId="0" fontId="82" fillId="0" borderId="6" xfId="0" applyFont="1" applyBorder="1" applyAlignment="1">
      <alignment horizontal="center" vertical="center" wrapText="1"/>
    </xf>
    <xf numFmtId="0" fontId="81" fillId="0" borderId="6" xfId="0" applyFont="1" applyBorder="1" applyAlignment="1">
      <alignment horizontal="center" vertical="top" wrapText="1"/>
    </xf>
    <xf numFmtId="0" fontId="4" fillId="3" borderId="84" xfId="78" applyFont="1" applyFill="1" applyBorder="1" applyAlignment="1">
      <alignment horizontal="center"/>
    </xf>
    <xf numFmtId="0" fontId="4" fillId="3" borderId="60" xfId="78" applyFont="1" applyFill="1" applyBorder="1" applyAlignment="1">
      <alignment horizontal="center"/>
    </xf>
    <xf numFmtId="0" fontId="4" fillId="3" borderId="171" xfId="78" applyFont="1" applyFill="1" applyBorder="1" applyAlignment="1">
      <alignment horizontal="center"/>
    </xf>
    <xf numFmtId="0" fontId="4" fillId="3" borderId="160" xfId="78" applyFont="1" applyFill="1" applyBorder="1" applyAlignment="1">
      <alignment horizontal="center"/>
    </xf>
    <xf numFmtId="0" fontId="4" fillId="3" borderId="161" xfId="78" applyFont="1" applyFill="1" applyBorder="1" applyAlignment="1">
      <alignment horizontal="center"/>
    </xf>
    <xf numFmtId="0" fontId="4" fillId="3" borderId="155" xfId="78" applyFont="1" applyFill="1" applyBorder="1" applyAlignment="1">
      <alignment horizontal="center"/>
    </xf>
    <xf numFmtId="0" fontId="4" fillId="3" borderId="163" xfId="78" applyFont="1" applyFill="1" applyBorder="1" applyAlignment="1">
      <alignment horizontal="center" vertical="center"/>
    </xf>
    <xf numFmtId="0" fontId="4" fillId="3" borderId="59" xfId="78" applyFont="1" applyFill="1" applyBorder="1" applyAlignment="1">
      <alignment horizontal="center" vertical="center"/>
    </xf>
    <xf numFmtId="0" fontId="4" fillId="3" borderId="13" xfId="78" applyFont="1" applyFill="1" applyBorder="1" applyAlignment="1">
      <alignment horizontal="center" vertical="center"/>
    </xf>
    <xf numFmtId="0" fontId="4" fillId="3" borderId="6" xfId="78" applyFont="1" applyFill="1" applyBorder="1" applyAlignment="1">
      <alignment horizontal="center" vertical="center"/>
    </xf>
    <xf numFmtId="0" fontId="4" fillId="3" borderId="52" xfId="78" applyFont="1" applyFill="1" applyBorder="1" applyAlignment="1">
      <alignment horizontal="center" vertical="center"/>
    </xf>
    <xf numFmtId="0" fontId="4" fillId="3" borderId="3" xfId="78" applyFont="1" applyFill="1" applyBorder="1" applyAlignment="1">
      <alignment horizontal="center" vertical="center"/>
    </xf>
    <xf numFmtId="0" fontId="4" fillId="3" borderId="8" xfId="78" applyFont="1" applyFill="1" applyBorder="1" applyAlignment="1">
      <alignment horizontal="center" vertical="center"/>
    </xf>
    <xf numFmtId="0" fontId="4" fillId="0" borderId="0" xfId="78" applyFont="1" applyAlignment="1">
      <alignment horizontal="center"/>
    </xf>
    <xf numFmtId="0" fontId="4" fillId="3" borderId="84" xfId="78" applyFont="1" applyFill="1" applyBorder="1" applyAlignment="1">
      <alignment horizontal="center" vertical="center"/>
    </xf>
    <xf numFmtId="0" fontId="4" fillId="3" borderId="81" xfId="78" applyFont="1" applyFill="1" applyBorder="1" applyAlignment="1">
      <alignment horizontal="center" vertical="center"/>
    </xf>
    <xf numFmtId="0" fontId="4" fillId="3" borderId="69" xfId="78" applyFont="1" applyFill="1" applyBorder="1" applyAlignment="1">
      <alignment horizontal="center" vertical="center"/>
    </xf>
    <xf numFmtId="0" fontId="4" fillId="3" borderId="79" xfId="78" applyFont="1" applyFill="1" applyBorder="1" applyAlignment="1">
      <alignment horizontal="center" vertical="center"/>
    </xf>
    <xf numFmtId="0" fontId="4" fillId="3" borderId="68" xfId="78" applyFont="1" applyFill="1" applyBorder="1" applyAlignment="1">
      <alignment horizontal="center" vertical="center"/>
    </xf>
    <xf numFmtId="0" fontId="4" fillId="3" borderId="67" xfId="78" applyFont="1" applyFill="1" applyBorder="1" applyAlignment="1">
      <alignment horizontal="center" vertical="center"/>
    </xf>
    <xf numFmtId="0" fontId="4" fillId="3" borderId="54" xfId="78" applyFont="1" applyFill="1" applyBorder="1" applyAlignment="1">
      <alignment horizontal="center"/>
    </xf>
    <xf numFmtId="0" fontId="4" fillId="3" borderId="55" xfId="78" applyFont="1" applyFill="1" applyBorder="1" applyAlignment="1">
      <alignment horizontal="center"/>
    </xf>
    <xf numFmtId="0" fontId="4" fillId="3" borderId="56" xfId="78" applyFont="1" applyFill="1" applyBorder="1" applyAlignment="1">
      <alignment horizontal="center"/>
    </xf>
    <xf numFmtId="0" fontId="4" fillId="3" borderId="35" xfId="78" applyFont="1" applyFill="1" applyBorder="1" applyAlignment="1">
      <alignment horizontal="left"/>
    </xf>
    <xf numFmtId="0" fontId="81" fillId="3" borderId="6" xfId="0" applyFont="1" applyFill="1" applyBorder="1" applyAlignment="1">
      <alignment vertical="top" wrapText="1"/>
    </xf>
    <xf numFmtId="0" fontId="3" fillId="3" borderId="6" xfId="0" applyFont="1" applyFill="1" applyBorder="1" applyAlignment="1">
      <alignment horizontal="center" vertical="center" wrapText="1"/>
    </xf>
    <xf numFmtId="0" fontId="3" fillId="3" borderId="6" xfId="0" applyFont="1" applyFill="1" applyBorder="1" applyAlignment="1">
      <alignment horizontal="center" vertical="center"/>
    </xf>
    <xf numFmtId="0" fontId="87" fillId="0" borderId="59" xfId="273" applyFont="1" applyBorder="1" applyAlignment="1">
      <alignment horizontal="center"/>
    </xf>
    <xf numFmtId="176" fontId="87" fillId="0" borderId="0" xfId="273" quotePrefix="1" applyNumberFormat="1" applyFont="1" applyBorder="1" applyAlignment="1">
      <alignment horizontal="center"/>
    </xf>
    <xf numFmtId="176" fontId="87" fillId="0" borderId="0" xfId="273" applyNumberFormat="1" applyFont="1" applyBorder="1" applyAlignment="1">
      <alignment horizontal="left"/>
    </xf>
    <xf numFmtId="0" fontId="3" fillId="0" borderId="54" xfId="0" applyFont="1" applyBorder="1" applyAlignment="1">
      <alignment horizontal="left"/>
    </xf>
    <xf numFmtId="0" fontId="3" fillId="0" borderId="55" xfId="0" applyFont="1" applyBorder="1" applyAlignment="1">
      <alignment horizontal="left"/>
    </xf>
    <xf numFmtId="0" fontId="3" fillId="0" borderId="56" xfId="0" applyFont="1" applyBorder="1" applyAlignment="1">
      <alignment horizontal="left"/>
    </xf>
    <xf numFmtId="0" fontId="81" fillId="0" borderId="6" xfId="0" applyFont="1" applyBorder="1" applyAlignment="1">
      <alignment horizontal="center"/>
    </xf>
    <xf numFmtId="0" fontId="4" fillId="0" borderId="0" xfId="0" applyFont="1" applyBorder="1" applyAlignment="1">
      <alignment horizontal="center" vertical="center"/>
    </xf>
    <xf numFmtId="0" fontId="82" fillId="3" borderId="54" xfId="0" applyFont="1" applyFill="1" applyBorder="1" applyAlignment="1">
      <alignment horizontal="center" wrapText="1"/>
    </xf>
    <xf numFmtId="0" fontId="82" fillId="3" borderId="55" xfId="0" applyFont="1" applyFill="1" applyBorder="1" applyAlignment="1">
      <alignment horizontal="center" wrapText="1"/>
    </xf>
    <xf numFmtId="0" fontId="82" fillId="3" borderId="56" xfId="0" applyFont="1" applyFill="1" applyBorder="1" applyAlignment="1">
      <alignment horizontal="center" wrapText="1"/>
    </xf>
    <xf numFmtId="0" fontId="82" fillId="0" borderId="6" xfId="0" applyFont="1" applyBorder="1" applyAlignment="1">
      <alignment horizontal="center" vertical="top" wrapText="1"/>
    </xf>
    <xf numFmtId="0" fontId="81" fillId="0" borderId="52" xfId="0" applyFont="1" applyBorder="1" applyAlignment="1">
      <alignment horizontal="center" vertical="center" wrapText="1"/>
    </xf>
    <xf numFmtId="0" fontId="81" fillId="0" borderId="3" xfId="0" applyFont="1" applyBorder="1" applyAlignment="1">
      <alignment horizontal="center" vertical="center" wrapText="1"/>
    </xf>
    <xf numFmtId="0" fontId="81" fillId="0" borderId="8" xfId="0" applyFont="1" applyBorder="1" applyAlignment="1">
      <alignment horizontal="center" vertical="center" wrapText="1"/>
    </xf>
    <xf numFmtId="0" fontId="18" fillId="3" borderId="6" xfId="0" applyFont="1" applyFill="1" applyBorder="1" applyAlignment="1">
      <alignment horizontal="center" vertical="center"/>
    </xf>
    <xf numFmtId="0" fontId="17" fillId="3" borderId="167" xfId="6" applyFont="1" applyFill="1" applyBorder="1" applyAlignment="1">
      <alignment horizontal="center" vertical="center"/>
    </xf>
    <xf numFmtId="0" fontId="17" fillId="3" borderId="68" xfId="6" applyFont="1" applyFill="1" applyBorder="1" applyAlignment="1">
      <alignment horizontal="center" vertical="center"/>
    </xf>
    <xf numFmtId="0" fontId="17" fillId="3" borderId="140" xfId="6" applyFont="1" applyFill="1" applyBorder="1" applyAlignment="1">
      <alignment horizontal="center" vertical="center"/>
    </xf>
    <xf numFmtId="0" fontId="3" fillId="3" borderId="6" xfId="0" applyFont="1" applyFill="1" applyBorder="1" applyAlignment="1">
      <alignment horizontal="center" wrapText="1"/>
    </xf>
    <xf numFmtId="0" fontId="3" fillId="3" borderId="6" xfId="0" applyFont="1" applyFill="1" applyBorder="1" applyAlignment="1">
      <alignment horizontal="center" vertical="top" wrapText="1"/>
    </xf>
    <xf numFmtId="0" fontId="14" fillId="0" borderId="6" xfId="78" applyFont="1" applyBorder="1" applyAlignment="1">
      <alignment horizontal="center"/>
    </xf>
    <xf numFmtId="0" fontId="14" fillId="3" borderId="164" xfId="78" applyFont="1" applyFill="1" applyBorder="1" applyAlignment="1">
      <alignment horizontal="center" vertical="center"/>
    </xf>
    <xf numFmtId="0" fontId="14" fillId="3" borderId="167" xfId="78" applyFont="1" applyFill="1" applyBorder="1" applyAlignment="1">
      <alignment horizontal="center" vertical="center"/>
    </xf>
    <xf numFmtId="0" fontId="14" fillId="3" borderId="165" xfId="78" applyFont="1" applyFill="1" applyBorder="1" applyAlignment="1">
      <alignment horizontal="center" vertical="center"/>
    </xf>
    <xf numFmtId="0" fontId="14" fillId="3" borderId="62" xfId="78" applyFont="1" applyFill="1" applyBorder="1" applyAlignment="1">
      <alignment horizontal="center"/>
    </xf>
    <xf numFmtId="0" fontId="14" fillId="3" borderId="166" xfId="78" applyFont="1" applyFill="1" applyBorder="1" applyAlignment="1">
      <alignment horizontal="center"/>
    </xf>
    <xf numFmtId="0" fontId="14" fillId="0" borderId="8" xfId="78" applyFont="1" applyBorder="1" applyAlignment="1">
      <alignment horizontal="center"/>
    </xf>
    <xf numFmtId="0" fontId="14" fillId="3" borderId="168" xfId="78" applyFont="1" applyFill="1" applyBorder="1" applyAlignment="1">
      <alignment horizontal="center" vertical="center"/>
    </xf>
    <xf numFmtId="0" fontId="14" fillId="3" borderId="44" xfId="78" applyFont="1" applyFill="1" applyBorder="1" applyAlignment="1">
      <alignment horizontal="center" vertical="center"/>
    </xf>
    <xf numFmtId="0" fontId="14" fillId="3" borderId="65" xfId="78" applyFont="1" applyFill="1" applyBorder="1" applyAlignment="1">
      <alignment horizontal="center" vertical="center"/>
    </xf>
    <xf numFmtId="0" fontId="14" fillId="3" borderId="52" xfId="78" applyFont="1" applyFill="1" applyBorder="1" applyAlignment="1">
      <alignment horizontal="center" vertical="center"/>
    </xf>
    <xf numFmtId="0" fontId="14" fillId="3" borderId="3" xfId="78" applyFont="1" applyFill="1" applyBorder="1" applyAlignment="1">
      <alignment horizontal="center" vertical="center"/>
    </xf>
    <xf numFmtId="0" fontId="14" fillId="3" borderId="149" xfId="78" applyFont="1" applyFill="1" applyBorder="1" applyAlignment="1">
      <alignment horizontal="center" vertical="center"/>
    </xf>
    <xf numFmtId="0" fontId="117" fillId="0" borderId="6" xfId="0" applyFont="1" applyBorder="1" applyAlignment="1">
      <alignment horizontal="center"/>
    </xf>
    <xf numFmtId="0" fontId="0" fillId="0" borderId="6" xfId="0" applyBorder="1" applyAlignment="1">
      <alignment horizontal="center" vertical="center" wrapText="1"/>
    </xf>
    <xf numFmtId="0" fontId="109" fillId="3" borderId="6" xfId="0" applyFont="1" applyFill="1" applyBorder="1" applyAlignment="1">
      <alignment vertical="center" wrapText="1"/>
    </xf>
    <xf numFmtId="0" fontId="109" fillId="3" borderId="6" xfId="0" applyFont="1" applyFill="1" applyBorder="1" applyAlignment="1">
      <alignment horizontal="center" vertical="center"/>
    </xf>
    <xf numFmtId="0" fontId="109" fillId="3" borderId="6" xfId="0" applyFont="1" applyFill="1" applyBorder="1" applyAlignment="1">
      <alignment horizontal="center" vertical="center" wrapText="1"/>
    </xf>
    <xf numFmtId="0" fontId="0" fillId="0" borderId="52" xfId="0" applyBorder="1" applyAlignment="1">
      <alignment horizontal="center"/>
    </xf>
    <xf numFmtId="0" fontId="0" fillId="0" borderId="6" xfId="0" applyBorder="1" applyAlignment="1">
      <alignment horizontal="center"/>
    </xf>
    <xf numFmtId="0" fontId="3" fillId="3" borderId="6" xfId="0" applyFont="1" applyFill="1" applyBorder="1" applyAlignment="1">
      <alignment horizontal="center"/>
    </xf>
    <xf numFmtId="0" fontId="0" fillId="0" borderId="52" xfId="0"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xf>
    <xf numFmtId="2" fontId="0" fillId="0" borderId="52" xfId="0" applyNumberFormat="1" applyBorder="1" applyAlignment="1">
      <alignment horizontal="center" vertical="center"/>
    </xf>
    <xf numFmtId="2" fontId="0" fillId="0" borderId="3" xfId="0" applyNumberFormat="1" applyBorder="1" applyAlignment="1">
      <alignment horizontal="center" vertical="center"/>
    </xf>
    <xf numFmtId="2" fontId="0" fillId="0" borderId="8" xfId="0" applyNumberFormat="1" applyBorder="1" applyAlignment="1">
      <alignment horizontal="center" vertical="center"/>
    </xf>
    <xf numFmtId="0" fontId="3" fillId="3" borderId="54" xfId="0" applyFont="1" applyFill="1" applyBorder="1" applyAlignment="1">
      <alignment horizontal="center"/>
    </xf>
    <xf numFmtId="0" fontId="3" fillId="3" borderId="55" xfId="0" applyFont="1" applyFill="1" applyBorder="1" applyAlignment="1">
      <alignment horizontal="center"/>
    </xf>
    <xf numFmtId="0" fontId="3" fillId="3" borderId="56" xfId="0" applyFont="1" applyFill="1"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06"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0" xfId="0" applyAlignment="1">
      <alignment horizontal="center"/>
    </xf>
    <xf numFmtId="0" fontId="3" fillId="4" borderId="0" xfId="0" applyFont="1" applyFill="1" applyBorder="1" applyAlignment="1">
      <alignment horizontal="center"/>
    </xf>
    <xf numFmtId="2" fontId="5" fillId="0" borderId="5" xfId="0" applyNumberFormat="1" applyFont="1" applyBorder="1" applyAlignment="1">
      <alignment horizontal="center" vertical="center"/>
    </xf>
    <xf numFmtId="2" fontId="5" fillId="0" borderId="96" xfId="0" applyNumberFormat="1" applyFont="1" applyBorder="1" applyAlignment="1">
      <alignment horizontal="center" vertical="center"/>
    </xf>
    <xf numFmtId="2" fontId="5" fillId="0" borderId="5" xfId="0" applyNumberFormat="1" applyFont="1" applyBorder="1" applyAlignment="1">
      <alignment vertical="center"/>
    </xf>
    <xf numFmtId="2" fontId="5" fillId="0" borderId="96" xfId="0" applyNumberFormat="1" applyFont="1" applyBorder="1" applyAlignment="1">
      <alignment vertical="center"/>
    </xf>
    <xf numFmtId="0" fontId="5" fillId="0" borderId="54" xfId="0" applyFont="1" applyBorder="1" applyAlignment="1">
      <alignment horizontal="center" vertical="center" wrapText="1"/>
    </xf>
    <xf numFmtId="0" fontId="5" fillId="0" borderId="56" xfId="0" applyFont="1" applyBorder="1" applyAlignment="1">
      <alignment horizontal="center" vertical="center" wrapText="1"/>
    </xf>
    <xf numFmtId="2" fontId="5" fillId="0" borderId="4" xfId="0" applyNumberFormat="1" applyFont="1" applyBorder="1" applyAlignment="1">
      <alignment vertical="center"/>
    </xf>
    <xf numFmtId="2" fontId="5" fillId="0" borderId="7" xfId="0" applyNumberFormat="1" applyFont="1" applyBorder="1" applyAlignment="1">
      <alignment vertical="center"/>
    </xf>
    <xf numFmtId="2" fontId="5" fillId="0" borderId="52" xfId="0" applyNumberFormat="1" applyFont="1" applyBorder="1" applyAlignment="1">
      <alignment vertical="center"/>
    </xf>
    <xf numFmtId="2" fontId="5" fillId="0" borderId="3" xfId="0" applyNumberFormat="1" applyFont="1" applyBorder="1" applyAlignment="1">
      <alignment vertical="center"/>
    </xf>
    <xf numFmtId="2" fontId="5" fillId="0" borderId="5" xfId="2" applyNumberFormat="1" applyFont="1" applyBorder="1" applyAlignment="1">
      <alignment vertical="center"/>
    </xf>
    <xf numFmtId="2" fontId="5" fillId="0" borderId="3" xfId="2" applyNumberFormat="1" applyFont="1" applyBorder="1" applyAlignment="1">
      <alignment vertical="center"/>
    </xf>
    <xf numFmtId="2" fontId="5" fillId="0" borderId="96" xfId="2" applyNumberFormat="1" applyFont="1" applyBorder="1" applyAlignment="1">
      <alignment vertical="center"/>
    </xf>
    <xf numFmtId="0" fontId="5" fillId="0" borderId="54" xfId="2" applyFont="1" applyBorder="1" applyAlignment="1">
      <alignment horizontal="center" vertical="center" wrapText="1"/>
    </xf>
    <xf numFmtId="0" fontId="5" fillId="0" borderId="56" xfId="2" applyFont="1" applyBorder="1" applyAlignment="1">
      <alignment horizontal="center" vertical="center" wrapText="1"/>
    </xf>
    <xf numFmtId="2" fontId="5" fillId="0" borderId="4" xfId="2" applyNumberFormat="1" applyFont="1" applyBorder="1" applyAlignment="1">
      <alignment horizontal="center" vertical="center"/>
    </xf>
    <xf numFmtId="2" fontId="5" fillId="0" borderId="6" xfId="2" applyNumberFormat="1" applyFont="1" applyBorder="1" applyAlignment="1">
      <alignment horizontal="center" vertical="center"/>
    </xf>
    <xf numFmtId="2" fontId="5" fillId="0" borderId="4" xfId="2" applyNumberFormat="1" applyFont="1" applyBorder="1" applyAlignment="1">
      <alignment horizontal="right" vertical="center"/>
    </xf>
    <xf numFmtId="2" fontId="5" fillId="0" borderId="6" xfId="2" applyNumberFormat="1" applyFont="1" applyBorder="1" applyAlignment="1">
      <alignment horizontal="right" vertical="center"/>
    </xf>
    <xf numFmtId="2" fontId="5" fillId="0" borderId="5" xfId="2" applyNumberFormat="1" applyFont="1" applyBorder="1" applyAlignment="1">
      <alignment horizontal="center" vertical="center"/>
    </xf>
    <xf numFmtId="2" fontId="5" fillId="0" borderId="3" xfId="2" applyNumberFormat="1" applyFont="1" applyBorder="1" applyAlignment="1">
      <alignment horizontal="center" vertical="center"/>
    </xf>
    <xf numFmtId="2" fontId="5" fillId="0" borderId="96" xfId="2" applyNumberFormat="1" applyFont="1" applyBorder="1" applyAlignment="1">
      <alignment horizontal="center" vertical="center"/>
    </xf>
    <xf numFmtId="193" fontId="129" fillId="0" borderId="106" xfId="0" applyNumberFormat="1" applyFont="1" applyBorder="1" applyAlignment="1">
      <alignment horizontal="center"/>
    </xf>
    <xf numFmtId="193" fontId="129" fillId="0" borderId="0" xfId="0" applyNumberFormat="1" applyFont="1" applyBorder="1" applyAlignment="1">
      <alignment horizontal="center"/>
    </xf>
    <xf numFmtId="193" fontId="129" fillId="0" borderId="14" xfId="0" applyNumberFormat="1" applyFont="1" applyBorder="1" applyAlignment="1">
      <alignment horizontal="center"/>
    </xf>
    <xf numFmtId="1" fontId="187" fillId="0" borderId="20" xfId="0" applyNumberFormat="1" applyFont="1" applyBorder="1" applyAlignment="1">
      <alignment horizontal="center"/>
    </xf>
    <xf numFmtId="1" fontId="187" fillId="0" borderId="21" xfId="0" applyNumberFormat="1" applyFont="1" applyBorder="1" applyAlignment="1">
      <alignment horizontal="center"/>
    </xf>
    <xf numFmtId="1" fontId="187" fillId="0" borderId="22" xfId="0" applyNumberFormat="1" applyFont="1" applyBorder="1" applyAlignment="1">
      <alignment horizontal="center"/>
    </xf>
    <xf numFmtId="0" fontId="73" fillId="0" borderId="37" xfId="0" applyNumberFormat="1" applyFont="1" applyBorder="1" applyAlignment="1">
      <alignment horizontal="center" vertical="center"/>
    </xf>
    <xf numFmtId="0" fontId="73" fillId="0" borderId="39" xfId="0" applyNumberFormat="1" applyFont="1" applyBorder="1" applyAlignment="1">
      <alignment horizontal="center" vertical="center"/>
    </xf>
    <xf numFmtId="0" fontId="73" fillId="0" borderId="23" xfId="0" applyFont="1" applyBorder="1" applyAlignment="1">
      <alignment horizontal="center" vertical="center"/>
    </xf>
    <xf numFmtId="0" fontId="73" fillId="0" borderId="34" xfId="0" applyFont="1" applyBorder="1" applyAlignment="1">
      <alignment horizontal="center" vertical="center"/>
    </xf>
    <xf numFmtId="0" fontId="73" fillId="0" borderId="20" xfId="0" applyNumberFormat="1" applyFont="1" applyBorder="1" applyAlignment="1">
      <alignment horizontal="center"/>
    </xf>
    <xf numFmtId="0" fontId="73" fillId="0" borderId="22" xfId="0" applyNumberFormat="1" applyFont="1" applyBorder="1" applyAlignment="1">
      <alignment horizontal="center"/>
    </xf>
    <xf numFmtId="2" fontId="73" fillId="0" borderId="20" xfId="0" applyNumberFormat="1" applyFont="1" applyBorder="1" applyAlignment="1">
      <alignment horizontal="center"/>
    </xf>
    <xf numFmtId="2" fontId="73" fillId="0" borderId="21" xfId="0" applyNumberFormat="1" applyFont="1" applyBorder="1" applyAlignment="1">
      <alignment horizontal="center"/>
    </xf>
    <xf numFmtId="2" fontId="73" fillId="0" borderId="22" xfId="0" applyNumberFormat="1" applyFont="1" applyBorder="1" applyAlignment="1">
      <alignment horizontal="center"/>
    </xf>
    <xf numFmtId="0" fontId="73" fillId="0" borderId="20" xfId="0" applyFont="1" applyBorder="1" applyAlignment="1">
      <alignment horizontal="center"/>
    </xf>
    <xf numFmtId="0" fontId="73" fillId="0" borderId="21" xfId="0" applyFont="1" applyBorder="1" applyAlignment="1">
      <alignment horizontal="center"/>
    </xf>
    <xf numFmtId="0" fontId="73" fillId="0" borderId="22" xfId="0" applyFont="1" applyBorder="1" applyAlignment="1">
      <alignment horizontal="center"/>
    </xf>
    <xf numFmtId="0" fontId="73" fillId="0" borderId="38" xfId="0" applyNumberFormat="1" applyFont="1" applyBorder="1" applyAlignment="1">
      <alignment horizontal="center" vertical="center"/>
    </xf>
    <xf numFmtId="0" fontId="73" fillId="0" borderId="32" xfId="0" applyFont="1" applyBorder="1" applyAlignment="1">
      <alignment horizontal="center" vertical="center"/>
    </xf>
    <xf numFmtId="10" fontId="73" fillId="0" borderId="23" xfId="0" applyNumberFormat="1" applyFont="1" applyBorder="1" applyAlignment="1">
      <alignment horizontal="center" vertical="center"/>
    </xf>
    <xf numFmtId="10" fontId="73" fillId="0" borderId="34" xfId="0" applyNumberFormat="1" applyFont="1" applyBorder="1" applyAlignment="1">
      <alignment horizontal="center" vertical="center"/>
    </xf>
    <xf numFmtId="1" fontId="73" fillId="0" borderId="37" xfId="0" applyNumberFormat="1" applyFont="1" applyBorder="1" applyAlignment="1">
      <alignment horizontal="center" vertical="center"/>
    </xf>
    <xf numFmtId="1" fontId="73" fillId="0" borderId="38" xfId="0" applyNumberFormat="1" applyFont="1" applyBorder="1" applyAlignment="1">
      <alignment horizontal="center" vertical="center"/>
    </xf>
    <xf numFmtId="1" fontId="73" fillId="0" borderId="39" xfId="0" applyNumberFormat="1" applyFont="1" applyBorder="1" applyAlignment="1">
      <alignment horizontal="center" vertical="center"/>
    </xf>
    <xf numFmtId="0" fontId="73" fillId="0" borderId="37" xfId="0" applyFont="1" applyBorder="1" applyAlignment="1">
      <alignment horizontal="center" vertical="center"/>
    </xf>
    <xf numFmtId="0" fontId="73" fillId="0" borderId="39" xfId="0" applyFont="1" applyBorder="1" applyAlignment="1">
      <alignment horizontal="center" vertical="center"/>
    </xf>
    <xf numFmtId="0" fontId="73" fillId="0" borderId="38" xfId="0" applyFont="1" applyBorder="1" applyAlignment="1">
      <alignment horizontal="center" vertical="center"/>
    </xf>
    <xf numFmtId="10" fontId="73" fillId="0" borderId="37" xfId="0" applyNumberFormat="1" applyFont="1" applyBorder="1" applyAlignment="1">
      <alignment horizontal="center" vertical="center"/>
    </xf>
    <xf numFmtId="10" fontId="73" fillId="0" borderId="39" xfId="0" applyNumberFormat="1" applyFont="1" applyBorder="1" applyAlignment="1">
      <alignment horizontal="center" vertical="center"/>
    </xf>
    <xf numFmtId="10" fontId="73" fillId="0" borderId="32" xfId="0" applyNumberFormat="1" applyFont="1" applyBorder="1" applyAlignment="1">
      <alignment horizontal="center" vertical="center"/>
    </xf>
    <xf numFmtId="0" fontId="73" fillId="0" borderId="23" xfId="0" applyNumberFormat="1" applyFont="1" applyBorder="1" applyAlignment="1">
      <alignment horizontal="center" vertical="center"/>
    </xf>
    <xf numFmtId="0" fontId="73" fillId="0" borderId="34" xfId="0" applyNumberFormat="1" applyFont="1" applyBorder="1" applyAlignment="1">
      <alignment horizontal="center" vertical="center"/>
    </xf>
    <xf numFmtId="10" fontId="73" fillId="0" borderId="24" xfId="0" applyNumberFormat="1" applyFont="1" applyBorder="1" applyAlignment="1">
      <alignment horizontal="center" vertical="center"/>
    </xf>
    <xf numFmtId="10" fontId="73" fillId="0" borderId="35" xfId="0" applyNumberFormat="1" applyFont="1"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4" xfId="0" applyBorder="1" applyAlignment="1">
      <alignment horizontal="left"/>
    </xf>
    <xf numFmtId="0" fontId="0" fillId="0" borderId="56" xfId="0" applyBorder="1" applyAlignment="1">
      <alignment horizontal="left"/>
    </xf>
    <xf numFmtId="192" fontId="116" fillId="0" borderId="54" xfId="0" applyNumberFormat="1" applyFont="1" applyBorder="1" applyAlignment="1">
      <alignment horizontal="center"/>
    </xf>
    <xf numFmtId="192" fontId="116" fillId="0" borderId="55" xfId="0" applyNumberFormat="1" applyFont="1" applyBorder="1" applyAlignment="1">
      <alignment horizontal="center"/>
    </xf>
    <xf numFmtId="192" fontId="116" fillId="0" borderId="56" xfId="0" applyNumberFormat="1" applyFont="1" applyBorder="1" applyAlignment="1">
      <alignment horizontal="center"/>
    </xf>
    <xf numFmtId="0" fontId="117" fillId="0" borderId="20" xfId="0" applyFont="1" applyBorder="1" applyAlignment="1">
      <alignment horizontal="left"/>
    </xf>
    <xf numFmtId="0" fontId="117" fillId="0" borderId="21" xfId="0" applyFont="1" applyBorder="1" applyAlignment="1">
      <alignment horizontal="left"/>
    </xf>
    <xf numFmtId="0" fontId="117" fillId="0" borderId="22" xfId="0" applyFont="1" applyBorder="1" applyAlignment="1">
      <alignment horizontal="left"/>
    </xf>
    <xf numFmtId="0" fontId="22" fillId="0" borderId="0" xfId="78" applyFont="1" applyAlignment="1">
      <alignment horizontal="center"/>
    </xf>
    <xf numFmtId="0" fontId="17" fillId="3" borderId="52" xfId="78" applyFont="1" applyFill="1" applyBorder="1" applyAlignment="1">
      <alignment horizontal="center" vertical="center"/>
    </xf>
    <xf numFmtId="0" fontId="17" fillId="3" borderId="3" xfId="78" applyFont="1" applyFill="1" applyBorder="1" applyAlignment="1">
      <alignment horizontal="center" vertical="center"/>
    </xf>
    <xf numFmtId="0" fontId="17" fillId="3" borderId="96" xfId="78" applyFont="1" applyFill="1" applyBorder="1" applyAlignment="1">
      <alignment horizontal="center" vertical="center"/>
    </xf>
    <xf numFmtId="0" fontId="57" fillId="0" borderId="20" xfId="274" applyFont="1" applyBorder="1" applyAlignment="1">
      <alignment horizontal="center"/>
    </xf>
    <xf numFmtId="0" fontId="57" fillId="0" borderId="21" xfId="274" applyFont="1" applyBorder="1" applyAlignment="1">
      <alignment horizontal="center"/>
    </xf>
    <xf numFmtId="0" fontId="57" fillId="0" borderId="22" xfId="274" applyFont="1" applyBorder="1" applyAlignment="1">
      <alignment horizontal="center"/>
    </xf>
    <xf numFmtId="0" fontId="4" fillId="3" borderId="85" xfId="78" applyFont="1" applyFill="1" applyBorder="1" applyAlignment="1">
      <alignment horizontal="center"/>
    </xf>
    <xf numFmtId="0" fontId="4" fillId="3" borderId="79" xfId="78" applyFont="1" applyFill="1" applyBorder="1" applyAlignment="1">
      <alignment horizontal="center"/>
    </xf>
    <xf numFmtId="0" fontId="81" fillId="3" borderId="79" xfId="78" applyFont="1" applyFill="1" applyBorder="1" applyAlignment="1">
      <alignment horizontal="center" shrinkToFit="1"/>
    </xf>
    <xf numFmtId="0" fontId="4" fillId="0" borderId="62" xfId="78" applyFont="1" applyFill="1" applyBorder="1" applyAlignment="1">
      <alignment horizontal="center" vertical="center"/>
    </xf>
    <xf numFmtId="0" fontId="4" fillId="3" borderId="149" xfId="78" applyFont="1" applyFill="1" applyBorder="1" applyAlignment="1">
      <alignment horizontal="center" vertical="center"/>
    </xf>
    <xf numFmtId="0" fontId="4" fillId="3" borderId="86" xfId="78" applyFont="1" applyFill="1" applyBorder="1" applyAlignment="1">
      <alignment horizontal="center"/>
    </xf>
    <xf numFmtId="0" fontId="4" fillId="3" borderId="152" xfId="78" applyFont="1" applyFill="1" applyBorder="1" applyAlignment="1">
      <alignment horizontal="center" vertical="center"/>
    </xf>
    <xf numFmtId="0" fontId="4" fillId="3" borderId="153" xfId="78" applyFont="1" applyFill="1" applyBorder="1" applyAlignment="1">
      <alignment horizontal="center" vertical="center"/>
    </xf>
    <xf numFmtId="0" fontId="4" fillId="3" borderId="0" xfId="78" applyFont="1" applyFill="1" applyBorder="1" applyAlignment="1">
      <alignment horizontal="center" wrapText="1"/>
    </xf>
    <xf numFmtId="0" fontId="4" fillId="3" borderId="14" xfId="78" applyFont="1" applyFill="1" applyBorder="1" applyAlignment="1">
      <alignment horizontal="center" wrapText="1"/>
    </xf>
    <xf numFmtId="0" fontId="4" fillId="3" borderId="64" xfId="78" applyFont="1" applyFill="1" applyBorder="1" applyAlignment="1">
      <alignment horizontal="center"/>
    </xf>
    <xf numFmtId="0" fontId="4" fillId="3" borderId="153" xfId="78" applyFont="1" applyFill="1" applyBorder="1" applyAlignment="1">
      <alignment horizontal="center"/>
    </xf>
    <xf numFmtId="0" fontId="81" fillId="0" borderId="6" xfId="0" applyFont="1" applyBorder="1" applyAlignment="1">
      <alignment horizontal="center" vertical="center" wrapText="1"/>
    </xf>
    <xf numFmtId="0" fontId="10" fillId="0" borderId="79" xfId="78" applyFont="1" applyBorder="1" applyAlignment="1">
      <alignment horizontal="center"/>
    </xf>
    <xf numFmtId="0" fontId="10" fillId="0" borderId="67" xfId="78" applyFont="1" applyBorder="1" applyAlignment="1">
      <alignment horizontal="center"/>
    </xf>
    <xf numFmtId="0" fontId="10" fillId="0" borderId="68" xfId="78" applyFont="1" applyBorder="1" applyAlignment="1">
      <alignment horizontal="center"/>
    </xf>
    <xf numFmtId="0" fontId="10" fillId="0" borderId="52" xfId="78" applyFont="1" applyBorder="1" applyAlignment="1">
      <alignment horizontal="center"/>
    </xf>
    <xf numFmtId="0" fontId="10" fillId="0" borderId="8" xfId="78" applyFont="1" applyBorder="1" applyAlignment="1">
      <alignment horizontal="center"/>
    </xf>
    <xf numFmtId="0" fontId="45" fillId="3" borderId="52" xfId="273" applyFont="1" applyFill="1" applyBorder="1" applyAlignment="1">
      <alignment horizontal="center" vertical="center"/>
    </xf>
    <xf numFmtId="0" fontId="45" fillId="3" borderId="8" xfId="273" applyFont="1" applyFill="1" applyBorder="1" applyAlignment="1">
      <alignment horizontal="center" vertical="center"/>
    </xf>
    <xf numFmtId="0" fontId="116" fillId="0" borderId="106" xfId="0" applyFont="1" applyBorder="1" applyAlignment="1">
      <alignment horizontal="center"/>
    </xf>
    <xf numFmtId="0" fontId="116" fillId="3" borderId="52" xfId="0" applyFont="1" applyFill="1" applyBorder="1" applyAlignment="1">
      <alignment horizontal="center" vertical="center"/>
    </xf>
    <xf numFmtId="0" fontId="116" fillId="3" borderId="8" xfId="0" applyFont="1" applyFill="1" applyBorder="1" applyAlignment="1">
      <alignment horizontal="center" vertical="center"/>
    </xf>
    <xf numFmtId="0" fontId="116" fillId="0" borderId="20" xfId="0" applyFont="1" applyBorder="1" applyAlignment="1">
      <alignment horizontal="center"/>
    </xf>
    <xf numFmtId="0" fontId="116" fillId="0" borderId="22" xfId="0" applyFont="1" applyBorder="1" applyAlignment="1">
      <alignment horizontal="center"/>
    </xf>
    <xf numFmtId="0" fontId="155" fillId="0" borderId="52" xfId="0" applyFont="1" applyBorder="1" applyAlignment="1">
      <alignment horizontal="center" vertical="center" wrapText="1"/>
    </xf>
    <xf numFmtId="0" fontId="155" fillId="0" borderId="8" xfId="0" applyFont="1" applyBorder="1" applyAlignment="1">
      <alignment horizontal="center" vertical="center" wrapText="1"/>
    </xf>
    <xf numFmtId="0" fontId="156" fillId="0" borderId="6" xfId="0" applyFont="1" applyBorder="1" applyAlignment="1">
      <alignment horizontal="center" vertical="center" wrapText="1"/>
    </xf>
    <xf numFmtId="0" fontId="155" fillId="0" borderId="52" xfId="0" applyFont="1" applyBorder="1" applyAlignment="1">
      <alignment vertical="center" wrapText="1"/>
    </xf>
    <xf numFmtId="0" fontId="155" fillId="0" borderId="8" xfId="0" applyFont="1" applyBorder="1" applyAlignment="1">
      <alignment vertical="center" wrapText="1"/>
    </xf>
    <xf numFmtId="0" fontId="155" fillId="0" borderId="6" xfId="0" applyFont="1" applyBorder="1" applyAlignment="1">
      <alignment horizontal="center" vertical="center" wrapText="1"/>
    </xf>
    <xf numFmtId="0" fontId="155" fillId="0" borderId="52" xfId="0" applyFont="1" applyBorder="1" applyAlignment="1">
      <alignment horizontal="left" vertical="center" wrapText="1"/>
    </xf>
    <xf numFmtId="0" fontId="155" fillId="0" borderId="8" xfId="0" applyFont="1" applyBorder="1" applyAlignment="1">
      <alignment horizontal="left" vertical="center" wrapText="1"/>
    </xf>
    <xf numFmtId="0" fontId="155" fillId="3" borderId="6" xfId="0" applyFont="1" applyFill="1" applyBorder="1" applyAlignment="1">
      <alignment horizontal="center" wrapText="1"/>
    </xf>
    <xf numFmtId="175" fontId="0" fillId="0" borderId="12" xfId="0" applyNumberFormat="1" applyFont="1" applyBorder="1" applyAlignment="1">
      <alignment horizontal="center"/>
    </xf>
    <xf numFmtId="175" fontId="0" fillId="0" borderId="59" xfId="0" applyNumberFormat="1" applyFont="1" applyBorder="1" applyAlignment="1">
      <alignment horizontal="center"/>
    </xf>
    <xf numFmtId="175" fontId="0" fillId="0" borderId="13" xfId="0" applyNumberFormat="1" applyFont="1" applyBorder="1" applyAlignment="1">
      <alignment horizontal="center"/>
    </xf>
    <xf numFmtId="175" fontId="0" fillId="0" borderId="106" xfId="0" applyNumberFormat="1" applyBorder="1" applyAlignment="1">
      <alignment horizontal="center"/>
    </xf>
    <xf numFmtId="175" fontId="0" fillId="0" borderId="0" xfId="0" applyNumberFormat="1" applyFont="1" applyBorder="1" applyAlignment="1">
      <alignment horizontal="center"/>
    </xf>
    <xf numFmtId="175" fontId="0" fillId="0" borderId="14" xfId="0" applyNumberFormat="1" applyFont="1" applyBorder="1" applyAlignment="1">
      <alignment horizontal="center"/>
    </xf>
    <xf numFmtId="175" fontId="21" fillId="0" borderId="106" xfId="0" applyNumberFormat="1" applyFont="1" applyBorder="1" applyAlignment="1">
      <alignment horizontal="center"/>
    </xf>
    <xf numFmtId="175" fontId="21" fillId="0" borderId="0" xfId="0" applyNumberFormat="1" applyFont="1" applyBorder="1" applyAlignment="1">
      <alignment horizontal="center"/>
    </xf>
    <xf numFmtId="175" fontId="21" fillId="0" borderId="14" xfId="0" applyNumberFormat="1" applyFont="1" applyBorder="1" applyAlignment="1">
      <alignment horizontal="center"/>
    </xf>
    <xf numFmtId="175" fontId="21" fillId="0" borderId="15" xfId="0" applyNumberFormat="1" applyFont="1" applyBorder="1" applyAlignment="1">
      <alignment horizontal="center"/>
    </xf>
    <xf numFmtId="175" fontId="21" fillId="0" borderId="17" xfId="0" applyNumberFormat="1" applyFont="1" applyBorder="1" applyAlignment="1">
      <alignment horizontal="center"/>
    </xf>
    <xf numFmtId="175" fontId="21" fillId="0" borderId="16" xfId="0" applyNumberFormat="1" applyFont="1" applyBorder="1" applyAlignment="1">
      <alignment horizontal="center"/>
    </xf>
    <xf numFmtId="0" fontId="3" fillId="0" borderId="54" xfId="0" applyFont="1" applyBorder="1" applyAlignment="1">
      <alignment horizontal="center"/>
    </xf>
    <xf numFmtId="0" fontId="3" fillId="0" borderId="55" xfId="0" applyFont="1" applyBorder="1" applyAlignment="1">
      <alignment horizontal="center"/>
    </xf>
    <xf numFmtId="0" fontId="3" fillId="0" borderId="56" xfId="0" applyFont="1" applyBorder="1" applyAlignment="1">
      <alignment horizontal="center"/>
    </xf>
    <xf numFmtId="1" fontId="17" fillId="0" borderId="23" xfId="0" applyNumberFormat="1" applyFont="1" applyBorder="1" applyAlignment="1">
      <alignment horizontal="center"/>
    </xf>
    <xf numFmtId="1" fontId="17" fillId="0" borderId="24" xfId="0" applyNumberFormat="1" applyFont="1" applyBorder="1" applyAlignment="1">
      <alignment horizontal="center"/>
    </xf>
    <xf numFmtId="0" fontId="17" fillId="3" borderId="6" xfId="0" applyNumberFormat="1" applyFont="1" applyFill="1" applyBorder="1" applyAlignment="1">
      <alignment horizontal="center" vertical="center"/>
    </xf>
    <xf numFmtId="0" fontId="17" fillId="3" borderId="6" xfId="0" applyFont="1" applyFill="1" applyBorder="1" applyAlignment="1">
      <alignment horizontal="center" vertical="center"/>
    </xf>
    <xf numFmtId="0" fontId="17" fillId="3" borderId="6" xfId="0" applyNumberFormat="1" applyFont="1" applyFill="1" applyBorder="1" applyAlignment="1">
      <alignment horizontal="center"/>
    </xf>
    <xf numFmtId="2" fontId="17" fillId="3" borderId="6" xfId="0" applyNumberFormat="1" applyFont="1" applyFill="1" applyBorder="1" applyAlignment="1">
      <alignment horizontal="center"/>
    </xf>
    <xf numFmtId="0" fontId="17" fillId="3" borderId="6" xfId="0" applyFont="1" applyFill="1" applyBorder="1" applyAlignment="1">
      <alignment horizontal="center"/>
    </xf>
    <xf numFmtId="0" fontId="17" fillId="0" borderId="6" xfId="0" applyNumberFormat="1" applyFont="1" applyBorder="1" applyAlignment="1">
      <alignment horizontal="center" vertical="center"/>
    </xf>
    <xf numFmtId="0" fontId="17" fillId="0" borderId="6" xfId="0" applyFont="1" applyBorder="1" applyAlignment="1">
      <alignment horizontal="center" vertical="center"/>
    </xf>
    <xf numFmtId="10" fontId="17" fillId="0" borderId="6" xfId="0" applyNumberFormat="1" applyFont="1" applyBorder="1" applyAlignment="1">
      <alignment horizontal="center" vertical="center"/>
    </xf>
    <xf numFmtId="1" fontId="17" fillId="0" borderId="6" xfId="0" applyNumberFormat="1" applyFont="1" applyBorder="1" applyAlignment="1">
      <alignment horizontal="center" vertical="center"/>
    </xf>
    <xf numFmtId="0" fontId="17" fillId="0" borderId="23" xfId="0" applyFont="1" applyBorder="1" applyAlignment="1">
      <alignment horizontal="center"/>
    </xf>
    <xf numFmtId="0" fontId="17" fillId="0" borderId="24" xfId="0" applyFont="1" applyBorder="1" applyAlignment="1">
      <alignment horizontal="center"/>
    </xf>
    <xf numFmtId="0" fontId="17" fillId="0" borderId="25" xfId="0" applyFont="1" applyBorder="1" applyAlignment="1">
      <alignment horizontal="center"/>
    </xf>
    <xf numFmtId="0" fontId="17" fillId="0" borderId="0" xfId="0" applyFont="1" applyBorder="1" applyAlignment="1">
      <alignment horizontal="center" vertical="center"/>
    </xf>
    <xf numFmtId="1" fontId="17" fillId="0" borderId="0" xfId="0" applyNumberFormat="1" applyFont="1" applyBorder="1" applyAlignment="1">
      <alignment horizontal="center"/>
    </xf>
    <xf numFmtId="0" fontId="17" fillId="0" borderId="35" xfId="0" applyFont="1" applyBorder="1" applyAlignment="1">
      <alignment horizontal="center"/>
    </xf>
    <xf numFmtId="0" fontId="17" fillId="0" borderId="36" xfId="0" applyFont="1" applyBorder="1" applyAlignment="1">
      <alignment horizontal="center"/>
    </xf>
    <xf numFmtId="0" fontId="17" fillId="0" borderId="6" xfId="0" applyNumberFormat="1" applyFont="1" applyBorder="1" applyAlignment="1">
      <alignment horizontal="center"/>
    </xf>
    <xf numFmtId="0" fontId="17" fillId="0" borderId="6" xfId="0" applyFont="1" applyBorder="1" applyAlignment="1">
      <alignment horizontal="left"/>
    </xf>
    <xf numFmtId="0" fontId="17" fillId="0" borderId="32" xfId="95" applyFont="1" applyFill="1" applyBorder="1" applyAlignment="1">
      <alignment wrapText="1"/>
    </xf>
    <xf numFmtId="0" fontId="14" fillId="0" borderId="0" xfId="95" applyFont="1" applyFill="1" applyBorder="1" applyAlignment="1">
      <alignment wrapText="1"/>
    </xf>
    <xf numFmtId="15" fontId="149" fillId="0" borderId="23" xfId="95" applyNumberFormat="1" applyFont="1" applyFill="1" applyBorder="1" applyAlignment="1">
      <alignment horizontal="center" vertical="center"/>
    </xf>
    <xf numFmtId="15" fontId="14" fillId="0" borderId="24" xfId="95" applyNumberFormat="1" applyFont="1" applyFill="1" applyBorder="1" applyAlignment="1">
      <alignment horizontal="center"/>
    </xf>
    <xf numFmtId="15" fontId="149" fillId="0" borderId="32" xfId="95" quotePrefix="1" applyNumberFormat="1" applyFont="1" applyFill="1" applyBorder="1" applyAlignment="1">
      <alignment horizontal="center" vertical="center"/>
    </xf>
    <xf numFmtId="15" fontId="14" fillId="0" borderId="0" xfId="95" applyNumberFormat="1" applyFont="1" applyFill="1" applyBorder="1" applyAlignment="1">
      <alignment horizontal="center"/>
    </xf>
    <xf numFmtId="0" fontId="17" fillId="0" borderId="20" xfId="95" quotePrefix="1" applyFont="1" applyFill="1" applyBorder="1" applyAlignment="1">
      <alignment horizontal="center"/>
    </xf>
    <xf numFmtId="0" fontId="14" fillId="0" borderId="21" xfId="95" applyFont="1" applyBorder="1" applyAlignment="1">
      <alignment horizontal="center"/>
    </xf>
    <xf numFmtId="0" fontId="17" fillId="0" borderId="0" xfId="95" applyFont="1" applyFill="1" applyBorder="1" applyAlignment="1">
      <alignment horizontal="left" wrapText="1"/>
    </xf>
    <xf numFmtId="0" fontId="14" fillId="0" borderId="0" xfId="95" applyFont="1" applyFill="1" applyBorder="1" applyAlignment="1"/>
    <xf numFmtId="0" fontId="149" fillId="0" borderId="105" xfId="95" applyFont="1" applyFill="1" applyBorder="1" applyAlignment="1">
      <alignment horizontal="center" vertical="center"/>
    </xf>
    <xf numFmtId="0" fontId="14" fillId="0" borderId="24" xfId="95" applyFont="1" applyFill="1" applyBorder="1" applyAlignment="1">
      <alignment horizontal="center"/>
    </xf>
    <xf numFmtId="0" fontId="149" fillId="0" borderId="106" xfId="95" applyFont="1" applyFill="1" applyBorder="1" applyAlignment="1">
      <alignment horizontal="center" vertical="center"/>
    </xf>
    <xf numFmtId="0" fontId="14" fillId="0" borderId="0" xfId="95" applyFont="1" applyFill="1" applyBorder="1" applyAlignment="1">
      <alignment horizontal="center"/>
    </xf>
    <xf numFmtId="0" fontId="14" fillId="0" borderId="0" xfId="95" applyFont="1" applyFill="1" applyBorder="1" applyAlignment="1">
      <alignment horizontal="left" wrapText="1"/>
    </xf>
    <xf numFmtId="37" fontId="17" fillId="0" borderId="23" xfId="95" applyNumberFormat="1" applyFont="1" applyFill="1" applyBorder="1" applyAlignment="1" applyProtection="1">
      <alignment horizontal="center"/>
      <protection locked="0"/>
    </xf>
    <xf numFmtId="37" fontId="17" fillId="0" borderId="24" xfId="95" applyNumberFormat="1" applyFont="1" applyFill="1" applyBorder="1" applyAlignment="1" applyProtection="1">
      <alignment horizontal="center"/>
      <protection locked="0"/>
    </xf>
    <xf numFmtId="0" fontId="117" fillId="3" borderId="52" xfId="95" applyFont="1" applyFill="1" applyBorder="1" applyAlignment="1">
      <alignment horizontal="center" wrapText="1"/>
    </xf>
    <xf numFmtId="0" fontId="117" fillId="3" borderId="3" xfId="95" applyFont="1" applyFill="1" applyBorder="1" applyAlignment="1">
      <alignment horizontal="center" wrapText="1"/>
    </xf>
    <xf numFmtId="0" fontId="117" fillId="3" borderId="8" xfId="95" applyFont="1" applyFill="1" applyBorder="1" applyAlignment="1">
      <alignment horizontal="center" wrapText="1"/>
    </xf>
    <xf numFmtId="0" fontId="117" fillId="3" borderId="52" xfId="95" applyFont="1" applyFill="1" applyBorder="1" applyAlignment="1">
      <alignment horizontal="center" vertical="center" wrapText="1"/>
    </xf>
    <xf numFmtId="0" fontId="117" fillId="3" borderId="3" xfId="95" applyFont="1" applyFill="1" applyBorder="1" applyAlignment="1">
      <alignment horizontal="center" vertical="center" wrapText="1"/>
    </xf>
    <xf numFmtId="0" fontId="117" fillId="3" borderId="8" xfId="95" applyFont="1" applyFill="1" applyBorder="1" applyAlignment="1">
      <alignment horizontal="center" vertical="center" wrapText="1"/>
    </xf>
    <xf numFmtId="0" fontId="117" fillId="0" borderId="0" xfId="0" applyFont="1" applyAlignment="1">
      <alignment horizontal="center"/>
    </xf>
    <xf numFmtId="0" fontId="117" fillId="0" borderId="0" xfId="0" applyFont="1" applyBorder="1" applyAlignment="1">
      <alignment horizontal="center"/>
    </xf>
    <xf numFmtId="0" fontId="81" fillId="0" borderId="55" xfId="0" applyFont="1" applyBorder="1" applyAlignment="1">
      <alignment horizontal="center"/>
    </xf>
    <xf numFmtId="0" fontId="81" fillId="0" borderId="12" xfId="0" applyFont="1" applyBorder="1" applyAlignment="1">
      <alignment horizontal="center"/>
    </xf>
    <xf numFmtId="0" fontId="81" fillId="0" borderId="13" xfId="0" applyFont="1" applyBorder="1" applyAlignment="1">
      <alignment horizontal="center"/>
    </xf>
    <xf numFmtId="0" fontId="0" fillId="0" borderId="106" xfId="0" applyBorder="1"/>
    <xf numFmtId="0" fontId="0" fillId="0" borderId="14" xfId="0" applyBorder="1"/>
    <xf numFmtId="0" fontId="81" fillId="0" borderId="52" xfId="0" applyFont="1" applyBorder="1" applyAlignment="1">
      <alignment horizontal="left" vertical="center"/>
    </xf>
    <xf numFmtId="0" fontId="81" fillId="0" borderId="8" xfId="0" applyFont="1" applyBorder="1" applyAlignment="1">
      <alignment horizontal="left" vertical="center"/>
    </xf>
    <xf numFmtId="0" fontId="81" fillId="0" borderId="54" xfId="0" applyFont="1" applyBorder="1" applyAlignment="1">
      <alignment horizontal="center" vertical="top" wrapText="1"/>
    </xf>
    <xf numFmtId="0" fontId="81" fillId="0" borderId="55" xfId="0" applyFont="1" applyBorder="1" applyAlignment="1">
      <alignment horizontal="center" vertical="top" wrapText="1"/>
    </xf>
    <xf numFmtId="0" fontId="81" fillId="0" borderId="56" xfId="0" applyFont="1" applyBorder="1" applyAlignment="1">
      <alignment horizontal="center" vertical="top" wrapText="1"/>
    </xf>
    <xf numFmtId="0" fontId="81" fillId="0" borderId="3" xfId="0" applyFont="1" applyBorder="1" applyAlignment="1">
      <alignment horizontal="left" vertical="center"/>
    </xf>
    <xf numFmtId="0" fontId="14" fillId="0" borderId="52" xfId="0" applyFont="1" applyBorder="1" applyAlignment="1">
      <alignment horizontal="center" vertical="center"/>
    </xf>
    <xf numFmtId="0" fontId="14" fillId="0" borderId="8" xfId="0" applyFont="1" applyBorder="1" applyAlignment="1">
      <alignment horizontal="center" vertical="center"/>
    </xf>
    <xf numFmtId="0" fontId="14" fillId="0" borderId="3" xfId="0" applyFont="1" applyBorder="1" applyAlignment="1">
      <alignment horizontal="center" vertical="center"/>
    </xf>
    <xf numFmtId="0" fontId="138" fillId="0" borderId="0" xfId="0" applyFont="1" applyAlignment="1">
      <alignment horizontal="center"/>
    </xf>
    <xf numFmtId="0" fontId="138" fillId="0" borderId="0" xfId="0" applyFont="1" applyBorder="1" applyAlignment="1">
      <alignment horizontal="center"/>
    </xf>
    <xf numFmtId="15" fontId="116" fillId="0" borderId="6" xfId="0" applyNumberFormat="1" applyFont="1" applyBorder="1" applyAlignment="1">
      <alignment horizontal="center"/>
    </xf>
    <xf numFmtId="0" fontId="116" fillId="0" borderId="0" xfId="0" applyFont="1" applyBorder="1" applyAlignment="1">
      <alignment horizontal="center"/>
    </xf>
    <xf numFmtId="16" fontId="116" fillId="0" borderId="0" xfId="0" applyNumberFormat="1" applyFont="1" applyBorder="1" applyAlignment="1">
      <alignment horizontal="center"/>
    </xf>
    <xf numFmtId="16" fontId="116" fillId="0" borderId="6" xfId="0" applyNumberFormat="1" applyFont="1" applyBorder="1" applyAlignment="1">
      <alignment horizontal="center"/>
    </xf>
    <xf numFmtId="2" fontId="116" fillId="0" borderId="6" xfId="0" applyNumberFormat="1" applyFont="1" applyBorder="1" applyAlignment="1">
      <alignment horizontal="center"/>
    </xf>
    <xf numFmtId="0" fontId="0" fillId="4" borderId="20" xfId="0" applyFill="1" applyBorder="1" applyAlignment="1">
      <alignment horizontal="center"/>
    </xf>
    <xf numFmtId="0" fontId="0" fillId="4" borderId="21" xfId="0" applyFill="1" applyBorder="1" applyAlignment="1">
      <alignment horizontal="center"/>
    </xf>
    <xf numFmtId="0" fontId="0" fillId="4" borderId="22" xfId="0" applyFill="1" applyBorder="1" applyAlignment="1">
      <alignment horizontal="center"/>
    </xf>
    <xf numFmtId="0" fontId="82" fillId="3" borderId="52" xfId="0" applyFont="1" applyFill="1" applyBorder="1" applyAlignment="1">
      <alignment horizontal="left" vertical="center" wrapText="1"/>
    </xf>
    <xf numFmtId="0" fontId="82" fillId="3" borderId="3" xfId="0" applyFont="1" applyFill="1" applyBorder="1" applyAlignment="1">
      <alignment horizontal="left" vertical="center" wrapText="1"/>
    </xf>
    <xf numFmtId="0" fontId="82" fillId="3" borderId="8" xfId="0" applyFont="1" applyFill="1" applyBorder="1" applyAlignment="1">
      <alignment horizontal="left" vertical="center" wrapText="1"/>
    </xf>
    <xf numFmtId="0" fontId="82" fillId="0" borderId="12" xfId="0" applyFont="1" applyBorder="1" applyAlignment="1">
      <alignment horizontal="center"/>
    </xf>
    <xf numFmtId="0" fontId="82" fillId="0" borderId="59" xfId="0" applyFont="1" applyBorder="1" applyAlignment="1">
      <alignment horizontal="center"/>
    </xf>
    <xf numFmtId="0" fontId="82" fillId="0" borderId="13" xfId="0" applyFont="1" applyBorder="1" applyAlignment="1">
      <alignment horizontal="center"/>
    </xf>
    <xf numFmtId="0" fontId="82" fillId="0" borderId="15" xfId="0" applyFont="1" applyBorder="1" applyAlignment="1">
      <alignment horizontal="center"/>
    </xf>
    <xf numFmtId="0" fontId="82" fillId="0" borderId="16" xfId="0" applyFont="1" applyBorder="1" applyAlignment="1">
      <alignment horizontal="center"/>
    </xf>
    <xf numFmtId="2" fontId="82" fillId="0" borderId="52" xfId="0" applyNumberFormat="1" applyFont="1" applyBorder="1" applyAlignment="1">
      <alignment horizontal="center" vertical="center"/>
    </xf>
    <xf numFmtId="2" fontId="82" fillId="0" borderId="3" xfId="0" applyNumberFormat="1" applyFont="1" applyBorder="1" applyAlignment="1">
      <alignment horizontal="center" vertical="center"/>
    </xf>
    <xf numFmtId="2" fontId="82" fillId="0" borderId="8" xfId="0" applyNumberFormat="1" applyFont="1" applyBorder="1" applyAlignment="1">
      <alignment horizontal="center" vertical="center"/>
    </xf>
    <xf numFmtId="2" fontId="81" fillId="0" borderId="52" xfId="0" applyNumberFormat="1" applyFont="1" applyBorder="1" applyAlignment="1">
      <alignment horizontal="center" vertical="center" wrapText="1"/>
    </xf>
    <xf numFmtId="2" fontId="81" fillId="0" borderId="3" xfId="0" applyNumberFormat="1" applyFont="1" applyBorder="1" applyAlignment="1">
      <alignment horizontal="center" vertical="center" wrapText="1"/>
    </xf>
    <xf numFmtId="2" fontId="81" fillId="0" borderId="8" xfId="0" applyNumberFormat="1" applyFont="1" applyBorder="1" applyAlignment="1">
      <alignment horizontal="center" vertical="center" wrapText="1"/>
    </xf>
    <xf numFmtId="0" fontId="82" fillId="0" borderId="52" xfId="0" applyFont="1" applyBorder="1" applyAlignment="1">
      <alignment horizontal="center" vertical="center" wrapText="1"/>
    </xf>
    <xf numFmtId="0" fontId="82" fillId="0" borderId="3" xfId="0" applyFont="1" applyBorder="1" applyAlignment="1">
      <alignment horizontal="center" vertical="center" wrapText="1"/>
    </xf>
    <xf numFmtId="0" fontId="82" fillId="0" borderId="8" xfId="0" applyFont="1" applyBorder="1" applyAlignment="1">
      <alignment horizontal="center" vertical="center" wrapText="1"/>
    </xf>
    <xf numFmtId="2" fontId="17" fillId="0" borderId="52" xfId="78" applyNumberFormat="1" applyFont="1" applyBorder="1" applyAlignment="1">
      <alignment horizontal="center" vertical="center" wrapText="1"/>
    </xf>
    <xf numFmtId="2" fontId="17" fillId="0" borderId="3" xfId="78" applyNumberFormat="1" applyFont="1" applyBorder="1" applyAlignment="1">
      <alignment horizontal="center" vertical="center" wrapText="1"/>
    </xf>
    <xf numFmtId="2" fontId="17" fillId="0" borderId="8" xfId="78" applyNumberFormat="1" applyFont="1" applyBorder="1" applyAlignment="1">
      <alignment horizontal="center" vertical="center" wrapText="1"/>
    </xf>
    <xf numFmtId="2" fontId="17" fillId="0" borderId="52" xfId="78" applyNumberFormat="1" applyFont="1" applyBorder="1" applyAlignment="1">
      <alignment horizontal="center"/>
    </xf>
    <xf numFmtId="2" fontId="17" fillId="0" borderId="3" xfId="78" applyNumberFormat="1" applyFont="1" applyBorder="1" applyAlignment="1">
      <alignment horizontal="center"/>
    </xf>
    <xf numFmtId="2" fontId="17" fillId="0" borderId="8" xfId="78" applyNumberFormat="1" applyFont="1" applyBorder="1" applyAlignment="1">
      <alignment horizontal="center"/>
    </xf>
    <xf numFmtId="0" fontId="17" fillId="32" borderId="6" xfId="78" applyFont="1" applyFill="1" applyBorder="1" applyAlignment="1">
      <alignment horizontal="center" vertical="center" wrapText="1"/>
    </xf>
    <xf numFmtId="0" fontId="6" fillId="3" borderId="12" xfId="78" applyFont="1" applyFill="1" applyBorder="1" applyAlignment="1">
      <alignment horizontal="center"/>
    </xf>
    <xf numFmtId="0" fontId="6" fillId="3" borderId="59" xfId="78" applyFont="1" applyFill="1" applyBorder="1" applyAlignment="1">
      <alignment horizontal="center"/>
    </xf>
    <xf numFmtId="0" fontId="6" fillId="3" borderId="13" xfId="78" applyFont="1" applyFill="1" applyBorder="1" applyAlignment="1">
      <alignment horizontal="center"/>
    </xf>
    <xf numFmtId="0" fontId="6" fillId="3" borderId="15" xfId="78" applyFont="1" applyFill="1" applyBorder="1" applyAlignment="1">
      <alignment horizontal="center"/>
    </xf>
    <xf numFmtId="0" fontId="6" fillId="3" borderId="17" xfId="78" applyFont="1" applyFill="1" applyBorder="1" applyAlignment="1">
      <alignment horizontal="center"/>
    </xf>
    <xf numFmtId="0" fontId="6" fillId="3" borderId="16" xfId="78" applyFont="1" applyFill="1" applyBorder="1" applyAlignment="1">
      <alignment horizontal="center"/>
    </xf>
    <xf numFmtId="0" fontId="81" fillId="0" borderId="52" xfId="0" applyFont="1" applyBorder="1" applyAlignment="1">
      <alignment horizontal="center" vertical="top" wrapText="1"/>
    </xf>
    <xf numFmtId="0" fontId="81" fillId="0" borderId="3" xfId="0" applyFont="1" applyBorder="1" applyAlignment="1">
      <alignment horizontal="center" vertical="top" wrapText="1"/>
    </xf>
    <xf numFmtId="0" fontId="81" fillId="0" borderId="8" xfId="0" applyFont="1" applyBorder="1" applyAlignment="1">
      <alignment horizontal="center" vertical="top" wrapText="1"/>
    </xf>
    <xf numFmtId="0" fontId="82" fillId="0" borderId="54" xfId="0" applyFont="1" applyBorder="1" applyAlignment="1">
      <alignment horizontal="center" wrapText="1"/>
    </xf>
    <xf numFmtId="0" fontId="82" fillId="0" borderId="55" xfId="0" applyFont="1" applyBorder="1" applyAlignment="1">
      <alignment horizontal="center" wrapText="1"/>
    </xf>
    <xf numFmtId="0" fontId="82" fillId="0" borderId="56" xfId="0" applyFont="1" applyBorder="1" applyAlignment="1">
      <alignment horizontal="center" wrapText="1"/>
    </xf>
    <xf numFmtId="0" fontId="82" fillId="3" borderId="6" xfId="0" applyFont="1" applyFill="1" applyBorder="1" applyAlignment="1">
      <alignment vertical="justify"/>
    </xf>
    <xf numFmtId="0" fontId="81" fillId="0" borderId="12" xfId="0" applyFont="1" applyBorder="1" applyAlignment="1">
      <alignment horizontal="center" vertical="center"/>
    </xf>
    <xf numFmtId="0" fontId="81" fillId="0" borderId="13" xfId="0" applyFont="1" applyBorder="1" applyAlignment="1">
      <alignment horizontal="center" vertical="center"/>
    </xf>
    <xf numFmtId="0" fontId="81" fillId="0" borderId="15" xfId="0" applyFont="1" applyBorder="1" applyAlignment="1">
      <alignment horizontal="center" vertical="center"/>
    </xf>
    <xf numFmtId="0" fontId="81" fillId="0" borderId="16" xfId="0" applyFont="1" applyBorder="1" applyAlignment="1">
      <alignment horizontal="center" vertical="center"/>
    </xf>
    <xf numFmtId="0" fontId="82" fillId="3" borderId="6" xfId="0" applyFont="1" applyFill="1" applyBorder="1" applyAlignment="1">
      <alignment vertical="justify" wrapText="1"/>
    </xf>
    <xf numFmtId="0" fontId="82" fillId="3" borderId="52" xfId="0" applyFont="1" applyFill="1" applyBorder="1" applyAlignment="1">
      <alignment horizontal="center" wrapText="1"/>
    </xf>
    <xf numFmtId="0" fontId="82" fillId="3" borderId="3" xfId="0" applyFont="1" applyFill="1" applyBorder="1" applyAlignment="1">
      <alignment horizontal="center" wrapText="1"/>
    </xf>
    <xf numFmtId="0" fontId="82" fillId="3" borderId="8" xfId="0" applyFont="1" applyFill="1" applyBorder="1" applyAlignment="1">
      <alignment horizontal="center" wrapText="1"/>
    </xf>
    <xf numFmtId="0" fontId="43" fillId="0" borderId="54" xfId="274" applyFont="1" applyBorder="1" applyAlignment="1">
      <alignment horizontal="center"/>
    </xf>
    <xf numFmtId="0" fontId="43" fillId="0" borderId="55" xfId="274" applyFont="1" applyBorder="1" applyAlignment="1">
      <alignment horizontal="center"/>
    </xf>
    <xf numFmtId="0" fontId="43" fillId="0" borderId="56" xfId="274" applyFont="1" applyBorder="1" applyAlignment="1">
      <alignment horizontal="center"/>
    </xf>
    <xf numFmtId="0" fontId="17" fillId="0" borderId="0" xfId="78" applyFont="1" applyAlignment="1">
      <alignment horizontal="center"/>
    </xf>
    <xf numFmtId="0" fontId="22" fillId="0" borderId="20" xfId="78" applyFont="1" applyBorder="1" applyAlignment="1">
      <alignment horizontal="center"/>
    </xf>
    <xf numFmtId="0" fontId="22" fillId="0" borderId="21" xfId="78" applyFont="1" applyBorder="1" applyAlignment="1">
      <alignment horizontal="center"/>
    </xf>
    <xf numFmtId="0" fontId="22" fillId="0" borderId="22" xfId="78" applyFont="1" applyBorder="1" applyAlignment="1">
      <alignment horizontal="center"/>
    </xf>
    <xf numFmtId="0" fontId="178" fillId="0" borderId="0" xfId="92" applyFont="1" applyAlignment="1">
      <alignment horizontal="center"/>
    </xf>
    <xf numFmtId="0" fontId="51" fillId="3" borderId="52" xfId="92" applyFont="1" applyFill="1" applyBorder="1" applyAlignment="1">
      <alignment horizontal="center" vertical="center"/>
    </xf>
    <xf numFmtId="0" fontId="51" fillId="3" borderId="3" xfId="92" applyFont="1" applyFill="1" applyBorder="1" applyAlignment="1">
      <alignment horizontal="center" vertical="center"/>
    </xf>
    <xf numFmtId="0" fontId="51" fillId="3" borderId="96" xfId="92" applyFont="1" applyFill="1" applyBorder="1" applyAlignment="1">
      <alignment horizontal="center" vertical="center"/>
    </xf>
    <xf numFmtId="0" fontId="14" fillId="0" borderId="54" xfId="95" applyFont="1" applyBorder="1" applyAlignment="1">
      <alignment horizontal="center"/>
    </xf>
    <xf numFmtId="0" fontId="14" fillId="0" borderId="55" xfId="95" applyFont="1" applyBorder="1" applyAlignment="1">
      <alignment horizontal="center"/>
    </xf>
    <xf numFmtId="0" fontId="14" fillId="0" borderId="56" xfId="95" applyFont="1" applyBorder="1" applyAlignment="1">
      <alignment horizontal="center"/>
    </xf>
    <xf numFmtId="0" fontId="14" fillId="0" borderId="6" xfId="95" applyFont="1" applyBorder="1" applyAlignment="1">
      <alignment horizontal="center"/>
    </xf>
    <xf numFmtId="0" fontId="17" fillId="0" borderId="20" xfId="95" applyFont="1" applyBorder="1" applyAlignment="1">
      <alignment horizontal="center"/>
    </xf>
    <xf numFmtId="0" fontId="17" fillId="0" borderId="21" xfId="95" applyFont="1" applyBorder="1" applyAlignment="1">
      <alignment horizontal="center"/>
    </xf>
    <xf numFmtId="0" fontId="17" fillId="0" borderId="22" xfId="95" applyFont="1" applyBorder="1" applyAlignment="1">
      <alignment horizontal="center"/>
    </xf>
    <xf numFmtId="0" fontId="14" fillId="0" borderId="15" xfId="95" applyFont="1" applyBorder="1" applyAlignment="1">
      <alignment horizontal="center"/>
    </xf>
    <xf numFmtId="0" fontId="14" fillId="0" borderId="17" xfId="95" applyFont="1" applyBorder="1" applyAlignment="1">
      <alignment horizontal="center"/>
    </xf>
    <xf numFmtId="0" fontId="14" fillId="0" borderId="16" xfId="95" applyFont="1" applyBorder="1" applyAlignment="1">
      <alignment horizontal="center"/>
    </xf>
    <xf numFmtId="0" fontId="14" fillId="0" borderId="106" xfId="95" applyFont="1" applyBorder="1" applyAlignment="1">
      <alignment horizontal="center"/>
    </xf>
    <xf numFmtId="0" fontId="14" fillId="0" borderId="0" xfId="95" applyFont="1" applyBorder="1" applyAlignment="1">
      <alignment horizontal="center"/>
    </xf>
    <xf numFmtId="0" fontId="14" fillId="0" borderId="14" xfId="95" applyFont="1" applyBorder="1" applyAlignment="1">
      <alignment horizontal="center"/>
    </xf>
    <xf numFmtId="0" fontId="14" fillId="0" borderId="106" xfId="95" applyFont="1" applyBorder="1" applyAlignment="1">
      <alignment horizontal="center" vertical="center"/>
    </xf>
    <xf numFmtId="0" fontId="14" fillId="0" borderId="0" xfId="95" applyFont="1" applyBorder="1" applyAlignment="1">
      <alignment horizontal="center" vertical="center"/>
    </xf>
    <xf numFmtId="10" fontId="14" fillId="0" borderId="106" xfId="95" applyNumberFormat="1" applyFont="1" applyBorder="1" applyAlignment="1">
      <alignment horizontal="center"/>
    </xf>
    <xf numFmtId="0" fontId="4" fillId="3" borderId="158" xfId="78" applyFont="1" applyFill="1" applyBorder="1" applyAlignment="1">
      <alignment horizontal="center" vertical="center"/>
    </xf>
    <xf numFmtId="0" fontId="4" fillId="3" borderId="159" xfId="78" applyFont="1" applyFill="1" applyBorder="1" applyAlignment="1">
      <alignment horizontal="center" vertical="center"/>
    </xf>
    <xf numFmtId="0" fontId="4" fillId="3" borderId="156" xfId="78" applyFont="1" applyFill="1" applyBorder="1" applyAlignment="1">
      <alignment horizontal="center" vertical="center"/>
    </xf>
    <xf numFmtId="0" fontId="18" fillId="0" borderId="20" xfId="78" applyFont="1" applyBorder="1" applyAlignment="1">
      <alignment horizontal="center"/>
    </xf>
    <xf numFmtId="0" fontId="18" fillId="0" borderId="21" xfId="78" applyFont="1" applyBorder="1" applyAlignment="1">
      <alignment horizontal="center"/>
    </xf>
    <xf numFmtId="0" fontId="18" fillId="0" borderId="22" xfId="78" applyFont="1" applyBorder="1" applyAlignment="1">
      <alignment horizontal="center"/>
    </xf>
    <xf numFmtId="0" fontId="4" fillId="3" borderId="15" xfId="78" applyFont="1" applyFill="1" applyBorder="1" applyAlignment="1">
      <alignment horizontal="center"/>
    </xf>
    <xf numFmtId="0" fontId="4" fillId="3" borderId="16" xfId="78" applyFont="1" applyFill="1" applyBorder="1" applyAlignment="1">
      <alignment horizontal="center"/>
    </xf>
    <xf numFmtId="0" fontId="4" fillId="0" borderId="54" xfId="0" applyFont="1" applyBorder="1" applyAlignment="1">
      <alignment horizontal="center"/>
    </xf>
    <xf numFmtId="0" fontId="4" fillId="0" borderId="55" xfId="0" applyFont="1" applyBorder="1" applyAlignment="1">
      <alignment horizontal="center"/>
    </xf>
    <xf numFmtId="0" fontId="4" fillId="0" borderId="56" xfId="0" applyFont="1" applyBorder="1" applyAlignment="1">
      <alignment horizontal="center"/>
    </xf>
    <xf numFmtId="0" fontId="117" fillId="0" borderId="52" xfId="0" applyFont="1" applyBorder="1" applyAlignment="1">
      <alignment horizontal="center" vertical="center" wrapText="1"/>
    </xf>
    <xf numFmtId="0" fontId="0" fillId="0" borderId="3" xfId="0" applyBorder="1"/>
    <xf numFmtId="0" fontId="116" fillId="0" borderId="0" xfId="0" applyFont="1" applyBorder="1" applyAlignment="1">
      <alignment horizontal="justify" vertical="top" wrapText="1"/>
    </xf>
    <xf numFmtId="0" fontId="116" fillId="0" borderId="0" xfId="0" applyFont="1" applyBorder="1" applyAlignment="1">
      <alignment horizontal="right" vertical="top" wrapText="1"/>
    </xf>
  </cellXfs>
  <cellStyles count="492">
    <cellStyle name="_Allocation" xfId="423"/>
    <cellStyle name="_Buyers Credit details to accounts - 16.3.05" xfId="424"/>
    <cellStyle name="_CASH FLOW 11-04-05" xfId="425"/>
    <cellStyle name="_Financial Model _VIPL_July 2009" xfId="426"/>
    <cellStyle name="_Reliance Power Group Advance tax_2nd Quarter_AY 2010-11" xfId="427"/>
    <cellStyle name="20% - Accent1 2" xfId="16"/>
    <cellStyle name="20% - Accent1 3" xfId="276"/>
    <cellStyle name="20% - Accent2 2" xfId="17"/>
    <cellStyle name="20% - Accent2 3" xfId="277"/>
    <cellStyle name="20% - Accent3 2" xfId="18"/>
    <cellStyle name="20% - Accent3 3" xfId="278"/>
    <cellStyle name="20% - Accent4 2" xfId="19"/>
    <cellStyle name="20% - Accent4 3" xfId="279"/>
    <cellStyle name="20% - Accent5 2" xfId="20"/>
    <cellStyle name="20% - Accent5 3" xfId="280"/>
    <cellStyle name="20% - Accent6 2" xfId="21"/>
    <cellStyle name="20% - Accent6 3" xfId="281"/>
    <cellStyle name="40% - Accent1 2" xfId="22"/>
    <cellStyle name="40% - Accent1 3" xfId="282"/>
    <cellStyle name="40% - Accent2 2" xfId="23"/>
    <cellStyle name="40% - Accent2 3" xfId="283"/>
    <cellStyle name="40% - Accent3 2" xfId="24"/>
    <cellStyle name="40% - Accent3 3" xfId="284"/>
    <cellStyle name="40% - Accent4 2" xfId="25"/>
    <cellStyle name="40% - Accent4 3" xfId="285"/>
    <cellStyle name="40% - Accent5 2" xfId="26"/>
    <cellStyle name="40% - Accent5 3" xfId="286"/>
    <cellStyle name="40% - Accent6 2" xfId="27"/>
    <cellStyle name="40% - Accent6 3" xfId="287"/>
    <cellStyle name="60% - Accent1 2" xfId="28"/>
    <cellStyle name="60% - Accent1 3" xfId="288"/>
    <cellStyle name="60% - Accent2 2" xfId="29"/>
    <cellStyle name="60% - Accent2 3" xfId="289"/>
    <cellStyle name="60% - Accent3 2" xfId="30"/>
    <cellStyle name="60% - Accent3 3" xfId="290"/>
    <cellStyle name="60% - Accent4 2" xfId="31"/>
    <cellStyle name="60% - Accent4 3" xfId="291"/>
    <cellStyle name="60% - Accent5 2" xfId="32"/>
    <cellStyle name="60% - Accent5 3" xfId="292"/>
    <cellStyle name="60% - Accent6 2" xfId="33"/>
    <cellStyle name="60% - Accent6 3" xfId="293"/>
    <cellStyle name="Accent1 2" xfId="34"/>
    <cellStyle name="Accent1 3" xfId="294"/>
    <cellStyle name="Accent2 2" xfId="35"/>
    <cellStyle name="Accent2 3" xfId="295"/>
    <cellStyle name="Accent3 2" xfId="36"/>
    <cellStyle name="Accent3 3" xfId="296"/>
    <cellStyle name="Accent4 2" xfId="37"/>
    <cellStyle name="Accent4 3" xfId="297"/>
    <cellStyle name="Accent5 2" xfId="38"/>
    <cellStyle name="Accent5 3" xfId="298"/>
    <cellStyle name="Accent6 2" xfId="39"/>
    <cellStyle name="Accent6 3" xfId="299"/>
    <cellStyle name="Bad 2" xfId="40"/>
    <cellStyle name="Bad 3" xfId="300"/>
    <cellStyle name="Body" xfId="41"/>
    <cellStyle name="Calculation 2" xfId="42"/>
    <cellStyle name="Calculation 3" xfId="301"/>
    <cellStyle name="CaseSelector" xfId="302"/>
    <cellStyle name="CaseSelector 2" xfId="303"/>
    <cellStyle name="CaseSelector 3" xfId="304"/>
    <cellStyle name="CaseSelector 4" xfId="305"/>
    <cellStyle name="CaseSelector 5" xfId="306"/>
    <cellStyle name="CaseSelector_TPC-G MYT 2008-09 APR_Capex SG Edits_R2" xfId="307"/>
    <cellStyle name="Check Cell 2" xfId="43"/>
    <cellStyle name="Check Cell 3" xfId="308"/>
    <cellStyle name="Comma" xfId="486" builtinId="3"/>
    <cellStyle name="Comma  - Style1" xfId="44"/>
    <cellStyle name="Comma 10" xfId="45"/>
    <cellStyle name="Comma 11" xfId="7"/>
    <cellStyle name="Comma 12" xfId="46"/>
    <cellStyle name="Comma 12 2" xfId="309"/>
    <cellStyle name="Comma 13" xfId="47"/>
    <cellStyle name="Comma 14" xfId="265"/>
    <cellStyle name="Comma 15" xfId="266"/>
    <cellStyle name="Comma 16" xfId="310"/>
    <cellStyle name="Comma 17" xfId="311"/>
    <cellStyle name="Comma 18" xfId="312"/>
    <cellStyle name="Comma 19" xfId="313"/>
    <cellStyle name="Comma 2" xfId="4"/>
    <cellStyle name="Comma 2 2" xfId="48"/>
    <cellStyle name="Comma 2 2 2" xfId="267"/>
    <cellStyle name="Comma 2 2 3" xfId="314"/>
    <cellStyle name="Comma 2 2_Support Data_Yogesh2_FY 2009-10" xfId="315"/>
    <cellStyle name="Comma 2 3" xfId="268"/>
    <cellStyle name="Comma 2 4" xfId="269"/>
    <cellStyle name="Comma 2 5" xfId="428"/>
    <cellStyle name="Comma 20" xfId="316"/>
    <cellStyle name="Comma 21" xfId="317"/>
    <cellStyle name="Comma 22" xfId="318"/>
    <cellStyle name="Comma 23" xfId="319"/>
    <cellStyle name="Comma 3" xfId="49"/>
    <cellStyle name="Comma 3 2" xfId="270"/>
    <cellStyle name="Comma 3 3" xfId="271"/>
    <cellStyle name="Comma 4" xfId="50"/>
    <cellStyle name="Comma 4 2" xfId="51"/>
    <cellStyle name="Comma 4 2 2 2" xfId="429"/>
    <cellStyle name="Comma 5" xfId="52"/>
    <cellStyle name="Comma 6" xfId="53"/>
    <cellStyle name="Comma 7" xfId="54"/>
    <cellStyle name="Comma 7 2" xfId="320"/>
    <cellStyle name="Comma 8" xfId="55"/>
    <cellStyle name="Comma 8 2" xfId="56"/>
    <cellStyle name="Comma 9" xfId="57"/>
    <cellStyle name="Comma0 - Style4" xfId="430"/>
    <cellStyle name="Comma1 - Style1" xfId="431"/>
    <cellStyle name="Curren - Style2" xfId="58"/>
    <cellStyle name="Currency 2" xfId="59"/>
    <cellStyle name="Currency 3" xfId="60"/>
    <cellStyle name="Currency 4" xfId="61"/>
    <cellStyle name="Custom - Style8" xfId="432"/>
    <cellStyle name="Data   - Style2" xfId="433"/>
    <cellStyle name="date" xfId="321"/>
    <cellStyle name="Euro" xfId="322"/>
    <cellStyle name="Euro 2" xfId="323"/>
    <cellStyle name="Euro 3" xfId="324"/>
    <cellStyle name="Euro 4" xfId="325"/>
    <cellStyle name="Euro 5" xfId="326"/>
    <cellStyle name="Excel Built-in Excel Built-in Excel Built-in Excel Built-in Excel Built-in Excel Built-in Excel Built-in Excel Built-in TableStyleLight1" xfId="434"/>
    <cellStyle name="Excel Built-in Normal" xfId="435"/>
    <cellStyle name="Excel Built-in Normal 2" xfId="436"/>
    <cellStyle name="Explanatory Text 2" xfId="62"/>
    <cellStyle name="Explanatory Text 3" xfId="327"/>
    <cellStyle name="Fixed" xfId="437"/>
    <cellStyle name="Fixed3 - Style3" xfId="438"/>
    <cellStyle name="FORM" xfId="439"/>
    <cellStyle name="fy" xfId="328"/>
    <cellStyle name="General" xfId="329"/>
    <cellStyle name="Good 2" xfId="63"/>
    <cellStyle name="Good 3" xfId="330"/>
    <cellStyle name="GrandTotal" xfId="331"/>
    <cellStyle name="Grey" xfId="64"/>
    <cellStyle name="Header" xfId="332"/>
    <cellStyle name="Header1" xfId="65"/>
    <cellStyle name="Header2" xfId="66"/>
    <cellStyle name="HEADIN - Style5" xfId="440"/>
    <cellStyle name="Heading 1 2" xfId="67"/>
    <cellStyle name="Heading 1 3" xfId="333"/>
    <cellStyle name="Heading 2 2" xfId="68"/>
    <cellStyle name="Heading 2 3" xfId="334"/>
    <cellStyle name="Heading 3 2" xfId="69"/>
    <cellStyle name="Heading 3 3" xfId="335"/>
    <cellStyle name="Heading 4 2" xfId="70"/>
    <cellStyle name="Heading 4 3" xfId="336"/>
    <cellStyle name="Heading1" xfId="441"/>
    <cellStyle name="Heading2" xfId="442"/>
    <cellStyle name="Hyperlink" xfId="259" builtinId="8"/>
    <cellStyle name="Hyperlink 2" xfId="71"/>
    <cellStyle name="Hyperlink 3" xfId="261"/>
    <cellStyle name="Indian Amount" xfId="443"/>
    <cellStyle name="Input [yellow]" xfId="72"/>
    <cellStyle name="Input 2" xfId="73"/>
    <cellStyle name="Input 3" xfId="337"/>
    <cellStyle name="INR" xfId="444"/>
    <cellStyle name="inr.ps" xfId="445"/>
    <cellStyle name="INR_UE&amp;PL_adv tax estimate ueepl  F.Y 08-09" xfId="446"/>
    <cellStyle name="INR-PS" xfId="447"/>
    <cellStyle name="Labels - Style3" xfId="448"/>
    <cellStyle name="Linked Cell 2" xfId="74"/>
    <cellStyle name="Linked Cell 3" xfId="338"/>
    <cellStyle name="Milliers [0]_laroux" xfId="449"/>
    <cellStyle name="Milliers_laroux" xfId="450"/>
    <cellStyle name="Monétaire [0]_laroux" xfId="451"/>
    <cellStyle name="Monétaire_laroux" xfId="452"/>
    <cellStyle name="Neutral 2" xfId="75"/>
    <cellStyle name="Neutral 3" xfId="339"/>
    <cellStyle name="no dec" xfId="76"/>
    <cellStyle name="no dec 2" xfId="340"/>
    <cellStyle name="no dec 3" xfId="341"/>
    <cellStyle name="no dec 4" xfId="342"/>
    <cellStyle name="no dec 5" xfId="343"/>
    <cellStyle name="no dec_Book3" xfId="344"/>
    <cellStyle name="Nor}al" xfId="345"/>
    <cellStyle name="Nor}al 2" xfId="346"/>
    <cellStyle name="Nor}al 3" xfId="347"/>
    <cellStyle name="Nor}al_Book3" xfId="348"/>
    <cellStyle name="Normaᳬ_SYSFRQᷔ1" xfId="349"/>
    <cellStyle name="Normal" xfId="0" builtinId="0"/>
    <cellStyle name="Normal - Style1" xfId="77"/>
    <cellStyle name="Normal - Style1 2" xfId="350"/>
    <cellStyle name="Normal - Style1 3" xfId="351"/>
    <cellStyle name="Normal - Style1 4" xfId="352"/>
    <cellStyle name="Normal - Style1 5" xfId="353"/>
    <cellStyle name="Normal - Style1_Book3" xfId="354"/>
    <cellStyle name="Normal 10" xfId="78"/>
    <cellStyle name="Normal 10 2" xfId="79"/>
    <cellStyle name="Normal 10 3" xfId="80"/>
    <cellStyle name="Normal 100" xfId="81"/>
    <cellStyle name="Normal 101" xfId="82"/>
    <cellStyle name="Normal 102" xfId="83"/>
    <cellStyle name="Normal 103" xfId="84"/>
    <cellStyle name="Normal 104" xfId="85"/>
    <cellStyle name="Normal 105" xfId="86"/>
    <cellStyle name="Normal 106" xfId="87"/>
    <cellStyle name="Normal 106 2" xfId="88"/>
    <cellStyle name="Normal 107" xfId="89"/>
    <cellStyle name="Normal 108" xfId="90"/>
    <cellStyle name="Normal 109" xfId="91"/>
    <cellStyle name="Normal 109 2" xfId="272"/>
    <cellStyle name="Normal 11" xfId="92"/>
    <cellStyle name="Normal 11 2" xfId="93"/>
    <cellStyle name="Normal 11_Sept9-10 4.4" xfId="94"/>
    <cellStyle name="Normal 110" xfId="95"/>
    <cellStyle name="Normal 111" xfId="96"/>
    <cellStyle name="Normal 112" xfId="97"/>
    <cellStyle name="Normal 113" xfId="260"/>
    <cellStyle name="Normal 114" xfId="273"/>
    <cellStyle name="Normal 115" xfId="274"/>
    <cellStyle name="Normal 116" xfId="489"/>
    <cellStyle name="Normal 117" xfId="491"/>
    <cellStyle name="Normal 119" xfId="487"/>
    <cellStyle name="Normal 12" xfId="98"/>
    <cellStyle name="Normal 12 2" xfId="99"/>
    <cellStyle name="Normal 120" xfId="488"/>
    <cellStyle name="Normal 13" xfId="100"/>
    <cellStyle name="Normal 14" xfId="101"/>
    <cellStyle name="Normal 15" xfId="102"/>
    <cellStyle name="Normal 15 2" xfId="103"/>
    <cellStyle name="Normal 16" xfId="104"/>
    <cellStyle name="Normal 16 2" xfId="105"/>
    <cellStyle name="Normal 16 3" xfId="106"/>
    <cellStyle name="Normal 16 3 2" xfId="107"/>
    <cellStyle name="Normal 16 3 2 2" xfId="108"/>
    <cellStyle name="Normal 16 3 2 2 2" xfId="109"/>
    <cellStyle name="Normal 17" xfId="110"/>
    <cellStyle name="Normal 17 2" xfId="111"/>
    <cellStyle name="Normal 18" xfId="112"/>
    <cellStyle name="Normal 19" xfId="113"/>
    <cellStyle name="Normal 2" xfId="2"/>
    <cellStyle name="Normal 2 10" xfId="114"/>
    <cellStyle name="Normal 2 11" xfId="115"/>
    <cellStyle name="Normal 2 12" xfId="116"/>
    <cellStyle name="Normal 2 2" xfId="3"/>
    <cellStyle name="Normal 2 2 2" xfId="117"/>
    <cellStyle name="Normal 2 2 3" xfId="118"/>
    <cellStyle name="Normal 2 2 4" xfId="119"/>
    <cellStyle name="Normal 2 3" xfId="120"/>
    <cellStyle name="Normal 2 3 2" xfId="121"/>
    <cellStyle name="Normal 2 4" xfId="122"/>
    <cellStyle name="Normal 2 5" xfId="123"/>
    <cellStyle name="Normal 2 6" xfId="124"/>
    <cellStyle name="Normal 2 7" xfId="125"/>
    <cellStyle name="Normal 2 8" xfId="126"/>
    <cellStyle name="Normal 2 9" xfId="127"/>
    <cellStyle name="Normal 2_Availability 08-09" xfId="128"/>
    <cellStyle name="Normal 20" xfId="129"/>
    <cellStyle name="Normal 20 2" xfId="130"/>
    <cellStyle name="Normal 20 2 2" xfId="131"/>
    <cellStyle name="Normal 21" xfId="132"/>
    <cellStyle name="Normal 22" xfId="133"/>
    <cellStyle name="Normal 23" xfId="134"/>
    <cellStyle name="Normal 24" xfId="135"/>
    <cellStyle name="Normal 25" xfId="136"/>
    <cellStyle name="Normal 26" xfId="137"/>
    <cellStyle name="Normal 27" xfId="138"/>
    <cellStyle name="Normal 28" xfId="139"/>
    <cellStyle name="Normal 29" xfId="140"/>
    <cellStyle name="Normal 3" xfId="9"/>
    <cellStyle name="Normal 3 2" xfId="141"/>
    <cellStyle name="Normal 3 2 2" xfId="142"/>
    <cellStyle name="Normal 3 2 3" xfId="143"/>
    <cellStyle name="Normal 3 3" xfId="144"/>
    <cellStyle name="Normal 3 3 2" xfId="422"/>
    <cellStyle name="Normal 3 4" xfId="145"/>
    <cellStyle name="Normal 30" xfId="146"/>
    <cellStyle name="Normal 31" xfId="147"/>
    <cellStyle name="Normal 32" xfId="148"/>
    <cellStyle name="Normal 33" xfId="149"/>
    <cellStyle name="Normal 33 2" xfId="453"/>
    <cellStyle name="Normal 34" xfId="150"/>
    <cellStyle name="Normal 35" xfId="151"/>
    <cellStyle name="Normal 36" xfId="152"/>
    <cellStyle name="Normal 37" xfId="153"/>
    <cellStyle name="Normal 38" xfId="154"/>
    <cellStyle name="Normal 39" xfId="155"/>
    <cellStyle name="Normal 4" xfId="10"/>
    <cellStyle name="Normal 4 2" xfId="454"/>
    <cellStyle name="Normal 4 3" xfId="455"/>
    <cellStyle name="Normal 40" xfId="156"/>
    <cellStyle name="Normal 41" xfId="157"/>
    <cellStyle name="Normal 42" xfId="158"/>
    <cellStyle name="Normal 43" xfId="159"/>
    <cellStyle name="Normal 44" xfId="160"/>
    <cellStyle name="Normal 45" xfId="161"/>
    <cellStyle name="Normal 46" xfId="162"/>
    <cellStyle name="Normal 47" xfId="163"/>
    <cellStyle name="Normal 48" xfId="164"/>
    <cellStyle name="Normal 49" xfId="165"/>
    <cellStyle name="Normal 5" xfId="11"/>
    <cellStyle name="Normal 5 2" xfId="166"/>
    <cellStyle name="Normal 5 3" xfId="167"/>
    <cellStyle name="Normal 5 3 2" xfId="168"/>
    <cellStyle name="Normal 5 3 2 2" xfId="169"/>
    <cellStyle name="Normal 5 3 2 2 2" xfId="170"/>
    <cellStyle name="Normal 50" xfId="171"/>
    <cellStyle name="Normal 51" xfId="172"/>
    <cellStyle name="Normal 52" xfId="173"/>
    <cellStyle name="Normal 53" xfId="174"/>
    <cellStyle name="Normal 54" xfId="175"/>
    <cellStyle name="Normal 55" xfId="176"/>
    <cellStyle name="Normal 56" xfId="177"/>
    <cellStyle name="Normal 57" xfId="178"/>
    <cellStyle name="Normal 58" xfId="179"/>
    <cellStyle name="Normal 59" xfId="180"/>
    <cellStyle name="Normal 6" xfId="12"/>
    <cellStyle name="Normal 6 2" xfId="456"/>
    <cellStyle name="Normal 60" xfId="181"/>
    <cellStyle name="Normal 61" xfId="182"/>
    <cellStyle name="Normal 62" xfId="183"/>
    <cellStyle name="Normal 63" xfId="184"/>
    <cellStyle name="Normal 64" xfId="185"/>
    <cellStyle name="Normal 65" xfId="186"/>
    <cellStyle name="Normal 66" xfId="187"/>
    <cellStyle name="Normal 67" xfId="188"/>
    <cellStyle name="Normal 68" xfId="189"/>
    <cellStyle name="Normal 69" xfId="190"/>
    <cellStyle name="Normal 7" xfId="191"/>
    <cellStyle name="Normal 7 10" xfId="457"/>
    <cellStyle name="Normal 7 2" xfId="192"/>
    <cellStyle name="Normal 70" xfId="193"/>
    <cellStyle name="Normal 71" xfId="194"/>
    <cellStyle name="Normal 72" xfId="195"/>
    <cellStyle name="Normal 73" xfId="196"/>
    <cellStyle name="Normal 74" xfId="197"/>
    <cellStyle name="Normal 75" xfId="198"/>
    <cellStyle name="Normal 76" xfId="199"/>
    <cellStyle name="Normal 77" xfId="200"/>
    <cellStyle name="Normal 78" xfId="201"/>
    <cellStyle name="Normal 79" xfId="202"/>
    <cellStyle name="Normal 8" xfId="203"/>
    <cellStyle name="Normal 8 10" xfId="458"/>
    <cellStyle name="Normal 8 2" xfId="204"/>
    <cellStyle name="Normal 80" xfId="205"/>
    <cellStyle name="Normal 81" xfId="206"/>
    <cellStyle name="Normal 82" xfId="207"/>
    <cellStyle name="Normal 83" xfId="208"/>
    <cellStyle name="Normal 84" xfId="209"/>
    <cellStyle name="Normal 85" xfId="210"/>
    <cellStyle name="Normal 86" xfId="211"/>
    <cellStyle name="Normal 87" xfId="212"/>
    <cellStyle name="Normal 88" xfId="213"/>
    <cellStyle name="Normal 89" xfId="214"/>
    <cellStyle name="Normal 9" xfId="215"/>
    <cellStyle name="Normal 9 2" xfId="216"/>
    <cellStyle name="Normal 90" xfId="217"/>
    <cellStyle name="Normal 91" xfId="218"/>
    <cellStyle name="Normal 92" xfId="219"/>
    <cellStyle name="Normal 93" xfId="220"/>
    <cellStyle name="Normal 94" xfId="221"/>
    <cellStyle name="Normal 95" xfId="222"/>
    <cellStyle name="Normal 96" xfId="223"/>
    <cellStyle name="Normal 97" xfId="224"/>
    <cellStyle name="Normal 98" xfId="225"/>
    <cellStyle name="Normal 99" xfId="226"/>
    <cellStyle name="Normal_BEST_17102006" xfId="263"/>
    <cellStyle name="Normal_BS905ALT" xfId="262"/>
    <cellStyle name="Normal_Form-5.3-(APR-08-09)-3-12-08-F 2" xfId="275"/>
    <cellStyle name="Normal_FORMATS 5 YEAR ALOKE" xfId="257"/>
    <cellStyle name="Normal_FORMATS 5 YEAR ALOKE 2" xfId="6"/>
    <cellStyle name="Normal_FORMATS 5 YEAR ALOKE 3" xfId="13"/>
    <cellStyle name="Normal_FORMATS 5 YEAR ALOKE 3 2" xfId="5"/>
    <cellStyle name="Normal_FORMATS 5 YEAR ALOKE 4" xfId="8"/>
    <cellStyle name="Normal_FORMATS 5 YEAR ALOKE 5" xfId="490"/>
    <cellStyle name="Normal_Reconcialion of Profit &amp; Loss" xfId="264"/>
    <cellStyle name="Norửal_SYSFRQT2" xfId="355"/>
    <cellStyle name="Note 2" xfId="227"/>
    <cellStyle name="Note 3" xfId="356"/>
    <cellStyle name="number" xfId="459"/>
    <cellStyle name="Old values" xfId="357"/>
    <cellStyle name="Output 2" xfId="228"/>
    <cellStyle name="Output 3" xfId="358"/>
    <cellStyle name="Percen - Style2" xfId="460"/>
    <cellStyle name="Percent" xfId="1" builtinId="5"/>
    <cellStyle name="Percent [0]_#6 Temps &amp; Contractors" xfId="229"/>
    <cellStyle name="Percent [2]" xfId="230"/>
    <cellStyle name="Percent [2] 2" xfId="359"/>
    <cellStyle name="Percent [2] 3" xfId="360"/>
    <cellStyle name="Percent [2] 4" xfId="361"/>
    <cellStyle name="Percent [2] 5" xfId="362"/>
    <cellStyle name="Percent 10" xfId="256"/>
    <cellStyle name="Percent 11" xfId="258"/>
    <cellStyle name="Percent 12" xfId="363"/>
    <cellStyle name="Percent 13" xfId="364"/>
    <cellStyle name="Percent 14" xfId="365"/>
    <cellStyle name="Percent 15" xfId="366"/>
    <cellStyle name="Percent 2" xfId="14"/>
    <cellStyle name="Percent 2 10" xfId="231"/>
    <cellStyle name="Percent 2 11" xfId="232"/>
    <cellStyle name="Percent 2 12" xfId="233"/>
    <cellStyle name="Percent 2 2" xfId="234"/>
    <cellStyle name="Percent 2 3" xfId="235"/>
    <cellStyle name="Percent 2 4" xfId="236"/>
    <cellStyle name="Percent 2 5" xfId="237"/>
    <cellStyle name="Percent 2 6" xfId="238"/>
    <cellStyle name="Percent 2 7" xfId="239"/>
    <cellStyle name="Percent 2 8" xfId="240"/>
    <cellStyle name="Percent 2 9" xfId="241"/>
    <cellStyle name="Percent 3" xfId="15"/>
    <cellStyle name="Percent 4" xfId="242"/>
    <cellStyle name="Percent 4 2" xfId="367"/>
    <cellStyle name="Percent 5" xfId="243"/>
    <cellStyle name="Percent 5 2" xfId="244"/>
    <cellStyle name="Percent 5 2 2" xfId="245"/>
    <cellStyle name="Percent 5 2 2 2" xfId="246"/>
    <cellStyle name="Percent 5 2 2 2 2" xfId="247"/>
    <cellStyle name="Percent 6" xfId="248"/>
    <cellStyle name="Percent 7" xfId="249"/>
    <cellStyle name="Percent 8" xfId="250"/>
    <cellStyle name="Percent 9" xfId="251"/>
    <cellStyle name="Reset  - Style7" xfId="461"/>
    <cellStyle name="Result 1" xfId="368"/>
    <cellStyle name="Result 2" xfId="369"/>
    <cellStyle name="Result 3" xfId="370"/>
    <cellStyle name="Result 4" xfId="371"/>
    <cellStyle name="Result 5" xfId="372"/>
    <cellStyle name="Result 6" xfId="373"/>
    <cellStyle name="Rs" xfId="462"/>
    <cellStyle name="RS (000)" xfId="463"/>
    <cellStyle name="SAPBEXaggData" xfId="374"/>
    <cellStyle name="SAPBEXaggDataEmph" xfId="375"/>
    <cellStyle name="SAPBEXaggItem" xfId="376"/>
    <cellStyle name="SAPBEXaggItemX" xfId="377"/>
    <cellStyle name="SAPBEXchaText" xfId="378"/>
    <cellStyle name="SAPBEXexcBad7" xfId="379"/>
    <cellStyle name="SAPBEXexcBad8" xfId="380"/>
    <cellStyle name="SAPBEXexcBad9" xfId="381"/>
    <cellStyle name="SAPBEXexcCritical4" xfId="382"/>
    <cellStyle name="SAPBEXexcCritical5" xfId="383"/>
    <cellStyle name="SAPBEXexcCritical6" xfId="384"/>
    <cellStyle name="SAPBEXexcGood1" xfId="385"/>
    <cellStyle name="SAPBEXexcGood2" xfId="386"/>
    <cellStyle name="SAPBEXexcGood3" xfId="387"/>
    <cellStyle name="SAPBEXfilterDrill" xfId="388"/>
    <cellStyle name="SAPBEXfilterItem" xfId="389"/>
    <cellStyle name="SAPBEXfilterText" xfId="390"/>
    <cellStyle name="SAPBEXformats" xfId="391"/>
    <cellStyle name="SAPBEXheaderItem" xfId="392"/>
    <cellStyle name="SAPBEXheaderText" xfId="393"/>
    <cellStyle name="SAPBEXHLevel0" xfId="394"/>
    <cellStyle name="SAPBEXHLevel0X" xfId="395"/>
    <cellStyle name="SAPBEXHLevel1" xfId="396"/>
    <cellStyle name="SAPBEXHLevel1X" xfId="397"/>
    <cellStyle name="SAPBEXHLevel2" xfId="398"/>
    <cellStyle name="SAPBEXHLevel2X" xfId="399"/>
    <cellStyle name="SAPBEXHLevel3" xfId="400"/>
    <cellStyle name="SAPBEXHLevel3X" xfId="401"/>
    <cellStyle name="SAPBEXresData" xfId="402"/>
    <cellStyle name="SAPBEXresDataEmph" xfId="403"/>
    <cellStyle name="SAPBEXresItem" xfId="404"/>
    <cellStyle name="SAPBEXresItemX" xfId="405"/>
    <cellStyle name="SAPBEXstdData" xfId="406"/>
    <cellStyle name="SAPBEXstdDataEmph" xfId="407"/>
    <cellStyle name="SAPBEXstdItem" xfId="408"/>
    <cellStyle name="SAPBEXstdItem 3" xfId="464"/>
    <cellStyle name="SAPBEXstdItemX" xfId="409"/>
    <cellStyle name="SAPBEXtitle" xfId="410"/>
    <cellStyle name="SAPBEXundefined" xfId="411"/>
    <cellStyle name="Style 1" xfId="252"/>
    <cellStyle name="SUB TITLE" xfId="465"/>
    <cellStyle name="SubTotal" xfId="412"/>
    <cellStyle name="SubTotal 2" xfId="413"/>
    <cellStyle name="SubTotal 3" xfId="414"/>
    <cellStyle name="SubTotal 4" xfId="415"/>
    <cellStyle name="SubTotal 5" xfId="416"/>
    <cellStyle name="SubTotal_Book3" xfId="417"/>
    <cellStyle name="Table  - Style6" xfId="466"/>
    <cellStyle name="TableStyleLight1" xfId="467"/>
    <cellStyle name="Times New Roman" xfId="468"/>
    <cellStyle name="Title  - Style1" xfId="469"/>
    <cellStyle name="Title 2" xfId="253"/>
    <cellStyle name="Title 3" xfId="418"/>
    <cellStyle name="Total 2" xfId="254"/>
    <cellStyle name="Total 3" xfId="419"/>
    <cellStyle name="TotCol - Style5" xfId="470"/>
    <cellStyle name="TotRow - Style4" xfId="471"/>
    <cellStyle name="verify" xfId="420"/>
    <cellStyle name="Warning Text 2" xfId="255"/>
    <cellStyle name="Warning Text 3" xfId="421"/>
    <cellStyle name="뷭?_BOOKSHIP_ 인원 " xfId="472"/>
    <cellStyle name="콤마 [0]_ 비목별 월별기술 " xfId="473"/>
    <cellStyle name="콤마_ 비목별 월별기술 " xfId="474"/>
    <cellStyle name="통화 [0]_ 비목별 월별기술 " xfId="475"/>
    <cellStyle name="통화_ 비목별 월별기술 " xfId="476"/>
    <cellStyle name="표준_ 1-3 " xfId="477"/>
    <cellStyle name="常规 2" xfId="478"/>
    <cellStyle name="常规 2 2" xfId="479"/>
    <cellStyle name="常规_PERSONAL5" xfId="480"/>
    <cellStyle name="桁区切り [0.00]_laroux" xfId="481"/>
    <cellStyle name="桁区切り_laroux" xfId="482"/>
    <cellStyle name="標準_94物件" xfId="483"/>
    <cellStyle name="通貨 [0.00]_laroux" xfId="484"/>
    <cellStyle name="通貨_laroux" xfId="485"/>
  </cellStyles>
  <dxfs count="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9.xml"/><Relationship Id="rId170" Type="http://schemas.openxmlformats.org/officeDocument/2006/relationships/externalLink" Target="externalLinks/externalLink20.xml"/><Relationship Id="rId191" Type="http://schemas.openxmlformats.org/officeDocument/2006/relationships/externalLink" Target="externalLinks/externalLink41.xml"/><Relationship Id="rId205" Type="http://schemas.openxmlformats.org/officeDocument/2006/relationships/externalLink" Target="externalLinks/externalLink55.xml"/><Relationship Id="rId226" Type="http://schemas.openxmlformats.org/officeDocument/2006/relationships/externalLink" Target="externalLinks/externalLink76.xml"/><Relationship Id="rId247" Type="http://schemas.openxmlformats.org/officeDocument/2006/relationships/externalLink" Target="externalLinks/externalLink97.xml"/><Relationship Id="rId107" Type="http://schemas.openxmlformats.org/officeDocument/2006/relationships/worksheet" Target="worksheets/sheet107.xml"/><Relationship Id="rId268" Type="http://schemas.openxmlformats.org/officeDocument/2006/relationships/externalLink" Target="externalLinks/externalLink118.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10.xml"/><Relationship Id="rId181" Type="http://schemas.openxmlformats.org/officeDocument/2006/relationships/externalLink" Target="externalLinks/externalLink31.xml"/><Relationship Id="rId216" Type="http://schemas.openxmlformats.org/officeDocument/2006/relationships/externalLink" Target="externalLinks/externalLink66.xml"/><Relationship Id="rId237" Type="http://schemas.openxmlformats.org/officeDocument/2006/relationships/externalLink" Target="externalLinks/externalLink87.xml"/><Relationship Id="rId258" Type="http://schemas.openxmlformats.org/officeDocument/2006/relationships/externalLink" Target="externalLinks/externalLink10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externalLink" Target="externalLinks/externalLink21.xml"/><Relationship Id="rId192" Type="http://schemas.openxmlformats.org/officeDocument/2006/relationships/externalLink" Target="externalLinks/externalLink42.xml"/><Relationship Id="rId206" Type="http://schemas.openxmlformats.org/officeDocument/2006/relationships/externalLink" Target="externalLinks/externalLink56.xml"/><Relationship Id="rId227" Type="http://schemas.openxmlformats.org/officeDocument/2006/relationships/externalLink" Target="externalLinks/externalLink77.xml"/><Relationship Id="rId248" Type="http://schemas.openxmlformats.org/officeDocument/2006/relationships/externalLink" Target="externalLinks/externalLink98.xml"/><Relationship Id="rId269" Type="http://schemas.openxmlformats.org/officeDocument/2006/relationships/externalLink" Target="externalLinks/externalLink11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externalLink" Target="externalLinks/externalLink11.xml"/><Relationship Id="rId182" Type="http://schemas.openxmlformats.org/officeDocument/2006/relationships/externalLink" Target="externalLinks/externalLink32.xml"/><Relationship Id="rId217" Type="http://schemas.openxmlformats.org/officeDocument/2006/relationships/externalLink" Target="externalLinks/externalLink67.xml"/><Relationship Id="rId6" Type="http://schemas.openxmlformats.org/officeDocument/2006/relationships/worksheet" Target="worksheets/sheet6.xml"/><Relationship Id="rId238" Type="http://schemas.openxmlformats.org/officeDocument/2006/relationships/externalLink" Target="externalLinks/externalLink88.xml"/><Relationship Id="rId259" Type="http://schemas.openxmlformats.org/officeDocument/2006/relationships/externalLink" Target="externalLinks/externalLink10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1.xml"/><Relationship Id="rId156" Type="http://schemas.openxmlformats.org/officeDocument/2006/relationships/externalLink" Target="externalLinks/externalLink6.xml"/><Relationship Id="rId177" Type="http://schemas.openxmlformats.org/officeDocument/2006/relationships/externalLink" Target="externalLinks/externalLink27.xml"/><Relationship Id="rId198" Type="http://schemas.openxmlformats.org/officeDocument/2006/relationships/externalLink" Target="externalLinks/externalLink48.xml"/><Relationship Id="rId172" Type="http://schemas.openxmlformats.org/officeDocument/2006/relationships/externalLink" Target="externalLinks/externalLink22.xml"/><Relationship Id="rId193" Type="http://schemas.openxmlformats.org/officeDocument/2006/relationships/externalLink" Target="externalLinks/externalLink43.xml"/><Relationship Id="rId202" Type="http://schemas.openxmlformats.org/officeDocument/2006/relationships/externalLink" Target="externalLinks/externalLink52.xml"/><Relationship Id="rId207" Type="http://schemas.openxmlformats.org/officeDocument/2006/relationships/externalLink" Target="externalLinks/externalLink57.xml"/><Relationship Id="rId223" Type="http://schemas.openxmlformats.org/officeDocument/2006/relationships/externalLink" Target="externalLinks/externalLink73.xml"/><Relationship Id="rId228" Type="http://schemas.openxmlformats.org/officeDocument/2006/relationships/externalLink" Target="externalLinks/externalLink78.xml"/><Relationship Id="rId244" Type="http://schemas.openxmlformats.org/officeDocument/2006/relationships/externalLink" Target="externalLinks/externalLink94.xml"/><Relationship Id="rId249" Type="http://schemas.openxmlformats.org/officeDocument/2006/relationships/externalLink" Target="externalLinks/externalLink9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externalLink" Target="externalLinks/externalLink110.xml"/><Relationship Id="rId265" Type="http://schemas.openxmlformats.org/officeDocument/2006/relationships/externalLink" Target="externalLinks/externalLink11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externalLink" Target="externalLinks/externalLink17.xml"/><Relationship Id="rId188"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12.xml"/><Relationship Id="rId183" Type="http://schemas.openxmlformats.org/officeDocument/2006/relationships/externalLink" Target="externalLinks/externalLink33.xml"/><Relationship Id="rId213" Type="http://schemas.openxmlformats.org/officeDocument/2006/relationships/externalLink" Target="externalLinks/externalLink63.xml"/><Relationship Id="rId218" Type="http://schemas.openxmlformats.org/officeDocument/2006/relationships/externalLink" Target="externalLinks/externalLink68.xml"/><Relationship Id="rId234" Type="http://schemas.openxmlformats.org/officeDocument/2006/relationships/externalLink" Target="externalLinks/externalLink84.xml"/><Relationship Id="rId239"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externalLink" Target="externalLinks/externalLink100.xml"/><Relationship Id="rId255" Type="http://schemas.openxmlformats.org/officeDocument/2006/relationships/externalLink" Target="externalLinks/externalLink105.xml"/><Relationship Id="rId271" Type="http://schemas.openxmlformats.org/officeDocument/2006/relationships/styles" Target="styles.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7.xml"/><Relationship Id="rId178" Type="http://schemas.openxmlformats.org/officeDocument/2006/relationships/externalLink" Target="externalLinks/externalLink2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xml"/><Relationship Id="rId173" Type="http://schemas.openxmlformats.org/officeDocument/2006/relationships/externalLink" Target="externalLinks/externalLink23.xml"/><Relationship Id="rId194" Type="http://schemas.openxmlformats.org/officeDocument/2006/relationships/externalLink" Target="externalLinks/externalLink44.xml"/><Relationship Id="rId199" Type="http://schemas.openxmlformats.org/officeDocument/2006/relationships/externalLink" Target="externalLinks/externalLink49.xml"/><Relationship Id="rId203" Type="http://schemas.openxmlformats.org/officeDocument/2006/relationships/externalLink" Target="externalLinks/externalLink53.xml"/><Relationship Id="rId208" Type="http://schemas.openxmlformats.org/officeDocument/2006/relationships/externalLink" Target="externalLinks/externalLink58.xml"/><Relationship Id="rId229" Type="http://schemas.openxmlformats.org/officeDocument/2006/relationships/externalLink" Target="externalLinks/externalLink79.xml"/><Relationship Id="rId19" Type="http://schemas.openxmlformats.org/officeDocument/2006/relationships/worksheet" Target="worksheets/sheet19.xml"/><Relationship Id="rId224" Type="http://schemas.openxmlformats.org/officeDocument/2006/relationships/externalLink" Target="externalLinks/externalLink74.xml"/><Relationship Id="rId240" Type="http://schemas.openxmlformats.org/officeDocument/2006/relationships/externalLink" Target="externalLinks/externalLink90.xml"/><Relationship Id="rId245" Type="http://schemas.openxmlformats.org/officeDocument/2006/relationships/externalLink" Target="externalLinks/externalLink95.xml"/><Relationship Id="rId261" Type="http://schemas.openxmlformats.org/officeDocument/2006/relationships/externalLink" Target="externalLinks/externalLink111.xml"/><Relationship Id="rId266" Type="http://schemas.openxmlformats.org/officeDocument/2006/relationships/externalLink" Target="externalLinks/externalLink116.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13.xml"/><Relationship Id="rId184" Type="http://schemas.openxmlformats.org/officeDocument/2006/relationships/externalLink" Target="externalLinks/externalLink34.xml"/><Relationship Id="rId189" Type="http://schemas.openxmlformats.org/officeDocument/2006/relationships/externalLink" Target="externalLinks/externalLink39.xml"/><Relationship Id="rId219" Type="http://schemas.openxmlformats.org/officeDocument/2006/relationships/externalLink" Target="externalLinks/externalLink69.xml"/><Relationship Id="rId3" Type="http://schemas.openxmlformats.org/officeDocument/2006/relationships/worksheet" Target="worksheets/sheet3.xml"/><Relationship Id="rId214" Type="http://schemas.openxmlformats.org/officeDocument/2006/relationships/externalLink" Target="externalLinks/externalLink64.xml"/><Relationship Id="rId230" Type="http://schemas.openxmlformats.org/officeDocument/2006/relationships/externalLink" Target="externalLinks/externalLink80.xml"/><Relationship Id="rId235" Type="http://schemas.openxmlformats.org/officeDocument/2006/relationships/externalLink" Target="externalLinks/externalLink85.xml"/><Relationship Id="rId251" Type="http://schemas.openxmlformats.org/officeDocument/2006/relationships/externalLink" Target="externalLinks/externalLink101.xml"/><Relationship Id="rId256" Type="http://schemas.openxmlformats.org/officeDocument/2006/relationships/externalLink" Target="externalLinks/externalLink106.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8.xml"/><Relationship Id="rId272"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3.xml"/><Relationship Id="rId174" Type="http://schemas.openxmlformats.org/officeDocument/2006/relationships/externalLink" Target="externalLinks/externalLink24.xml"/><Relationship Id="rId179" Type="http://schemas.openxmlformats.org/officeDocument/2006/relationships/externalLink" Target="externalLinks/externalLink29.xml"/><Relationship Id="rId195" Type="http://schemas.openxmlformats.org/officeDocument/2006/relationships/externalLink" Target="externalLinks/externalLink45.xml"/><Relationship Id="rId209" Type="http://schemas.openxmlformats.org/officeDocument/2006/relationships/externalLink" Target="externalLinks/externalLink59.xml"/><Relationship Id="rId190" Type="http://schemas.openxmlformats.org/officeDocument/2006/relationships/externalLink" Target="externalLinks/externalLink40.xml"/><Relationship Id="rId204" Type="http://schemas.openxmlformats.org/officeDocument/2006/relationships/externalLink" Target="externalLinks/externalLink54.xml"/><Relationship Id="rId220" Type="http://schemas.openxmlformats.org/officeDocument/2006/relationships/externalLink" Target="externalLinks/externalLink70.xml"/><Relationship Id="rId225" Type="http://schemas.openxmlformats.org/officeDocument/2006/relationships/externalLink" Target="externalLinks/externalLink75.xml"/><Relationship Id="rId241" Type="http://schemas.openxmlformats.org/officeDocument/2006/relationships/externalLink" Target="externalLinks/externalLink91.xml"/><Relationship Id="rId246" Type="http://schemas.openxmlformats.org/officeDocument/2006/relationships/externalLink" Target="externalLinks/externalLink96.xml"/><Relationship Id="rId267"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externalLink" Target="externalLinks/externalLink14.xml"/><Relationship Id="rId169" Type="http://schemas.openxmlformats.org/officeDocument/2006/relationships/externalLink" Target="externalLinks/externalLink19.xml"/><Relationship Id="rId185"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30.xml"/><Relationship Id="rId210" Type="http://schemas.openxmlformats.org/officeDocument/2006/relationships/externalLink" Target="externalLinks/externalLink60.xml"/><Relationship Id="rId215" Type="http://schemas.openxmlformats.org/officeDocument/2006/relationships/externalLink" Target="externalLinks/externalLink65.xml"/><Relationship Id="rId236" Type="http://schemas.openxmlformats.org/officeDocument/2006/relationships/externalLink" Target="externalLinks/externalLink86.xml"/><Relationship Id="rId257" Type="http://schemas.openxmlformats.org/officeDocument/2006/relationships/externalLink" Target="externalLinks/externalLink107.xml"/><Relationship Id="rId26" Type="http://schemas.openxmlformats.org/officeDocument/2006/relationships/worksheet" Target="worksheets/sheet26.xml"/><Relationship Id="rId231" Type="http://schemas.openxmlformats.org/officeDocument/2006/relationships/externalLink" Target="externalLinks/externalLink81.xml"/><Relationship Id="rId252" Type="http://schemas.openxmlformats.org/officeDocument/2006/relationships/externalLink" Target="externalLinks/externalLink102.xml"/><Relationship Id="rId273"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4.xml"/><Relationship Id="rId175" Type="http://schemas.openxmlformats.org/officeDocument/2006/relationships/externalLink" Target="externalLinks/externalLink25.xml"/><Relationship Id="rId196" Type="http://schemas.openxmlformats.org/officeDocument/2006/relationships/externalLink" Target="externalLinks/externalLink46.xml"/><Relationship Id="rId200" Type="http://schemas.openxmlformats.org/officeDocument/2006/relationships/externalLink" Target="externalLinks/externalLink50.xml"/><Relationship Id="rId16" Type="http://schemas.openxmlformats.org/officeDocument/2006/relationships/worksheet" Target="worksheets/sheet16.xml"/><Relationship Id="rId221" Type="http://schemas.openxmlformats.org/officeDocument/2006/relationships/externalLink" Target="externalLinks/externalLink71.xml"/><Relationship Id="rId242" Type="http://schemas.openxmlformats.org/officeDocument/2006/relationships/externalLink" Target="externalLinks/externalLink92.xml"/><Relationship Id="rId263" Type="http://schemas.openxmlformats.org/officeDocument/2006/relationships/externalLink" Target="externalLinks/externalLink11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externalLink" Target="externalLinks/externalLink15.xml"/><Relationship Id="rId186" Type="http://schemas.openxmlformats.org/officeDocument/2006/relationships/externalLink" Target="externalLinks/externalLink36.xml"/><Relationship Id="rId211" Type="http://schemas.openxmlformats.org/officeDocument/2006/relationships/externalLink" Target="externalLinks/externalLink61.xml"/><Relationship Id="rId232" Type="http://schemas.openxmlformats.org/officeDocument/2006/relationships/externalLink" Target="externalLinks/externalLink82.xml"/><Relationship Id="rId253" Type="http://schemas.openxmlformats.org/officeDocument/2006/relationships/externalLink" Target="externalLinks/externalLink10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externalLink" Target="externalLinks/externalLink5.xml"/><Relationship Id="rId176" Type="http://schemas.openxmlformats.org/officeDocument/2006/relationships/externalLink" Target="externalLinks/externalLink26.xml"/><Relationship Id="rId197" Type="http://schemas.openxmlformats.org/officeDocument/2006/relationships/externalLink" Target="externalLinks/externalLink47.xml"/><Relationship Id="rId201" Type="http://schemas.openxmlformats.org/officeDocument/2006/relationships/externalLink" Target="externalLinks/externalLink51.xml"/><Relationship Id="rId222" Type="http://schemas.openxmlformats.org/officeDocument/2006/relationships/externalLink" Target="externalLinks/externalLink72.xml"/><Relationship Id="rId243" Type="http://schemas.openxmlformats.org/officeDocument/2006/relationships/externalLink" Target="externalLinks/externalLink93.xml"/><Relationship Id="rId264" Type="http://schemas.openxmlformats.org/officeDocument/2006/relationships/externalLink" Target="externalLinks/externalLink11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externalLink" Target="externalLinks/externalLink16.xml"/><Relationship Id="rId187" Type="http://schemas.openxmlformats.org/officeDocument/2006/relationships/externalLink" Target="externalLinks/externalLink37.xml"/><Relationship Id="rId1" Type="http://schemas.openxmlformats.org/officeDocument/2006/relationships/worksheet" Target="worksheets/sheet1.xml"/><Relationship Id="rId212" Type="http://schemas.openxmlformats.org/officeDocument/2006/relationships/externalLink" Target="externalLinks/externalLink62.xml"/><Relationship Id="rId233" Type="http://schemas.openxmlformats.org/officeDocument/2006/relationships/externalLink" Target="externalLinks/externalLink83.xml"/><Relationship Id="rId254" Type="http://schemas.openxmlformats.org/officeDocument/2006/relationships/externalLink" Target="externalLinks/externalLink10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97SAUPCU.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nehal\Regulatory\Disagg%20ARR%20FY06_June05\MERC%20Follow%20up_documents\Backup%20Input%20Data%20Files\Dis-Agg%20ARR%20-%20MERC%20Formats\ARR%20FY%202005-06%20170106\GTD_Capital%20Base_3%20yrs_050106.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Users\ketan.patil\Desktop\BEST%20Mid%20Term%20Review\Working\From%20Santosh\Computation%20for%20Supply%20Availability_for%20discussion%20on%2013.11.2014.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Users\ketan.patil\Desktop\BEST%20Mid%20Term%20Review\Data\Sales%20and%20revenue\FY%202014-15\Earning%2014-5.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Users\ketan.patil\Documents\Ketan\Ketan%20Patil\Cases\26%20of%202013%20BEST%20MYT%20Tariff%20Petition\Petition%20and%20Model\MYT_Format_FY%202012-13%20to%20FY%202015-16.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Users\ketan.patil\Desktop\BEST%20Mid%20Term%20Review\Data\Sales%20and%20revenue\Sales%20and%20revenue%20upto%20Sept%2014Earning%2014-5.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Users\ketan.patil\Desktop\BEST%20Mid%20Term%20Review\Working\Presentation\Final%20Presentation\MTR%20Petition%20Formats_KP_%2011%20Feb_finally%20sent.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Assignments\BEST\Financial%20Model\MERC%20-%20MYT%202015%20Petition%20Formats%20-%20BEST.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nts%20and%20Settings\Admin\My%20Documents\Downloads\Proportionate%20Z-FAC%20for%20the%20billing%20month%20of%20June-2015%20(09-06-2015).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Users\ketan.patil\Desktop\BEST%20Mid%20Term%20Review\Working\From%20Santosh\Anand%20Mail\BEST%20MYT%20sales%20and%20SBI%20PLR.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IMACS\ICRA\IMaCS\W-5\BEST%20Tariff%20Filing\Data_%20for%20Mid%20term%20review%20Petition_for%20ICRA\DataRecieved%20by%20BEST%20on%2022.07.2014\Sales%20and%20Revenue%20data%20FY%202012-13%20to%20FY%202015-16%20Till%20may2014\Earning%2013-14%20new.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IMACS\ICRA\IMaCS\W-5\BEST%20Tariff%20Filing\Data_%20for%20Mid%20term%20review%20Petition_for%20ICRA\DataRecieved%20by%20BEST%20on%2022.07.2014\Sales%20and%20Revenue%20data%20FY%202012-13%20to%20FY%202015-16%20Till%20may2014\Actual%20Revenue%2012-1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nant\commercial\WINDOWS\TEMP\XlsGJB\Share\Financial%20Estimat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IMACS\ICRA\IMaCS\W-5\BEST%20Tariff%20Filing\Data_%20for%20Mid%20term%20review%20Petition_for%20ICRA\Data%20Recieved%20by%20BEST%20by%20email%20on%203%20Sept,%202014\LOAN_INTEREST_ON_LOAN_FOR_F.Y.2012-1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user\je\nalini\QUARTERLY%20OUTSTANDING%20LOAN%20-%202013-1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user\je\nalini\LOAN%20POSITION%20MONTH%20END%202013-1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Users\ketan.patil\AppData\Roaming\Microsoft\Excel\supply_dep_2013-1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user\je\NALINI\LOAN%20POSITION%20MONTHEND1%202012-13%2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IMACS\ICRA\IMaCS\W-5\BEST%20Tariff%20Filing\Data_%20for%20Mid%20term%20review%20Petition_for%20ICRA\Data%20Recieved%20by%20BEST%20(Email)%20on%2023.07.2014\True-Up%20FY%202012-13\fwdtrueupforf_y201213\E-1%20TO%20E-13\E1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je\NALINI\LOAN%20POSITION%20MONTHEND%20FINAL%202012-13%2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J:\user\je\Mohan\appendix\2012-13\E13.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IMACS\ICRA\IMaCS\W-5\BEST%20Tariff%20Filing\My%20Work\case26model\BEST%202013-14\supply_dep_2013-1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IMACS\ICRA\IMaCS\W-5\BEST%20Tariff%20Filing\Data_%20for%20Mid%20term%20review%20Petition_for%20ICRA\Data%20Recieved%20by%20BEST%20(Email)%20on%2023.07.2014\True-Up%20FY%202012-13\fwdtrueupforf_y201213\E-1%20TO%20E-13\E-6%20FOR%202012-1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omputer7\haribhakti%20&amp;\WINDOWS\Desktop\Balance%20sheet%202711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1881\&#47928;&#49436;&#49688;&#48156;&#49888;\&#51473;&#51109;&#44592;&#44221;&#50689;&#44228;&#54925;\9,9&#51217;&#49688;(&#48372;&#44256;&#45236;&#50857;)\&#48372;&#44256;&#49436;&#50857;\Book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juupmoo\goo\&#46020;&#51109;&#53685;&#54633;\&#48513;&#51228;&#51452;&#46020;&#47732;&#48324;&#49328;&#52636;&#44540;&#4414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juupmoo\goo\&#46020;&#51109;&#53685;&#54633;\&#49464;&#51652;&#49444;&#50672;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juupmoo\goo\&#46020;&#51109;&#53685;&#54633;\&#49464;&#51652;&#49444;&#5067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juupmoo\goo\&#46020;&#51109;&#53685;&#54633;\&#54620;&#51204;&#51228;&#52636;1&#5226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user\Documents\D%20Drive\Puja%20Gupta\TPC%20-D%20APR%20FY%2011\Excel%20Workings\Tata%20Power-D%20APR%20FY%202010-11_MERC%20Capex%20R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2395\c\Share\&#51068;&#48152;\&#49892;&#54665;&#50696;&#49328;&#54200;&#4945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EKA&#44608;&#50689;&#46160;\C\9624\&#49324;&#50629;&#52628;&#5122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Jayesh%20Chauhan\Jayesh\Working%20Folder\Energy\TC\TC%20FY%2008-09_291108_Mumba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50857;&#50669;&#49688;&#54665;\1X563\&#44277;&#49324;&#49444;&#44228;&#49436;\MC-07&#48376;&#49324;\&#49464;&#51652;&#49444;&#50672;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51204;&#50689;&#44428;\C\WIN98\TEMP\REPORT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jphilips\xlsjjp\mseb%20Jan%20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50857;&#50669;&#49688;&#54665;\1X563\&#44277;&#49324;&#49444;&#44228;&#49436;\MC-07&#48376;&#49324;\&#54620;&#51204;&#51228;&#52636;1&#5226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201-04REL-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riya\d\USERS\ANM\Best_Balance-Sheet@90%2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50857;&#50669;&#49688;&#54665;\1X563\&#44277;&#49324;&#49444;&#44228;&#49436;\MC-07&#48376;&#49324;\&#48513;&#51228;&#51452;&#46020;&#47732;&#48324;&#49328;&#52636;&#44540;&#4414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IN98\TEMP\REPORT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mp10\c\WINDOWS\Desktop\Latest%20revised%20Cost%20Estimates%20for%20Subst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KYDDATA\&#44208;&#49328;979\HDLAN\MAIL\08&#49324;&#51109;&#458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S\Plant\&#47785;&#50857;&#44053;\MANUAL\calculation\DESIGN5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LC\KDS\NSSS\1000MW\CEDM\CED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Official/MIS%20FY05-06/12-Mar%2006/Official/MIS%20FY05-06/09-Dec%2005/Quarterwise%20Details%20-%20Q3(tax)%20FY%2006_190106(fin%20ch).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1164\d\&#51473;&#51109;&#44592;&#44221;&#50689;&#44228;&#54925;\9,9&#51217;&#49688;(&#48372;&#44256;&#45236;&#50857;)\&#48372;&#44256;&#49436;&#50857;\Book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nehal/ABP%20FY07/Qtrwise%20Versions/ABP%20250606/Quarterwise%20details%20FY07%2025-06-0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44204;&#51201;_TEST_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47106\&#44592;&#44228;BM&#51221;&#47532;\lee\project\&#54644;&#50808;\southpars\BMFILE\Lnx$LPS-A301(Excel)_.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47106\&#44592;&#44228;BM&#51221;&#47532;\lee\project\&#54644;&#50808;\southpars\BMFILE\CODE509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WINDOWS\Desktop\Current\Oil%20Price%20Tre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h112728\My%20Documents\ACE%20&#49688;&#54665;&#50629;&#47924;%20ACE\01%20Project\04%20Zawia%20Cond\&#50696;&#49328;&#44288;&#47532;\&#47785;&#54364;&#50696;&#49328;\&#54408;&#51032;&#49436;%20&#52392;&#48512;%20&#51088;&#47308;\&#44204;&#51201;%20&#51088;&#47308;\Doc\Proposal\U.A%20Extension\2&#52264;%20&#44204;&#51201;\PROPOSAL%20LIST-082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INDOWS/TEMP/XlsGJB/Share/Financial%20Estimat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Official/MIS%20FY05-06/09-Dec%2005/Quarterwise%20Details%20-%20Q3(tax)%20FY%2006_190106(fin%20ch).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suresh\Power\MSEB\MSEB%2001-02\Data\Dispatch%202.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guestuser\Application%20Data\Microsoft\Excel\unirecord_12-13q4%20(version%2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IMACS\ICRA\IMaCS\W-5\BEST%20Tariff%20Filing\Data_%20for%20Mid%20term%20review%20Petition_for%20ICRA\Data%20Recieved%20by%20BEST%20(Email)%20on%2023.07.2014\True-Up%20FY%202012-13\fwdtrueupforf_y201213\unirecord_12-13q4.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ketan.patil\Desktop\BEST%20Mid%20Term%20Review\Working\Data%20from%20BEST\Data%20Recieved%20by%20BEST%20(Email)%20on%2023.07.2014\True-Up%20FY%202012-13\fwdtrueupforf_y201213\unirecord_12-13q4.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51204;&#50689;&#44428;\C\WIN98\TEMP\JO97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vishalmakwana\Local%20Settings\Temporary%20Internet%20Files\OLK28\Shraddha\Cashflow\CB%20CASH%20FLOW-25-01%20(version%2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himanshu.chawla\Desktop\MSETCL_PIS\Revised%20Model%204%20July\SK%20Sir%20Mail\Final%20Sent%206.07.2013\Users\himanshu.chawla\Desktop\MSETCL_PIS\Hasnain%20Mail\201-04REL-Fina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Documents%20and%20Settings\TPCL\My%20Documents\pcbackup\Puru\Sales%20&amp;%20Revenue%20Reports\FY%202004-05\TarSumm%20FY05%20-%20JAN%20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atabank\1-Projects%20In%20Hand\DFID\ARR%202003-04\Arr%20Petition%202003-04\For%20Submission\ARR%20Forms%20For%20Submiss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DOWS\TEMP\XlsGJB\Share\Financial%20Estimat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himanshu.chawla\Desktop\MSETCL_PIS\Revised%20Model%204%20July\SK%20Sir%20Mail\Final%20Sent%206.07.2013\Databank\1-Projects%20In%20Hand\DFID\ARR%202003-04\Arr%20Petition%202003-04\For%20Submission\ARR%20Forms%20For%20Submissio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ack'(A)\&#45817;&#51652;-A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KHI.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Assignments\MERC%20-%20TPC%20-%20Tariff\Tata%20MYT%20FY%202008-10\Base%20Data\Sales\Mumbai_Merit_Order_FY0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TPCL\My%20Documents\pcbackup\Puru\Sales%20&amp;%20Revenue%20Reports\FY%202004-05\TarSumm%20FY05%20-%20JAN%20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jyotimm\Local%20Settings\Temporary%20Internet%20Files\OLK30\Open%20access%20charges%20-%20single%20shee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My%20Documents/My%20Data/&#22283;&#20839;&#35211;&#32318;/Young_do/&#54788;&#44277;&#49324;&#49444;&#44228;&#4943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anurag\My%20Documents\petitions\Petition%20for%20trans%20ARR.doc\Databank\1-Projects%20In%20Hand\DFID\ARR%202003-04\Arr%20Petition%202003-04\For%20Submission\ARR%20Forms%20For%20Submissio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My%20Documents\pcbackup\Puru\Fuel%20Adjustment%20Charges%20(FAC)\FAC%20FY07\Sept-06\FAC_Sept%20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Assignments\TATA\MYT%20FY%202011-2015\Base%20Data\Incentive\REL_BEST%20Bill%20September%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Purushotham\Local%20Settings\Temporary%20Internet%20Files\OLK33\XlsGJB\Share\Financial%20Estimat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s%20and%20Settings\Kapse\Local%20Settings\Temp\Official\MIS%20FY05-06\09-Dec%2005\Quarterwise%20Details%20-%20Q3(tax)%20FY%2006_190106(fin%20ch).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50857;&#50669;&#49688;&#54665;\1X563\&#44277;&#49324;&#49444;&#44228;&#49436;\MC-07&#48376;&#49324;\&#49464;&#51652;&#49444;&#50672;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IMACS\ICRA\IMaCS\W-5\BEST%20Tariff%20Filing\Data_%20for%20Mid%20term%20review%20Petition_for%20ICRA\Data%20Recieved%20by%20BEST%20(Email)%20on%2023.07.2014\True-Up%20FY%202012-13\fwdtrueupforf_y201213\Balance_sheet_Accounts_12-1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Sameer's%20folder\MSEB\Tariff%20Filing%202003-04\Outputs\Models\Working%20Models\old\Dispatch%202.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himanshu.chawla\Desktop\MSETCL_PIS\Revised%20Model%204%20July\SK%20Sir%20Mail\Final%20Sent%206.07.2013\Sameer's%20folder\MSEB\Tariff%20Filing%202003-04\Outputs\Models\Working%20Models\old\Dispatch%202.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n035\c\COE\CSG\BDVMP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omputer7\haribhakti%20&amp;\Old%20Working\XLS\Regrouping%20of%20BS_P&amp;L_old.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temp\&#51204;&#44221;&#51652;\FORMOSA\Q98-014\r51p503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Percy%20H%20Edibam\My%20Documents\Percy\CRD\Nov%2005\FY06%20B100%20MIS%20format%20Nov%20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72.16.201.79\disaggregate\Final%20Write%20up,%20Tables%20and%20Model_II\wagle\B040tob068_shor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Purushotham/Local%20Settings/Temporary%20Internet%20Files/OLK33/XlsGJB/Share/Financial%20Estimate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h112728\My%20Documents\ACE%20&#49688;&#54665;&#50629;&#47924;%20ACE\01%20Project\04%20Zawia%20Cond\&#50696;&#49328;&#44288;&#47532;\&#47785;&#54364;&#50696;&#49328;\&#54408;&#51032;&#49436;%20&#52392;&#48512;%20&#51088;&#47308;\&#44204;&#51201;%20&#51088;&#47308;\Zawia%20&#47785;&#54364;&#50696;&#49328;%20(&#54788;&#45824;&#44148;&#49444;_2004.10.2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OFFICIAL/MIS/MIS%20FY%2005-06/12-Mar%2006/Board/Qtly%20Details%20-%20Q4%20FY%2006%20(Link-Bo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parun\My%20Documents\Arun\Industrial%20energy%20Limited\June%20qrtr%2008\revised%20icd.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8703%20EFFECTIVE%20TAX%20RATE"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HICO\&#49444;&#44228;&#48512;\&#49444;&#44228;&#44204;&#51201;\&#44204;&#51201;&#49436;-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My%20Documents\&#48652;&#46972;&#51656;%20T.L&#48264;&#54840;&#49692;(1.336)(FIN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51060;&#52285;&#49885;\clam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My%20Documents/co-gen/cspdata/TAIWAN/P-RACK/FURNAC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49440;&#48120;\C\&#51116;&#47308;&#51312;&#49436;&#51089;&#49457;\&#54812;&#50689;\VBA\&#50641;&#49472;&#48708;&#48288;\&#50672;&#46041;&#53092;&#48372;&#50696;&#5122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WIN98\TEMP\JO97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y%20Documents\pcbackup\Puru\ABP%20FY06\Sale%20Estimates%20Ver%209%20(U4%20On%20Line,%20New%20Cust%20&amp;%203%20Yrs%20Proj).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51204;&#50689;&#44428;\C\HDLAN\MAIL\08&#49324;&#51109;&#458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h112728\My%20Documents\ACE%20&#49688;&#54665;&#50629;&#47924;%20ACE\01%20Project\04%20Zawia%20Cond\&#50696;&#49328;&#44288;&#47532;\&#47785;&#54364;&#50696;&#49328;\&#54408;&#51032;&#49436;%20&#52392;&#48512;%20&#51088;&#47308;\&#44204;&#51201;%20&#51088;&#47308;\Doc\Proposal\U.A%20Extension\&#44204;&#51201;&#44592;&#51456;%20&#52280;&#513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www35.daum.net/WIN98/TEMP/0INV/HEC/SHIP-SCH.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www35.daum.net/WIN98/TEMP/REPORT0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3524\map\MAP&#47588;&#45684;&#50620;&#52572;&#51333;(2&#52264;&#44060;&#5122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sers\ketan.patil\Desktop\BEST%20Mid%20Term%20Review\Working\From%20Santosh\Sales%20and%20Revenue_BEST%20Mid%20Term%20review_v2.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ketan.patil\Desktop\BEST%20Mid%20Term%20Review\Working\From%20Santosh\Anand%20Mail\BEST%20MYT%20Model_KP_v8.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ketan.patil\Desktop\BEST%20Mid%20Term%20Review\Working\From%20Santosh\BEST%20MYT%20Model_KP_v16.1_finally%20sent%20to%20BEST_for%20discussion%20on%2013.11.2014.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ketan.patil\Desktop\BEST%20Mid%20Term%20Review\Data\Power%20Purchase\FY%202014-15\Revised%20Mid%20Term%20Review%20Petition%20Data%20for%20FY%202014-15%20dtd%20(21.05.2015).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ketan.patil\AppData\Roaming\Microsoft\Excel\Mid%20Term%20Review%20Petition%20Data_PP%20FY%202012-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nehal/Regulatory/Disagg%20ARR%20FY06_June05/MERC%20Follow%20up_documents/Backup%20Input%20Data%20Files/Dis-Agg%20ARR%20-%20MERC%20Formats/ARR%20FY%202005-06%20170106/GTD_Capital%20Base_3%20yrs_05010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Users\ketan.patil\Desktop\BEST%20Mid%20Term%20Review\Data\Power%20Purchase\Revised%20Mid%20Term%20Petition%20Data%20for%20for%20FY%202012-13%20(29.09.2014).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ketan.patil\Desktop\BEST%20Mid%20Term%20Review\Data\Power%20Purchase\Revised%20Mid%20Term%20Petition%20Data%20for%20FY%202013-14%20(29-09-2014).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ketan.patil\Desktop\BEST%20Mid%20Term%20Review\Data\Power%20Purchase\Revised%20Mid%20Term%20Petition%20Data%20for%20FY%202013-14%20(13.4.2015).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ketan.patil\Desktop\BEST%20Mid%20Term%20Review\Data\Power%20Purchase\FY%202014-15\Revised%20Mid%20Term%20Review%20Petition%20Data%20for%20FY%202014-15%20dtd%20(27.05.2015).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pm3\Mid%20Term%20Performance%20Review(M-7)\BEST's%20Mid%20Term%20Review%20Petition%20FY%202012-13%20to%20FY%202015-16%20submitted%20to%20MERC%20on%2012th%20Feb.2015\BEST's%20Mid%20Term%20Review%20Petiton%20-FY%202012-13%20FY%202015-16_Formats.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s\ketan.patil\Desktop\BEST%20Mid%20Term%20Review\Data\Power%20Purchase\FY%202014-15\Power%20Purchase%20Quantum%20from%20TPC-G%20for%20FY%202014-15%20(25-05-2015).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ketan.patil\Desktop\BEST%20Mid%20Term%20Review\Data\Power%20Purchase\FY%202014-15\Renewable%20Mid%20Term%20Review%20data%20of%20RPS.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Users\ketan.patil\Desktop\BEST%20Mid%20Term%20Review\Data\Power%20Purchase\Power%20Purchase%20Quantum%20from%20TPC-G%20for(%20H1)%20of%20FY%202014-15%20(24-12-2014).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Users\ketan.patil\Desktop\BEST%20Mid%20Term%20Review\Data\Power%20Purchase\Power%20Pur.%20Cost%20FY%202014-15%20DTD%2014.10.2014%20latest%20H1%202014-15.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Documents%20and%20Settings\Administrator\Desktop\santosh%2011.11.2014\BEST%20Tariff%20Filing\Petition\BEST%20MYT%20Model_KP_v16.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97 사업추정(WEKI)"/>
    </sheetNames>
    <sheetDataSet>
      <sheetData sheetId="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B_FY05"/>
      <sheetName val="CB_FY06"/>
      <sheetName val="RR_FY05"/>
      <sheetName val="RR_FY06"/>
      <sheetName val="ROE"/>
      <sheetName val="tax_fy06"/>
      <sheetName val="ins spares"/>
      <sheetName val="VRS"/>
      <sheetName val="Allo_Basis_FY06"/>
      <sheetName val="Allo_Basis_FY05"/>
      <sheetName val="Stat_inv"/>
      <sheetName val="Base Data"/>
      <sheetName val="Inputs_CB_06"/>
      <sheetName val="Input_GFA"/>
      <sheetName val="tax_fy06_old"/>
      <sheetName val="ins_spares"/>
      <sheetName val="Base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Supply Availability"/>
      <sheetName val="Scenario"/>
      <sheetName val="Summary"/>
    </sheetNames>
    <sheetDataSet>
      <sheetData sheetId="0">
        <row r="71">
          <cell r="C71">
            <v>882.52894027699995</v>
          </cell>
          <cell r="D71">
            <v>876.84118040099997</v>
          </cell>
        </row>
      </sheetData>
      <sheetData sheetId="1"/>
      <sheetData sheetId="2"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Revenue FY 2014-15"/>
      <sheetName val="Apr 14"/>
      <sheetName val="May 14"/>
      <sheetName val="Jun 14"/>
      <sheetName val="Jul 14"/>
      <sheetName val="Aug 14"/>
      <sheetName val="Sep 14"/>
      <sheetName val="Oct 14"/>
      <sheetName val="Nov 14"/>
      <sheetName val="Dec 14"/>
      <sheetName val="Jan 15"/>
      <sheetName val="Feb 15"/>
      <sheetName val="Mar 15"/>
    </sheetNames>
    <sheetDataSet>
      <sheetData sheetId="0" refreshError="1"/>
      <sheetData sheetId="1">
        <row r="5">
          <cell r="I5">
            <v>-74</v>
          </cell>
          <cell r="J5">
            <v>-32.56</v>
          </cell>
          <cell r="L5">
            <v>-8.879999999999999</v>
          </cell>
        </row>
        <row r="6">
          <cell r="I6">
            <v>3497</v>
          </cell>
          <cell r="J6">
            <v>1923.3500000000001</v>
          </cell>
          <cell r="L6">
            <v>419.64</v>
          </cell>
        </row>
        <row r="7">
          <cell r="I7">
            <v>3037</v>
          </cell>
          <cell r="J7">
            <v>2429.6</v>
          </cell>
          <cell r="L7">
            <v>364.44</v>
          </cell>
        </row>
        <row r="8">
          <cell r="K8">
            <v>669.9</v>
          </cell>
          <cell r="M8">
            <v>0</v>
          </cell>
        </row>
        <row r="9">
          <cell r="I9">
            <v>-17220</v>
          </cell>
          <cell r="J9">
            <v>-35473.200000000004</v>
          </cell>
          <cell r="L9">
            <v>-9471</v>
          </cell>
        </row>
        <row r="10">
          <cell r="I10">
            <v>-7840</v>
          </cell>
          <cell r="J10">
            <v>-29870.400000000001</v>
          </cell>
          <cell r="L10">
            <v>-8075.2</v>
          </cell>
        </row>
        <row r="11">
          <cell r="I11">
            <v>-4049</v>
          </cell>
          <cell r="J11">
            <v>-21702.640000000003</v>
          </cell>
          <cell r="L11">
            <v>-5830.5599999999995</v>
          </cell>
        </row>
        <row r="12">
          <cell r="I12">
            <v>-3558</v>
          </cell>
          <cell r="J12">
            <v>-24407.88</v>
          </cell>
          <cell r="L12">
            <v>-6582.3</v>
          </cell>
        </row>
        <row r="13">
          <cell r="I13">
            <v>29468280</v>
          </cell>
          <cell r="J13">
            <v>72197286</v>
          </cell>
          <cell r="L13">
            <v>16207554.000000002</v>
          </cell>
        </row>
        <row r="14">
          <cell r="I14">
            <v>24330261</v>
          </cell>
          <cell r="J14">
            <v>109486174.5</v>
          </cell>
          <cell r="L14">
            <v>25060168.830000002</v>
          </cell>
        </row>
        <row r="15">
          <cell r="I15">
            <v>6892886</v>
          </cell>
          <cell r="J15">
            <v>43769826.099999994</v>
          </cell>
          <cell r="L15">
            <v>9925755.8399999999</v>
          </cell>
        </row>
        <row r="16">
          <cell r="I16">
            <v>15738778</v>
          </cell>
          <cell r="J16">
            <v>125910224</v>
          </cell>
          <cell r="L16">
            <v>29116739.300000001</v>
          </cell>
        </row>
        <row r="17">
          <cell r="I17">
            <v>29662918</v>
          </cell>
          <cell r="J17">
            <v>78606732.700000003</v>
          </cell>
          <cell r="L17">
            <v>16314604.900000002</v>
          </cell>
        </row>
        <row r="18">
          <cell r="I18">
            <v>27012167</v>
          </cell>
          <cell r="J18">
            <v>144515093.44999999</v>
          </cell>
          <cell r="L18">
            <v>27822532.010000002</v>
          </cell>
        </row>
        <row r="19">
          <cell r="I19">
            <v>8184012</v>
          </cell>
          <cell r="J19">
            <v>61380090</v>
          </cell>
          <cell r="L19">
            <v>11784977.279999999</v>
          </cell>
        </row>
        <row r="20">
          <cell r="I20">
            <v>11216104</v>
          </cell>
          <cell r="J20">
            <v>107113793.2</v>
          </cell>
          <cell r="L20">
            <v>20749792.400000002</v>
          </cell>
        </row>
        <row r="24">
          <cell r="K24">
            <v>63029296.810000002</v>
          </cell>
          <cell r="M24">
            <v>112666111.48</v>
          </cell>
        </row>
        <row r="25">
          <cell r="I25">
            <v>-22698</v>
          </cell>
          <cell r="J25">
            <v>-124839</v>
          </cell>
          <cell r="L25">
            <v>-33593.040000000001</v>
          </cell>
        </row>
        <row r="26">
          <cell r="I26">
            <v>-19383</v>
          </cell>
          <cell r="J26">
            <v>-158165.28</v>
          </cell>
          <cell r="L26">
            <v>-42642.600000000006</v>
          </cell>
        </row>
        <row r="27">
          <cell r="I27">
            <v>23587920</v>
          </cell>
          <cell r="J27">
            <v>154500876</v>
          </cell>
          <cell r="L27">
            <v>34910121.600000001</v>
          </cell>
        </row>
        <row r="28">
          <cell r="I28">
            <v>16925046</v>
          </cell>
          <cell r="J28">
            <v>153171666.30000001</v>
          </cell>
          <cell r="L28">
            <v>37235101.200000003</v>
          </cell>
        </row>
        <row r="29">
          <cell r="I29">
            <v>22362426</v>
          </cell>
          <cell r="J29">
            <v>166600073.70000002</v>
          </cell>
          <cell r="L29">
            <v>33096390.48</v>
          </cell>
        </row>
        <row r="30">
          <cell r="I30">
            <v>13186411</v>
          </cell>
          <cell r="J30">
            <v>131864110</v>
          </cell>
          <cell r="L30">
            <v>29010104.200000003</v>
          </cell>
        </row>
        <row r="32">
          <cell r="K32">
            <v>63349106.07</v>
          </cell>
          <cell r="M32">
            <v>126820002.3</v>
          </cell>
        </row>
        <row r="33">
          <cell r="I33">
            <v>0</v>
          </cell>
          <cell r="J33">
            <v>0</v>
          </cell>
          <cell r="L33">
            <v>0</v>
          </cell>
        </row>
        <row r="34">
          <cell r="I34">
            <v>19474992</v>
          </cell>
          <cell r="J34">
            <v>164563682.39999998</v>
          </cell>
          <cell r="L34">
            <v>41871232.799999997</v>
          </cell>
        </row>
        <row r="35">
          <cell r="I35">
            <v>116041</v>
          </cell>
          <cell r="J35">
            <v>1079181.3</v>
          </cell>
          <cell r="L35">
            <v>249488.15</v>
          </cell>
        </row>
        <row r="36">
          <cell r="K36">
            <v>20803440.760000002</v>
          </cell>
          <cell r="M36">
            <v>30953832.140000001</v>
          </cell>
        </row>
        <row r="37">
          <cell r="I37">
            <v>0</v>
          </cell>
          <cell r="J37">
            <v>0</v>
          </cell>
          <cell r="L37">
            <v>0</v>
          </cell>
        </row>
        <row r="38">
          <cell r="I38">
            <v>38181472</v>
          </cell>
          <cell r="J38">
            <v>337906027.19999999</v>
          </cell>
          <cell r="L38">
            <v>83235608.960000008</v>
          </cell>
        </row>
        <row r="39">
          <cell r="I39">
            <v>28072</v>
          </cell>
          <cell r="J39">
            <v>272298.39999999997</v>
          </cell>
          <cell r="L39">
            <v>61196.960000000006</v>
          </cell>
        </row>
        <row r="40">
          <cell r="K40">
            <v>33898714.869999997</v>
          </cell>
          <cell r="M40">
            <v>61517365.840000004</v>
          </cell>
        </row>
        <row r="41">
          <cell r="I41">
            <v>0</v>
          </cell>
          <cell r="J41">
            <v>0</v>
          </cell>
          <cell r="L41">
            <v>0</v>
          </cell>
        </row>
        <row r="42">
          <cell r="I42">
            <v>-973</v>
          </cell>
          <cell r="J42">
            <v>-7083.4400000000005</v>
          </cell>
          <cell r="L42">
            <v>-1907.08</v>
          </cell>
        </row>
        <row r="43">
          <cell r="I43">
            <v>956030</v>
          </cell>
          <cell r="J43">
            <v>5449371</v>
          </cell>
          <cell r="L43">
            <v>1338442</v>
          </cell>
        </row>
        <row r="44">
          <cell r="I44">
            <v>1117439</v>
          </cell>
          <cell r="J44">
            <v>8604280.3000000007</v>
          </cell>
          <cell r="L44">
            <v>2190180.44</v>
          </cell>
        </row>
        <row r="45">
          <cell r="I45">
            <v>812076</v>
          </cell>
          <cell r="J45">
            <v>5156682.5999999996</v>
          </cell>
          <cell r="L45">
            <v>1136906.3999999999</v>
          </cell>
        </row>
        <row r="46">
          <cell r="I46">
            <v>843509</v>
          </cell>
          <cell r="J46">
            <v>7212001.9500000002</v>
          </cell>
          <cell r="L46">
            <v>1653277.64</v>
          </cell>
        </row>
        <row r="48">
          <cell r="K48">
            <v>2780707.45</v>
          </cell>
          <cell r="M48">
            <v>6120050.3200000003</v>
          </cell>
        </row>
        <row r="49">
          <cell r="I49">
            <v>0</v>
          </cell>
          <cell r="J49">
            <v>0</v>
          </cell>
          <cell r="L49">
            <v>0</v>
          </cell>
        </row>
        <row r="50">
          <cell r="I50">
            <v>4255567</v>
          </cell>
          <cell r="J50">
            <v>30852860.75</v>
          </cell>
          <cell r="L50">
            <v>7447242.25</v>
          </cell>
        </row>
        <row r="51">
          <cell r="I51">
            <v>15963</v>
          </cell>
          <cell r="J51">
            <v>129300.29999999999</v>
          </cell>
          <cell r="L51">
            <v>27935.25</v>
          </cell>
        </row>
        <row r="52">
          <cell r="K52">
            <v>5004858.7</v>
          </cell>
          <cell r="M52">
            <v>5467558.4000000004</v>
          </cell>
        </row>
        <row r="53">
          <cell r="I53">
            <v>0</v>
          </cell>
          <cell r="J53">
            <v>0</v>
          </cell>
          <cell r="L53">
            <v>0</v>
          </cell>
        </row>
        <row r="54">
          <cell r="I54">
            <v>4047260</v>
          </cell>
          <cell r="J54">
            <v>29949724</v>
          </cell>
          <cell r="L54">
            <v>6961287.2000000002</v>
          </cell>
        </row>
        <row r="55">
          <cell r="I55">
            <v>1003</v>
          </cell>
          <cell r="J55">
            <v>8274.75</v>
          </cell>
          <cell r="L55">
            <v>1725.16</v>
          </cell>
        </row>
        <row r="56">
          <cell r="K56">
            <v>2724633.84</v>
          </cell>
          <cell r="M56">
            <v>4900529.5999999996</v>
          </cell>
        </row>
        <row r="57">
          <cell r="I57">
            <v>-679</v>
          </cell>
          <cell r="J57">
            <v>-7978.25</v>
          </cell>
          <cell r="L57">
            <v>-2145.64</v>
          </cell>
        </row>
        <row r="58">
          <cell r="I58">
            <v>68660</v>
          </cell>
          <cell r="J58">
            <v>926910</v>
          </cell>
          <cell r="L58">
            <v>216965.6</v>
          </cell>
        </row>
        <row r="59">
          <cell r="I59">
            <v>75222</v>
          </cell>
          <cell r="J59">
            <v>1079435.7</v>
          </cell>
          <cell r="L59">
            <v>237701.52000000002</v>
          </cell>
        </row>
        <row r="60">
          <cell r="K60">
            <v>329093.33</v>
          </cell>
          <cell r="M60">
            <v>344967.89</v>
          </cell>
        </row>
        <row r="61">
          <cell r="I61">
            <v>0</v>
          </cell>
          <cell r="J61">
            <v>0</v>
          </cell>
          <cell r="L61">
            <v>0</v>
          </cell>
        </row>
        <row r="62">
          <cell r="I62">
            <v>2288172.6</v>
          </cell>
          <cell r="J62">
            <v>15445165.050000001</v>
          </cell>
          <cell r="L62">
            <v>3478022.352</v>
          </cell>
        </row>
        <row r="63">
          <cell r="I63">
            <v>0</v>
          </cell>
          <cell r="J63">
            <v>0</v>
          </cell>
          <cell r="L63">
            <v>0</v>
          </cell>
        </row>
        <row r="64">
          <cell r="K64">
            <v>1824689.63</v>
          </cell>
          <cell r="M64">
            <v>2562753.31</v>
          </cell>
        </row>
        <row r="65">
          <cell r="I65">
            <v>41</v>
          </cell>
          <cell r="J65">
            <v>232.06</v>
          </cell>
          <cell r="L65">
            <v>62.32</v>
          </cell>
        </row>
        <row r="66">
          <cell r="I66">
            <v>116473</v>
          </cell>
          <cell r="J66">
            <v>786192.75</v>
          </cell>
          <cell r="L66">
            <v>177038.96</v>
          </cell>
        </row>
        <row r="67">
          <cell r="I67">
            <v>181860</v>
          </cell>
          <cell r="J67">
            <v>1436694</v>
          </cell>
          <cell r="L67">
            <v>276427.2</v>
          </cell>
        </row>
        <row r="68">
          <cell r="K68">
            <v>214081.99</v>
          </cell>
          <cell r="M68">
            <v>337556.8</v>
          </cell>
        </row>
        <row r="69">
          <cell r="I69">
            <v>0</v>
          </cell>
          <cell r="J69">
            <v>0</v>
          </cell>
          <cell r="L69">
            <v>0</v>
          </cell>
        </row>
        <row r="70">
          <cell r="I70">
            <v>6313</v>
          </cell>
          <cell r="J70">
            <v>22095.5</v>
          </cell>
          <cell r="L70">
            <v>5492.31</v>
          </cell>
        </row>
        <row r="71">
          <cell r="I71">
            <v>5363</v>
          </cell>
          <cell r="J71">
            <v>23597.200000000001</v>
          </cell>
          <cell r="L71">
            <v>4665.8100000000004</v>
          </cell>
        </row>
        <row r="72">
          <cell r="K72">
            <v>9720.01</v>
          </cell>
          <cell r="M72">
            <v>7854.48</v>
          </cell>
        </row>
        <row r="73">
          <cell r="I73">
            <v>-1551</v>
          </cell>
          <cell r="J73">
            <v>-14563.890000000001</v>
          </cell>
          <cell r="L73">
            <v>-3924.0299999999997</v>
          </cell>
        </row>
        <row r="74">
          <cell r="I74">
            <v>1693746</v>
          </cell>
          <cell r="J74">
            <v>17784333</v>
          </cell>
          <cell r="L74">
            <v>4285177.38</v>
          </cell>
        </row>
        <row r="75">
          <cell r="I75">
            <v>1548611</v>
          </cell>
          <cell r="J75">
            <v>17809026.5</v>
          </cell>
          <cell r="L75">
            <v>3917985.8299999996</v>
          </cell>
        </row>
        <row r="76">
          <cell r="K76">
            <v>2202228.7799999998</v>
          </cell>
          <cell r="M76">
            <v>6135503.2199999997</v>
          </cell>
        </row>
        <row r="77">
          <cell r="I77">
            <v>0</v>
          </cell>
          <cell r="J77">
            <v>0</v>
          </cell>
          <cell r="L77">
            <v>0</v>
          </cell>
        </row>
        <row r="78">
          <cell r="I78">
            <v>104997</v>
          </cell>
          <cell r="J78">
            <v>393738.75</v>
          </cell>
          <cell r="L78">
            <v>87147.51</v>
          </cell>
        </row>
        <row r="79">
          <cell r="I79">
            <v>9611</v>
          </cell>
          <cell r="J79">
            <v>43730.049999999996</v>
          </cell>
          <cell r="L79">
            <v>7977.1299999999992</v>
          </cell>
        </row>
        <row r="80">
          <cell r="K80">
            <v>5680</v>
          </cell>
          <cell r="M80">
            <v>63034.400000000001</v>
          </cell>
        </row>
        <row r="81">
          <cell r="I81">
            <v>-151</v>
          </cell>
          <cell r="J81">
            <v>-1026.8</v>
          </cell>
          <cell r="L81">
            <v>-276.33</v>
          </cell>
        </row>
        <row r="82">
          <cell r="I82">
            <v>540677</v>
          </cell>
          <cell r="J82">
            <v>3946942.1</v>
          </cell>
          <cell r="L82">
            <v>989438.91</v>
          </cell>
        </row>
        <row r="83">
          <cell r="I83">
            <v>453012</v>
          </cell>
          <cell r="J83">
            <v>3759999.6</v>
          </cell>
          <cell r="L83">
            <v>829011.96000000008</v>
          </cell>
        </row>
        <row r="84">
          <cell r="K84">
            <v>522991.66</v>
          </cell>
          <cell r="M84">
            <v>1520389.76</v>
          </cell>
        </row>
        <row r="85">
          <cell r="I85">
            <v>0</v>
          </cell>
          <cell r="J85">
            <v>0</v>
          </cell>
          <cell r="L85">
            <v>0</v>
          </cell>
        </row>
        <row r="86">
          <cell r="I86">
            <v>5667500</v>
          </cell>
          <cell r="J86">
            <v>41372750</v>
          </cell>
          <cell r="L86">
            <v>10371525</v>
          </cell>
        </row>
        <row r="87">
          <cell r="I87">
            <v>52804</v>
          </cell>
          <cell r="J87">
            <v>438273.2</v>
          </cell>
          <cell r="L87">
            <v>96631.32</v>
          </cell>
        </row>
        <row r="88">
          <cell r="K88">
            <v>4921687.26</v>
          </cell>
          <cell r="M88">
            <v>8122831.6799999997</v>
          </cell>
        </row>
        <row r="89">
          <cell r="I89">
            <v>0</v>
          </cell>
          <cell r="J89">
            <v>0</v>
          </cell>
          <cell r="L89">
            <v>0</v>
          </cell>
        </row>
        <row r="90">
          <cell r="I90">
            <v>14999732</v>
          </cell>
          <cell r="J90">
            <v>103498150.80000001</v>
          </cell>
          <cell r="L90">
            <v>23849573.880000003</v>
          </cell>
        </row>
        <row r="91">
          <cell r="I91">
            <v>436</v>
          </cell>
          <cell r="J91">
            <v>3488</v>
          </cell>
          <cell r="L91">
            <v>693.24</v>
          </cell>
        </row>
        <row r="92">
          <cell r="K92">
            <v>9328621</v>
          </cell>
          <cell r="M92">
            <v>16950189.84</v>
          </cell>
        </row>
        <row r="93">
          <cell r="I93">
            <v>0</v>
          </cell>
          <cell r="J93">
            <v>0</v>
          </cell>
          <cell r="L93">
            <v>0</v>
          </cell>
        </row>
        <row r="94">
          <cell r="I94">
            <v>29040890</v>
          </cell>
          <cell r="J94">
            <v>217806675</v>
          </cell>
          <cell r="L94">
            <v>49659921.899999999</v>
          </cell>
        </row>
        <row r="95">
          <cell r="I95">
            <v>809</v>
          </cell>
          <cell r="J95">
            <v>6957.4</v>
          </cell>
          <cell r="L95">
            <v>1383.3899999999999</v>
          </cell>
        </row>
        <row r="96">
          <cell r="K96">
            <v>18146090.43</v>
          </cell>
          <cell r="M96">
            <v>34559621.810000002</v>
          </cell>
        </row>
        <row r="97">
          <cell r="I97">
            <v>0</v>
          </cell>
          <cell r="J97">
            <v>0</v>
          </cell>
          <cell r="L97">
            <v>0</v>
          </cell>
        </row>
        <row r="98">
          <cell r="I98">
            <v>2719016</v>
          </cell>
          <cell r="J98">
            <v>14601115.92</v>
          </cell>
          <cell r="L98">
            <v>2474304.56</v>
          </cell>
        </row>
        <row r="99">
          <cell r="I99">
            <v>4</v>
          </cell>
          <cell r="J99">
            <v>23.88</v>
          </cell>
          <cell r="L99">
            <v>3.64</v>
          </cell>
        </row>
        <row r="100">
          <cell r="K100">
            <v>1435974.8</v>
          </cell>
          <cell r="M100">
            <v>1794553.2</v>
          </cell>
        </row>
        <row r="101">
          <cell r="I101">
            <v>0</v>
          </cell>
          <cell r="J101">
            <v>0</v>
          </cell>
          <cell r="L101">
            <v>0</v>
          </cell>
        </row>
        <row r="102">
          <cell r="I102">
            <v>1283524</v>
          </cell>
          <cell r="J102">
            <v>12835240</v>
          </cell>
          <cell r="L102">
            <v>2990610.92</v>
          </cell>
        </row>
        <row r="103">
          <cell r="J103">
            <v>0</v>
          </cell>
          <cell r="L103">
            <v>0</v>
          </cell>
        </row>
        <row r="104">
          <cell r="K104">
            <v>1500</v>
          </cell>
          <cell r="M104">
            <v>2156320.3199999998</v>
          </cell>
        </row>
        <row r="105">
          <cell r="I105">
            <v>0</v>
          </cell>
          <cell r="J105">
            <v>0</v>
          </cell>
          <cell r="L105">
            <v>0</v>
          </cell>
        </row>
        <row r="106">
          <cell r="I106">
            <v>6919823</v>
          </cell>
          <cell r="J106">
            <v>45670831.799999997</v>
          </cell>
          <cell r="L106">
            <v>10448932.73</v>
          </cell>
        </row>
        <row r="107">
          <cell r="I107">
            <v>936</v>
          </cell>
          <cell r="J107">
            <v>7254</v>
          </cell>
          <cell r="L107">
            <v>1413.36</v>
          </cell>
        </row>
        <row r="108">
          <cell r="K108">
            <v>5512425.6500000004</v>
          </cell>
          <cell r="M108">
            <v>8097288.0300000003</v>
          </cell>
        </row>
        <row r="109">
          <cell r="J109">
            <v>-10620346.130000001</v>
          </cell>
          <cell r="K109">
            <v>352718.83</v>
          </cell>
          <cell r="L109">
            <v>-2796332.742000103</v>
          </cell>
          <cell r="M109">
            <v>41357675</v>
          </cell>
        </row>
        <row r="110">
          <cell r="I110">
            <v>366123223.60000002</v>
          </cell>
          <cell r="J110">
            <v>2428957346.6399999</v>
          </cell>
          <cell r="K110">
            <v>236398931.77000004</v>
          </cell>
          <cell r="L110">
            <v>548906468.65999997</v>
          </cell>
          <cell r="M110">
            <v>472455989.82000005</v>
          </cell>
        </row>
        <row r="111">
          <cell r="N111">
            <v>10245015.07</v>
          </cell>
        </row>
        <row r="112">
          <cell r="N112">
            <v>-1712485.38</v>
          </cell>
        </row>
        <row r="113">
          <cell r="N113">
            <v>-297537.05</v>
          </cell>
        </row>
        <row r="114">
          <cell r="N114">
            <v>13111819.470000001</v>
          </cell>
        </row>
        <row r="115">
          <cell r="N115">
            <v>6923569.6699999999</v>
          </cell>
        </row>
        <row r="117">
          <cell r="N117">
            <v>-11791194.380000001</v>
          </cell>
        </row>
        <row r="118">
          <cell r="N118">
            <v>-64683938.969999999</v>
          </cell>
        </row>
        <row r="119">
          <cell r="N119">
            <v>-347452.72</v>
          </cell>
        </row>
        <row r="120">
          <cell r="N120">
            <v>-782259.14</v>
          </cell>
        </row>
        <row r="123">
          <cell r="N123">
            <v>23988113.5</v>
          </cell>
        </row>
        <row r="124">
          <cell r="N124">
            <v>12750563.48</v>
          </cell>
        </row>
        <row r="125">
          <cell r="N125">
            <v>16576841.85</v>
          </cell>
        </row>
        <row r="126">
          <cell r="N126">
            <v>-3211762.89</v>
          </cell>
        </row>
        <row r="127">
          <cell r="N127">
            <v>1332577</v>
          </cell>
        </row>
        <row r="128">
          <cell r="N128">
            <v>51436332.940000005</v>
          </cell>
        </row>
      </sheetData>
      <sheetData sheetId="2">
        <row r="5">
          <cell r="I5">
            <v>0</v>
          </cell>
          <cell r="J5">
            <v>0</v>
          </cell>
          <cell r="L5">
            <v>0</v>
          </cell>
        </row>
        <row r="6">
          <cell r="I6">
            <v>361</v>
          </cell>
          <cell r="J6">
            <v>198.55</v>
          </cell>
          <cell r="L6">
            <v>43.32</v>
          </cell>
        </row>
        <row r="7">
          <cell r="I7">
            <v>7408</v>
          </cell>
          <cell r="J7">
            <v>5926.4000000000005</v>
          </cell>
          <cell r="L7">
            <v>888.95999999999992</v>
          </cell>
        </row>
        <row r="8">
          <cell r="K8">
            <v>672</v>
          </cell>
          <cell r="M8">
            <v>0</v>
          </cell>
        </row>
        <row r="9">
          <cell r="I9">
            <v>-35606</v>
          </cell>
          <cell r="J9">
            <v>-73348.36</v>
          </cell>
          <cell r="L9">
            <v>-19583.300000000003</v>
          </cell>
        </row>
        <row r="10">
          <cell r="I10">
            <v>-27974</v>
          </cell>
          <cell r="J10">
            <v>-106580.94</v>
          </cell>
          <cell r="L10">
            <v>-28813.22</v>
          </cell>
        </row>
        <row r="11">
          <cell r="I11">
            <v>-4550</v>
          </cell>
          <cell r="J11">
            <v>-24388</v>
          </cell>
          <cell r="L11">
            <v>-6552</v>
          </cell>
        </row>
        <row r="12">
          <cell r="I12">
            <v>-28460</v>
          </cell>
          <cell r="J12">
            <v>-195235.6</v>
          </cell>
          <cell r="L12">
            <v>-52651</v>
          </cell>
        </row>
        <row r="13">
          <cell r="I13">
            <v>-98728</v>
          </cell>
          <cell r="J13">
            <v>-241883.6</v>
          </cell>
          <cell r="L13">
            <v>-54300.4</v>
          </cell>
        </row>
        <row r="14">
          <cell r="I14">
            <v>-74117</v>
          </cell>
          <cell r="J14">
            <v>-333526.5</v>
          </cell>
          <cell r="L14">
            <v>-76340.509999999995</v>
          </cell>
        </row>
        <row r="15">
          <cell r="I15">
            <v>-16785</v>
          </cell>
          <cell r="J15">
            <v>-106584.75</v>
          </cell>
          <cell r="L15">
            <v>-24170.399999999998</v>
          </cell>
        </row>
        <row r="16">
          <cell r="I16">
            <v>-26233</v>
          </cell>
          <cell r="J16">
            <v>-209864</v>
          </cell>
          <cell r="L16">
            <v>-48531.05</v>
          </cell>
        </row>
        <row r="17">
          <cell r="I17">
            <v>59835839</v>
          </cell>
          <cell r="J17">
            <v>158564973.34999999</v>
          </cell>
          <cell r="L17">
            <v>32909711.450000003</v>
          </cell>
        </row>
        <row r="18">
          <cell r="I18">
            <v>58411750</v>
          </cell>
          <cell r="J18">
            <v>312502862.5</v>
          </cell>
          <cell r="L18">
            <v>60164102.5</v>
          </cell>
        </row>
        <row r="19">
          <cell r="I19">
            <v>21130245</v>
          </cell>
          <cell r="J19">
            <v>158476837.5</v>
          </cell>
          <cell r="L19">
            <v>30427552.799999997</v>
          </cell>
        </row>
        <row r="20">
          <cell r="I20">
            <v>37086509</v>
          </cell>
          <cell r="J20">
            <v>354176160.95000005</v>
          </cell>
          <cell r="L20">
            <v>68610041.650000006</v>
          </cell>
        </row>
        <row r="24">
          <cell r="K24">
            <v>64017656.530000001</v>
          </cell>
          <cell r="M24">
            <v>137478235.28</v>
          </cell>
        </row>
        <row r="25">
          <cell r="I25">
            <v>-16437</v>
          </cell>
          <cell r="J25">
            <v>-90403.5</v>
          </cell>
          <cell r="L25">
            <v>-24326.76</v>
          </cell>
        </row>
        <row r="26">
          <cell r="I26">
            <v>-26005</v>
          </cell>
          <cell r="J26">
            <v>-212200.80000000002</v>
          </cell>
          <cell r="L26">
            <v>-57211.000000000007</v>
          </cell>
        </row>
        <row r="27">
          <cell r="I27">
            <v>-58791</v>
          </cell>
          <cell r="J27">
            <v>-385081.05</v>
          </cell>
          <cell r="L27">
            <v>-87010.68</v>
          </cell>
        </row>
        <row r="28">
          <cell r="I28">
            <v>169398</v>
          </cell>
          <cell r="J28">
            <v>1533051.9000000001</v>
          </cell>
          <cell r="L28">
            <v>372675.60000000003</v>
          </cell>
        </row>
        <row r="29">
          <cell r="I29">
            <v>48744251</v>
          </cell>
          <cell r="J29">
            <v>363144669.94999999</v>
          </cell>
          <cell r="L29">
            <v>72141491.480000004</v>
          </cell>
        </row>
        <row r="30">
          <cell r="I30">
            <v>34334155</v>
          </cell>
          <cell r="J30">
            <v>343341550</v>
          </cell>
          <cell r="L30">
            <v>75535141</v>
          </cell>
        </row>
        <row r="32">
          <cell r="K32">
            <v>63345697.670000002</v>
          </cell>
          <cell r="M32">
            <v>139687752.19999999</v>
          </cell>
        </row>
        <row r="33">
          <cell r="I33">
            <v>0</v>
          </cell>
          <cell r="J33">
            <v>0</v>
          </cell>
          <cell r="L33">
            <v>0</v>
          </cell>
        </row>
        <row r="34">
          <cell r="I34">
            <v>-15694</v>
          </cell>
          <cell r="J34">
            <v>-132614.29999999999</v>
          </cell>
          <cell r="L34">
            <v>-33742.1</v>
          </cell>
        </row>
        <row r="35">
          <cell r="I35">
            <v>20668813</v>
          </cell>
          <cell r="J35">
            <v>192219960.90000001</v>
          </cell>
          <cell r="L35">
            <v>44437947.949999996</v>
          </cell>
        </row>
        <row r="36">
          <cell r="K36">
            <v>21189334.620000001</v>
          </cell>
          <cell r="M36">
            <v>32654022.739999998</v>
          </cell>
        </row>
        <row r="37">
          <cell r="I37">
            <v>0</v>
          </cell>
          <cell r="J37">
            <v>0</v>
          </cell>
          <cell r="L37">
            <v>0</v>
          </cell>
        </row>
        <row r="38">
          <cell r="I38">
            <v>567</v>
          </cell>
          <cell r="J38">
            <v>5017.95</v>
          </cell>
          <cell r="L38">
            <v>1236.0600000000002</v>
          </cell>
        </row>
        <row r="39">
          <cell r="I39">
            <v>40561680</v>
          </cell>
          <cell r="J39">
            <v>393448296</v>
          </cell>
          <cell r="L39">
            <v>88424462.400000006</v>
          </cell>
        </row>
        <row r="40">
          <cell r="K40">
            <v>35398933.560000002</v>
          </cell>
          <cell r="M40">
            <v>65305217.670000002</v>
          </cell>
        </row>
        <row r="41">
          <cell r="I41">
            <v>0</v>
          </cell>
          <cell r="J41">
            <v>0</v>
          </cell>
          <cell r="L41">
            <v>0</v>
          </cell>
        </row>
        <row r="42">
          <cell r="I42">
            <v>0</v>
          </cell>
          <cell r="J42">
            <v>0</v>
          </cell>
          <cell r="L42">
            <v>0</v>
          </cell>
        </row>
        <row r="43">
          <cell r="I43">
            <v>-245</v>
          </cell>
          <cell r="J43">
            <v>-1396.5</v>
          </cell>
          <cell r="L43">
            <v>-343</v>
          </cell>
        </row>
        <row r="44">
          <cell r="I44">
            <v>84</v>
          </cell>
          <cell r="J44">
            <v>646.80000000000007</v>
          </cell>
          <cell r="L44">
            <v>164.64</v>
          </cell>
        </row>
        <row r="45">
          <cell r="I45">
            <v>1790022</v>
          </cell>
          <cell r="J45">
            <v>11366639.699999999</v>
          </cell>
          <cell r="L45">
            <v>2506030.7999999998</v>
          </cell>
        </row>
        <row r="46">
          <cell r="I46">
            <v>1997359</v>
          </cell>
          <cell r="J46">
            <v>17077419.450000003</v>
          </cell>
          <cell r="L46">
            <v>3914823.64</v>
          </cell>
        </row>
        <row r="48">
          <cell r="K48">
            <v>2777556.6</v>
          </cell>
          <cell r="M48">
            <v>6174900</v>
          </cell>
        </row>
        <row r="49">
          <cell r="I49">
            <v>0</v>
          </cell>
          <cell r="J49">
            <v>0</v>
          </cell>
          <cell r="L49">
            <v>0</v>
          </cell>
        </row>
        <row r="50">
          <cell r="I50">
            <v>0</v>
          </cell>
          <cell r="J50">
            <v>0</v>
          </cell>
          <cell r="L50">
            <v>0</v>
          </cell>
        </row>
        <row r="51">
          <cell r="I51">
            <v>4392567</v>
          </cell>
          <cell r="J51">
            <v>35579792.699999996</v>
          </cell>
          <cell r="L51">
            <v>7686992.25</v>
          </cell>
        </row>
        <row r="52">
          <cell r="K52">
            <v>4968063.84</v>
          </cell>
          <cell r="M52">
            <v>5622485.7599999998</v>
          </cell>
        </row>
        <row r="53">
          <cell r="I53">
            <v>0</v>
          </cell>
          <cell r="J53">
            <v>0</v>
          </cell>
          <cell r="L53">
            <v>0</v>
          </cell>
        </row>
        <row r="54">
          <cell r="I54">
            <v>0</v>
          </cell>
          <cell r="J54">
            <v>0</v>
          </cell>
          <cell r="L54">
            <v>0</v>
          </cell>
        </row>
        <row r="55">
          <cell r="I55">
            <v>3990170</v>
          </cell>
          <cell r="J55">
            <v>32918902.5</v>
          </cell>
          <cell r="L55">
            <v>6863092.3999999994</v>
          </cell>
        </row>
        <row r="56">
          <cell r="K56">
            <v>2677460.44</v>
          </cell>
          <cell r="M56">
            <v>4947810.8</v>
          </cell>
        </row>
        <row r="57">
          <cell r="I57">
            <v>-409</v>
          </cell>
          <cell r="J57">
            <v>-4805.75</v>
          </cell>
          <cell r="L57">
            <v>-1292.44</v>
          </cell>
        </row>
        <row r="58">
          <cell r="I58">
            <v>-2311</v>
          </cell>
          <cell r="J58">
            <v>-31198.5</v>
          </cell>
          <cell r="L58">
            <v>-7302.76</v>
          </cell>
        </row>
        <row r="59">
          <cell r="I59">
            <v>148995</v>
          </cell>
          <cell r="J59">
            <v>2138078.25</v>
          </cell>
          <cell r="L59">
            <v>470824.2</v>
          </cell>
        </row>
        <row r="60">
          <cell r="K60">
            <v>328999.99</v>
          </cell>
          <cell r="M60">
            <v>350846.32</v>
          </cell>
        </row>
        <row r="61">
          <cell r="I61">
            <v>0</v>
          </cell>
          <cell r="J61">
            <v>0</v>
          </cell>
          <cell r="L61">
            <v>0</v>
          </cell>
        </row>
        <row r="62">
          <cell r="I62">
            <v>0</v>
          </cell>
          <cell r="J62">
            <v>0</v>
          </cell>
          <cell r="L62">
            <v>0</v>
          </cell>
        </row>
        <row r="63">
          <cell r="I63">
            <v>2155510.09</v>
          </cell>
          <cell r="J63">
            <v>17028529.710999999</v>
          </cell>
          <cell r="L63">
            <v>3276375.3367999997</v>
          </cell>
        </row>
        <row r="64">
          <cell r="K64">
            <v>1814906.2</v>
          </cell>
          <cell r="M64">
            <v>2414171.2999999998</v>
          </cell>
        </row>
        <row r="65">
          <cell r="I65">
            <v>-1002</v>
          </cell>
          <cell r="J65">
            <v>-5671.32</v>
          </cell>
          <cell r="L65">
            <v>-1523.04</v>
          </cell>
        </row>
        <row r="66">
          <cell r="I66">
            <v>2337</v>
          </cell>
          <cell r="J66">
            <v>15774.75</v>
          </cell>
          <cell r="L66">
            <v>3552.2400000000002</v>
          </cell>
        </row>
        <row r="67">
          <cell r="I67">
            <v>302960</v>
          </cell>
          <cell r="J67">
            <v>2393384</v>
          </cell>
          <cell r="L67">
            <v>460499.20000000001</v>
          </cell>
        </row>
        <row r="68">
          <cell r="K68">
            <v>212892.63</v>
          </cell>
          <cell r="M68">
            <v>351647.52</v>
          </cell>
        </row>
        <row r="69">
          <cell r="I69">
            <v>0</v>
          </cell>
          <cell r="J69">
            <v>0</v>
          </cell>
          <cell r="L69">
            <v>0</v>
          </cell>
        </row>
        <row r="70">
          <cell r="I70">
            <v>5058</v>
          </cell>
          <cell r="J70">
            <v>17703</v>
          </cell>
          <cell r="L70">
            <v>4400.46</v>
          </cell>
        </row>
        <row r="71">
          <cell r="I71">
            <v>24629</v>
          </cell>
          <cell r="J71">
            <v>108367.6</v>
          </cell>
          <cell r="L71">
            <v>21427.23</v>
          </cell>
        </row>
        <row r="72">
          <cell r="K72">
            <v>10420</v>
          </cell>
          <cell r="M72">
            <v>21374.639999999999</v>
          </cell>
        </row>
        <row r="73">
          <cell r="I73">
            <v>12</v>
          </cell>
          <cell r="J73">
            <v>112.68</v>
          </cell>
          <cell r="L73">
            <v>30.36</v>
          </cell>
        </row>
        <row r="74">
          <cell r="I74">
            <v>2150</v>
          </cell>
          <cell r="J74">
            <v>22575</v>
          </cell>
          <cell r="L74">
            <v>5439.5</v>
          </cell>
        </row>
        <row r="75">
          <cell r="I75">
            <v>3108627</v>
          </cell>
          <cell r="J75">
            <v>35749210.5</v>
          </cell>
          <cell r="L75">
            <v>7864826.3099999996</v>
          </cell>
        </row>
        <row r="76">
          <cell r="K76">
            <v>1960730</v>
          </cell>
          <cell r="M76">
            <v>5888990.5199999996</v>
          </cell>
        </row>
        <row r="77">
          <cell r="I77">
            <v>0</v>
          </cell>
          <cell r="J77">
            <v>0</v>
          </cell>
          <cell r="L77">
            <v>0</v>
          </cell>
        </row>
        <row r="78">
          <cell r="I78">
            <v>0</v>
          </cell>
          <cell r="J78">
            <v>0</v>
          </cell>
          <cell r="L78">
            <v>0</v>
          </cell>
        </row>
        <row r="79">
          <cell r="I79">
            <v>124709</v>
          </cell>
          <cell r="J79">
            <v>567425.94999999995</v>
          </cell>
          <cell r="L79">
            <v>103508.47</v>
          </cell>
        </row>
        <row r="80">
          <cell r="K80">
            <v>5800</v>
          </cell>
          <cell r="M80">
            <v>68589.95</v>
          </cell>
        </row>
        <row r="81">
          <cell r="I81">
            <v>0</v>
          </cell>
          <cell r="J81">
            <v>0</v>
          </cell>
          <cell r="L81">
            <v>0</v>
          </cell>
        </row>
        <row r="82">
          <cell r="I82">
            <v>-1257</v>
          </cell>
          <cell r="J82">
            <v>-9176.1</v>
          </cell>
          <cell r="L82">
            <v>-2300.31</v>
          </cell>
        </row>
        <row r="83">
          <cell r="I83">
            <v>1028444</v>
          </cell>
          <cell r="J83">
            <v>8536085.2000000011</v>
          </cell>
          <cell r="L83">
            <v>1882052.52</v>
          </cell>
        </row>
        <row r="84">
          <cell r="K84">
            <v>526016.67000000004</v>
          </cell>
          <cell r="M84">
            <v>1554339.96</v>
          </cell>
        </row>
        <row r="85">
          <cell r="I85">
            <v>0</v>
          </cell>
          <cell r="J85">
            <v>0</v>
          </cell>
          <cell r="L85">
            <v>0</v>
          </cell>
        </row>
        <row r="86">
          <cell r="I86">
            <v>0</v>
          </cell>
          <cell r="J86">
            <v>0</v>
          </cell>
          <cell r="L86">
            <v>0</v>
          </cell>
        </row>
        <row r="87">
          <cell r="I87">
            <v>6106324</v>
          </cell>
          <cell r="J87">
            <v>50682489.200000003</v>
          </cell>
          <cell r="L87">
            <v>11174572.92</v>
          </cell>
        </row>
        <row r="88">
          <cell r="K88">
            <v>5008790.78</v>
          </cell>
          <cell r="M88">
            <v>8670980.0800000001</v>
          </cell>
        </row>
        <row r="89">
          <cell r="I89">
            <v>0</v>
          </cell>
          <cell r="J89">
            <v>0</v>
          </cell>
          <cell r="L89">
            <v>0</v>
          </cell>
        </row>
        <row r="90">
          <cell r="I90">
            <v>0</v>
          </cell>
          <cell r="J90">
            <v>0</v>
          </cell>
          <cell r="L90">
            <v>0</v>
          </cell>
        </row>
        <row r="91">
          <cell r="I91">
            <v>15576811</v>
          </cell>
          <cell r="J91">
            <v>124614488</v>
          </cell>
          <cell r="L91">
            <v>24767129.490000002</v>
          </cell>
        </row>
        <row r="92">
          <cell r="K92">
            <v>9737654.5</v>
          </cell>
          <cell r="M92">
            <v>17601796.43</v>
          </cell>
        </row>
        <row r="93">
          <cell r="I93">
            <v>0</v>
          </cell>
          <cell r="J93">
            <v>0</v>
          </cell>
          <cell r="L93">
            <v>0</v>
          </cell>
        </row>
        <row r="94">
          <cell r="I94">
            <v>0</v>
          </cell>
          <cell r="J94">
            <v>0</v>
          </cell>
          <cell r="L94">
            <v>0</v>
          </cell>
        </row>
        <row r="95">
          <cell r="I95">
            <v>30408267</v>
          </cell>
          <cell r="J95">
            <v>261511096.19999999</v>
          </cell>
          <cell r="L95">
            <v>51998136.57</v>
          </cell>
        </row>
        <row r="96">
          <cell r="K96">
            <v>19080170.100000001</v>
          </cell>
          <cell r="M96">
            <v>36185837.729999997</v>
          </cell>
        </row>
        <row r="97">
          <cell r="I97">
            <v>0</v>
          </cell>
          <cell r="J97">
            <v>0</v>
          </cell>
          <cell r="L97">
            <v>0</v>
          </cell>
        </row>
        <row r="98">
          <cell r="I98">
            <v>0</v>
          </cell>
          <cell r="J98">
            <v>0</v>
          </cell>
          <cell r="L98">
            <v>0</v>
          </cell>
        </row>
        <row r="99">
          <cell r="I99">
            <v>2834753</v>
          </cell>
          <cell r="J99">
            <v>16923475.41</v>
          </cell>
          <cell r="L99">
            <v>2579625.23</v>
          </cell>
        </row>
        <row r="100">
          <cell r="K100">
            <v>1452956.3</v>
          </cell>
          <cell r="M100">
            <v>1870936.98</v>
          </cell>
        </row>
        <row r="101">
          <cell r="I101">
            <v>0</v>
          </cell>
          <cell r="J101">
            <v>0</v>
          </cell>
          <cell r="L101">
            <v>0</v>
          </cell>
        </row>
        <row r="102">
          <cell r="I102">
            <v>0</v>
          </cell>
          <cell r="J102">
            <v>0</v>
          </cell>
          <cell r="L102">
            <v>0</v>
          </cell>
        </row>
        <row r="103">
          <cell r="I103">
            <v>1494118</v>
          </cell>
          <cell r="J103">
            <v>16808827.5</v>
          </cell>
          <cell r="L103">
            <v>3481294.94</v>
          </cell>
        </row>
        <row r="104">
          <cell r="K104">
            <v>1500</v>
          </cell>
          <cell r="M104">
            <v>2510118.2400000002</v>
          </cell>
        </row>
        <row r="105">
          <cell r="I105">
            <v>0</v>
          </cell>
          <cell r="J105">
            <v>0</v>
          </cell>
          <cell r="L105">
            <v>0</v>
          </cell>
        </row>
        <row r="106">
          <cell r="I106">
            <v>0</v>
          </cell>
          <cell r="J106">
            <v>0</v>
          </cell>
          <cell r="L106">
            <v>0</v>
          </cell>
        </row>
        <row r="107">
          <cell r="I107">
            <v>7746073</v>
          </cell>
          <cell r="J107">
            <v>60032065.75</v>
          </cell>
          <cell r="L107">
            <v>11696570.23</v>
          </cell>
        </row>
        <row r="108">
          <cell r="K108">
            <v>3635516</v>
          </cell>
          <cell r="M108">
            <v>9062905.4100000001</v>
          </cell>
        </row>
        <row r="109">
          <cell r="J109">
            <v>-183803.48</v>
          </cell>
          <cell r="K109">
            <v>-65807.78</v>
          </cell>
          <cell r="L109">
            <v>-133297.47680008411</v>
          </cell>
          <cell r="M109">
            <v>423068.56</v>
          </cell>
        </row>
        <row r="110">
          <cell r="I110">
            <v>403756351.09000003</v>
          </cell>
          <cell r="J110">
            <v>2969164832.7509995</v>
          </cell>
          <cell r="K110">
            <v>238085920.65000004</v>
          </cell>
          <cell r="L110">
            <v>613127372.65999997</v>
          </cell>
          <cell r="M110">
            <v>478846028.08999997</v>
          </cell>
        </row>
        <row r="111">
          <cell r="N111">
            <v>10349141.390000001</v>
          </cell>
        </row>
        <row r="112">
          <cell r="N112">
            <v>-274280.64</v>
          </cell>
        </row>
        <row r="113">
          <cell r="N113">
            <v>32981.49</v>
          </cell>
        </row>
        <row r="114">
          <cell r="N114">
            <v>14131766.48</v>
          </cell>
        </row>
        <row r="115">
          <cell r="N115">
            <v>7704266.2300000004</v>
          </cell>
        </row>
        <row r="117">
          <cell r="N117">
            <v>-13573748.1</v>
          </cell>
        </row>
        <row r="118">
          <cell r="N118">
            <v>-75792563.980000004</v>
          </cell>
        </row>
        <row r="119">
          <cell r="N119">
            <v>-430341.6</v>
          </cell>
        </row>
        <row r="120">
          <cell r="N120">
            <v>-915006.37</v>
          </cell>
        </row>
        <row r="123">
          <cell r="N123">
            <v>24020612.829999998</v>
          </cell>
        </row>
        <row r="124">
          <cell r="N124">
            <v>17800477.370000001</v>
          </cell>
        </row>
        <row r="125">
          <cell r="N125">
            <v>11335768.4</v>
          </cell>
        </row>
        <row r="126">
          <cell r="N126">
            <v>-2569430.42</v>
          </cell>
        </row>
        <row r="127">
          <cell r="N127">
            <v>1305371</v>
          </cell>
        </row>
        <row r="128">
          <cell r="N128">
            <v>51892799.18</v>
          </cell>
        </row>
      </sheetData>
      <sheetData sheetId="3">
        <row r="5">
          <cell r="I5">
            <v>-150</v>
          </cell>
          <cell r="J5">
            <v>-66</v>
          </cell>
          <cell r="L5">
            <v>-18</v>
          </cell>
        </row>
        <row r="6">
          <cell r="I6">
            <v>-148</v>
          </cell>
          <cell r="J6">
            <v>-81.400000000000006</v>
          </cell>
          <cell r="L6">
            <v>-17.759999999999998</v>
          </cell>
        </row>
        <row r="7">
          <cell r="I7">
            <v>7001</v>
          </cell>
          <cell r="J7">
            <v>5600.8</v>
          </cell>
          <cell r="L7">
            <v>840.12</v>
          </cell>
        </row>
        <row r="8">
          <cell r="K8">
            <v>675.7</v>
          </cell>
          <cell r="M8">
            <v>0</v>
          </cell>
        </row>
        <row r="9">
          <cell r="I9">
            <v>-32882</v>
          </cell>
          <cell r="J9">
            <v>-67736.92</v>
          </cell>
          <cell r="L9">
            <v>-18085.100000000002</v>
          </cell>
        </row>
        <row r="10">
          <cell r="I10">
            <v>-11544</v>
          </cell>
          <cell r="J10">
            <v>-43982.64</v>
          </cell>
          <cell r="L10">
            <v>-11890.32</v>
          </cell>
        </row>
        <row r="11">
          <cell r="I11">
            <v>-2487</v>
          </cell>
          <cell r="J11">
            <v>-13330.320000000002</v>
          </cell>
          <cell r="L11">
            <v>-3581.2799999999997</v>
          </cell>
        </row>
        <row r="12">
          <cell r="I12">
            <v>3637</v>
          </cell>
          <cell r="J12">
            <v>24949.82</v>
          </cell>
          <cell r="L12">
            <v>6728.4500000000007</v>
          </cell>
        </row>
        <row r="13">
          <cell r="I13">
            <v>-75060</v>
          </cell>
          <cell r="J13">
            <v>-183897</v>
          </cell>
          <cell r="L13">
            <v>-41283</v>
          </cell>
        </row>
        <row r="14">
          <cell r="I14">
            <v>-45596</v>
          </cell>
          <cell r="J14">
            <v>-205182</v>
          </cell>
          <cell r="L14">
            <v>-46963.880000000005</v>
          </cell>
        </row>
        <row r="15">
          <cell r="I15">
            <v>-10154</v>
          </cell>
          <cell r="J15">
            <v>-64477.899999999994</v>
          </cell>
          <cell r="L15">
            <v>-14621.76</v>
          </cell>
        </row>
        <row r="16">
          <cell r="I16">
            <v>-2522</v>
          </cell>
          <cell r="J16">
            <v>-20176</v>
          </cell>
          <cell r="L16">
            <v>-4665.7</v>
          </cell>
        </row>
        <row r="17">
          <cell r="I17">
            <v>59272268</v>
          </cell>
          <cell r="J17">
            <v>157071510.19999999</v>
          </cell>
          <cell r="L17">
            <v>32599747.400000002</v>
          </cell>
        </row>
        <row r="18">
          <cell r="I18">
            <v>57639383</v>
          </cell>
          <cell r="J18">
            <v>308370699.04999995</v>
          </cell>
          <cell r="L18">
            <v>59368564.490000002</v>
          </cell>
        </row>
        <row r="19">
          <cell r="I19">
            <v>22337516</v>
          </cell>
          <cell r="J19">
            <v>167531370</v>
          </cell>
          <cell r="L19">
            <v>32166023.039999999</v>
          </cell>
        </row>
        <row r="20">
          <cell r="I20">
            <v>39489722</v>
          </cell>
          <cell r="J20">
            <v>377126845.10000002</v>
          </cell>
          <cell r="L20">
            <v>73055985.700000003</v>
          </cell>
        </row>
        <row r="24">
          <cell r="K24">
            <v>63873141.229999997</v>
          </cell>
          <cell r="M24">
            <v>141063537.19</v>
          </cell>
        </row>
        <row r="25">
          <cell r="I25">
            <v>-14306</v>
          </cell>
          <cell r="J25">
            <v>-78683</v>
          </cell>
          <cell r="L25">
            <v>-21172.880000000001</v>
          </cell>
        </row>
        <row r="26">
          <cell r="I26">
            <v>-10254</v>
          </cell>
          <cell r="J26">
            <v>-83672.639999999999</v>
          </cell>
          <cell r="L26">
            <v>-22558.800000000003</v>
          </cell>
        </row>
        <row r="27">
          <cell r="I27">
            <v>-35809</v>
          </cell>
          <cell r="J27">
            <v>-234548.94999999998</v>
          </cell>
          <cell r="L27">
            <v>-52997.32</v>
          </cell>
        </row>
        <row r="28">
          <cell r="I28">
            <v>-47285</v>
          </cell>
          <cell r="J28">
            <v>-427929.25000000006</v>
          </cell>
          <cell r="L28">
            <v>-104027.00000000001</v>
          </cell>
        </row>
        <row r="29">
          <cell r="I29">
            <v>48437033</v>
          </cell>
          <cell r="J29">
            <v>360855895.85000002</v>
          </cell>
          <cell r="L29">
            <v>71686808.840000004</v>
          </cell>
        </row>
        <row r="30">
          <cell r="I30">
            <v>34367920</v>
          </cell>
          <cell r="J30">
            <v>343679200</v>
          </cell>
          <cell r="L30">
            <v>75609424</v>
          </cell>
        </row>
        <row r="32">
          <cell r="K32">
            <v>63325447.740000002</v>
          </cell>
          <cell r="M32">
            <v>139338516.69999999</v>
          </cell>
        </row>
        <row r="33">
          <cell r="I33">
            <v>0</v>
          </cell>
          <cell r="J33">
            <v>0</v>
          </cell>
          <cell r="L33">
            <v>0</v>
          </cell>
        </row>
        <row r="34">
          <cell r="I34">
            <v>0</v>
          </cell>
          <cell r="J34">
            <v>0</v>
          </cell>
          <cell r="L34">
            <v>0</v>
          </cell>
        </row>
        <row r="35">
          <cell r="I35">
            <v>22756723</v>
          </cell>
          <cell r="J35">
            <v>211637523.90000001</v>
          </cell>
          <cell r="L35">
            <v>48926954.449999996</v>
          </cell>
        </row>
        <row r="36">
          <cell r="K36">
            <v>21471973.050000001</v>
          </cell>
          <cell r="M36">
            <v>35955622.340000004</v>
          </cell>
        </row>
        <row r="37">
          <cell r="I37">
            <v>0</v>
          </cell>
          <cell r="J37">
            <v>0</v>
          </cell>
          <cell r="L37">
            <v>0</v>
          </cell>
        </row>
        <row r="38">
          <cell r="I38">
            <v>0</v>
          </cell>
          <cell r="J38">
            <v>0</v>
          </cell>
          <cell r="L38">
            <v>0</v>
          </cell>
        </row>
        <row r="39">
          <cell r="I39">
            <v>44302249</v>
          </cell>
          <cell r="J39">
            <v>429731815.29999995</v>
          </cell>
          <cell r="L39">
            <v>96578902.820000008</v>
          </cell>
        </row>
        <row r="40">
          <cell r="K40">
            <v>35869551.049999997</v>
          </cell>
          <cell r="M40">
            <v>71326620.890000001</v>
          </cell>
        </row>
        <row r="41">
          <cell r="I41">
            <v>0</v>
          </cell>
          <cell r="J41">
            <v>0</v>
          </cell>
          <cell r="L41">
            <v>0</v>
          </cell>
        </row>
        <row r="42">
          <cell r="I42">
            <v>0</v>
          </cell>
          <cell r="J42">
            <v>0</v>
          </cell>
          <cell r="L42">
            <v>0</v>
          </cell>
        </row>
        <row r="43">
          <cell r="I43">
            <v>-2013</v>
          </cell>
          <cell r="J43">
            <v>-11474.1</v>
          </cell>
          <cell r="L43">
            <v>-2818.2</v>
          </cell>
        </row>
        <row r="44">
          <cell r="I44">
            <v>-5665</v>
          </cell>
          <cell r="J44">
            <v>-43620.5</v>
          </cell>
          <cell r="L44">
            <v>-11103.4</v>
          </cell>
        </row>
        <row r="45">
          <cell r="I45">
            <v>1753499</v>
          </cell>
          <cell r="J45">
            <v>11134718.649999999</v>
          </cell>
          <cell r="L45">
            <v>2454898.5999999996</v>
          </cell>
        </row>
        <row r="46">
          <cell r="I46">
            <v>2008544</v>
          </cell>
          <cell r="J46">
            <v>17173051.200000003</v>
          </cell>
          <cell r="L46">
            <v>3936746.2399999998</v>
          </cell>
        </row>
        <row r="48">
          <cell r="K48">
            <v>2756049.11</v>
          </cell>
          <cell r="M48">
            <v>6158556.6399999997</v>
          </cell>
        </row>
        <row r="49">
          <cell r="I49">
            <v>0</v>
          </cell>
          <cell r="J49">
            <v>0</v>
          </cell>
          <cell r="L49">
            <v>0</v>
          </cell>
        </row>
        <row r="50">
          <cell r="I50">
            <v>0</v>
          </cell>
          <cell r="J50">
            <v>0</v>
          </cell>
          <cell r="L50">
            <v>0</v>
          </cell>
        </row>
        <row r="51">
          <cell r="I51">
            <v>4533327</v>
          </cell>
          <cell r="J51">
            <v>36719948.699999996</v>
          </cell>
          <cell r="L51">
            <v>7933322.25</v>
          </cell>
        </row>
        <row r="52">
          <cell r="K52">
            <v>4943560.45</v>
          </cell>
          <cell r="M52">
            <v>5802658.5599999996</v>
          </cell>
        </row>
        <row r="53">
          <cell r="I53">
            <v>0</v>
          </cell>
          <cell r="J53">
            <v>0</v>
          </cell>
          <cell r="L53">
            <v>0</v>
          </cell>
        </row>
        <row r="54">
          <cell r="I54">
            <v>0</v>
          </cell>
          <cell r="J54">
            <v>0</v>
          </cell>
          <cell r="L54">
            <v>0</v>
          </cell>
        </row>
        <row r="55">
          <cell r="I55">
            <v>4124270</v>
          </cell>
          <cell r="J55">
            <v>34025227.5</v>
          </cell>
          <cell r="L55">
            <v>7093744.3999999994</v>
          </cell>
        </row>
        <row r="56">
          <cell r="K56">
            <v>2664386.84</v>
          </cell>
          <cell r="M56">
            <v>5114094.8</v>
          </cell>
        </row>
        <row r="57">
          <cell r="I57">
            <v>1941</v>
          </cell>
          <cell r="J57">
            <v>22806.75</v>
          </cell>
          <cell r="L57">
            <v>6133.56</v>
          </cell>
        </row>
        <row r="58">
          <cell r="I58">
            <v>652</v>
          </cell>
          <cell r="J58">
            <v>8802</v>
          </cell>
          <cell r="L58">
            <v>2060.3200000000002</v>
          </cell>
        </row>
        <row r="59">
          <cell r="I59">
            <v>138384</v>
          </cell>
          <cell r="J59">
            <v>1985810.4</v>
          </cell>
          <cell r="L59">
            <v>437293.44</v>
          </cell>
        </row>
        <row r="60">
          <cell r="K60">
            <v>329333.32</v>
          </cell>
          <cell r="M60">
            <v>320872.51</v>
          </cell>
        </row>
        <row r="61">
          <cell r="I61">
            <v>0</v>
          </cell>
          <cell r="J61">
            <v>0</v>
          </cell>
          <cell r="L61">
            <v>0</v>
          </cell>
        </row>
        <row r="62">
          <cell r="I62">
            <v>0</v>
          </cell>
          <cell r="J62">
            <v>0</v>
          </cell>
          <cell r="L62">
            <v>0</v>
          </cell>
        </row>
        <row r="63">
          <cell r="I63">
            <v>2122172.6</v>
          </cell>
          <cell r="J63">
            <v>16765163.540000001</v>
          </cell>
          <cell r="L63">
            <v>3225702.352</v>
          </cell>
        </row>
        <row r="64">
          <cell r="K64">
            <v>2348228.37</v>
          </cell>
          <cell r="M64">
            <v>2376833.31</v>
          </cell>
        </row>
        <row r="65">
          <cell r="I65">
            <v>0</v>
          </cell>
          <cell r="J65">
            <v>0</v>
          </cell>
          <cell r="L65">
            <v>0</v>
          </cell>
        </row>
        <row r="66">
          <cell r="I66">
            <v>-1632</v>
          </cell>
          <cell r="J66">
            <v>-11016</v>
          </cell>
          <cell r="L66">
            <v>-2480.64</v>
          </cell>
        </row>
        <row r="67">
          <cell r="I67">
            <v>285525</v>
          </cell>
          <cell r="J67">
            <v>2255647.5</v>
          </cell>
          <cell r="L67">
            <v>433998</v>
          </cell>
        </row>
        <row r="68">
          <cell r="K68">
            <v>215303.63</v>
          </cell>
          <cell r="M68">
            <v>319777.91999999998</v>
          </cell>
        </row>
        <row r="69">
          <cell r="I69">
            <v>0</v>
          </cell>
          <cell r="J69">
            <v>0</v>
          </cell>
          <cell r="L69">
            <v>0</v>
          </cell>
        </row>
        <row r="70">
          <cell r="I70">
            <v>0</v>
          </cell>
          <cell r="J70">
            <v>0</v>
          </cell>
          <cell r="L70">
            <v>0</v>
          </cell>
        </row>
        <row r="71">
          <cell r="I71">
            <v>5186</v>
          </cell>
          <cell r="J71">
            <v>22818.400000000001</v>
          </cell>
          <cell r="L71">
            <v>4511.82</v>
          </cell>
        </row>
        <row r="72">
          <cell r="K72">
            <v>4513.33</v>
          </cell>
          <cell r="M72">
            <v>3733.92</v>
          </cell>
        </row>
        <row r="73">
          <cell r="I73">
            <v>360</v>
          </cell>
          <cell r="J73">
            <v>3380.4</v>
          </cell>
          <cell r="L73">
            <v>910.8</v>
          </cell>
        </row>
        <row r="74">
          <cell r="I74">
            <v>404</v>
          </cell>
          <cell r="J74">
            <v>4242</v>
          </cell>
          <cell r="L74">
            <v>1022.1199999999999</v>
          </cell>
        </row>
        <row r="75">
          <cell r="I75">
            <v>3315646</v>
          </cell>
          <cell r="J75">
            <v>38129929</v>
          </cell>
          <cell r="L75">
            <v>8388584.379999999</v>
          </cell>
        </row>
        <row r="76">
          <cell r="K76">
            <v>2021109.96</v>
          </cell>
          <cell r="M76">
            <v>6267576.4199999999</v>
          </cell>
        </row>
        <row r="77">
          <cell r="I77">
            <v>0</v>
          </cell>
          <cell r="J77">
            <v>0</v>
          </cell>
          <cell r="L77">
            <v>0</v>
          </cell>
        </row>
        <row r="78">
          <cell r="I78">
            <v>0</v>
          </cell>
          <cell r="J78">
            <v>0</v>
          </cell>
          <cell r="L78">
            <v>0</v>
          </cell>
        </row>
        <row r="79">
          <cell r="I79">
            <v>131701</v>
          </cell>
          <cell r="J79">
            <v>599239.54999999993</v>
          </cell>
          <cell r="L79">
            <v>109311.83</v>
          </cell>
        </row>
        <row r="80">
          <cell r="K80">
            <v>5800</v>
          </cell>
          <cell r="M80">
            <v>72435.55</v>
          </cell>
        </row>
        <row r="81">
          <cell r="I81">
            <v>0</v>
          </cell>
          <cell r="J81">
            <v>0</v>
          </cell>
          <cell r="L81">
            <v>0</v>
          </cell>
        </row>
        <row r="82">
          <cell r="I82">
            <v>-20</v>
          </cell>
          <cell r="J82">
            <v>-146</v>
          </cell>
          <cell r="L82">
            <v>-36.6</v>
          </cell>
        </row>
        <row r="83">
          <cell r="I83">
            <v>1064223</v>
          </cell>
          <cell r="J83">
            <v>8833050.9000000004</v>
          </cell>
          <cell r="L83">
            <v>1947528.09</v>
          </cell>
        </row>
        <row r="84">
          <cell r="K84">
            <v>528166.65</v>
          </cell>
          <cell r="M84">
            <v>1607089.62</v>
          </cell>
        </row>
        <row r="85">
          <cell r="I85">
            <v>0</v>
          </cell>
          <cell r="J85">
            <v>0</v>
          </cell>
          <cell r="L85">
            <v>0</v>
          </cell>
        </row>
        <row r="86">
          <cell r="I86">
            <v>0</v>
          </cell>
          <cell r="J86">
            <v>0</v>
          </cell>
          <cell r="L86">
            <v>0</v>
          </cell>
        </row>
        <row r="87">
          <cell r="I87">
            <v>6571262</v>
          </cell>
          <cell r="J87">
            <v>54541474.600000001</v>
          </cell>
          <cell r="L87">
            <v>12025409.460000001</v>
          </cell>
        </row>
        <row r="88">
          <cell r="K88">
            <v>4948834.96</v>
          </cell>
          <cell r="M88">
            <v>9331192.0399999991</v>
          </cell>
        </row>
        <row r="89">
          <cell r="I89">
            <v>0</v>
          </cell>
          <cell r="J89">
            <v>0</v>
          </cell>
          <cell r="L89">
            <v>0</v>
          </cell>
        </row>
        <row r="90">
          <cell r="I90">
            <v>0</v>
          </cell>
          <cell r="J90">
            <v>0</v>
          </cell>
          <cell r="L90">
            <v>0</v>
          </cell>
        </row>
        <row r="91">
          <cell r="I91">
            <v>15634255</v>
          </cell>
          <cell r="J91">
            <v>125074040</v>
          </cell>
          <cell r="L91">
            <v>24858465.450000003</v>
          </cell>
        </row>
        <row r="92">
          <cell r="K92">
            <v>9351105.5299999993</v>
          </cell>
          <cell r="M92">
            <v>17666708.149999999</v>
          </cell>
        </row>
        <row r="93">
          <cell r="I93">
            <v>0</v>
          </cell>
          <cell r="J93">
            <v>0</v>
          </cell>
          <cell r="L93">
            <v>0</v>
          </cell>
        </row>
        <row r="94">
          <cell r="I94">
            <v>0</v>
          </cell>
          <cell r="J94">
            <v>0</v>
          </cell>
          <cell r="L94">
            <v>0</v>
          </cell>
        </row>
        <row r="95">
          <cell r="I95">
            <v>33454996</v>
          </cell>
          <cell r="J95">
            <v>287712965.59999996</v>
          </cell>
          <cell r="L95">
            <v>57208043.159999996</v>
          </cell>
        </row>
        <row r="96">
          <cell r="K96">
            <v>19387290.02</v>
          </cell>
          <cell r="M96">
            <v>39811445.240000002</v>
          </cell>
        </row>
        <row r="97">
          <cell r="I97">
            <v>0</v>
          </cell>
          <cell r="J97">
            <v>0</v>
          </cell>
          <cell r="L97">
            <v>0</v>
          </cell>
        </row>
        <row r="98">
          <cell r="I98">
            <v>0</v>
          </cell>
          <cell r="J98">
            <v>0</v>
          </cell>
          <cell r="L98">
            <v>0</v>
          </cell>
        </row>
        <row r="99">
          <cell r="I99">
            <v>3013492</v>
          </cell>
          <cell r="J99">
            <v>17990547.239999998</v>
          </cell>
          <cell r="L99">
            <v>2742277.72</v>
          </cell>
        </row>
        <row r="100">
          <cell r="K100">
            <v>1394083.3</v>
          </cell>
          <cell r="M100">
            <v>1988904.72</v>
          </cell>
        </row>
        <row r="101">
          <cell r="I101">
            <v>0</v>
          </cell>
          <cell r="J101">
            <v>0</v>
          </cell>
          <cell r="L101">
            <v>0</v>
          </cell>
        </row>
        <row r="102">
          <cell r="I102">
            <v>0</v>
          </cell>
          <cell r="J102">
            <v>0</v>
          </cell>
          <cell r="L102">
            <v>0</v>
          </cell>
        </row>
        <row r="103">
          <cell r="I103">
            <v>1585979</v>
          </cell>
          <cell r="J103">
            <v>17842263.75</v>
          </cell>
          <cell r="L103">
            <v>3695331.0700000003</v>
          </cell>
        </row>
        <row r="104">
          <cell r="K104">
            <v>1500</v>
          </cell>
          <cell r="M104">
            <v>2664444.7200000002</v>
          </cell>
        </row>
        <row r="105">
          <cell r="I105">
            <v>0</v>
          </cell>
          <cell r="J105">
            <v>0</v>
          </cell>
          <cell r="L105">
            <v>0</v>
          </cell>
        </row>
        <row r="106">
          <cell r="I106">
            <v>0</v>
          </cell>
          <cell r="J106">
            <v>0</v>
          </cell>
          <cell r="L106">
            <v>0</v>
          </cell>
        </row>
        <row r="107">
          <cell r="I107">
            <v>8360584</v>
          </cell>
          <cell r="J107">
            <v>64794526</v>
          </cell>
          <cell r="L107">
            <v>12624481.84</v>
          </cell>
        </row>
        <row r="108">
          <cell r="K108">
            <v>3616928</v>
          </cell>
          <cell r="M108">
            <v>9781883.2799999993</v>
          </cell>
        </row>
        <row r="109">
          <cell r="J109">
            <v>-25781757.710000001</v>
          </cell>
          <cell r="K109">
            <v>-169110.47</v>
          </cell>
          <cell r="L109">
            <v>-6625434.1619999409</v>
          </cell>
          <cell r="M109">
            <v>-2419550.19</v>
          </cell>
        </row>
        <row r="110">
          <cell r="I110">
            <v>416422327.60000002</v>
          </cell>
          <cell r="J110">
            <v>3064403285.3700004</v>
          </cell>
          <cell r="K110">
            <v>238887871.76999998</v>
          </cell>
          <cell r="L110">
            <v>632146000.40999997</v>
          </cell>
          <cell r="M110">
            <v>494552954.33000004</v>
          </cell>
        </row>
        <row r="111">
          <cell r="N111">
            <v>10542881.220000001</v>
          </cell>
        </row>
        <row r="112">
          <cell r="N112">
            <v>7859933.71</v>
          </cell>
        </row>
        <row r="113">
          <cell r="N113">
            <v>-509843.49</v>
          </cell>
        </row>
        <row r="114">
          <cell r="N114">
            <v>15384851.380000001</v>
          </cell>
        </row>
        <row r="115">
          <cell r="N115">
            <v>7316206.7000000002</v>
          </cell>
        </row>
        <row r="117">
          <cell r="N117">
            <v>-15507714.68</v>
          </cell>
        </row>
        <row r="118">
          <cell r="N118">
            <v>-79805396.780000001</v>
          </cell>
        </row>
        <row r="119">
          <cell r="N119">
            <v>-438502.46</v>
          </cell>
        </row>
        <row r="120">
          <cell r="N120">
            <v>-1496496.55</v>
          </cell>
        </row>
        <row r="123">
          <cell r="N123">
            <v>24040593.829999998</v>
          </cell>
        </row>
        <row r="124">
          <cell r="N124">
            <v>18113410.100000001</v>
          </cell>
        </row>
        <row r="125">
          <cell r="N125">
            <v>16507565.73</v>
          </cell>
        </row>
        <row r="126">
          <cell r="N126">
            <v>-1168380.69</v>
          </cell>
        </row>
        <row r="127">
          <cell r="N127">
            <v>1531264</v>
          </cell>
        </row>
        <row r="128">
          <cell r="N128">
            <v>59024452.969999999</v>
          </cell>
        </row>
      </sheetData>
      <sheetData sheetId="4">
        <row r="5">
          <cell r="I5">
            <v>0</v>
          </cell>
          <cell r="J5">
            <v>0</v>
          </cell>
          <cell r="L5">
            <v>0</v>
          </cell>
        </row>
        <row r="6">
          <cell r="I6">
            <v>0</v>
          </cell>
          <cell r="J6">
            <v>0</v>
          </cell>
          <cell r="L6">
            <v>0</v>
          </cell>
        </row>
        <row r="7">
          <cell r="I7">
            <v>3596</v>
          </cell>
          <cell r="J7">
            <v>2876.8</v>
          </cell>
          <cell r="L7">
            <v>431.52</v>
          </cell>
        </row>
        <row r="8">
          <cell r="K8">
            <v>594</v>
          </cell>
          <cell r="M8">
            <v>0</v>
          </cell>
        </row>
        <row r="9">
          <cell r="I9">
            <v>-45987</v>
          </cell>
          <cell r="J9">
            <v>-94733.22</v>
          </cell>
          <cell r="L9">
            <v>-25292.850000000002</v>
          </cell>
        </row>
        <row r="10">
          <cell r="I10">
            <v>-23733</v>
          </cell>
          <cell r="J10">
            <v>-90422.73</v>
          </cell>
          <cell r="L10">
            <v>-24444.99</v>
          </cell>
        </row>
        <row r="11">
          <cell r="I11">
            <v>-4160</v>
          </cell>
          <cell r="J11">
            <v>-22297.600000000002</v>
          </cell>
          <cell r="L11">
            <v>-5990.4</v>
          </cell>
        </row>
        <row r="12">
          <cell r="I12">
            <v>1085</v>
          </cell>
          <cell r="J12">
            <v>7443.1</v>
          </cell>
          <cell r="L12">
            <v>2007.25</v>
          </cell>
        </row>
        <row r="13">
          <cell r="I13">
            <v>-65408</v>
          </cell>
          <cell r="J13">
            <v>-160249.60000000001</v>
          </cell>
          <cell r="L13">
            <v>-35974.400000000001</v>
          </cell>
        </row>
        <row r="14">
          <cell r="I14">
            <v>-31770</v>
          </cell>
          <cell r="J14">
            <v>-142965</v>
          </cell>
          <cell r="L14">
            <v>-32723.100000000002</v>
          </cell>
        </row>
        <row r="15">
          <cell r="I15">
            <v>-6842</v>
          </cell>
          <cell r="J15">
            <v>-43446.7</v>
          </cell>
          <cell r="L15">
            <v>-9852.48</v>
          </cell>
        </row>
        <row r="16">
          <cell r="I16">
            <v>5069</v>
          </cell>
          <cell r="J16">
            <v>40552</v>
          </cell>
          <cell r="L16">
            <v>9377.65</v>
          </cell>
        </row>
        <row r="17">
          <cell r="I17">
            <v>60404573</v>
          </cell>
          <cell r="J17">
            <v>160072118.44999999</v>
          </cell>
          <cell r="L17">
            <v>33222515.150000002</v>
          </cell>
        </row>
        <row r="18">
          <cell r="I18">
            <v>59151692</v>
          </cell>
          <cell r="J18">
            <v>316461552.19999999</v>
          </cell>
          <cell r="L18">
            <v>60926242.759999998</v>
          </cell>
        </row>
        <row r="19">
          <cell r="I19">
            <v>20561761</v>
          </cell>
          <cell r="J19">
            <v>154213207.5</v>
          </cell>
          <cell r="L19">
            <v>29608935.84</v>
          </cell>
        </row>
        <row r="20">
          <cell r="I20">
            <v>36818260</v>
          </cell>
          <cell r="J20">
            <v>351614383</v>
          </cell>
          <cell r="L20">
            <v>68113781</v>
          </cell>
        </row>
        <row r="24">
          <cell r="K24">
            <v>64440564.729999997</v>
          </cell>
          <cell r="M24">
            <v>137126978.13999999</v>
          </cell>
        </row>
        <row r="25">
          <cell r="I25">
            <v>-21476</v>
          </cell>
          <cell r="J25">
            <v>-118118</v>
          </cell>
          <cell r="L25">
            <v>-31784.48</v>
          </cell>
        </row>
        <row r="26">
          <cell r="I26">
            <v>-32062</v>
          </cell>
          <cell r="J26">
            <v>-261625.92</v>
          </cell>
          <cell r="L26">
            <v>-70536.400000000009</v>
          </cell>
        </row>
        <row r="27">
          <cell r="I27">
            <v>-50572</v>
          </cell>
          <cell r="J27">
            <v>-331246.59999999998</v>
          </cell>
          <cell r="L27">
            <v>-74846.559999999998</v>
          </cell>
        </row>
        <row r="28">
          <cell r="I28">
            <v>-34221</v>
          </cell>
          <cell r="J28">
            <v>-309700.05000000005</v>
          </cell>
          <cell r="L28">
            <v>-75286.200000000012</v>
          </cell>
        </row>
        <row r="29">
          <cell r="I29">
            <v>48962501</v>
          </cell>
          <cell r="J29">
            <v>364770632.44999999</v>
          </cell>
          <cell r="L29">
            <v>72464501.480000004</v>
          </cell>
        </row>
        <row r="30">
          <cell r="I30">
            <v>34168777</v>
          </cell>
          <cell r="J30">
            <v>341687770</v>
          </cell>
          <cell r="L30">
            <v>75171309.400000006</v>
          </cell>
        </row>
        <row r="32">
          <cell r="K32">
            <v>63329897.460000001</v>
          </cell>
          <cell r="M32">
            <v>139378603</v>
          </cell>
        </row>
        <row r="33">
          <cell r="I33">
            <v>0</v>
          </cell>
          <cell r="J33">
            <v>0</v>
          </cell>
          <cell r="L33">
            <v>0</v>
          </cell>
        </row>
        <row r="34">
          <cell r="I34">
            <v>0</v>
          </cell>
          <cell r="J34">
            <v>0</v>
          </cell>
          <cell r="L34">
            <v>0</v>
          </cell>
        </row>
        <row r="35">
          <cell r="I35">
            <v>22856416</v>
          </cell>
          <cell r="J35">
            <v>212564668.80000001</v>
          </cell>
          <cell r="L35">
            <v>49141294.399999999</v>
          </cell>
        </row>
        <row r="36">
          <cell r="K36">
            <v>21665669.370000001</v>
          </cell>
          <cell r="M36">
            <v>36113137.280000001</v>
          </cell>
        </row>
        <row r="37">
          <cell r="I37">
            <v>0</v>
          </cell>
          <cell r="J37">
            <v>0</v>
          </cell>
          <cell r="L37">
            <v>0</v>
          </cell>
        </row>
        <row r="38">
          <cell r="I38">
            <v>0</v>
          </cell>
          <cell r="J38">
            <v>0</v>
          </cell>
          <cell r="L38">
            <v>0</v>
          </cell>
        </row>
        <row r="39">
          <cell r="I39">
            <v>44377278</v>
          </cell>
          <cell r="J39">
            <v>430459596.59999996</v>
          </cell>
          <cell r="L39">
            <v>96742466.040000007</v>
          </cell>
        </row>
        <row r="40">
          <cell r="K40">
            <v>36164401.490000002</v>
          </cell>
          <cell r="M40">
            <v>71447417.579999998</v>
          </cell>
        </row>
        <row r="41">
          <cell r="I41">
            <v>0</v>
          </cell>
          <cell r="J41">
            <v>0</v>
          </cell>
          <cell r="L41">
            <v>0</v>
          </cell>
        </row>
        <row r="42">
          <cell r="I42">
            <v>0</v>
          </cell>
          <cell r="J42">
            <v>0</v>
          </cell>
          <cell r="L42">
            <v>0</v>
          </cell>
        </row>
        <row r="43">
          <cell r="I43">
            <v>-102</v>
          </cell>
          <cell r="J43">
            <v>-581.4</v>
          </cell>
          <cell r="L43">
            <v>-142.79999999999998</v>
          </cell>
        </row>
        <row r="44">
          <cell r="I44">
            <v>0</v>
          </cell>
          <cell r="J44">
            <v>0</v>
          </cell>
          <cell r="L44">
            <v>0</v>
          </cell>
        </row>
        <row r="45">
          <cell r="I45">
            <v>1782974</v>
          </cell>
          <cell r="J45">
            <v>11321884.899999999</v>
          </cell>
          <cell r="L45">
            <v>2496163.5999999996</v>
          </cell>
        </row>
        <row r="46">
          <cell r="I46">
            <v>2033811</v>
          </cell>
          <cell r="J46">
            <v>17389084.050000001</v>
          </cell>
          <cell r="L46">
            <v>3986269.56</v>
          </cell>
        </row>
        <row r="48">
          <cell r="K48">
            <v>2759286.64</v>
          </cell>
          <cell r="M48">
            <v>6246444.4800000004</v>
          </cell>
        </row>
        <row r="49">
          <cell r="I49">
            <v>0</v>
          </cell>
          <cell r="J49">
            <v>0</v>
          </cell>
          <cell r="L49">
            <v>0</v>
          </cell>
        </row>
        <row r="50">
          <cell r="I50">
            <v>0</v>
          </cell>
          <cell r="J50">
            <v>0</v>
          </cell>
          <cell r="L50">
            <v>0</v>
          </cell>
        </row>
        <row r="51">
          <cell r="I51">
            <v>4498135</v>
          </cell>
          <cell r="J51">
            <v>36434893.5</v>
          </cell>
          <cell r="L51">
            <v>7871736.25</v>
          </cell>
        </row>
        <row r="52">
          <cell r="K52">
            <v>4911216.76</v>
          </cell>
          <cell r="M52">
            <v>5757612.7999999998</v>
          </cell>
        </row>
        <row r="53">
          <cell r="I53">
            <v>0</v>
          </cell>
          <cell r="J53">
            <v>0</v>
          </cell>
          <cell r="L53">
            <v>0</v>
          </cell>
        </row>
        <row r="54">
          <cell r="I54">
            <v>0</v>
          </cell>
          <cell r="J54">
            <v>0</v>
          </cell>
          <cell r="L54">
            <v>0</v>
          </cell>
        </row>
        <row r="55">
          <cell r="I55">
            <v>3981478</v>
          </cell>
          <cell r="J55">
            <v>32847193.5</v>
          </cell>
          <cell r="L55">
            <v>6848142.1600000001</v>
          </cell>
        </row>
        <row r="56">
          <cell r="K56">
            <v>2641760.64</v>
          </cell>
          <cell r="M56">
            <v>4937032.72</v>
          </cell>
        </row>
        <row r="57">
          <cell r="I57">
            <v>-1939</v>
          </cell>
          <cell r="J57">
            <v>-22783.25</v>
          </cell>
          <cell r="L57">
            <v>-6127.2400000000007</v>
          </cell>
        </row>
        <row r="58">
          <cell r="I58">
            <v>-2526</v>
          </cell>
          <cell r="J58">
            <v>-34101</v>
          </cell>
          <cell r="L58">
            <v>-7982.1600000000008</v>
          </cell>
        </row>
        <row r="59">
          <cell r="I59">
            <v>136808</v>
          </cell>
          <cell r="J59">
            <v>1963194.8</v>
          </cell>
          <cell r="L59">
            <v>432313.28</v>
          </cell>
        </row>
        <row r="60">
          <cell r="K60">
            <v>328186.67</v>
          </cell>
          <cell r="M60">
            <v>313510.15999999997</v>
          </cell>
        </row>
        <row r="61">
          <cell r="I61">
            <v>0</v>
          </cell>
          <cell r="J61">
            <v>0</v>
          </cell>
          <cell r="L61">
            <v>0</v>
          </cell>
        </row>
        <row r="62">
          <cell r="I62">
            <v>0</v>
          </cell>
          <cell r="J62">
            <v>0</v>
          </cell>
          <cell r="L62">
            <v>0</v>
          </cell>
        </row>
        <row r="63">
          <cell r="I63">
            <v>1956716.67</v>
          </cell>
          <cell r="J63">
            <v>15458061.693</v>
          </cell>
          <cell r="L63">
            <v>2974209.3383999998</v>
          </cell>
        </row>
        <row r="64">
          <cell r="K64">
            <v>1817243.48</v>
          </cell>
          <cell r="M64">
            <v>2485030.17</v>
          </cell>
        </row>
        <row r="65">
          <cell r="I65">
            <v>0</v>
          </cell>
          <cell r="J65">
            <v>0</v>
          </cell>
          <cell r="L65">
            <v>0</v>
          </cell>
        </row>
        <row r="66">
          <cell r="I66">
            <v>-349</v>
          </cell>
          <cell r="J66">
            <v>-2355.75</v>
          </cell>
          <cell r="L66">
            <v>-530.48</v>
          </cell>
        </row>
        <row r="67">
          <cell r="I67">
            <v>288787</v>
          </cell>
          <cell r="J67">
            <v>2281417.3000000003</v>
          </cell>
          <cell r="L67">
            <v>438956.24</v>
          </cell>
        </row>
        <row r="68">
          <cell r="K68">
            <v>221413.87</v>
          </cell>
          <cell r="M68">
            <v>323868.15999999997</v>
          </cell>
        </row>
        <row r="69">
          <cell r="I69">
            <v>0</v>
          </cell>
          <cell r="J69">
            <v>0</v>
          </cell>
          <cell r="L69">
            <v>0</v>
          </cell>
        </row>
        <row r="70">
          <cell r="I70">
            <v>2751</v>
          </cell>
          <cell r="J70">
            <v>9628.5</v>
          </cell>
          <cell r="L70">
            <v>2393.37</v>
          </cell>
        </row>
        <row r="71">
          <cell r="I71">
            <v>8674</v>
          </cell>
          <cell r="J71">
            <v>38165.600000000006</v>
          </cell>
          <cell r="L71">
            <v>7546.38</v>
          </cell>
        </row>
        <row r="72">
          <cell r="K72">
            <v>16026.67</v>
          </cell>
          <cell r="M72">
            <v>8226</v>
          </cell>
        </row>
        <row r="73">
          <cell r="I73">
            <v>-368</v>
          </cell>
          <cell r="J73">
            <v>-3455.5200000000004</v>
          </cell>
          <cell r="L73">
            <v>-931.04</v>
          </cell>
        </row>
        <row r="74">
          <cell r="I74">
            <v>589</v>
          </cell>
          <cell r="J74">
            <v>6184.5</v>
          </cell>
          <cell r="L74">
            <v>1490.1699999999998</v>
          </cell>
        </row>
        <row r="75">
          <cell r="I75">
            <v>3223451</v>
          </cell>
          <cell r="J75">
            <v>37069686.5</v>
          </cell>
          <cell r="L75">
            <v>8155331.0299999993</v>
          </cell>
        </row>
        <row r="76">
          <cell r="K76">
            <v>1914778.29</v>
          </cell>
          <cell r="M76">
            <v>6096446.3700000001</v>
          </cell>
        </row>
        <row r="77">
          <cell r="I77">
            <v>0</v>
          </cell>
          <cell r="J77">
            <v>0</v>
          </cell>
          <cell r="L77">
            <v>0</v>
          </cell>
        </row>
        <row r="78">
          <cell r="I78">
            <v>0</v>
          </cell>
          <cell r="J78">
            <v>0</v>
          </cell>
          <cell r="L78">
            <v>0</v>
          </cell>
        </row>
        <row r="79">
          <cell r="I79">
            <v>104515</v>
          </cell>
          <cell r="J79">
            <v>475543.25</v>
          </cell>
          <cell r="L79">
            <v>86747.45</v>
          </cell>
        </row>
        <row r="80">
          <cell r="K80">
            <v>5800</v>
          </cell>
          <cell r="M80">
            <v>57483.25</v>
          </cell>
        </row>
        <row r="81">
          <cell r="I81">
            <v>0</v>
          </cell>
          <cell r="J81">
            <v>0</v>
          </cell>
          <cell r="L81">
            <v>0</v>
          </cell>
        </row>
        <row r="82">
          <cell r="I82">
            <v>0</v>
          </cell>
          <cell r="J82">
            <v>0</v>
          </cell>
          <cell r="L82">
            <v>0</v>
          </cell>
        </row>
        <row r="83">
          <cell r="I83">
            <v>1182468</v>
          </cell>
          <cell r="J83">
            <v>9814484.4000000004</v>
          </cell>
          <cell r="L83">
            <v>2163916.44</v>
          </cell>
        </row>
        <row r="84">
          <cell r="K84">
            <v>527450</v>
          </cell>
          <cell r="M84">
            <v>1785526.68</v>
          </cell>
        </row>
        <row r="85">
          <cell r="I85">
            <v>0</v>
          </cell>
          <cell r="J85">
            <v>0</v>
          </cell>
          <cell r="L85">
            <v>0</v>
          </cell>
        </row>
        <row r="86">
          <cell r="I86">
            <v>0</v>
          </cell>
          <cell r="J86">
            <v>0</v>
          </cell>
          <cell r="L86">
            <v>0</v>
          </cell>
        </row>
        <row r="87">
          <cell r="I87">
            <v>6865257</v>
          </cell>
          <cell r="J87">
            <v>56981633.100000001</v>
          </cell>
          <cell r="L87">
            <v>12563420.310000001</v>
          </cell>
        </row>
        <row r="88">
          <cell r="K88">
            <v>5139245.2699999996</v>
          </cell>
          <cell r="M88">
            <v>9748664.9399999995</v>
          </cell>
        </row>
        <row r="89">
          <cell r="I89">
            <v>0</v>
          </cell>
          <cell r="J89">
            <v>0</v>
          </cell>
          <cell r="L89">
            <v>0</v>
          </cell>
        </row>
        <row r="90">
          <cell r="I90">
            <v>0</v>
          </cell>
          <cell r="J90">
            <v>0</v>
          </cell>
          <cell r="L90">
            <v>0</v>
          </cell>
        </row>
        <row r="91">
          <cell r="I91">
            <v>15756955</v>
          </cell>
          <cell r="J91">
            <v>126055640</v>
          </cell>
          <cell r="L91">
            <v>25053558.450000003</v>
          </cell>
        </row>
        <row r="92">
          <cell r="K92">
            <v>9699319.5</v>
          </cell>
          <cell r="M92">
            <v>17805359.149999999</v>
          </cell>
        </row>
        <row r="93">
          <cell r="I93">
            <v>0</v>
          </cell>
          <cell r="J93">
            <v>0</v>
          </cell>
          <cell r="L93">
            <v>0</v>
          </cell>
        </row>
        <row r="94">
          <cell r="I94">
            <v>0</v>
          </cell>
          <cell r="J94">
            <v>0</v>
          </cell>
          <cell r="L94">
            <v>0</v>
          </cell>
        </row>
        <row r="95">
          <cell r="I95">
            <v>32901981</v>
          </cell>
          <cell r="J95">
            <v>282957036.59999996</v>
          </cell>
          <cell r="L95">
            <v>56262387.509999998</v>
          </cell>
        </row>
        <row r="96">
          <cell r="K96">
            <v>19716481.100000001</v>
          </cell>
          <cell r="M96">
            <v>39153357.390000001</v>
          </cell>
        </row>
        <row r="97">
          <cell r="I97">
            <v>0</v>
          </cell>
          <cell r="J97">
            <v>0</v>
          </cell>
          <cell r="L97">
            <v>0</v>
          </cell>
        </row>
        <row r="98">
          <cell r="I98">
            <v>0</v>
          </cell>
          <cell r="J98">
            <v>0</v>
          </cell>
          <cell r="L98">
            <v>0</v>
          </cell>
        </row>
        <row r="99">
          <cell r="I99">
            <v>3035375</v>
          </cell>
          <cell r="J99">
            <v>18121188.75</v>
          </cell>
          <cell r="L99">
            <v>2762191.25</v>
          </cell>
        </row>
        <row r="100">
          <cell r="K100">
            <v>1442011.55</v>
          </cell>
          <cell r="M100">
            <v>2003347.5</v>
          </cell>
        </row>
        <row r="101">
          <cell r="I101">
            <v>0</v>
          </cell>
          <cell r="J101">
            <v>0</v>
          </cell>
          <cell r="L101">
            <v>0</v>
          </cell>
        </row>
        <row r="102">
          <cell r="I102">
            <v>0</v>
          </cell>
          <cell r="J102">
            <v>0</v>
          </cell>
          <cell r="L102">
            <v>0</v>
          </cell>
        </row>
        <row r="103">
          <cell r="I103">
            <v>1781521</v>
          </cell>
          <cell r="J103">
            <v>20042111.25</v>
          </cell>
          <cell r="L103">
            <v>4150943.93</v>
          </cell>
        </row>
        <row r="104">
          <cell r="K104">
            <v>1500</v>
          </cell>
          <cell r="M104">
            <v>2992955.28</v>
          </cell>
        </row>
        <row r="105">
          <cell r="I105">
            <v>0</v>
          </cell>
          <cell r="J105">
            <v>0</v>
          </cell>
          <cell r="L105">
            <v>0</v>
          </cell>
        </row>
        <row r="106">
          <cell r="I106">
            <v>0</v>
          </cell>
          <cell r="J106">
            <v>0</v>
          </cell>
          <cell r="L106">
            <v>0</v>
          </cell>
        </row>
        <row r="107">
          <cell r="I107">
            <v>8263521</v>
          </cell>
          <cell r="J107">
            <v>64042287.75</v>
          </cell>
          <cell r="L107">
            <v>12477916.710000001</v>
          </cell>
        </row>
        <row r="108">
          <cell r="K108">
            <v>3711664</v>
          </cell>
          <cell r="M108">
            <v>9668319.5700000003</v>
          </cell>
        </row>
        <row r="109">
          <cell r="J109">
            <v>-12453248.82</v>
          </cell>
          <cell r="K109">
            <v>695656.08</v>
          </cell>
          <cell r="L109">
            <v>-2810349.9684000015</v>
          </cell>
          <cell r="M109">
            <v>-117199.16</v>
          </cell>
        </row>
        <row r="110">
          <cell r="I110">
            <v>414795260.67000002</v>
          </cell>
          <cell r="J110">
            <v>3051112789.6829991</v>
          </cell>
          <cell r="K110">
            <v>241150167.57000002</v>
          </cell>
          <cell r="L110">
            <v>630925700.37</v>
          </cell>
          <cell r="M110">
            <v>493332121.45999998</v>
          </cell>
        </row>
        <row r="111">
          <cell r="N111">
            <v>10622617.439999999</v>
          </cell>
        </row>
        <row r="112">
          <cell r="N112">
            <v>44681249.43</v>
          </cell>
        </row>
        <row r="113">
          <cell r="N113">
            <v>-227496.83</v>
          </cell>
        </row>
        <row r="114">
          <cell r="N114">
            <v>15592795.18</v>
          </cell>
        </row>
        <row r="115">
          <cell r="N115">
            <v>7662739.5</v>
          </cell>
        </row>
        <row r="117">
          <cell r="N117">
            <v>-18536438.59</v>
          </cell>
        </row>
        <row r="118">
          <cell r="N118">
            <v>-79051100.329999998</v>
          </cell>
        </row>
        <row r="119">
          <cell r="N119">
            <v>-427866.66</v>
          </cell>
        </row>
        <row r="120">
          <cell r="N120">
            <v>-2948729.7</v>
          </cell>
        </row>
        <row r="123">
          <cell r="N123">
            <v>24066670</v>
          </cell>
        </row>
        <row r="124">
          <cell r="N124">
            <v>17868327.690000001</v>
          </cell>
        </row>
        <row r="125">
          <cell r="N125">
            <v>12880768.189999999</v>
          </cell>
        </row>
        <row r="126">
          <cell r="N126">
            <v>-3188558.74</v>
          </cell>
        </row>
        <row r="127">
          <cell r="N127">
            <v>1565954</v>
          </cell>
        </row>
        <row r="128">
          <cell r="N128">
            <v>53193161.139999993</v>
          </cell>
        </row>
      </sheetData>
      <sheetData sheetId="5">
        <row r="5">
          <cell r="I5">
            <v>-130</v>
          </cell>
          <cell r="J5">
            <v>-57.2</v>
          </cell>
          <cell r="L5">
            <v>-15.6</v>
          </cell>
        </row>
        <row r="6">
          <cell r="I6">
            <v>-513</v>
          </cell>
          <cell r="J6">
            <v>-282.15000000000003</v>
          </cell>
          <cell r="L6">
            <v>-61.559999999999995</v>
          </cell>
        </row>
        <row r="7">
          <cell r="I7">
            <v>3120</v>
          </cell>
          <cell r="J7">
            <v>2496</v>
          </cell>
          <cell r="L7">
            <v>374.4</v>
          </cell>
        </row>
        <row r="8">
          <cell r="K8">
            <v>595.9</v>
          </cell>
          <cell r="M8">
            <v>0</v>
          </cell>
        </row>
        <row r="9">
          <cell r="I9">
            <v>-66092</v>
          </cell>
          <cell r="J9">
            <v>-136149.51999999999</v>
          </cell>
          <cell r="L9">
            <v>-36350.600000000006</v>
          </cell>
        </row>
        <row r="10">
          <cell r="I10">
            <v>-33196</v>
          </cell>
          <cell r="J10">
            <v>-126476.76</v>
          </cell>
          <cell r="L10">
            <v>-34191.879999999997</v>
          </cell>
        </row>
        <row r="11">
          <cell r="I11">
            <v>-8010</v>
          </cell>
          <cell r="J11">
            <v>-42933.600000000006</v>
          </cell>
          <cell r="L11">
            <v>-11534.4</v>
          </cell>
        </row>
        <row r="12">
          <cell r="I12">
            <v>-4553</v>
          </cell>
          <cell r="J12">
            <v>-31233.58</v>
          </cell>
          <cell r="L12">
            <v>-8423.0500000000011</v>
          </cell>
        </row>
        <row r="13">
          <cell r="I13">
            <v>-111682</v>
          </cell>
          <cell r="J13">
            <v>-273620.90000000002</v>
          </cell>
          <cell r="L13">
            <v>-61425.100000000006</v>
          </cell>
        </row>
        <row r="14">
          <cell r="I14">
            <v>-56042</v>
          </cell>
          <cell r="J14">
            <v>-252189</v>
          </cell>
          <cell r="L14">
            <v>-57723.26</v>
          </cell>
        </row>
        <row r="15">
          <cell r="I15">
            <v>-17775</v>
          </cell>
          <cell r="J15">
            <v>-112871.25</v>
          </cell>
          <cell r="L15">
            <v>-25596</v>
          </cell>
        </row>
        <row r="16">
          <cell r="I16">
            <v>-13561</v>
          </cell>
          <cell r="J16">
            <v>-108488</v>
          </cell>
          <cell r="L16">
            <v>-25087.850000000002</v>
          </cell>
        </row>
        <row r="17">
          <cell r="I17">
            <v>60286879</v>
          </cell>
          <cell r="J17">
            <v>159760229.34999999</v>
          </cell>
          <cell r="L17">
            <v>33157783.450000003</v>
          </cell>
        </row>
        <row r="18">
          <cell r="I18">
            <v>56102950</v>
          </cell>
          <cell r="J18">
            <v>300150782.5</v>
          </cell>
          <cell r="L18">
            <v>57786038.5</v>
          </cell>
        </row>
        <row r="19">
          <cell r="I19">
            <v>16171251</v>
          </cell>
          <cell r="J19">
            <v>121284382.5</v>
          </cell>
          <cell r="L19">
            <v>23286601.439999998</v>
          </cell>
        </row>
        <row r="20">
          <cell r="I20">
            <v>29880262</v>
          </cell>
          <cell r="J20">
            <v>285356502.10000002</v>
          </cell>
          <cell r="L20">
            <v>55278484.700000003</v>
          </cell>
        </row>
        <row r="24">
          <cell r="K24">
            <v>64094271.689999998</v>
          </cell>
          <cell r="M24">
            <v>121008500.54000001</v>
          </cell>
        </row>
        <row r="25">
          <cell r="I25">
            <v>-82169</v>
          </cell>
          <cell r="J25">
            <v>-451929.5</v>
          </cell>
          <cell r="L25">
            <v>-121610.12</v>
          </cell>
        </row>
        <row r="26">
          <cell r="I26">
            <v>-63644</v>
          </cell>
          <cell r="J26">
            <v>-519335.04000000004</v>
          </cell>
          <cell r="L26">
            <v>-140016.80000000002</v>
          </cell>
        </row>
        <row r="27">
          <cell r="I27">
            <v>-113234</v>
          </cell>
          <cell r="J27">
            <v>-741682.7</v>
          </cell>
          <cell r="L27">
            <v>-167586.32</v>
          </cell>
        </row>
        <row r="28">
          <cell r="I28">
            <v>-114833</v>
          </cell>
          <cell r="J28">
            <v>-1039238.6500000001</v>
          </cell>
          <cell r="L28">
            <v>-252632.60000000003</v>
          </cell>
        </row>
        <row r="29">
          <cell r="I29">
            <v>47067656</v>
          </cell>
          <cell r="J29">
            <v>350654037.19999999</v>
          </cell>
          <cell r="L29">
            <v>69660130.879999995</v>
          </cell>
        </row>
        <row r="30">
          <cell r="I30">
            <v>30670371</v>
          </cell>
          <cell r="J30">
            <v>306703710</v>
          </cell>
          <cell r="L30">
            <v>67474816.200000003</v>
          </cell>
        </row>
        <row r="32">
          <cell r="K32">
            <v>63389131.350000001</v>
          </cell>
          <cell r="M32">
            <v>128488906.3</v>
          </cell>
        </row>
        <row r="33">
          <cell r="I33">
            <v>0</v>
          </cell>
          <cell r="J33">
            <v>0</v>
          </cell>
          <cell r="L33">
            <v>0</v>
          </cell>
        </row>
        <row r="34">
          <cell r="I34">
            <v>-246</v>
          </cell>
          <cell r="J34">
            <v>-2078.6999999999998</v>
          </cell>
          <cell r="L34">
            <v>-528.9</v>
          </cell>
        </row>
        <row r="35">
          <cell r="I35">
            <v>20130385</v>
          </cell>
          <cell r="J35">
            <v>187212580.5</v>
          </cell>
          <cell r="L35">
            <v>43280327.75</v>
          </cell>
        </row>
        <row r="36">
          <cell r="K36">
            <v>20520296.350000001</v>
          </cell>
          <cell r="M36">
            <v>31805998.82</v>
          </cell>
        </row>
        <row r="37">
          <cell r="I37">
            <v>0</v>
          </cell>
          <cell r="J37">
            <v>0</v>
          </cell>
          <cell r="L37">
            <v>0</v>
          </cell>
        </row>
        <row r="38">
          <cell r="I38">
            <v>0</v>
          </cell>
          <cell r="J38">
            <v>0</v>
          </cell>
          <cell r="L38">
            <v>0</v>
          </cell>
        </row>
        <row r="39">
          <cell r="I39">
            <v>40073637</v>
          </cell>
          <cell r="J39">
            <v>388714278.89999998</v>
          </cell>
          <cell r="L39">
            <v>87360528.660000011</v>
          </cell>
        </row>
        <row r="40">
          <cell r="K40">
            <v>34938736.170000002</v>
          </cell>
          <cell r="M40">
            <v>64518555.57</v>
          </cell>
        </row>
        <row r="41">
          <cell r="I41">
            <v>-1719</v>
          </cell>
          <cell r="J41">
            <v>-8955.99</v>
          </cell>
          <cell r="L41">
            <v>-2406.6</v>
          </cell>
        </row>
        <row r="42">
          <cell r="I42">
            <v>-1509</v>
          </cell>
          <cell r="J42">
            <v>-10985.52</v>
          </cell>
          <cell r="L42">
            <v>-2957.64</v>
          </cell>
        </row>
        <row r="43">
          <cell r="I43">
            <v>-5579</v>
          </cell>
          <cell r="J43">
            <v>-31800.3</v>
          </cell>
          <cell r="L43">
            <v>-7810.5999999999995</v>
          </cell>
        </row>
        <row r="44">
          <cell r="I44">
            <v>-3525</v>
          </cell>
          <cell r="J44">
            <v>-27142.5</v>
          </cell>
          <cell r="L44">
            <v>-6909</v>
          </cell>
        </row>
        <row r="45">
          <cell r="I45">
            <v>1773543</v>
          </cell>
          <cell r="J45">
            <v>11261998.049999999</v>
          </cell>
          <cell r="L45">
            <v>2482960.1999999997</v>
          </cell>
        </row>
        <row r="46">
          <cell r="I46">
            <v>2049735</v>
          </cell>
          <cell r="J46">
            <v>17525234.25</v>
          </cell>
          <cell r="L46">
            <v>4017480.6</v>
          </cell>
        </row>
        <row r="48">
          <cell r="K48">
            <v>2747586.64</v>
          </cell>
          <cell r="M48">
            <v>6279900.96</v>
          </cell>
        </row>
        <row r="49">
          <cell r="I49">
            <v>0</v>
          </cell>
          <cell r="J49">
            <v>0</v>
          </cell>
          <cell r="L49">
            <v>0</v>
          </cell>
        </row>
        <row r="50">
          <cell r="I50">
            <v>0</v>
          </cell>
          <cell r="J50">
            <v>0</v>
          </cell>
          <cell r="L50">
            <v>0</v>
          </cell>
        </row>
        <row r="51">
          <cell r="I51">
            <v>4610705</v>
          </cell>
          <cell r="J51">
            <v>37346710.5</v>
          </cell>
          <cell r="L51">
            <v>8068733.75</v>
          </cell>
        </row>
        <row r="52">
          <cell r="K52">
            <v>4908436.3499999996</v>
          </cell>
          <cell r="M52">
            <v>5901702.4000000004</v>
          </cell>
        </row>
        <row r="53">
          <cell r="I53">
            <v>0</v>
          </cell>
          <cell r="J53">
            <v>0</v>
          </cell>
          <cell r="L53">
            <v>0</v>
          </cell>
        </row>
        <row r="54">
          <cell r="I54">
            <v>0</v>
          </cell>
          <cell r="J54">
            <v>0</v>
          </cell>
          <cell r="L54">
            <v>0</v>
          </cell>
        </row>
        <row r="55">
          <cell r="I55">
            <v>4036259</v>
          </cell>
          <cell r="J55">
            <v>33299136.75</v>
          </cell>
          <cell r="L55">
            <v>6942365.4799999995</v>
          </cell>
        </row>
        <row r="56">
          <cell r="K56">
            <v>2617123.59</v>
          </cell>
          <cell r="M56">
            <v>5004961.16</v>
          </cell>
        </row>
        <row r="57">
          <cell r="I57">
            <v>-10254</v>
          </cell>
          <cell r="J57">
            <v>-120484.5</v>
          </cell>
          <cell r="L57">
            <v>-32402.640000000003</v>
          </cell>
        </row>
        <row r="58">
          <cell r="I58">
            <v>-12923</v>
          </cell>
          <cell r="J58">
            <v>-174460.5</v>
          </cell>
          <cell r="L58">
            <v>-40836.68</v>
          </cell>
        </row>
        <row r="59">
          <cell r="I59">
            <v>125529</v>
          </cell>
          <cell r="J59">
            <v>1801341.15</v>
          </cell>
          <cell r="L59">
            <v>396671.64</v>
          </cell>
        </row>
        <row r="60">
          <cell r="K60">
            <v>327746.65000000002</v>
          </cell>
          <cell r="M60">
            <v>291196.40000000002</v>
          </cell>
        </row>
        <row r="61">
          <cell r="I61">
            <v>0</v>
          </cell>
          <cell r="J61">
            <v>0</v>
          </cell>
          <cell r="L61">
            <v>0</v>
          </cell>
        </row>
        <row r="62">
          <cell r="I62">
            <v>0</v>
          </cell>
          <cell r="J62">
            <v>0</v>
          </cell>
          <cell r="L62">
            <v>0</v>
          </cell>
        </row>
        <row r="63">
          <cell r="I63">
            <v>1979125.84</v>
          </cell>
          <cell r="J63">
            <v>15635094.136000002</v>
          </cell>
          <cell r="L63">
            <v>3008271.2768000001</v>
          </cell>
        </row>
        <row r="64">
          <cell r="K64">
            <v>1836745.08</v>
          </cell>
          <cell r="M64">
            <v>1959334.58</v>
          </cell>
        </row>
        <row r="65">
          <cell r="I65">
            <v>-35204</v>
          </cell>
          <cell r="J65">
            <v>-199254.64</v>
          </cell>
          <cell r="L65">
            <v>-53510.080000000002</v>
          </cell>
        </row>
        <row r="66">
          <cell r="I66">
            <v>-64009</v>
          </cell>
          <cell r="J66">
            <v>-432060.75</v>
          </cell>
          <cell r="L66">
            <v>-97293.680000000008</v>
          </cell>
        </row>
        <row r="67">
          <cell r="I67">
            <v>261732</v>
          </cell>
          <cell r="J67">
            <v>2067682.8</v>
          </cell>
          <cell r="L67">
            <v>397832.64</v>
          </cell>
        </row>
        <row r="68">
          <cell r="K68">
            <v>223173.06</v>
          </cell>
          <cell r="M68">
            <v>290935.67999999999</v>
          </cell>
        </row>
        <row r="69">
          <cell r="I69">
            <v>0</v>
          </cell>
          <cell r="J69">
            <v>0</v>
          </cell>
          <cell r="L69">
            <v>0</v>
          </cell>
        </row>
        <row r="70">
          <cell r="I70">
            <v>1601</v>
          </cell>
          <cell r="J70">
            <v>5603.5</v>
          </cell>
          <cell r="L70">
            <v>1392.87</v>
          </cell>
        </row>
        <row r="71">
          <cell r="I71">
            <v>7547</v>
          </cell>
          <cell r="J71">
            <v>33206.800000000003</v>
          </cell>
          <cell r="L71">
            <v>6565.89</v>
          </cell>
        </row>
        <row r="72">
          <cell r="K72">
            <v>5793.33</v>
          </cell>
          <cell r="M72">
            <v>6586.56</v>
          </cell>
        </row>
        <row r="73">
          <cell r="I73">
            <v>0</v>
          </cell>
          <cell r="J73">
            <v>0</v>
          </cell>
          <cell r="L73">
            <v>0</v>
          </cell>
        </row>
        <row r="74">
          <cell r="I74">
            <v>0</v>
          </cell>
          <cell r="J74">
            <v>0</v>
          </cell>
          <cell r="L74">
            <v>0</v>
          </cell>
        </row>
        <row r="75">
          <cell r="I75">
            <v>3243982</v>
          </cell>
          <cell r="J75">
            <v>37305793</v>
          </cell>
          <cell r="L75">
            <v>8207274.459999999</v>
          </cell>
        </row>
        <row r="76">
          <cell r="K76">
            <v>1930518.14</v>
          </cell>
          <cell r="M76">
            <v>6131125.9800000004</v>
          </cell>
        </row>
        <row r="77">
          <cell r="I77">
            <v>0</v>
          </cell>
          <cell r="J77">
            <v>0</v>
          </cell>
          <cell r="L77">
            <v>0</v>
          </cell>
        </row>
        <row r="78">
          <cell r="I78">
            <v>0</v>
          </cell>
          <cell r="J78">
            <v>0</v>
          </cell>
          <cell r="L78">
            <v>0</v>
          </cell>
        </row>
        <row r="79">
          <cell r="I79">
            <v>100922</v>
          </cell>
          <cell r="J79">
            <v>459195.1</v>
          </cell>
          <cell r="L79">
            <v>83765.259999999995</v>
          </cell>
        </row>
        <row r="80">
          <cell r="K80">
            <v>5800</v>
          </cell>
          <cell r="M80">
            <v>55507.1</v>
          </cell>
        </row>
        <row r="81">
          <cell r="I81">
            <v>0</v>
          </cell>
          <cell r="J81">
            <v>0</v>
          </cell>
          <cell r="L81">
            <v>0</v>
          </cell>
        </row>
        <row r="82">
          <cell r="I82">
            <v>-147</v>
          </cell>
          <cell r="J82">
            <v>-1073.0999999999999</v>
          </cell>
          <cell r="L82">
            <v>-269.01</v>
          </cell>
        </row>
        <row r="83">
          <cell r="I83">
            <v>1129762</v>
          </cell>
          <cell r="J83">
            <v>9377024.6000000015</v>
          </cell>
          <cell r="L83">
            <v>2067464.4600000002</v>
          </cell>
        </row>
        <row r="84">
          <cell r="K84">
            <v>528191.64</v>
          </cell>
          <cell r="M84">
            <v>1705718.65</v>
          </cell>
        </row>
        <row r="85">
          <cell r="I85">
            <v>0</v>
          </cell>
          <cell r="J85">
            <v>0</v>
          </cell>
          <cell r="L85">
            <v>0</v>
          </cell>
        </row>
        <row r="86">
          <cell r="I86">
            <v>0</v>
          </cell>
          <cell r="J86">
            <v>0</v>
          </cell>
          <cell r="L86">
            <v>0</v>
          </cell>
        </row>
        <row r="87">
          <cell r="I87">
            <v>6453558</v>
          </cell>
          <cell r="J87">
            <v>53564531.400000006</v>
          </cell>
          <cell r="L87">
            <v>11810011.140000001</v>
          </cell>
        </row>
        <row r="88">
          <cell r="K88">
            <v>4909292.8600000003</v>
          </cell>
          <cell r="M88">
            <v>9164052.3599999994</v>
          </cell>
        </row>
        <row r="89">
          <cell r="I89">
            <v>0</v>
          </cell>
          <cell r="J89">
            <v>0</v>
          </cell>
          <cell r="L89">
            <v>0</v>
          </cell>
        </row>
        <row r="90">
          <cell r="I90">
            <v>0</v>
          </cell>
          <cell r="J90">
            <v>0</v>
          </cell>
          <cell r="L90">
            <v>0</v>
          </cell>
        </row>
        <row r="91">
          <cell r="I91">
            <v>18481049</v>
          </cell>
          <cell r="J91">
            <v>147848392</v>
          </cell>
          <cell r="L91">
            <v>29384867.91</v>
          </cell>
        </row>
        <row r="92">
          <cell r="K92">
            <v>10123583.5</v>
          </cell>
          <cell r="M92">
            <v>20883585.370000001</v>
          </cell>
        </row>
        <row r="93">
          <cell r="I93">
            <v>0</v>
          </cell>
          <cell r="J93">
            <v>0</v>
          </cell>
          <cell r="L93">
            <v>0</v>
          </cell>
        </row>
        <row r="94">
          <cell r="I94">
            <v>0</v>
          </cell>
          <cell r="J94">
            <v>0</v>
          </cell>
          <cell r="L94">
            <v>0</v>
          </cell>
        </row>
        <row r="95">
          <cell r="I95">
            <v>31307508</v>
          </cell>
          <cell r="J95">
            <v>269244568.80000001</v>
          </cell>
          <cell r="L95">
            <v>53535838.68</v>
          </cell>
        </row>
        <row r="96">
          <cell r="K96">
            <v>18981329.100000001</v>
          </cell>
          <cell r="M96">
            <v>37255934.520000003</v>
          </cell>
        </row>
        <row r="97">
          <cell r="I97">
            <v>0</v>
          </cell>
          <cell r="J97">
            <v>0</v>
          </cell>
          <cell r="L97">
            <v>0</v>
          </cell>
        </row>
        <row r="98">
          <cell r="I98">
            <v>0</v>
          </cell>
          <cell r="J98">
            <v>0</v>
          </cell>
          <cell r="L98">
            <v>0</v>
          </cell>
        </row>
        <row r="99">
          <cell r="I99">
            <v>2875977</v>
          </cell>
          <cell r="J99">
            <v>17169582.689999998</v>
          </cell>
          <cell r="L99">
            <v>2617139.0700000003</v>
          </cell>
        </row>
        <row r="100">
          <cell r="K100">
            <v>1385041.55</v>
          </cell>
          <cell r="M100">
            <v>1898144.82</v>
          </cell>
        </row>
        <row r="101">
          <cell r="I101">
            <v>0</v>
          </cell>
          <cell r="J101">
            <v>0</v>
          </cell>
          <cell r="L101">
            <v>0</v>
          </cell>
        </row>
        <row r="102">
          <cell r="I102">
            <v>0</v>
          </cell>
          <cell r="J102">
            <v>0</v>
          </cell>
          <cell r="L102">
            <v>0</v>
          </cell>
        </row>
        <row r="103">
          <cell r="I103">
            <v>1068314</v>
          </cell>
          <cell r="J103">
            <v>12018532.5</v>
          </cell>
          <cell r="L103">
            <v>2489171.62</v>
          </cell>
        </row>
        <row r="104">
          <cell r="K104">
            <v>1575</v>
          </cell>
          <cell r="M104">
            <v>1794767.52</v>
          </cell>
        </row>
        <row r="105">
          <cell r="I105">
            <v>0</v>
          </cell>
          <cell r="J105">
            <v>0</v>
          </cell>
          <cell r="L105">
            <v>0</v>
          </cell>
        </row>
        <row r="106">
          <cell r="I106">
            <v>0</v>
          </cell>
          <cell r="J106">
            <v>0</v>
          </cell>
          <cell r="L106">
            <v>0</v>
          </cell>
        </row>
        <row r="107">
          <cell r="I107">
            <v>8500059</v>
          </cell>
          <cell r="J107">
            <v>65875457.25</v>
          </cell>
          <cell r="L107">
            <v>12835089.09</v>
          </cell>
        </row>
        <row r="108">
          <cell r="K108">
            <v>3931300</v>
          </cell>
          <cell r="M108">
            <v>9945069.0299999993</v>
          </cell>
        </row>
        <row r="109">
          <cell r="J109">
            <v>-8515157.6600000001</v>
          </cell>
          <cell r="K109">
            <v>-636827.04</v>
          </cell>
          <cell r="L109">
            <v>-2671351.9968001842</v>
          </cell>
          <cell r="M109">
            <v>-250041.03</v>
          </cell>
        </row>
        <row r="110">
          <cell r="I110">
            <v>387572869.84000003</v>
          </cell>
          <cell r="J110">
            <v>2818318142.316</v>
          </cell>
          <cell r="K110">
            <v>236769440.91</v>
          </cell>
          <cell r="L110">
            <v>581779450.04999995</v>
          </cell>
          <cell r="M110">
            <v>454140443.29000008</v>
          </cell>
        </row>
        <row r="111">
          <cell r="N111">
            <v>11300040.470000001</v>
          </cell>
        </row>
        <row r="112">
          <cell r="N112">
            <v>-46305114.840000004</v>
          </cell>
        </row>
        <row r="113">
          <cell r="N113">
            <v>-202169.19</v>
          </cell>
        </row>
        <row r="114">
          <cell r="N114">
            <v>14544384.07</v>
          </cell>
        </row>
        <row r="115">
          <cell r="N115">
            <v>5421712.5499999998</v>
          </cell>
        </row>
        <row r="117">
          <cell r="N117">
            <v>-17386442.469999999</v>
          </cell>
        </row>
        <row r="118">
          <cell r="N118">
            <v>-73284608.359999999</v>
          </cell>
        </row>
        <row r="119">
          <cell r="N119">
            <v>-438793.97</v>
          </cell>
        </row>
        <row r="120">
          <cell r="N120">
            <v>-2959706.76</v>
          </cell>
        </row>
        <row r="123">
          <cell r="N123">
            <v>24082484.670000002</v>
          </cell>
        </row>
        <row r="124">
          <cell r="N124">
            <v>18794491.43</v>
          </cell>
        </row>
        <row r="125">
          <cell r="N125">
            <v>9704966.9000000004</v>
          </cell>
        </row>
        <row r="126">
          <cell r="N126">
            <v>-2790982.86</v>
          </cell>
        </row>
        <row r="127">
          <cell r="N127">
            <v>2095809</v>
          </cell>
        </row>
        <row r="128">
          <cell r="N128">
            <v>51886769.140000001</v>
          </cell>
        </row>
      </sheetData>
      <sheetData sheetId="6">
        <row r="5">
          <cell r="I5">
            <v>-66</v>
          </cell>
          <cell r="J5">
            <v>-29.04</v>
          </cell>
          <cell r="L5">
            <v>-7.92</v>
          </cell>
        </row>
        <row r="6">
          <cell r="I6">
            <v>-118</v>
          </cell>
          <cell r="J6">
            <v>-64.900000000000006</v>
          </cell>
          <cell r="L6">
            <v>-14.16</v>
          </cell>
        </row>
        <row r="7">
          <cell r="I7">
            <v>3142</v>
          </cell>
          <cell r="J7">
            <v>2513.6000000000004</v>
          </cell>
          <cell r="L7">
            <v>377.03999999999996</v>
          </cell>
        </row>
        <row r="8">
          <cell r="D8">
            <v>223</v>
          </cell>
          <cell r="E8">
            <v>0</v>
          </cell>
          <cell r="K8">
            <v>592.70000000000005</v>
          </cell>
          <cell r="M8">
            <v>0</v>
          </cell>
        </row>
        <row r="9">
          <cell r="I9">
            <v>-28416</v>
          </cell>
          <cell r="J9">
            <v>-58536.959999999999</v>
          </cell>
          <cell r="L9">
            <v>-15628.800000000001</v>
          </cell>
        </row>
        <row r="10">
          <cell r="I10">
            <v>-20450</v>
          </cell>
          <cell r="J10">
            <v>-77914.5</v>
          </cell>
          <cell r="L10">
            <v>-21063.5</v>
          </cell>
        </row>
        <row r="11">
          <cell r="I11">
            <v>-4501</v>
          </cell>
          <cell r="J11">
            <v>-24125.360000000001</v>
          </cell>
          <cell r="L11">
            <v>-6481.44</v>
          </cell>
        </row>
        <row r="12">
          <cell r="I12">
            <v>-1989</v>
          </cell>
          <cell r="J12">
            <v>-13644.54</v>
          </cell>
          <cell r="L12">
            <v>-3679.65</v>
          </cell>
        </row>
        <row r="13">
          <cell r="I13">
            <v>-55165</v>
          </cell>
          <cell r="J13">
            <v>-135154.25</v>
          </cell>
          <cell r="L13">
            <v>-30340.750000000004</v>
          </cell>
        </row>
        <row r="14">
          <cell r="I14">
            <v>-28561</v>
          </cell>
          <cell r="J14">
            <v>-128524.5</v>
          </cell>
          <cell r="L14">
            <v>-29417.83</v>
          </cell>
        </row>
        <row r="15">
          <cell r="I15">
            <v>-2501</v>
          </cell>
          <cell r="J15">
            <v>-15881.349999999999</v>
          </cell>
          <cell r="L15">
            <v>-3601.44</v>
          </cell>
        </row>
        <row r="16">
          <cell r="I16">
            <v>9768</v>
          </cell>
          <cell r="J16">
            <v>78144</v>
          </cell>
          <cell r="L16">
            <v>18070.8</v>
          </cell>
        </row>
        <row r="17">
          <cell r="I17">
            <v>59339622</v>
          </cell>
          <cell r="J17">
            <v>157249998.29999998</v>
          </cell>
          <cell r="L17">
            <v>32636792.100000001</v>
          </cell>
        </row>
        <row r="18">
          <cell r="I18">
            <v>49438455</v>
          </cell>
          <cell r="J18">
            <v>264495734.24999997</v>
          </cell>
          <cell r="L18">
            <v>50921608.649999999</v>
          </cell>
        </row>
        <row r="19">
          <cell r="I19">
            <v>13370345</v>
          </cell>
          <cell r="J19">
            <v>100277587.5</v>
          </cell>
          <cell r="L19">
            <v>19253296.800000001</v>
          </cell>
        </row>
        <row r="20">
          <cell r="I20">
            <v>25234981</v>
          </cell>
          <cell r="J20">
            <v>240994068.55000001</v>
          </cell>
          <cell r="L20">
            <v>46684714.850000001</v>
          </cell>
        </row>
        <row r="21">
          <cell r="D21">
            <v>243578</v>
          </cell>
          <cell r="E21">
            <v>13771</v>
          </cell>
        </row>
        <row r="22">
          <cell r="D22">
            <v>353178</v>
          </cell>
          <cell r="E22">
            <v>23328</v>
          </cell>
        </row>
        <row r="23">
          <cell r="D23">
            <v>49108</v>
          </cell>
          <cell r="E23">
            <v>18633</v>
          </cell>
        </row>
        <row r="24">
          <cell r="D24">
            <v>12710</v>
          </cell>
          <cell r="E24">
            <v>29037</v>
          </cell>
          <cell r="K24">
            <v>63075774.509999998</v>
          </cell>
          <cell r="M24">
            <v>106557789.2</v>
          </cell>
        </row>
        <row r="25">
          <cell r="I25">
            <v>-34251</v>
          </cell>
          <cell r="J25">
            <v>-188380.5</v>
          </cell>
          <cell r="L25">
            <v>-50691.479999999996</v>
          </cell>
        </row>
        <row r="26">
          <cell r="I26">
            <v>-21353</v>
          </cell>
          <cell r="J26">
            <v>-174240.48</v>
          </cell>
          <cell r="L26">
            <v>-46976.600000000006</v>
          </cell>
        </row>
        <row r="27">
          <cell r="I27">
            <v>-43643</v>
          </cell>
          <cell r="J27">
            <v>-285861.64999999997</v>
          </cell>
          <cell r="L27">
            <v>-64591.64</v>
          </cell>
        </row>
        <row r="28">
          <cell r="I28">
            <v>-16434</v>
          </cell>
          <cell r="J28">
            <v>-148727.70000000001</v>
          </cell>
          <cell r="L28">
            <v>-36154.800000000003</v>
          </cell>
        </row>
        <row r="29">
          <cell r="I29">
            <v>44143083</v>
          </cell>
          <cell r="J29">
            <v>328865968.35000002</v>
          </cell>
          <cell r="L29">
            <v>65331762.839999996</v>
          </cell>
        </row>
        <row r="30">
          <cell r="I30">
            <v>26488286</v>
          </cell>
          <cell r="J30">
            <v>264882860</v>
          </cell>
          <cell r="L30">
            <v>58274229.200000003</v>
          </cell>
        </row>
        <row r="31">
          <cell r="D31">
            <v>198597</v>
          </cell>
          <cell r="E31">
            <v>22443</v>
          </cell>
        </row>
        <row r="32">
          <cell r="D32">
            <v>14807</v>
          </cell>
          <cell r="E32">
            <v>21638</v>
          </cell>
          <cell r="K32">
            <v>63355689.75</v>
          </cell>
          <cell r="M32">
            <v>114801448.09999999</v>
          </cell>
        </row>
        <row r="33">
          <cell r="I33">
            <v>0</v>
          </cell>
          <cell r="J33">
            <v>0</v>
          </cell>
          <cell r="L33">
            <v>0</v>
          </cell>
        </row>
        <row r="34">
          <cell r="I34">
            <v>0</v>
          </cell>
          <cell r="J34">
            <v>0</v>
          </cell>
          <cell r="L34">
            <v>0</v>
          </cell>
        </row>
        <row r="35">
          <cell r="I35">
            <v>19182896</v>
          </cell>
          <cell r="J35">
            <v>178400932.80000001</v>
          </cell>
          <cell r="L35">
            <v>41243226.399999999</v>
          </cell>
        </row>
        <row r="36">
          <cell r="D36">
            <v>49</v>
          </cell>
          <cell r="E36">
            <v>5841</v>
          </cell>
          <cell r="K36">
            <v>20077635.77</v>
          </cell>
          <cell r="M36">
            <v>30308975.68</v>
          </cell>
        </row>
        <row r="37">
          <cell r="I37">
            <v>0</v>
          </cell>
          <cell r="J37">
            <v>0</v>
          </cell>
          <cell r="L37">
            <v>0</v>
          </cell>
        </row>
        <row r="38">
          <cell r="I38">
            <v>0</v>
          </cell>
          <cell r="J38">
            <v>0</v>
          </cell>
          <cell r="L38">
            <v>0</v>
          </cell>
        </row>
        <row r="39">
          <cell r="I39">
            <v>38513180</v>
          </cell>
          <cell r="J39">
            <v>373577846</v>
          </cell>
          <cell r="L39">
            <v>83958732.400000006</v>
          </cell>
        </row>
        <row r="40">
          <cell r="D40">
            <v>0</v>
          </cell>
          <cell r="E40">
            <v>2694</v>
          </cell>
          <cell r="K40">
            <v>34657432.649999999</v>
          </cell>
          <cell r="M40">
            <v>62006219.799999997</v>
          </cell>
        </row>
        <row r="41">
          <cell r="I41">
            <v>-214</v>
          </cell>
          <cell r="J41">
            <v>-1114.94</v>
          </cell>
          <cell r="L41">
            <v>-299.59999999999997</v>
          </cell>
        </row>
        <row r="42">
          <cell r="I42">
            <v>0</v>
          </cell>
          <cell r="J42">
            <v>0</v>
          </cell>
          <cell r="L42">
            <v>0</v>
          </cell>
        </row>
        <row r="43">
          <cell r="I43">
            <v>-177</v>
          </cell>
          <cell r="J43">
            <v>-1008.9</v>
          </cell>
          <cell r="L43">
            <v>-247.79999999999998</v>
          </cell>
        </row>
        <row r="44">
          <cell r="I44">
            <v>0</v>
          </cell>
          <cell r="J44">
            <v>0</v>
          </cell>
          <cell r="L44">
            <v>0</v>
          </cell>
        </row>
        <row r="45">
          <cell r="I45">
            <v>1719332</v>
          </cell>
          <cell r="J45">
            <v>10917758.199999999</v>
          </cell>
          <cell r="L45">
            <v>2407064.7999999998</v>
          </cell>
        </row>
        <row r="46">
          <cell r="I46">
            <v>1750620</v>
          </cell>
          <cell r="J46">
            <v>14967801.000000002</v>
          </cell>
          <cell r="L46">
            <v>3431215.1999999997</v>
          </cell>
        </row>
        <row r="47">
          <cell r="D47">
            <v>2377</v>
          </cell>
          <cell r="E47">
            <v>3429</v>
          </cell>
        </row>
        <row r="48">
          <cell r="D48">
            <v>101</v>
          </cell>
          <cell r="E48">
            <v>2030</v>
          </cell>
          <cell r="K48">
            <v>2722959.97</v>
          </cell>
          <cell r="M48">
            <v>5569801.3600000003</v>
          </cell>
        </row>
        <row r="49">
          <cell r="I49">
            <v>0</v>
          </cell>
          <cell r="J49">
            <v>0</v>
          </cell>
          <cell r="L49">
            <v>0</v>
          </cell>
        </row>
        <row r="50">
          <cell r="I50">
            <v>0</v>
          </cell>
          <cell r="J50">
            <v>0</v>
          </cell>
          <cell r="L50">
            <v>0</v>
          </cell>
        </row>
        <row r="51">
          <cell r="I51">
            <v>4307731</v>
          </cell>
          <cell r="J51">
            <v>34892621.100000001</v>
          </cell>
          <cell r="L51">
            <v>7538529.25</v>
          </cell>
        </row>
        <row r="52">
          <cell r="D52">
            <v>11</v>
          </cell>
          <cell r="E52">
            <v>1129</v>
          </cell>
          <cell r="K52">
            <v>4889112.3099999996</v>
          </cell>
          <cell r="M52">
            <v>5513895.6799999997</v>
          </cell>
        </row>
        <row r="53">
          <cell r="I53">
            <v>0</v>
          </cell>
          <cell r="J53">
            <v>0</v>
          </cell>
          <cell r="L53">
            <v>0</v>
          </cell>
        </row>
        <row r="54">
          <cell r="I54">
            <v>0</v>
          </cell>
          <cell r="J54">
            <v>0</v>
          </cell>
          <cell r="L54">
            <v>0</v>
          </cell>
        </row>
        <row r="55">
          <cell r="I55">
            <v>3955037</v>
          </cell>
          <cell r="J55">
            <v>32629055.25</v>
          </cell>
          <cell r="L55">
            <v>6802663.6399999997</v>
          </cell>
        </row>
        <row r="56">
          <cell r="D56">
            <v>0</v>
          </cell>
          <cell r="E56">
            <v>116</v>
          </cell>
          <cell r="K56">
            <v>2591492.2400000002</v>
          </cell>
          <cell r="M56">
            <v>4904245.88</v>
          </cell>
        </row>
        <row r="57">
          <cell r="I57">
            <v>0</v>
          </cell>
          <cell r="J57">
            <v>0</v>
          </cell>
          <cell r="L57">
            <v>0</v>
          </cell>
        </row>
        <row r="58">
          <cell r="I58">
            <v>46</v>
          </cell>
          <cell r="J58">
            <v>621</v>
          </cell>
          <cell r="L58">
            <v>145.36000000000001</v>
          </cell>
        </row>
        <row r="59">
          <cell r="I59">
            <v>129925</v>
          </cell>
          <cell r="J59">
            <v>1864423.75</v>
          </cell>
          <cell r="L59">
            <v>410563</v>
          </cell>
        </row>
        <row r="60">
          <cell r="D60">
            <v>724</v>
          </cell>
          <cell r="E60">
            <v>125</v>
          </cell>
          <cell r="K60">
            <v>327666.65000000002</v>
          </cell>
          <cell r="M60">
            <v>298025.18</v>
          </cell>
        </row>
        <row r="61">
          <cell r="I61">
            <v>0</v>
          </cell>
          <cell r="J61">
            <v>0</v>
          </cell>
          <cell r="L61">
            <v>0</v>
          </cell>
        </row>
        <row r="62">
          <cell r="I62">
            <v>0</v>
          </cell>
          <cell r="J62">
            <v>0</v>
          </cell>
          <cell r="L62">
            <v>0</v>
          </cell>
        </row>
        <row r="63">
          <cell r="I63">
            <v>2043200.4</v>
          </cell>
          <cell r="J63">
            <v>16141283.16</v>
          </cell>
          <cell r="L63">
            <v>3105664.608</v>
          </cell>
        </row>
        <row r="64">
          <cell r="K64">
            <v>3645869.09</v>
          </cell>
          <cell r="M64">
            <v>755984.15</v>
          </cell>
        </row>
        <row r="65">
          <cell r="I65">
            <v>0</v>
          </cell>
          <cell r="J65">
            <v>0</v>
          </cell>
          <cell r="L65">
            <v>0</v>
          </cell>
        </row>
        <row r="66">
          <cell r="I66">
            <v>0</v>
          </cell>
          <cell r="J66">
            <v>0</v>
          </cell>
          <cell r="L66">
            <v>0</v>
          </cell>
        </row>
        <row r="67">
          <cell r="I67">
            <v>278581</v>
          </cell>
          <cell r="J67">
            <v>2200789.9</v>
          </cell>
          <cell r="L67">
            <v>423443.12</v>
          </cell>
        </row>
        <row r="68">
          <cell r="D68">
            <v>587</v>
          </cell>
          <cell r="E68">
            <v>129</v>
          </cell>
          <cell r="K68">
            <v>229221.28</v>
          </cell>
          <cell r="M68">
            <v>312010.71999999997</v>
          </cell>
        </row>
        <row r="69">
          <cell r="I69">
            <v>0</v>
          </cell>
          <cell r="J69">
            <v>0</v>
          </cell>
          <cell r="L69">
            <v>0</v>
          </cell>
        </row>
        <row r="70">
          <cell r="I70">
            <v>0</v>
          </cell>
          <cell r="J70">
            <v>0</v>
          </cell>
          <cell r="L70">
            <v>0</v>
          </cell>
        </row>
        <row r="71">
          <cell r="I71">
            <v>1155073</v>
          </cell>
          <cell r="J71">
            <v>5082321.2</v>
          </cell>
          <cell r="L71">
            <v>1004913.51</v>
          </cell>
        </row>
        <row r="72">
          <cell r="D72">
            <v>3</v>
          </cell>
          <cell r="E72">
            <v>2</v>
          </cell>
          <cell r="K72">
            <v>212573.34</v>
          </cell>
          <cell r="M72">
            <v>831652.56</v>
          </cell>
        </row>
        <row r="73">
          <cell r="I73">
            <v>579</v>
          </cell>
          <cell r="J73">
            <v>5436.81</v>
          </cell>
          <cell r="L73">
            <v>1464.87</v>
          </cell>
        </row>
        <row r="74">
          <cell r="I74">
            <v>9235</v>
          </cell>
          <cell r="J74">
            <v>96967.5</v>
          </cell>
          <cell r="L74">
            <v>23364.55</v>
          </cell>
        </row>
        <row r="75">
          <cell r="I75">
            <v>2789277</v>
          </cell>
          <cell r="J75">
            <v>32076685.5</v>
          </cell>
          <cell r="L75">
            <v>7056870.8099999996</v>
          </cell>
        </row>
        <row r="76">
          <cell r="D76">
            <v>163</v>
          </cell>
          <cell r="E76">
            <v>1474</v>
          </cell>
          <cell r="K76">
            <v>1931314.99</v>
          </cell>
          <cell r="M76">
            <v>5299280.28</v>
          </cell>
        </row>
        <row r="77">
          <cell r="I77">
            <v>0</v>
          </cell>
          <cell r="J77">
            <v>0</v>
          </cell>
          <cell r="L77">
            <v>0</v>
          </cell>
        </row>
        <row r="78">
          <cell r="I78">
            <v>0</v>
          </cell>
          <cell r="J78">
            <v>0</v>
          </cell>
          <cell r="L78">
            <v>0</v>
          </cell>
        </row>
        <row r="79">
          <cell r="I79">
            <v>96551</v>
          </cell>
          <cell r="J79">
            <v>439307.05</v>
          </cell>
          <cell r="L79">
            <v>80137.33</v>
          </cell>
        </row>
        <row r="80">
          <cell r="D80">
            <v>9</v>
          </cell>
          <cell r="E80">
            <v>20</v>
          </cell>
          <cell r="K80">
            <v>5906.67</v>
          </cell>
          <cell r="M80">
            <v>53103.05</v>
          </cell>
        </row>
        <row r="81">
          <cell r="I81">
            <v>-68</v>
          </cell>
          <cell r="J81">
            <v>-462.4</v>
          </cell>
          <cell r="L81">
            <v>-124.44</v>
          </cell>
        </row>
        <row r="82">
          <cell r="I82">
            <v>-866</v>
          </cell>
          <cell r="J82">
            <v>-6321.8</v>
          </cell>
          <cell r="L82">
            <v>-1584.78</v>
          </cell>
        </row>
        <row r="83">
          <cell r="I83">
            <v>1040913</v>
          </cell>
          <cell r="J83">
            <v>8639577.9000000004</v>
          </cell>
          <cell r="L83">
            <v>1904870.79</v>
          </cell>
        </row>
        <row r="84">
          <cell r="D84">
            <v>1486</v>
          </cell>
          <cell r="E84">
            <v>680</v>
          </cell>
          <cell r="K84">
            <v>531666.68000000005</v>
          </cell>
          <cell r="M84">
            <v>1571721.25</v>
          </cell>
        </row>
        <row r="85">
          <cell r="I85">
            <v>0</v>
          </cell>
          <cell r="J85">
            <v>0</v>
          </cell>
          <cell r="L85">
            <v>0</v>
          </cell>
        </row>
        <row r="86">
          <cell r="I86">
            <v>0</v>
          </cell>
          <cell r="J86">
            <v>0</v>
          </cell>
          <cell r="L86">
            <v>0</v>
          </cell>
        </row>
        <row r="87">
          <cell r="I87">
            <v>6332250</v>
          </cell>
          <cell r="J87">
            <v>52557675.000000007</v>
          </cell>
          <cell r="L87">
            <v>11588017.5</v>
          </cell>
        </row>
        <row r="88">
          <cell r="D88">
            <v>2</v>
          </cell>
          <cell r="E88">
            <v>515</v>
          </cell>
          <cell r="K88">
            <v>5021335.88</v>
          </cell>
          <cell r="M88">
            <v>8991795</v>
          </cell>
        </row>
        <row r="89">
          <cell r="I89">
            <v>0</v>
          </cell>
          <cell r="J89">
            <v>0</v>
          </cell>
          <cell r="L89">
            <v>0</v>
          </cell>
        </row>
        <row r="90">
          <cell r="I90">
            <v>0</v>
          </cell>
          <cell r="J90">
            <v>0</v>
          </cell>
          <cell r="L90">
            <v>0</v>
          </cell>
        </row>
        <row r="91">
          <cell r="I91">
            <v>16602484</v>
          </cell>
          <cell r="J91">
            <v>132819872</v>
          </cell>
          <cell r="L91">
            <v>26397949.560000002</v>
          </cell>
        </row>
        <row r="92">
          <cell r="D92">
            <v>0</v>
          </cell>
          <cell r="E92">
            <v>41</v>
          </cell>
          <cell r="K92">
            <v>9693517.5</v>
          </cell>
          <cell r="M92">
            <v>18760806.920000002</v>
          </cell>
        </row>
        <row r="93">
          <cell r="I93">
            <v>0</v>
          </cell>
          <cell r="J93">
            <v>0</v>
          </cell>
          <cell r="L93">
            <v>0</v>
          </cell>
        </row>
        <row r="94">
          <cell r="I94">
            <v>0</v>
          </cell>
          <cell r="J94">
            <v>0</v>
          </cell>
          <cell r="L94">
            <v>0</v>
          </cell>
        </row>
        <row r="95">
          <cell r="I95">
            <v>30026834</v>
          </cell>
          <cell r="J95">
            <v>258230772.39999998</v>
          </cell>
          <cell r="L95">
            <v>51345886.140000001</v>
          </cell>
        </row>
        <row r="96">
          <cell r="D96">
            <v>0</v>
          </cell>
          <cell r="E96">
            <v>103</v>
          </cell>
          <cell r="K96">
            <v>19197306.100000001</v>
          </cell>
          <cell r="M96">
            <v>35731932.460000001</v>
          </cell>
        </row>
        <row r="97">
          <cell r="I97">
            <v>0</v>
          </cell>
          <cell r="J97">
            <v>0</v>
          </cell>
          <cell r="L97">
            <v>0</v>
          </cell>
        </row>
        <row r="98">
          <cell r="I98">
            <v>0</v>
          </cell>
          <cell r="J98">
            <v>0</v>
          </cell>
          <cell r="L98">
            <v>0</v>
          </cell>
        </row>
        <row r="99">
          <cell r="I99">
            <v>2886175</v>
          </cell>
          <cell r="J99">
            <v>17230464.75</v>
          </cell>
          <cell r="L99">
            <v>2626419.25</v>
          </cell>
        </row>
        <row r="100">
          <cell r="D100">
            <v>0</v>
          </cell>
          <cell r="E100">
            <v>12</v>
          </cell>
          <cell r="K100">
            <v>1378293.43</v>
          </cell>
          <cell r="M100">
            <v>1904875.5</v>
          </cell>
        </row>
        <row r="101">
          <cell r="I101">
            <v>0</v>
          </cell>
          <cell r="J101">
            <v>0</v>
          </cell>
          <cell r="L101">
            <v>0</v>
          </cell>
        </row>
        <row r="102">
          <cell r="I102">
            <v>0</v>
          </cell>
          <cell r="J102">
            <v>0</v>
          </cell>
          <cell r="L102">
            <v>0</v>
          </cell>
        </row>
        <row r="103">
          <cell r="I103">
            <v>632975</v>
          </cell>
          <cell r="J103">
            <v>7120968.75</v>
          </cell>
          <cell r="L103">
            <v>1474831.75</v>
          </cell>
        </row>
        <row r="104">
          <cell r="D104">
            <v>0</v>
          </cell>
          <cell r="E104">
            <v>6</v>
          </cell>
          <cell r="K104">
            <v>1500</v>
          </cell>
          <cell r="M104">
            <v>1063398</v>
          </cell>
        </row>
        <row r="105">
          <cell r="I105">
            <v>0</v>
          </cell>
          <cell r="J105">
            <v>0</v>
          </cell>
          <cell r="L105">
            <v>0</v>
          </cell>
        </row>
        <row r="106">
          <cell r="I106">
            <v>0</v>
          </cell>
          <cell r="J106">
            <v>0</v>
          </cell>
          <cell r="L106">
            <v>0</v>
          </cell>
        </row>
        <row r="107">
          <cell r="I107">
            <v>8897562</v>
          </cell>
          <cell r="J107">
            <v>68956105.5</v>
          </cell>
          <cell r="L107">
            <v>13435318.619999999</v>
          </cell>
        </row>
        <row r="108">
          <cell r="D108">
            <v>0</v>
          </cell>
          <cell r="E108">
            <v>17</v>
          </cell>
          <cell r="K108">
            <v>3944924</v>
          </cell>
          <cell r="M108">
            <v>10410147.539999999</v>
          </cell>
        </row>
        <row r="109">
          <cell r="J109">
            <v>-34903064.82</v>
          </cell>
          <cell r="K109">
            <v>579977.49</v>
          </cell>
          <cell r="L109">
            <v>-9284616.7080000639</v>
          </cell>
          <cell r="M109">
            <v>-5474036.4199999999</v>
          </cell>
        </row>
        <row r="110">
          <cell r="I110">
            <v>360119365.39999998</v>
          </cell>
          <cell r="J110">
            <v>2569533102.48</v>
          </cell>
          <cell r="K110">
            <v>238071763</v>
          </cell>
          <cell r="L110">
            <v>529786621.39999998</v>
          </cell>
          <cell r="M110">
            <v>410173071.88999999</v>
          </cell>
        </row>
        <row r="111">
          <cell r="N111">
            <v>11013088.289999999</v>
          </cell>
        </row>
        <row r="112">
          <cell r="N112">
            <v>-130667712.91</v>
          </cell>
        </row>
        <row r="113">
          <cell r="N113">
            <v>-772444.86</v>
          </cell>
        </row>
        <row r="114">
          <cell r="N114">
            <v>13210695.060000001</v>
          </cell>
        </row>
        <row r="115">
          <cell r="N115">
            <v>5843501.0800000001</v>
          </cell>
        </row>
        <row r="117">
          <cell r="N117">
            <v>-15237460.109999999</v>
          </cell>
        </row>
        <row r="118">
          <cell r="N118">
            <v>-71281898.870000005</v>
          </cell>
        </row>
        <row r="119">
          <cell r="N119">
            <v>-446249.19</v>
          </cell>
        </row>
        <row r="120">
          <cell r="N120">
            <v>-3274401.26</v>
          </cell>
        </row>
        <row r="123">
          <cell r="N123">
            <v>24084065.329999998</v>
          </cell>
        </row>
        <row r="124">
          <cell r="N124">
            <v>18509656.059999999</v>
          </cell>
        </row>
        <row r="125">
          <cell r="N125">
            <v>13003224.720000001</v>
          </cell>
        </row>
        <row r="126">
          <cell r="N126">
            <v>-1985420.15</v>
          </cell>
        </row>
        <row r="127">
          <cell r="N127">
            <v>1314565</v>
          </cell>
        </row>
        <row r="128">
          <cell r="N128">
            <v>54926090.960000001</v>
          </cell>
        </row>
      </sheetData>
      <sheetData sheetId="7">
        <row r="5">
          <cell r="I5">
            <v>0</v>
          </cell>
          <cell r="J5">
            <v>0</v>
          </cell>
          <cell r="L5">
            <v>0</v>
          </cell>
        </row>
        <row r="6">
          <cell r="I6">
            <v>0</v>
          </cell>
          <cell r="J6">
            <v>0</v>
          </cell>
          <cell r="L6">
            <v>0</v>
          </cell>
        </row>
        <row r="7">
          <cell r="I7">
            <v>3525</v>
          </cell>
          <cell r="J7">
            <v>2820</v>
          </cell>
          <cell r="L7">
            <v>423</v>
          </cell>
        </row>
        <row r="8">
          <cell r="K8">
            <v>579.79999999999995</v>
          </cell>
          <cell r="M8">
            <v>0</v>
          </cell>
        </row>
        <row r="9">
          <cell r="I9">
            <v>-12851</v>
          </cell>
          <cell r="J9">
            <v>-26473.06</v>
          </cell>
          <cell r="L9">
            <v>-7068.05</v>
          </cell>
        </row>
        <row r="10">
          <cell r="I10">
            <v>-7326</v>
          </cell>
          <cell r="J10">
            <v>-27912.06</v>
          </cell>
          <cell r="L10">
            <v>-7545.78</v>
          </cell>
        </row>
        <row r="11">
          <cell r="I11">
            <v>-1457</v>
          </cell>
          <cell r="J11">
            <v>-7809.52</v>
          </cell>
          <cell r="L11">
            <v>-2098.08</v>
          </cell>
        </row>
        <row r="12">
          <cell r="I12">
            <v>810</v>
          </cell>
          <cell r="J12">
            <v>5556.6</v>
          </cell>
          <cell r="L12">
            <v>1498.5</v>
          </cell>
        </row>
        <row r="13">
          <cell r="I13">
            <v>-21362</v>
          </cell>
          <cell r="J13">
            <v>-52336.9</v>
          </cell>
          <cell r="L13">
            <v>-11749.1</v>
          </cell>
        </row>
        <row r="14">
          <cell r="I14">
            <v>-9506</v>
          </cell>
          <cell r="J14">
            <v>-42777</v>
          </cell>
          <cell r="L14">
            <v>-9791.18</v>
          </cell>
        </row>
        <row r="15">
          <cell r="I15">
            <v>-2285</v>
          </cell>
          <cell r="J15">
            <v>-14509.75</v>
          </cell>
          <cell r="L15">
            <v>-3290.4</v>
          </cell>
        </row>
        <row r="16">
          <cell r="I16">
            <v>88729</v>
          </cell>
          <cell r="J16">
            <v>709832</v>
          </cell>
          <cell r="L16">
            <v>164148.65</v>
          </cell>
        </row>
        <row r="17">
          <cell r="I17">
            <v>60312235</v>
          </cell>
          <cell r="J17">
            <v>159827422.75</v>
          </cell>
          <cell r="L17">
            <v>33171729.250000004</v>
          </cell>
        </row>
        <row r="18">
          <cell r="I18">
            <v>56235659</v>
          </cell>
          <cell r="J18">
            <v>300860775.64999998</v>
          </cell>
          <cell r="L18">
            <v>57922728.770000003</v>
          </cell>
        </row>
        <row r="19">
          <cell r="I19">
            <v>17870272</v>
          </cell>
          <cell r="J19">
            <v>134027040</v>
          </cell>
          <cell r="L19">
            <v>25733191.68</v>
          </cell>
        </row>
        <row r="20">
          <cell r="I20">
            <v>31042344</v>
          </cell>
          <cell r="J20">
            <v>296454385.20000005</v>
          </cell>
          <cell r="L20">
            <v>57428336.400000006</v>
          </cell>
        </row>
        <row r="24">
          <cell r="K24">
            <v>64233522.840000004</v>
          </cell>
          <cell r="M24">
            <v>124482334.55</v>
          </cell>
        </row>
        <row r="25">
          <cell r="I25">
            <v>-6699</v>
          </cell>
          <cell r="J25">
            <v>-36844.5</v>
          </cell>
          <cell r="L25">
            <v>-9914.52</v>
          </cell>
        </row>
        <row r="26">
          <cell r="I26">
            <v>138</v>
          </cell>
          <cell r="J26">
            <v>1126.08</v>
          </cell>
          <cell r="L26">
            <v>303.60000000000002</v>
          </cell>
        </row>
        <row r="27">
          <cell r="I27">
            <v>-18408</v>
          </cell>
          <cell r="J27">
            <v>-120572.4</v>
          </cell>
          <cell r="L27">
            <v>-27243.84</v>
          </cell>
        </row>
        <row r="28">
          <cell r="I28">
            <v>-6710</v>
          </cell>
          <cell r="J28">
            <v>-60725.500000000007</v>
          </cell>
          <cell r="L28">
            <v>-14762.000000000002</v>
          </cell>
        </row>
        <row r="29">
          <cell r="I29">
            <v>47189122</v>
          </cell>
          <cell r="J29">
            <v>351558958.90000004</v>
          </cell>
          <cell r="L29">
            <v>69839900.560000002</v>
          </cell>
        </row>
        <row r="30">
          <cell r="I30">
            <v>30337758</v>
          </cell>
          <cell r="J30">
            <v>303377580</v>
          </cell>
          <cell r="L30">
            <v>66743067.600000009</v>
          </cell>
        </row>
        <row r="32">
          <cell r="K32">
            <v>63334206.270000003</v>
          </cell>
          <cell r="M32">
            <v>127770768.3</v>
          </cell>
        </row>
        <row r="33">
          <cell r="I33">
            <v>0</v>
          </cell>
          <cell r="J33">
            <v>0</v>
          </cell>
          <cell r="L33">
            <v>0</v>
          </cell>
        </row>
        <row r="34">
          <cell r="I34">
            <v>0</v>
          </cell>
          <cell r="J34">
            <v>0</v>
          </cell>
          <cell r="L34">
            <v>0</v>
          </cell>
        </row>
        <row r="35">
          <cell r="I35">
            <v>19813702</v>
          </cell>
          <cell r="J35">
            <v>184267428.60000002</v>
          </cell>
          <cell r="L35">
            <v>42599459.299999997</v>
          </cell>
        </row>
        <row r="36">
          <cell r="K36">
            <v>20423598.300000001</v>
          </cell>
          <cell r="M36">
            <v>31305649.16</v>
          </cell>
        </row>
        <row r="37">
          <cell r="I37">
            <v>0</v>
          </cell>
          <cell r="J37">
            <v>0</v>
          </cell>
          <cell r="L37">
            <v>0</v>
          </cell>
        </row>
        <row r="38">
          <cell r="I38">
            <v>0</v>
          </cell>
          <cell r="J38">
            <v>0</v>
          </cell>
          <cell r="L38">
            <v>0</v>
          </cell>
        </row>
        <row r="39">
          <cell r="I39">
            <v>39479907</v>
          </cell>
          <cell r="J39">
            <v>382955097.89999998</v>
          </cell>
          <cell r="L39">
            <v>86066197.260000005</v>
          </cell>
        </row>
        <row r="40">
          <cell r="K40">
            <v>35171423.240000002</v>
          </cell>
          <cell r="M40">
            <v>63562650.270000003</v>
          </cell>
        </row>
        <row r="41">
          <cell r="I41">
            <v>0</v>
          </cell>
          <cell r="J41">
            <v>0</v>
          </cell>
          <cell r="L41">
            <v>0</v>
          </cell>
        </row>
        <row r="42">
          <cell r="I42">
            <v>0</v>
          </cell>
          <cell r="J42">
            <v>0</v>
          </cell>
          <cell r="L42">
            <v>0</v>
          </cell>
        </row>
        <row r="43">
          <cell r="I43">
            <v>0</v>
          </cell>
          <cell r="J43">
            <v>0</v>
          </cell>
          <cell r="L43">
            <v>0</v>
          </cell>
        </row>
        <row r="44">
          <cell r="I44">
            <v>0</v>
          </cell>
          <cell r="J44">
            <v>0</v>
          </cell>
          <cell r="L44">
            <v>0</v>
          </cell>
        </row>
        <row r="45">
          <cell r="I45">
            <v>1772653</v>
          </cell>
          <cell r="J45">
            <v>11256346.549999999</v>
          </cell>
          <cell r="L45">
            <v>2481714.1999999997</v>
          </cell>
        </row>
        <row r="46">
          <cell r="I46">
            <v>2033268</v>
          </cell>
          <cell r="J46">
            <v>17384441.400000002</v>
          </cell>
          <cell r="L46">
            <v>3985205.28</v>
          </cell>
        </row>
        <row r="48">
          <cell r="K48">
            <v>2729831.6</v>
          </cell>
          <cell r="M48">
            <v>6234676.5599999996</v>
          </cell>
        </row>
        <row r="49">
          <cell r="I49">
            <v>0</v>
          </cell>
          <cell r="J49">
            <v>0</v>
          </cell>
          <cell r="L49">
            <v>0</v>
          </cell>
        </row>
        <row r="50">
          <cell r="I50">
            <v>0</v>
          </cell>
          <cell r="J50">
            <v>0</v>
          </cell>
          <cell r="L50">
            <v>0</v>
          </cell>
        </row>
        <row r="51">
          <cell r="I51">
            <v>4498798</v>
          </cell>
          <cell r="J51">
            <v>36440263.799999997</v>
          </cell>
          <cell r="L51">
            <v>7872896.5</v>
          </cell>
        </row>
        <row r="52">
          <cell r="K52">
            <v>4937149.93</v>
          </cell>
          <cell r="M52">
            <v>5758461.4400000004</v>
          </cell>
        </row>
        <row r="53">
          <cell r="I53">
            <v>0</v>
          </cell>
          <cell r="J53">
            <v>0</v>
          </cell>
          <cell r="L53">
            <v>0</v>
          </cell>
        </row>
        <row r="54">
          <cell r="I54">
            <v>0</v>
          </cell>
          <cell r="J54">
            <v>0</v>
          </cell>
          <cell r="L54">
            <v>0</v>
          </cell>
        </row>
        <row r="55">
          <cell r="I55">
            <v>4064872</v>
          </cell>
          <cell r="J55">
            <v>33535194</v>
          </cell>
          <cell r="L55">
            <v>6991579.8399999999</v>
          </cell>
        </row>
        <row r="56">
          <cell r="K56">
            <v>2600558.84</v>
          </cell>
          <cell r="M56">
            <v>5040441.28</v>
          </cell>
        </row>
        <row r="57">
          <cell r="I57">
            <v>0</v>
          </cell>
          <cell r="J57">
            <v>0</v>
          </cell>
          <cell r="L57">
            <v>0</v>
          </cell>
        </row>
        <row r="58">
          <cell r="I58">
            <v>-682</v>
          </cell>
          <cell r="J58">
            <v>-9207</v>
          </cell>
          <cell r="L58">
            <v>-2155.12</v>
          </cell>
        </row>
        <row r="59">
          <cell r="I59">
            <v>121026</v>
          </cell>
          <cell r="J59">
            <v>1736723.0999999999</v>
          </cell>
          <cell r="L59">
            <v>382442.16000000003</v>
          </cell>
        </row>
        <row r="60">
          <cell r="K60">
            <v>326093.33</v>
          </cell>
          <cell r="M60">
            <v>277302.96999999997</v>
          </cell>
        </row>
        <row r="61">
          <cell r="I61">
            <v>0</v>
          </cell>
          <cell r="J61">
            <v>0</v>
          </cell>
          <cell r="L61">
            <v>0</v>
          </cell>
        </row>
        <row r="62">
          <cell r="I62">
            <v>0</v>
          </cell>
          <cell r="J62">
            <v>0</v>
          </cell>
          <cell r="L62">
            <v>0</v>
          </cell>
        </row>
        <row r="63">
          <cell r="I63">
            <v>2135491.9900000002</v>
          </cell>
          <cell r="J63">
            <v>16870386.721000001</v>
          </cell>
          <cell r="L63">
            <v>3245947.8248000005</v>
          </cell>
        </row>
        <row r="64">
          <cell r="K64">
            <v>1642240.5</v>
          </cell>
          <cell r="M64">
            <v>1815168.19</v>
          </cell>
        </row>
        <row r="65">
          <cell r="I65">
            <v>-916</v>
          </cell>
          <cell r="J65">
            <v>-5184.5600000000004</v>
          </cell>
          <cell r="L65">
            <v>-1392.32</v>
          </cell>
        </row>
        <row r="66">
          <cell r="I66">
            <v>-807</v>
          </cell>
          <cell r="J66">
            <v>-5447.25</v>
          </cell>
          <cell r="L66">
            <v>-1226.6400000000001</v>
          </cell>
        </row>
        <row r="67">
          <cell r="I67">
            <v>303869</v>
          </cell>
          <cell r="J67">
            <v>2400565.1</v>
          </cell>
          <cell r="L67">
            <v>461880.88</v>
          </cell>
        </row>
        <row r="68">
          <cell r="K68">
            <v>231323.88</v>
          </cell>
          <cell r="M68">
            <v>340285.12</v>
          </cell>
        </row>
        <row r="69">
          <cell r="I69">
            <v>0</v>
          </cell>
          <cell r="J69">
            <v>0</v>
          </cell>
          <cell r="L69">
            <v>0</v>
          </cell>
        </row>
        <row r="70">
          <cell r="I70">
            <v>1499</v>
          </cell>
          <cell r="J70">
            <v>5246.5</v>
          </cell>
          <cell r="L70">
            <v>1304.1299999999999</v>
          </cell>
        </row>
        <row r="71">
          <cell r="I71">
            <v>737034</v>
          </cell>
          <cell r="J71">
            <v>3242949.6</v>
          </cell>
          <cell r="L71">
            <v>641219.57999999996</v>
          </cell>
        </row>
        <row r="72">
          <cell r="K72">
            <v>200713.29</v>
          </cell>
          <cell r="M72">
            <v>531743.76</v>
          </cell>
        </row>
        <row r="73">
          <cell r="I73">
            <v>0</v>
          </cell>
          <cell r="J73">
            <v>0</v>
          </cell>
          <cell r="L73">
            <v>0</v>
          </cell>
        </row>
        <row r="74">
          <cell r="I74">
            <v>12</v>
          </cell>
          <cell r="J74">
            <v>126</v>
          </cell>
          <cell r="L74">
            <v>30.36</v>
          </cell>
        </row>
        <row r="75">
          <cell r="I75">
            <v>3012779</v>
          </cell>
          <cell r="J75">
            <v>34646958.5</v>
          </cell>
          <cell r="L75">
            <v>7622330.8699999992</v>
          </cell>
        </row>
        <row r="76">
          <cell r="K76">
            <v>1944576.65</v>
          </cell>
          <cell r="M76">
            <v>5694174.9900000002</v>
          </cell>
        </row>
        <row r="77">
          <cell r="I77">
            <v>0</v>
          </cell>
          <cell r="J77">
            <v>0</v>
          </cell>
          <cell r="L77">
            <v>0</v>
          </cell>
        </row>
        <row r="78">
          <cell r="I78">
            <v>0</v>
          </cell>
          <cell r="J78">
            <v>0</v>
          </cell>
          <cell r="L78">
            <v>0</v>
          </cell>
        </row>
        <row r="79">
          <cell r="I79">
            <v>86220</v>
          </cell>
          <cell r="J79">
            <v>392301</v>
          </cell>
          <cell r="L79">
            <v>71562.599999999991</v>
          </cell>
        </row>
        <row r="80">
          <cell r="K80">
            <v>6000</v>
          </cell>
          <cell r="M80">
            <v>47421</v>
          </cell>
        </row>
        <row r="81">
          <cell r="I81">
            <v>0</v>
          </cell>
          <cell r="J81">
            <v>0</v>
          </cell>
          <cell r="L81">
            <v>0</v>
          </cell>
        </row>
        <row r="82">
          <cell r="I82">
            <v>97</v>
          </cell>
          <cell r="J82">
            <v>708.1</v>
          </cell>
          <cell r="L82">
            <v>177.51000000000002</v>
          </cell>
        </row>
        <row r="83">
          <cell r="I83">
            <v>1136486</v>
          </cell>
          <cell r="J83">
            <v>9432833.8000000007</v>
          </cell>
          <cell r="L83">
            <v>2079769.3800000001</v>
          </cell>
        </row>
        <row r="84">
          <cell r="K84">
            <v>532791.67000000004</v>
          </cell>
          <cell r="M84">
            <v>1716269.02</v>
          </cell>
        </row>
        <row r="85">
          <cell r="I85">
            <v>0</v>
          </cell>
          <cell r="J85">
            <v>0</v>
          </cell>
          <cell r="L85">
            <v>0</v>
          </cell>
        </row>
        <row r="86">
          <cell r="I86">
            <v>0</v>
          </cell>
          <cell r="J86">
            <v>0</v>
          </cell>
          <cell r="L86">
            <v>0</v>
          </cell>
        </row>
        <row r="87">
          <cell r="I87">
            <v>6427058</v>
          </cell>
          <cell r="J87">
            <v>53344581.400000006</v>
          </cell>
          <cell r="L87">
            <v>11761516.140000001</v>
          </cell>
        </row>
        <row r="88">
          <cell r="K88">
            <v>5183397.32</v>
          </cell>
          <cell r="M88">
            <v>9126422.3599999994</v>
          </cell>
        </row>
        <row r="89">
          <cell r="I89">
            <v>0</v>
          </cell>
          <cell r="J89">
            <v>0</v>
          </cell>
          <cell r="L89">
            <v>0</v>
          </cell>
        </row>
        <row r="90">
          <cell r="I90">
            <v>0</v>
          </cell>
          <cell r="J90">
            <v>0</v>
          </cell>
          <cell r="L90">
            <v>0</v>
          </cell>
        </row>
        <row r="91">
          <cell r="I91">
            <v>16065817</v>
          </cell>
          <cell r="J91">
            <v>128526536</v>
          </cell>
          <cell r="L91">
            <v>25544649.030000001</v>
          </cell>
        </row>
        <row r="92">
          <cell r="K92">
            <v>9785601.5</v>
          </cell>
          <cell r="M92">
            <v>18154373.210000001</v>
          </cell>
        </row>
        <row r="93">
          <cell r="I93">
            <v>0</v>
          </cell>
          <cell r="J93">
            <v>0</v>
          </cell>
          <cell r="L93">
            <v>0</v>
          </cell>
        </row>
        <row r="94">
          <cell r="I94">
            <v>0</v>
          </cell>
          <cell r="J94">
            <v>0</v>
          </cell>
          <cell r="L94">
            <v>0</v>
          </cell>
        </row>
        <row r="95">
          <cell r="I95">
            <v>30417710</v>
          </cell>
          <cell r="J95">
            <v>261592306</v>
          </cell>
          <cell r="L95">
            <v>52014284.100000001</v>
          </cell>
        </row>
        <row r="96">
          <cell r="K96">
            <v>19088232.100000001</v>
          </cell>
          <cell r="M96">
            <v>36197074.899999999</v>
          </cell>
        </row>
        <row r="97">
          <cell r="I97">
            <v>0</v>
          </cell>
          <cell r="J97">
            <v>0</v>
          </cell>
          <cell r="L97">
            <v>0</v>
          </cell>
        </row>
        <row r="98">
          <cell r="I98">
            <v>0</v>
          </cell>
          <cell r="J98">
            <v>0</v>
          </cell>
          <cell r="L98">
            <v>0</v>
          </cell>
        </row>
        <row r="99">
          <cell r="I99">
            <v>2827776</v>
          </cell>
          <cell r="J99">
            <v>16881822.719999999</v>
          </cell>
          <cell r="L99">
            <v>2573276.1600000001</v>
          </cell>
        </row>
        <row r="100">
          <cell r="K100">
            <v>1386017.6</v>
          </cell>
          <cell r="M100">
            <v>1866332.1599999999</v>
          </cell>
        </row>
        <row r="101">
          <cell r="I101">
            <v>0</v>
          </cell>
          <cell r="J101">
            <v>0</v>
          </cell>
          <cell r="L101">
            <v>0</v>
          </cell>
        </row>
        <row r="102">
          <cell r="I102">
            <v>0</v>
          </cell>
          <cell r="J102">
            <v>0</v>
          </cell>
          <cell r="L102">
            <v>0</v>
          </cell>
        </row>
        <row r="103">
          <cell r="I103">
            <v>638875</v>
          </cell>
          <cell r="J103">
            <v>7187343.75</v>
          </cell>
          <cell r="L103">
            <v>1488578.75</v>
          </cell>
        </row>
        <row r="104">
          <cell r="K104">
            <v>1500</v>
          </cell>
          <cell r="M104">
            <v>1073310</v>
          </cell>
        </row>
        <row r="105">
          <cell r="I105">
            <v>0</v>
          </cell>
          <cell r="J105">
            <v>0</v>
          </cell>
          <cell r="L105">
            <v>0</v>
          </cell>
        </row>
        <row r="106">
          <cell r="I106">
            <v>0</v>
          </cell>
          <cell r="J106">
            <v>0</v>
          </cell>
          <cell r="L106">
            <v>0</v>
          </cell>
        </row>
        <row r="107">
          <cell r="I107">
            <v>8909720</v>
          </cell>
          <cell r="J107">
            <v>69050330</v>
          </cell>
          <cell r="L107">
            <v>13453677.199999999</v>
          </cell>
        </row>
        <row r="108">
          <cell r="K108">
            <v>4016952</v>
          </cell>
          <cell r="M108">
            <v>10424372.4</v>
          </cell>
        </row>
        <row r="109">
          <cell r="J109">
            <v>-12517200.32</v>
          </cell>
          <cell r="K109">
            <v>1727044.25</v>
          </cell>
          <cell r="L109">
            <v>-3141531.5248000622</v>
          </cell>
          <cell r="M109">
            <v>-921354.66</v>
          </cell>
        </row>
        <row r="110">
          <cell r="I110">
            <v>387476252.99000001</v>
          </cell>
          <cell r="J110">
            <v>2805048987.901</v>
          </cell>
          <cell r="K110">
            <v>239503354.91000003</v>
          </cell>
          <cell r="L110">
            <v>579105258.50999999</v>
          </cell>
          <cell r="M110">
            <v>450497876.97999996</v>
          </cell>
        </row>
        <row r="111">
          <cell r="N111">
            <v>10744442.73</v>
          </cell>
        </row>
        <row r="112">
          <cell r="N112">
            <v>-213895902.53999999</v>
          </cell>
        </row>
        <row r="113">
          <cell r="N113">
            <v>-248023.71</v>
          </cell>
        </row>
        <row r="114">
          <cell r="N114">
            <v>14203737.560000001</v>
          </cell>
        </row>
        <row r="115">
          <cell r="N115">
            <v>5684075.4199999999</v>
          </cell>
        </row>
        <row r="117">
          <cell r="N117">
            <v>-14138805.060000001</v>
          </cell>
        </row>
        <row r="118">
          <cell r="N118">
            <v>-72763940.540000007</v>
          </cell>
        </row>
        <row r="119">
          <cell r="N119">
            <v>-434177.34</v>
          </cell>
        </row>
        <row r="120">
          <cell r="N120">
            <v>-2483040.09</v>
          </cell>
        </row>
        <row r="123">
          <cell r="N123">
            <v>24069200.57</v>
          </cell>
        </row>
        <row r="124">
          <cell r="N124">
            <v>17168943.02</v>
          </cell>
        </row>
        <row r="125">
          <cell r="N125">
            <v>11901755.380000001</v>
          </cell>
        </row>
        <row r="126">
          <cell r="N126">
            <v>-3391774.04</v>
          </cell>
        </row>
        <row r="127">
          <cell r="N127">
            <v>1526456</v>
          </cell>
        </row>
        <row r="128">
          <cell r="N128">
            <v>51274580.930000007</v>
          </cell>
        </row>
      </sheetData>
      <sheetData sheetId="8">
        <row r="5">
          <cell r="I5">
            <v>0</v>
          </cell>
          <cell r="J5">
            <v>0</v>
          </cell>
          <cell r="L5">
            <v>0</v>
          </cell>
        </row>
        <row r="6">
          <cell r="I6">
            <v>0</v>
          </cell>
          <cell r="J6">
            <v>0</v>
          </cell>
          <cell r="L6">
            <v>0</v>
          </cell>
        </row>
        <row r="7">
          <cell r="I7">
            <v>3615</v>
          </cell>
          <cell r="J7">
            <v>2892</v>
          </cell>
          <cell r="L7">
            <v>433.8</v>
          </cell>
        </row>
        <row r="8">
          <cell r="K8">
            <v>568.29999999999995</v>
          </cell>
          <cell r="M8">
            <v>0</v>
          </cell>
        </row>
        <row r="9">
          <cell r="I9">
            <v>-4977</v>
          </cell>
          <cell r="J9">
            <v>-10252.620000000001</v>
          </cell>
          <cell r="L9">
            <v>-2737.3500000000004</v>
          </cell>
        </row>
        <row r="10">
          <cell r="I10">
            <v>-3513</v>
          </cell>
          <cell r="J10">
            <v>-13384.53</v>
          </cell>
          <cell r="L10">
            <v>-3618.39</v>
          </cell>
        </row>
        <row r="11">
          <cell r="I11">
            <v>-1187</v>
          </cell>
          <cell r="J11">
            <v>-6362.3200000000006</v>
          </cell>
          <cell r="L11">
            <v>-1709.28</v>
          </cell>
        </row>
        <row r="12">
          <cell r="I12">
            <v>1101</v>
          </cell>
          <cell r="J12">
            <v>7552.8600000000006</v>
          </cell>
          <cell r="L12">
            <v>2036.8500000000001</v>
          </cell>
        </row>
        <row r="13">
          <cell r="I13">
            <v>-6605</v>
          </cell>
          <cell r="J13">
            <v>-16182.250000000002</v>
          </cell>
          <cell r="L13">
            <v>-3632.7500000000005</v>
          </cell>
        </row>
        <row r="14">
          <cell r="I14">
            <v>-1659</v>
          </cell>
          <cell r="J14">
            <v>-7465.5</v>
          </cell>
          <cell r="L14">
            <v>-1708.77</v>
          </cell>
        </row>
        <row r="15">
          <cell r="I15">
            <v>-965</v>
          </cell>
          <cell r="J15">
            <v>-6127.75</v>
          </cell>
          <cell r="L15">
            <v>-1389.6</v>
          </cell>
        </row>
        <row r="16">
          <cell r="I16">
            <v>8269</v>
          </cell>
          <cell r="J16">
            <v>66152</v>
          </cell>
          <cell r="L16">
            <v>15297.650000000001</v>
          </cell>
        </row>
        <row r="17">
          <cell r="I17">
            <v>60887238</v>
          </cell>
          <cell r="J17">
            <v>161351180.69999999</v>
          </cell>
          <cell r="L17">
            <v>33487980.900000002</v>
          </cell>
        </row>
        <row r="18">
          <cell r="I18">
            <v>60385274</v>
          </cell>
          <cell r="J18">
            <v>323061215.89999998</v>
          </cell>
          <cell r="L18">
            <v>62196832.219999999</v>
          </cell>
        </row>
        <row r="19">
          <cell r="I19">
            <v>19946239</v>
          </cell>
          <cell r="J19">
            <v>149596792.5</v>
          </cell>
          <cell r="L19">
            <v>28722584.16</v>
          </cell>
        </row>
        <row r="20">
          <cell r="I20">
            <v>35708001</v>
          </cell>
          <cell r="J20">
            <v>341011409.55000001</v>
          </cell>
          <cell r="L20">
            <v>66059801.850000001</v>
          </cell>
        </row>
        <row r="24">
          <cell r="K24">
            <v>65021153.590000004</v>
          </cell>
          <cell r="M24">
            <v>136114129.69</v>
          </cell>
        </row>
        <row r="25">
          <cell r="I25">
            <v>-9297</v>
          </cell>
          <cell r="J25">
            <v>-51133.5</v>
          </cell>
          <cell r="L25">
            <v>-13759.56</v>
          </cell>
        </row>
        <row r="26">
          <cell r="I26">
            <v>-919</v>
          </cell>
          <cell r="J26">
            <v>-7499.04</v>
          </cell>
          <cell r="L26">
            <v>-2021.8000000000002</v>
          </cell>
        </row>
        <row r="27">
          <cell r="I27">
            <v>-17434</v>
          </cell>
          <cell r="J27">
            <v>-114192.7</v>
          </cell>
          <cell r="L27">
            <v>-25802.32</v>
          </cell>
        </row>
        <row r="28">
          <cell r="I28">
            <v>-584</v>
          </cell>
          <cell r="J28">
            <v>-5285.2000000000007</v>
          </cell>
          <cell r="L28">
            <v>-1284.8000000000002</v>
          </cell>
        </row>
        <row r="29">
          <cell r="I29">
            <v>48146825</v>
          </cell>
          <cell r="J29">
            <v>358693846.25</v>
          </cell>
          <cell r="L29">
            <v>71257301</v>
          </cell>
        </row>
        <row r="30">
          <cell r="I30">
            <v>31947755</v>
          </cell>
          <cell r="J30">
            <v>319477550</v>
          </cell>
          <cell r="L30">
            <v>70285061</v>
          </cell>
        </row>
        <row r="32">
          <cell r="K32">
            <v>63454297.969999999</v>
          </cell>
          <cell r="M32">
            <v>132884491.59999999</v>
          </cell>
        </row>
        <row r="33">
          <cell r="I33">
            <v>-1160</v>
          </cell>
          <cell r="J33">
            <v>-9280</v>
          </cell>
          <cell r="L33">
            <v>-2494</v>
          </cell>
        </row>
        <row r="34">
          <cell r="I34">
            <v>174</v>
          </cell>
          <cell r="J34">
            <v>1470.3</v>
          </cell>
          <cell r="L34">
            <v>374.09999999999997</v>
          </cell>
        </row>
        <row r="35">
          <cell r="I35">
            <v>20115846</v>
          </cell>
          <cell r="J35">
            <v>187077367.80000001</v>
          </cell>
          <cell r="L35">
            <v>43249068.899999999</v>
          </cell>
        </row>
        <row r="36">
          <cell r="K36">
            <v>20899595.559999999</v>
          </cell>
          <cell r="M36">
            <v>31796540.940000001</v>
          </cell>
        </row>
        <row r="37">
          <cell r="I37">
            <v>0</v>
          </cell>
          <cell r="J37">
            <v>0</v>
          </cell>
          <cell r="L37">
            <v>0</v>
          </cell>
        </row>
        <row r="38">
          <cell r="I38">
            <v>0</v>
          </cell>
          <cell r="J38">
            <v>0</v>
          </cell>
          <cell r="L38">
            <v>0</v>
          </cell>
        </row>
        <row r="39">
          <cell r="I39">
            <v>39529759</v>
          </cell>
          <cell r="J39">
            <v>383438662.29999995</v>
          </cell>
          <cell r="L39">
            <v>86174874.620000005</v>
          </cell>
        </row>
        <row r="40">
          <cell r="K40">
            <v>35642699.979999997</v>
          </cell>
          <cell r="M40">
            <v>63642911.990000002</v>
          </cell>
        </row>
        <row r="41">
          <cell r="I41">
            <v>0</v>
          </cell>
          <cell r="J41">
            <v>0</v>
          </cell>
          <cell r="L41">
            <v>0</v>
          </cell>
        </row>
        <row r="42">
          <cell r="I42">
            <v>0</v>
          </cell>
          <cell r="J42">
            <v>0</v>
          </cell>
          <cell r="L42">
            <v>0</v>
          </cell>
        </row>
        <row r="43">
          <cell r="I43">
            <v>0</v>
          </cell>
          <cell r="J43">
            <v>0</v>
          </cell>
          <cell r="L43">
            <v>0</v>
          </cell>
        </row>
        <row r="44">
          <cell r="I44">
            <v>0</v>
          </cell>
          <cell r="J44">
            <v>0</v>
          </cell>
          <cell r="L44">
            <v>0</v>
          </cell>
        </row>
        <row r="45">
          <cell r="I45">
            <v>1757112</v>
          </cell>
          <cell r="J45">
            <v>11157661.199999999</v>
          </cell>
          <cell r="L45">
            <v>2459956.7999999998</v>
          </cell>
        </row>
        <row r="46">
          <cell r="I46">
            <v>1960031</v>
          </cell>
          <cell r="J46">
            <v>16758265.050000001</v>
          </cell>
          <cell r="L46">
            <v>3841660.76</v>
          </cell>
        </row>
        <row r="48">
          <cell r="K48">
            <v>2794198.27</v>
          </cell>
          <cell r="M48">
            <v>6060727.4400000004</v>
          </cell>
        </row>
        <row r="49">
          <cell r="I49">
            <v>0</v>
          </cell>
          <cell r="J49">
            <v>0</v>
          </cell>
          <cell r="L49">
            <v>0</v>
          </cell>
        </row>
        <row r="50">
          <cell r="I50">
            <v>0</v>
          </cell>
          <cell r="J50">
            <v>0</v>
          </cell>
          <cell r="L50">
            <v>0</v>
          </cell>
        </row>
        <row r="51">
          <cell r="I51">
            <v>4262683</v>
          </cell>
          <cell r="J51">
            <v>34527732.299999997</v>
          </cell>
          <cell r="L51">
            <v>7459695.25</v>
          </cell>
        </row>
        <row r="52">
          <cell r="K52">
            <v>4922803.99</v>
          </cell>
          <cell r="M52">
            <v>5456234.2400000002</v>
          </cell>
        </row>
        <row r="53">
          <cell r="I53">
            <v>0</v>
          </cell>
          <cell r="J53">
            <v>0</v>
          </cell>
          <cell r="L53">
            <v>0</v>
          </cell>
        </row>
        <row r="54">
          <cell r="I54">
            <v>0</v>
          </cell>
          <cell r="J54">
            <v>0</v>
          </cell>
          <cell r="L54">
            <v>0</v>
          </cell>
        </row>
        <row r="55">
          <cell r="I55">
            <v>4031024</v>
          </cell>
          <cell r="J55">
            <v>33255948</v>
          </cell>
          <cell r="L55">
            <v>6933361.2800000003</v>
          </cell>
        </row>
        <row r="56">
          <cell r="K56">
            <v>2605343.04</v>
          </cell>
          <cell r="M56">
            <v>4998469.76</v>
          </cell>
        </row>
        <row r="57">
          <cell r="I57">
            <v>115</v>
          </cell>
          <cell r="J57">
            <v>1351.25</v>
          </cell>
          <cell r="L57">
            <v>363.40000000000003</v>
          </cell>
        </row>
        <row r="58">
          <cell r="I58">
            <v>134</v>
          </cell>
          <cell r="J58">
            <v>1809</v>
          </cell>
          <cell r="L58">
            <v>423.44</v>
          </cell>
        </row>
        <row r="59">
          <cell r="I59">
            <v>139379</v>
          </cell>
          <cell r="J59">
            <v>2000088.65</v>
          </cell>
          <cell r="L59">
            <v>440437.64</v>
          </cell>
        </row>
        <row r="60">
          <cell r="K60">
            <v>326986.65000000002</v>
          </cell>
          <cell r="M60">
            <v>327302.83</v>
          </cell>
        </row>
        <row r="61">
          <cell r="I61">
            <v>0</v>
          </cell>
          <cell r="J61">
            <v>0</v>
          </cell>
          <cell r="L61">
            <v>0</v>
          </cell>
        </row>
        <row r="62">
          <cell r="I62">
            <v>0</v>
          </cell>
          <cell r="J62">
            <v>0</v>
          </cell>
          <cell r="L62">
            <v>0</v>
          </cell>
        </row>
        <row r="63">
          <cell r="I63">
            <v>2297469.84</v>
          </cell>
          <cell r="J63">
            <v>18150011.736000001</v>
          </cell>
          <cell r="L63">
            <v>3492154.1568</v>
          </cell>
        </row>
        <row r="64">
          <cell r="K64">
            <v>1814300.41</v>
          </cell>
          <cell r="M64">
            <v>2894811.99</v>
          </cell>
        </row>
        <row r="65">
          <cell r="I65">
            <v>308</v>
          </cell>
          <cell r="J65">
            <v>1743.28</v>
          </cell>
          <cell r="L65">
            <v>468.16</v>
          </cell>
        </row>
        <row r="66">
          <cell r="I66">
            <v>1431</v>
          </cell>
          <cell r="J66">
            <v>9659.25</v>
          </cell>
          <cell r="L66">
            <v>2175.12</v>
          </cell>
        </row>
        <row r="67">
          <cell r="I67">
            <v>321017</v>
          </cell>
          <cell r="J67">
            <v>2536034.3000000003</v>
          </cell>
          <cell r="L67">
            <v>487945.84</v>
          </cell>
        </row>
        <row r="68">
          <cell r="K68">
            <v>232825.98</v>
          </cell>
          <cell r="M68">
            <v>361531.52</v>
          </cell>
        </row>
        <row r="69">
          <cell r="I69">
            <v>208</v>
          </cell>
          <cell r="J69">
            <v>671.84</v>
          </cell>
          <cell r="L69">
            <v>180.96</v>
          </cell>
        </row>
        <row r="70">
          <cell r="I70">
            <v>0</v>
          </cell>
          <cell r="J70">
            <v>0</v>
          </cell>
          <cell r="L70">
            <v>0</v>
          </cell>
        </row>
        <row r="71">
          <cell r="I71">
            <v>119458</v>
          </cell>
          <cell r="J71">
            <v>525615.20000000007</v>
          </cell>
          <cell r="L71">
            <v>103928.46</v>
          </cell>
        </row>
        <row r="72">
          <cell r="K72">
            <v>49853.42</v>
          </cell>
          <cell r="M72">
            <v>86009.76</v>
          </cell>
        </row>
        <row r="73">
          <cell r="I73">
            <v>0</v>
          </cell>
          <cell r="J73">
            <v>0</v>
          </cell>
          <cell r="L73">
            <v>0</v>
          </cell>
        </row>
        <row r="74">
          <cell r="I74">
            <v>-10920</v>
          </cell>
          <cell r="J74">
            <v>-114660</v>
          </cell>
          <cell r="L74">
            <v>-27627.599999999999</v>
          </cell>
        </row>
        <row r="75">
          <cell r="I75">
            <v>2870841</v>
          </cell>
          <cell r="J75">
            <v>33014671.5</v>
          </cell>
          <cell r="L75">
            <v>7263227.7299999995</v>
          </cell>
        </row>
        <row r="76">
          <cell r="K76">
            <v>2022178.29</v>
          </cell>
          <cell r="M76">
            <v>5419387.8899999997</v>
          </cell>
        </row>
        <row r="77">
          <cell r="I77">
            <v>0</v>
          </cell>
          <cell r="J77">
            <v>0</v>
          </cell>
          <cell r="L77">
            <v>0</v>
          </cell>
        </row>
        <row r="78">
          <cell r="I78">
            <v>0</v>
          </cell>
          <cell r="J78">
            <v>0</v>
          </cell>
          <cell r="L78">
            <v>0</v>
          </cell>
        </row>
        <row r="79">
          <cell r="I79">
            <v>83287</v>
          </cell>
          <cell r="J79">
            <v>378955.85</v>
          </cell>
          <cell r="L79">
            <v>69128.209999999992</v>
          </cell>
        </row>
        <row r="80">
          <cell r="K80">
            <v>6000</v>
          </cell>
          <cell r="M80">
            <v>45807.85</v>
          </cell>
        </row>
        <row r="81">
          <cell r="I81">
            <v>0</v>
          </cell>
          <cell r="J81">
            <v>0</v>
          </cell>
          <cell r="L81">
            <v>0</v>
          </cell>
        </row>
        <row r="82">
          <cell r="I82">
            <v>0</v>
          </cell>
          <cell r="J82">
            <v>0</v>
          </cell>
          <cell r="L82">
            <v>0</v>
          </cell>
        </row>
        <row r="83">
          <cell r="I83">
            <v>1087951</v>
          </cell>
          <cell r="J83">
            <v>9029993.3000000007</v>
          </cell>
          <cell r="L83">
            <v>1990950.33</v>
          </cell>
        </row>
        <row r="84">
          <cell r="K84">
            <v>537308.34</v>
          </cell>
          <cell r="M84">
            <v>1642806.01</v>
          </cell>
        </row>
        <row r="85">
          <cell r="I85">
            <v>0</v>
          </cell>
          <cell r="J85">
            <v>0</v>
          </cell>
          <cell r="L85">
            <v>0</v>
          </cell>
        </row>
        <row r="86">
          <cell r="I86">
            <v>0</v>
          </cell>
          <cell r="J86">
            <v>0</v>
          </cell>
          <cell r="L86">
            <v>0</v>
          </cell>
        </row>
        <row r="87">
          <cell r="I87">
            <v>6404500</v>
          </cell>
          <cell r="J87">
            <v>53157350.000000007</v>
          </cell>
          <cell r="L87">
            <v>11720235</v>
          </cell>
        </row>
        <row r="88">
          <cell r="K88">
            <v>5156790.3899999997</v>
          </cell>
          <cell r="M88">
            <v>9094390</v>
          </cell>
        </row>
        <row r="89">
          <cell r="I89">
            <v>0</v>
          </cell>
          <cell r="J89">
            <v>0</v>
          </cell>
          <cell r="L89">
            <v>0</v>
          </cell>
        </row>
        <row r="90">
          <cell r="I90">
            <v>0</v>
          </cell>
          <cell r="J90">
            <v>0</v>
          </cell>
          <cell r="L90">
            <v>0</v>
          </cell>
        </row>
        <row r="91">
          <cell r="I91">
            <v>15800516</v>
          </cell>
          <cell r="J91">
            <v>126404128</v>
          </cell>
          <cell r="L91">
            <v>25122820.440000001</v>
          </cell>
        </row>
        <row r="92">
          <cell r="K92">
            <v>9446273.1999999993</v>
          </cell>
          <cell r="M92">
            <v>17854583.079999998</v>
          </cell>
        </row>
        <row r="93">
          <cell r="I93">
            <v>0</v>
          </cell>
          <cell r="J93">
            <v>0</v>
          </cell>
          <cell r="L93">
            <v>0</v>
          </cell>
        </row>
        <row r="94">
          <cell r="I94">
            <v>0</v>
          </cell>
          <cell r="J94">
            <v>0</v>
          </cell>
          <cell r="L94">
            <v>0</v>
          </cell>
        </row>
        <row r="95">
          <cell r="I95">
            <v>30763550</v>
          </cell>
          <cell r="J95">
            <v>264566530</v>
          </cell>
          <cell r="L95">
            <v>52605670.5</v>
          </cell>
        </row>
        <row r="96">
          <cell r="K96">
            <v>19114298.100000001</v>
          </cell>
          <cell r="M96">
            <v>36608624.5</v>
          </cell>
        </row>
        <row r="97">
          <cell r="I97">
            <v>0</v>
          </cell>
          <cell r="J97">
            <v>0</v>
          </cell>
          <cell r="L97">
            <v>0</v>
          </cell>
        </row>
        <row r="98">
          <cell r="I98">
            <v>0</v>
          </cell>
          <cell r="J98">
            <v>0</v>
          </cell>
          <cell r="L98">
            <v>0</v>
          </cell>
        </row>
        <row r="99">
          <cell r="I99">
            <v>2979093</v>
          </cell>
          <cell r="J99">
            <v>17785185.210000001</v>
          </cell>
          <cell r="L99">
            <v>2710974.63</v>
          </cell>
        </row>
        <row r="100">
          <cell r="K100">
            <v>1397847.42</v>
          </cell>
          <cell r="M100">
            <v>1966201.38</v>
          </cell>
        </row>
        <row r="101">
          <cell r="I101">
            <v>0</v>
          </cell>
          <cell r="J101">
            <v>0</v>
          </cell>
          <cell r="L101">
            <v>0</v>
          </cell>
        </row>
        <row r="102">
          <cell r="I102">
            <v>0</v>
          </cell>
          <cell r="J102">
            <v>0</v>
          </cell>
          <cell r="L102">
            <v>0</v>
          </cell>
        </row>
        <row r="103">
          <cell r="I103">
            <v>601476</v>
          </cell>
          <cell r="J103">
            <v>6766605</v>
          </cell>
          <cell r="L103">
            <v>1401439.08</v>
          </cell>
        </row>
        <row r="104">
          <cell r="K104">
            <v>1500</v>
          </cell>
          <cell r="M104">
            <v>1010479.68</v>
          </cell>
        </row>
        <row r="105">
          <cell r="I105">
            <v>0</v>
          </cell>
          <cell r="J105">
            <v>0</v>
          </cell>
          <cell r="L105">
            <v>0</v>
          </cell>
        </row>
        <row r="106">
          <cell r="I106">
            <v>0</v>
          </cell>
          <cell r="J106">
            <v>0</v>
          </cell>
          <cell r="L106">
            <v>0</v>
          </cell>
        </row>
        <row r="107">
          <cell r="I107">
            <v>9270190</v>
          </cell>
          <cell r="J107">
            <v>71843972.5</v>
          </cell>
          <cell r="L107">
            <v>13997986.9</v>
          </cell>
        </row>
        <row r="108">
          <cell r="K108">
            <v>4042900</v>
          </cell>
          <cell r="M108">
            <v>10846122.300000001</v>
          </cell>
        </row>
        <row r="109">
          <cell r="J109">
            <v>-18220958.719999999</v>
          </cell>
          <cell r="K109">
            <v>95525.06</v>
          </cell>
          <cell r="L109">
            <v>-4395162.9467999935</v>
          </cell>
          <cell r="M109">
            <v>-2729417.77</v>
          </cell>
        </row>
        <row r="110">
          <cell r="I110">
            <v>401372649.84000003</v>
          </cell>
          <cell r="J110">
            <v>2907077290.4459996</v>
          </cell>
          <cell r="K110">
            <v>239585247.96000001</v>
          </cell>
          <cell r="L110">
            <v>599073881.97000003</v>
          </cell>
          <cell r="M110">
            <v>466382146.68000001</v>
          </cell>
        </row>
        <row r="111">
          <cell r="N111">
            <v>10729670</v>
          </cell>
        </row>
        <row r="112">
          <cell r="N112">
            <v>56594506.950000003</v>
          </cell>
        </row>
        <row r="113">
          <cell r="N113">
            <v>-427564.61</v>
          </cell>
        </row>
        <row r="114">
          <cell r="N114">
            <v>13753177.99</v>
          </cell>
        </row>
        <row r="115">
          <cell r="N115">
            <v>5956765.29</v>
          </cell>
        </row>
        <row r="117">
          <cell r="N117">
            <v>-14886535.16</v>
          </cell>
        </row>
        <row r="118">
          <cell r="N118">
            <v>-73706770.519999996</v>
          </cell>
        </row>
        <row r="119">
          <cell r="N119">
            <v>-454426.28</v>
          </cell>
        </row>
        <row r="120">
          <cell r="N120">
            <v>-4370963.62</v>
          </cell>
        </row>
        <row r="123">
          <cell r="N123">
            <v>24330603.670000002</v>
          </cell>
        </row>
        <row r="124">
          <cell r="N124">
            <v>17067241.969999999</v>
          </cell>
        </row>
        <row r="125">
          <cell r="N125">
            <v>17004708.629999999</v>
          </cell>
        </row>
        <row r="126">
          <cell r="N126">
            <v>-2278660.35</v>
          </cell>
        </row>
        <row r="127">
          <cell r="N127">
            <v>1482857</v>
          </cell>
        </row>
        <row r="128">
          <cell r="N128">
            <v>57606750.919999994</v>
          </cell>
        </row>
      </sheetData>
      <sheetData sheetId="9">
        <row r="5">
          <cell r="I5">
            <v>0</v>
          </cell>
          <cell r="J5">
            <v>0</v>
          </cell>
          <cell r="L5">
            <v>0</v>
          </cell>
        </row>
        <row r="6">
          <cell r="I6">
            <v>0</v>
          </cell>
          <cell r="J6">
            <v>0</v>
          </cell>
          <cell r="L6">
            <v>0</v>
          </cell>
        </row>
        <row r="7">
          <cell r="I7">
            <v>3042</v>
          </cell>
          <cell r="J7">
            <v>2433.6</v>
          </cell>
          <cell r="L7">
            <v>365.03999999999996</v>
          </cell>
        </row>
        <row r="8">
          <cell r="K8">
            <v>567</v>
          </cell>
          <cell r="M8">
            <v>0</v>
          </cell>
        </row>
        <row r="9">
          <cell r="I9">
            <v>-11608</v>
          </cell>
          <cell r="J9">
            <v>-23912.48</v>
          </cell>
          <cell r="L9">
            <v>-6384.4000000000005</v>
          </cell>
        </row>
        <row r="10">
          <cell r="I10">
            <v>-12356</v>
          </cell>
          <cell r="J10">
            <v>-47076.36</v>
          </cell>
          <cell r="L10">
            <v>-12726.68</v>
          </cell>
        </row>
        <row r="11">
          <cell r="I11">
            <v>-8778</v>
          </cell>
          <cell r="J11">
            <v>-47050.080000000002</v>
          </cell>
          <cell r="L11">
            <v>-12640.32</v>
          </cell>
        </row>
        <row r="12">
          <cell r="I12">
            <v>-33914</v>
          </cell>
          <cell r="J12">
            <v>-232650.04</v>
          </cell>
          <cell r="L12">
            <v>-62740.9</v>
          </cell>
        </row>
        <row r="13">
          <cell r="I13">
            <v>-16357</v>
          </cell>
          <cell r="J13">
            <v>-40074.65</v>
          </cell>
          <cell r="L13">
            <v>-8996.35</v>
          </cell>
        </row>
        <row r="14">
          <cell r="I14">
            <v>-9488</v>
          </cell>
          <cell r="J14">
            <v>-42696</v>
          </cell>
          <cell r="L14">
            <v>-9772.64</v>
          </cell>
        </row>
        <row r="15">
          <cell r="I15">
            <v>-8438</v>
          </cell>
          <cell r="J15">
            <v>-53581.299999999996</v>
          </cell>
          <cell r="L15">
            <v>-12150.72</v>
          </cell>
        </row>
        <row r="16">
          <cell r="I16">
            <v>-31817</v>
          </cell>
          <cell r="J16">
            <v>-254536</v>
          </cell>
          <cell r="L16">
            <v>-58861.450000000004</v>
          </cell>
        </row>
        <row r="17">
          <cell r="I17">
            <v>58880916</v>
          </cell>
          <cell r="J17">
            <v>156034427.40000001</v>
          </cell>
          <cell r="L17">
            <v>32384503.800000004</v>
          </cell>
        </row>
        <row r="18">
          <cell r="I18">
            <v>47294331</v>
          </cell>
          <cell r="J18">
            <v>253024670.84999999</v>
          </cell>
          <cell r="L18">
            <v>48713160.93</v>
          </cell>
        </row>
        <row r="19">
          <cell r="I19">
            <v>13135568</v>
          </cell>
          <cell r="J19">
            <v>98516760</v>
          </cell>
          <cell r="L19">
            <v>18915217.919999998</v>
          </cell>
        </row>
        <row r="20">
          <cell r="I20">
            <v>25351696</v>
          </cell>
          <cell r="J20">
            <v>242108696.80000001</v>
          </cell>
          <cell r="L20">
            <v>46900637.600000001</v>
          </cell>
        </row>
        <row r="24">
          <cell r="K24">
            <v>62838113.560000002</v>
          </cell>
          <cell r="M24">
            <v>104697282.48999999</v>
          </cell>
        </row>
        <row r="25">
          <cell r="I25">
            <v>-1415</v>
          </cell>
          <cell r="J25">
            <v>-7782.5</v>
          </cell>
          <cell r="L25">
            <v>-2094.1999999999998</v>
          </cell>
        </row>
        <row r="26">
          <cell r="I26">
            <v>-230</v>
          </cell>
          <cell r="J26">
            <v>-1876.8</v>
          </cell>
          <cell r="L26">
            <v>-506.00000000000006</v>
          </cell>
        </row>
        <row r="27">
          <cell r="I27">
            <v>-5833</v>
          </cell>
          <cell r="J27">
            <v>-38206.15</v>
          </cell>
          <cell r="L27">
            <v>-8632.84</v>
          </cell>
        </row>
        <row r="28">
          <cell r="I28">
            <v>-1376</v>
          </cell>
          <cell r="J28">
            <v>-12452.800000000001</v>
          </cell>
          <cell r="L28">
            <v>-3027.2000000000003</v>
          </cell>
        </row>
        <row r="29">
          <cell r="I29">
            <v>44009322</v>
          </cell>
          <cell r="J29">
            <v>327869448.90000004</v>
          </cell>
          <cell r="L29">
            <v>65133796.560000002</v>
          </cell>
        </row>
        <row r="30">
          <cell r="I30">
            <v>26551938</v>
          </cell>
          <cell r="J30">
            <v>265519380</v>
          </cell>
          <cell r="L30">
            <v>58414263.600000001</v>
          </cell>
        </row>
        <row r="32">
          <cell r="K32">
            <v>63438656.039999999</v>
          </cell>
          <cell r="M32">
            <v>114817222.09999999</v>
          </cell>
        </row>
        <row r="33">
          <cell r="I33">
            <v>0</v>
          </cell>
          <cell r="J33">
            <v>0</v>
          </cell>
          <cell r="L33">
            <v>0</v>
          </cell>
        </row>
        <row r="34">
          <cell r="I34">
            <v>0</v>
          </cell>
          <cell r="J34">
            <v>0</v>
          </cell>
          <cell r="L34">
            <v>0</v>
          </cell>
        </row>
        <row r="35">
          <cell r="I35">
            <v>19655665</v>
          </cell>
          <cell r="J35">
            <v>182797684.5</v>
          </cell>
          <cell r="L35">
            <v>42259679.75</v>
          </cell>
        </row>
        <row r="36">
          <cell r="K36">
            <v>20382921.23</v>
          </cell>
          <cell r="M36">
            <v>31055950.699999999</v>
          </cell>
        </row>
        <row r="37">
          <cell r="I37">
            <v>0</v>
          </cell>
          <cell r="J37">
            <v>0</v>
          </cell>
          <cell r="L37">
            <v>0</v>
          </cell>
        </row>
        <row r="38">
          <cell r="I38">
            <v>0</v>
          </cell>
          <cell r="J38">
            <v>0</v>
          </cell>
          <cell r="L38">
            <v>0</v>
          </cell>
        </row>
        <row r="39">
          <cell r="I39">
            <v>38489663</v>
          </cell>
          <cell r="J39">
            <v>373349731.09999996</v>
          </cell>
          <cell r="L39">
            <v>83907465.340000004</v>
          </cell>
        </row>
        <row r="40">
          <cell r="K40">
            <v>34828634.390000001</v>
          </cell>
          <cell r="M40">
            <v>61968357.43</v>
          </cell>
        </row>
        <row r="41">
          <cell r="I41">
            <v>-66</v>
          </cell>
          <cell r="J41">
            <v>-343.86</v>
          </cell>
          <cell r="L41">
            <v>-92.399999999999991</v>
          </cell>
        </row>
        <row r="42">
          <cell r="I42">
            <v>0</v>
          </cell>
          <cell r="J42">
            <v>0</v>
          </cell>
          <cell r="L42">
            <v>0</v>
          </cell>
        </row>
        <row r="43">
          <cell r="I43">
            <v>-143</v>
          </cell>
          <cell r="J43">
            <v>-815.1</v>
          </cell>
          <cell r="L43">
            <v>-200.2</v>
          </cell>
        </row>
        <row r="44">
          <cell r="I44">
            <v>0</v>
          </cell>
          <cell r="J44">
            <v>0</v>
          </cell>
          <cell r="L44">
            <v>0</v>
          </cell>
        </row>
        <row r="45">
          <cell r="I45">
            <v>1728108</v>
          </cell>
          <cell r="J45">
            <v>10973485.799999999</v>
          </cell>
          <cell r="L45">
            <v>2419351.1999999997</v>
          </cell>
        </row>
        <row r="46">
          <cell r="I46">
            <v>1882356</v>
          </cell>
          <cell r="J46">
            <v>16094143.800000001</v>
          </cell>
          <cell r="L46">
            <v>3689417.76</v>
          </cell>
        </row>
        <row r="48">
          <cell r="K48">
            <v>2783759.08</v>
          </cell>
          <cell r="M48">
            <v>5862474.5599999996</v>
          </cell>
        </row>
        <row r="49">
          <cell r="I49">
            <v>0</v>
          </cell>
          <cell r="J49">
            <v>0</v>
          </cell>
          <cell r="L49">
            <v>0</v>
          </cell>
        </row>
        <row r="50">
          <cell r="I50">
            <v>0</v>
          </cell>
          <cell r="J50">
            <v>0</v>
          </cell>
          <cell r="L50">
            <v>0</v>
          </cell>
        </row>
        <row r="51">
          <cell r="I51">
            <v>4376439</v>
          </cell>
          <cell r="J51">
            <v>35449155.899999999</v>
          </cell>
          <cell r="L51">
            <v>7658768.25</v>
          </cell>
        </row>
        <row r="52">
          <cell r="K52">
            <v>4859873.42</v>
          </cell>
          <cell r="M52">
            <v>5601841.9199999999</v>
          </cell>
        </row>
        <row r="53">
          <cell r="I53">
            <v>0</v>
          </cell>
          <cell r="J53">
            <v>0</v>
          </cell>
          <cell r="L53">
            <v>0</v>
          </cell>
        </row>
        <row r="54">
          <cell r="I54">
            <v>0</v>
          </cell>
          <cell r="J54">
            <v>0</v>
          </cell>
          <cell r="L54">
            <v>0</v>
          </cell>
        </row>
        <row r="55">
          <cell r="I55">
            <v>3982849</v>
          </cell>
          <cell r="J55">
            <v>32858504.25</v>
          </cell>
          <cell r="L55">
            <v>6850500.2800000003</v>
          </cell>
        </row>
        <row r="56">
          <cell r="K56">
            <v>2624387.44</v>
          </cell>
          <cell r="M56">
            <v>4938732.76</v>
          </cell>
        </row>
        <row r="57">
          <cell r="I57">
            <v>-3166</v>
          </cell>
          <cell r="J57">
            <v>-37200.5</v>
          </cell>
          <cell r="L57">
            <v>-10004.560000000001</v>
          </cell>
        </row>
        <row r="58">
          <cell r="I58">
            <v>-3718</v>
          </cell>
          <cell r="J58">
            <v>-50193</v>
          </cell>
          <cell r="L58">
            <v>-11748.880000000001</v>
          </cell>
        </row>
        <row r="59">
          <cell r="I59">
            <v>127743</v>
          </cell>
          <cell r="J59">
            <v>1833112.05</v>
          </cell>
          <cell r="L59">
            <v>403667.88</v>
          </cell>
        </row>
        <row r="60">
          <cell r="K60">
            <v>326719.99</v>
          </cell>
          <cell r="M60">
            <v>299433.53000000003</v>
          </cell>
        </row>
        <row r="61">
          <cell r="I61">
            <v>0</v>
          </cell>
          <cell r="J61">
            <v>0</v>
          </cell>
          <cell r="L61">
            <v>0</v>
          </cell>
        </row>
        <row r="62">
          <cell r="I62">
            <v>0</v>
          </cell>
          <cell r="J62">
            <v>0</v>
          </cell>
          <cell r="L62">
            <v>0</v>
          </cell>
        </row>
        <row r="63">
          <cell r="I63">
            <v>2315032.85</v>
          </cell>
          <cell r="J63">
            <v>18288759.515000001</v>
          </cell>
          <cell r="L63">
            <v>3518849.932</v>
          </cell>
        </row>
        <row r="64">
          <cell r="K64">
            <v>1843447.04</v>
          </cell>
          <cell r="M64">
            <v>2315032.85</v>
          </cell>
        </row>
        <row r="65">
          <cell r="I65">
            <v>-153</v>
          </cell>
          <cell r="J65">
            <v>-865.98</v>
          </cell>
          <cell r="L65">
            <v>-232.56</v>
          </cell>
        </row>
        <row r="66">
          <cell r="I66">
            <v>-262</v>
          </cell>
          <cell r="J66">
            <v>-1768.5</v>
          </cell>
          <cell r="L66">
            <v>-398.24</v>
          </cell>
        </row>
        <row r="67">
          <cell r="I67">
            <v>301034</v>
          </cell>
          <cell r="J67">
            <v>2378168.6</v>
          </cell>
          <cell r="L67">
            <v>457571.68</v>
          </cell>
        </row>
        <row r="68">
          <cell r="K68">
            <v>228495.47</v>
          </cell>
          <cell r="M68">
            <v>339269.28</v>
          </cell>
        </row>
        <row r="69">
          <cell r="I69">
            <v>0</v>
          </cell>
          <cell r="J69">
            <v>0</v>
          </cell>
          <cell r="L69">
            <v>0</v>
          </cell>
        </row>
        <row r="70">
          <cell r="I70">
            <v>0</v>
          </cell>
          <cell r="J70">
            <v>0</v>
          </cell>
          <cell r="L70">
            <v>0</v>
          </cell>
        </row>
        <row r="71">
          <cell r="I71">
            <v>49992</v>
          </cell>
          <cell r="J71">
            <v>219964.80000000002</v>
          </cell>
          <cell r="L71">
            <v>43493.04</v>
          </cell>
        </row>
        <row r="72">
          <cell r="K72">
            <v>28566.69</v>
          </cell>
          <cell r="M72">
            <v>35994.239999999998</v>
          </cell>
        </row>
        <row r="73">
          <cell r="I73">
            <v>0</v>
          </cell>
          <cell r="J73">
            <v>0</v>
          </cell>
          <cell r="L73">
            <v>0</v>
          </cell>
        </row>
        <row r="74">
          <cell r="I74">
            <v>0</v>
          </cell>
          <cell r="J74">
            <v>0</v>
          </cell>
          <cell r="L74">
            <v>0</v>
          </cell>
        </row>
        <row r="75">
          <cell r="I75">
            <v>3007856</v>
          </cell>
          <cell r="J75">
            <v>34590344</v>
          </cell>
          <cell r="L75">
            <v>7609875.6799999997</v>
          </cell>
        </row>
        <row r="76">
          <cell r="K76">
            <v>1997526.63</v>
          </cell>
          <cell r="M76">
            <v>5684847.8399999999</v>
          </cell>
        </row>
        <row r="77">
          <cell r="I77">
            <v>0</v>
          </cell>
          <cell r="J77">
            <v>0</v>
          </cell>
          <cell r="L77">
            <v>0</v>
          </cell>
        </row>
        <row r="78">
          <cell r="I78">
            <v>0</v>
          </cell>
          <cell r="J78">
            <v>0</v>
          </cell>
          <cell r="L78">
            <v>0</v>
          </cell>
        </row>
        <row r="79">
          <cell r="I79">
            <v>89379</v>
          </cell>
          <cell r="J79">
            <v>406674.45</v>
          </cell>
          <cell r="L79">
            <v>74184.569999999992</v>
          </cell>
        </row>
        <row r="80">
          <cell r="K80">
            <v>6000</v>
          </cell>
          <cell r="M80">
            <v>49158.45</v>
          </cell>
        </row>
        <row r="81">
          <cell r="I81">
            <v>-365</v>
          </cell>
          <cell r="J81">
            <v>-2482</v>
          </cell>
          <cell r="L81">
            <v>-667.95</v>
          </cell>
        </row>
        <row r="82">
          <cell r="I82">
            <v>-305</v>
          </cell>
          <cell r="J82">
            <v>-2226.5</v>
          </cell>
          <cell r="L82">
            <v>-558.15</v>
          </cell>
        </row>
        <row r="83">
          <cell r="I83">
            <v>1048448</v>
          </cell>
          <cell r="J83">
            <v>8702118.4000000004</v>
          </cell>
          <cell r="L83">
            <v>1918659.84</v>
          </cell>
        </row>
        <row r="84">
          <cell r="K84">
            <v>539058.31000000006</v>
          </cell>
          <cell r="M84">
            <v>1583929.6</v>
          </cell>
        </row>
        <row r="85">
          <cell r="I85">
            <v>0</v>
          </cell>
          <cell r="J85">
            <v>0</v>
          </cell>
          <cell r="L85">
            <v>0</v>
          </cell>
        </row>
        <row r="86">
          <cell r="I86">
            <v>0</v>
          </cell>
          <cell r="J86">
            <v>0</v>
          </cell>
          <cell r="L86">
            <v>0</v>
          </cell>
        </row>
        <row r="87">
          <cell r="I87">
            <v>6044785</v>
          </cell>
          <cell r="J87">
            <v>50171715.500000007</v>
          </cell>
          <cell r="L87">
            <v>11061956.550000001</v>
          </cell>
        </row>
        <row r="88">
          <cell r="K88">
            <v>5065636.68</v>
          </cell>
          <cell r="M88">
            <v>8583594.6999999993</v>
          </cell>
        </row>
        <row r="89">
          <cell r="I89">
            <v>0</v>
          </cell>
          <cell r="J89">
            <v>0</v>
          </cell>
          <cell r="L89">
            <v>0</v>
          </cell>
        </row>
        <row r="90">
          <cell r="I90">
            <v>0</v>
          </cell>
          <cell r="J90">
            <v>0</v>
          </cell>
          <cell r="L90">
            <v>0</v>
          </cell>
        </row>
        <row r="91">
          <cell r="I91">
            <v>15231235</v>
          </cell>
          <cell r="J91">
            <v>121849880</v>
          </cell>
          <cell r="L91">
            <v>24217663.650000002</v>
          </cell>
        </row>
        <row r="92">
          <cell r="K92">
            <v>9166933.5</v>
          </cell>
          <cell r="M92">
            <v>17211295.550000001</v>
          </cell>
        </row>
        <row r="93">
          <cell r="I93">
            <v>0</v>
          </cell>
          <cell r="J93">
            <v>0</v>
          </cell>
          <cell r="L93">
            <v>0</v>
          </cell>
        </row>
        <row r="94">
          <cell r="I94">
            <v>0</v>
          </cell>
          <cell r="J94">
            <v>0</v>
          </cell>
          <cell r="L94">
            <v>0</v>
          </cell>
        </row>
        <row r="95">
          <cell r="I95">
            <v>29914162</v>
          </cell>
          <cell r="J95">
            <v>257261793.19999999</v>
          </cell>
          <cell r="L95">
            <v>51153217.019999996</v>
          </cell>
        </row>
        <row r="96">
          <cell r="K96">
            <v>18794619.100000001</v>
          </cell>
          <cell r="M96">
            <v>35597852.780000001</v>
          </cell>
        </row>
        <row r="97">
          <cell r="I97">
            <v>0</v>
          </cell>
          <cell r="J97">
            <v>0</v>
          </cell>
          <cell r="L97">
            <v>0</v>
          </cell>
        </row>
        <row r="98">
          <cell r="I98">
            <v>0</v>
          </cell>
          <cell r="J98">
            <v>0</v>
          </cell>
          <cell r="L98">
            <v>0</v>
          </cell>
        </row>
        <row r="99">
          <cell r="I99">
            <v>2824848</v>
          </cell>
          <cell r="J99">
            <v>16864342.559999999</v>
          </cell>
          <cell r="L99">
            <v>2570611.6800000002</v>
          </cell>
        </row>
        <row r="100">
          <cell r="K100">
            <v>1369783.13</v>
          </cell>
          <cell r="M100">
            <v>1864399.68</v>
          </cell>
        </row>
        <row r="101">
          <cell r="I101">
            <v>0</v>
          </cell>
          <cell r="J101">
            <v>0</v>
          </cell>
          <cell r="L101">
            <v>0</v>
          </cell>
        </row>
        <row r="102">
          <cell r="I102">
            <v>0</v>
          </cell>
          <cell r="J102">
            <v>0</v>
          </cell>
          <cell r="L102">
            <v>0</v>
          </cell>
        </row>
        <row r="103">
          <cell r="I103">
            <v>623212</v>
          </cell>
          <cell r="J103">
            <v>7011135</v>
          </cell>
          <cell r="L103">
            <v>1452083.96</v>
          </cell>
        </row>
        <row r="104">
          <cell r="K104">
            <v>1266.67</v>
          </cell>
          <cell r="M104">
            <v>1046996.16</v>
          </cell>
        </row>
        <row r="105">
          <cell r="I105">
            <v>0</v>
          </cell>
          <cell r="J105">
            <v>0</v>
          </cell>
          <cell r="L105">
            <v>0</v>
          </cell>
        </row>
        <row r="106">
          <cell r="I106">
            <v>0</v>
          </cell>
          <cell r="J106">
            <v>0</v>
          </cell>
          <cell r="L106">
            <v>0</v>
          </cell>
        </row>
        <row r="107">
          <cell r="I107">
            <v>8807062</v>
          </cell>
          <cell r="J107">
            <v>68254730.5</v>
          </cell>
          <cell r="L107">
            <v>13298663.619999999</v>
          </cell>
        </row>
        <row r="108">
          <cell r="K108">
            <v>3940136</v>
          </cell>
          <cell r="M108">
            <v>10304262.539999999</v>
          </cell>
        </row>
        <row r="109">
          <cell r="J109">
            <v>-6062495.29</v>
          </cell>
          <cell r="K109">
            <v>-478450.76</v>
          </cell>
          <cell r="L109">
            <v>-1292481.3519999981</v>
          </cell>
        </row>
        <row r="110">
          <cell r="I110">
            <v>355576893.85000002</v>
          </cell>
          <cell r="J110">
            <v>2575470975.5849996</v>
          </cell>
          <cell r="K110">
            <v>234586650.61000001</v>
          </cell>
          <cell r="L110">
            <v>533512709.13999999</v>
          </cell>
          <cell r="M110">
            <v>413857929.15999997</v>
          </cell>
        </row>
        <row r="111">
          <cell r="N111">
            <v>10021671.75</v>
          </cell>
        </row>
        <row r="112">
          <cell r="N112">
            <v>-40551643.810000002</v>
          </cell>
        </row>
        <row r="113">
          <cell r="N113">
            <v>-185658.28</v>
          </cell>
        </row>
        <row r="114">
          <cell r="N114">
            <v>13869166.93</v>
          </cell>
        </row>
        <row r="115">
          <cell r="N115">
            <v>1079291.26</v>
          </cell>
        </row>
        <row r="117">
          <cell r="N117">
            <v>-15840295.439999999</v>
          </cell>
        </row>
        <row r="118">
          <cell r="N118">
            <v>-73780932.379999995</v>
          </cell>
        </row>
        <row r="119">
          <cell r="N119">
            <v>-433737.34</v>
          </cell>
        </row>
        <row r="120">
          <cell r="N120">
            <v>-3390610.45</v>
          </cell>
        </row>
        <row r="123">
          <cell r="N123">
            <v>24460739.670000002</v>
          </cell>
        </row>
        <row r="124">
          <cell r="N124">
            <v>15061372</v>
          </cell>
        </row>
        <row r="125">
          <cell r="N125">
            <v>9491733.2599999998</v>
          </cell>
        </row>
        <row r="126">
          <cell r="N126">
            <v>-1837224.55</v>
          </cell>
        </row>
        <row r="127">
          <cell r="N127">
            <v>1437848</v>
          </cell>
        </row>
        <row r="128">
          <cell r="N128">
            <v>48614468.380000003</v>
          </cell>
        </row>
      </sheetData>
      <sheetData sheetId="10">
        <row r="5">
          <cell r="I5">
            <v>0</v>
          </cell>
          <cell r="J5">
            <v>0</v>
          </cell>
          <cell r="L5">
            <v>0</v>
          </cell>
        </row>
        <row r="6">
          <cell r="I6">
            <v>-7</v>
          </cell>
          <cell r="J6">
            <v>-3.8500000000000005</v>
          </cell>
          <cell r="L6">
            <v>-0.84</v>
          </cell>
        </row>
        <row r="7">
          <cell r="I7">
            <v>3047</v>
          </cell>
          <cell r="J7">
            <v>2437.6</v>
          </cell>
          <cell r="L7">
            <v>365.64</v>
          </cell>
        </row>
        <row r="8">
          <cell r="K8">
            <v>570.70000000000005</v>
          </cell>
          <cell r="M8">
            <v>0</v>
          </cell>
        </row>
        <row r="9">
          <cell r="I9">
            <v>-7211</v>
          </cell>
          <cell r="J9">
            <v>-14854.66</v>
          </cell>
          <cell r="L9">
            <v>-3966.05</v>
          </cell>
        </row>
        <row r="10">
          <cell r="I10">
            <v>-4499</v>
          </cell>
          <cell r="J10">
            <v>-17141.189999999999</v>
          </cell>
          <cell r="L10">
            <v>-4633.97</v>
          </cell>
        </row>
        <row r="11">
          <cell r="I11">
            <v>-1452</v>
          </cell>
          <cell r="J11">
            <v>-7782.72</v>
          </cell>
          <cell r="L11">
            <v>-2090.88</v>
          </cell>
        </row>
        <row r="12">
          <cell r="I12">
            <v>-1605</v>
          </cell>
          <cell r="J12">
            <v>-11010.300000000001</v>
          </cell>
          <cell r="L12">
            <v>-2969.25</v>
          </cell>
        </row>
        <row r="13">
          <cell r="I13">
            <v>-15401</v>
          </cell>
          <cell r="J13">
            <v>-37732.450000000004</v>
          </cell>
          <cell r="L13">
            <v>-8470.5500000000011</v>
          </cell>
        </row>
        <row r="14">
          <cell r="I14">
            <v>-8945</v>
          </cell>
          <cell r="J14">
            <v>-40252.5</v>
          </cell>
          <cell r="L14">
            <v>-9213.35</v>
          </cell>
        </row>
        <row r="15">
          <cell r="I15">
            <v>-4799</v>
          </cell>
          <cell r="J15">
            <v>-30473.649999999998</v>
          </cell>
          <cell r="L15">
            <v>-6910.5599999999995</v>
          </cell>
        </row>
        <row r="16">
          <cell r="I16">
            <v>-4788</v>
          </cell>
          <cell r="J16">
            <v>-38304</v>
          </cell>
          <cell r="L16">
            <v>-8857.8000000000011</v>
          </cell>
        </row>
        <row r="17">
          <cell r="I17">
            <v>56619789</v>
          </cell>
          <cell r="J17">
            <v>150042440.84999999</v>
          </cell>
          <cell r="L17">
            <v>31140883.950000003</v>
          </cell>
        </row>
        <row r="18">
          <cell r="I18">
            <v>39221588</v>
          </cell>
          <cell r="J18">
            <v>209835495.79999998</v>
          </cell>
          <cell r="L18">
            <v>40398235.640000001</v>
          </cell>
        </row>
        <row r="19">
          <cell r="I19">
            <v>9384324</v>
          </cell>
          <cell r="J19">
            <v>70382430</v>
          </cell>
          <cell r="L19">
            <v>13513426.559999999</v>
          </cell>
        </row>
        <row r="20">
          <cell r="I20">
            <v>20156279</v>
          </cell>
          <cell r="J20">
            <v>192492464.45000002</v>
          </cell>
          <cell r="L20">
            <v>37289116.149999999</v>
          </cell>
        </row>
        <row r="24">
          <cell r="K24">
            <v>60963952.25</v>
          </cell>
          <cell r="M24">
            <v>87039469.180000007</v>
          </cell>
        </row>
        <row r="25">
          <cell r="I25">
            <v>-2440</v>
          </cell>
          <cell r="J25">
            <v>-13420</v>
          </cell>
          <cell r="L25">
            <v>-3611.2</v>
          </cell>
        </row>
        <row r="26">
          <cell r="I26">
            <v>-48</v>
          </cell>
          <cell r="J26">
            <v>-391.68</v>
          </cell>
          <cell r="L26">
            <v>-105.60000000000001</v>
          </cell>
        </row>
        <row r="27">
          <cell r="I27">
            <v>-2553</v>
          </cell>
          <cell r="J27">
            <v>-16722.149999999998</v>
          </cell>
          <cell r="L27">
            <v>-3778.44</v>
          </cell>
        </row>
        <row r="28">
          <cell r="I28">
            <v>535</v>
          </cell>
          <cell r="J28">
            <v>4841.75</v>
          </cell>
          <cell r="L28">
            <v>1177</v>
          </cell>
        </row>
        <row r="29">
          <cell r="I29">
            <v>40857325</v>
          </cell>
          <cell r="J29">
            <v>304387071.25</v>
          </cell>
          <cell r="L29">
            <v>60468841</v>
          </cell>
        </row>
        <row r="30">
          <cell r="I30">
            <v>23462447</v>
          </cell>
          <cell r="J30">
            <v>234624470</v>
          </cell>
          <cell r="L30">
            <v>51617383.400000006</v>
          </cell>
        </row>
        <row r="32">
          <cell r="K32">
            <v>63431680.689999998</v>
          </cell>
          <cell r="M32">
            <v>103640519.59999999</v>
          </cell>
        </row>
        <row r="33">
          <cell r="I33">
            <v>0</v>
          </cell>
          <cell r="J33">
            <v>0</v>
          </cell>
          <cell r="L33">
            <v>0</v>
          </cell>
        </row>
        <row r="34">
          <cell r="I34">
            <v>0</v>
          </cell>
          <cell r="J34">
            <v>0</v>
          </cell>
          <cell r="L34">
            <v>0</v>
          </cell>
        </row>
        <row r="35">
          <cell r="I35">
            <v>17779795</v>
          </cell>
          <cell r="J35">
            <v>165352093.5</v>
          </cell>
          <cell r="L35">
            <v>38226559.25</v>
          </cell>
        </row>
        <row r="36">
          <cell r="K36">
            <v>19568854.940000001</v>
          </cell>
          <cell r="M36">
            <v>28092076.100000001</v>
          </cell>
        </row>
        <row r="37">
          <cell r="I37">
            <v>0</v>
          </cell>
          <cell r="J37">
            <v>0</v>
          </cell>
          <cell r="L37">
            <v>0</v>
          </cell>
        </row>
        <row r="38">
          <cell r="I38">
            <v>0</v>
          </cell>
          <cell r="J38">
            <v>0</v>
          </cell>
          <cell r="L38">
            <v>0</v>
          </cell>
        </row>
        <row r="39">
          <cell r="I39">
            <v>35191187</v>
          </cell>
          <cell r="J39">
            <v>341354513.89999998</v>
          </cell>
          <cell r="L39">
            <v>76716787.660000011</v>
          </cell>
        </row>
        <row r="40">
          <cell r="K40">
            <v>33507393</v>
          </cell>
          <cell r="M40">
            <v>56657811.07</v>
          </cell>
        </row>
        <row r="41">
          <cell r="I41">
            <v>0</v>
          </cell>
          <cell r="J41">
            <v>0</v>
          </cell>
          <cell r="L41">
            <v>0</v>
          </cell>
        </row>
        <row r="42">
          <cell r="I42">
            <v>0</v>
          </cell>
          <cell r="J42">
            <v>0</v>
          </cell>
          <cell r="L42">
            <v>0</v>
          </cell>
        </row>
        <row r="43">
          <cell r="I43">
            <v>0</v>
          </cell>
          <cell r="J43">
            <v>0</v>
          </cell>
          <cell r="L43">
            <v>0</v>
          </cell>
        </row>
        <row r="44">
          <cell r="I44">
            <v>0</v>
          </cell>
          <cell r="J44">
            <v>0</v>
          </cell>
          <cell r="L44">
            <v>0</v>
          </cell>
        </row>
        <row r="45">
          <cell r="I45">
            <v>1677916</v>
          </cell>
          <cell r="J45">
            <v>10654766.6</v>
          </cell>
          <cell r="L45">
            <v>2349082.4</v>
          </cell>
        </row>
        <row r="46">
          <cell r="I46">
            <v>1870979</v>
          </cell>
          <cell r="J46">
            <v>15996870.450000001</v>
          </cell>
          <cell r="L46">
            <v>3667118.84</v>
          </cell>
        </row>
        <row r="48">
          <cell r="K48">
            <v>2772308.28</v>
          </cell>
          <cell r="M48">
            <v>5785538.6399999997</v>
          </cell>
        </row>
        <row r="49">
          <cell r="I49">
            <v>0</v>
          </cell>
          <cell r="J49">
            <v>0</v>
          </cell>
          <cell r="L49">
            <v>0</v>
          </cell>
        </row>
        <row r="50">
          <cell r="I50">
            <v>0</v>
          </cell>
          <cell r="J50">
            <v>0</v>
          </cell>
          <cell r="L50">
            <v>0</v>
          </cell>
        </row>
        <row r="51">
          <cell r="I51">
            <v>4456636</v>
          </cell>
          <cell r="J51">
            <v>36098751.600000001</v>
          </cell>
          <cell r="L51">
            <v>7799113</v>
          </cell>
        </row>
        <row r="52">
          <cell r="K52">
            <v>4828482.38</v>
          </cell>
          <cell r="M52">
            <v>5704494.0800000001</v>
          </cell>
        </row>
        <row r="53">
          <cell r="I53">
            <v>0</v>
          </cell>
          <cell r="J53">
            <v>0</v>
          </cell>
          <cell r="L53">
            <v>0</v>
          </cell>
        </row>
        <row r="54">
          <cell r="I54">
            <v>0</v>
          </cell>
          <cell r="J54">
            <v>0</v>
          </cell>
          <cell r="L54">
            <v>0</v>
          </cell>
        </row>
        <row r="55">
          <cell r="I55">
            <v>4082059</v>
          </cell>
          <cell r="J55">
            <v>33676986.75</v>
          </cell>
          <cell r="L55">
            <v>7021141.4799999995</v>
          </cell>
        </row>
        <row r="56">
          <cell r="K56">
            <v>2598370.4</v>
          </cell>
          <cell r="M56">
            <v>5061753.16</v>
          </cell>
        </row>
        <row r="57">
          <cell r="I57">
            <v>0</v>
          </cell>
          <cell r="J57">
            <v>0</v>
          </cell>
          <cell r="L57">
            <v>0</v>
          </cell>
        </row>
        <row r="58">
          <cell r="I58">
            <v>0</v>
          </cell>
          <cell r="J58">
            <v>0</v>
          </cell>
          <cell r="L58">
            <v>0</v>
          </cell>
        </row>
        <row r="59">
          <cell r="I59">
            <v>157077</v>
          </cell>
          <cell r="J59">
            <v>2254054.9499999997</v>
          </cell>
          <cell r="L59">
            <v>496363.32</v>
          </cell>
        </row>
        <row r="60">
          <cell r="K60">
            <v>326133.32</v>
          </cell>
          <cell r="M60">
            <v>359706.33</v>
          </cell>
        </row>
        <row r="61">
          <cell r="I61">
            <v>0</v>
          </cell>
          <cell r="J61">
            <v>0</v>
          </cell>
          <cell r="L61">
            <v>0</v>
          </cell>
        </row>
        <row r="62">
          <cell r="I62">
            <v>0</v>
          </cell>
          <cell r="J62">
            <v>0</v>
          </cell>
          <cell r="L62">
            <v>0</v>
          </cell>
        </row>
        <row r="63">
          <cell r="I63">
            <v>2514268.2200000002</v>
          </cell>
          <cell r="J63">
            <v>19862718.938000001</v>
          </cell>
          <cell r="L63">
            <v>3821687.6944000004</v>
          </cell>
        </row>
        <row r="64">
          <cell r="K64">
            <v>1947250.29</v>
          </cell>
          <cell r="M64">
            <v>1382847.52</v>
          </cell>
        </row>
        <row r="65">
          <cell r="I65">
            <v>0</v>
          </cell>
          <cell r="J65">
            <v>0</v>
          </cell>
          <cell r="L65">
            <v>0</v>
          </cell>
        </row>
        <row r="66">
          <cell r="I66">
            <v>0</v>
          </cell>
          <cell r="J66">
            <v>0</v>
          </cell>
          <cell r="L66">
            <v>0</v>
          </cell>
        </row>
        <row r="67">
          <cell r="I67">
            <v>269255</v>
          </cell>
          <cell r="J67">
            <v>2127114.5</v>
          </cell>
          <cell r="L67">
            <v>409267.6</v>
          </cell>
        </row>
        <row r="68">
          <cell r="K68">
            <v>227138.34</v>
          </cell>
          <cell r="M68">
            <v>301565.59999999998</v>
          </cell>
        </row>
        <row r="69">
          <cell r="I69">
            <v>0</v>
          </cell>
          <cell r="J69">
            <v>0</v>
          </cell>
          <cell r="L69">
            <v>0</v>
          </cell>
        </row>
        <row r="70">
          <cell r="I70">
            <v>0</v>
          </cell>
          <cell r="J70">
            <v>0</v>
          </cell>
          <cell r="L70">
            <v>0</v>
          </cell>
        </row>
        <row r="71">
          <cell r="I71">
            <v>63208</v>
          </cell>
          <cell r="J71">
            <v>278115.20000000001</v>
          </cell>
          <cell r="L71">
            <v>54990.96</v>
          </cell>
        </row>
        <row r="72">
          <cell r="K72">
            <v>16053.33</v>
          </cell>
          <cell r="M72">
            <v>45509.760000000002</v>
          </cell>
        </row>
        <row r="73">
          <cell r="I73">
            <v>0</v>
          </cell>
          <cell r="J73">
            <v>0</v>
          </cell>
          <cell r="L73">
            <v>0</v>
          </cell>
        </row>
        <row r="74">
          <cell r="I74">
            <v>27</v>
          </cell>
          <cell r="J74">
            <v>283.5</v>
          </cell>
          <cell r="L74">
            <v>68.309999999999988</v>
          </cell>
        </row>
        <row r="75">
          <cell r="I75">
            <v>3082148</v>
          </cell>
          <cell r="J75">
            <v>35444702</v>
          </cell>
          <cell r="L75">
            <v>7797834.4399999995</v>
          </cell>
        </row>
        <row r="76">
          <cell r="K76">
            <v>2057534.98</v>
          </cell>
          <cell r="M76">
            <v>5825310.75</v>
          </cell>
        </row>
        <row r="77">
          <cell r="I77">
            <v>0</v>
          </cell>
          <cell r="J77">
            <v>0</v>
          </cell>
          <cell r="L77">
            <v>0</v>
          </cell>
        </row>
        <row r="78">
          <cell r="I78">
            <v>0</v>
          </cell>
          <cell r="J78">
            <v>0</v>
          </cell>
          <cell r="L78">
            <v>0</v>
          </cell>
        </row>
        <row r="79">
          <cell r="I79">
            <v>92737</v>
          </cell>
          <cell r="J79">
            <v>421953.35</v>
          </cell>
          <cell r="L79">
            <v>76971.709999999992</v>
          </cell>
        </row>
        <row r="80">
          <cell r="K80">
            <v>6000</v>
          </cell>
          <cell r="M80">
            <v>51005.35</v>
          </cell>
        </row>
        <row r="81">
          <cell r="I81">
            <v>0</v>
          </cell>
          <cell r="J81">
            <v>0</v>
          </cell>
          <cell r="L81">
            <v>0</v>
          </cell>
        </row>
        <row r="82">
          <cell r="I82">
            <v>742</v>
          </cell>
          <cell r="J82">
            <v>5416.5999999999995</v>
          </cell>
          <cell r="L82">
            <v>1357.8600000000001</v>
          </cell>
        </row>
        <row r="83">
          <cell r="I83">
            <v>909151</v>
          </cell>
          <cell r="J83">
            <v>7545953.3000000007</v>
          </cell>
          <cell r="L83">
            <v>1663746.33</v>
          </cell>
        </row>
        <row r="84">
          <cell r="K84">
            <v>543816.65</v>
          </cell>
          <cell r="M84">
            <v>1378261.56</v>
          </cell>
        </row>
        <row r="85">
          <cell r="I85">
            <v>0</v>
          </cell>
          <cell r="J85">
            <v>0</v>
          </cell>
          <cell r="L85">
            <v>0</v>
          </cell>
        </row>
        <row r="86">
          <cell r="I86">
            <v>0</v>
          </cell>
          <cell r="J86">
            <v>0</v>
          </cell>
          <cell r="L86">
            <v>0</v>
          </cell>
        </row>
        <row r="87">
          <cell r="I87">
            <v>6070593</v>
          </cell>
          <cell r="J87">
            <v>50385921.900000006</v>
          </cell>
          <cell r="L87">
            <v>11109185.190000001</v>
          </cell>
        </row>
        <row r="88">
          <cell r="K88">
            <v>5198203.3600000003</v>
          </cell>
          <cell r="M88">
            <v>8620242.0600000005</v>
          </cell>
        </row>
        <row r="89">
          <cell r="I89">
            <v>0</v>
          </cell>
          <cell r="J89">
            <v>0</v>
          </cell>
          <cell r="L89">
            <v>0</v>
          </cell>
        </row>
        <row r="90">
          <cell r="I90">
            <v>0</v>
          </cell>
          <cell r="J90">
            <v>0</v>
          </cell>
          <cell r="L90">
            <v>0</v>
          </cell>
        </row>
        <row r="91">
          <cell r="I91">
            <v>15063044</v>
          </cell>
          <cell r="J91">
            <v>120504352</v>
          </cell>
          <cell r="L91">
            <v>23950239.960000001</v>
          </cell>
        </row>
        <row r="92">
          <cell r="K92">
            <v>9053969.5</v>
          </cell>
          <cell r="M92">
            <v>17021239.719999999</v>
          </cell>
        </row>
        <row r="93">
          <cell r="I93">
            <v>0</v>
          </cell>
          <cell r="J93">
            <v>0</v>
          </cell>
          <cell r="L93">
            <v>0</v>
          </cell>
        </row>
        <row r="94">
          <cell r="I94">
            <v>0</v>
          </cell>
          <cell r="J94">
            <v>0</v>
          </cell>
          <cell r="L94">
            <v>0</v>
          </cell>
        </row>
        <row r="95">
          <cell r="I95">
            <v>27773866</v>
          </cell>
          <cell r="J95">
            <v>238855247.59999999</v>
          </cell>
          <cell r="L95">
            <v>47493310.859999999</v>
          </cell>
        </row>
        <row r="96">
          <cell r="K96">
            <v>17772427.100000001</v>
          </cell>
          <cell r="M96">
            <v>33050900.539999999</v>
          </cell>
        </row>
        <row r="97">
          <cell r="I97">
            <v>0</v>
          </cell>
          <cell r="J97">
            <v>0</v>
          </cell>
          <cell r="L97">
            <v>0</v>
          </cell>
        </row>
        <row r="98">
          <cell r="I98">
            <v>0</v>
          </cell>
          <cell r="J98">
            <v>0</v>
          </cell>
          <cell r="L98">
            <v>0</v>
          </cell>
        </row>
        <row r="99">
          <cell r="I99">
            <v>2527444</v>
          </cell>
          <cell r="J99">
            <v>15088840.68</v>
          </cell>
          <cell r="L99">
            <v>2299974.04</v>
          </cell>
        </row>
        <row r="100">
          <cell r="K100">
            <v>1354243.13</v>
          </cell>
          <cell r="M100">
            <v>1668113.04</v>
          </cell>
        </row>
        <row r="101">
          <cell r="I101">
            <v>0</v>
          </cell>
          <cell r="J101">
            <v>0</v>
          </cell>
          <cell r="L101">
            <v>0</v>
          </cell>
        </row>
        <row r="102">
          <cell r="I102">
            <v>0</v>
          </cell>
          <cell r="J102">
            <v>0</v>
          </cell>
          <cell r="L102">
            <v>0</v>
          </cell>
        </row>
        <row r="103">
          <cell r="I103">
            <v>585412</v>
          </cell>
          <cell r="J103">
            <v>6585885</v>
          </cell>
          <cell r="L103">
            <v>1364009.96</v>
          </cell>
        </row>
        <row r="104">
          <cell r="K104">
            <v>1125</v>
          </cell>
          <cell r="M104">
            <v>983492.16</v>
          </cell>
        </row>
        <row r="105">
          <cell r="I105">
            <v>0</v>
          </cell>
          <cell r="J105">
            <v>0</v>
          </cell>
          <cell r="L105">
            <v>0</v>
          </cell>
        </row>
        <row r="106">
          <cell r="I106">
            <v>0</v>
          </cell>
          <cell r="J106">
            <v>0</v>
          </cell>
          <cell r="L106">
            <v>0</v>
          </cell>
        </row>
        <row r="107">
          <cell r="I107">
            <v>7900268</v>
          </cell>
          <cell r="J107">
            <v>61227077</v>
          </cell>
          <cell r="L107">
            <v>11929404.68</v>
          </cell>
        </row>
        <row r="108">
          <cell r="K108">
            <v>3698843</v>
          </cell>
          <cell r="M108">
            <v>9243313.5600000005</v>
          </cell>
        </row>
        <row r="109">
          <cell r="J109">
            <v>-7926597.4800000004</v>
          </cell>
          <cell r="K109">
            <v>-202576.65000000002</v>
          </cell>
          <cell r="L109">
            <v>-1788304.9444000721</v>
          </cell>
          <cell r="M109">
            <v>1840.96</v>
          </cell>
        </row>
        <row r="110">
          <cell r="I110">
            <v>321719398.22000003</v>
          </cell>
          <cell r="J110">
            <v>2317338584.388</v>
          </cell>
          <cell r="K110">
            <v>229671773.98999998</v>
          </cell>
          <cell r="L110">
            <v>480834731.44999999</v>
          </cell>
          <cell r="M110">
            <v>371915010.73999995</v>
          </cell>
        </row>
        <row r="111">
          <cell r="N111">
            <v>10507627.57</v>
          </cell>
        </row>
        <row r="112">
          <cell r="N112">
            <v>-171158511.91</v>
          </cell>
        </row>
        <row r="113">
          <cell r="N113">
            <v>-588334.01</v>
          </cell>
        </row>
        <row r="114">
          <cell r="N114">
            <v>12506731.43</v>
          </cell>
        </row>
        <row r="115">
          <cell r="N115">
            <v>3882796.7</v>
          </cell>
        </row>
        <row r="117">
          <cell r="N117">
            <v>-15010436.58</v>
          </cell>
        </row>
        <row r="118">
          <cell r="N118">
            <v>-68964678.159999996</v>
          </cell>
        </row>
        <row r="119">
          <cell r="N119">
            <v>-404149.78</v>
          </cell>
        </row>
        <row r="120">
          <cell r="N120">
            <v>-3346759.05</v>
          </cell>
        </row>
        <row r="123">
          <cell r="N123">
            <v>24274319.329999998</v>
          </cell>
        </row>
        <row r="124">
          <cell r="N124">
            <v>15151272.84</v>
          </cell>
        </row>
        <row r="125">
          <cell r="N125">
            <v>15673647.189999999</v>
          </cell>
        </row>
        <row r="126">
          <cell r="N126">
            <v>-1883827.9</v>
          </cell>
        </row>
        <row r="127">
          <cell r="N127">
            <v>1445566</v>
          </cell>
        </row>
        <row r="128">
          <cell r="N128">
            <v>54660977.460000001</v>
          </cell>
        </row>
      </sheetData>
      <sheetData sheetId="11">
        <row r="5">
          <cell r="I5">
            <v>0</v>
          </cell>
          <cell r="J5">
            <v>0</v>
          </cell>
          <cell r="L5">
            <v>0</v>
          </cell>
        </row>
        <row r="6">
          <cell r="I6">
            <v>-255</v>
          </cell>
          <cell r="J6">
            <v>-140.25</v>
          </cell>
          <cell r="L6">
            <v>-30.599999999999998</v>
          </cell>
        </row>
        <row r="7">
          <cell r="I7">
            <v>2356</v>
          </cell>
          <cell r="J7">
            <v>1884.8000000000002</v>
          </cell>
          <cell r="L7">
            <v>282.71999999999997</v>
          </cell>
        </row>
        <row r="8">
          <cell r="K8">
            <v>571.79999999999995</v>
          </cell>
          <cell r="M8">
            <v>0</v>
          </cell>
        </row>
        <row r="9">
          <cell r="I9">
            <v>-3565</v>
          </cell>
          <cell r="J9">
            <v>-7343.9000000000005</v>
          </cell>
          <cell r="L9">
            <v>-1960.7500000000002</v>
          </cell>
        </row>
        <row r="10">
          <cell r="I10">
            <v>-2841</v>
          </cell>
          <cell r="J10">
            <v>-10824.210000000001</v>
          </cell>
          <cell r="L10">
            <v>-2926.23</v>
          </cell>
        </row>
        <row r="11">
          <cell r="I11">
            <v>-891</v>
          </cell>
          <cell r="J11">
            <v>-4775.76</v>
          </cell>
          <cell r="L11">
            <v>-1283.04</v>
          </cell>
        </row>
        <row r="12">
          <cell r="I12">
            <v>-1184</v>
          </cell>
          <cell r="J12">
            <v>-8122.2400000000007</v>
          </cell>
          <cell r="L12">
            <v>-2190.4</v>
          </cell>
        </row>
        <row r="13">
          <cell r="I13">
            <v>-6264</v>
          </cell>
          <cell r="J13">
            <v>-15346.800000000001</v>
          </cell>
          <cell r="L13">
            <v>-3445.2000000000003</v>
          </cell>
        </row>
        <row r="14">
          <cell r="I14">
            <v>-3699</v>
          </cell>
          <cell r="J14">
            <v>-16645.5</v>
          </cell>
          <cell r="L14">
            <v>-3809.9700000000003</v>
          </cell>
        </row>
        <row r="15">
          <cell r="I15">
            <v>-1970</v>
          </cell>
          <cell r="J15">
            <v>-12509.5</v>
          </cell>
          <cell r="L15">
            <v>-2836.7999999999997</v>
          </cell>
        </row>
        <row r="16">
          <cell r="I16">
            <v>-2655</v>
          </cell>
          <cell r="J16">
            <v>-21240</v>
          </cell>
          <cell r="L16">
            <v>-4911.75</v>
          </cell>
        </row>
        <row r="17">
          <cell r="I17">
            <v>55452187</v>
          </cell>
          <cell r="J17">
            <v>146948295.54999998</v>
          </cell>
          <cell r="L17">
            <v>30498702.850000001</v>
          </cell>
        </row>
        <row r="18">
          <cell r="I18">
            <v>35291805</v>
          </cell>
          <cell r="J18">
            <v>188811156.75</v>
          </cell>
          <cell r="L18">
            <v>36350559.149999999</v>
          </cell>
        </row>
        <row r="19">
          <cell r="I19">
            <v>8151331</v>
          </cell>
          <cell r="J19">
            <v>61134982.5</v>
          </cell>
          <cell r="L19">
            <v>11737916.639999999</v>
          </cell>
        </row>
        <row r="20">
          <cell r="I20">
            <v>17606325</v>
          </cell>
          <cell r="J20">
            <v>168140403.75</v>
          </cell>
          <cell r="L20">
            <v>32571701.25</v>
          </cell>
        </row>
        <row r="24">
          <cell r="K24">
            <v>60091916.090000004</v>
          </cell>
          <cell r="M24">
            <v>79010584.319999993</v>
          </cell>
        </row>
        <row r="25">
          <cell r="I25">
            <v>-4266</v>
          </cell>
          <cell r="J25">
            <v>-23463</v>
          </cell>
          <cell r="L25">
            <v>-6313.68</v>
          </cell>
        </row>
        <row r="26">
          <cell r="I26">
            <v>-223</v>
          </cell>
          <cell r="J26">
            <v>-1819.68</v>
          </cell>
          <cell r="L26">
            <v>-490.6</v>
          </cell>
        </row>
        <row r="27">
          <cell r="I27">
            <v>-6298</v>
          </cell>
          <cell r="J27">
            <v>-41251.9</v>
          </cell>
          <cell r="L27">
            <v>-9321.0399999999991</v>
          </cell>
        </row>
        <row r="28">
          <cell r="I28">
            <v>-791</v>
          </cell>
          <cell r="J28">
            <v>-7158.55</v>
          </cell>
          <cell r="L28">
            <v>-1740.2</v>
          </cell>
        </row>
        <row r="29">
          <cell r="I29">
            <v>39132380</v>
          </cell>
          <cell r="J29">
            <v>291536231</v>
          </cell>
          <cell r="L29">
            <v>57915922.399999999</v>
          </cell>
        </row>
        <row r="30">
          <cell r="I30">
            <v>20677432</v>
          </cell>
          <cell r="J30">
            <v>206774320</v>
          </cell>
          <cell r="L30">
            <v>45490350.400000006</v>
          </cell>
        </row>
        <row r="32">
          <cell r="K32">
            <v>63404489.240000002</v>
          </cell>
          <cell r="M32">
            <v>94746056.699999988</v>
          </cell>
        </row>
        <row r="33">
          <cell r="I33">
            <v>0</v>
          </cell>
          <cell r="J33">
            <v>0</v>
          </cell>
          <cell r="L33">
            <v>0</v>
          </cell>
        </row>
        <row r="34">
          <cell r="I34">
            <v>0</v>
          </cell>
          <cell r="J34">
            <v>0</v>
          </cell>
          <cell r="L34">
            <v>0</v>
          </cell>
        </row>
        <row r="35">
          <cell r="I35">
            <v>16089115</v>
          </cell>
          <cell r="J35">
            <v>149628769.5</v>
          </cell>
          <cell r="L35">
            <v>34591597.25</v>
          </cell>
        </row>
        <row r="36">
          <cell r="K36">
            <v>18775084.82</v>
          </cell>
          <cell r="M36">
            <v>25420801.699999999</v>
          </cell>
        </row>
        <row r="37">
          <cell r="I37">
            <v>0</v>
          </cell>
          <cell r="J37">
            <v>0</v>
          </cell>
          <cell r="L37">
            <v>0</v>
          </cell>
        </row>
        <row r="38">
          <cell r="I38">
            <v>0</v>
          </cell>
          <cell r="J38">
            <v>0</v>
          </cell>
          <cell r="L38">
            <v>0</v>
          </cell>
        </row>
        <row r="39">
          <cell r="I39">
            <v>32284733</v>
          </cell>
          <cell r="J39">
            <v>313161910.09999996</v>
          </cell>
          <cell r="L39">
            <v>70380717.940000013</v>
          </cell>
        </row>
        <row r="40">
          <cell r="K40">
            <v>32533225.769999996</v>
          </cell>
          <cell r="M40">
            <v>51978420.129999995</v>
          </cell>
        </row>
        <row r="41">
          <cell r="I41">
            <v>-20</v>
          </cell>
          <cell r="J41">
            <v>-104.2</v>
          </cell>
          <cell r="L41">
            <v>-28</v>
          </cell>
        </row>
        <row r="42">
          <cell r="I42">
            <v>0</v>
          </cell>
          <cell r="J42">
            <v>0</v>
          </cell>
          <cell r="L42">
            <v>0</v>
          </cell>
        </row>
        <row r="43">
          <cell r="I43">
            <v>-157</v>
          </cell>
          <cell r="J43">
            <v>-894.9</v>
          </cell>
          <cell r="L43">
            <v>-219.79999999999998</v>
          </cell>
        </row>
        <row r="44">
          <cell r="I44">
            <v>0</v>
          </cell>
          <cell r="J44">
            <v>0</v>
          </cell>
          <cell r="L44">
            <v>0</v>
          </cell>
        </row>
        <row r="45">
          <cell r="I45">
            <v>1623817</v>
          </cell>
          <cell r="J45">
            <v>10311237.949999999</v>
          </cell>
          <cell r="L45">
            <v>2273343.7999999998</v>
          </cell>
        </row>
        <row r="46">
          <cell r="I46">
            <v>1659447</v>
          </cell>
          <cell r="J46">
            <v>14188271.850000001</v>
          </cell>
          <cell r="L46">
            <v>3252516.12</v>
          </cell>
        </row>
        <row r="48">
          <cell r="K48">
            <v>2750967.4499999997</v>
          </cell>
          <cell r="M48">
            <v>5272484.16</v>
          </cell>
        </row>
        <row r="49">
          <cell r="I49">
            <v>0</v>
          </cell>
          <cell r="J49">
            <v>0</v>
          </cell>
          <cell r="L49">
            <v>0</v>
          </cell>
        </row>
        <row r="50">
          <cell r="I50">
            <v>0</v>
          </cell>
          <cell r="J50">
            <v>0</v>
          </cell>
          <cell r="L50">
            <v>0</v>
          </cell>
        </row>
        <row r="51">
          <cell r="I51">
            <v>4098594</v>
          </cell>
          <cell r="J51">
            <v>33198611.399999999</v>
          </cell>
          <cell r="L51">
            <v>7172539.5</v>
          </cell>
        </row>
        <row r="52">
          <cell r="K52">
            <v>4741271.34</v>
          </cell>
          <cell r="M52">
            <v>5246200.3199999994</v>
          </cell>
        </row>
        <row r="53">
          <cell r="I53">
            <v>0</v>
          </cell>
          <cell r="J53">
            <v>0</v>
          </cell>
          <cell r="L53">
            <v>0</v>
          </cell>
        </row>
        <row r="54">
          <cell r="I54">
            <v>0</v>
          </cell>
          <cell r="J54">
            <v>0</v>
          </cell>
          <cell r="L54">
            <v>0</v>
          </cell>
        </row>
        <row r="55">
          <cell r="I55">
            <v>3836238</v>
          </cell>
          <cell r="J55">
            <v>31648963.5</v>
          </cell>
          <cell r="L55">
            <v>6598329.3600000003</v>
          </cell>
        </row>
        <row r="56">
          <cell r="K56">
            <v>2606765.04</v>
          </cell>
          <cell r="M56">
            <v>4756935.12</v>
          </cell>
        </row>
        <row r="57">
          <cell r="I57">
            <v>-4</v>
          </cell>
          <cell r="J57">
            <v>-47</v>
          </cell>
          <cell r="L57">
            <v>-12.64</v>
          </cell>
        </row>
        <row r="58">
          <cell r="I58">
            <v>14</v>
          </cell>
          <cell r="J58">
            <v>189</v>
          </cell>
          <cell r="L58">
            <v>44.24</v>
          </cell>
        </row>
        <row r="59">
          <cell r="I59">
            <v>140065</v>
          </cell>
          <cell r="J59">
            <v>2009932.75</v>
          </cell>
          <cell r="L59">
            <v>442605.4</v>
          </cell>
        </row>
        <row r="60">
          <cell r="K60">
            <v>324573.31999999995</v>
          </cell>
          <cell r="M60">
            <v>321683.17</v>
          </cell>
        </row>
        <row r="61">
          <cell r="I61">
            <v>0</v>
          </cell>
          <cell r="J61">
            <v>0</v>
          </cell>
          <cell r="L61">
            <v>0</v>
          </cell>
        </row>
        <row r="62">
          <cell r="I62">
            <v>0</v>
          </cell>
          <cell r="J62">
            <v>0</v>
          </cell>
          <cell r="L62">
            <v>0</v>
          </cell>
        </row>
        <row r="63">
          <cell r="I63">
            <v>2530329.56</v>
          </cell>
          <cell r="J63">
            <v>19989603.524</v>
          </cell>
          <cell r="L63">
            <v>3846100.9312</v>
          </cell>
        </row>
        <row r="64">
          <cell r="K64">
            <v>1943013.95</v>
          </cell>
          <cell r="M64">
            <v>2251993.31</v>
          </cell>
        </row>
        <row r="65">
          <cell r="I65">
            <v>0</v>
          </cell>
          <cell r="J65">
            <v>0</v>
          </cell>
          <cell r="L65">
            <v>0</v>
          </cell>
        </row>
        <row r="66">
          <cell r="I66">
            <v>0</v>
          </cell>
          <cell r="J66">
            <v>0</v>
          </cell>
          <cell r="L66">
            <v>0</v>
          </cell>
        </row>
        <row r="67">
          <cell r="I67">
            <v>388170</v>
          </cell>
          <cell r="J67">
            <v>3066543</v>
          </cell>
          <cell r="L67">
            <v>590018.4</v>
          </cell>
        </row>
        <row r="68">
          <cell r="K68">
            <v>226501.15</v>
          </cell>
          <cell r="M68">
            <v>434750.4</v>
          </cell>
        </row>
        <row r="69">
          <cell r="I69">
            <v>15</v>
          </cell>
          <cell r="J69">
            <v>48.45</v>
          </cell>
          <cell r="L69">
            <v>13.05</v>
          </cell>
        </row>
        <row r="70">
          <cell r="I70">
            <v>12</v>
          </cell>
          <cell r="J70">
            <v>42</v>
          </cell>
          <cell r="L70">
            <v>10.44</v>
          </cell>
        </row>
        <row r="71">
          <cell r="I71">
            <v>44156</v>
          </cell>
          <cell r="J71">
            <v>194286.40000000002</v>
          </cell>
          <cell r="L71">
            <v>38415.72</v>
          </cell>
        </row>
        <row r="72">
          <cell r="K72">
            <v>26106.67</v>
          </cell>
          <cell r="M72">
            <v>31800.959999999999</v>
          </cell>
        </row>
        <row r="73">
          <cell r="I73">
            <v>0</v>
          </cell>
          <cell r="J73">
            <v>0</v>
          </cell>
          <cell r="L73">
            <v>0</v>
          </cell>
        </row>
        <row r="74">
          <cell r="I74">
            <v>0</v>
          </cell>
          <cell r="J74">
            <v>0</v>
          </cell>
          <cell r="L74">
            <v>0</v>
          </cell>
        </row>
        <row r="75">
          <cell r="I75">
            <v>2860089</v>
          </cell>
          <cell r="J75">
            <v>32891023.5</v>
          </cell>
          <cell r="L75">
            <v>7236025.169999999</v>
          </cell>
        </row>
        <row r="76">
          <cell r="K76">
            <v>2034573.37</v>
          </cell>
          <cell r="M76">
            <v>5405568.21</v>
          </cell>
        </row>
        <row r="77">
          <cell r="I77">
            <v>0</v>
          </cell>
          <cell r="J77">
            <v>0</v>
          </cell>
          <cell r="L77">
            <v>0</v>
          </cell>
        </row>
        <row r="78">
          <cell r="I78">
            <v>0</v>
          </cell>
          <cell r="J78">
            <v>0</v>
          </cell>
          <cell r="L78">
            <v>0</v>
          </cell>
        </row>
        <row r="79">
          <cell r="I79">
            <v>92105</v>
          </cell>
          <cell r="J79">
            <v>419077.75</v>
          </cell>
          <cell r="L79">
            <v>76447.149999999994</v>
          </cell>
        </row>
        <row r="80">
          <cell r="K80">
            <v>6000</v>
          </cell>
          <cell r="M80">
            <v>50657.75</v>
          </cell>
        </row>
        <row r="81">
          <cell r="I81">
            <v>0</v>
          </cell>
          <cell r="J81">
            <v>0</v>
          </cell>
          <cell r="L81">
            <v>0</v>
          </cell>
        </row>
        <row r="82">
          <cell r="I82">
            <v>0</v>
          </cell>
          <cell r="J82">
            <v>0</v>
          </cell>
          <cell r="L82">
            <v>0</v>
          </cell>
        </row>
        <row r="83">
          <cell r="I83">
            <v>882068</v>
          </cell>
          <cell r="J83">
            <v>7321164.4000000004</v>
          </cell>
          <cell r="L83">
            <v>1614184.4400000002</v>
          </cell>
        </row>
        <row r="84">
          <cell r="K84">
            <v>546249.99</v>
          </cell>
          <cell r="M84">
            <v>1331922.68</v>
          </cell>
        </row>
        <row r="85">
          <cell r="I85">
            <v>0</v>
          </cell>
          <cell r="J85">
            <v>0</v>
          </cell>
          <cell r="L85">
            <v>0</v>
          </cell>
        </row>
        <row r="86">
          <cell r="I86">
            <v>0</v>
          </cell>
          <cell r="J86">
            <v>0</v>
          </cell>
          <cell r="L86">
            <v>0</v>
          </cell>
        </row>
        <row r="87">
          <cell r="I87">
            <v>5455905</v>
          </cell>
          <cell r="J87">
            <v>45284011.500000007</v>
          </cell>
          <cell r="L87">
            <v>9984306.1500000004</v>
          </cell>
        </row>
        <row r="88">
          <cell r="K88">
            <v>5056794.53</v>
          </cell>
          <cell r="M88">
            <v>7747385.0999999996</v>
          </cell>
        </row>
        <row r="89">
          <cell r="I89">
            <v>0</v>
          </cell>
          <cell r="J89">
            <v>0</v>
          </cell>
          <cell r="L89">
            <v>0</v>
          </cell>
        </row>
        <row r="90">
          <cell r="I90">
            <v>0</v>
          </cell>
          <cell r="J90">
            <v>0</v>
          </cell>
          <cell r="L90">
            <v>0</v>
          </cell>
        </row>
        <row r="91">
          <cell r="I91">
            <v>13806635</v>
          </cell>
          <cell r="J91">
            <v>110453080</v>
          </cell>
          <cell r="L91">
            <v>21952549.650000002</v>
          </cell>
        </row>
        <row r="92">
          <cell r="K92">
            <v>8720229.5</v>
          </cell>
          <cell r="M92">
            <v>15601497.550000001</v>
          </cell>
        </row>
        <row r="93">
          <cell r="I93">
            <v>0</v>
          </cell>
          <cell r="J93">
            <v>0</v>
          </cell>
          <cell r="L93">
            <v>0</v>
          </cell>
        </row>
        <row r="94">
          <cell r="I94">
            <v>0</v>
          </cell>
          <cell r="J94">
            <v>0</v>
          </cell>
          <cell r="L94">
            <v>0</v>
          </cell>
        </row>
        <row r="95">
          <cell r="I95">
            <v>26393338</v>
          </cell>
          <cell r="J95">
            <v>226982706.79999998</v>
          </cell>
          <cell r="L95">
            <v>45132607.979999997</v>
          </cell>
        </row>
        <row r="96">
          <cell r="K96">
            <v>17141344.100000001</v>
          </cell>
          <cell r="M96">
            <v>31408072.219999999</v>
          </cell>
        </row>
        <row r="97">
          <cell r="I97">
            <v>0</v>
          </cell>
          <cell r="J97">
            <v>0</v>
          </cell>
          <cell r="L97">
            <v>0</v>
          </cell>
        </row>
        <row r="98">
          <cell r="I98">
            <v>0</v>
          </cell>
          <cell r="J98">
            <v>0</v>
          </cell>
          <cell r="L98">
            <v>0</v>
          </cell>
        </row>
        <row r="99">
          <cell r="I99">
            <v>2385316</v>
          </cell>
          <cell r="J99">
            <v>14240336.52</v>
          </cell>
          <cell r="L99">
            <v>2170637.56</v>
          </cell>
        </row>
        <row r="100">
          <cell r="K100">
            <v>1327020.3799999999</v>
          </cell>
          <cell r="M100">
            <v>1574308.56</v>
          </cell>
        </row>
        <row r="101">
          <cell r="I101">
            <v>0</v>
          </cell>
          <cell r="J101">
            <v>0</v>
          </cell>
          <cell r="L101">
            <v>0</v>
          </cell>
        </row>
        <row r="102">
          <cell r="I102">
            <v>0</v>
          </cell>
          <cell r="J102">
            <v>0</v>
          </cell>
          <cell r="L102">
            <v>0</v>
          </cell>
        </row>
        <row r="103">
          <cell r="I103">
            <v>546064</v>
          </cell>
          <cell r="J103">
            <v>6143220</v>
          </cell>
          <cell r="L103">
            <v>1272329.1200000001</v>
          </cell>
        </row>
        <row r="104">
          <cell r="K104">
            <v>1000</v>
          </cell>
          <cell r="M104">
            <v>917387.52</v>
          </cell>
        </row>
        <row r="105">
          <cell r="I105">
            <v>0</v>
          </cell>
          <cell r="J105">
            <v>0</v>
          </cell>
          <cell r="L105">
            <v>0</v>
          </cell>
        </row>
        <row r="106">
          <cell r="I106">
            <v>0</v>
          </cell>
          <cell r="J106">
            <v>0</v>
          </cell>
          <cell r="L106">
            <v>0</v>
          </cell>
        </row>
        <row r="107">
          <cell r="I107">
            <v>7494186</v>
          </cell>
          <cell r="J107">
            <v>58079941.5</v>
          </cell>
          <cell r="L107">
            <v>11316220.859999999</v>
          </cell>
        </row>
        <row r="108">
          <cell r="K108">
            <v>3537193</v>
          </cell>
          <cell r="M108">
            <v>8768197.6199999992</v>
          </cell>
        </row>
        <row r="109">
          <cell r="J109">
            <v>-8520978.4199999943</v>
          </cell>
          <cell r="K109">
            <v>74655.850000000093</v>
          </cell>
          <cell r="L109">
            <v>-2105400.3400001526</v>
          </cell>
          <cell r="M109">
            <v>-1211121.8200000003</v>
          </cell>
        </row>
        <row r="110">
          <cell r="I110">
            <v>298889144.56</v>
          </cell>
          <cell r="J110">
            <v>2133867579.9339998</v>
          </cell>
          <cell r="K110">
            <v>225869547.36000001</v>
          </cell>
          <cell r="L110">
            <v>442360074.60119992</v>
          </cell>
          <cell r="M110">
            <v>341065585.67999995</v>
          </cell>
        </row>
        <row r="111">
          <cell r="N111">
            <v>9829789.9000000004</v>
          </cell>
        </row>
        <row r="112">
          <cell r="N112">
            <v>-498467448.10000002</v>
          </cell>
        </row>
        <row r="113">
          <cell r="N113">
            <v>-162818.07999999996</v>
          </cell>
        </row>
        <row r="114">
          <cell r="N114">
            <v>11417618.810000001</v>
          </cell>
        </row>
        <row r="115">
          <cell r="N115">
            <v>1476723.14</v>
          </cell>
        </row>
        <row r="117">
          <cell r="N117">
            <v>-14850574.16</v>
          </cell>
        </row>
        <row r="118">
          <cell r="N118">
            <v>-58119959.32</v>
          </cell>
        </row>
        <row r="119">
          <cell r="N119">
            <v>-374164.73</v>
          </cell>
        </row>
        <row r="120">
          <cell r="N120">
            <v>-2646706.08</v>
          </cell>
        </row>
        <row r="123">
          <cell r="N123">
            <v>24473184</v>
          </cell>
        </row>
        <row r="124">
          <cell r="N124">
            <v>12633053.529999999</v>
          </cell>
        </row>
        <row r="125">
          <cell r="N125">
            <v>17410124.850000001</v>
          </cell>
        </row>
        <row r="126">
          <cell r="N126">
            <v>-1198158.73</v>
          </cell>
        </row>
        <row r="127">
          <cell r="N127">
            <v>1199433</v>
          </cell>
        </row>
        <row r="128">
          <cell r="N128">
            <v>54517636.650000006</v>
          </cell>
        </row>
      </sheetData>
      <sheetData sheetId="12">
        <row r="5">
          <cell r="I5">
            <v>0</v>
          </cell>
          <cell r="J5">
            <v>0</v>
          </cell>
          <cell r="L5">
            <v>0</v>
          </cell>
        </row>
        <row r="6">
          <cell r="I6">
            <v>0</v>
          </cell>
          <cell r="J6">
            <v>0</v>
          </cell>
          <cell r="L6">
            <v>0</v>
          </cell>
        </row>
        <row r="7">
          <cell r="I7">
            <v>3463</v>
          </cell>
          <cell r="J7">
            <v>2770.4</v>
          </cell>
          <cell r="L7">
            <v>415.56</v>
          </cell>
        </row>
        <row r="8">
          <cell r="K8">
            <v>574.6</v>
          </cell>
          <cell r="M8">
            <v>311.67</v>
          </cell>
        </row>
        <row r="9">
          <cell r="I9">
            <v>-3865</v>
          </cell>
          <cell r="J9">
            <v>-7961.9000000000005</v>
          </cell>
          <cell r="L9">
            <v>-2125.75</v>
          </cell>
        </row>
        <row r="10">
          <cell r="I10">
            <v>-3548</v>
          </cell>
          <cell r="J10">
            <v>-13517.880000000001</v>
          </cell>
          <cell r="L10">
            <v>-3654.44</v>
          </cell>
        </row>
        <row r="11">
          <cell r="I11">
            <v>-2213</v>
          </cell>
          <cell r="J11">
            <v>-11861.68</v>
          </cell>
          <cell r="L11">
            <v>-3186.72</v>
          </cell>
        </row>
        <row r="12">
          <cell r="I12">
            <v>-9110</v>
          </cell>
          <cell r="J12">
            <v>-62494.600000000006</v>
          </cell>
          <cell r="L12">
            <v>-16853.5</v>
          </cell>
        </row>
        <row r="13">
          <cell r="I13">
            <v>-6218</v>
          </cell>
          <cell r="J13">
            <v>-15234.1</v>
          </cell>
          <cell r="L13">
            <v>-3419.9</v>
          </cell>
        </row>
        <row r="14">
          <cell r="I14">
            <v>-5660</v>
          </cell>
          <cell r="J14">
            <v>-25470</v>
          </cell>
          <cell r="L14">
            <v>-5829.8</v>
          </cell>
        </row>
        <row r="15">
          <cell r="I15">
            <v>-3979</v>
          </cell>
          <cell r="J15">
            <v>-25266.649999999998</v>
          </cell>
          <cell r="L15">
            <v>-5729.76</v>
          </cell>
        </row>
        <row r="16">
          <cell r="I16">
            <v>-14555</v>
          </cell>
          <cell r="J16">
            <v>-116440</v>
          </cell>
          <cell r="L16">
            <v>-26926.75</v>
          </cell>
        </row>
        <row r="17">
          <cell r="I17">
            <v>57119531</v>
          </cell>
          <cell r="J17">
            <v>151366757.15000001</v>
          </cell>
          <cell r="L17">
            <v>31415742.050000001</v>
          </cell>
        </row>
        <row r="18">
          <cell r="I18">
            <v>39599214</v>
          </cell>
          <cell r="J18">
            <v>211855794.89999998</v>
          </cell>
          <cell r="L18">
            <v>40787190.420000002</v>
          </cell>
        </row>
        <row r="19">
          <cell r="I19">
            <v>9506707</v>
          </cell>
          <cell r="J19">
            <v>71300302.5</v>
          </cell>
          <cell r="L19">
            <v>13689658.08</v>
          </cell>
        </row>
        <row r="20">
          <cell r="I20">
            <v>18246604</v>
          </cell>
          <cell r="J20">
            <v>174255068.20000002</v>
          </cell>
          <cell r="L20">
            <v>33756217.399999999</v>
          </cell>
        </row>
        <row r="24">
          <cell r="K24">
            <v>61309799.439999998</v>
          </cell>
          <cell r="M24">
            <v>85077762.670000002</v>
          </cell>
        </row>
        <row r="25">
          <cell r="I25">
            <v>-3577</v>
          </cell>
          <cell r="J25">
            <v>-19673.5</v>
          </cell>
          <cell r="L25">
            <v>-5293.96</v>
          </cell>
        </row>
        <row r="26">
          <cell r="I26">
            <v>-3090</v>
          </cell>
          <cell r="J26">
            <v>-25214.400000000001</v>
          </cell>
          <cell r="L26">
            <v>-6798.0000000000009</v>
          </cell>
        </row>
        <row r="27">
          <cell r="I27">
            <v>-4787</v>
          </cell>
          <cell r="J27">
            <v>-31354.85</v>
          </cell>
          <cell r="L27">
            <v>-7084.76</v>
          </cell>
        </row>
        <row r="28">
          <cell r="I28">
            <v>-10486</v>
          </cell>
          <cell r="J28">
            <v>-94898.3</v>
          </cell>
          <cell r="L28">
            <v>-23069.200000000001</v>
          </cell>
        </row>
        <row r="29">
          <cell r="I29">
            <v>40670584</v>
          </cell>
          <cell r="J29">
            <v>302995850.80000001</v>
          </cell>
          <cell r="L29">
            <v>60192464.32</v>
          </cell>
        </row>
        <row r="30">
          <cell r="I30">
            <v>21596450</v>
          </cell>
          <cell r="J30">
            <v>215964500</v>
          </cell>
          <cell r="L30">
            <v>47512190.000000007</v>
          </cell>
        </row>
        <row r="32">
          <cell r="K32">
            <v>63405239.43</v>
          </cell>
          <cell r="M32">
            <v>98786771.299999997</v>
          </cell>
        </row>
        <row r="33">
          <cell r="I33">
            <v>0</v>
          </cell>
          <cell r="J33">
            <v>0</v>
          </cell>
          <cell r="L33">
            <v>0</v>
          </cell>
        </row>
        <row r="34">
          <cell r="I34">
            <v>-14278</v>
          </cell>
          <cell r="J34">
            <v>-120649.09999999999</v>
          </cell>
          <cell r="L34">
            <v>-30697.699999999997</v>
          </cell>
        </row>
        <row r="35">
          <cell r="I35">
            <v>15978776</v>
          </cell>
          <cell r="J35">
            <v>148602616.80000001</v>
          </cell>
          <cell r="L35">
            <v>34354368.399999999</v>
          </cell>
        </row>
        <row r="36">
          <cell r="K36">
            <v>19432995.859999999</v>
          </cell>
          <cell r="M36">
            <v>25243498.84</v>
          </cell>
        </row>
        <row r="37">
          <cell r="I37">
            <v>0</v>
          </cell>
          <cell r="J37">
            <v>0</v>
          </cell>
          <cell r="L37">
            <v>0</v>
          </cell>
        </row>
        <row r="38">
          <cell r="I38">
            <v>0</v>
          </cell>
          <cell r="J38">
            <v>0</v>
          </cell>
          <cell r="L38">
            <v>0</v>
          </cell>
        </row>
        <row r="39">
          <cell r="I39">
            <v>31893368</v>
          </cell>
          <cell r="J39">
            <v>309365669.59999996</v>
          </cell>
          <cell r="L39">
            <v>69527542.24000001</v>
          </cell>
        </row>
        <row r="40">
          <cell r="K40">
            <v>33287639.719999999</v>
          </cell>
          <cell r="M40">
            <v>51348322.479999997</v>
          </cell>
        </row>
        <row r="41">
          <cell r="I41">
            <v>0</v>
          </cell>
          <cell r="J41">
            <v>0</v>
          </cell>
          <cell r="L41">
            <v>0</v>
          </cell>
        </row>
        <row r="42">
          <cell r="I42">
            <v>0</v>
          </cell>
          <cell r="J42">
            <v>0</v>
          </cell>
          <cell r="L42">
            <v>0</v>
          </cell>
        </row>
        <row r="43">
          <cell r="I43">
            <v>0</v>
          </cell>
          <cell r="J43">
            <v>0</v>
          </cell>
          <cell r="L43">
            <v>0</v>
          </cell>
        </row>
        <row r="44">
          <cell r="I44">
            <v>0</v>
          </cell>
          <cell r="J44">
            <v>0</v>
          </cell>
          <cell r="L44">
            <v>0</v>
          </cell>
        </row>
        <row r="45">
          <cell r="I45">
            <v>1652985</v>
          </cell>
          <cell r="J45">
            <v>10496454.75</v>
          </cell>
          <cell r="L45">
            <v>2314179</v>
          </cell>
        </row>
        <row r="46">
          <cell r="I46">
            <v>1631077</v>
          </cell>
          <cell r="J46">
            <v>13945708.350000001</v>
          </cell>
          <cell r="L46">
            <v>3196910.92</v>
          </cell>
        </row>
        <row r="48">
          <cell r="K48">
            <v>2748023.23</v>
          </cell>
          <cell r="M48">
            <v>5242226.24</v>
          </cell>
        </row>
        <row r="49">
          <cell r="I49">
            <v>0</v>
          </cell>
          <cell r="J49">
            <v>0</v>
          </cell>
          <cell r="L49">
            <v>0</v>
          </cell>
        </row>
        <row r="50">
          <cell r="I50">
            <v>0</v>
          </cell>
          <cell r="J50">
            <v>0</v>
          </cell>
          <cell r="L50">
            <v>0</v>
          </cell>
        </row>
        <row r="51">
          <cell r="I51">
            <v>3799726</v>
          </cell>
          <cell r="J51">
            <v>30777780.599999998</v>
          </cell>
          <cell r="L51">
            <v>6649520.5</v>
          </cell>
        </row>
        <row r="52">
          <cell r="K52">
            <v>4749705.49</v>
          </cell>
          <cell r="M52">
            <v>4863649.28</v>
          </cell>
        </row>
        <row r="53">
          <cell r="I53">
            <v>0</v>
          </cell>
          <cell r="J53">
            <v>0</v>
          </cell>
          <cell r="L53">
            <v>0</v>
          </cell>
        </row>
        <row r="54">
          <cell r="I54">
            <v>0</v>
          </cell>
          <cell r="J54">
            <v>0</v>
          </cell>
          <cell r="L54">
            <v>0</v>
          </cell>
        </row>
        <row r="55">
          <cell r="I55">
            <v>3563170</v>
          </cell>
          <cell r="J55">
            <v>29396152.5</v>
          </cell>
          <cell r="L55">
            <v>6128652.3999999994</v>
          </cell>
        </row>
        <row r="56">
          <cell r="K56">
            <v>2675250.44</v>
          </cell>
          <cell r="M56">
            <v>4418330.8</v>
          </cell>
        </row>
        <row r="57">
          <cell r="I57">
            <v>-930</v>
          </cell>
          <cell r="J57">
            <v>-10927.5</v>
          </cell>
          <cell r="L57">
            <v>-2938.8</v>
          </cell>
        </row>
        <row r="58">
          <cell r="I58">
            <v>-1268</v>
          </cell>
          <cell r="J58">
            <v>-17118</v>
          </cell>
          <cell r="L58">
            <v>-4006.88</v>
          </cell>
        </row>
        <row r="59">
          <cell r="I59">
            <v>129241</v>
          </cell>
          <cell r="J59">
            <v>1854608.3499999999</v>
          </cell>
          <cell r="L59">
            <v>408401.56</v>
          </cell>
        </row>
        <row r="60">
          <cell r="K60">
            <v>323266.68</v>
          </cell>
          <cell r="M60">
            <v>300805.24</v>
          </cell>
        </row>
        <row r="61">
          <cell r="I61">
            <v>0</v>
          </cell>
          <cell r="J61">
            <v>0</v>
          </cell>
          <cell r="L61">
            <v>0</v>
          </cell>
        </row>
        <row r="62">
          <cell r="I62">
            <v>0</v>
          </cell>
          <cell r="J62">
            <v>0</v>
          </cell>
          <cell r="L62">
            <v>0</v>
          </cell>
        </row>
        <row r="63">
          <cell r="I63">
            <v>2207498.12</v>
          </cell>
          <cell r="J63">
            <v>17439235.148000002</v>
          </cell>
          <cell r="L63">
            <v>3355397.1424000002</v>
          </cell>
        </row>
        <row r="64">
          <cell r="K64">
            <v>1886986.87</v>
          </cell>
          <cell r="M64">
            <v>2472397.89</v>
          </cell>
        </row>
        <row r="65">
          <cell r="I65">
            <v>-9</v>
          </cell>
          <cell r="J65">
            <v>-50.94</v>
          </cell>
          <cell r="L65">
            <v>-13.68</v>
          </cell>
        </row>
        <row r="66">
          <cell r="I66">
            <v>-33</v>
          </cell>
          <cell r="J66">
            <v>-222.75</v>
          </cell>
          <cell r="L66">
            <v>-50.160000000000004</v>
          </cell>
        </row>
        <row r="67">
          <cell r="I67">
            <v>242002</v>
          </cell>
          <cell r="J67">
            <v>1911815.8</v>
          </cell>
          <cell r="L67">
            <v>367843.04</v>
          </cell>
        </row>
        <row r="68">
          <cell r="K68">
            <v>224792.35</v>
          </cell>
          <cell r="M68">
            <v>271042.24</v>
          </cell>
        </row>
        <row r="69">
          <cell r="I69">
            <v>0</v>
          </cell>
          <cell r="J69">
            <v>0</v>
          </cell>
          <cell r="L69">
            <v>0</v>
          </cell>
        </row>
        <row r="70">
          <cell r="I70">
            <v>815</v>
          </cell>
          <cell r="J70">
            <v>2852.5</v>
          </cell>
          <cell r="L70">
            <v>709.05</v>
          </cell>
        </row>
        <row r="71">
          <cell r="I71">
            <v>30464</v>
          </cell>
          <cell r="J71">
            <v>134041.60000000001</v>
          </cell>
          <cell r="L71">
            <v>26503.68</v>
          </cell>
        </row>
        <row r="72">
          <cell r="K72">
            <v>12313.33</v>
          </cell>
          <cell r="M72">
            <v>22520.880000000001</v>
          </cell>
        </row>
        <row r="73">
          <cell r="I73">
            <v>0</v>
          </cell>
          <cell r="J73">
            <v>0</v>
          </cell>
          <cell r="L73">
            <v>0</v>
          </cell>
        </row>
        <row r="74">
          <cell r="I74">
            <v>742</v>
          </cell>
          <cell r="J74">
            <v>7791</v>
          </cell>
          <cell r="L74">
            <v>1877.2599999999998</v>
          </cell>
        </row>
        <row r="75">
          <cell r="I75">
            <v>2608995</v>
          </cell>
          <cell r="J75">
            <v>30003442.5</v>
          </cell>
          <cell r="L75">
            <v>6600757.3499999996</v>
          </cell>
        </row>
        <row r="76">
          <cell r="K76">
            <v>2066959.98</v>
          </cell>
          <cell r="M76">
            <v>4932402.93</v>
          </cell>
        </row>
        <row r="77">
          <cell r="I77">
            <v>0</v>
          </cell>
          <cell r="J77">
            <v>0</v>
          </cell>
          <cell r="L77">
            <v>0</v>
          </cell>
        </row>
        <row r="78">
          <cell r="I78">
            <v>0</v>
          </cell>
          <cell r="J78">
            <v>0</v>
          </cell>
          <cell r="L78">
            <v>0</v>
          </cell>
        </row>
        <row r="79">
          <cell r="I79">
            <v>83340</v>
          </cell>
          <cell r="J79">
            <v>379197</v>
          </cell>
          <cell r="L79">
            <v>69172.2</v>
          </cell>
        </row>
        <row r="80">
          <cell r="K80">
            <v>6000</v>
          </cell>
          <cell r="M80">
            <v>45837</v>
          </cell>
        </row>
        <row r="81">
          <cell r="I81">
            <v>0</v>
          </cell>
          <cell r="J81">
            <v>0</v>
          </cell>
          <cell r="L81">
            <v>0</v>
          </cell>
        </row>
        <row r="82">
          <cell r="I82">
            <v>0</v>
          </cell>
          <cell r="J82">
            <v>0</v>
          </cell>
          <cell r="L82">
            <v>0</v>
          </cell>
        </row>
        <row r="83">
          <cell r="I83">
            <v>945556</v>
          </cell>
          <cell r="J83">
            <v>7848114.8000000007</v>
          </cell>
          <cell r="L83">
            <v>1730367.48</v>
          </cell>
        </row>
        <row r="84">
          <cell r="K84">
            <v>549850.04</v>
          </cell>
          <cell r="M84">
            <v>1427789.56</v>
          </cell>
        </row>
        <row r="85">
          <cell r="I85">
            <v>0</v>
          </cell>
          <cell r="J85">
            <v>0</v>
          </cell>
          <cell r="L85">
            <v>0</v>
          </cell>
        </row>
        <row r="86">
          <cell r="I86">
            <v>0</v>
          </cell>
          <cell r="J86">
            <v>0</v>
          </cell>
          <cell r="L86">
            <v>0</v>
          </cell>
        </row>
        <row r="87">
          <cell r="I87">
            <v>5540364</v>
          </cell>
          <cell r="J87">
            <v>45985021.200000003</v>
          </cell>
          <cell r="L87">
            <v>10138866.120000001</v>
          </cell>
        </row>
        <row r="88">
          <cell r="K88">
            <v>5257411.9400000004</v>
          </cell>
          <cell r="M88">
            <v>7867316.8799999999</v>
          </cell>
        </row>
        <row r="89">
          <cell r="I89">
            <v>0</v>
          </cell>
          <cell r="J89">
            <v>0</v>
          </cell>
          <cell r="L89">
            <v>0</v>
          </cell>
        </row>
        <row r="90">
          <cell r="I90">
            <v>0</v>
          </cell>
          <cell r="J90">
            <v>0</v>
          </cell>
          <cell r="L90">
            <v>0</v>
          </cell>
        </row>
        <row r="91">
          <cell r="I91">
            <v>12380461</v>
          </cell>
          <cell r="J91">
            <v>99043688</v>
          </cell>
          <cell r="L91">
            <v>19684932.990000002</v>
          </cell>
        </row>
        <row r="92">
          <cell r="K92">
            <v>8801851.5</v>
          </cell>
          <cell r="M92">
            <v>13989920.93</v>
          </cell>
        </row>
        <row r="93">
          <cell r="I93">
            <v>0</v>
          </cell>
          <cell r="J93">
            <v>0</v>
          </cell>
          <cell r="L93">
            <v>0</v>
          </cell>
        </row>
        <row r="94">
          <cell r="I94">
            <v>0</v>
          </cell>
          <cell r="J94">
            <v>0</v>
          </cell>
          <cell r="L94">
            <v>0</v>
          </cell>
        </row>
        <row r="95">
          <cell r="I95">
            <v>25604884</v>
          </cell>
          <cell r="J95">
            <v>220202002.39999998</v>
          </cell>
          <cell r="L95">
            <v>43784351.640000001</v>
          </cell>
        </row>
        <row r="96">
          <cell r="K96">
            <v>17839797.100000001</v>
          </cell>
          <cell r="M96">
            <v>30469811.960000001</v>
          </cell>
        </row>
        <row r="97">
          <cell r="I97">
            <v>0</v>
          </cell>
          <cell r="J97">
            <v>0</v>
          </cell>
          <cell r="L97">
            <v>0</v>
          </cell>
        </row>
        <row r="98">
          <cell r="I98">
            <v>0</v>
          </cell>
          <cell r="J98">
            <v>0</v>
          </cell>
          <cell r="L98">
            <v>0</v>
          </cell>
        </row>
        <row r="99">
          <cell r="I99">
            <v>2277169</v>
          </cell>
          <cell r="J99">
            <v>13594698.93</v>
          </cell>
          <cell r="L99">
            <v>2072223.79</v>
          </cell>
        </row>
        <row r="100">
          <cell r="K100">
            <v>1360830</v>
          </cell>
          <cell r="M100">
            <v>1502931.54</v>
          </cell>
        </row>
        <row r="101">
          <cell r="I101">
            <v>0</v>
          </cell>
          <cell r="J101">
            <v>0</v>
          </cell>
          <cell r="L101">
            <v>0</v>
          </cell>
        </row>
        <row r="102">
          <cell r="I102">
            <v>0</v>
          </cell>
          <cell r="J102">
            <v>0</v>
          </cell>
          <cell r="L102">
            <v>0</v>
          </cell>
        </row>
        <row r="103">
          <cell r="I103">
            <v>531768</v>
          </cell>
          <cell r="J103">
            <v>5982390</v>
          </cell>
          <cell r="L103">
            <v>1239019.44</v>
          </cell>
        </row>
        <row r="104">
          <cell r="K104">
            <v>1000</v>
          </cell>
          <cell r="M104">
            <v>893370.24</v>
          </cell>
        </row>
        <row r="105">
          <cell r="I105">
            <v>0</v>
          </cell>
          <cell r="J105">
            <v>0</v>
          </cell>
          <cell r="L105">
            <v>0</v>
          </cell>
        </row>
        <row r="106">
          <cell r="I106">
            <v>0</v>
          </cell>
          <cell r="J106">
            <v>0</v>
          </cell>
          <cell r="L106">
            <v>0</v>
          </cell>
        </row>
        <row r="107">
          <cell r="I107">
            <v>7250242</v>
          </cell>
          <cell r="J107">
            <v>56189375.5</v>
          </cell>
          <cell r="L107">
            <v>10947865.42</v>
          </cell>
        </row>
        <row r="108">
          <cell r="K108">
            <v>3653335</v>
          </cell>
          <cell r="M108">
            <v>8482783.1400000006</v>
          </cell>
        </row>
        <row r="109">
          <cell r="J109">
            <v>-13407835.560000001</v>
          </cell>
          <cell r="K109">
            <v>-55910.97</v>
          </cell>
          <cell r="L109">
            <v>-1887534.4124000669</v>
          </cell>
          <cell r="M109">
            <v>-37083.58</v>
          </cell>
        </row>
        <row r="110">
          <cell r="I110">
            <v>305007590.12</v>
          </cell>
          <cell r="J110">
            <v>2156897509.5680003</v>
          </cell>
          <cell r="K110">
            <v>229537712.02999997</v>
          </cell>
          <cell r="L110">
            <v>447918125.27999997</v>
          </cell>
          <cell r="M110">
            <v>347622720.13000005</v>
          </cell>
        </row>
        <row r="111">
          <cell r="N111">
            <v>8708077.4800000004</v>
          </cell>
        </row>
        <row r="112">
          <cell r="N112">
            <v>-570802121.60000002</v>
          </cell>
        </row>
        <row r="113">
          <cell r="N113">
            <v>-163889.44</v>
          </cell>
        </row>
        <row r="114">
          <cell r="N114">
            <v>11691979.17</v>
          </cell>
        </row>
        <row r="115">
          <cell r="N115">
            <v>3349101.36</v>
          </cell>
        </row>
        <row r="117">
          <cell r="N117">
            <v>-11829786.66</v>
          </cell>
        </row>
        <row r="118">
          <cell r="N118">
            <v>-54196574.210000001</v>
          </cell>
        </row>
        <row r="119">
          <cell r="N119">
            <v>-326377.99</v>
          </cell>
        </row>
        <row r="120">
          <cell r="N120">
            <v>-586492.80000000005</v>
          </cell>
        </row>
        <row r="123">
          <cell r="N123">
            <v>24595707.670000002</v>
          </cell>
        </row>
        <row r="124">
          <cell r="N124">
            <v>11170044.4</v>
          </cell>
        </row>
        <row r="125">
          <cell r="N125">
            <v>16519104.869999999</v>
          </cell>
        </row>
        <row r="126">
          <cell r="N126">
            <v>-1248618.83</v>
          </cell>
        </row>
        <row r="127">
          <cell r="N127">
            <v>1015056</v>
          </cell>
        </row>
        <row r="128">
          <cell r="N128">
            <v>52051294.109999999</v>
          </cell>
        </row>
      </sheetData>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
      <sheetName val="Index"/>
      <sheetName val="ARR-Summary "/>
      <sheetName val="Revenue Summary"/>
      <sheetName val="revenueexpense"/>
      <sheetName val="F1"/>
      <sheetName val="LF and Energy Balance Realistic"/>
      <sheetName val="F 1.1"/>
      <sheetName val="F2"/>
      <sheetName val="F3"/>
      <sheetName val="CAPEX"/>
      <sheetName val="F3.1"/>
      <sheetName val="F3.1 (BEST Norms)"/>
      <sheetName val="F3.2"/>
      <sheetName val="F3.3"/>
      <sheetName val="F3.4"/>
      <sheetName val="F3.5"/>
      <sheetName val="F4 Realistic"/>
      <sheetName val="F 4 (a)"/>
      <sheetName val="Capitalisation-IDC"/>
      <sheetName val="O&amp;M"/>
      <sheetName val="F5"/>
      <sheetName val="F6"/>
      <sheetName val="F7"/>
      <sheetName val="F8"/>
      <sheetName val="F9"/>
      <sheetName val="F10"/>
      <sheetName val="F11"/>
      <sheetName val="F12"/>
      <sheetName val="F13"/>
      <sheetName val="CAGR Sales proj"/>
      <sheetName val="TPC-Ginput"/>
      <sheetName val="TPC-Ginput (2)"/>
      <sheetName val="Generation stn details"/>
      <sheetName val="F5.1 "/>
      <sheetName val="F5.2"/>
      <sheetName val="F5.4 "/>
      <sheetName val="Sheet1"/>
      <sheetName val="F8.1"/>
      <sheetName val="F5_Optimistic"/>
      <sheetName val="powerpurchase11-12"/>
      <sheetName val="O&amp;M optimistic"/>
      <sheetName val="O&amp;M Pesimistic"/>
      <sheetName val="F4 Pesimistic"/>
      <sheetName val="Asset mapping Optimistic"/>
      <sheetName val="Asset mapping Pesimistic"/>
      <sheetName val="MMRDA"/>
      <sheetName val="Total of 4 agencies"/>
      <sheetName val="Tables for PPT"/>
      <sheetName val="LF &amp; Energy Balance Pesimistic"/>
      <sheetName val="Load factor"/>
      <sheetName val="Short term unit price"/>
      <sheetName val="Transmission System Peak Loss"/>
      <sheetName val="Load Curve"/>
      <sheetName val="2010-11"/>
      <sheetName val="InfraDevWorks"/>
      <sheetName val="BSheet"/>
      <sheetName val="Cash Flows"/>
      <sheetName val="IDC"/>
      <sheetName val="SRA-data"/>
      <sheetName val="SRA-analysis"/>
      <sheetName val="MHADA-data"/>
      <sheetName val="MHADA-analysis"/>
      <sheetName val="MCGM"/>
      <sheetName val="Comparison of norms"/>
      <sheetName val="F14.1"/>
      <sheetName val="F14.2"/>
      <sheetName val="14.3"/>
      <sheetName val="14.4"/>
      <sheetName val="F 15.1"/>
      <sheetName val="F 15.2"/>
      <sheetName val="F 15.3"/>
      <sheetName val="F 15.4"/>
      <sheetName val="F16.1"/>
      <sheetName val="16.2"/>
      <sheetName val="F17"/>
      <sheetName val="F18"/>
      <sheetName val="F19"/>
      <sheetName val="F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row r="12">
          <cell r="J12">
            <v>0</v>
          </cell>
          <cell r="L12">
            <v>0.12</v>
          </cell>
        </row>
        <row r="13">
          <cell r="J13">
            <v>0</v>
          </cell>
          <cell r="L13">
            <v>0.55000000000000004</v>
          </cell>
        </row>
        <row r="14">
          <cell r="J14">
            <v>0</v>
          </cell>
          <cell r="L14">
            <v>1.03</v>
          </cell>
        </row>
        <row r="15">
          <cell r="J15">
            <v>0</v>
          </cell>
          <cell r="L15">
            <v>1.44</v>
          </cell>
        </row>
        <row r="16">
          <cell r="J16">
            <v>0</v>
          </cell>
          <cell r="L16">
            <v>1.85</v>
          </cell>
        </row>
        <row r="18">
          <cell r="J18">
            <v>0</v>
          </cell>
          <cell r="L18">
            <v>1.48</v>
          </cell>
        </row>
        <row r="20">
          <cell r="J20">
            <v>0</v>
          </cell>
          <cell r="L20">
            <v>2.2000000000000002</v>
          </cell>
        </row>
        <row r="21">
          <cell r="I21">
            <v>0</v>
          </cell>
          <cell r="L21">
            <v>2.15</v>
          </cell>
        </row>
        <row r="22">
          <cell r="I22">
            <v>0</v>
          </cell>
          <cell r="L22">
            <v>2.1800000000000002</v>
          </cell>
        </row>
        <row r="24">
          <cell r="J24">
            <v>0</v>
          </cell>
          <cell r="L24">
            <v>1.4</v>
          </cell>
        </row>
        <row r="26">
          <cell r="J26">
            <v>0</v>
          </cell>
          <cell r="L26">
            <v>1.96</v>
          </cell>
        </row>
        <row r="27">
          <cell r="I27">
            <v>0</v>
          </cell>
          <cell r="L27">
            <v>1.75</v>
          </cell>
        </row>
        <row r="28">
          <cell r="I28">
            <v>0</v>
          </cell>
          <cell r="L28">
            <v>1.72</v>
          </cell>
        </row>
        <row r="29">
          <cell r="J29">
            <v>0</v>
          </cell>
          <cell r="L29">
            <v>3.16</v>
          </cell>
        </row>
        <row r="30">
          <cell r="I30">
            <v>0</v>
          </cell>
          <cell r="L30">
            <v>1.52</v>
          </cell>
        </row>
        <row r="31">
          <cell r="J31">
            <v>0</v>
          </cell>
          <cell r="L31">
            <v>0.87</v>
          </cell>
        </row>
        <row r="32">
          <cell r="J32">
            <v>0</v>
          </cell>
          <cell r="L32">
            <v>2.5299999999999998</v>
          </cell>
        </row>
        <row r="33">
          <cell r="J33">
            <v>0</v>
          </cell>
          <cell r="L33">
            <v>0.83</v>
          </cell>
        </row>
        <row r="34">
          <cell r="J34">
            <v>0</v>
          </cell>
          <cell r="L34">
            <v>1.83</v>
          </cell>
        </row>
        <row r="35">
          <cell r="I35">
            <v>0</v>
          </cell>
          <cell r="L35">
            <v>1.83</v>
          </cell>
        </row>
        <row r="37">
          <cell r="I37">
            <v>0</v>
          </cell>
          <cell r="L37">
            <v>1.59</v>
          </cell>
        </row>
        <row r="38">
          <cell r="I38">
            <v>0</v>
          </cell>
          <cell r="L38">
            <v>1.71</v>
          </cell>
        </row>
        <row r="39">
          <cell r="I39">
            <v>0</v>
          </cell>
          <cell r="L39">
            <v>0.91</v>
          </cell>
        </row>
        <row r="40">
          <cell r="J40">
            <v>0</v>
          </cell>
          <cell r="L40">
            <v>2.33</v>
          </cell>
        </row>
        <row r="41">
          <cell r="I41">
            <v>0</v>
          </cell>
          <cell r="L41">
            <v>1.51</v>
          </cell>
        </row>
      </sheetData>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Year 2014-15"/>
      <sheetName val="Apr 14"/>
      <sheetName val="May 14"/>
      <sheetName val="Jun 14"/>
      <sheetName val="Jul 14"/>
      <sheetName val="Aug 14"/>
      <sheetName val="Sep 14"/>
    </sheetNames>
    <sheetDataSet>
      <sheetData sheetId="0">
        <row r="137">
          <cell r="I137">
            <v>0.27350595326895388</v>
          </cell>
        </row>
        <row r="138">
          <cell r="I138">
            <v>0.32045516954957998</v>
          </cell>
        </row>
        <row r="139">
          <cell r="I139">
            <v>0.24680087021461325</v>
          </cell>
        </row>
        <row r="140">
          <cell r="I140">
            <v>0.41657880721483226</v>
          </cell>
        </row>
        <row r="141">
          <cell r="I141">
            <v>0.26639590811743852</v>
          </cell>
        </row>
        <row r="142">
          <cell r="I142">
            <v>0.34902482033633725</v>
          </cell>
        </row>
        <row r="143">
          <cell r="I143">
            <v>0.4602246060998475</v>
          </cell>
        </row>
        <row r="144">
          <cell r="I144">
            <v>0.44898296651565578</v>
          </cell>
        </row>
        <row r="145">
          <cell r="I145">
            <v>0.56201041544863395</v>
          </cell>
        </row>
        <row r="146">
          <cell r="I146">
            <v>0.54925925288495914</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Assumptions"/>
      <sheetName val="Index "/>
      <sheetName val="ARR Summary"/>
      <sheetName val="May12"/>
      <sheetName val="June12"/>
      <sheetName val="July12"/>
      <sheetName val="Aug12"/>
      <sheetName val="Sep12"/>
      <sheetName val="Oct12"/>
      <sheetName val="Nov12"/>
      <sheetName val="Dec12"/>
      <sheetName val="Jan13"/>
      <sheetName val="Feb13"/>
      <sheetName val="Mar13"/>
      <sheetName val="F1"/>
      <sheetName val="F1.1"/>
      <sheetName val="SalesProjection Workings"/>
      <sheetName val="Monthwise sales"/>
      <sheetName val="F1.2"/>
      <sheetName val="F1.3"/>
      <sheetName val="F 1(a)"/>
      <sheetName val="Sales and ABR"/>
      <sheetName val="Transport deficit"/>
      <sheetName val="Tariff as per MYT Order"/>
      <sheetName val="F2"/>
      <sheetName val="PP FY 2012-13"/>
      <sheetName val="PP FY 2013-14 "/>
      <sheetName val="Power Purchase Projections"/>
      <sheetName val="TPC G"/>
      <sheetName val="F2.1"/>
      <sheetName val="F3"/>
      <sheetName val="F3.1"/>
      <sheetName val="3.2"/>
      <sheetName val="F3.3"/>
      <sheetName val="F3.4"/>
      <sheetName val="F3.5"/>
      <sheetName val="F4"/>
      <sheetName val="F5"/>
      <sheetName val="F5.1"/>
      <sheetName val="F6"/>
      <sheetName val="F5.2"/>
      <sheetName val="F6 .1"/>
      <sheetName val="F7 "/>
      <sheetName val="F8"/>
      <sheetName val="F9"/>
      <sheetName val="F10 "/>
      <sheetName val="F10.1_sale of scrap"/>
      <sheetName val="F 11"/>
      <sheetName val="F12"/>
      <sheetName val="F13"/>
      <sheetName val="F14"/>
      <sheetName val="Tariff Structure"/>
      <sheetName val="F14.1"/>
      <sheetName val="F14.2"/>
      <sheetName val="F14.1.1"/>
      <sheetName val="F15"/>
      <sheetName val="F16"/>
      <sheetName val="Reconcilation 2012-13"/>
      <sheetName val="Reconcilation _2013-14"/>
      <sheetName val="F17"/>
      <sheetName val="F18"/>
      <sheetName val="F19.1"/>
      <sheetName val="F19"/>
      <sheetName val="Proposed sce"/>
      <sheetName val="SBI PLR"/>
      <sheetName val="IDC13-14"/>
      <sheetName val="E2 2012-13"/>
      <sheetName val="E2_2013-14"/>
      <sheetName val="LDetail 2012-13"/>
      <sheetName val="LDetails 2013-14"/>
      <sheetName val="LoanDetails 2012-13"/>
      <sheetName val="LoanDetails2013-14"/>
      <sheetName val="Interest Charges_2012-13"/>
      <sheetName val="CurrentLiabilities 2012-13"/>
      <sheetName val="Working Capital 2013-14"/>
      <sheetName val="WC12-13"/>
      <sheetName val="WC FY 2013-14"/>
      <sheetName val="E5-2011 (2)"/>
      <sheetName val="CD FY 2013-14"/>
      <sheetName val="LD"/>
      <sheetName val="BadDebt13-14"/>
      <sheetName val="ARR"/>
      <sheetName val="ROE13-14"/>
      <sheetName val="ROE"/>
      <sheetName val="Other Expenses13-14"/>
      <sheetName val="Non Tariff Income_12-13"/>
      <sheetName val="NTI13-14"/>
      <sheetName val="ROIF13-14"/>
      <sheetName val="Revenue ApprovedActual"/>
      <sheetName val="MonthWise Unit Sold"/>
      <sheetName val="Revenue 2013-14"/>
      <sheetName val="Revenue 2012-13"/>
      <sheetName val="E13_2013-14"/>
      <sheetName val="E3"/>
      <sheetName val="E13_H1-2012-13"/>
      <sheetName val="E13_H2-2012-13"/>
      <sheetName val="E13_H1F-2013-14"/>
      <sheetName val="E13_H2F-2013-14"/>
      <sheetName val="Reconciliation "/>
      <sheetName val="E6 Summury_2013-14"/>
      <sheetName val="E-6 SUPPLYWISE GRUP"/>
      <sheetName val="P&amp;L"/>
      <sheetName val="GFA1"/>
      <sheetName val="CapExCapi2013-14"/>
      <sheetName val="E5-2011"/>
      <sheetName val="DPR"/>
      <sheetName val="Interest on working capital"/>
      <sheetName val="E9-2001"/>
      <sheetName val="P&amp;L Reconciliation"/>
      <sheetName val="ApprovedTariff"/>
      <sheetName val="ARR2013-14"/>
      <sheetName val="E1"/>
      <sheetName val="idc"/>
      <sheetName val="E13_Q1-2012-13"/>
      <sheetName val="E13_Q2-2012-13"/>
      <sheetName val="E13_Q3-2012-13"/>
      <sheetName val="E13_Q4-2012-13"/>
      <sheetName val="E13_F.Y.2012-13"/>
      <sheetName val="BEST final"/>
      <sheetName val="schedule 3"/>
      <sheetName val="Schedule 1"/>
      <sheetName val="Annexture B"/>
      <sheetName val="WC_2012-13"/>
      <sheetName val="AnnexureB_2013-14"/>
      <sheetName val="SBI PLR Details"/>
      <sheetName val="URIM P&amp;L 12-13"/>
      <sheetName val="Net Capitalisation"/>
      <sheetName val="PowerPurchaseComparison"/>
      <sheetName val="CostOfPowerPurchase"/>
      <sheetName val="O&amp;M Expenses 2012-13"/>
      <sheetName val="O&amp;M Expenses 2013-14"/>
      <sheetName val="AD_Compiled"/>
      <sheetName val="E6-2011-12"/>
      <sheetName val="E6 -2012-13"/>
      <sheetName val="E6-2013-14"/>
      <sheetName val="Depreciation 2012-13"/>
      <sheetName val="Depreciation 2013-14"/>
      <sheetName val="GFA2"/>
      <sheetName val="Accumulated Depreciation "/>
      <sheetName val="Capitalisation 2013-14"/>
      <sheetName val="GFA Reconciliation"/>
    </sheetNames>
    <sheetDataSet>
      <sheetData sheetId="0">
        <row r="130">
          <cell r="D130" t="str">
            <v>YES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9">
          <cell r="F9">
            <v>241.86064566845482</v>
          </cell>
        </row>
      </sheetData>
      <sheetData sheetId="54"/>
      <sheetData sheetId="55"/>
      <sheetData sheetId="56"/>
      <sheetData sheetId="57"/>
      <sheetData sheetId="58"/>
      <sheetData sheetId="59"/>
      <sheetData sheetId="60"/>
      <sheetData sheetId="61"/>
      <sheetData sheetId="62">
        <row r="16">
          <cell r="E16">
            <v>141.17630357142858</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Index"/>
      <sheetName val="Sales Forecast"/>
      <sheetName val="F1"/>
      <sheetName val="F1.1"/>
      <sheetName val="F1.2"/>
      <sheetName val="F1.3"/>
      <sheetName val="F1.4"/>
      <sheetName val="F1.5"/>
      <sheetName val="TPC-G Unit wise Power Purchase"/>
      <sheetName val="Monthwise PP FY 2014-15"/>
      <sheetName val="Peak Load and Base Load"/>
      <sheetName val="T&amp;D Loss Projection"/>
      <sheetName val="F2"/>
      <sheetName val="MYT Formats"/>
      <sheetName val="F2.1"/>
      <sheetName val="PP Forecast"/>
      <sheetName val="F2.2"/>
      <sheetName val="F3"/>
      <sheetName val="F3.1"/>
      <sheetName val="F3.2"/>
      <sheetName val="F 3.3"/>
      <sheetName val="F3.4"/>
      <sheetName val="F3.5"/>
      <sheetName val="F4"/>
      <sheetName val="F4.1"/>
      <sheetName val="F4.2"/>
      <sheetName val="F4.3"/>
      <sheetName val="F5"/>
      <sheetName val="F5.1"/>
      <sheetName val="F5.2"/>
      <sheetName val="F6"/>
      <sheetName val="F7"/>
      <sheetName val="F8"/>
      <sheetName val="F9"/>
      <sheetName val="F10"/>
      <sheetName val="F11"/>
      <sheetName val="F12"/>
      <sheetName val="F13"/>
      <sheetName val="FSA Calculation"/>
      <sheetName val="F13.1"/>
      <sheetName val="F13.2"/>
      <sheetName val="F13.3"/>
      <sheetName val="F13.4"/>
      <sheetName val="F14.1"/>
      <sheetName val="F14.2"/>
      <sheetName val="F14.3"/>
      <sheetName val="F14.4"/>
      <sheetName val="Proposed Tariff FY 2016-17"/>
      <sheetName val="Proposed Tariff FY 2017-18"/>
      <sheetName val="Proposed Tariff FY 2018-19"/>
      <sheetName val="Proposed Tariff FY 2019-20"/>
      <sheetName val="ACOS"/>
      <sheetName val="F15"/>
      <sheetName val="F16"/>
      <sheetName val="F17"/>
      <sheetName val="F18"/>
      <sheetName val="F19"/>
      <sheetName val="F20"/>
      <sheetName val="F21"/>
      <sheetName val="F22"/>
      <sheetName val="F23"/>
      <sheetName val="F24"/>
      <sheetName val="F25"/>
      <sheetName val="F26"/>
      <sheetName val="F27"/>
      <sheetName val="F27 (2)"/>
      <sheetName val="F27 Without Carry Cost for TD"/>
      <sheetName val="F28"/>
      <sheetName val="F28 (2)"/>
      <sheetName val="ARR-Summary"/>
      <sheetName val="ARR Supply Transport"/>
      <sheetName val="True-Up Writeup Formats"/>
      <sheetName val="Provisional True Up forma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8">
          <cell r="E8">
            <v>633.5</v>
          </cell>
          <cell r="G8">
            <v>767.74</v>
          </cell>
        </row>
        <row r="9">
          <cell r="E9">
            <v>130.02730559782063</v>
          </cell>
          <cell r="G9">
            <v>134.31730194815094</v>
          </cell>
        </row>
        <row r="10">
          <cell r="E10">
            <v>503.4726944021794</v>
          </cell>
          <cell r="G10">
            <v>633.42269805184901</v>
          </cell>
        </row>
      </sheetData>
      <sheetData sheetId="64"/>
      <sheetData sheetId="65"/>
      <sheetData sheetId="66"/>
      <sheetData sheetId="67"/>
      <sheetData sheetId="68"/>
      <sheetData sheetId="69"/>
      <sheetData sheetId="70"/>
      <sheetData sheetId="71"/>
      <sheetData sheetId="72"/>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Proportionate FAC (June-15)"/>
    </sheetNames>
    <sheetDataSet>
      <sheetData sheetId="0">
        <row r="12">
          <cell r="J12">
            <v>0.10217755443886098</v>
          </cell>
        </row>
        <row r="13">
          <cell r="J13">
            <v>0.34589614740368507</v>
          </cell>
        </row>
        <row r="14">
          <cell r="J14">
            <v>0.72780569514237858</v>
          </cell>
        </row>
        <row r="15">
          <cell r="J15">
            <v>0.97403685092127312</v>
          </cell>
        </row>
        <row r="16">
          <cell r="J16">
            <v>1.1842546063651593</v>
          </cell>
        </row>
        <row r="17">
          <cell r="J17">
            <v>0.9941373534338358</v>
          </cell>
        </row>
        <row r="18">
          <cell r="J18">
            <v>1.3266331658291457</v>
          </cell>
        </row>
        <row r="19">
          <cell r="J19">
            <v>1.2286432160804019</v>
          </cell>
        </row>
        <row r="20">
          <cell r="J20">
            <v>1.2713567839195981</v>
          </cell>
        </row>
        <row r="21">
          <cell r="J21">
            <v>0.87353433835845895</v>
          </cell>
        </row>
        <row r="22">
          <cell r="J22">
            <v>1.1574539363484089</v>
          </cell>
        </row>
        <row r="23">
          <cell r="J23">
            <v>1.0753768844221105</v>
          </cell>
        </row>
        <row r="24">
          <cell r="J24">
            <v>1.0460636515912898</v>
          </cell>
        </row>
        <row r="25">
          <cell r="J25">
            <v>1.8366834170854272</v>
          </cell>
        </row>
        <row r="26">
          <cell r="J26">
            <v>1.0201005025125629</v>
          </cell>
        </row>
        <row r="27">
          <cell r="J27">
            <v>0.54355108877721947</v>
          </cell>
        </row>
        <row r="28">
          <cell r="J28">
            <v>1.4288107202680067</v>
          </cell>
        </row>
        <row r="29">
          <cell r="J29">
            <v>0.54606365159128978</v>
          </cell>
        </row>
        <row r="30">
          <cell r="J30">
            <v>1.0435510887772195</v>
          </cell>
        </row>
        <row r="31">
          <cell r="J31">
            <v>1.0795644891122278</v>
          </cell>
        </row>
        <row r="33">
          <cell r="J33">
            <v>1.0234505862646568</v>
          </cell>
        </row>
        <row r="34">
          <cell r="J34">
            <v>1.102177554438861</v>
          </cell>
        </row>
        <row r="35">
          <cell r="J35">
            <v>0.7470686767169179</v>
          </cell>
        </row>
        <row r="36">
          <cell r="J36">
            <v>1.3408710217755446</v>
          </cell>
        </row>
        <row r="37">
          <cell r="J37">
            <v>1.0083752093802345</v>
          </cell>
        </row>
      </sheetData>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Issues for discussion"/>
      <sheetName val="Assumptions"/>
      <sheetName val="Index "/>
      <sheetName val="F1"/>
      <sheetName val="May12"/>
      <sheetName val="June12"/>
      <sheetName val="July12"/>
      <sheetName val="Aug12"/>
      <sheetName val="Sep12"/>
      <sheetName val="Oct12"/>
      <sheetName val="Nov12"/>
      <sheetName val="Dec12"/>
      <sheetName val="Jan13"/>
      <sheetName val="Feb13"/>
      <sheetName val="Mar13"/>
      <sheetName val="Past Recoveries"/>
      <sheetName val="F2"/>
      <sheetName val="PP FY 2013-14 "/>
      <sheetName val="PP FY 2012-13"/>
      <sheetName val="F3"/>
      <sheetName val="F3.1"/>
      <sheetName val="F3.2"/>
      <sheetName val="F3.3"/>
      <sheetName val="O&amp;MCalculation_Normative "/>
      <sheetName val="F4"/>
      <sheetName val="F5 "/>
      <sheetName val="F5.4 "/>
      <sheetName val="F6"/>
      <sheetName val="F7"/>
      <sheetName val="F8"/>
      <sheetName val="F9 "/>
      <sheetName val="F 10 "/>
      <sheetName val="F11"/>
      <sheetName val="F12"/>
      <sheetName val="Energy Balance"/>
      <sheetName val="F13"/>
      <sheetName val="F14"/>
      <sheetName val="F15"/>
      <sheetName val="SBI PLR Details"/>
      <sheetName val="SBI PLR"/>
      <sheetName val="Reconcilation 2012-13"/>
      <sheetName val="Reconcilation _2013-14"/>
      <sheetName val="Appendex_DepDetals"/>
      <sheetName val="IDC13-14"/>
      <sheetName val="LDetail 2012-13"/>
      <sheetName val="LDetails 2013-14"/>
      <sheetName val="LoanDetails 2012-13"/>
      <sheetName val="LoanDetails2013-14"/>
      <sheetName val="Interest Charges_2012-13"/>
      <sheetName val="CurrentLiabilities 2012-13"/>
      <sheetName val="Working Capital 2013-14"/>
      <sheetName val="WC12-13"/>
      <sheetName val="WC FY 2013-14"/>
      <sheetName val="E5-2011 (2)"/>
      <sheetName val="CD FY 2013-14"/>
      <sheetName val="LD"/>
      <sheetName val="BadDebt13-14"/>
      <sheetName val="ARR"/>
      <sheetName val="ROE13-14"/>
      <sheetName val="ROE"/>
      <sheetName val="Other Expenses13-14"/>
      <sheetName val="Non Tariff Income_12-13"/>
      <sheetName val="NTI13-14"/>
      <sheetName val="ROIF13-14"/>
      <sheetName val="Revenue ApprovedActual"/>
      <sheetName val="Revenue 2013-14"/>
      <sheetName val="Revenue 2012-13"/>
      <sheetName val="E13_2013-14"/>
      <sheetName val="E3"/>
      <sheetName val="E2"/>
      <sheetName val="E13_H1-2012-13"/>
      <sheetName val="E13_H2-2012-13"/>
      <sheetName val="E2_2013-14"/>
      <sheetName val="E13_H1F-2013-14"/>
      <sheetName val="E13_H2F-2013-14"/>
      <sheetName val="Reconciliation "/>
      <sheetName val="E6 Summury_2013-14"/>
      <sheetName val="E-6 SUPPLYWISE GRUP"/>
      <sheetName val="P&amp;L"/>
      <sheetName val="GFA1"/>
      <sheetName val="CapExCapi2013-14"/>
      <sheetName val="E5-2011"/>
      <sheetName val="DPR"/>
      <sheetName val="Interest on working capital"/>
      <sheetName val="E9-2001"/>
      <sheetName val="P&amp;L Reconciliation"/>
      <sheetName val="ApprovedTariff"/>
      <sheetName val="ARR2013-14"/>
      <sheetName val="E1"/>
      <sheetName val="idc"/>
      <sheetName val="E13_Q1-2012-13"/>
      <sheetName val="E13_Q2-2012-13"/>
      <sheetName val="E13_Q3-2012-13"/>
      <sheetName val="E13_Q4-2012-13"/>
      <sheetName val="E13_F.Y.2012-13"/>
      <sheetName val="BEST final"/>
      <sheetName val="schedule 3"/>
      <sheetName val="Schedule 1"/>
      <sheetName val="Annexture B"/>
      <sheetName val="WC_2012-13"/>
      <sheetName val="AnnexureB_2013-14"/>
      <sheetName val="MonthWise Unit Sold"/>
      <sheetName val="Net Capitalisation"/>
      <sheetName val="PowerPurchaseComparison"/>
      <sheetName val="SalesProjection"/>
      <sheetName val="CostOfPowerPurchase"/>
      <sheetName val="O&amp;M Expenses 2012-13"/>
      <sheetName val="O&amp;M Expenses 2013-14"/>
      <sheetName val="AD_Compiled"/>
      <sheetName val="E6-2011-12"/>
      <sheetName val="E6 -2012-13"/>
      <sheetName val="E6-2013-14"/>
      <sheetName val="Depreciation 2012-13"/>
      <sheetName val="Depreciation 2013-14"/>
      <sheetName val="GFA2"/>
      <sheetName val="Accumulated Depreciation "/>
      <sheetName val="Capitalisation 2013-14"/>
      <sheetName val="GFA Reconciliation"/>
      <sheetName val="YrMnthWise _Unt Sld"/>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4">
          <cell r="D4">
            <v>14.75</v>
          </cell>
        </row>
        <row r="5">
          <cell r="D5">
            <v>14.55</v>
          </cell>
        </row>
        <row r="6">
          <cell r="D6">
            <v>14.45</v>
          </cell>
        </row>
        <row r="7">
          <cell r="D7">
            <v>14.5</v>
          </cell>
        </row>
        <row r="8">
          <cell r="D8">
            <v>14.75</v>
          </cell>
        </row>
        <row r="9">
          <cell r="D9">
            <v>14.25</v>
          </cell>
        </row>
        <row r="10">
          <cell r="D10">
            <v>14</v>
          </cell>
        </row>
        <row r="11">
          <cell r="D11">
            <v>13.25</v>
          </cell>
        </row>
        <row r="12">
          <cell r="D12">
            <v>13</v>
          </cell>
        </row>
        <row r="13">
          <cell r="D13">
            <v>12.75</v>
          </cell>
        </row>
        <row r="14">
          <cell r="D14">
            <v>12.5</v>
          </cell>
        </row>
        <row r="15">
          <cell r="D15">
            <v>12.25</v>
          </cell>
        </row>
        <row r="16">
          <cell r="D16">
            <v>11.75</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Year 2012-13"/>
      <sheetName val="Apr 13"/>
      <sheetName val="May 13"/>
      <sheetName val="Jun 13"/>
      <sheetName val="Jul 13"/>
      <sheetName val="Aug 13"/>
      <sheetName val="Sep 13"/>
      <sheetName val="Oct 13"/>
      <sheetName val="Nov 13"/>
      <sheetName val="Dec 13"/>
      <sheetName val="Jan 14"/>
      <sheetName val="Feb 14"/>
      <sheetName val="Mar 14"/>
    </sheetNames>
    <sheetDataSet>
      <sheetData sheetId="0"/>
      <sheetData sheetId="1">
        <row r="5">
          <cell r="I5">
            <v>0</v>
          </cell>
          <cell r="J5">
            <v>0</v>
          </cell>
          <cell r="L5">
            <v>0</v>
          </cell>
          <cell r="M5">
            <v>0</v>
          </cell>
        </row>
        <row r="6">
          <cell r="I6">
            <v>8035</v>
          </cell>
          <cell r="J6">
            <v>3535.4</v>
          </cell>
          <cell r="L6">
            <v>964.19999999999993</v>
          </cell>
          <cell r="M6">
            <v>0</v>
          </cell>
        </row>
        <row r="7">
          <cell r="I7">
            <v>0</v>
          </cell>
          <cell r="J7">
            <v>0</v>
          </cell>
          <cell r="L7">
            <v>0</v>
          </cell>
          <cell r="M7">
            <v>0</v>
          </cell>
        </row>
        <row r="8">
          <cell r="K8">
            <v>644.9</v>
          </cell>
        </row>
        <row r="9">
          <cell r="I9">
            <v>-1815</v>
          </cell>
          <cell r="J9">
            <v>-2813.25</v>
          </cell>
          <cell r="L9">
            <v>0</v>
          </cell>
          <cell r="M9">
            <v>0</v>
          </cell>
        </row>
        <row r="10">
          <cell r="I10">
            <v>-513</v>
          </cell>
          <cell r="J10">
            <v>-1692.8999999999999</v>
          </cell>
          <cell r="L10">
            <v>0</v>
          </cell>
          <cell r="M10">
            <v>0</v>
          </cell>
        </row>
        <row r="11">
          <cell r="I11">
            <v>-163</v>
          </cell>
          <cell r="J11">
            <v>-863.9</v>
          </cell>
          <cell r="L11">
            <v>0</v>
          </cell>
          <cell r="M11">
            <v>0</v>
          </cell>
        </row>
        <row r="12">
          <cell r="I12">
            <v>-609</v>
          </cell>
          <cell r="J12">
            <v>-4141.2</v>
          </cell>
          <cell r="L12">
            <v>0</v>
          </cell>
          <cell r="M12">
            <v>0</v>
          </cell>
        </row>
        <row r="13">
          <cell r="I13">
            <v>57762706</v>
          </cell>
          <cell r="J13">
            <v>118991174.36</v>
          </cell>
          <cell r="L13">
            <v>31769488.300000001</v>
          </cell>
          <cell r="M13">
            <v>0</v>
          </cell>
        </row>
        <row r="14">
          <cell r="I14">
            <v>49299485</v>
          </cell>
          <cell r="J14">
            <v>187831037.84999999</v>
          </cell>
          <cell r="L14">
            <v>50778469.550000004</v>
          </cell>
          <cell r="M14">
            <v>0</v>
          </cell>
        </row>
        <row r="15">
          <cell r="I15">
            <v>14522820</v>
          </cell>
          <cell r="J15">
            <v>77842315.200000003</v>
          </cell>
          <cell r="L15">
            <v>20912860.800000001</v>
          </cell>
          <cell r="M15">
            <v>0</v>
          </cell>
        </row>
        <row r="16">
          <cell r="I16">
            <v>34086167</v>
          </cell>
          <cell r="J16">
            <v>233831105.62</v>
          </cell>
          <cell r="L16">
            <v>63059408.950000003</v>
          </cell>
          <cell r="M16">
            <v>0</v>
          </cell>
        </row>
        <row r="17">
          <cell r="I17">
            <v>0</v>
          </cell>
          <cell r="J17">
            <v>0</v>
          </cell>
          <cell r="L17">
            <v>0</v>
          </cell>
          <cell r="M17">
            <v>0</v>
          </cell>
        </row>
        <row r="18">
          <cell r="I18">
            <v>0</v>
          </cell>
          <cell r="J18">
            <v>0</v>
          </cell>
          <cell r="L18">
            <v>0</v>
          </cell>
          <cell r="M18">
            <v>0</v>
          </cell>
        </row>
        <row r="19">
          <cell r="I19">
            <v>0</v>
          </cell>
          <cell r="J19">
            <v>0</v>
          </cell>
          <cell r="L19">
            <v>0</v>
          </cell>
          <cell r="M19">
            <v>0</v>
          </cell>
        </row>
        <row r="20">
          <cell r="I20">
            <v>0</v>
          </cell>
          <cell r="J20">
            <v>0</v>
          </cell>
          <cell r="L20">
            <v>0</v>
          </cell>
          <cell r="M20">
            <v>0</v>
          </cell>
        </row>
        <row r="24">
          <cell r="K24">
            <v>61814037.380000003</v>
          </cell>
        </row>
        <row r="25">
          <cell r="I25">
            <v>-853</v>
          </cell>
          <cell r="J25">
            <v>-3412</v>
          </cell>
          <cell r="L25">
            <v>0</v>
          </cell>
          <cell r="M25">
            <v>0</v>
          </cell>
        </row>
        <row r="26">
          <cell r="I26">
            <v>-325</v>
          </cell>
          <cell r="J26">
            <v>-1950</v>
          </cell>
          <cell r="L26">
            <v>0</v>
          </cell>
          <cell r="M26">
            <v>0</v>
          </cell>
        </row>
        <row r="27">
          <cell r="I27">
            <v>-662</v>
          </cell>
          <cell r="J27">
            <v>-4567.8</v>
          </cell>
          <cell r="L27">
            <v>0</v>
          </cell>
          <cell r="M27">
            <v>0</v>
          </cell>
        </row>
        <row r="28">
          <cell r="I28">
            <v>73</v>
          </cell>
          <cell r="J28">
            <v>554.79999999999995</v>
          </cell>
          <cell r="L28">
            <v>0</v>
          </cell>
          <cell r="M28">
            <v>0</v>
          </cell>
        </row>
        <row r="29">
          <cell r="I29">
            <v>44711846</v>
          </cell>
          <cell r="J29">
            <v>245915153</v>
          </cell>
          <cell r="L29">
            <v>66173532.079999998</v>
          </cell>
          <cell r="M29">
            <v>0</v>
          </cell>
        </row>
        <row r="30">
          <cell r="I30">
            <v>30391374</v>
          </cell>
          <cell r="J30">
            <v>247993611.84</v>
          </cell>
          <cell r="L30">
            <v>66861022.800000004</v>
          </cell>
          <cell r="M30">
            <v>0</v>
          </cell>
        </row>
        <row r="31">
          <cell r="I31">
            <v>0</v>
          </cell>
          <cell r="J31">
            <v>0</v>
          </cell>
          <cell r="L31">
            <v>0</v>
          </cell>
          <cell r="M31">
            <v>0</v>
          </cell>
        </row>
        <row r="32">
          <cell r="I32">
            <v>0</v>
          </cell>
          <cell r="J32">
            <v>0</v>
          </cell>
          <cell r="L32">
            <v>0</v>
          </cell>
          <cell r="M32">
            <v>0</v>
          </cell>
        </row>
        <row r="34">
          <cell r="K34">
            <v>61900145.280000001</v>
          </cell>
        </row>
        <row r="35">
          <cell r="I35">
            <v>-2111</v>
          </cell>
          <cell r="J35">
            <v>-15410.3</v>
          </cell>
          <cell r="L35">
            <v>0</v>
          </cell>
          <cell r="M35">
            <v>0</v>
          </cell>
        </row>
        <row r="36">
          <cell r="I36">
            <v>20882819</v>
          </cell>
          <cell r="J36">
            <v>167062552</v>
          </cell>
          <cell r="L36">
            <v>44898060.850000001</v>
          </cell>
          <cell r="M36">
            <v>0</v>
          </cell>
        </row>
        <row r="37">
          <cell r="I37">
            <v>0</v>
          </cell>
          <cell r="J37">
            <v>0</v>
          </cell>
          <cell r="L37">
            <v>0</v>
          </cell>
          <cell r="M37">
            <v>0</v>
          </cell>
        </row>
        <row r="38">
          <cell r="K38">
            <v>21426273.48</v>
          </cell>
        </row>
        <row r="39">
          <cell r="I39">
            <v>0</v>
          </cell>
          <cell r="J39">
            <v>0</v>
          </cell>
          <cell r="L39">
            <v>0</v>
          </cell>
          <cell r="M39">
            <v>0</v>
          </cell>
        </row>
        <row r="40">
          <cell r="I40">
            <v>40112813</v>
          </cell>
          <cell r="J40">
            <v>324512657.17000002</v>
          </cell>
          <cell r="L40">
            <v>87445932.340000004</v>
          </cell>
          <cell r="M40">
            <v>0</v>
          </cell>
        </row>
        <row r="41">
          <cell r="I41">
            <v>0</v>
          </cell>
          <cell r="J41">
            <v>0</v>
          </cell>
          <cell r="L41">
            <v>0</v>
          </cell>
          <cell r="M41">
            <v>0</v>
          </cell>
        </row>
        <row r="42">
          <cell r="K42">
            <v>34230115.649999999</v>
          </cell>
        </row>
        <row r="43">
          <cell r="I43">
            <v>-130</v>
          </cell>
          <cell r="J43">
            <v>-481</v>
          </cell>
          <cell r="L43">
            <v>0</v>
          </cell>
          <cell r="M43">
            <v>0</v>
          </cell>
        </row>
        <row r="44">
          <cell r="I44">
            <v>-87</v>
          </cell>
          <cell r="J44">
            <v>-478.5</v>
          </cell>
          <cell r="L44">
            <v>0</v>
          </cell>
          <cell r="M44">
            <v>0</v>
          </cell>
        </row>
        <row r="45">
          <cell r="I45">
            <v>-41</v>
          </cell>
          <cell r="J45">
            <v>-243.95000000000002</v>
          </cell>
          <cell r="L45">
            <v>0</v>
          </cell>
          <cell r="M45">
            <v>0</v>
          </cell>
        </row>
        <row r="46">
          <cell r="I46">
            <v>0</v>
          </cell>
          <cell r="J46">
            <v>0</v>
          </cell>
          <cell r="L46">
            <v>0</v>
          </cell>
          <cell r="M46">
            <v>0</v>
          </cell>
        </row>
        <row r="47">
          <cell r="I47">
            <v>1831437</v>
          </cell>
          <cell r="J47">
            <v>9541786.7699999996</v>
          </cell>
          <cell r="L47">
            <v>2564011.7999999998</v>
          </cell>
          <cell r="M47">
            <v>0</v>
          </cell>
        </row>
        <row r="48">
          <cell r="I48">
            <v>2501690</v>
          </cell>
          <cell r="J48">
            <v>18212303.199999999</v>
          </cell>
          <cell r="L48">
            <v>4903312.4000000004</v>
          </cell>
          <cell r="M48">
            <v>0</v>
          </cell>
        </row>
        <row r="49">
          <cell r="I49">
            <v>0</v>
          </cell>
          <cell r="J49">
            <v>0</v>
          </cell>
          <cell r="L49">
            <v>0</v>
          </cell>
          <cell r="M49">
            <v>0</v>
          </cell>
        </row>
        <row r="50">
          <cell r="I50">
            <v>0</v>
          </cell>
          <cell r="J50">
            <v>0</v>
          </cell>
          <cell r="L50">
            <v>0</v>
          </cell>
          <cell r="M50">
            <v>0</v>
          </cell>
        </row>
        <row r="52">
          <cell r="K52">
            <v>2901918.86</v>
          </cell>
        </row>
        <row r="53">
          <cell r="I53">
            <v>0</v>
          </cell>
          <cell r="J53">
            <v>0</v>
          </cell>
          <cell r="L53">
            <v>0</v>
          </cell>
          <cell r="M53">
            <v>0</v>
          </cell>
        </row>
        <row r="54">
          <cell r="I54">
            <v>4479114</v>
          </cell>
          <cell r="J54">
            <v>29203823.279999997</v>
          </cell>
          <cell r="L54">
            <v>7838449.5</v>
          </cell>
          <cell r="M54">
            <v>0</v>
          </cell>
        </row>
        <row r="55">
          <cell r="I55">
            <v>0</v>
          </cell>
          <cell r="J55">
            <v>0</v>
          </cell>
          <cell r="L55">
            <v>0</v>
          </cell>
          <cell r="M55">
            <v>0</v>
          </cell>
        </row>
        <row r="56">
          <cell r="K56">
            <v>5162991.72</v>
          </cell>
        </row>
        <row r="57">
          <cell r="I57">
            <v>0</v>
          </cell>
          <cell r="J57">
            <v>0</v>
          </cell>
          <cell r="L57">
            <v>0</v>
          </cell>
          <cell r="M57">
            <v>0</v>
          </cell>
        </row>
        <row r="58">
          <cell r="I58">
            <v>4106507</v>
          </cell>
          <cell r="J58">
            <v>26240579.73</v>
          </cell>
          <cell r="L58">
            <v>7063192.04</v>
          </cell>
          <cell r="M58">
            <v>0</v>
          </cell>
        </row>
        <row r="59">
          <cell r="I59">
            <v>0</v>
          </cell>
          <cell r="J59">
            <v>0</v>
          </cell>
          <cell r="L59">
            <v>0</v>
          </cell>
          <cell r="M59">
            <v>0</v>
          </cell>
        </row>
        <row r="60">
          <cell r="K60">
            <v>2738556.97</v>
          </cell>
        </row>
        <row r="61">
          <cell r="I61">
            <v>0</v>
          </cell>
          <cell r="J61">
            <v>0</v>
          </cell>
          <cell r="L61">
            <v>0</v>
          </cell>
          <cell r="M61">
            <v>0</v>
          </cell>
        </row>
        <row r="62">
          <cell r="I62">
            <v>175836</v>
          </cell>
          <cell r="J62">
            <v>2066073</v>
          </cell>
          <cell r="L62">
            <v>555641.76</v>
          </cell>
          <cell r="M62">
            <v>0</v>
          </cell>
        </row>
        <row r="63">
          <cell r="I63">
            <v>0</v>
          </cell>
          <cell r="J63">
            <v>0</v>
          </cell>
          <cell r="L63">
            <v>0</v>
          </cell>
          <cell r="M63">
            <v>0</v>
          </cell>
        </row>
        <row r="64">
          <cell r="K64">
            <v>341039.94</v>
          </cell>
        </row>
        <row r="65">
          <cell r="I65">
            <v>0</v>
          </cell>
          <cell r="J65">
            <v>0</v>
          </cell>
          <cell r="L65">
            <v>0</v>
          </cell>
          <cell r="M65">
            <v>0</v>
          </cell>
        </row>
        <row r="66">
          <cell r="I66">
            <v>2283520.11</v>
          </cell>
          <cell r="J66">
            <v>12924723.8226</v>
          </cell>
          <cell r="L66">
            <v>3470950.5671999999</v>
          </cell>
          <cell r="M66">
            <v>0</v>
          </cell>
        </row>
        <row r="67">
          <cell r="I67">
            <v>0</v>
          </cell>
          <cell r="J67">
            <v>0</v>
          </cell>
          <cell r="L67">
            <v>0</v>
          </cell>
          <cell r="M67">
            <v>0</v>
          </cell>
        </row>
        <row r="68">
          <cell r="K68">
            <v>1841201.28</v>
          </cell>
        </row>
        <row r="69">
          <cell r="I69">
            <v>0</v>
          </cell>
          <cell r="J69">
            <v>0</v>
          </cell>
          <cell r="L69">
            <v>0</v>
          </cell>
          <cell r="M69">
            <v>0</v>
          </cell>
        </row>
        <row r="70">
          <cell r="I70">
            <v>316256</v>
          </cell>
          <cell r="J70">
            <v>1790008.96</v>
          </cell>
          <cell r="L70">
            <v>480709.12</v>
          </cell>
          <cell r="M70">
            <v>0</v>
          </cell>
        </row>
        <row r="71">
          <cell r="I71">
            <v>0</v>
          </cell>
          <cell r="J71">
            <v>0</v>
          </cell>
          <cell r="L71">
            <v>0</v>
          </cell>
          <cell r="M71">
            <v>0</v>
          </cell>
        </row>
        <row r="72">
          <cell r="K72">
            <v>215673.69</v>
          </cell>
        </row>
        <row r="73">
          <cell r="I73">
            <v>0</v>
          </cell>
          <cell r="J73">
            <v>0</v>
          </cell>
          <cell r="L73">
            <v>0</v>
          </cell>
          <cell r="M73">
            <v>0</v>
          </cell>
        </row>
        <row r="74">
          <cell r="I74">
            <v>1762149</v>
          </cell>
          <cell r="J74">
            <v>5691741.2699999996</v>
          </cell>
          <cell r="L74">
            <v>1533069.63</v>
          </cell>
          <cell r="M74">
            <v>0</v>
          </cell>
        </row>
        <row r="75">
          <cell r="I75">
            <v>0</v>
          </cell>
          <cell r="J75">
            <v>0</v>
          </cell>
          <cell r="L75">
            <v>0</v>
          </cell>
          <cell r="M75">
            <v>0</v>
          </cell>
        </row>
        <row r="76">
          <cell r="K76">
            <v>49323.33</v>
          </cell>
        </row>
        <row r="77">
          <cell r="I77">
            <v>0</v>
          </cell>
          <cell r="J77">
            <v>0</v>
          </cell>
          <cell r="L77">
            <v>0</v>
          </cell>
          <cell r="M77">
            <v>0</v>
          </cell>
        </row>
        <row r="78">
          <cell r="I78">
            <v>3176455</v>
          </cell>
          <cell r="J78">
            <v>29826912.450000003</v>
          </cell>
          <cell r="L78">
            <v>8036431.1499999994</v>
          </cell>
          <cell r="M78">
            <v>0</v>
          </cell>
        </row>
        <row r="79">
          <cell r="I79">
            <v>0</v>
          </cell>
          <cell r="J79">
            <v>0</v>
          </cell>
          <cell r="L79">
            <v>0</v>
          </cell>
          <cell r="M79">
            <v>0</v>
          </cell>
        </row>
        <row r="80">
          <cell r="K80">
            <v>1977440.02</v>
          </cell>
        </row>
        <row r="81">
          <cell r="I81">
            <v>0</v>
          </cell>
          <cell r="J81">
            <v>0</v>
          </cell>
          <cell r="L81">
            <v>0</v>
          </cell>
          <cell r="M81">
            <v>0</v>
          </cell>
        </row>
        <row r="82">
          <cell r="I82">
            <v>110190</v>
          </cell>
          <cell r="J82">
            <v>341589</v>
          </cell>
          <cell r="L82">
            <v>91457.7</v>
          </cell>
          <cell r="M82">
            <v>0</v>
          </cell>
        </row>
        <row r="83">
          <cell r="I83">
            <v>0</v>
          </cell>
          <cell r="J83">
            <v>0</v>
          </cell>
          <cell r="L83">
            <v>0</v>
          </cell>
          <cell r="M83">
            <v>0</v>
          </cell>
        </row>
        <row r="84">
          <cell r="K84">
            <v>3450</v>
          </cell>
        </row>
        <row r="85">
          <cell r="I85">
            <v>1408391</v>
          </cell>
          <cell r="J85">
            <v>9577058.7999999989</v>
          </cell>
          <cell r="L85">
            <v>2577355.5300000003</v>
          </cell>
          <cell r="M85">
            <v>0</v>
          </cell>
        </row>
        <row r="86">
          <cell r="I86">
            <v>0</v>
          </cell>
          <cell r="J86">
            <v>0</v>
          </cell>
          <cell r="L86">
            <v>0</v>
          </cell>
          <cell r="M86">
            <v>0</v>
          </cell>
        </row>
        <row r="87">
          <cell r="K87">
            <v>504833.25</v>
          </cell>
        </row>
        <row r="88">
          <cell r="I88">
            <v>4876139</v>
          </cell>
          <cell r="J88">
            <v>33157745.199999999</v>
          </cell>
          <cell r="L88">
            <v>8923334.370000001</v>
          </cell>
          <cell r="M88">
            <v>0</v>
          </cell>
        </row>
        <row r="89">
          <cell r="I89">
            <v>0</v>
          </cell>
          <cell r="J89">
            <v>0</v>
          </cell>
          <cell r="L89">
            <v>0</v>
          </cell>
          <cell r="M89">
            <v>0</v>
          </cell>
        </row>
        <row r="90">
          <cell r="K90">
            <v>3981614.4</v>
          </cell>
        </row>
        <row r="91">
          <cell r="I91">
            <v>0</v>
          </cell>
          <cell r="J91">
            <v>0</v>
          </cell>
          <cell r="L91">
            <v>0</v>
          </cell>
          <cell r="M91">
            <v>0</v>
          </cell>
        </row>
        <row r="92">
          <cell r="I92">
            <v>14780144</v>
          </cell>
          <cell r="J92">
            <v>87202849.600000009</v>
          </cell>
          <cell r="L92">
            <v>23500428.960000001</v>
          </cell>
          <cell r="M92">
            <v>0</v>
          </cell>
        </row>
        <row r="93">
          <cell r="I93">
            <v>0</v>
          </cell>
          <cell r="J93">
            <v>0</v>
          </cell>
          <cell r="L93">
            <v>0</v>
          </cell>
          <cell r="M93">
            <v>0</v>
          </cell>
        </row>
        <row r="94">
          <cell r="K94">
            <v>9134047.5</v>
          </cell>
        </row>
        <row r="95">
          <cell r="I95">
            <v>0</v>
          </cell>
          <cell r="J95">
            <v>0</v>
          </cell>
          <cell r="L95">
            <v>0</v>
          </cell>
          <cell r="M95">
            <v>0</v>
          </cell>
        </row>
        <row r="96">
          <cell r="I96">
            <v>27746823</v>
          </cell>
          <cell r="J96">
            <v>176192326.04999998</v>
          </cell>
          <cell r="L96">
            <v>47447067.329999998</v>
          </cell>
          <cell r="M96">
            <v>0</v>
          </cell>
        </row>
        <row r="97">
          <cell r="I97">
            <v>0</v>
          </cell>
          <cell r="J97">
            <v>0</v>
          </cell>
          <cell r="L97">
            <v>0</v>
          </cell>
          <cell r="M97">
            <v>0</v>
          </cell>
        </row>
        <row r="98">
          <cell r="K98">
            <v>16767687.41</v>
          </cell>
        </row>
        <row r="99">
          <cell r="I99">
            <v>0</v>
          </cell>
          <cell r="J99">
            <v>0</v>
          </cell>
          <cell r="L99">
            <v>0</v>
          </cell>
          <cell r="M99">
            <v>0</v>
          </cell>
        </row>
        <row r="100">
          <cell r="I100">
            <v>2750722</v>
          </cell>
          <cell r="J100">
            <v>9352454.7999999989</v>
          </cell>
          <cell r="L100">
            <v>2503157.02</v>
          </cell>
          <cell r="M100">
            <v>0</v>
          </cell>
        </row>
        <row r="101">
          <cell r="I101">
            <v>0</v>
          </cell>
          <cell r="J101">
            <v>0</v>
          </cell>
          <cell r="L101">
            <v>0</v>
          </cell>
          <cell r="M101">
            <v>0</v>
          </cell>
        </row>
        <row r="102">
          <cell r="K102">
            <v>1407588.6</v>
          </cell>
        </row>
        <row r="103">
          <cell r="I103">
            <v>0</v>
          </cell>
          <cell r="J103">
            <v>0</v>
          </cell>
          <cell r="L103">
            <v>0</v>
          </cell>
          <cell r="M103">
            <v>0</v>
          </cell>
        </row>
        <row r="104">
          <cell r="I104">
            <v>552814</v>
          </cell>
          <cell r="J104">
            <v>4781841.1000000006</v>
          </cell>
          <cell r="L104">
            <v>1288056.6200000001</v>
          </cell>
          <cell r="M104">
            <v>0</v>
          </cell>
        </row>
        <row r="105">
          <cell r="I105">
            <v>0</v>
          </cell>
          <cell r="J105">
            <v>0</v>
          </cell>
          <cell r="L105">
            <v>0</v>
          </cell>
          <cell r="M105">
            <v>0</v>
          </cell>
        </row>
        <row r="106">
          <cell r="K106">
            <v>1133.33</v>
          </cell>
        </row>
        <row r="107">
          <cell r="I107">
            <v>6639113</v>
          </cell>
          <cell r="J107">
            <v>37179032.799999997</v>
          </cell>
          <cell r="L107">
            <v>10025060.630000001</v>
          </cell>
          <cell r="M107">
            <v>0</v>
          </cell>
        </row>
        <row r="108">
          <cell r="I108">
            <v>0</v>
          </cell>
          <cell r="J108">
            <v>0</v>
          </cell>
          <cell r="L108">
            <v>0</v>
          </cell>
          <cell r="M108">
            <v>0</v>
          </cell>
        </row>
        <row r="109">
          <cell r="K109">
            <v>2862216.17</v>
          </cell>
        </row>
        <row r="110">
          <cell r="J110">
            <v>-16956374.34</v>
          </cell>
          <cell r="K110">
            <v>-12212912.76</v>
          </cell>
          <cell r="L110">
            <v>-4897981.04</v>
          </cell>
          <cell r="M110">
            <v>0</v>
          </cell>
        </row>
        <row r="111">
          <cell r="I111">
            <v>371268129.11000001</v>
          </cell>
          <cell r="J111">
            <v>2080274117.9326</v>
          </cell>
          <cell r="K111">
            <v>217049020.40000001</v>
          </cell>
          <cell r="L111">
            <v>559803444.95720005</v>
          </cell>
          <cell r="M111">
            <v>0</v>
          </cell>
        </row>
        <row r="112">
          <cell r="N112">
            <v>12185288.09</v>
          </cell>
        </row>
        <row r="113">
          <cell r="N113">
            <v>384020585.44</v>
          </cell>
        </row>
        <row r="114">
          <cell r="N114">
            <v>-225525.39</v>
          </cell>
        </row>
        <row r="115">
          <cell r="N115">
            <v>13317847.6</v>
          </cell>
        </row>
        <row r="116">
          <cell r="N116">
            <v>-12508272.18</v>
          </cell>
        </row>
        <row r="118">
          <cell r="N118">
            <v>-8766432.3300000001</v>
          </cell>
        </row>
        <row r="119">
          <cell r="N119">
            <v>-61717064.159999996</v>
          </cell>
        </row>
        <row r="120">
          <cell r="N120">
            <v>-270065.94</v>
          </cell>
        </row>
        <row r="121">
          <cell r="N121">
            <v>-280809.14</v>
          </cell>
        </row>
        <row r="124">
          <cell r="N124">
            <v>16231625.5</v>
          </cell>
        </row>
        <row r="125">
          <cell r="N125">
            <v>10651257.01</v>
          </cell>
        </row>
        <row r="126">
          <cell r="N126">
            <v>15602576</v>
          </cell>
        </row>
        <row r="127">
          <cell r="N127">
            <v>-1324847.97</v>
          </cell>
        </row>
        <row r="128">
          <cell r="N128">
            <v>870130</v>
          </cell>
        </row>
        <row r="129">
          <cell r="N129">
            <v>42030740.539999999</v>
          </cell>
        </row>
      </sheetData>
      <sheetData sheetId="2">
        <row r="5">
          <cell r="I5">
            <v>0</v>
          </cell>
          <cell r="J5">
            <v>0</v>
          </cell>
          <cell r="L5">
            <v>0</v>
          </cell>
          <cell r="M5">
            <v>0</v>
          </cell>
        </row>
        <row r="6">
          <cell r="I6">
            <v>7947</v>
          </cell>
          <cell r="J6">
            <v>3496.68</v>
          </cell>
          <cell r="L6">
            <v>953.64</v>
          </cell>
          <cell r="M6">
            <v>0</v>
          </cell>
        </row>
        <row r="7">
          <cell r="I7">
            <v>0</v>
          </cell>
          <cell r="J7">
            <v>0</v>
          </cell>
          <cell r="L7">
            <v>0</v>
          </cell>
          <cell r="M7">
            <v>0</v>
          </cell>
        </row>
        <row r="8">
          <cell r="K8">
            <v>681.6</v>
          </cell>
        </row>
        <row r="9">
          <cell r="I9">
            <v>-1945</v>
          </cell>
          <cell r="J9">
            <v>-3014.75</v>
          </cell>
          <cell r="L9">
            <v>0</v>
          </cell>
          <cell r="M9">
            <v>0</v>
          </cell>
        </row>
        <row r="10">
          <cell r="I10">
            <v>-283</v>
          </cell>
          <cell r="J10">
            <v>-933.9</v>
          </cell>
          <cell r="L10">
            <v>0</v>
          </cell>
          <cell r="M10">
            <v>0</v>
          </cell>
        </row>
        <row r="11">
          <cell r="I11">
            <v>170</v>
          </cell>
          <cell r="J11">
            <v>901</v>
          </cell>
          <cell r="L11">
            <v>0</v>
          </cell>
          <cell r="M11">
            <v>0</v>
          </cell>
        </row>
        <row r="12">
          <cell r="I12">
            <v>-1433</v>
          </cell>
          <cell r="J12">
            <v>-9744.4</v>
          </cell>
          <cell r="L12">
            <v>0</v>
          </cell>
          <cell r="M12">
            <v>0</v>
          </cell>
        </row>
        <row r="13">
          <cell r="I13">
            <v>59273210</v>
          </cell>
          <cell r="J13">
            <v>122102812.60000001</v>
          </cell>
          <cell r="L13">
            <v>32600265.500000004</v>
          </cell>
          <cell r="M13">
            <v>0</v>
          </cell>
        </row>
        <row r="14">
          <cell r="I14">
            <v>53816713</v>
          </cell>
          <cell r="J14">
            <v>205041676.53</v>
          </cell>
          <cell r="L14">
            <v>55431214.390000001</v>
          </cell>
          <cell r="M14">
            <v>0</v>
          </cell>
        </row>
        <row r="15">
          <cell r="I15">
            <v>17886281</v>
          </cell>
          <cell r="J15">
            <v>95870466.160000011</v>
          </cell>
          <cell r="L15">
            <v>25756244.640000001</v>
          </cell>
          <cell r="M15">
            <v>0</v>
          </cell>
        </row>
        <row r="16">
          <cell r="I16">
            <v>31133150</v>
          </cell>
          <cell r="J16">
            <v>213573409</v>
          </cell>
          <cell r="L16">
            <v>57596327.5</v>
          </cell>
          <cell r="M16">
            <v>0</v>
          </cell>
        </row>
        <row r="17">
          <cell r="I17">
            <v>0</v>
          </cell>
          <cell r="J17">
            <v>0</v>
          </cell>
          <cell r="L17">
            <v>0</v>
          </cell>
          <cell r="M17">
            <v>0</v>
          </cell>
        </row>
        <row r="18">
          <cell r="I18">
            <v>0</v>
          </cell>
          <cell r="J18">
            <v>0</v>
          </cell>
          <cell r="L18">
            <v>0</v>
          </cell>
          <cell r="M18">
            <v>0</v>
          </cell>
        </row>
        <row r="19">
          <cell r="I19">
            <v>0</v>
          </cell>
          <cell r="J19">
            <v>0</v>
          </cell>
          <cell r="L19">
            <v>0</v>
          </cell>
          <cell r="M19">
            <v>0</v>
          </cell>
        </row>
        <row r="20">
          <cell r="I20">
            <v>0</v>
          </cell>
          <cell r="J20">
            <v>0</v>
          </cell>
          <cell r="L20">
            <v>0</v>
          </cell>
          <cell r="M20">
            <v>0</v>
          </cell>
        </row>
        <row r="24">
          <cell r="K24">
            <v>63312216.159999996</v>
          </cell>
        </row>
        <row r="25">
          <cell r="I25">
            <v>-230</v>
          </cell>
          <cell r="J25">
            <v>-920</v>
          </cell>
          <cell r="L25">
            <v>0</v>
          </cell>
          <cell r="M25">
            <v>0</v>
          </cell>
        </row>
        <row r="26">
          <cell r="I26">
            <v>245</v>
          </cell>
          <cell r="J26">
            <v>1470</v>
          </cell>
          <cell r="L26">
            <v>0</v>
          </cell>
          <cell r="M26">
            <v>0</v>
          </cell>
        </row>
        <row r="27">
          <cell r="I27">
            <v>-250</v>
          </cell>
          <cell r="J27">
            <v>-1725</v>
          </cell>
          <cell r="L27">
            <v>0</v>
          </cell>
          <cell r="M27">
            <v>0</v>
          </cell>
        </row>
        <row r="28">
          <cell r="I28">
            <v>-8</v>
          </cell>
          <cell r="J28">
            <v>-60.8</v>
          </cell>
          <cell r="L28">
            <v>0</v>
          </cell>
          <cell r="M28">
            <v>0</v>
          </cell>
        </row>
        <row r="29">
          <cell r="I29">
            <v>46819632</v>
          </cell>
          <cell r="J29">
            <v>257507976</v>
          </cell>
          <cell r="L29">
            <v>69293055.359999999</v>
          </cell>
          <cell r="M29">
            <v>0</v>
          </cell>
        </row>
        <row r="30">
          <cell r="I30">
            <v>32335824</v>
          </cell>
          <cell r="J30">
            <v>263860323.84</v>
          </cell>
          <cell r="L30">
            <v>71138812.800000012</v>
          </cell>
          <cell r="M30">
            <v>0</v>
          </cell>
        </row>
        <row r="31">
          <cell r="I31">
            <v>0</v>
          </cell>
          <cell r="J31">
            <v>0</v>
          </cell>
          <cell r="L31">
            <v>0</v>
          </cell>
          <cell r="M31">
            <v>0</v>
          </cell>
        </row>
        <row r="32">
          <cell r="I32">
            <v>0</v>
          </cell>
          <cell r="J32">
            <v>0</v>
          </cell>
          <cell r="L32">
            <v>0</v>
          </cell>
          <cell r="M32">
            <v>0</v>
          </cell>
        </row>
        <row r="34">
          <cell r="K34">
            <v>63782290.850000001</v>
          </cell>
        </row>
        <row r="35">
          <cell r="I35">
            <v>0</v>
          </cell>
          <cell r="J35">
            <v>0</v>
          </cell>
          <cell r="L35">
            <v>0</v>
          </cell>
          <cell r="M35">
            <v>0</v>
          </cell>
        </row>
        <row r="36">
          <cell r="I36">
            <v>21670607</v>
          </cell>
          <cell r="J36">
            <v>173364856</v>
          </cell>
          <cell r="L36">
            <v>46591805.049999997</v>
          </cell>
          <cell r="M36">
            <v>0</v>
          </cell>
        </row>
        <row r="37">
          <cell r="I37">
            <v>0</v>
          </cell>
          <cell r="J37">
            <v>0</v>
          </cell>
          <cell r="L37">
            <v>0</v>
          </cell>
          <cell r="M37">
            <v>0</v>
          </cell>
        </row>
        <row r="38">
          <cell r="K38">
            <v>21955085.879999999</v>
          </cell>
        </row>
        <row r="39">
          <cell r="I39">
            <v>0</v>
          </cell>
          <cell r="J39">
            <v>0</v>
          </cell>
          <cell r="L39">
            <v>0</v>
          </cell>
          <cell r="M39">
            <v>0</v>
          </cell>
        </row>
        <row r="40">
          <cell r="I40">
            <v>42003006</v>
          </cell>
          <cell r="J40">
            <v>339804318.54000002</v>
          </cell>
          <cell r="L40">
            <v>91566553.080000013</v>
          </cell>
          <cell r="M40">
            <v>0</v>
          </cell>
        </row>
        <row r="41">
          <cell r="I41">
            <v>0</v>
          </cell>
          <cell r="J41">
            <v>0</v>
          </cell>
          <cell r="L41">
            <v>0</v>
          </cell>
          <cell r="M41">
            <v>0</v>
          </cell>
        </row>
        <row r="42">
          <cell r="K42">
            <v>35092238.810000002</v>
          </cell>
        </row>
        <row r="43">
          <cell r="I43">
            <v>0</v>
          </cell>
          <cell r="J43">
            <v>0</v>
          </cell>
          <cell r="L43">
            <v>0</v>
          </cell>
          <cell r="M43">
            <v>0</v>
          </cell>
        </row>
        <row r="44">
          <cell r="I44">
            <v>0</v>
          </cell>
          <cell r="J44">
            <v>0</v>
          </cell>
          <cell r="L44">
            <v>0</v>
          </cell>
          <cell r="M44">
            <v>0</v>
          </cell>
        </row>
        <row r="45">
          <cell r="I45">
            <v>0</v>
          </cell>
          <cell r="J45">
            <v>0</v>
          </cell>
          <cell r="L45">
            <v>0</v>
          </cell>
          <cell r="M45">
            <v>0</v>
          </cell>
        </row>
        <row r="46">
          <cell r="I46">
            <v>0</v>
          </cell>
          <cell r="J46">
            <v>0</v>
          </cell>
          <cell r="L46">
            <v>0</v>
          </cell>
          <cell r="M46">
            <v>0</v>
          </cell>
        </row>
        <row r="47">
          <cell r="I47">
            <v>1772678</v>
          </cell>
          <cell r="J47">
            <v>9235652.3800000008</v>
          </cell>
          <cell r="L47">
            <v>2481749.1999999997</v>
          </cell>
          <cell r="M47">
            <v>0</v>
          </cell>
        </row>
        <row r="48">
          <cell r="I48">
            <v>1935915</v>
          </cell>
          <cell r="J48">
            <v>14093461.200000001</v>
          </cell>
          <cell r="L48">
            <v>3794393.4</v>
          </cell>
          <cell r="M48">
            <v>0</v>
          </cell>
        </row>
        <row r="49">
          <cell r="I49">
            <v>0</v>
          </cell>
          <cell r="J49">
            <v>0</v>
          </cell>
          <cell r="L49">
            <v>0</v>
          </cell>
          <cell r="M49">
            <v>0</v>
          </cell>
        </row>
        <row r="50">
          <cell r="I50">
            <v>0</v>
          </cell>
          <cell r="J50">
            <v>0</v>
          </cell>
          <cell r="L50">
            <v>0</v>
          </cell>
          <cell r="M50">
            <v>0</v>
          </cell>
        </row>
        <row r="52">
          <cell r="K52">
            <v>2887779.18</v>
          </cell>
        </row>
        <row r="53">
          <cell r="I53">
            <v>0</v>
          </cell>
          <cell r="J53">
            <v>0</v>
          </cell>
          <cell r="L53">
            <v>0</v>
          </cell>
          <cell r="M53">
            <v>0</v>
          </cell>
        </row>
        <row r="54">
          <cell r="I54">
            <v>4499338</v>
          </cell>
          <cell r="J54">
            <v>29335683.759999998</v>
          </cell>
          <cell r="L54">
            <v>7873841.5</v>
          </cell>
          <cell r="M54">
            <v>0</v>
          </cell>
        </row>
        <row r="55">
          <cell r="I55">
            <v>0</v>
          </cell>
          <cell r="J55">
            <v>0</v>
          </cell>
          <cell r="L55">
            <v>0</v>
          </cell>
          <cell r="M55">
            <v>0</v>
          </cell>
        </row>
        <row r="56">
          <cell r="K56">
            <v>5108447.8099999996</v>
          </cell>
        </row>
        <row r="57">
          <cell r="I57">
            <v>0</v>
          </cell>
          <cell r="J57">
            <v>0</v>
          </cell>
          <cell r="L57">
            <v>0</v>
          </cell>
          <cell r="M57">
            <v>0</v>
          </cell>
        </row>
        <row r="58">
          <cell r="I58">
            <v>3999313</v>
          </cell>
          <cell r="J58">
            <v>25555610.07</v>
          </cell>
          <cell r="L58">
            <v>6878818.3600000003</v>
          </cell>
          <cell r="M58">
            <v>0</v>
          </cell>
        </row>
        <row r="59">
          <cell r="I59">
            <v>0</v>
          </cell>
          <cell r="J59">
            <v>0</v>
          </cell>
          <cell r="L59">
            <v>0</v>
          </cell>
          <cell r="M59">
            <v>0</v>
          </cell>
        </row>
        <row r="60">
          <cell r="K60">
            <v>2638801.04</v>
          </cell>
        </row>
        <row r="61">
          <cell r="I61">
            <v>-188</v>
          </cell>
          <cell r="J61">
            <v>-2143.2000000000003</v>
          </cell>
          <cell r="L61">
            <v>0</v>
          </cell>
          <cell r="M61">
            <v>0</v>
          </cell>
        </row>
        <row r="62">
          <cell r="I62">
            <v>158337</v>
          </cell>
          <cell r="J62">
            <v>1860459.75</v>
          </cell>
          <cell r="L62">
            <v>500344.92000000004</v>
          </cell>
          <cell r="M62">
            <v>0</v>
          </cell>
        </row>
        <row r="63">
          <cell r="I63">
            <v>0</v>
          </cell>
          <cell r="J63">
            <v>0</v>
          </cell>
          <cell r="L63">
            <v>0</v>
          </cell>
          <cell r="M63">
            <v>0</v>
          </cell>
        </row>
        <row r="64">
          <cell r="K64">
            <v>338293.33</v>
          </cell>
        </row>
        <row r="65">
          <cell r="I65">
            <v>0</v>
          </cell>
          <cell r="J65">
            <v>0</v>
          </cell>
          <cell r="L65">
            <v>0</v>
          </cell>
          <cell r="M65">
            <v>0</v>
          </cell>
        </row>
        <row r="66">
          <cell r="I66">
            <v>2118287.17</v>
          </cell>
          <cell r="J66">
            <v>11989505.382200001</v>
          </cell>
          <cell r="L66">
            <v>3219796.4983999999</v>
          </cell>
          <cell r="M66">
            <v>0</v>
          </cell>
        </row>
        <row r="67">
          <cell r="I67">
            <v>0</v>
          </cell>
          <cell r="J67">
            <v>0</v>
          </cell>
          <cell r="L67">
            <v>0</v>
          </cell>
          <cell r="M67">
            <v>0</v>
          </cell>
        </row>
        <row r="68">
          <cell r="K68">
            <v>1861251.01</v>
          </cell>
        </row>
        <row r="69">
          <cell r="I69">
            <v>2324</v>
          </cell>
          <cell r="J69">
            <v>12317.199999999999</v>
          </cell>
          <cell r="L69">
            <v>0</v>
          </cell>
          <cell r="M69">
            <v>0</v>
          </cell>
        </row>
        <row r="70">
          <cell r="I70">
            <v>312826</v>
          </cell>
          <cell r="J70">
            <v>1770595.1600000001</v>
          </cell>
          <cell r="L70">
            <v>475495.52</v>
          </cell>
          <cell r="M70">
            <v>0</v>
          </cell>
        </row>
        <row r="71">
          <cell r="I71">
            <v>0</v>
          </cell>
          <cell r="J71">
            <v>0</v>
          </cell>
          <cell r="L71">
            <v>0</v>
          </cell>
          <cell r="M71">
            <v>0</v>
          </cell>
        </row>
        <row r="72">
          <cell r="K72">
            <v>218736.59</v>
          </cell>
        </row>
        <row r="73">
          <cell r="I73">
            <v>0</v>
          </cell>
          <cell r="J73">
            <v>0</v>
          </cell>
          <cell r="L73">
            <v>0</v>
          </cell>
          <cell r="M73">
            <v>0</v>
          </cell>
        </row>
        <row r="74">
          <cell r="I74">
            <v>75489</v>
          </cell>
          <cell r="J74">
            <v>243829.47</v>
          </cell>
          <cell r="L74">
            <v>65675.429999999993</v>
          </cell>
          <cell r="M74">
            <v>0</v>
          </cell>
        </row>
        <row r="75">
          <cell r="I75">
            <v>0</v>
          </cell>
          <cell r="J75">
            <v>0</v>
          </cell>
          <cell r="L75">
            <v>0</v>
          </cell>
          <cell r="M75">
            <v>0</v>
          </cell>
        </row>
        <row r="76">
          <cell r="K76">
            <v>41778.36</v>
          </cell>
        </row>
        <row r="77">
          <cell r="I77">
            <v>0</v>
          </cell>
          <cell r="J77">
            <v>0</v>
          </cell>
          <cell r="L77">
            <v>0</v>
          </cell>
          <cell r="M77">
            <v>0</v>
          </cell>
        </row>
        <row r="78">
          <cell r="I78">
            <v>4218342</v>
          </cell>
          <cell r="J78">
            <v>39610231.380000003</v>
          </cell>
          <cell r="L78">
            <v>10672405.26</v>
          </cell>
          <cell r="M78">
            <v>0</v>
          </cell>
        </row>
        <row r="79">
          <cell r="I79">
            <v>0</v>
          </cell>
          <cell r="J79">
            <v>0</v>
          </cell>
          <cell r="L79">
            <v>0</v>
          </cell>
          <cell r="M79">
            <v>0</v>
          </cell>
        </row>
        <row r="80">
          <cell r="K80">
            <v>2067793.37</v>
          </cell>
        </row>
        <row r="81">
          <cell r="I81">
            <v>0</v>
          </cell>
          <cell r="J81">
            <v>0</v>
          </cell>
          <cell r="L81">
            <v>0</v>
          </cell>
          <cell r="M81">
            <v>0</v>
          </cell>
        </row>
        <row r="82">
          <cell r="I82">
            <v>117002</v>
          </cell>
          <cell r="J82">
            <v>362706.2</v>
          </cell>
          <cell r="L82">
            <v>97111.659999999989</v>
          </cell>
          <cell r="M82">
            <v>0</v>
          </cell>
        </row>
        <row r="83">
          <cell r="I83">
            <v>0</v>
          </cell>
          <cell r="J83">
            <v>0</v>
          </cell>
          <cell r="L83">
            <v>0</v>
          </cell>
          <cell r="M83">
            <v>0</v>
          </cell>
        </row>
        <row r="84">
          <cell r="K84">
            <v>3585</v>
          </cell>
        </row>
        <row r="85">
          <cell r="I85">
            <v>1453295</v>
          </cell>
          <cell r="J85">
            <v>9882406</v>
          </cell>
          <cell r="L85">
            <v>2659529.85</v>
          </cell>
          <cell r="M85">
            <v>0</v>
          </cell>
        </row>
        <row r="86">
          <cell r="I86">
            <v>0</v>
          </cell>
          <cell r="J86">
            <v>0</v>
          </cell>
          <cell r="L86">
            <v>0</v>
          </cell>
          <cell r="M86">
            <v>0</v>
          </cell>
        </row>
        <row r="87">
          <cell r="K87">
            <v>501766.64</v>
          </cell>
        </row>
        <row r="88">
          <cell r="I88">
            <v>4962402</v>
          </cell>
          <cell r="J88">
            <v>33744333.600000001</v>
          </cell>
          <cell r="L88">
            <v>9081195.6600000001</v>
          </cell>
          <cell r="M88">
            <v>0</v>
          </cell>
        </row>
        <row r="89">
          <cell r="I89">
            <v>0</v>
          </cell>
          <cell r="J89">
            <v>0</v>
          </cell>
          <cell r="L89">
            <v>0</v>
          </cell>
          <cell r="M89">
            <v>0</v>
          </cell>
        </row>
        <row r="90">
          <cell r="K90">
            <v>4073698.68</v>
          </cell>
        </row>
        <row r="91">
          <cell r="I91">
            <v>0</v>
          </cell>
          <cell r="J91">
            <v>0</v>
          </cell>
          <cell r="L91">
            <v>0</v>
          </cell>
          <cell r="M91">
            <v>0</v>
          </cell>
        </row>
        <row r="92">
          <cell r="I92">
            <v>14947881</v>
          </cell>
          <cell r="J92">
            <v>88192497.900000006</v>
          </cell>
          <cell r="L92">
            <v>23767130.790000003</v>
          </cell>
          <cell r="M92">
            <v>0</v>
          </cell>
        </row>
        <row r="93">
          <cell r="I93">
            <v>0</v>
          </cell>
          <cell r="J93">
            <v>0</v>
          </cell>
          <cell r="L93">
            <v>0</v>
          </cell>
          <cell r="M93">
            <v>0</v>
          </cell>
        </row>
        <row r="94">
          <cell r="K94">
            <v>9190950.5</v>
          </cell>
        </row>
        <row r="95">
          <cell r="I95">
            <v>0</v>
          </cell>
          <cell r="J95">
            <v>0</v>
          </cell>
          <cell r="L95">
            <v>0</v>
          </cell>
          <cell r="M95">
            <v>0</v>
          </cell>
        </row>
        <row r="96">
          <cell r="I96">
            <v>28976346</v>
          </cell>
          <cell r="J96">
            <v>183999797.09999999</v>
          </cell>
          <cell r="L96">
            <v>49549551.659999996</v>
          </cell>
          <cell r="M96">
            <v>0</v>
          </cell>
        </row>
        <row r="97">
          <cell r="I97">
            <v>0</v>
          </cell>
          <cell r="J97">
            <v>0</v>
          </cell>
          <cell r="L97">
            <v>0</v>
          </cell>
          <cell r="M97">
            <v>0</v>
          </cell>
        </row>
        <row r="98">
          <cell r="K98">
            <v>17567066.649999999</v>
          </cell>
        </row>
        <row r="99">
          <cell r="I99">
            <v>0</v>
          </cell>
          <cell r="J99">
            <v>0</v>
          </cell>
          <cell r="L99">
            <v>0</v>
          </cell>
          <cell r="M99">
            <v>0</v>
          </cell>
        </row>
        <row r="100">
          <cell r="I100">
            <v>2831940</v>
          </cell>
          <cell r="J100">
            <v>9628596</v>
          </cell>
          <cell r="L100">
            <v>2577065.4</v>
          </cell>
          <cell r="M100">
            <v>0</v>
          </cell>
        </row>
        <row r="101">
          <cell r="I101">
            <v>0</v>
          </cell>
          <cell r="J101">
            <v>0</v>
          </cell>
          <cell r="L101">
            <v>0</v>
          </cell>
          <cell r="M101">
            <v>0</v>
          </cell>
        </row>
        <row r="102">
          <cell r="K102">
            <v>1405596.85</v>
          </cell>
        </row>
        <row r="103">
          <cell r="I103">
            <v>0</v>
          </cell>
          <cell r="J103">
            <v>0</v>
          </cell>
          <cell r="L103">
            <v>0</v>
          </cell>
          <cell r="M103">
            <v>0</v>
          </cell>
        </row>
        <row r="104">
          <cell r="I104">
            <v>492237</v>
          </cell>
          <cell r="J104">
            <v>4257850.05</v>
          </cell>
          <cell r="L104">
            <v>1146912.21</v>
          </cell>
          <cell r="M104">
            <v>0</v>
          </cell>
        </row>
        <row r="105">
          <cell r="I105">
            <v>0</v>
          </cell>
          <cell r="J105">
            <v>0</v>
          </cell>
          <cell r="L105">
            <v>0</v>
          </cell>
          <cell r="M105">
            <v>0</v>
          </cell>
        </row>
        <row r="106">
          <cell r="K106">
            <v>1000</v>
          </cell>
        </row>
        <row r="107">
          <cell r="I107">
            <v>6729887</v>
          </cell>
          <cell r="J107">
            <v>37687367.199999996</v>
          </cell>
          <cell r="L107">
            <v>10162129.369999999</v>
          </cell>
          <cell r="M107">
            <v>0</v>
          </cell>
        </row>
        <row r="108">
          <cell r="I108">
            <v>0</v>
          </cell>
          <cell r="J108">
            <v>0</v>
          </cell>
          <cell r="L108">
            <v>0</v>
          </cell>
          <cell r="M108">
            <v>0</v>
          </cell>
        </row>
        <row r="109">
          <cell r="K109">
            <v>2990083.5</v>
          </cell>
        </row>
        <row r="110">
          <cell r="J110">
            <v>-17093552.780000001</v>
          </cell>
          <cell r="K110">
            <v>120235.99</v>
          </cell>
          <cell r="L110">
            <v>-4327700.6900000004</v>
          </cell>
          <cell r="M110">
            <v>0</v>
          </cell>
        </row>
        <row r="111">
          <cell r="I111">
            <v>384546287.17000002</v>
          </cell>
          <cell r="J111">
            <v>2155482511.3221993</v>
          </cell>
          <cell r="K111">
            <v>235159377.79999998</v>
          </cell>
          <cell r="L111">
            <v>580650677.95840001</v>
          </cell>
          <cell r="M111">
            <v>0</v>
          </cell>
        </row>
        <row r="112">
          <cell r="N112">
            <v>11478566.4</v>
          </cell>
        </row>
        <row r="113">
          <cell r="N113">
            <v>180203325.5</v>
          </cell>
        </row>
        <row r="114">
          <cell r="N114">
            <v>-403465.93</v>
          </cell>
        </row>
        <row r="115">
          <cell r="N115">
            <v>14233381.199999999</v>
          </cell>
        </row>
        <row r="116">
          <cell r="N116">
            <v>7570146.2999999998</v>
          </cell>
        </row>
        <row r="118">
          <cell r="N118">
            <v>-8885155.8200000003</v>
          </cell>
        </row>
        <row r="119">
          <cell r="N119">
            <v>-59914981.75</v>
          </cell>
        </row>
        <row r="120">
          <cell r="N120">
            <v>-330084.76</v>
          </cell>
        </row>
        <row r="121">
          <cell r="N121">
            <v>-292336.21000000002</v>
          </cell>
        </row>
        <row r="124">
          <cell r="N124">
            <v>23488751.670000002</v>
          </cell>
        </row>
        <row r="125">
          <cell r="N125">
            <v>17740898.550000001</v>
          </cell>
        </row>
        <row r="126">
          <cell r="N126">
            <v>10950427.59</v>
          </cell>
        </row>
        <row r="127">
          <cell r="N127">
            <v>-1806440.31</v>
          </cell>
        </row>
        <row r="128">
          <cell r="N128">
            <v>878648</v>
          </cell>
        </row>
        <row r="129">
          <cell r="N129">
            <v>51252285.5</v>
          </cell>
        </row>
      </sheetData>
      <sheetData sheetId="3">
        <row r="5">
          <cell r="I5">
            <v>0</v>
          </cell>
          <cell r="J5">
            <v>0</v>
          </cell>
          <cell r="L5">
            <v>0</v>
          </cell>
          <cell r="M5">
            <v>0</v>
          </cell>
        </row>
        <row r="6">
          <cell r="I6">
            <v>5336</v>
          </cell>
          <cell r="J6">
            <v>2347.84</v>
          </cell>
          <cell r="L6">
            <v>640.31999999999994</v>
          </cell>
          <cell r="M6">
            <v>0</v>
          </cell>
        </row>
        <row r="7">
          <cell r="I7">
            <v>0</v>
          </cell>
          <cell r="J7">
            <v>0</v>
          </cell>
          <cell r="L7">
            <v>0</v>
          </cell>
          <cell r="M7">
            <v>0</v>
          </cell>
        </row>
        <row r="8">
          <cell r="K8">
            <v>654</v>
          </cell>
        </row>
        <row r="9">
          <cell r="I9">
            <v>-4</v>
          </cell>
          <cell r="J9">
            <v>-6.2</v>
          </cell>
          <cell r="L9">
            <v>0</v>
          </cell>
          <cell r="M9">
            <v>0</v>
          </cell>
        </row>
        <row r="10">
          <cell r="I10">
            <v>6</v>
          </cell>
          <cell r="J10">
            <v>19.799999999999997</v>
          </cell>
          <cell r="L10">
            <v>0</v>
          </cell>
          <cell r="M10">
            <v>0</v>
          </cell>
        </row>
        <row r="11">
          <cell r="I11">
            <v>0</v>
          </cell>
          <cell r="J11">
            <v>0</v>
          </cell>
          <cell r="L11">
            <v>0</v>
          </cell>
          <cell r="M11">
            <v>0</v>
          </cell>
        </row>
        <row r="12">
          <cell r="I12">
            <v>0</v>
          </cell>
          <cell r="J12">
            <v>0</v>
          </cell>
          <cell r="L12">
            <v>0</v>
          </cell>
          <cell r="M12">
            <v>0</v>
          </cell>
        </row>
        <row r="13">
          <cell r="I13">
            <v>58330074</v>
          </cell>
          <cell r="J13">
            <v>120159952.44</v>
          </cell>
          <cell r="L13">
            <v>32081540.700000003</v>
          </cell>
          <cell r="M13">
            <v>0</v>
          </cell>
        </row>
        <row r="14">
          <cell r="I14">
            <v>55152183</v>
          </cell>
          <cell r="J14">
            <v>210129817.22999999</v>
          </cell>
          <cell r="L14">
            <v>56806748.490000002</v>
          </cell>
          <cell r="M14">
            <v>0</v>
          </cell>
        </row>
        <row r="15">
          <cell r="I15">
            <v>20308665</v>
          </cell>
          <cell r="J15">
            <v>108854444.40000001</v>
          </cell>
          <cell r="L15">
            <v>29244477.599999998</v>
          </cell>
          <cell r="M15">
            <v>0</v>
          </cell>
        </row>
        <row r="16">
          <cell r="I16">
            <v>37655747</v>
          </cell>
          <cell r="J16">
            <v>258318424.42000002</v>
          </cell>
          <cell r="L16">
            <v>69663131.950000003</v>
          </cell>
          <cell r="M16">
            <v>0</v>
          </cell>
        </row>
        <row r="17">
          <cell r="I17">
            <v>0</v>
          </cell>
          <cell r="J17">
            <v>0</v>
          </cell>
          <cell r="L17">
            <v>0</v>
          </cell>
          <cell r="M17">
            <v>0</v>
          </cell>
        </row>
        <row r="18">
          <cell r="I18">
            <v>0</v>
          </cell>
          <cell r="J18">
            <v>0</v>
          </cell>
          <cell r="L18">
            <v>0</v>
          </cell>
          <cell r="M18">
            <v>0</v>
          </cell>
        </row>
        <row r="19">
          <cell r="I19">
            <v>0</v>
          </cell>
          <cell r="J19">
            <v>0</v>
          </cell>
          <cell r="L19">
            <v>0</v>
          </cell>
          <cell r="M19">
            <v>0</v>
          </cell>
        </row>
        <row r="20">
          <cell r="I20">
            <v>0</v>
          </cell>
          <cell r="J20">
            <v>0</v>
          </cell>
          <cell r="L20">
            <v>0</v>
          </cell>
          <cell r="M20">
            <v>0</v>
          </cell>
        </row>
        <row r="24">
          <cell r="K24">
            <v>62900029.68</v>
          </cell>
        </row>
        <row r="25">
          <cell r="I25">
            <v>-4</v>
          </cell>
          <cell r="J25">
            <v>-16</v>
          </cell>
          <cell r="L25">
            <v>0</v>
          </cell>
          <cell r="M25">
            <v>0</v>
          </cell>
        </row>
        <row r="26">
          <cell r="I26">
            <v>0</v>
          </cell>
          <cell r="J26">
            <v>0</v>
          </cell>
          <cell r="L26">
            <v>0</v>
          </cell>
          <cell r="M26">
            <v>0</v>
          </cell>
        </row>
        <row r="27">
          <cell r="I27">
            <v>0</v>
          </cell>
          <cell r="J27">
            <v>0</v>
          </cell>
          <cell r="L27">
            <v>0</v>
          </cell>
          <cell r="M27">
            <v>0</v>
          </cell>
        </row>
        <row r="28">
          <cell r="I28">
            <v>0</v>
          </cell>
          <cell r="J28">
            <v>0</v>
          </cell>
          <cell r="L28">
            <v>0</v>
          </cell>
          <cell r="M28">
            <v>0</v>
          </cell>
        </row>
        <row r="29">
          <cell r="I29">
            <v>47214157</v>
          </cell>
          <cell r="J29">
            <v>259677863.5</v>
          </cell>
          <cell r="L29">
            <v>69876952.359999999</v>
          </cell>
          <cell r="M29">
            <v>0</v>
          </cell>
        </row>
        <row r="30">
          <cell r="I30">
            <v>34193276</v>
          </cell>
          <cell r="J30">
            <v>279017132.16000003</v>
          </cell>
          <cell r="L30">
            <v>75225207.200000003</v>
          </cell>
          <cell r="M30">
            <v>0</v>
          </cell>
        </row>
        <row r="31">
          <cell r="I31">
            <v>0</v>
          </cell>
          <cell r="J31">
            <v>0</v>
          </cell>
          <cell r="L31">
            <v>0</v>
          </cell>
          <cell r="M31">
            <v>0</v>
          </cell>
        </row>
        <row r="32">
          <cell r="I32">
            <v>0</v>
          </cell>
          <cell r="J32">
            <v>0</v>
          </cell>
          <cell r="L32">
            <v>0</v>
          </cell>
          <cell r="M32">
            <v>0</v>
          </cell>
        </row>
        <row r="34">
          <cell r="K34">
            <v>63068457.68</v>
          </cell>
        </row>
        <row r="35">
          <cell r="I35">
            <v>0</v>
          </cell>
          <cell r="J35">
            <v>0</v>
          </cell>
          <cell r="L35">
            <v>0</v>
          </cell>
          <cell r="M35">
            <v>0</v>
          </cell>
        </row>
        <row r="36">
          <cell r="I36">
            <v>23527269</v>
          </cell>
          <cell r="J36">
            <v>188218152</v>
          </cell>
          <cell r="L36">
            <v>50583628.350000001</v>
          </cell>
          <cell r="M36">
            <v>0</v>
          </cell>
        </row>
        <row r="37">
          <cell r="I37">
            <v>0</v>
          </cell>
          <cell r="J37">
            <v>0</v>
          </cell>
          <cell r="L37">
            <v>0</v>
          </cell>
          <cell r="M37">
            <v>0</v>
          </cell>
        </row>
        <row r="38">
          <cell r="K38">
            <v>22301242.969999999</v>
          </cell>
        </row>
        <row r="39">
          <cell r="I39">
            <v>0</v>
          </cell>
          <cell r="J39">
            <v>0</v>
          </cell>
          <cell r="L39">
            <v>0</v>
          </cell>
          <cell r="M39">
            <v>0</v>
          </cell>
        </row>
        <row r="40">
          <cell r="I40">
            <v>45629193</v>
          </cell>
          <cell r="J40">
            <v>369140171.37</v>
          </cell>
          <cell r="L40">
            <v>99471640.74000001</v>
          </cell>
          <cell r="M40">
            <v>0</v>
          </cell>
        </row>
        <row r="41">
          <cell r="I41">
            <v>0</v>
          </cell>
          <cell r="J41">
            <v>0</v>
          </cell>
          <cell r="L41">
            <v>0</v>
          </cell>
          <cell r="M41">
            <v>0</v>
          </cell>
        </row>
        <row r="42">
          <cell r="K42">
            <v>35650587.799999997</v>
          </cell>
        </row>
        <row r="43">
          <cell r="I43">
            <v>0</v>
          </cell>
          <cell r="J43">
            <v>0</v>
          </cell>
          <cell r="L43">
            <v>0</v>
          </cell>
          <cell r="M43">
            <v>0</v>
          </cell>
        </row>
        <row r="44">
          <cell r="I44">
            <v>0</v>
          </cell>
          <cell r="J44">
            <v>0</v>
          </cell>
          <cell r="L44">
            <v>0</v>
          </cell>
          <cell r="M44">
            <v>0</v>
          </cell>
        </row>
        <row r="45">
          <cell r="I45">
            <v>0</v>
          </cell>
          <cell r="J45">
            <v>0</v>
          </cell>
          <cell r="L45">
            <v>0</v>
          </cell>
          <cell r="M45">
            <v>0</v>
          </cell>
        </row>
        <row r="46">
          <cell r="I46">
            <v>0</v>
          </cell>
          <cell r="J46">
            <v>0</v>
          </cell>
          <cell r="L46">
            <v>0</v>
          </cell>
          <cell r="M46">
            <v>0</v>
          </cell>
        </row>
        <row r="47">
          <cell r="I47">
            <v>1776880</v>
          </cell>
          <cell r="J47">
            <v>9257544.8000000007</v>
          </cell>
          <cell r="L47">
            <v>2487632</v>
          </cell>
          <cell r="M47">
            <v>0</v>
          </cell>
        </row>
        <row r="48">
          <cell r="I48">
            <v>1965302</v>
          </cell>
          <cell r="J48">
            <v>14307398.560000001</v>
          </cell>
          <cell r="L48">
            <v>3851991.92</v>
          </cell>
          <cell r="M48">
            <v>0</v>
          </cell>
        </row>
        <row r="49">
          <cell r="I49">
            <v>0</v>
          </cell>
          <cell r="J49">
            <v>0</v>
          </cell>
          <cell r="L49">
            <v>0</v>
          </cell>
          <cell r="M49">
            <v>0</v>
          </cell>
        </row>
        <row r="50">
          <cell r="I50">
            <v>0</v>
          </cell>
          <cell r="J50">
            <v>0</v>
          </cell>
          <cell r="L50">
            <v>0</v>
          </cell>
          <cell r="M50">
            <v>0</v>
          </cell>
        </row>
        <row r="52">
          <cell r="K52">
            <v>2856322.51</v>
          </cell>
        </row>
        <row r="53">
          <cell r="I53">
            <v>0</v>
          </cell>
          <cell r="J53">
            <v>0</v>
          </cell>
          <cell r="L53">
            <v>0</v>
          </cell>
          <cell r="M53">
            <v>0</v>
          </cell>
        </row>
        <row r="54">
          <cell r="I54">
            <v>4433829</v>
          </cell>
          <cell r="J54">
            <v>28908565.079999998</v>
          </cell>
          <cell r="L54">
            <v>7759200.75</v>
          </cell>
          <cell r="M54">
            <v>0</v>
          </cell>
        </row>
        <row r="55">
          <cell r="I55">
            <v>0</v>
          </cell>
          <cell r="J55">
            <v>0</v>
          </cell>
          <cell r="L55">
            <v>0</v>
          </cell>
          <cell r="M55">
            <v>0</v>
          </cell>
        </row>
        <row r="56">
          <cell r="K56">
            <v>5020217.2699999996</v>
          </cell>
        </row>
        <row r="57">
          <cell r="I57">
            <v>0</v>
          </cell>
          <cell r="J57">
            <v>0</v>
          </cell>
          <cell r="L57">
            <v>0</v>
          </cell>
          <cell r="M57">
            <v>0</v>
          </cell>
        </row>
        <row r="58">
          <cell r="I58">
            <v>4096107</v>
          </cell>
          <cell r="J58">
            <v>26174123.73</v>
          </cell>
          <cell r="L58">
            <v>7045304.04</v>
          </cell>
          <cell r="M58">
            <v>0</v>
          </cell>
        </row>
        <row r="59">
          <cell r="I59">
            <v>0</v>
          </cell>
          <cell r="J59">
            <v>0</v>
          </cell>
          <cell r="L59">
            <v>0</v>
          </cell>
          <cell r="M59">
            <v>0</v>
          </cell>
        </row>
        <row r="60">
          <cell r="K60">
            <v>2640865.84</v>
          </cell>
        </row>
        <row r="61">
          <cell r="I61">
            <v>0</v>
          </cell>
          <cell r="J61">
            <v>0</v>
          </cell>
          <cell r="L61">
            <v>0</v>
          </cell>
          <cell r="M61">
            <v>0</v>
          </cell>
        </row>
        <row r="62">
          <cell r="I62">
            <v>146330</v>
          </cell>
          <cell r="J62">
            <v>1719377.5</v>
          </cell>
          <cell r="L62">
            <v>462402.80000000005</v>
          </cell>
          <cell r="M62">
            <v>0</v>
          </cell>
        </row>
        <row r="63">
          <cell r="I63">
            <v>0</v>
          </cell>
          <cell r="J63">
            <v>0</v>
          </cell>
          <cell r="L63">
            <v>0</v>
          </cell>
          <cell r="M63">
            <v>0</v>
          </cell>
        </row>
        <row r="64">
          <cell r="K64">
            <v>337879.99</v>
          </cell>
        </row>
        <row r="65">
          <cell r="I65">
            <v>0</v>
          </cell>
          <cell r="J65">
            <v>0</v>
          </cell>
          <cell r="L65">
            <v>0</v>
          </cell>
          <cell r="M65">
            <v>0</v>
          </cell>
        </row>
        <row r="66">
          <cell r="I66">
            <v>2054113.11</v>
          </cell>
          <cell r="J66">
            <v>11626280.2026</v>
          </cell>
          <cell r="L66">
            <v>3122251.9272000003</v>
          </cell>
          <cell r="M66">
            <v>0</v>
          </cell>
        </row>
        <row r="67">
          <cell r="I67">
            <v>0</v>
          </cell>
          <cell r="J67">
            <v>0</v>
          </cell>
          <cell r="L67">
            <v>0</v>
          </cell>
          <cell r="M67">
            <v>0</v>
          </cell>
        </row>
        <row r="68">
          <cell r="K68">
            <v>1806318.54</v>
          </cell>
        </row>
        <row r="69">
          <cell r="I69">
            <v>0</v>
          </cell>
          <cell r="J69">
            <v>0</v>
          </cell>
          <cell r="L69">
            <v>0</v>
          </cell>
          <cell r="M69">
            <v>0</v>
          </cell>
        </row>
        <row r="70">
          <cell r="I70">
            <v>178623</v>
          </cell>
          <cell r="J70">
            <v>1011006.18</v>
          </cell>
          <cell r="L70">
            <v>271506.96000000002</v>
          </cell>
          <cell r="M70">
            <v>0</v>
          </cell>
        </row>
        <row r="71">
          <cell r="I71">
            <v>0</v>
          </cell>
          <cell r="J71">
            <v>0</v>
          </cell>
          <cell r="L71">
            <v>0</v>
          </cell>
          <cell r="M71">
            <v>0</v>
          </cell>
        </row>
        <row r="72">
          <cell r="K72">
            <v>218211.26</v>
          </cell>
        </row>
        <row r="73">
          <cell r="I73">
            <v>0</v>
          </cell>
          <cell r="J73">
            <v>0</v>
          </cell>
          <cell r="L73">
            <v>0</v>
          </cell>
          <cell r="M73">
            <v>0</v>
          </cell>
        </row>
        <row r="74">
          <cell r="I74">
            <v>77424</v>
          </cell>
          <cell r="J74">
            <v>250079.52</v>
          </cell>
          <cell r="L74">
            <v>67358.880000000005</v>
          </cell>
          <cell r="M74">
            <v>0</v>
          </cell>
        </row>
        <row r="75">
          <cell r="I75">
            <v>0</v>
          </cell>
          <cell r="J75">
            <v>0</v>
          </cell>
          <cell r="L75">
            <v>0</v>
          </cell>
          <cell r="M75">
            <v>0</v>
          </cell>
        </row>
        <row r="76">
          <cell r="K76">
            <v>29733.33</v>
          </cell>
        </row>
        <row r="77">
          <cell r="I77">
            <v>0</v>
          </cell>
          <cell r="J77">
            <v>0</v>
          </cell>
          <cell r="L77">
            <v>0</v>
          </cell>
          <cell r="M77">
            <v>0</v>
          </cell>
        </row>
        <row r="78">
          <cell r="I78">
            <v>2372192</v>
          </cell>
          <cell r="J78">
            <v>22274882.880000003</v>
          </cell>
          <cell r="L78">
            <v>6001645.7599999998</v>
          </cell>
          <cell r="M78">
            <v>0</v>
          </cell>
        </row>
        <row r="79">
          <cell r="I79">
            <v>0</v>
          </cell>
          <cell r="J79">
            <v>0</v>
          </cell>
          <cell r="L79">
            <v>0</v>
          </cell>
          <cell r="M79">
            <v>0</v>
          </cell>
        </row>
        <row r="80">
          <cell r="K80">
            <v>2008633.29</v>
          </cell>
        </row>
        <row r="81">
          <cell r="I81">
            <v>0</v>
          </cell>
          <cell r="J81">
            <v>0</v>
          </cell>
          <cell r="L81">
            <v>0</v>
          </cell>
          <cell r="M81">
            <v>0</v>
          </cell>
        </row>
        <row r="82">
          <cell r="I82">
            <v>107284</v>
          </cell>
          <cell r="J82">
            <v>332580.40000000002</v>
          </cell>
          <cell r="L82">
            <v>89045.72</v>
          </cell>
          <cell r="M82">
            <v>0</v>
          </cell>
        </row>
        <row r="83">
          <cell r="I83">
            <v>0</v>
          </cell>
          <cell r="J83">
            <v>0</v>
          </cell>
          <cell r="L83">
            <v>0</v>
          </cell>
          <cell r="M83">
            <v>0</v>
          </cell>
        </row>
        <row r="84">
          <cell r="K84">
            <v>3900</v>
          </cell>
        </row>
        <row r="85">
          <cell r="I85">
            <v>897656</v>
          </cell>
          <cell r="J85">
            <v>6104060.7999999998</v>
          </cell>
          <cell r="L85">
            <v>1642710.48</v>
          </cell>
          <cell r="M85">
            <v>0</v>
          </cell>
        </row>
        <row r="86">
          <cell r="I86">
            <v>0</v>
          </cell>
          <cell r="J86">
            <v>0</v>
          </cell>
          <cell r="L86">
            <v>0</v>
          </cell>
          <cell r="M86">
            <v>0</v>
          </cell>
        </row>
        <row r="87">
          <cell r="K87">
            <v>491175.02</v>
          </cell>
        </row>
        <row r="88">
          <cell r="I88">
            <v>6233892</v>
          </cell>
          <cell r="J88">
            <v>42390465.600000001</v>
          </cell>
          <cell r="L88">
            <v>11408022.360000001</v>
          </cell>
          <cell r="M88">
            <v>0</v>
          </cell>
        </row>
        <row r="89">
          <cell r="I89">
            <v>0</v>
          </cell>
          <cell r="J89">
            <v>0</v>
          </cell>
          <cell r="L89">
            <v>0</v>
          </cell>
          <cell r="M89">
            <v>0</v>
          </cell>
        </row>
        <row r="90">
          <cell r="K90">
            <v>4590233.82</v>
          </cell>
        </row>
        <row r="91">
          <cell r="I91">
            <v>0</v>
          </cell>
          <cell r="J91">
            <v>0</v>
          </cell>
          <cell r="L91">
            <v>0</v>
          </cell>
          <cell r="M91">
            <v>0</v>
          </cell>
        </row>
        <row r="92">
          <cell r="I92">
            <v>15626267</v>
          </cell>
          <cell r="J92">
            <v>92194975.300000012</v>
          </cell>
          <cell r="L92">
            <v>24845764.530000001</v>
          </cell>
          <cell r="M92">
            <v>0</v>
          </cell>
        </row>
        <row r="93">
          <cell r="I93">
            <v>0</v>
          </cell>
          <cell r="J93">
            <v>0</v>
          </cell>
          <cell r="L93">
            <v>0</v>
          </cell>
          <cell r="M93">
            <v>0</v>
          </cell>
        </row>
        <row r="94">
          <cell r="K94">
            <v>9476687.5</v>
          </cell>
        </row>
        <row r="95">
          <cell r="I95">
            <v>0</v>
          </cell>
          <cell r="J95">
            <v>0</v>
          </cell>
          <cell r="L95">
            <v>0</v>
          </cell>
          <cell r="M95">
            <v>0</v>
          </cell>
        </row>
        <row r="96">
          <cell r="I96">
            <v>32122186</v>
          </cell>
          <cell r="J96">
            <v>203975881.09999999</v>
          </cell>
          <cell r="L96">
            <v>54928938.060000002</v>
          </cell>
          <cell r="M96">
            <v>0</v>
          </cell>
        </row>
        <row r="97">
          <cell r="I97">
            <v>0</v>
          </cell>
          <cell r="J97">
            <v>0</v>
          </cell>
          <cell r="L97">
            <v>0</v>
          </cell>
          <cell r="M97">
            <v>0</v>
          </cell>
        </row>
        <row r="98">
          <cell r="K98">
            <v>18217862.829999998</v>
          </cell>
        </row>
        <row r="99">
          <cell r="I99">
            <v>0</v>
          </cell>
          <cell r="J99">
            <v>0</v>
          </cell>
          <cell r="L99">
            <v>0</v>
          </cell>
          <cell r="M99">
            <v>0</v>
          </cell>
        </row>
        <row r="100">
          <cell r="I100">
            <v>2979197</v>
          </cell>
          <cell r="J100">
            <v>10129269.799999999</v>
          </cell>
          <cell r="L100">
            <v>2711069.27</v>
          </cell>
          <cell r="M100">
            <v>0</v>
          </cell>
        </row>
        <row r="101">
          <cell r="I101">
            <v>0</v>
          </cell>
          <cell r="J101">
            <v>0</v>
          </cell>
          <cell r="L101">
            <v>0</v>
          </cell>
          <cell r="M101">
            <v>0</v>
          </cell>
        </row>
        <row r="102">
          <cell r="K102">
            <v>1403145.68</v>
          </cell>
        </row>
        <row r="103">
          <cell r="I103">
            <v>0</v>
          </cell>
          <cell r="J103">
            <v>0</v>
          </cell>
          <cell r="L103">
            <v>0</v>
          </cell>
          <cell r="M103">
            <v>0</v>
          </cell>
        </row>
        <row r="104">
          <cell r="I104">
            <v>516185</v>
          </cell>
          <cell r="J104">
            <v>4465000.25</v>
          </cell>
          <cell r="L104">
            <v>1202711.05</v>
          </cell>
          <cell r="M104">
            <v>0</v>
          </cell>
        </row>
        <row r="105">
          <cell r="I105">
            <v>0</v>
          </cell>
          <cell r="J105">
            <v>0</v>
          </cell>
          <cell r="L105">
            <v>0</v>
          </cell>
          <cell r="M105">
            <v>0</v>
          </cell>
        </row>
        <row r="106">
          <cell r="K106">
            <v>1000</v>
          </cell>
        </row>
        <row r="107">
          <cell r="I107">
            <v>7759915</v>
          </cell>
          <cell r="J107">
            <v>43455524</v>
          </cell>
          <cell r="L107">
            <v>11717471.65</v>
          </cell>
          <cell r="M107">
            <v>0</v>
          </cell>
        </row>
        <row r="108">
          <cell r="I108">
            <v>0</v>
          </cell>
          <cell r="J108">
            <v>0</v>
          </cell>
          <cell r="L108">
            <v>0</v>
          </cell>
          <cell r="M108">
            <v>0</v>
          </cell>
        </row>
        <row r="109">
          <cell r="K109">
            <v>3111703.34</v>
          </cell>
        </row>
        <row r="110">
          <cell r="J110">
            <v>-15431797.300000001</v>
          </cell>
          <cell r="K110">
            <v>-191240.38</v>
          </cell>
          <cell r="L110">
            <v>-4303591.01</v>
          </cell>
          <cell r="M110">
            <v>0</v>
          </cell>
        </row>
        <row r="111">
          <cell r="I111">
            <v>405359280.11000001</v>
          </cell>
          <cell r="J111">
            <v>2296663521.3625998</v>
          </cell>
          <cell r="K111">
            <v>235943621.97</v>
          </cell>
          <cell r="L111">
            <v>618265404.85720015</v>
          </cell>
          <cell r="M111">
            <v>0</v>
          </cell>
        </row>
        <row r="112">
          <cell r="N112">
            <v>9982935.3599999994</v>
          </cell>
        </row>
        <row r="113">
          <cell r="N113">
            <v>73933319.280000001</v>
          </cell>
        </row>
        <row r="114">
          <cell r="N114">
            <v>-154791.01999999999</v>
          </cell>
        </row>
        <row r="115">
          <cell r="N115">
            <v>15269342.140000001</v>
          </cell>
        </row>
        <row r="116">
          <cell r="N116">
            <v>8293299.2800000003</v>
          </cell>
        </row>
        <row r="118">
          <cell r="N118">
            <v>-13039246.439999999</v>
          </cell>
        </row>
        <row r="119">
          <cell r="N119">
            <v>-61781397.979999997</v>
          </cell>
        </row>
        <row r="120">
          <cell r="N120">
            <v>-319313.5</v>
          </cell>
        </row>
        <row r="121">
          <cell r="N121">
            <v>-1081682.8400000001</v>
          </cell>
        </row>
        <row r="124">
          <cell r="N124">
            <v>23488180.670000002</v>
          </cell>
        </row>
        <row r="125">
          <cell r="N125">
            <v>17283963.030000001</v>
          </cell>
        </row>
        <row r="126">
          <cell r="N126">
            <v>16091563.4</v>
          </cell>
        </row>
        <row r="127">
          <cell r="N127">
            <v>-1414641.88</v>
          </cell>
        </row>
        <row r="128">
          <cell r="N128">
            <v>917870</v>
          </cell>
        </row>
        <row r="129">
          <cell r="N129">
            <v>56366935.219999999</v>
          </cell>
        </row>
      </sheetData>
      <sheetData sheetId="4">
        <row r="5">
          <cell r="I5">
            <v>0</v>
          </cell>
          <cell r="J5">
            <v>0</v>
          </cell>
          <cell r="L5">
            <v>0</v>
          </cell>
          <cell r="M5">
            <v>0</v>
          </cell>
        </row>
        <row r="6">
          <cell r="I6">
            <v>2268</v>
          </cell>
          <cell r="J6">
            <v>997.92</v>
          </cell>
          <cell r="L6">
            <v>272.15999999999997</v>
          </cell>
          <cell r="M6">
            <v>0</v>
          </cell>
        </row>
        <row r="7">
          <cell r="I7">
            <v>0</v>
          </cell>
          <cell r="J7">
            <v>0</v>
          </cell>
          <cell r="L7">
            <v>0</v>
          </cell>
          <cell r="M7">
            <v>0</v>
          </cell>
        </row>
        <row r="8">
          <cell r="K8">
            <v>597</v>
          </cell>
        </row>
        <row r="9">
          <cell r="I9">
            <v>-1090</v>
          </cell>
          <cell r="J9">
            <v>-1689.5</v>
          </cell>
          <cell r="L9">
            <v>0</v>
          </cell>
          <cell r="M9">
            <v>0</v>
          </cell>
        </row>
        <row r="10">
          <cell r="I10">
            <v>-100</v>
          </cell>
          <cell r="J10">
            <v>-330</v>
          </cell>
          <cell r="L10">
            <v>0</v>
          </cell>
          <cell r="M10">
            <v>0</v>
          </cell>
        </row>
        <row r="11">
          <cell r="I11">
            <v>0</v>
          </cell>
          <cell r="J11">
            <v>0</v>
          </cell>
          <cell r="L11">
            <v>0</v>
          </cell>
          <cell r="M11">
            <v>0</v>
          </cell>
        </row>
        <row r="12">
          <cell r="I12">
            <v>0</v>
          </cell>
          <cell r="J12">
            <v>0</v>
          </cell>
          <cell r="L12">
            <v>0</v>
          </cell>
          <cell r="M12">
            <v>0</v>
          </cell>
        </row>
        <row r="13">
          <cell r="I13">
            <v>58197455</v>
          </cell>
          <cell r="J13">
            <v>119886757.3</v>
          </cell>
          <cell r="L13">
            <v>32008600.250000004</v>
          </cell>
          <cell r="M13">
            <v>0</v>
          </cell>
        </row>
        <row r="14">
          <cell r="I14">
            <v>48299324</v>
          </cell>
          <cell r="J14">
            <v>184020424.44</v>
          </cell>
          <cell r="L14">
            <v>49748303.719999999</v>
          </cell>
          <cell r="M14">
            <v>0</v>
          </cell>
        </row>
        <row r="15">
          <cell r="I15">
            <v>13602893</v>
          </cell>
          <cell r="J15">
            <v>72911506.480000004</v>
          </cell>
          <cell r="L15">
            <v>19588165.919999998</v>
          </cell>
          <cell r="M15">
            <v>0</v>
          </cell>
        </row>
        <row r="16">
          <cell r="I16">
            <v>25731970</v>
          </cell>
          <cell r="J16">
            <v>176521314.20000002</v>
          </cell>
          <cell r="L16">
            <v>47604144.5</v>
          </cell>
          <cell r="M16">
            <v>0</v>
          </cell>
        </row>
        <row r="17">
          <cell r="I17">
            <v>0</v>
          </cell>
          <cell r="J17">
            <v>0</v>
          </cell>
          <cell r="L17">
            <v>0</v>
          </cell>
          <cell r="M17">
            <v>0</v>
          </cell>
        </row>
        <row r="18">
          <cell r="I18">
            <v>0</v>
          </cell>
          <cell r="J18">
            <v>0</v>
          </cell>
          <cell r="L18">
            <v>0</v>
          </cell>
          <cell r="M18">
            <v>0</v>
          </cell>
        </row>
        <row r="19">
          <cell r="I19">
            <v>0</v>
          </cell>
          <cell r="J19">
            <v>0</v>
          </cell>
          <cell r="L19">
            <v>0</v>
          </cell>
          <cell r="M19">
            <v>0</v>
          </cell>
        </row>
        <row r="20">
          <cell r="I20">
            <v>0</v>
          </cell>
          <cell r="J20">
            <v>0</v>
          </cell>
          <cell r="L20">
            <v>0</v>
          </cell>
          <cell r="M20">
            <v>0</v>
          </cell>
        </row>
        <row r="24">
          <cell r="K24">
            <v>62129355.07</v>
          </cell>
        </row>
        <row r="25">
          <cell r="I25">
            <v>-902</v>
          </cell>
          <cell r="J25">
            <v>-3608</v>
          </cell>
          <cell r="L25">
            <v>0</v>
          </cell>
          <cell r="M25">
            <v>0</v>
          </cell>
        </row>
        <row r="26">
          <cell r="I26">
            <v>-322</v>
          </cell>
          <cell r="J26">
            <v>-1932</v>
          </cell>
          <cell r="L26">
            <v>0</v>
          </cell>
          <cell r="M26">
            <v>0</v>
          </cell>
        </row>
        <row r="27">
          <cell r="I27">
            <v>135</v>
          </cell>
          <cell r="J27">
            <v>931.5</v>
          </cell>
          <cell r="L27">
            <v>0</v>
          </cell>
          <cell r="M27">
            <v>0</v>
          </cell>
        </row>
        <row r="28">
          <cell r="I28">
            <v>4904</v>
          </cell>
          <cell r="J28">
            <v>37270.400000000001</v>
          </cell>
          <cell r="L28">
            <v>0</v>
          </cell>
          <cell r="M28">
            <v>0</v>
          </cell>
        </row>
        <row r="29">
          <cell r="I29">
            <v>44966599</v>
          </cell>
          <cell r="J29">
            <v>247316294.5</v>
          </cell>
          <cell r="L29">
            <v>66550566.519999996</v>
          </cell>
          <cell r="M29">
            <v>0</v>
          </cell>
        </row>
        <row r="30">
          <cell r="I30">
            <v>28317057</v>
          </cell>
          <cell r="J30">
            <v>231067185.12</v>
          </cell>
          <cell r="L30">
            <v>62297525.400000006</v>
          </cell>
          <cell r="M30">
            <v>0</v>
          </cell>
        </row>
        <row r="31">
          <cell r="I31">
            <v>0</v>
          </cell>
          <cell r="J31">
            <v>0</v>
          </cell>
          <cell r="L31">
            <v>0</v>
          </cell>
          <cell r="M31">
            <v>0</v>
          </cell>
        </row>
        <row r="32">
          <cell r="I32">
            <v>0</v>
          </cell>
          <cell r="J32">
            <v>0</v>
          </cell>
          <cell r="L32">
            <v>0</v>
          </cell>
          <cell r="M32">
            <v>0</v>
          </cell>
        </row>
        <row r="34">
          <cell r="K34">
            <v>63045023.990000002</v>
          </cell>
        </row>
        <row r="35">
          <cell r="I35">
            <v>0</v>
          </cell>
          <cell r="J35">
            <v>0</v>
          </cell>
          <cell r="L35">
            <v>0</v>
          </cell>
          <cell r="M35">
            <v>0</v>
          </cell>
        </row>
        <row r="36">
          <cell r="I36">
            <v>20673799</v>
          </cell>
          <cell r="J36">
            <v>165390392</v>
          </cell>
          <cell r="L36">
            <v>44448667.850000001</v>
          </cell>
          <cell r="M36">
            <v>0</v>
          </cell>
        </row>
        <row r="37">
          <cell r="I37">
            <v>0</v>
          </cell>
          <cell r="J37">
            <v>0</v>
          </cell>
          <cell r="L37">
            <v>0</v>
          </cell>
          <cell r="M37">
            <v>0</v>
          </cell>
        </row>
        <row r="38">
          <cell r="K38">
            <v>21677518.969999999</v>
          </cell>
        </row>
        <row r="39">
          <cell r="I39">
            <v>0</v>
          </cell>
          <cell r="J39">
            <v>0</v>
          </cell>
          <cell r="L39">
            <v>0</v>
          </cell>
          <cell r="M39">
            <v>0</v>
          </cell>
        </row>
        <row r="40">
          <cell r="I40">
            <v>40207741</v>
          </cell>
          <cell r="J40">
            <v>325280624.69</v>
          </cell>
          <cell r="L40">
            <v>87652875.38000001</v>
          </cell>
          <cell r="M40">
            <v>0</v>
          </cell>
        </row>
        <row r="41">
          <cell r="I41">
            <v>0</v>
          </cell>
          <cell r="J41">
            <v>0</v>
          </cell>
          <cell r="L41">
            <v>0</v>
          </cell>
          <cell r="M41">
            <v>0</v>
          </cell>
        </row>
        <row r="42">
          <cell r="K42">
            <v>34767762.600000001</v>
          </cell>
        </row>
        <row r="43">
          <cell r="I43">
            <v>0</v>
          </cell>
          <cell r="J43">
            <v>0</v>
          </cell>
          <cell r="L43">
            <v>0</v>
          </cell>
          <cell r="M43">
            <v>0</v>
          </cell>
        </row>
        <row r="44">
          <cell r="I44">
            <v>0</v>
          </cell>
          <cell r="J44">
            <v>0</v>
          </cell>
          <cell r="L44">
            <v>0</v>
          </cell>
          <cell r="M44">
            <v>0</v>
          </cell>
        </row>
        <row r="45">
          <cell r="I45">
            <v>0</v>
          </cell>
          <cell r="J45">
            <v>0</v>
          </cell>
          <cell r="L45">
            <v>0</v>
          </cell>
          <cell r="M45">
            <v>0</v>
          </cell>
        </row>
        <row r="46">
          <cell r="I46">
            <v>0</v>
          </cell>
          <cell r="J46">
            <v>0</v>
          </cell>
          <cell r="L46">
            <v>0</v>
          </cell>
          <cell r="M46">
            <v>0</v>
          </cell>
        </row>
        <row r="47">
          <cell r="I47">
            <v>1746820</v>
          </cell>
          <cell r="J47">
            <v>9100932.1999999993</v>
          </cell>
          <cell r="L47">
            <v>2445548</v>
          </cell>
          <cell r="M47">
            <v>0</v>
          </cell>
        </row>
        <row r="48">
          <cell r="I48">
            <v>1783933</v>
          </cell>
          <cell r="J48">
            <v>12987032.24</v>
          </cell>
          <cell r="L48">
            <v>3496508.68</v>
          </cell>
          <cell r="M48">
            <v>0</v>
          </cell>
        </row>
        <row r="49">
          <cell r="I49">
            <v>0</v>
          </cell>
          <cell r="J49">
            <v>0</v>
          </cell>
          <cell r="L49">
            <v>0</v>
          </cell>
          <cell r="M49">
            <v>0</v>
          </cell>
        </row>
        <row r="50">
          <cell r="I50">
            <v>0</v>
          </cell>
          <cell r="J50">
            <v>0</v>
          </cell>
          <cell r="L50">
            <v>0</v>
          </cell>
          <cell r="M50">
            <v>0</v>
          </cell>
        </row>
        <row r="52">
          <cell r="K52">
            <v>2829746.64</v>
          </cell>
        </row>
        <row r="53">
          <cell r="I53">
            <v>0</v>
          </cell>
          <cell r="J53">
            <v>0</v>
          </cell>
          <cell r="L53">
            <v>0</v>
          </cell>
          <cell r="M53">
            <v>0</v>
          </cell>
        </row>
        <row r="54">
          <cell r="I54">
            <v>4328851</v>
          </cell>
          <cell r="J54">
            <v>28224108.52</v>
          </cell>
          <cell r="L54">
            <v>7575489.25</v>
          </cell>
          <cell r="M54">
            <v>0</v>
          </cell>
        </row>
        <row r="55">
          <cell r="I55">
            <v>0</v>
          </cell>
          <cell r="J55">
            <v>0</v>
          </cell>
          <cell r="L55">
            <v>0</v>
          </cell>
          <cell r="M55">
            <v>0</v>
          </cell>
        </row>
        <row r="56">
          <cell r="K56">
            <v>5027247.82</v>
          </cell>
        </row>
        <row r="57">
          <cell r="I57">
            <v>0</v>
          </cell>
          <cell r="J57">
            <v>0</v>
          </cell>
          <cell r="L57">
            <v>0</v>
          </cell>
          <cell r="M57">
            <v>0</v>
          </cell>
        </row>
        <row r="58">
          <cell r="I58">
            <v>3893969</v>
          </cell>
          <cell r="J58">
            <v>24882461.91</v>
          </cell>
          <cell r="L58">
            <v>6697626.6799999997</v>
          </cell>
          <cell r="M58">
            <v>0</v>
          </cell>
        </row>
        <row r="59">
          <cell r="I59">
            <v>0</v>
          </cell>
          <cell r="J59">
            <v>0</v>
          </cell>
          <cell r="L59">
            <v>0</v>
          </cell>
          <cell r="M59">
            <v>0</v>
          </cell>
        </row>
        <row r="60">
          <cell r="K60">
            <v>2648984.84</v>
          </cell>
        </row>
        <row r="61">
          <cell r="I61">
            <v>-250</v>
          </cell>
          <cell r="J61">
            <v>-2850</v>
          </cell>
          <cell r="L61">
            <v>0</v>
          </cell>
          <cell r="M61">
            <v>0</v>
          </cell>
        </row>
        <row r="62">
          <cell r="I62">
            <v>132705</v>
          </cell>
          <cell r="J62">
            <v>1559283.75</v>
          </cell>
          <cell r="L62">
            <v>419347.80000000005</v>
          </cell>
          <cell r="M62">
            <v>0</v>
          </cell>
        </row>
        <row r="63">
          <cell r="I63">
            <v>0</v>
          </cell>
          <cell r="J63">
            <v>0</v>
          </cell>
          <cell r="L63">
            <v>0</v>
          </cell>
          <cell r="M63">
            <v>0</v>
          </cell>
        </row>
        <row r="64">
          <cell r="K64">
            <v>341333.32</v>
          </cell>
        </row>
        <row r="65">
          <cell r="I65">
            <v>0</v>
          </cell>
          <cell r="J65">
            <v>0</v>
          </cell>
          <cell r="L65">
            <v>0</v>
          </cell>
          <cell r="M65">
            <v>0</v>
          </cell>
        </row>
        <row r="66">
          <cell r="I66">
            <v>1938515.39</v>
          </cell>
          <cell r="J66">
            <v>10971997.1074</v>
          </cell>
          <cell r="L66">
            <v>2946543.3928</v>
          </cell>
          <cell r="M66">
            <v>0</v>
          </cell>
        </row>
        <row r="67">
          <cell r="I67">
            <v>0</v>
          </cell>
          <cell r="J67">
            <v>0</v>
          </cell>
          <cell r="L67">
            <v>0</v>
          </cell>
          <cell r="M67">
            <v>0</v>
          </cell>
        </row>
        <row r="68">
          <cell r="K68">
            <v>1854365.98</v>
          </cell>
        </row>
        <row r="69">
          <cell r="I69">
            <v>0</v>
          </cell>
          <cell r="J69">
            <v>0</v>
          </cell>
          <cell r="L69">
            <v>0</v>
          </cell>
          <cell r="M69">
            <v>0</v>
          </cell>
        </row>
        <row r="70">
          <cell r="I70">
            <v>637010</v>
          </cell>
          <cell r="J70">
            <v>3605476.6</v>
          </cell>
          <cell r="L70">
            <v>968255.2</v>
          </cell>
          <cell r="M70">
            <v>0</v>
          </cell>
        </row>
        <row r="71">
          <cell r="I71">
            <v>0</v>
          </cell>
          <cell r="J71">
            <v>0</v>
          </cell>
          <cell r="L71">
            <v>0</v>
          </cell>
          <cell r="M71">
            <v>0</v>
          </cell>
        </row>
        <row r="72">
          <cell r="K72">
            <v>216423.18</v>
          </cell>
        </row>
        <row r="73">
          <cell r="I73">
            <v>0</v>
          </cell>
          <cell r="J73">
            <v>0</v>
          </cell>
          <cell r="L73">
            <v>0</v>
          </cell>
          <cell r="M73">
            <v>0</v>
          </cell>
        </row>
        <row r="74">
          <cell r="I74">
            <v>5479</v>
          </cell>
          <cell r="J74">
            <v>17697.169999999998</v>
          </cell>
          <cell r="L74">
            <v>4766.7299999999996</v>
          </cell>
          <cell r="M74">
            <v>0</v>
          </cell>
        </row>
        <row r="75">
          <cell r="I75">
            <v>0</v>
          </cell>
          <cell r="J75">
            <v>0</v>
          </cell>
          <cell r="L75">
            <v>0</v>
          </cell>
          <cell r="M75">
            <v>0</v>
          </cell>
        </row>
        <row r="76">
          <cell r="K76">
            <v>800</v>
          </cell>
        </row>
        <row r="77">
          <cell r="I77">
            <v>0</v>
          </cell>
          <cell r="J77">
            <v>0</v>
          </cell>
          <cell r="L77">
            <v>0</v>
          </cell>
          <cell r="M77">
            <v>0</v>
          </cell>
        </row>
        <row r="78">
          <cell r="I78">
            <v>2732484</v>
          </cell>
          <cell r="J78">
            <v>25658024.760000002</v>
          </cell>
          <cell r="L78">
            <v>6913184.5199999996</v>
          </cell>
          <cell r="M78">
            <v>0</v>
          </cell>
        </row>
        <row r="79">
          <cell r="I79">
            <v>0</v>
          </cell>
          <cell r="J79">
            <v>0</v>
          </cell>
          <cell r="L79">
            <v>0</v>
          </cell>
          <cell r="M79">
            <v>0</v>
          </cell>
        </row>
        <row r="80">
          <cell r="K80">
            <v>1869706.7</v>
          </cell>
        </row>
        <row r="81">
          <cell r="I81">
            <v>0</v>
          </cell>
          <cell r="J81">
            <v>0</v>
          </cell>
          <cell r="L81">
            <v>0</v>
          </cell>
          <cell r="M81">
            <v>0</v>
          </cell>
        </row>
        <row r="82">
          <cell r="I82">
            <v>96312</v>
          </cell>
          <cell r="J82">
            <v>298567.2</v>
          </cell>
          <cell r="L82">
            <v>79938.959999999992</v>
          </cell>
          <cell r="M82">
            <v>0</v>
          </cell>
        </row>
        <row r="83">
          <cell r="I83">
            <v>0</v>
          </cell>
          <cell r="J83">
            <v>0</v>
          </cell>
          <cell r="L83">
            <v>0</v>
          </cell>
          <cell r="M83">
            <v>0</v>
          </cell>
        </row>
        <row r="84">
          <cell r="K84">
            <v>3900</v>
          </cell>
        </row>
        <row r="85">
          <cell r="I85">
            <v>889631</v>
          </cell>
          <cell r="J85">
            <v>6049490.7999999998</v>
          </cell>
          <cell r="L85">
            <v>1628024.73</v>
          </cell>
          <cell r="M85">
            <v>0</v>
          </cell>
        </row>
        <row r="86">
          <cell r="I86">
            <v>0</v>
          </cell>
          <cell r="J86">
            <v>0</v>
          </cell>
          <cell r="L86">
            <v>0</v>
          </cell>
          <cell r="M86">
            <v>0</v>
          </cell>
        </row>
        <row r="87">
          <cell r="K87">
            <v>491674.98</v>
          </cell>
        </row>
        <row r="88">
          <cell r="I88">
            <v>5694711</v>
          </cell>
          <cell r="J88">
            <v>38724034.799999997</v>
          </cell>
          <cell r="L88">
            <v>10421321.130000001</v>
          </cell>
          <cell r="M88">
            <v>0</v>
          </cell>
        </row>
        <row r="89">
          <cell r="I89">
            <v>0</v>
          </cell>
          <cell r="J89">
            <v>0</v>
          </cell>
          <cell r="L89">
            <v>0</v>
          </cell>
          <cell r="M89">
            <v>0</v>
          </cell>
        </row>
        <row r="90">
          <cell r="K90">
            <v>4558525.4800000004</v>
          </cell>
        </row>
        <row r="91">
          <cell r="I91">
            <v>0</v>
          </cell>
          <cell r="J91">
            <v>0</v>
          </cell>
          <cell r="L91">
            <v>0</v>
          </cell>
          <cell r="M91">
            <v>0</v>
          </cell>
        </row>
        <row r="92">
          <cell r="I92">
            <v>16294150</v>
          </cell>
          <cell r="J92">
            <v>96135485</v>
          </cell>
          <cell r="L92">
            <v>25907698.5</v>
          </cell>
          <cell r="M92">
            <v>0</v>
          </cell>
        </row>
        <row r="93">
          <cell r="I93">
            <v>0</v>
          </cell>
          <cell r="J93">
            <v>0</v>
          </cell>
          <cell r="L93">
            <v>0</v>
          </cell>
          <cell r="M93">
            <v>0</v>
          </cell>
        </row>
        <row r="94">
          <cell r="K94">
            <v>10265354.5</v>
          </cell>
        </row>
        <row r="95">
          <cell r="I95">
            <v>0</v>
          </cell>
          <cell r="J95">
            <v>0</v>
          </cell>
          <cell r="L95">
            <v>0</v>
          </cell>
          <cell r="M95">
            <v>0</v>
          </cell>
        </row>
        <row r="96">
          <cell r="I96">
            <v>29641993</v>
          </cell>
          <cell r="J96">
            <v>188226655.54999998</v>
          </cell>
          <cell r="L96">
            <v>50687808.030000001</v>
          </cell>
          <cell r="M96">
            <v>0</v>
          </cell>
        </row>
        <row r="97">
          <cell r="I97">
            <v>0</v>
          </cell>
          <cell r="J97">
            <v>0</v>
          </cell>
          <cell r="L97">
            <v>0</v>
          </cell>
          <cell r="M97">
            <v>0</v>
          </cell>
        </row>
        <row r="98">
          <cell r="K98">
            <v>17932374.899999999</v>
          </cell>
        </row>
        <row r="99">
          <cell r="I99">
            <v>0</v>
          </cell>
          <cell r="J99">
            <v>0</v>
          </cell>
          <cell r="L99">
            <v>0</v>
          </cell>
          <cell r="M99">
            <v>0</v>
          </cell>
        </row>
        <row r="100">
          <cell r="I100">
            <v>2762412</v>
          </cell>
          <cell r="J100">
            <v>9392200.7999999989</v>
          </cell>
          <cell r="L100">
            <v>2513794.92</v>
          </cell>
          <cell r="M100">
            <v>0</v>
          </cell>
        </row>
        <row r="101">
          <cell r="I101">
            <v>0</v>
          </cell>
          <cell r="J101">
            <v>0</v>
          </cell>
          <cell r="L101">
            <v>0</v>
          </cell>
          <cell r="M101">
            <v>0</v>
          </cell>
        </row>
        <row r="102">
          <cell r="K102">
            <v>1341280.3500000001</v>
          </cell>
        </row>
        <row r="103">
          <cell r="I103">
            <v>0</v>
          </cell>
          <cell r="J103">
            <v>0</v>
          </cell>
          <cell r="L103">
            <v>0</v>
          </cell>
          <cell r="M103">
            <v>0</v>
          </cell>
        </row>
        <row r="104">
          <cell r="I104">
            <v>532607</v>
          </cell>
          <cell r="J104">
            <v>4607050.55</v>
          </cell>
          <cell r="L104">
            <v>1240974.31</v>
          </cell>
          <cell r="M104">
            <v>0</v>
          </cell>
        </row>
        <row r="105">
          <cell r="I105">
            <v>0</v>
          </cell>
          <cell r="J105">
            <v>0</v>
          </cell>
          <cell r="L105">
            <v>0</v>
          </cell>
          <cell r="M105">
            <v>0</v>
          </cell>
        </row>
        <row r="106">
          <cell r="K106">
            <v>1000</v>
          </cell>
        </row>
        <row r="107">
          <cell r="I107">
            <v>7185457</v>
          </cell>
          <cell r="J107">
            <v>40238559.199999996</v>
          </cell>
          <cell r="L107">
            <v>10850040.07</v>
          </cell>
          <cell r="M107">
            <v>0</v>
          </cell>
        </row>
        <row r="108">
          <cell r="I108">
            <v>0</v>
          </cell>
          <cell r="J108">
            <v>0</v>
          </cell>
          <cell r="L108">
            <v>0</v>
          </cell>
          <cell r="M108">
            <v>0</v>
          </cell>
        </row>
        <row r="109">
          <cell r="K109">
            <v>3036224</v>
          </cell>
        </row>
        <row r="110">
          <cell r="J110">
            <v>-12518414.25</v>
          </cell>
          <cell r="K110">
            <v>-406482.6399999999</v>
          </cell>
          <cell r="L110">
            <v>-4191478.47</v>
          </cell>
          <cell r="M110">
            <v>0</v>
          </cell>
        </row>
        <row r="111">
          <cell r="I111">
            <v>360298520.38999999</v>
          </cell>
          <cell r="J111">
            <v>2010583932.9574001</v>
          </cell>
          <cell r="K111">
            <v>233632717.68000001</v>
          </cell>
          <cell r="L111">
            <v>540504514.13279998</v>
          </cell>
          <cell r="M111">
            <v>0</v>
          </cell>
        </row>
        <row r="112">
          <cell r="N112">
            <v>10417846.6</v>
          </cell>
        </row>
        <row r="113">
          <cell r="N113">
            <v>248214824.06999999</v>
          </cell>
        </row>
        <row r="114">
          <cell r="N114">
            <v>-267950.11</v>
          </cell>
        </row>
        <row r="115">
          <cell r="N115">
            <v>13123683.939999999</v>
          </cell>
        </row>
        <row r="116">
          <cell r="N116">
            <v>7556715.5899999999</v>
          </cell>
        </row>
        <row r="118">
          <cell r="N118">
            <v>-12209164.890000001</v>
          </cell>
        </row>
        <row r="119">
          <cell r="N119">
            <v>-59966319.439999998</v>
          </cell>
        </row>
        <row r="120">
          <cell r="N120">
            <v>-322526.34000000003</v>
          </cell>
        </row>
        <row r="121">
          <cell r="N121">
            <v>-527606.24</v>
          </cell>
        </row>
        <row r="124">
          <cell r="N124">
            <v>23786934.670000002</v>
          </cell>
        </row>
        <row r="125">
          <cell r="N125">
            <v>12658328.029999999</v>
          </cell>
        </row>
        <row r="126">
          <cell r="N126">
            <v>15028802</v>
          </cell>
        </row>
        <row r="127">
          <cell r="N127">
            <v>-5803793.1900000004</v>
          </cell>
        </row>
        <row r="128">
          <cell r="N128">
            <v>1140860</v>
          </cell>
        </row>
        <row r="129">
          <cell r="N129">
            <v>46811131.510000005</v>
          </cell>
        </row>
      </sheetData>
      <sheetData sheetId="5">
        <row r="5">
          <cell r="I5">
            <v>0</v>
          </cell>
          <cell r="J5">
            <v>0</v>
          </cell>
          <cell r="L5">
            <v>0</v>
          </cell>
          <cell r="M5">
            <v>0</v>
          </cell>
        </row>
        <row r="6">
          <cell r="I6">
            <v>2999</v>
          </cell>
          <cell r="J6">
            <v>1319.56</v>
          </cell>
          <cell r="L6">
            <v>359.88</v>
          </cell>
          <cell r="M6">
            <v>0</v>
          </cell>
        </row>
        <row r="7">
          <cell r="I7">
            <v>0</v>
          </cell>
          <cell r="J7">
            <v>0</v>
          </cell>
          <cell r="L7">
            <v>0</v>
          </cell>
          <cell r="M7">
            <v>0</v>
          </cell>
        </row>
        <row r="8">
          <cell r="K8">
            <v>598.5</v>
          </cell>
        </row>
        <row r="9">
          <cell r="I9">
            <v>-705</v>
          </cell>
          <cell r="J9">
            <v>-1092.75</v>
          </cell>
          <cell r="L9">
            <v>0</v>
          </cell>
          <cell r="M9">
            <v>0</v>
          </cell>
        </row>
        <row r="10">
          <cell r="I10">
            <v>-640</v>
          </cell>
          <cell r="J10">
            <v>-2112</v>
          </cell>
          <cell r="L10">
            <v>0</v>
          </cell>
          <cell r="M10">
            <v>0</v>
          </cell>
        </row>
        <row r="11">
          <cell r="I11">
            <v>-295</v>
          </cell>
          <cell r="J11">
            <v>-1563.5</v>
          </cell>
          <cell r="L11">
            <v>0</v>
          </cell>
          <cell r="M11">
            <v>0</v>
          </cell>
        </row>
        <row r="12">
          <cell r="I12">
            <v>-213</v>
          </cell>
          <cell r="J12">
            <v>-1448.3999999999999</v>
          </cell>
          <cell r="L12">
            <v>0</v>
          </cell>
          <cell r="M12">
            <v>0</v>
          </cell>
        </row>
        <row r="13">
          <cell r="I13">
            <v>59918947</v>
          </cell>
          <cell r="J13">
            <v>123433030.82000001</v>
          </cell>
          <cell r="L13">
            <v>32955420.850000001</v>
          </cell>
          <cell r="M13">
            <v>0</v>
          </cell>
        </row>
        <row r="14">
          <cell r="I14">
            <v>58610573</v>
          </cell>
          <cell r="J14">
            <v>223306283.13</v>
          </cell>
          <cell r="L14">
            <v>60368890.190000005</v>
          </cell>
          <cell r="M14">
            <v>0</v>
          </cell>
        </row>
        <row r="15">
          <cell r="I15">
            <v>17531354</v>
          </cell>
          <cell r="J15">
            <v>93968057.440000013</v>
          </cell>
          <cell r="L15">
            <v>25245149.759999998</v>
          </cell>
          <cell r="M15">
            <v>0</v>
          </cell>
        </row>
        <row r="16">
          <cell r="I16">
            <v>32966236</v>
          </cell>
          <cell r="J16">
            <v>226148378.96000001</v>
          </cell>
          <cell r="L16">
            <v>60987536.600000001</v>
          </cell>
          <cell r="M16">
            <v>0</v>
          </cell>
        </row>
        <row r="17">
          <cell r="I17">
            <v>0</v>
          </cell>
          <cell r="J17">
            <v>0</v>
          </cell>
          <cell r="L17">
            <v>0</v>
          </cell>
          <cell r="M17">
            <v>0</v>
          </cell>
        </row>
        <row r="18">
          <cell r="I18">
            <v>0</v>
          </cell>
          <cell r="J18">
            <v>0</v>
          </cell>
          <cell r="L18">
            <v>0</v>
          </cell>
          <cell r="M18">
            <v>0</v>
          </cell>
        </row>
        <row r="19">
          <cell r="I19">
            <v>0</v>
          </cell>
          <cell r="J19">
            <v>0</v>
          </cell>
          <cell r="L19">
            <v>0</v>
          </cell>
          <cell r="M19">
            <v>0</v>
          </cell>
        </row>
        <row r="20">
          <cell r="I20">
            <v>0</v>
          </cell>
          <cell r="J20">
            <v>0</v>
          </cell>
          <cell r="L20">
            <v>0</v>
          </cell>
          <cell r="M20">
            <v>0</v>
          </cell>
        </row>
        <row r="24">
          <cell r="K24">
            <v>63780649.520000003</v>
          </cell>
        </row>
        <row r="25">
          <cell r="I25">
            <v>-92</v>
          </cell>
          <cell r="J25">
            <v>-368</v>
          </cell>
          <cell r="L25">
            <v>0</v>
          </cell>
          <cell r="M25">
            <v>0</v>
          </cell>
        </row>
        <row r="26">
          <cell r="I26">
            <v>-93</v>
          </cell>
          <cell r="J26">
            <v>-558</v>
          </cell>
          <cell r="L26">
            <v>0</v>
          </cell>
          <cell r="M26">
            <v>0</v>
          </cell>
        </row>
        <row r="27">
          <cell r="I27">
            <v>-232</v>
          </cell>
          <cell r="J27">
            <v>-1600.8000000000002</v>
          </cell>
          <cell r="L27">
            <v>0</v>
          </cell>
          <cell r="M27">
            <v>0</v>
          </cell>
        </row>
        <row r="28">
          <cell r="I28">
            <v>-670</v>
          </cell>
          <cell r="J28">
            <v>-5092</v>
          </cell>
          <cell r="L28">
            <v>0</v>
          </cell>
          <cell r="M28">
            <v>0</v>
          </cell>
        </row>
        <row r="29">
          <cell r="I29">
            <v>48843181</v>
          </cell>
          <cell r="J29">
            <v>268637495.5</v>
          </cell>
          <cell r="L29">
            <v>72287907.879999995</v>
          </cell>
          <cell r="M29">
            <v>0</v>
          </cell>
        </row>
        <row r="30">
          <cell r="I30">
            <v>34879779</v>
          </cell>
          <cell r="J30">
            <v>284618996.63999999</v>
          </cell>
          <cell r="L30">
            <v>76735513.800000012</v>
          </cell>
          <cell r="M30">
            <v>0</v>
          </cell>
        </row>
        <row r="31">
          <cell r="I31">
            <v>0</v>
          </cell>
          <cell r="J31">
            <v>0</v>
          </cell>
          <cell r="L31">
            <v>0</v>
          </cell>
          <cell r="M31">
            <v>0</v>
          </cell>
        </row>
        <row r="32">
          <cell r="I32">
            <v>0</v>
          </cell>
          <cell r="J32">
            <v>0</v>
          </cell>
          <cell r="L32">
            <v>0</v>
          </cell>
          <cell r="M32">
            <v>0</v>
          </cell>
        </row>
        <row r="34">
          <cell r="K34">
            <v>62997190.420000002</v>
          </cell>
        </row>
        <row r="35">
          <cell r="I35">
            <v>0</v>
          </cell>
          <cell r="J35">
            <v>0</v>
          </cell>
          <cell r="L35">
            <v>0</v>
          </cell>
          <cell r="M35">
            <v>0</v>
          </cell>
        </row>
        <row r="36">
          <cell r="I36">
            <v>20563523</v>
          </cell>
          <cell r="J36">
            <v>164508184</v>
          </cell>
          <cell r="L36">
            <v>44211574.449999996</v>
          </cell>
          <cell r="M36">
            <v>0</v>
          </cell>
        </row>
        <row r="37">
          <cell r="I37">
            <v>0</v>
          </cell>
          <cell r="J37">
            <v>0</v>
          </cell>
          <cell r="L37">
            <v>0</v>
          </cell>
          <cell r="M37">
            <v>0</v>
          </cell>
        </row>
        <row r="38">
          <cell r="K38">
            <v>20879576.879999999</v>
          </cell>
        </row>
        <row r="39">
          <cell r="I39">
            <v>0</v>
          </cell>
          <cell r="J39">
            <v>0</v>
          </cell>
          <cell r="L39">
            <v>0</v>
          </cell>
          <cell r="M39">
            <v>0</v>
          </cell>
        </row>
        <row r="40">
          <cell r="I40">
            <v>40592614</v>
          </cell>
          <cell r="J40">
            <v>328394247.25999999</v>
          </cell>
          <cell r="L40">
            <v>88491898.520000011</v>
          </cell>
          <cell r="M40">
            <v>0</v>
          </cell>
        </row>
        <row r="41">
          <cell r="I41">
            <v>0</v>
          </cell>
          <cell r="J41">
            <v>0</v>
          </cell>
          <cell r="L41">
            <v>0</v>
          </cell>
          <cell r="M41">
            <v>0</v>
          </cell>
        </row>
        <row r="42">
          <cell r="K42">
            <v>33976594.539999999</v>
          </cell>
        </row>
        <row r="43">
          <cell r="I43">
            <v>0</v>
          </cell>
          <cell r="J43">
            <v>0</v>
          </cell>
          <cell r="L43">
            <v>0</v>
          </cell>
          <cell r="M43">
            <v>0</v>
          </cell>
        </row>
        <row r="44">
          <cell r="I44">
            <v>0</v>
          </cell>
          <cell r="J44">
            <v>0</v>
          </cell>
          <cell r="L44">
            <v>0</v>
          </cell>
          <cell r="M44">
            <v>0</v>
          </cell>
        </row>
        <row r="45">
          <cell r="I45">
            <v>0</v>
          </cell>
          <cell r="J45">
            <v>0</v>
          </cell>
          <cell r="L45">
            <v>0</v>
          </cell>
          <cell r="M45">
            <v>0</v>
          </cell>
        </row>
        <row r="46">
          <cell r="I46">
            <v>0</v>
          </cell>
          <cell r="J46">
            <v>0</v>
          </cell>
          <cell r="L46">
            <v>0</v>
          </cell>
          <cell r="M46">
            <v>0</v>
          </cell>
        </row>
        <row r="47">
          <cell r="I47">
            <v>1867374</v>
          </cell>
          <cell r="J47">
            <v>9729018.5399999991</v>
          </cell>
          <cell r="L47">
            <v>2614323.5999999996</v>
          </cell>
          <cell r="M47">
            <v>0</v>
          </cell>
        </row>
        <row r="48">
          <cell r="I48">
            <v>2395611</v>
          </cell>
          <cell r="J48">
            <v>17440048.080000002</v>
          </cell>
          <cell r="L48">
            <v>4695397.5599999996</v>
          </cell>
          <cell r="M48">
            <v>0</v>
          </cell>
        </row>
        <row r="49">
          <cell r="I49">
            <v>0</v>
          </cell>
          <cell r="J49">
            <v>0</v>
          </cell>
          <cell r="L49">
            <v>0</v>
          </cell>
          <cell r="M49">
            <v>0</v>
          </cell>
        </row>
        <row r="50">
          <cell r="I50">
            <v>0</v>
          </cell>
          <cell r="J50">
            <v>0</v>
          </cell>
          <cell r="L50">
            <v>0</v>
          </cell>
          <cell r="M50">
            <v>0</v>
          </cell>
        </row>
        <row r="52">
          <cell r="K52">
            <v>2858921.63</v>
          </cell>
        </row>
        <row r="53">
          <cell r="I53">
            <v>0</v>
          </cell>
          <cell r="J53">
            <v>0</v>
          </cell>
          <cell r="L53">
            <v>0</v>
          </cell>
          <cell r="M53">
            <v>0</v>
          </cell>
        </row>
        <row r="54">
          <cell r="I54">
            <v>4557847</v>
          </cell>
          <cell r="J54">
            <v>29717162.439999998</v>
          </cell>
          <cell r="L54">
            <v>7976232.25</v>
          </cell>
          <cell r="M54">
            <v>0</v>
          </cell>
        </row>
        <row r="55">
          <cell r="I55">
            <v>0</v>
          </cell>
          <cell r="J55">
            <v>0</v>
          </cell>
          <cell r="L55">
            <v>0</v>
          </cell>
          <cell r="M55">
            <v>0</v>
          </cell>
        </row>
        <row r="56">
          <cell r="K56">
            <v>5009323.54</v>
          </cell>
        </row>
        <row r="57">
          <cell r="I57">
            <v>0</v>
          </cell>
          <cell r="J57">
            <v>0</v>
          </cell>
          <cell r="L57">
            <v>0</v>
          </cell>
          <cell r="M57">
            <v>0</v>
          </cell>
        </row>
        <row r="58">
          <cell r="I58">
            <v>3992489</v>
          </cell>
          <cell r="J58">
            <v>25512004.709999997</v>
          </cell>
          <cell r="L58">
            <v>6867081.0800000001</v>
          </cell>
          <cell r="M58">
            <v>0</v>
          </cell>
        </row>
        <row r="59">
          <cell r="I59">
            <v>0</v>
          </cell>
          <cell r="J59">
            <v>0</v>
          </cell>
          <cell r="L59">
            <v>0</v>
          </cell>
          <cell r="M59">
            <v>0</v>
          </cell>
        </row>
        <row r="60">
          <cell r="K60">
            <v>2659765.04</v>
          </cell>
        </row>
        <row r="61">
          <cell r="I61">
            <v>0</v>
          </cell>
          <cell r="J61">
            <v>0</v>
          </cell>
          <cell r="L61">
            <v>0</v>
          </cell>
          <cell r="M61">
            <v>0</v>
          </cell>
        </row>
        <row r="62">
          <cell r="I62">
            <v>123189</v>
          </cell>
          <cell r="J62">
            <v>1447470.75</v>
          </cell>
          <cell r="L62">
            <v>389277.24</v>
          </cell>
          <cell r="M62">
            <v>0</v>
          </cell>
        </row>
        <row r="63">
          <cell r="I63">
            <v>0</v>
          </cell>
          <cell r="J63">
            <v>0</v>
          </cell>
          <cell r="L63">
            <v>0</v>
          </cell>
          <cell r="M63">
            <v>0</v>
          </cell>
        </row>
        <row r="64">
          <cell r="K64">
            <v>336173.31</v>
          </cell>
        </row>
        <row r="65">
          <cell r="I65">
            <v>0</v>
          </cell>
          <cell r="J65">
            <v>0</v>
          </cell>
          <cell r="L65">
            <v>0</v>
          </cell>
          <cell r="M65">
            <v>0</v>
          </cell>
        </row>
        <row r="66">
          <cell r="I66">
            <v>2012906.82</v>
          </cell>
          <cell r="J66">
            <v>11393052.601200001</v>
          </cell>
          <cell r="L66">
            <v>3059618.3664000002</v>
          </cell>
          <cell r="M66">
            <v>0</v>
          </cell>
        </row>
        <row r="67">
          <cell r="I67">
            <v>0</v>
          </cell>
          <cell r="J67">
            <v>0</v>
          </cell>
          <cell r="L67">
            <v>0</v>
          </cell>
          <cell r="M67">
            <v>0</v>
          </cell>
        </row>
        <row r="68">
          <cell r="K68">
            <v>1840657.83</v>
          </cell>
        </row>
        <row r="69">
          <cell r="I69">
            <v>0</v>
          </cell>
          <cell r="J69">
            <v>0</v>
          </cell>
          <cell r="L69">
            <v>0</v>
          </cell>
          <cell r="M69">
            <v>0</v>
          </cell>
        </row>
        <row r="70">
          <cell r="I70">
            <v>376499</v>
          </cell>
          <cell r="J70">
            <v>2130984.34</v>
          </cell>
          <cell r="L70">
            <v>572278.48</v>
          </cell>
          <cell r="M70">
            <v>0</v>
          </cell>
        </row>
        <row r="71">
          <cell r="I71">
            <v>0</v>
          </cell>
          <cell r="J71">
            <v>0</v>
          </cell>
          <cell r="L71">
            <v>0</v>
          </cell>
          <cell r="M71">
            <v>0</v>
          </cell>
        </row>
        <row r="72">
          <cell r="K72">
            <v>215202.89</v>
          </cell>
        </row>
        <row r="73">
          <cell r="I73">
            <v>0</v>
          </cell>
          <cell r="J73">
            <v>0</v>
          </cell>
          <cell r="L73">
            <v>0</v>
          </cell>
          <cell r="M73">
            <v>0</v>
          </cell>
        </row>
        <row r="74">
          <cell r="I74">
            <v>14414</v>
          </cell>
          <cell r="J74">
            <v>46557.22</v>
          </cell>
          <cell r="L74">
            <v>12540.18</v>
          </cell>
          <cell r="M74">
            <v>0</v>
          </cell>
        </row>
        <row r="75">
          <cell r="I75">
            <v>0</v>
          </cell>
          <cell r="J75">
            <v>0</v>
          </cell>
          <cell r="L75">
            <v>0</v>
          </cell>
          <cell r="M75">
            <v>0</v>
          </cell>
        </row>
        <row r="76">
          <cell r="K76">
            <v>7980</v>
          </cell>
        </row>
        <row r="77">
          <cell r="I77">
            <v>0</v>
          </cell>
          <cell r="J77">
            <v>0</v>
          </cell>
          <cell r="L77">
            <v>0</v>
          </cell>
          <cell r="M77">
            <v>0</v>
          </cell>
        </row>
        <row r="78">
          <cell r="I78">
            <v>2773864</v>
          </cell>
          <cell r="J78">
            <v>26046582.960000001</v>
          </cell>
          <cell r="L78">
            <v>7017875.919999999</v>
          </cell>
          <cell r="M78">
            <v>0</v>
          </cell>
        </row>
        <row r="79">
          <cell r="I79">
            <v>0</v>
          </cell>
          <cell r="J79">
            <v>0</v>
          </cell>
          <cell r="L79">
            <v>0</v>
          </cell>
          <cell r="M79">
            <v>0</v>
          </cell>
        </row>
        <row r="80">
          <cell r="K80">
            <v>1953526.66</v>
          </cell>
        </row>
        <row r="81">
          <cell r="I81">
            <v>0</v>
          </cell>
          <cell r="J81">
            <v>0</v>
          </cell>
          <cell r="L81">
            <v>0</v>
          </cell>
          <cell r="M81">
            <v>0</v>
          </cell>
        </row>
        <row r="82">
          <cell r="I82">
            <v>149809</v>
          </cell>
          <cell r="J82">
            <v>464407.9</v>
          </cell>
          <cell r="L82">
            <v>124341.47</v>
          </cell>
          <cell r="M82">
            <v>0</v>
          </cell>
        </row>
        <row r="83">
          <cell r="I83">
            <v>0</v>
          </cell>
          <cell r="J83">
            <v>0</v>
          </cell>
          <cell r="L83">
            <v>0</v>
          </cell>
          <cell r="M83">
            <v>0</v>
          </cell>
        </row>
        <row r="84">
          <cell r="K84">
            <v>3900</v>
          </cell>
        </row>
        <row r="85">
          <cell r="I85">
            <v>999666</v>
          </cell>
          <cell r="J85">
            <v>6797728.7999999998</v>
          </cell>
          <cell r="L85">
            <v>1829388.78</v>
          </cell>
          <cell r="M85">
            <v>0</v>
          </cell>
        </row>
        <row r="86">
          <cell r="I86">
            <v>0</v>
          </cell>
          <cell r="J86">
            <v>0</v>
          </cell>
          <cell r="L86">
            <v>0</v>
          </cell>
          <cell r="M86">
            <v>0</v>
          </cell>
        </row>
        <row r="87">
          <cell r="K87">
            <v>490158.33</v>
          </cell>
        </row>
        <row r="88">
          <cell r="I88">
            <v>5831391</v>
          </cell>
          <cell r="J88">
            <v>39653458.799999997</v>
          </cell>
          <cell r="L88">
            <v>10671445.530000001</v>
          </cell>
          <cell r="M88">
            <v>0</v>
          </cell>
        </row>
        <row r="89">
          <cell r="I89">
            <v>0</v>
          </cell>
          <cell r="J89">
            <v>0</v>
          </cell>
          <cell r="L89">
            <v>0</v>
          </cell>
          <cell r="M89">
            <v>0</v>
          </cell>
        </row>
        <row r="90">
          <cell r="K90">
            <v>4553869.33</v>
          </cell>
        </row>
        <row r="91">
          <cell r="I91">
            <v>0</v>
          </cell>
          <cell r="J91">
            <v>0</v>
          </cell>
          <cell r="L91">
            <v>0</v>
          </cell>
          <cell r="M91">
            <v>0</v>
          </cell>
        </row>
        <row r="92">
          <cell r="I92">
            <v>16816323</v>
          </cell>
          <cell r="J92">
            <v>99216305.700000003</v>
          </cell>
          <cell r="L92">
            <v>26737953.57</v>
          </cell>
          <cell r="M92">
            <v>0</v>
          </cell>
        </row>
        <row r="93">
          <cell r="I93">
            <v>0</v>
          </cell>
          <cell r="J93">
            <v>0</v>
          </cell>
          <cell r="L93">
            <v>0</v>
          </cell>
          <cell r="M93">
            <v>0</v>
          </cell>
        </row>
        <row r="94">
          <cell r="K94">
            <v>9909793.5</v>
          </cell>
        </row>
        <row r="95">
          <cell r="I95">
            <v>0</v>
          </cell>
          <cell r="J95">
            <v>0</v>
          </cell>
          <cell r="L95">
            <v>0</v>
          </cell>
          <cell r="M95">
            <v>0</v>
          </cell>
        </row>
        <row r="96">
          <cell r="I96">
            <v>30283588</v>
          </cell>
          <cell r="J96">
            <v>192300783.79999998</v>
          </cell>
          <cell r="L96">
            <v>51784935.479999997</v>
          </cell>
          <cell r="M96">
            <v>0</v>
          </cell>
        </row>
        <row r="97">
          <cell r="I97">
            <v>0</v>
          </cell>
          <cell r="J97">
            <v>0</v>
          </cell>
          <cell r="L97">
            <v>0</v>
          </cell>
          <cell r="M97">
            <v>0</v>
          </cell>
        </row>
        <row r="98">
          <cell r="K98">
            <v>17430243.800000001</v>
          </cell>
        </row>
        <row r="99">
          <cell r="I99">
            <v>0</v>
          </cell>
          <cell r="J99">
            <v>0</v>
          </cell>
          <cell r="L99">
            <v>0</v>
          </cell>
          <cell r="M99">
            <v>0</v>
          </cell>
        </row>
        <row r="100">
          <cell r="I100">
            <v>2835184</v>
          </cell>
          <cell r="J100">
            <v>9639625.5999999996</v>
          </cell>
          <cell r="L100">
            <v>2580017.44</v>
          </cell>
          <cell r="M100">
            <v>0</v>
          </cell>
        </row>
        <row r="101">
          <cell r="I101">
            <v>0</v>
          </cell>
          <cell r="J101">
            <v>0</v>
          </cell>
          <cell r="L101">
            <v>0</v>
          </cell>
          <cell r="M101">
            <v>0</v>
          </cell>
        </row>
        <row r="102">
          <cell r="K102">
            <v>1358551.35</v>
          </cell>
        </row>
        <row r="103">
          <cell r="I103">
            <v>0</v>
          </cell>
          <cell r="J103">
            <v>0</v>
          </cell>
          <cell r="L103">
            <v>0</v>
          </cell>
          <cell r="M103">
            <v>0</v>
          </cell>
        </row>
        <row r="104">
          <cell r="I104">
            <v>579229</v>
          </cell>
          <cell r="J104">
            <v>5010330.8500000006</v>
          </cell>
          <cell r="L104">
            <v>1349603.57</v>
          </cell>
          <cell r="M104">
            <v>0</v>
          </cell>
        </row>
        <row r="105">
          <cell r="I105">
            <v>0</v>
          </cell>
          <cell r="J105">
            <v>0</v>
          </cell>
          <cell r="L105">
            <v>0</v>
          </cell>
          <cell r="M105">
            <v>0</v>
          </cell>
        </row>
        <row r="106">
          <cell r="K106">
            <v>1000</v>
          </cell>
        </row>
        <row r="107">
          <cell r="I107">
            <v>7265261</v>
          </cell>
          <cell r="J107">
            <v>40685461.599999994</v>
          </cell>
          <cell r="L107">
            <v>10970544.109999999</v>
          </cell>
          <cell r="M107">
            <v>0</v>
          </cell>
        </row>
        <row r="108">
          <cell r="I108">
            <v>0</v>
          </cell>
          <cell r="J108">
            <v>0</v>
          </cell>
          <cell r="L108">
            <v>0</v>
          </cell>
          <cell r="M108">
            <v>0</v>
          </cell>
        </row>
        <row r="109">
          <cell r="K109">
            <v>2969724</v>
          </cell>
        </row>
        <row r="110">
          <cell r="J110">
            <v>-21303715.100000001</v>
          </cell>
          <cell r="K110">
            <v>253386.25000000006</v>
          </cell>
          <cell r="L110">
            <v>-5562599.6100000003</v>
          </cell>
          <cell r="M110">
            <v>0</v>
          </cell>
        </row>
        <row r="111">
          <cell r="I111">
            <v>396780910.81999999</v>
          </cell>
          <cell r="J111">
            <v>2208929427.4512</v>
          </cell>
          <cell r="K111">
            <v>233486787.32000002</v>
          </cell>
          <cell r="L111">
            <v>594974506.94640005</v>
          </cell>
          <cell r="M111">
            <v>0</v>
          </cell>
        </row>
        <row r="112">
          <cell r="N112">
            <v>9949763.7599999998</v>
          </cell>
        </row>
        <row r="113">
          <cell r="N113">
            <v>-182505029.81999999</v>
          </cell>
        </row>
        <row r="114">
          <cell r="N114">
            <v>-224315.7</v>
          </cell>
        </row>
        <row r="115">
          <cell r="N115">
            <v>13599782.029999999</v>
          </cell>
        </row>
        <row r="116">
          <cell r="N116">
            <v>6860257.6399999997</v>
          </cell>
        </row>
        <row r="118">
          <cell r="N118">
            <v>-9866701.2699999996</v>
          </cell>
        </row>
        <row r="119">
          <cell r="N119">
            <v>-53107196.740000002</v>
          </cell>
        </row>
        <row r="120">
          <cell r="N120">
            <v>-310343.89</v>
          </cell>
        </row>
        <row r="121">
          <cell r="N121">
            <v>-576671.23</v>
          </cell>
        </row>
        <row r="124">
          <cell r="N124">
            <v>23983866.829999998</v>
          </cell>
        </row>
        <row r="125">
          <cell r="N125">
            <v>13819125.66</v>
          </cell>
        </row>
        <row r="126">
          <cell r="N126">
            <v>18774160.73</v>
          </cell>
        </row>
        <row r="127">
          <cell r="N127">
            <v>-2234189.4900000002</v>
          </cell>
        </row>
        <row r="128">
          <cell r="N128">
            <v>2227985</v>
          </cell>
        </row>
        <row r="129">
          <cell r="N129">
            <v>56570948.729999997</v>
          </cell>
        </row>
      </sheetData>
      <sheetData sheetId="6">
        <row r="5">
          <cell r="I5">
            <v>0</v>
          </cell>
          <cell r="J5">
            <v>0</v>
          </cell>
          <cell r="L5">
            <v>0</v>
          </cell>
          <cell r="M5">
            <v>0</v>
          </cell>
        </row>
        <row r="6">
          <cell r="I6">
            <v>2796</v>
          </cell>
          <cell r="J6">
            <v>1230.24</v>
          </cell>
          <cell r="L6">
            <v>335.52</v>
          </cell>
          <cell r="M6">
            <v>0</v>
          </cell>
        </row>
        <row r="7">
          <cell r="I7">
            <v>1597</v>
          </cell>
          <cell r="J7">
            <v>878.35</v>
          </cell>
          <cell r="L7">
            <v>191.64</v>
          </cell>
          <cell r="M7">
            <v>51.75</v>
          </cell>
        </row>
        <row r="8">
          <cell r="K8">
            <v>606.70000000000005</v>
          </cell>
        </row>
        <row r="9">
          <cell r="I9">
            <v>-524</v>
          </cell>
          <cell r="J9">
            <v>-812.2</v>
          </cell>
          <cell r="L9">
            <v>0</v>
          </cell>
          <cell r="M9">
            <v>0</v>
          </cell>
        </row>
        <row r="10">
          <cell r="I10">
            <v>-279</v>
          </cell>
          <cell r="J10">
            <v>-920.69999999999993</v>
          </cell>
          <cell r="L10">
            <v>0</v>
          </cell>
          <cell r="M10">
            <v>0</v>
          </cell>
        </row>
        <row r="11">
          <cell r="I11">
            <v>-137</v>
          </cell>
          <cell r="J11">
            <v>-726.1</v>
          </cell>
          <cell r="L11">
            <v>0</v>
          </cell>
          <cell r="M11">
            <v>0</v>
          </cell>
        </row>
        <row r="12">
          <cell r="I12">
            <v>-348</v>
          </cell>
          <cell r="J12">
            <v>-2366.4</v>
          </cell>
          <cell r="L12">
            <v>0</v>
          </cell>
          <cell r="M12">
            <v>0</v>
          </cell>
        </row>
        <row r="13">
          <cell r="I13">
            <v>40681326</v>
          </cell>
          <cell r="J13">
            <v>83803531.560000002</v>
          </cell>
          <cell r="L13">
            <v>22374729.300000001</v>
          </cell>
          <cell r="M13">
            <v>0</v>
          </cell>
        </row>
        <row r="14">
          <cell r="I14">
            <v>35700178</v>
          </cell>
          <cell r="J14">
            <v>136017678.18000001</v>
          </cell>
          <cell r="L14">
            <v>36771183.340000004</v>
          </cell>
          <cell r="M14">
            <v>0</v>
          </cell>
        </row>
        <row r="15">
          <cell r="I15">
            <v>10240249</v>
          </cell>
          <cell r="J15">
            <v>54887734.640000001</v>
          </cell>
          <cell r="L15">
            <v>14745958.559999999</v>
          </cell>
          <cell r="M15">
            <v>0</v>
          </cell>
        </row>
        <row r="16">
          <cell r="I16">
            <v>21579892</v>
          </cell>
          <cell r="J16">
            <v>148038059.12</v>
          </cell>
          <cell r="L16">
            <v>39922800.200000003</v>
          </cell>
          <cell r="M16">
            <v>0</v>
          </cell>
        </row>
        <row r="17">
          <cell r="I17">
            <v>18460337</v>
          </cell>
          <cell r="J17">
            <v>45227825.650000006</v>
          </cell>
          <cell r="L17">
            <v>10153185.350000001</v>
          </cell>
          <cell r="M17">
            <v>3843950.42</v>
          </cell>
        </row>
        <row r="18">
          <cell r="I18">
            <v>16641093</v>
          </cell>
          <cell r="J18">
            <v>74884918.5</v>
          </cell>
          <cell r="L18">
            <v>17140325.789999999</v>
          </cell>
          <cell r="M18">
            <v>6465528.2400000002</v>
          </cell>
        </row>
        <row r="19">
          <cell r="I19">
            <v>4822559</v>
          </cell>
          <cell r="J19">
            <v>30623249.649999999</v>
          </cell>
          <cell r="L19">
            <v>6944484.96</v>
          </cell>
          <cell r="M19">
            <v>2676820.6500000004</v>
          </cell>
        </row>
        <row r="20">
          <cell r="I20">
            <v>6950481</v>
          </cell>
          <cell r="J20">
            <v>55603848</v>
          </cell>
          <cell r="L20">
            <v>12858389.850000001</v>
          </cell>
          <cell r="M20">
            <v>4688846.26</v>
          </cell>
        </row>
        <row r="24">
          <cell r="K24">
            <v>63021281.269999996</v>
          </cell>
        </row>
        <row r="25">
          <cell r="I25">
            <v>-36</v>
          </cell>
          <cell r="J25">
            <v>-144</v>
          </cell>
          <cell r="L25">
            <v>0</v>
          </cell>
          <cell r="M25">
            <v>0</v>
          </cell>
        </row>
        <row r="26">
          <cell r="I26">
            <v>20</v>
          </cell>
          <cell r="J26">
            <v>120</v>
          </cell>
          <cell r="L26">
            <v>0</v>
          </cell>
          <cell r="M26">
            <v>0</v>
          </cell>
        </row>
        <row r="27">
          <cell r="I27">
            <v>18</v>
          </cell>
          <cell r="J27">
            <v>124.2</v>
          </cell>
          <cell r="L27">
            <v>0</v>
          </cell>
          <cell r="M27">
            <v>0</v>
          </cell>
        </row>
        <row r="28">
          <cell r="I28">
            <v>-108</v>
          </cell>
          <cell r="J28">
            <v>-820.8</v>
          </cell>
          <cell r="L28">
            <v>0</v>
          </cell>
          <cell r="M28">
            <v>0</v>
          </cell>
        </row>
        <row r="29">
          <cell r="I29">
            <v>32380554</v>
          </cell>
          <cell r="J29">
            <v>178093047</v>
          </cell>
          <cell r="L29">
            <v>47923219.920000002</v>
          </cell>
          <cell r="M29">
            <v>0</v>
          </cell>
        </row>
        <row r="30">
          <cell r="I30">
            <v>22359160</v>
          </cell>
          <cell r="J30">
            <v>182450745.59999999</v>
          </cell>
          <cell r="L30">
            <v>49190152.000000007</v>
          </cell>
          <cell r="M30">
            <v>0</v>
          </cell>
        </row>
        <row r="31">
          <cell r="I31">
            <v>13654402</v>
          </cell>
          <cell r="J31">
            <v>89436333.099999994</v>
          </cell>
          <cell r="L31">
            <v>20208514.960000001</v>
          </cell>
          <cell r="M31">
            <v>7856300.1000000006</v>
          </cell>
        </row>
        <row r="32">
          <cell r="I32">
            <v>7704723</v>
          </cell>
          <cell r="J32">
            <v>69727743.150000006</v>
          </cell>
          <cell r="L32">
            <v>16950390.600000001</v>
          </cell>
          <cell r="M32">
            <v>9390302.5</v>
          </cell>
        </row>
        <row r="34">
          <cell r="K34">
            <v>63348290.870000005</v>
          </cell>
        </row>
        <row r="35">
          <cell r="I35">
            <v>0</v>
          </cell>
          <cell r="J35">
            <v>0</v>
          </cell>
          <cell r="L35">
            <v>0</v>
          </cell>
          <cell r="M35">
            <v>0</v>
          </cell>
        </row>
        <row r="36">
          <cell r="I36">
            <v>20359520</v>
          </cell>
          <cell r="J36">
            <v>162876160</v>
          </cell>
          <cell r="L36">
            <v>43772968</v>
          </cell>
          <cell r="M36">
            <v>0</v>
          </cell>
        </row>
        <row r="37">
          <cell r="I37">
            <v>71685</v>
          </cell>
          <cell r="J37">
            <v>605738.25</v>
          </cell>
          <cell r="L37">
            <v>154122.75</v>
          </cell>
          <cell r="M37">
            <v>29509.66</v>
          </cell>
        </row>
        <row r="38">
          <cell r="K38">
            <v>20878332.25</v>
          </cell>
        </row>
        <row r="39">
          <cell r="I39">
            <v>0</v>
          </cell>
          <cell r="J39">
            <v>0</v>
          </cell>
          <cell r="L39">
            <v>0</v>
          </cell>
          <cell r="M39">
            <v>0</v>
          </cell>
        </row>
        <row r="40">
          <cell r="I40">
            <v>39659422</v>
          </cell>
          <cell r="J40">
            <v>320844723.98000002</v>
          </cell>
          <cell r="L40">
            <v>86457539.960000008</v>
          </cell>
          <cell r="M40">
            <v>0</v>
          </cell>
        </row>
        <row r="41">
          <cell r="I41">
            <v>17756</v>
          </cell>
          <cell r="J41">
            <v>157140.6</v>
          </cell>
          <cell r="L41">
            <v>38708.080000000002</v>
          </cell>
          <cell r="M41">
            <v>5024.8099999999995</v>
          </cell>
        </row>
        <row r="42">
          <cell r="K42">
            <v>35312274.030000001</v>
          </cell>
        </row>
        <row r="43">
          <cell r="I43">
            <v>0</v>
          </cell>
          <cell r="J43">
            <v>0</v>
          </cell>
          <cell r="L43">
            <v>0</v>
          </cell>
          <cell r="M43">
            <v>0</v>
          </cell>
        </row>
        <row r="44">
          <cell r="I44">
            <v>0</v>
          </cell>
          <cell r="J44">
            <v>0</v>
          </cell>
          <cell r="L44">
            <v>0</v>
          </cell>
          <cell r="M44">
            <v>0</v>
          </cell>
        </row>
        <row r="45">
          <cell r="I45">
            <v>0</v>
          </cell>
          <cell r="J45">
            <v>0</v>
          </cell>
          <cell r="L45">
            <v>0</v>
          </cell>
          <cell r="M45">
            <v>0</v>
          </cell>
        </row>
        <row r="46">
          <cell r="I46">
            <v>0</v>
          </cell>
          <cell r="J46">
            <v>0</v>
          </cell>
          <cell r="L46">
            <v>0</v>
          </cell>
          <cell r="M46">
            <v>0</v>
          </cell>
        </row>
        <row r="47">
          <cell r="I47">
            <v>1286831</v>
          </cell>
          <cell r="J47">
            <v>6704389.5099999998</v>
          </cell>
          <cell r="L47">
            <v>1801563.4</v>
          </cell>
          <cell r="M47">
            <v>0</v>
          </cell>
        </row>
        <row r="48">
          <cell r="I48">
            <v>1481183</v>
          </cell>
          <cell r="J48">
            <v>10783012.24</v>
          </cell>
          <cell r="L48">
            <v>2903118.68</v>
          </cell>
          <cell r="M48">
            <v>0</v>
          </cell>
        </row>
        <row r="49">
          <cell r="I49">
            <v>512266</v>
          </cell>
          <cell r="J49">
            <v>2919916.2</v>
          </cell>
          <cell r="L49">
            <v>717172.39999999991</v>
          </cell>
          <cell r="M49">
            <v>266039.28000000003</v>
          </cell>
        </row>
        <row r="50">
          <cell r="I50">
            <v>518474</v>
          </cell>
          <cell r="J50">
            <v>3992249.8000000003</v>
          </cell>
          <cell r="L50">
            <v>1016209.04</v>
          </cell>
          <cell r="M50">
            <v>582733.43999999994</v>
          </cell>
        </row>
        <row r="52">
          <cell r="K52">
            <v>2862408.32</v>
          </cell>
        </row>
        <row r="53">
          <cell r="I53">
            <v>0</v>
          </cell>
          <cell r="J53">
            <v>0</v>
          </cell>
          <cell r="L53">
            <v>0</v>
          </cell>
          <cell r="M53">
            <v>0</v>
          </cell>
        </row>
        <row r="54">
          <cell r="I54">
            <v>4311472</v>
          </cell>
          <cell r="J54">
            <v>28110797.439999998</v>
          </cell>
          <cell r="L54">
            <v>7545076</v>
          </cell>
          <cell r="M54">
            <v>0</v>
          </cell>
        </row>
        <row r="55">
          <cell r="I55">
            <v>9623</v>
          </cell>
          <cell r="J55">
            <v>69766.75</v>
          </cell>
          <cell r="L55">
            <v>16840.25</v>
          </cell>
          <cell r="M55">
            <v>1879.04</v>
          </cell>
        </row>
        <row r="56">
          <cell r="K56">
            <v>5034579.18</v>
          </cell>
        </row>
        <row r="57">
          <cell r="I57">
            <v>0</v>
          </cell>
          <cell r="J57">
            <v>0</v>
          </cell>
          <cell r="L57">
            <v>0</v>
          </cell>
          <cell r="M57">
            <v>0</v>
          </cell>
        </row>
        <row r="58">
          <cell r="I58">
            <v>4183300</v>
          </cell>
          <cell r="J58">
            <v>26731287</v>
          </cell>
          <cell r="L58">
            <v>7195276</v>
          </cell>
          <cell r="M58">
            <v>0</v>
          </cell>
        </row>
        <row r="59">
          <cell r="I59">
            <v>425</v>
          </cell>
          <cell r="J59">
            <v>3145</v>
          </cell>
          <cell r="L59">
            <v>731</v>
          </cell>
          <cell r="M59">
            <v>0</v>
          </cell>
        </row>
        <row r="60">
          <cell r="K60">
            <v>2638389.25</v>
          </cell>
        </row>
        <row r="61">
          <cell r="I61">
            <v>0</v>
          </cell>
          <cell r="J61">
            <v>0</v>
          </cell>
          <cell r="L61">
            <v>0</v>
          </cell>
          <cell r="M61">
            <v>0</v>
          </cell>
        </row>
        <row r="62">
          <cell r="I62">
            <v>105043</v>
          </cell>
          <cell r="J62">
            <v>1234255.25</v>
          </cell>
          <cell r="L62">
            <v>331935.88</v>
          </cell>
          <cell r="M62">
            <v>0</v>
          </cell>
        </row>
        <row r="63">
          <cell r="I63">
            <v>50160</v>
          </cell>
          <cell r="J63">
            <v>677160</v>
          </cell>
          <cell r="L63">
            <v>158505.60000000001</v>
          </cell>
          <cell r="M63">
            <v>49102.18</v>
          </cell>
        </row>
        <row r="64">
          <cell r="K64">
            <v>335106.65999999997</v>
          </cell>
        </row>
        <row r="65">
          <cell r="I65">
            <v>0</v>
          </cell>
          <cell r="J65">
            <v>0</v>
          </cell>
          <cell r="L65">
            <v>0</v>
          </cell>
          <cell r="M65">
            <v>0</v>
          </cell>
        </row>
        <row r="66">
          <cell r="I66">
            <v>2113248.34</v>
          </cell>
          <cell r="J66">
            <v>11960985.6044</v>
          </cell>
          <cell r="L66">
            <v>3212137.4767999998</v>
          </cell>
          <cell r="M66">
            <v>0</v>
          </cell>
        </row>
        <row r="67">
          <cell r="I67">
            <v>0</v>
          </cell>
          <cell r="J67">
            <v>0</v>
          </cell>
          <cell r="L67">
            <v>0</v>
          </cell>
          <cell r="M67">
            <v>0</v>
          </cell>
        </row>
        <row r="68">
          <cell r="K68">
            <v>1814156.94</v>
          </cell>
        </row>
        <row r="69">
          <cell r="I69">
            <v>0</v>
          </cell>
          <cell r="J69">
            <v>0</v>
          </cell>
          <cell r="L69">
            <v>0</v>
          </cell>
          <cell r="M69">
            <v>0</v>
          </cell>
        </row>
        <row r="70">
          <cell r="I70">
            <v>197193</v>
          </cell>
          <cell r="J70">
            <v>1116112.3800000001</v>
          </cell>
          <cell r="L70">
            <v>299733.36</v>
          </cell>
          <cell r="M70">
            <v>0</v>
          </cell>
        </row>
        <row r="71">
          <cell r="I71">
            <v>146422</v>
          </cell>
          <cell r="J71">
            <v>988348.5</v>
          </cell>
          <cell r="L71">
            <v>222561.44</v>
          </cell>
          <cell r="M71">
            <v>21693.279999999999</v>
          </cell>
        </row>
        <row r="72">
          <cell r="K72">
            <v>214377.25</v>
          </cell>
        </row>
        <row r="73">
          <cell r="I73">
            <v>0</v>
          </cell>
          <cell r="J73">
            <v>0</v>
          </cell>
          <cell r="L73">
            <v>0</v>
          </cell>
          <cell r="M73">
            <v>0</v>
          </cell>
        </row>
        <row r="74">
          <cell r="I74">
            <v>136041</v>
          </cell>
          <cell r="J74">
            <v>439412.43</v>
          </cell>
          <cell r="L74">
            <v>118355.67</v>
          </cell>
          <cell r="M74">
            <v>0</v>
          </cell>
        </row>
        <row r="75">
          <cell r="I75">
            <v>112045</v>
          </cell>
          <cell r="J75">
            <v>392157.5</v>
          </cell>
          <cell r="L75">
            <v>97479.15</v>
          </cell>
          <cell r="M75">
            <v>12245.04</v>
          </cell>
        </row>
        <row r="76">
          <cell r="K76">
            <v>34620</v>
          </cell>
        </row>
        <row r="77">
          <cell r="I77">
            <v>0</v>
          </cell>
          <cell r="J77">
            <v>0</v>
          </cell>
          <cell r="L77">
            <v>0</v>
          </cell>
          <cell r="M77">
            <v>0</v>
          </cell>
        </row>
        <row r="78">
          <cell r="I78">
            <v>1879351</v>
          </cell>
          <cell r="J78">
            <v>17647105.890000001</v>
          </cell>
          <cell r="L78">
            <v>4754758.0299999993</v>
          </cell>
          <cell r="M78">
            <v>0</v>
          </cell>
        </row>
        <row r="79">
          <cell r="I79">
            <v>1203866</v>
          </cell>
          <cell r="J79">
            <v>12640593</v>
          </cell>
          <cell r="L79">
            <v>3045780.98</v>
          </cell>
          <cell r="M79">
            <v>10022.67</v>
          </cell>
        </row>
        <row r="80">
          <cell r="K80">
            <v>2023236.51</v>
          </cell>
        </row>
        <row r="81">
          <cell r="I81">
            <v>0</v>
          </cell>
          <cell r="J81">
            <v>0</v>
          </cell>
          <cell r="L81">
            <v>0</v>
          </cell>
          <cell r="M81">
            <v>0</v>
          </cell>
        </row>
        <row r="82">
          <cell r="I82">
            <v>115074</v>
          </cell>
          <cell r="J82">
            <v>356729.4</v>
          </cell>
          <cell r="L82">
            <v>95511.42</v>
          </cell>
          <cell r="M82">
            <v>0</v>
          </cell>
        </row>
        <row r="83">
          <cell r="I83">
            <v>4999</v>
          </cell>
          <cell r="J83">
            <v>18746.25</v>
          </cell>
          <cell r="L83">
            <v>4149.17</v>
          </cell>
          <cell r="M83">
            <v>1533.4</v>
          </cell>
        </row>
        <row r="84">
          <cell r="K84">
            <v>4213.6900000000005</v>
          </cell>
        </row>
        <row r="85">
          <cell r="I85">
            <v>655872</v>
          </cell>
          <cell r="J85">
            <v>4459929.5999999996</v>
          </cell>
          <cell r="L85">
            <v>1200245.76</v>
          </cell>
          <cell r="M85">
            <v>0</v>
          </cell>
        </row>
        <row r="86">
          <cell r="I86">
            <v>242704</v>
          </cell>
          <cell r="J86">
            <v>1771739.2</v>
          </cell>
          <cell r="L86">
            <v>444148.32</v>
          </cell>
          <cell r="M86">
            <v>179368.37</v>
          </cell>
        </row>
        <row r="87">
          <cell r="K87">
            <v>493800.01</v>
          </cell>
        </row>
        <row r="88">
          <cell r="I88">
            <v>5777195</v>
          </cell>
          <cell r="J88">
            <v>39284926</v>
          </cell>
          <cell r="L88">
            <v>10572266.85</v>
          </cell>
          <cell r="M88">
            <v>0</v>
          </cell>
        </row>
        <row r="89">
          <cell r="I89">
            <v>23795</v>
          </cell>
          <cell r="J89">
            <v>173703.5</v>
          </cell>
          <cell r="L89">
            <v>43544.85</v>
          </cell>
          <cell r="M89">
            <v>20053.240000000002</v>
          </cell>
        </row>
        <row r="90">
          <cell r="K90">
            <v>4548863.9499999993</v>
          </cell>
        </row>
        <row r="91">
          <cell r="I91">
            <v>0</v>
          </cell>
          <cell r="J91">
            <v>0</v>
          </cell>
          <cell r="L91">
            <v>0</v>
          </cell>
          <cell r="M91">
            <v>0</v>
          </cell>
        </row>
        <row r="92">
          <cell r="I92">
            <v>15229193</v>
          </cell>
          <cell r="J92">
            <v>89852238.700000003</v>
          </cell>
          <cell r="L92">
            <v>24214416.870000001</v>
          </cell>
          <cell r="M92">
            <v>0</v>
          </cell>
        </row>
        <row r="93">
          <cell r="I93">
            <v>260</v>
          </cell>
          <cell r="J93">
            <v>1794</v>
          </cell>
          <cell r="L93">
            <v>413.40000000000003</v>
          </cell>
          <cell r="M93">
            <v>0</v>
          </cell>
        </row>
        <row r="94">
          <cell r="K94">
            <v>9144697.5</v>
          </cell>
        </row>
        <row r="95">
          <cell r="I95">
            <v>0</v>
          </cell>
          <cell r="J95">
            <v>0</v>
          </cell>
          <cell r="L95">
            <v>0</v>
          </cell>
          <cell r="M95">
            <v>0</v>
          </cell>
        </row>
        <row r="96">
          <cell r="I96">
            <v>29674653</v>
          </cell>
          <cell r="J96">
            <v>188434046.54999998</v>
          </cell>
          <cell r="L96">
            <v>50743656.629999995</v>
          </cell>
          <cell r="M96">
            <v>0</v>
          </cell>
        </row>
        <row r="97">
          <cell r="I97">
            <v>565</v>
          </cell>
          <cell r="J97">
            <v>4237.5</v>
          </cell>
          <cell r="L97">
            <v>966.15</v>
          </cell>
          <cell r="M97">
            <v>0</v>
          </cell>
        </row>
        <row r="98">
          <cell r="K98">
            <v>17309540.300000001</v>
          </cell>
        </row>
        <row r="99">
          <cell r="I99">
            <v>0</v>
          </cell>
          <cell r="J99">
            <v>0</v>
          </cell>
          <cell r="L99">
            <v>0</v>
          </cell>
          <cell r="M99">
            <v>0</v>
          </cell>
        </row>
        <row r="100">
          <cell r="I100">
            <v>2844382</v>
          </cell>
          <cell r="J100">
            <v>9670898.7999999989</v>
          </cell>
          <cell r="L100">
            <v>2588387.62</v>
          </cell>
          <cell r="M100">
            <v>0</v>
          </cell>
        </row>
        <row r="101">
          <cell r="I101">
            <v>0</v>
          </cell>
          <cell r="J101">
            <v>0</v>
          </cell>
          <cell r="L101">
            <v>0</v>
          </cell>
          <cell r="M101">
            <v>0</v>
          </cell>
        </row>
        <row r="102">
          <cell r="K102">
            <v>1363471.35</v>
          </cell>
        </row>
        <row r="103">
          <cell r="I103">
            <v>0</v>
          </cell>
          <cell r="J103">
            <v>0</v>
          </cell>
          <cell r="L103">
            <v>0</v>
          </cell>
          <cell r="M103">
            <v>0</v>
          </cell>
        </row>
        <row r="104">
          <cell r="I104">
            <v>585567</v>
          </cell>
          <cell r="J104">
            <v>5065154.55</v>
          </cell>
          <cell r="L104">
            <v>1364371.11</v>
          </cell>
          <cell r="M104">
            <v>0</v>
          </cell>
        </row>
        <row r="105">
          <cell r="I105">
            <v>0</v>
          </cell>
          <cell r="J105">
            <v>0</v>
          </cell>
          <cell r="L105">
            <v>0</v>
          </cell>
          <cell r="M105">
            <v>0</v>
          </cell>
        </row>
        <row r="106">
          <cell r="K106">
            <v>1000</v>
          </cell>
        </row>
        <row r="107">
          <cell r="I107">
            <v>7198378</v>
          </cell>
          <cell r="J107">
            <v>40310916.799999997</v>
          </cell>
          <cell r="L107">
            <v>10869550.779999999</v>
          </cell>
          <cell r="M107">
            <v>0</v>
          </cell>
        </row>
        <row r="108">
          <cell r="I108">
            <v>737</v>
          </cell>
          <cell r="J108">
            <v>4864.2</v>
          </cell>
          <cell r="L108">
            <v>1112.8700000000001</v>
          </cell>
          <cell r="M108">
            <v>862.29</v>
          </cell>
        </row>
        <row r="109">
          <cell r="K109">
            <v>2933955</v>
          </cell>
        </row>
        <row r="110">
          <cell r="J110">
            <v>-48690955.50999999</v>
          </cell>
          <cell r="K110">
            <v>-279998.5299999998</v>
          </cell>
          <cell r="L110">
            <v>-4183076.6199999619</v>
          </cell>
          <cell r="M110">
            <v>0</v>
          </cell>
        </row>
        <row r="111">
          <cell r="I111">
            <v>371886653.34000003</v>
          </cell>
          <cell r="J111">
            <v>2090404703.6043999</v>
          </cell>
          <cell r="K111">
            <v>233037202.49999997</v>
          </cell>
          <cell r="L111">
            <v>557004100.3168</v>
          </cell>
          <cell r="M111">
            <v>36101866.620000005</v>
          </cell>
        </row>
        <row r="112">
          <cell r="N112">
            <v>10040672.199999999</v>
          </cell>
        </row>
        <row r="113">
          <cell r="N113">
            <v>-2208937.6299999952</v>
          </cell>
        </row>
        <row r="114">
          <cell r="N114">
            <v>-264710.29999999981</v>
          </cell>
        </row>
        <row r="115">
          <cell r="N115">
            <v>12976067.560000001</v>
          </cell>
        </row>
        <row r="116">
          <cell r="N116">
            <v>8051985.5099999998</v>
          </cell>
        </row>
        <row r="118">
          <cell r="N118">
            <v>-10709081.050000001</v>
          </cell>
        </row>
        <row r="119">
          <cell r="N119">
            <v>-54921141.030000001</v>
          </cell>
        </row>
        <row r="120">
          <cell r="N120">
            <v>-327164.78999999998</v>
          </cell>
        </row>
        <row r="121">
          <cell r="N121">
            <v>-774214.72</v>
          </cell>
        </row>
        <row r="124">
          <cell r="N124">
            <v>24000818.329999998</v>
          </cell>
        </row>
        <row r="125">
          <cell r="N125">
            <v>13445042.629999999</v>
          </cell>
        </row>
        <row r="126">
          <cell r="N126">
            <v>17359998.890000001</v>
          </cell>
        </row>
        <row r="127">
          <cell r="N127">
            <v>-1172666.1100000001</v>
          </cell>
        </row>
        <row r="128">
          <cell r="N128">
            <v>1862951</v>
          </cell>
        </row>
        <row r="129">
          <cell r="N129">
            <v>55496144.739999995</v>
          </cell>
        </row>
      </sheetData>
      <sheetData sheetId="7">
        <row r="5">
          <cell r="I5">
            <v>0</v>
          </cell>
          <cell r="J5">
            <v>0</v>
          </cell>
          <cell r="L5">
            <v>0</v>
          </cell>
          <cell r="M5">
            <v>0</v>
          </cell>
        </row>
        <row r="6">
          <cell r="I6">
            <v>-50</v>
          </cell>
          <cell r="J6">
            <v>-22</v>
          </cell>
          <cell r="L6">
            <v>-6</v>
          </cell>
          <cell r="M6">
            <v>0</v>
          </cell>
        </row>
        <row r="7">
          <cell r="I7">
            <v>11658</v>
          </cell>
          <cell r="J7">
            <v>6411.9000000000005</v>
          </cell>
          <cell r="L7">
            <v>1398.96</v>
          </cell>
          <cell r="M7">
            <v>1049.22</v>
          </cell>
        </row>
        <row r="8">
          <cell r="K8">
            <v>612</v>
          </cell>
        </row>
        <row r="9">
          <cell r="I9">
            <v>-546</v>
          </cell>
          <cell r="J9">
            <v>-846.30000000000007</v>
          </cell>
          <cell r="L9">
            <v>0</v>
          </cell>
          <cell r="M9">
            <v>0</v>
          </cell>
        </row>
        <row r="10">
          <cell r="I10">
            <v>-448</v>
          </cell>
          <cell r="J10">
            <v>-1478.3999999999999</v>
          </cell>
          <cell r="L10">
            <v>0</v>
          </cell>
          <cell r="M10">
            <v>0</v>
          </cell>
        </row>
        <row r="11">
          <cell r="I11">
            <v>-60</v>
          </cell>
          <cell r="J11">
            <v>-318</v>
          </cell>
          <cell r="L11">
            <v>0</v>
          </cell>
          <cell r="M11">
            <v>0</v>
          </cell>
        </row>
        <row r="12">
          <cell r="I12">
            <v>0</v>
          </cell>
          <cell r="J12">
            <v>0</v>
          </cell>
          <cell r="L12">
            <v>0</v>
          </cell>
          <cell r="M12">
            <v>0</v>
          </cell>
        </row>
        <row r="13">
          <cell r="I13">
            <v>-14607</v>
          </cell>
          <cell r="J13">
            <v>-30090.420000000002</v>
          </cell>
          <cell r="L13">
            <v>-8033.85</v>
          </cell>
          <cell r="M13">
            <v>0</v>
          </cell>
        </row>
        <row r="14">
          <cell r="I14">
            <v>9168</v>
          </cell>
          <cell r="J14">
            <v>34930.080000000002</v>
          </cell>
          <cell r="L14">
            <v>9443.0400000000009</v>
          </cell>
          <cell r="M14">
            <v>0</v>
          </cell>
        </row>
        <row r="15">
          <cell r="I15">
            <v>-2376</v>
          </cell>
          <cell r="J15">
            <v>-12735.36</v>
          </cell>
          <cell r="L15">
            <v>-3421.44</v>
          </cell>
          <cell r="M15">
            <v>0</v>
          </cell>
        </row>
        <row r="16">
          <cell r="I16">
            <v>67575</v>
          </cell>
          <cell r="J16">
            <v>463564.5</v>
          </cell>
          <cell r="L16">
            <v>125013.75</v>
          </cell>
          <cell r="M16">
            <v>0</v>
          </cell>
        </row>
        <row r="17">
          <cell r="I17">
            <v>59083704</v>
          </cell>
          <cell r="J17">
            <v>144755074.80000001</v>
          </cell>
          <cell r="L17">
            <v>32496037.200000003</v>
          </cell>
          <cell r="M17">
            <v>22451807.52</v>
          </cell>
        </row>
        <row r="18">
          <cell r="I18">
            <v>51239460</v>
          </cell>
          <cell r="J18">
            <v>230577570</v>
          </cell>
          <cell r="L18">
            <v>52776643.800000004</v>
          </cell>
          <cell r="M18">
            <v>37404805.799999997</v>
          </cell>
        </row>
        <row r="19">
          <cell r="I19">
            <v>14916175</v>
          </cell>
          <cell r="J19">
            <v>94717711.25</v>
          </cell>
          <cell r="L19">
            <v>21479292</v>
          </cell>
          <cell r="M19">
            <v>15661983.75</v>
          </cell>
        </row>
        <row r="20">
          <cell r="I20">
            <v>27565329</v>
          </cell>
          <cell r="J20">
            <v>220522632</v>
          </cell>
          <cell r="L20">
            <v>50995858.650000006</v>
          </cell>
          <cell r="M20">
            <v>36937540.859999999</v>
          </cell>
        </row>
        <row r="24">
          <cell r="K24">
            <v>62883878.770000003</v>
          </cell>
        </row>
        <row r="25">
          <cell r="I25">
            <v>-255</v>
          </cell>
          <cell r="J25">
            <v>-1020</v>
          </cell>
          <cell r="L25">
            <v>0</v>
          </cell>
          <cell r="M25">
            <v>0</v>
          </cell>
        </row>
        <row r="26">
          <cell r="I26">
            <v>0</v>
          </cell>
          <cell r="J26">
            <v>0</v>
          </cell>
          <cell r="L26">
            <v>0</v>
          </cell>
          <cell r="M26">
            <v>0</v>
          </cell>
        </row>
        <row r="27">
          <cell r="I27">
            <v>0</v>
          </cell>
          <cell r="J27">
            <v>0</v>
          </cell>
          <cell r="L27">
            <v>0</v>
          </cell>
          <cell r="M27">
            <v>0</v>
          </cell>
        </row>
        <row r="28">
          <cell r="I28">
            <v>0</v>
          </cell>
          <cell r="J28">
            <v>0</v>
          </cell>
          <cell r="L28">
            <v>0</v>
          </cell>
          <cell r="M28">
            <v>0</v>
          </cell>
        </row>
        <row r="29">
          <cell r="I29">
            <v>-61157</v>
          </cell>
          <cell r="J29">
            <v>-336363.5</v>
          </cell>
          <cell r="L29">
            <v>-90512.36</v>
          </cell>
          <cell r="M29">
            <v>0</v>
          </cell>
        </row>
        <row r="30">
          <cell r="I30">
            <v>18563</v>
          </cell>
          <cell r="J30">
            <v>151474.08000000002</v>
          </cell>
          <cell r="L30">
            <v>40838.600000000006</v>
          </cell>
          <cell r="M30">
            <v>0</v>
          </cell>
        </row>
        <row r="31">
          <cell r="I31">
            <v>46105267</v>
          </cell>
          <cell r="J31">
            <v>301989498.84999996</v>
          </cell>
          <cell r="L31">
            <v>68235795.159999996</v>
          </cell>
          <cell r="M31">
            <v>50715793.700000003</v>
          </cell>
        </row>
        <row r="32">
          <cell r="I32">
            <v>29584079</v>
          </cell>
          <cell r="J32">
            <v>267735914.95000002</v>
          </cell>
          <cell r="L32">
            <v>65084973.800000004</v>
          </cell>
          <cell r="M32">
            <v>73960197.5</v>
          </cell>
        </row>
        <row r="34">
          <cell r="K34">
            <v>63329882.410000004</v>
          </cell>
        </row>
        <row r="35">
          <cell r="I35">
            <v>0</v>
          </cell>
          <cell r="J35">
            <v>0</v>
          </cell>
          <cell r="L35">
            <v>0</v>
          </cell>
          <cell r="M35">
            <v>0</v>
          </cell>
        </row>
        <row r="36">
          <cell r="I36">
            <v>4607</v>
          </cell>
          <cell r="J36">
            <v>36856</v>
          </cell>
          <cell r="L36">
            <v>9905.0499999999993</v>
          </cell>
          <cell r="M36">
            <v>0</v>
          </cell>
        </row>
        <row r="37">
          <cell r="I37">
            <v>19847372</v>
          </cell>
          <cell r="J37">
            <v>167710293.39999998</v>
          </cell>
          <cell r="L37">
            <v>42671849.799999997</v>
          </cell>
          <cell r="M37">
            <v>31358847.760000002</v>
          </cell>
        </row>
        <row r="38">
          <cell r="K38">
            <v>20920117.52</v>
          </cell>
        </row>
        <row r="39">
          <cell r="I39">
            <v>0</v>
          </cell>
          <cell r="J39">
            <v>0</v>
          </cell>
          <cell r="L39">
            <v>0</v>
          </cell>
          <cell r="M39">
            <v>0</v>
          </cell>
        </row>
        <row r="40">
          <cell r="I40">
            <v>-1231</v>
          </cell>
          <cell r="J40">
            <v>-9958.7899999999991</v>
          </cell>
          <cell r="L40">
            <v>-2683.5800000000004</v>
          </cell>
          <cell r="M40">
            <v>0</v>
          </cell>
        </row>
        <row r="41">
          <cell r="I41">
            <v>38740994</v>
          </cell>
          <cell r="J41">
            <v>342857796.89999998</v>
          </cell>
          <cell r="L41">
            <v>84455366.920000002</v>
          </cell>
          <cell r="M41">
            <v>62373000.340000004</v>
          </cell>
        </row>
        <row r="42">
          <cell r="K42">
            <v>34133378.109999999</v>
          </cell>
        </row>
        <row r="43">
          <cell r="I43">
            <v>0</v>
          </cell>
          <cell r="J43">
            <v>0</v>
          </cell>
          <cell r="L43">
            <v>0</v>
          </cell>
          <cell r="M43">
            <v>0</v>
          </cell>
        </row>
        <row r="44">
          <cell r="I44">
            <v>0</v>
          </cell>
          <cell r="J44">
            <v>0</v>
          </cell>
          <cell r="L44">
            <v>0</v>
          </cell>
          <cell r="M44">
            <v>0</v>
          </cell>
        </row>
        <row r="45">
          <cell r="I45">
            <v>0</v>
          </cell>
          <cell r="J45">
            <v>0</v>
          </cell>
          <cell r="L45">
            <v>0</v>
          </cell>
          <cell r="M45">
            <v>0</v>
          </cell>
        </row>
        <row r="46">
          <cell r="I46">
            <v>0</v>
          </cell>
          <cell r="J46">
            <v>0</v>
          </cell>
          <cell r="L46">
            <v>0</v>
          </cell>
          <cell r="M46">
            <v>0</v>
          </cell>
        </row>
        <row r="47">
          <cell r="I47">
            <v>221</v>
          </cell>
          <cell r="J47">
            <v>1151.4100000000001</v>
          </cell>
          <cell r="L47">
            <v>309.39999999999998</v>
          </cell>
          <cell r="M47">
            <v>0</v>
          </cell>
        </row>
        <row r="48">
          <cell r="I48">
            <v>-15972</v>
          </cell>
          <cell r="J48">
            <v>-116276.16</v>
          </cell>
          <cell r="L48">
            <v>-31305.119999999999</v>
          </cell>
          <cell r="M48">
            <v>0</v>
          </cell>
        </row>
        <row r="49">
          <cell r="I49">
            <v>1802760</v>
          </cell>
          <cell r="J49">
            <v>10275732</v>
          </cell>
          <cell r="L49">
            <v>2523864</v>
          </cell>
          <cell r="M49">
            <v>1874870.4000000001</v>
          </cell>
        </row>
        <row r="50">
          <cell r="I50">
            <v>1979365</v>
          </cell>
          <cell r="J50">
            <v>15241110.5</v>
          </cell>
          <cell r="L50">
            <v>3879555.4</v>
          </cell>
          <cell r="M50">
            <v>4275428.4000000004</v>
          </cell>
        </row>
        <row r="52">
          <cell r="K52">
            <v>2852260.81</v>
          </cell>
        </row>
        <row r="53">
          <cell r="I53">
            <v>0</v>
          </cell>
          <cell r="J53">
            <v>0</v>
          </cell>
          <cell r="L53">
            <v>0</v>
          </cell>
          <cell r="M53">
            <v>0</v>
          </cell>
        </row>
        <row r="54">
          <cell r="I54">
            <v>0</v>
          </cell>
          <cell r="J54">
            <v>0</v>
          </cell>
          <cell r="L54">
            <v>0</v>
          </cell>
          <cell r="M54">
            <v>0</v>
          </cell>
        </row>
        <row r="55">
          <cell r="I55">
            <v>4119231</v>
          </cell>
          <cell r="J55">
            <v>29864424.75</v>
          </cell>
          <cell r="L55">
            <v>7208654.25</v>
          </cell>
          <cell r="M55">
            <v>5272615.68</v>
          </cell>
        </row>
        <row r="56">
          <cell r="K56">
            <v>4969903.4000000004</v>
          </cell>
        </row>
        <row r="57">
          <cell r="I57">
            <v>0</v>
          </cell>
          <cell r="J57">
            <v>0</v>
          </cell>
          <cell r="L57">
            <v>0</v>
          </cell>
          <cell r="M57">
            <v>0</v>
          </cell>
        </row>
        <row r="58">
          <cell r="I58">
            <v>0</v>
          </cell>
          <cell r="J58">
            <v>0</v>
          </cell>
          <cell r="L58">
            <v>0</v>
          </cell>
          <cell r="M58">
            <v>0</v>
          </cell>
        </row>
        <row r="59">
          <cell r="I59">
            <v>3919400</v>
          </cell>
          <cell r="J59">
            <v>29003560</v>
          </cell>
          <cell r="L59">
            <v>6741368</v>
          </cell>
          <cell r="M59">
            <v>4860056</v>
          </cell>
        </row>
        <row r="60">
          <cell r="K60">
            <v>2654344.44</v>
          </cell>
        </row>
        <row r="61">
          <cell r="I61">
            <v>0</v>
          </cell>
          <cell r="J61">
            <v>0</v>
          </cell>
          <cell r="L61">
            <v>0</v>
          </cell>
          <cell r="M61">
            <v>0</v>
          </cell>
        </row>
        <row r="62">
          <cell r="I62">
            <v>-2491</v>
          </cell>
          <cell r="J62">
            <v>-29269.25</v>
          </cell>
          <cell r="L62">
            <v>-7871.56</v>
          </cell>
          <cell r="M62">
            <v>0</v>
          </cell>
        </row>
        <row r="63">
          <cell r="I63">
            <v>155929</v>
          </cell>
          <cell r="J63">
            <v>2105041.5</v>
          </cell>
          <cell r="L63">
            <v>492735.64</v>
          </cell>
          <cell r="M63">
            <v>357077.41000000003</v>
          </cell>
        </row>
        <row r="64">
          <cell r="K64">
            <v>345066.6</v>
          </cell>
        </row>
        <row r="65">
          <cell r="I65">
            <v>0</v>
          </cell>
          <cell r="J65">
            <v>0</v>
          </cell>
          <cell r="L65">
            <v>0</v>
          </cell>
          <cell r="M65">
            <v>0</v>
          </cell>
        </row>
        <row r="66">
          <cell r="I66">
            <v>0</v>
          </cell>
          <cell r="J66">
            <v>0</v>
          </cell>
          <cell r="L66">
            <v>0</v>
          </cell>
          <cell r="M66">
            <v>0</v>
          </cell>
        </row>
        <row r="67">
          <cell r="I67">
            <v>2209326.27</v>
          </cell>
          <cell r="J67">
            <v>14912952.3225</v>
          </cell>
          <cell r="L67">
            <v>3358175.9304</v>
          </cell>
          <cell r="M67">
            <v>2474445.4224</v>
          </cell>
        </row>
        <row r="68">
          <cell r="K68">
            <v>1869432.81</v>
          </cell>
        </row>
        <row r="69">
          <cell r="I69">
            <v>0</v>
          </cell>
          <cell r="J69">
            <v>0</v>
          </cell>
          <cell r="L69">
            <v>0</v>
          </cell>
          <cell r="M69">
            <v>0</v>
          </cell>
        </row>
        <row r="70">
          <cell r="I70">
            <v>-906</v>
          </cell>
          <cell r="J70">
            <v>-5127.96</v>
          </cell>
          <cell r="L70">
            <v>-1377.1200000000001</v>
          </cell>
          <cell r="M70">
            <v>0</v>
          </cell>
        </row>
        <row r="71">
          <cell r="I71">
            <v>358921</v>
          </cell>
          <cell r="J71">
            <v>2422716.75</v>
          </cell>
          <cell r="L71">
            <v>545559.92000000004</v>
          </cell>
          <cell r="M71">
            <v>401991.52</v>
          </cell>
        </row>
        <row r="72">
          <cell r="K72">
            <v>214339.76</v>
          </cell>
        </row>
        <row r="73">
          <cell r="I73">
            <v>0</v>
          </cell>
          <cell r="J73">
            <v>0</v>
          </cell>
          <cell r="L73">
            <v>0</v>
          </cell>
          <cell r="M73">
            <v>0</v>
          </cell>
        </row>
        <row r="74">
          <cell r="I74">
            <v>50940</v>
          </cell>
          <cell r="J74">
            <v>164536.20000000001</v>
          </cell>
          <cell r="L74">
            <v>44317.8</v>
          </cell>
          <cell r="M74">
            <v>0</v>
          </cell>
        </row>
        <row r="75">
          <cell r="I75">
            <v>1075533</v>
          </cell>
          <cell r="J75">
            <v>3764365.5</v>
          </cell>
          <cell r="L75">
            <v>935713.71</v>
          </cell>
          <cell r="M75">
            <v>774383.76</v>
          </cell>
        </row>
        <row r="76">
          <cell r="K76">
            <v>224346.68</v>
          </cell>
        </row>
        <row r="77">
          <cell r="I77">
            <v>0</v>
          </cell>
          <cell r="J77">
            <v>0</v>
          </cell>
          <cell r="L77">
            <v>0</v>
          </cell>
          <cell r="M77">
            <v>0</v>
          </cell>
        </row>
        <row r="78">
          <cell r="I78">
            <v>5881</v>
          </cell>
          <cell r="J78">
            <v>55222.590000000004</v>
          </cell>
          <cell r="L78">
            <v>14878.929999999998</v>
          </cell>
          <cell r="M78">
            <v>0</v>
          </cell>
        </row>
        <row r="79">
          <cell r="I79">
            <v>3101132</v>
          </cell>
          <cell r="J79">
            <v>32561886</v>
          </cell>
          <cell r="L79">
            <v>7845863.959999999</v>
          </cell>
          <cell r="M79">
            <v>5861139.4799999995</v>
          </cell>
        </row>
        <row r="80">
          <cell r="K80">
            <v>2257683.5699999998</v>
          </cell>
        </row>
        <row r="81">
          <cell r="I81">
            <v>0</v>
          </cell>
          <cell r="J81">
            <v>0</v>
          </cell>
          <cell r="L81">
            <v>0</v>
          </cell>
          <cell r="M81">
            <v>0</v>
          </cell>
        </row>
        <row r="82">
          <cell r="I82">
            <v>0</v>
          </cell>
          <cell r="J82">
            <v>0</v>
          </cell>
          <cell r="L82">
            <v>0</v>
          </cell>
          <cell r="M82">
            <v>0</v>
          </cell>
        </row>
        <row r="83">
          <cell r="I83">
            <v>118770</v>
          </cell>
          <cell r="J83">
            <v>445387.5</v>
          </cell>
          <cell r="L83">
            <v>98579.099999999991</v>
          </cell>
          <cell r="M83">
            <v>65323.500000000007</v>
          </cell>
        </row>
        <row r="84">
          <cell r="K84">
            <v>5200</v>
          </cell>
        </row>
        <row r="85">
          <cell r="I85">
            <v>460</v>
          </cell>
          <cell r="J85">
            <v>3128</v>
          </cell>
          <cell r="L85">
            <v>841.80000000000007</v>
          </cell>
          <cell r="M85">
            <v>0</v>
          </cell>
        </row>
        <row r="86">
          <cell r="I86">
            <v>919099</v>
          </cell>
          <cell r="J86">
            <v>6709422.7000000002</v>
          </cell>
          <cell r="L86">
            <v>1681951.1700000002</v>
          </cell>
          <cell r="M86">
            <v>1387839.49</v>
          </cell>
        </row>
        <row r="87">
          <cell r="K87">
            <v>495091.65</v>
          </cell>
        </row>
        <row r="88">
          <cell r="I88">
            <v>21</v>
          </cell>
          <cell r="J88">
            <v>142.79999999999998</v>
          </cell>
          <cell r="L88">
            <v>38.43</v>
          </cell>
          <cell r="M88">
            <v>0</v>
          </cell>
        </row>
        <row r="89">
          <cell r="I89">
            <v>5959493</v>
          </cell>
          <cell r="J89">
            <v>43504298.899999999</v>
          </cell>
          <cell r="L89">
            <v>10905872.190000001</v>
          </cell>
          <cell r="M89">
            <v>8462480.0599999987</v>
          </cell>
        </row>
        <row r="90">
          <cell r="K90">
            <v>4692663.24</v>
          </cell>
        </row>
        <row r="91">
          <cell r="I91">
            <v>0</v>
          </cell>
          <cell r="J91">
            <v>0</v>
          </cell>
          <cell r="L91">
            <v>0</v>
          </cell>
          <cell r="M91">
            <v>0</v>
          </cell>
        </row>
        <row r="92">
          <cell r="I92">
            <v>0</v>
          </cell>
          <cell r="J92">
            <v>0</v>
          </cell>
          <cell r="L92">
            <v>0</v>
          </cell>
          <cell r="M92">
            <v>0</v>
          </cell>
        </row>
        <row r="93">
          <cell r="I93">
            <v>14668765</v>
          </cell>
          <cell r="J93">
            <v>101214478.5</v>
          </cell>
          <cell r="L93">
            <v>23323336.350000001</v>
          </cell>
          <cell r="M93">
            <v>16575704.449999999</v>
          </cell>
        </row>
        <row r="94">
          <cell r="K94">
            <v>9054270.5</v>
          </cell>
        </row>
        <row r="95">
          <cell r="I95">
            <v>0</v>
          </cell>
          <cell r="J95">
            <v>0</v>
          </cell>
          <cell r="L95">
            <v>0</v>
          </cell>
          <cell r="M95">
            <v>0</v>
          </cell>
        </row>
        <row r="96">
          <cell r="I96">
            <v>0</v>
          </cell>
          <cell r="J96">
            <v>0</v>
          </cell>
          <cell r="L96">
            <v>0</v>
          </cell>
          <cell r="M96">
            <v>0</v>
          </cell>
        </row>
        <row r="97">
          <cell r="I97">
            <v>28951574</v>
          </cell>
          <cell r="J97">
            <v>217136805</v>
          </cell>
          <cell r="L97">
            <v>49507191.539999999</v>
          </cell>
          <cell r="M97">
            <v>34452373.059999995</v>
          </cell>
        </row>
        <row r="98">
          <cell r="K98">
            <v>17455760.300000001</v>
          </cell>
        </row>
        <row r="99">
          <cell r="I99">
            <v>0</v>
          </cell>
          <cell r="J99">
            <v>0</v>
          </cell>
          <cell r="L99">
            <v>0</v>
          </cell>
          <cell r="M99">
            <v>0</v>
          </cell>
        </row>
        <row r="100">
          <cell r="I100">
            <v>0</v>
          </cell>
          <cell r="J100">
            <v>0</v>
          </cell>
          <cell r="L100">
            <v>0</v>
          </cell>
          <cell r="M100">
            <v>0</v>
          </cell>
        </row>
        <row r="101">
          <cell r="I101">
            <v>2847520</v>
          </cell>
          <cell r="J101">
            <v>15291182.4</v>
          </cell>
          <cell r="L101">
            <v>2591243.2000000002</v>
          </cell>
          <cell r="M101">
            <v>1879363.2000000002</v>
          </cell>
        </row>
        <row r="102">
          <cell r="K102">
            <v>1440283.85</v>
          </cell>
        </row>
        <row r="103">
          <cell r="I103">
            <v>0</v>
          </cell>
          <cell r="J103">
            <v>0</v>
          </cell>
          <cell r="L103">
            <v>0</v>
          </cell>
          <cell r="M103">
            <v>0</v>
          </cell>
        </row>
        <row r="104">
          <cell r="I104">
            <v>0</v>
          </cell>
          <cell r="J104">
            <v>0</v>
          </cell>
          <cell r="L104">
            <v>0</v>
          </cell>
          <cell r="M104">
            <v>0</v>
          </cell>
        </row>
        <row r="105">
          <cell r="I105">
            <v>559932</v>
          </cell>
          <cell r="J105">
            <v>5599320</v>
          </cell>
          <cell r="L105">
            <v>1304641.56</v>
          </cell>
          <cell r="M105">
            <v>940685.76</v>
          </cell>
        </row>
        <row r="106">
          <cell r="K106">
            <v>1125</v>
          </cell>
        </row>
        <row r="107">
          <cell r="I107">
            <v>0</v>
          </cell>
          <cell r="J107">
            <v>0</v>
          </cell>
          <cell r="L107">
            <v>0</v>
          </cell>
          <cell r="M107">
            <v>0</v>
          </cell>
        </row>
        <row r="108">
          <cell r="I108">
            <v>7215170</v>
          </cell>
          <cell r="J108">
            <v>47620122</v>
          </cell>
          <cell r="L108">
            <v>10894906.699999999</v>
          </cell>
          <cell r="M108">
            <v>8441748.9000000004</v>
          </cell>
        </row>
        <row r="109">
          <cell r="K109">
            <v>3010187</v>
          </cell>
        </row>
        <row r="110">
          <cell r="J110">
            <v>-8996693.4100000001</v>
          </cell>
          <cell r="K110">
            <v>143818.47000000003</v>
          </cell>
          <cell r="L110">
            <v>-2639558.560000062</v>
          </cell>
          <cell r="M110">
            <v>0</v>
          </cell>
        </row>
        <row r="111">
          <cell r="I111">
            <v>367113295.26999998</v>
          </cell>
          <cell r="J111">
            <v>2339916516.4824996</v>
          </cell>
          <cell r="K111">
            <v>232953646.89000002</v>
          </cell>
          <cell r="L111">
            <v>549497246.12039995</v>
          </cell>
          <cell r="M111">
            <v>429222552.94240004</v>
          </cell>
        </row>
        <row r="112">
          <cell r="N112">
            <v>11280468.620000001</v>
          </cell>
        </row>
        <row r="113">
          <cell r="N113">
            <v>-709733.03240001202</v>
          </cell>
        </row>
        <row r="114">
          <cell r="N114">
            <v>-199864.77000000002</v>
          </cell>
        </row>
        <row r="115">
          <cell r="N115">
            <v>12895851.470000001</v>
          </cell>
        </row>
        <row r="116">
          <cell r="N116">
            <v>6822475.5599999996</v>
          </cell>
        </row>
        <row r="118">
          <cell r="N118">
            <v>-9535699.25</v>
          </cell>
        </row>
        <row r="119">
          <cell r="N119">
            <v>-67533359.079999998</v>
          </cell>
        </row>
        <row r="120">
          <cell r="N120">
            <v>-322954.28999999998</v>
          </cell>
        </row>
        <row r="121">
          <cell r="N121">
            <v>-355437.09</v>
          </cell>
        </row>
        <row r="124">
          <cell r="N124">
            <v>23978720.329999998</v>
          </cell>
        </row>
        <row r="125">
          <cell r="N125">
            <v>13472691.85</v>
          </cell>
        </row>
        <row r="126">
          <cell r="N126">
            <v>15928028.719999999</v>
          </cell>
        </row>
        <row r="127">
          <cell r="N127">
            <v>-975414.46</v>
          </cell>
        </row>
        <row r="128">
          <cell r="N128">
            <v>1419250</v>
          </cell>
        </row>
        <row r="129">
          <cell r="N129">
            <v>53823276.439999998</v>
          </cell>
        </row>
      </sheetData>
      <sheetData sheetId="8">
        <row r="5">
          <cell r="I5">
            <v>0</v>
          </cell>
          <cell r="J5">
            <v>0</v>
          </cell>
          <cell r="L5">
            <v>0</v>
          </cell>
          <cell r="M5">
            <v>0</v>
          </cell>
        </row>
        <row r="6">
          <cell r="I6">
            <v>0</v>
          </cell>
          <cell r="J6">
            <v>0</v>
          </cell>
          <cell r="L6">
            <v>0</v>
          </cell>
          <cell r="M6">
            <v>0</v>
          </cell>
        </row>
        <row r="7">
          <cell r="I7">
            <v>2939</v>
          </cell>
          <cell r="J7">
            <v>1616.45</v>
          </cell>
          <cell r="L7">
            <v>352.68</v>
          </cell>
          <cell r="M7">
            <v>264.51</v>
          </cell>
        </row>
        <row r="8">
          <cell r="K8">
            <v>369</v>
          </cell>
        </row>
        <row r="9">
          <cell r="I9">
            <v>-22</v>
          </cell>
          <cell r="J9">
            <v>-34.1</v>
          </cell>
          <cell r="L9">
            <v>0</v>
          </cell>
          <cell r="M9">
            <v>0</v>
          </cell>
        </row>
        <row r="10">
          <cell r="I10">
            <v>-8</v>
          </cell>
          <cell r="J10">
            <v>-26.4</v>
          </cell>
          <cell r="L10">
            <v>0</v>
          </cell>
          <cell r="M10">
            <v>0</v>
          </cell>
        </row>
        <row r="11">
          <cell r="I11">
            <v>0</v>
          </cell>
          <cell r="J11">
            <v>0</v>
          </cell>
          <cell r="L11">
            <v>0</v>
          </cell>
          <cell r="M11">
            <v>0</v>
          </cell>
        </row>
        <row r="12">
          <cell r="I12">
            <v>0</v>
          </cell>
          <cell r="J12">
            <v>0</v>
          </cell>
          <cell r="L12">
            <v>0</v>
          </cell>
          <cell r="M12">
            <v>0</v>
          </cell>
        </row>
        <row r="13">
          <cell r="I13">
            <v>-65167</v>
          </cell>
          <cell r="J13">
            <v>-134244.01999999999</v>
          </cell>
          <cell r="L13">
            <v>-35841.850000000006</v>
          </cell>
          <cell r="M13">
            <v>0</v>
          </cell>
        </row>
        <row r="14">
          <cell r="I14">
            <v>-42276</v>
          </cell>
          <cell r="J14">
            <v>-161071.56</v>
          </cell>
          <cell r="L14">
            <v>-43544.28</v>
          </cell>
          <cell r="M14">
            <v>0</v>
          </cell>
        </row>
        <row r="15">
          <cell r="I15">
            <v>-17509</v>
          </cell>
          <cell r="J15">
            <v>-93848.24</v>
          </cell>
          <cell r="L15">
            <v>-25212.959999999999</v>
          </cell>
          <cell r="M15">
            <v>0</v>
          </cell>
        </row>
        <row r="16">
          <cell r="I16">
            <v>34825</v>
          </cell>
          <cell r="J16">
            <v>238899.5</v>
          </cell>
          <cell r="L16">
            <v>64426.25</v>
          </cell>
          <cell r="M16">
            <v>0</v>
          </cell>
        </row>
        <row r="17">
          <cell r="I17">
            <v>39905856</v>
          </cell>
          <cell r="J17">
            <v>97769347.200000003</v>
          </cell>
          <cell r="L17">
            <v>21948220.800000001</v>
          </cell>
          <cell r="M17">
            <v>15164225.279999999</v>
          </cell>
        </row>
        <row r="18">
          <cell r="I18">
            <v>38656404</v>
          </cell>
          <cell r="J18">
            <v>173953818</v>
          </cell>
          <cell r="L18">
            <v>39816096.119999997</v>
          </cell>
          <cell r="M18">
            <v>28219174.919999998</v>
          </cell>
        </row>
        <row r="19">
          <cell r="I19">
            <v>12517036</v>
          </cell>
          <cell r="J19">
            <v>79483178.599999994</v>
          </cell>
          <cell r="L19">
            <v>18024531.84</v>
          </cell>
          <cell r="M19">
            <v>13142887.800000001</v>
          </cell>
        </row>
        <row r="20">
          <cell r="I20">
            <v>26505890</v>
          </cell>
          <cell r="J20">
            <v>212047120</v>
          </cell>
          <cell r="L20">
            <v>49035896.5</v>
          </cell>
          <cell r="M20">
            <v>35517892.600000001</v>
          </cell>
        </row>
        <row r="24">
          <cell r="K24">
            <v>42879916.380000003</v>
          </cell>
        </row>
        <row r="25">
          <cell r="I25">
            <v>-184</v>
          </cell>
          <cell r="J25">
            <v>-736</v>
          </cell>
          <cell r="L25">
            <v>0</v>
          </cell>
          <cell r="M25">
            <v>0</v>
          </cell>
        </row>
        <row r="26">
          <cell r="I26">
            <v>0</v>
          </cell>
          <cell r="J26">
            <v>0</v>
          </cell>
          <cell r="L26">
            <v>0</v>
          </cell>
          <cell r="M26">
            <v>0</v>
          </cell>
        </row>
        <row r="27">
          <cell r="I27">
            <v>0</v>
          </cell>
          <cell r="J27">
            <v>0</v>
          </cell>
          <cell r="L27">
            <v>0</v>
          </cell>
          <cell r="M27">
            <v>0</v>
          </cell>
        </row>
        <row r="28">
          <cell r="I28">
            <v>0</v>
          </cell>
          <cell r="J28">
            <v>0</v>
          </cell>
          <cell r="L28">
            <v>0</v>
          </cell>
          <cell r="M28">
            <v>0</v>
          </cell>
        </row>
        <row r="29">
          <cell r="I29">
            <v>-36477</v>
          </cell>
          <cell r="J29">
            <v>-200623.5</v>
          </cell>
          <cell r="L29">
            <v>-53985.96</v>
          </cell>
          <cell r="M29">
            <v>0</v>
          </cell>
        </row>
        <row r="30">
          <cell r="I30">
            <v>123857</v>
          </cell>
          <cell r="J30">
            <v>1010673.12</v>
          </cell>
          <cell r="L30">
            <v>272485.40000000002</v>
          </cell>
          <cell r="M30">
            <v>0</v>
          </cell>
        </row>
        <row r="31">
          <cell r="I31">
            <v>33496592</v>
          </cell>
          <cell r="J31">
            <v>219402677.59999999</v>
          </cell>
          <cell r="L31">
            <v>49574956.159999996</v>
          </cell>
          <cell r="M31">
            <v>36846251.200000003</v>
          </cell>
        </row>
        <row r="32">
          <cell r="I32">
            <v>25502661</v>
          </cell>
          <cell r="J32">
            <v>230799082.05000001</v>
          </cell>
          <cell r="L32">
            <v>56105854.200000003</v>
          </cell>
          <cell r="M32">
            <v>63756652.5</v>
          </cell>
        </row>
        <row r="34">
          <cell r="K34">
            <v>43022324.090000004</v>
          </cell>
        </row>
        <row r="35">
          <cell r="I35">
            <v>0</v>
          </cell>
          <cell r="J35">
            <v>0</v>
          </cell>
          <cell r="L35">
            <v>0</v>
          </cell>
          <cell r="M35">
            <v>0</v>
          </cell>
        </row>
        <row r="36">
          <cell r="I36">
            <v>0</v>
          </cell>
          <cell r="J36">
            <v>0</v>
          </cell>
          <cell r="L36">
            <v>0</v>
          </cell>
          <cell r="M36">
            <v>0</v>
          </cell>
        </row>
        <row r="37">
          <cell r="I37">
            <v>21964003</v>
          </cell>
          <cell r="J37">
            <v>185595825.34999999</v>
          </cell>
          <cell r="L37">
            <v>47222606.449999996</v>
          </cell>
          <cell r="M37">
            <v>34703124.740000002</v>
          </cell>
        </row>
        <row r="38">
          <cell r="K38">
            <v>21172500.739999998</v>
          </cell>
        </row>
        <row r="39">
          <cell r="I39">
            <v>0</v>
          </cell>
          <cell r="J39">
            <v>0</v>
          </cell>
          <cell r="L39">
            <v>0</v>
          </cell>
          <cell r="M39">
            <v>0</v>
          </cell>
        </row>
        <row r="40">
          <cell r="I40">
            <v>0</v>
          </cell>
          <cell r="J40">
            <v>0</v>
          </cell>
          <cell r="L40">
            <v>0</v>
          </cell>
          <cell r="M40">
            <v>0</v>
          </cell>
        </row>
        <row r="41">
          <cell r="I41">
            <v>42918364</v>
          </cell>
          <cell r="J41">
            <v>379827521.39999998</v>
          </cell>
          <cell r="L41">
            <v>93562033.520000011</v>
          </cell>
          <cell r="M41">
            <v>69098566.040000007</v>
          </cell>
        </row>
        <row r="42">
          <cell r="K42">
            <v>34737166.460000001</v>
          </cell>
        </row>
        <row r="43">
          <cell r="I43">
            <v>0</v>
          </cell>
          <cell r="J43">
            <v>0</v>
          </cell>
          <cell r="L43">
            <v>0</v>
          </cell>
          <cell r="M43">
            <v>0</v>
          </cell>
        </row>
        <row r="44">
          <cell r="I44">
            <v>0</v>
          </cell>
          <cell r="J44">
            <v>0</v>
          </cell>
          <cell r="L44">
            <v>0</v>
          </cell>
          <cell r="M44">
            <v>0</v>
          </cell>
        </row>
        <row r="45">
          <cell r="I45">
            <v>0</v>
          </cell>
          <cell r="J45">
            <v>0</v>
          </cell>
          <cell r="L45">
            <v>0</v>
          </cell>
          <cell r="M45">
            <v>0</v>
          </cell>
        </row>
        <row r="46">
          <cell r="I46">
            <v>0</v>
          </cell>
          <cell r="J46">
            <v>0</v>
          </cell>
          <cell r="L46">
            <v>0</v>
          </cell>
          <cell r="M46">
            <v>0</v>
          </cell>
        </row>
        <row r="47">
          <cell r="I47">
            <v>346</v>
          </cell>
          <cell r="J47">
            <v>1802.66</v>
          </cell>
          <cell r="L47">
            <v>484.4</v>
          </cell>
          <cell r="M47">
            <v>0</v>
          </cell>
        </row>
        <row r="48">
          <cell r="I48">
            <v>997</v>
          </cell>
          <cell r="J48">
            <v>7258.16</v>
          </cell>
          <cell r="L48">
            <v>1954.12</v>
          </cell>
          <cell r="M48">
            <v>0</v>
          </cell>
        </row>
        <row r="49">
          <cell r="I49">
            <v>1278713</v>
          </cell>
          <cell r="J49">
            <v>7288664.1000000006</v>
          </cell>
          <cell r="L49">
            <v>1790198.2</v>
          </cell>
          <cell r="M49">
            <v>1329861.52</v>
          </cell>
        </row>
        <row r="50">
          <cell r="I50">
            <v>1562454</v>
          </cell>
          <cell r="J50">
            <v>12030895.800000001</v>
          </cell>
          <cell r="L50">
            <v>3062409.84</v>
          </cell>
          <cell r="M50">
            <v>3374900.64</v>
          </cell>
        </row>
        <row r="52">
          <cell r="K52">
            <v>1963627.48</v>
          </cell>
        </row>
        <row r="53">
          <cell r="I53">
            <v>0</v>
          </cell>
          <cell r="J53">
            <v>0</v>
          </cell>
          <cell r="L53">
            <v>0</v>
          </cell>
          <cell r="M53">
            <v>0</v>
          </cell>
        </row>
        <row r="54">
          <cell r="I54">
            <v>0</v>
          </cell>
          <cell r="J54">
            <v>0</v>
          </cell>
          <cell r="L54">
            <v>0</v>
          </cell>
          <cell r="M54">
            <v>0</v>
          </cell>
        </row>
        <row r="55">
          <cell r="I55">
            <v>4801177</v>
          </cell>
          <cell r="J55">
            <v>34808533.25</v>
          </cell>
          <cell r="L55">
            <v>8402059.75</v>
          </cell>
          <cell r="M55">
            <v>6145506.5600000005</v>
          </cell>
        </row>
        <row r="56">
          <cell r="K56">
            <v>5008606.1399999997</v>
          </cell>
        </row>
        <row r="57">
          <cell r="I57">
            <v>0</v>
          </cell>
          <cell r="J57">
            <v>0</v>
          </cell>
          <cell r="L57">
            <v>0</v>
          </cell>
          <cell r="M57">
            <v>0</v>
          </cell>
        </row>
        <row r="58">
          <cell r="I58">
            <v>0</v>
          </cell>
          <cell r="J58">
            <v>0</v>
          </cell>
          <cell r="L58">
            <v>0</v>
          </cell>
          <cell r="M58">
            <v>0</v>
          </cell>
        </row>
        <row r="59">
          <cell r="I59">
            <v>4346284</v>
          </cell>
          <cell r="J59">
            <v>32162501.600000001</v>
          </cell>
          <cell r="L59">
            <v>7475608.4799999995</v>
          </cell>
          <cell r="M59">
            <v>5389392.1600000001</v>
          </cell>
        </row>
        <row r="60">
          <cell r="K60">
            <v>2718900.97</v>
          </cell>
        </row>
        <row r="61">
          <cell r="I61">
            <v>0</v>
          </cell>
          <cell r="J61">
            <v>0</v>
          </cell>
          <cell r="L61">
            <v>0</v>
          </cell>
          <cell r="M61">
            <v>0</v>
          </cell>
        </row>
        <row r="62">
          <cell r="I62">
            <v>2627</v>
          </cell>
          <cell r="J62">
            <v>30867.25</v>
          </cell>
          <cell r="L62">
            <v>8301.32</v>
          </cell>
          <cell r="M62">
            <v>0</v>
          </cell>
        </row>
        <row r="63">
          <cell r="I63">
            <v>120452</v>
          </cell>
          <cell r="J63">
            <v>1626102</v>
          </cell>
          <cell r="L63">
            <v>380628.32</v>
          </cell>
          <cell r="M63">
            <v>275835.08</v>
          </cell>
        </row>
        <row r="64">
          <cell r="K64">
            <v>260039.92</v>
          </cell>
        </row>
        <row r="65">
          <cell r="I65">
            <v>0</v>
          </cell>
          <cell r="J65">
            <v>0</v>
          </cell>
          <cell r="L65">
            <v>0</v>
          </cell>
          <cell r="M65">
            <v>0</v>
          </cell>
        </row>
        <row r="66">
          <cell r="I66">
            <v>0</v>
          </cell>
          <cell r="J66">
            <v>0</v>
          </cell>
          <cell r="L66">
            <v>0</v>
          </cell>
          <cell r="M66">
            <v>0</v>
          </cell>
        </row>
        <row r="67">
          <cell r="I67">
            <v>2331906.21</v>
          </cell>
          <cell r="J67">
            <v>15740366.9175</v>
          </cell>
          <cell r="L67">
            <v>3544497.4391999999</v>
          </cell>
          <cell r="M67">
            <v>2611734.9552000002</v>
          </cell>
        </row>
        <row r="68">
          <cell r="K68">
            <v>1791882</v>
          </cell>
        </row>
        <row r="69">
          <cell r="I69">
            <v>0</v>
          </cell>
          <cell r="J69">
            <v>0</v>
          </cell>
          <cell r="L69">
            <v>0</v>
          </cell>
          <cell r="M69">
            <v>0</v>
          </cell>
        </row>
        <row r="70">
          <cell r="I70">
            <v>-254</v>
          </cell>
          <cell r="J70">
            <v>-1437.64</v>
          </cell>
          <cell r="L70">
            <v>-386.08</v>
          </cell>
          <cell r="M70">
            <v>0</v>
          </cell>
        </row>
        <row r="71">
          <cell r="I71">
            <v>346246</v>
          </cell>
          <cell r="J71">
            <v>2337160.5</v>
          </cell>
          <cell r="L71">
            <v>526293.92000000004</v>
          </cell>
          <cell r="M71">
            <v>387795.52</v>
          </cell>
        </row>
        <row r="72">
          <cell r="K72">
            <v>191192.11</v>
          </cell>
        </row>
        <row r="73">
          <cell r="I73">
            <v>684</v>
          </cell>
          <cell r="J73">
            <v>1949.4</v>
          </cell>
          <cell r="L73">
            <v>0</v>
          </cell>
          <cell r="M73">
            <v>0</v>
          </cell>
        </row>
        <row r="74">
          <cell r="I74">
            <v>8749</v>
          </cell>
          <cell r="J74">
            <v>28259.27</v>
          </cell>
          <cell r="L74">
            <v>7611.63</v>
          </cell>
          <cell r="M74">
            <v>0</v>
          </cell>
        </row>
        <row r="75">
          <cell r="I75">
            <v>503174</v>
          </cell>
          <cell r="J75">
            <v>1761109</v>
          </cell>
          <cell r="L75">
            <v>437761.38</v>
          </cell>
          <cell r="M75">
            <v>362285.27999999997</v>
          </cell>
        </row>
        <row r="76">
          <cell r="K76">
            <v>216613.68</v>
          </cell>
        </row>
        <row r="77">
          <cell r="I77">
            <v>444</v>
          </cell>
          <cell r="J77">
            <v>3885</v>
          </cell>
          <cell r="L77">
            <v>0</v>
          </cell>
          <cell r="M77">
            <v>0</v>
          </cell>
        </row>
        <row r="78">
          <cell r="I78">
            <v>-14808</v>
          </cell>
          <cell r="J78">
            <v>-139047.12</v>
          </cell>
          <cell r="L78">
            <v>-37464.239999999998</v>
          </cell>
          <cell r="M78">
            <v>0</v>
          </cell>
        </row>
        <row r="79">
          <cell r="I79">
            <v>2962111</v>
          </cell>
          <cell r="J79">
            <v>31102165.5</v>
          </cell>
          <cell r="L79">
            <v>7494140.8299999991</v>
          </cell>
          <cell r="M79">
            <v>5598389.79</v>
          </cell>
        </row>
        <row r="80">
          <cell r="K80">
            <v>1566353.35</v>
          </cell>
        </row>
        <row r="81">
          <cell r="I81">
            <v>0</v>
          </cell>
          <cell r="J81">
            <v>0</v>
          </cell>
          <cell r="L81">
            <v>0</v>
          </cell>
          <cell r="M81">
            <v>0</v>
          </cell>
        </row>
        <row r="82">
          <cell r="I82">
            <v>0</v>
          </cell>
          <cell r="J82">
            <v>0</v>
          </cell>
          <cell r="L82">
            <v>0</v>
          </cell>
          <cell r="M82">
            <v>0</v>
          </cell>
        </row>
        <row r="83">
          <cell r="I83">
            <v>114131</v>
          </cell>
          <cell r="J83">
            <v>427991.25</v>
          </cell>
          <cell r="L83">
            <v>94728.73</v>
          </cell>
          <cell r="M83">
            <v>62772.05</v>
          </cell>
        </row>
        <row r="84">
          <cell r="K84">
            <v>3600</v>
          </cell>
        </row>
        <row r="85">
          <cell r="I85">
            <v>2</v>
          </cell>
          <cell r="J85">
            <v>13.6</v>
          </cell>
          <cell r="L85">
            <v>3.66</v>
          </cell>
          <cell r="M85">
            <v>0</v>
          </cell>
        </row>
        <row r="86">
          <cell r="I86">
            <v>726007</v>
          </cell>
          <cell r="J86">
            <v>5299851.0999999996</v>
          </cell>
          <cell r="L86">
            <v>1328592.81</v>
          </cell>
          <cell r="M86">
            <v>1096270.57</v>
          </cell>
        </row>
        <row r="87">
          <cell r="K87">
            <v>327333.32</v>
          </cell>
        </row>
        <row r="88">
          <cell r="I88">
            <v>-26452</v>
          </cell>
          <cell r="J88">
            <v>-179873.6</v>
          </cell>
          <cell r="L88">
            <v>-48407.16</v>
          </cell>
          <cell r="M88">
            <v>0</v>
          </cell>
        </row>
        <row r="89">
          <cell r="I89">
            <v>6334513</v>
          </cell>
          <cell r="J89">
            <v>46241944.899999999</v>
          </cell>
          <cell r="L89">
            <v>11592158.790000001</v>
          </cell>
          <cell r="M89">
            <v>8995008.459999999</v>
          </cell>
        </row>
        <row r="90">
          <cell r="K90">
            <v>4831920.49</v>
          </cell>
        </row>
        <row r="91">
          <cell r="I91">
            <v>0</v>
          </cell>
          <cell r="J91">
            <v>0</v>
          </cell>
          <cell r="L91">
            <v>0</v>
          </cell>
          <cell r="M91">
            <v>0</v>
          </cell>
        </row>
        <row r="92">
          <cell r="I92">
            <v>0</v>
          </cell>
          <cell r="J92">
            <v>0</v>
          </cell>
          <cell r="L92">
            <v>0</v>
          </cell>
          <cell r="M92">
            <v>0</v>
          </cell>
        </row>
        <row r="93">
          <cell r="I93">
            <v>14336902</v>
          </cell>
          <cell r="J93">
            <v>98924623.800000012</v>
          </cell>
          <cell r="L93">
            <v>22795674.18</v>
          </cell>
          <cell r="M93">
            <v>16200699.259999998</v>
          </cell>
        </row>
        <row r="94">
          <cell r="K94">
            <v>9286572.5</v>
          </cell>
        </row>
        <row r="95">
          <cell r="I95">
            <v>0</v>
          </cell>
          <cell r="J95">
            <v>0</v>
          </cell>
          <cell r="L95">
            <v>0</v>
          </cell>
          <cell r="M95">
            <v>0</v>
          </cell>
        </row>
        <row r="96">
          <cell r="I96">
            <v>0</v>
          </cell>
          <cell r="J96">
            <v>0</v>
          </cell>
          <cell r="L96">
            <v>0</v>
          </cell>
          <cell r="M96">
            <v>0</v>
          </cell>
        </row>
        <row r="97">
          <cell r="I97">
            <v>32378615</v>
          </cell>
          <cell r="J97">
            <v>242839612.5</v>
          </cell>
          <cell r="L97">
            <v>55367431.649999999</v>
          </cell>
          <cell r="M97">
            <v>38530551.850000001</v>
          </cell>
        </row>
        <row r="98">
          <cell r="K98">
            <v>18734006.300000001</v>
          </cell>
        </row>
        <row r="99">
          <cell r="I99">
            <v>0</v>
          </cell>
          <cell r="J99">
            <v>0</v>
          </cell>
          <cell r="L99">
            <v>0</v>
          </cell>
          <cell r="M99">
            <v>0</v>
          </cell>
        </row>
        <row r="100">
          <cell r="I100">
            <v>0</v>
          </cell>
          <cell r="J100">
            <v>0</v>
          </cell>
          <cell r="L100">
            <v>0</v>
          </cell>
          <cell r="M100">
            <v>0</v>
          </cell>
        </row>
        <row r="101">
          <cell r="I101">
            <v>2999795</v>
          </cell>
          <cell r="J101">
            <v>16108899.15</v>
          </cell>
          <cell r="L101">
            <v>2729813.45</v>
          </cell>
          <cell r="M101">
            <v>1979864.7000000002</v>
          </cell>
        </row>
        <row r="102">
          <cell r="K102">
            <v>1444057.35</v>
          </cell>
        </row>
        <row r="103">
          <cell r="I103">
            <v>0</v>
          </cell>
          <cell r="J103">
            <v>0</v>
          </cell>
          <cell r="L103">
            <v>0</v>
          </cell>
          <cell r="M103">
            <v>0</v>
          </cell>
        </row>
        <row r="104">
          <cell r="I104">
            <v>0</v>
          </cell>
          <cell r="J104">
            <v>0</v>
          </cell>
          <cell r="L104">
            <v>0</v>
          </cell>
          <cell r="M104">
            <v>0</v>
          </cell>
        </row>
        <row r="105">
          <cell r="I105">
            <v>689366</v>
          </cell>
          <cell r="J105">
            <v>6893660</v>
          </cell>
          <cell r="L105">
            <v>1606222.78</v>
          </cell>
          <cell r="M105">
            <v>1158134.8799999999</v>
          </cell>
        </row>
        <row r="106">
          <cell r="K106">
            <v>1266.67</v>
          </cell>
        </row>
        <row r="107">
          <cell r="I107">
            <v>0</v>
          </cell>
          <cell r="J107">
            <v>0</v>
          </cell>
          <cell r="L107">
            <v>0</v>
          </cell>
          <cell r="M107">
            <v>0</v>
          </cell>
        </row>
        <row r="108">
          <cell r="I108">
            <v>7615324</v>
          </cell>
          <cell r="J108">
            <v>50261138.399999999</v>
          </cell>
          <cell r="L108">
            <v>11499139.24</v>
          </cell>
          <cell r="M108">
            <v>8909929.0800000001</v>
          </cell>
        </row>
        <row r="109">
          <cell r="K109">
            <v>3060944</v>
          </cell>
        </row>
        <row r="110">
          <cell r="J110">
            <v>-12791411.210000001</v>
          </cell>
          <cell r="K110">
            <v>-95239.030000000013</v>
          </cell>
          <cell r="L110">
            <v>-3380388.41920006</v>
          </cell>
          <cell r="M110">
            <v>0</v>
          </cell>
        </row>
        <row r="111">
          <cell r="I111">
            <v>324886289.20999998</v>
          </cell>
          <cell r="J111">
            <v>2172356660.9874997</v>
          </cell>
          <cell r="K111">
            <v>193123953.91999999</v>
          </cell>
          <cell r="L111">
            <v>512147943.88999999</v>
          </cell>
          <cell r="M111">
            <v>398857971.94520003</v>
          </cell>
        </row>
        <row r="112">
          <cell r="N112">
            <v>11451000.75</v>
          </cell>
        </row>
        <row r="113">
          <cell r="N113">
            <v>-1267710.0452000501</v>
          </cell>
        </row>
        <row r="114">
          <cell r="N114">
            <v>-294441.11</v>
          </cell>
        </row>
        <row r="115">
          <cell r="N115">
            <v>14681510.050000001</v>
          </cell>
        </row>
        <row r="116">
          <cell r="N116">
            <v>7151943.9900000002</v>
          </cell>
        </row>
        <row r="118">
          <cell r="N118">
            <v>-11452830.82</v>
          </cell>
        </row>
        <row r="119">
          <cell r="N119">
            <v>-72620220.659999996</v>
          </cell>
        </row>
        <row r="120">
          <cell r="N120">
            <v>-273366.14</v>
          </cell>
        </row>
        <row r="121">
          <cell r="N121">
            <v>-645836.93999999994</v>
          </cell>
        </row>
        <row r="124">
          <cell r="N124">
            <v>23960503.829999998</v>
          </cell>
        </row>
        <row r="125">
          <cell r="N125">
            <v>13075556.02</v>
          </cell>
        </row>
        <row r="126">
          <cell r="N126">
            <v>10976635.02</v>
          </cell>
        </row>
        <row r="127">
          <cell r="N127">
            <v>-2557416.4500000002</v>
          </cell>
        </row>
        <row r="128">
          <cell r="N128">
            <v>1469355</v>
          </cell>
        </row>
        <row r="129">
          <cell r="N129">
            <v>46924633.419999987</v>
          </cell>
        </row>
      </sheetData>
      <sheetData sheetId="9">
        <row r="5">
          <cell r="I5">
            <v>0</v>
          </cell>
          <cell r="J5">
            <v>0</v>
          </cell>
          <cell r="L5">
            <v>0</v>
          </cell>
          <cell r="M5">
            <v>0</v>
          </cell>
        </row>
        <row r="6">
          <cell r="I6">
            <v>0</v>
          </cell>
          <cell r="J6">
            <v>0</v>
          </cell>
          <cell r="L6">
            <v>0</v>
          </cell>
          <cell r="M6">
            <v>0</v>
          </cell>
        </row>
        <row r="7">
          <cell r="I7">
            <v>2012</v>
          </cell>
          <cell r="J7">
            <v>1106.6000000000001</v>
          </cell>
          <cell r="L7">
            <v>241.44</v>
          </cell>
          <cell r="M7">
            <v>181.07999999999998</v>
          </cell>
        </row>
        <row r="8">
          <cell r="K8">
            <v>192</v>
          </cell>
        </row>
        <row r="9">
          <cell r="I9">
            <v>-464</v>
          </cell>
          <cell r="J9">
            <v>-719.2</v>
          </cell>
          <cell r="L9">
            <v>0</v>
          </cell>
          <cell r="M9">
            <v>0</v>
          </cell>
        </row>
        <row r="10">
          <cell r="I10">
            <v>-336</v>
          </cell>
          <cell r="J10">
            <v>-1108.8</v>
          </cell>
          <cell r="L10">
            <v>0</v>
          </cell>
          <cell r="M10">
            <v>0</v>
          </cell>
        </row>
        <row r="11">
          <cell r="I11">
            <v>-255</v>
          </cell>
          <cell r="J11">
            <v>-1351.5</v>
          </cell>
          <cell r="L11">
            <v>0</v>
          </cell>
          <cell r="M11">
            <v>0</v>
          </cell>
        </row>
        <row r="12">
          <cell r="I12">
            <v>-1614</v>
          </cell>
          <cell r="J12">
            <v>-10975.199999999999</v>
          </cell>
          <cell r="L12">
            <v>0</v>
          </cell>
          <cell r="M12">
            <v>0</v>
          </cell>
        </row>
        <row r="13">
          <cell r="I13">
            <v>-58364</v>
          </cell>
          <cell r="J13">
            <v>-120229.84</v>
          </cell>
          <cell r="L13">
            <v>-32100.200000000004</v>
          </cell>
          <cell r="M13">
            <v>0</v>
          </cell>
        </row>
        <row r="14">
          <cell r="I14">
            <v>-45807</v>
          </cell>
          <cell r="J14">
            <v>-174524.67</v>
          </cell>
          <cell r="L14">
            <v>-47181.21</v>
          </cell>
          <cell r="M14">
            <v>0</v>
          </cell>
        </row>
        <row r="15">
          <cell r="I15">
            <v>-19062</v>
          </cell>
          <cell r="J15">
            <v>-102172.32</v>
          </cell>
          <cell r="L15">
            <v>-27449.279999999999</v>
          </cell>
          <cell r="M15">
            <v>0</v>
          </cell>
        </row>
        <row r="16">
          <cell r="I16">
            <v>-117524</v>
          </cell>
          <cell r="J16">
            <v>-806214.64</v>
          </cell>
          <cell r="L16">
            <v>-217419.40000000002</v>
          </cell>
          <cell r="M16">
            <v>0</v>
          </cell>
        </row>
        <row r="17">
          <cell r="I17">
            <v>37565417</v>
          </cell>
          <cell r="J17">
            <v>92035271.650000006</v>
          </cell>
          <cell r="L17">
            <v>20660979.350000001</v>
          </cell>
          <cell r="M17">
            <v>14274858.460000001</v>
          </cell>
        </row>
        <row r="18">
          <cell r="I18">
            <v>34038983</v>
          </cell>
          <cell r="J18">
            <v>153175423.5</v>
          </cell>
          <cell r="L18">
            <v>35060152.490000002</v>
          </cell>
          <cell r="M18">
            <v>24848457.59</v>
          </cell>
        </row>
        <row r="19">
          <cell r="I19">
            <v>10634686</v>
          </cell>
          <cell r="J19">
            <v>67530256.099999994</v>
          </cell>
          <cell r="L19">
            <v>15313947.84</v>
          </cell>
          <cell r="M19">
            <v>11166420.300000001</v>
          </cell>
        </row>
        <row r="20">
          <cell r="I20">
            <v>21384914</v>
          </cell>
          <cell r="J20">
            <v>171079312</v>
          </cell>
          <cell r="L20">
            <v>39562090.899999999</v>
          </cell>
          <cell r="M20">
            <v>28655784.760000002</v>
          </cell>
        </row>
        <row r="24">
          <cell r="K24">
            <v>40962747.899999999</v>
          </cell>
        </row>
        <row r="25">
          <cell r="I25">
            <v>-12</v>
          </cell>
          <cell r="J25">
            <v>-48</v>
          </cell>
          <cell r="L25">
            <v>0</v>
          </cell>
          <cell r="M25">
            <v>0</v>
          </cell>
        </row>
        <row r="26">
          <cell r="I26">
            <v>0</v>
          </cell>
          <cell r="J26">
            <v>0</v>
          </cell>
          <cell r="L26">
            <v>0</v>
          </cell>
          <cell r="M26">
            <v>0</v>
          </cell>
        </row>
        <row r="27">
          <cell r="I27">
            <v>0</v>
          </cell>
          <cell r="J27">
            <v>0</v>
          </cell>
          <cell r="L27">
            <v>0</v>
          </cell>
          <cell r="M27">
            <v>0</v>
          </cell>
        </row>
        <row r="28">
          <cell r="I28">
            <v>0</v>
          </cell>
          <cell r="J28">
            <v>0</v>
          </cell>
          <cell r="L28">
            <v>0</v>
          </cell>
          <cell r="M28">
            <v>0</v>
          </cell>
        </row>
        <row r="29">
          <cell r="I29">
            <v>-34793</v>
          </cell>
          <cell r="J29">
            <v>-191361.5</v>
          </cell>
          <cell r="L29">
            <v>-51493.64</v>
          </cell>
          <cell r="M29">
            <v>0</v>
          </cell>
        </row>
        <row r="30">
          <cell r="I30">
            <v>9380</v>
          </cell>
          <cell r="J30">
            <v>76540.800000000003</v>
          </cell>
          <cell r="L30">
            <v>20636</v>
          </cell>
          <cell r="M30">
            <v>0</v>
          </cell>
        </row>
        <row r="31">
          <cell r="I31">
            <v>29612854</v>
          </cell>
          <cell r="J31">
            <v>193964193.69999999</v>
          </cell>
          <cell r="L31">
            <v>43827023.920000002</v>
          </cell>
          <cell r="M31">
            <v>32574139.400000002</v>
          </cell>
        </row>
        <row r="32">
          <cell r="I32">
            <v>22082970</v>
          </cell>
          <cell r="J32">
            <v>199850878.50000003</v>
          </cell>
          <cell r="L32">
            <v>48582534.000000007</v>
          </cell>
          <cell r="M32">
            <v>55207425</v>
          </cell>
        </row>
        <row r="34">
          <cell r="K34">
            <v>39552690.560000002</v>
          </cell>
        </row>
        <row r="35">
          <cell r="I35">
            <v>0</v>
          </cell>
          <cell r="J35">
            <v>0</v>
          </cell>
          <cell r="L35">
            <v>0</v>
          </cell>
          <cell r="M35">
            <v>0</v>
          </cell>
        </row>
        <row r="36">
          <cell r="I36">
            <v>0</v>
          </cell>
          <cell r="J36">
            <v>0</v>
          </cell>
          <cell r="L36">
            <v>0</v>
          </cell>
          <cell r="M36">
            <v>0</v>
          </cell>
        </row>
        <row r="37">
          <cell r="I37">
            <v>19526077</v>
          </cell>
          <cell r="J37">
            <v>164995350.64999998</v>
          </cell>
          <cell r="L37">
            <v>41981065.549999997</v>
          </cell>
          <cell r="M37">
            <v>30851201.66</v>
          </cell>
        </row>
        <row r="38">
          <cell r="K38">
            <v>20784679.25</v>
          </cell>
        </row>
        <row r="39">
          <cell r="I39">
            <v>0</v>
          </cell>
          <cell r="J39">
            <v>0</v>
          </cell>
          <cell r="L39">
            <v>0</v>
          </cell>
          <cell r="M39">
            <v>0</v>
          </cell>
        </row>
        <row r="40">
          <cell r="I40">
            <v>0</v>
          </cell>
          <cell r="J40">
            <v>0</v>
          </cell>
          <cell r="L40">
            <v>0</v>
          </cell>
          <cell r="M40">
            <v>0</v>
          </cell>
        </row>
        <row r="41">
          <cell r="I41">
            <v>37844729</v>
          </cell>
          <cell r="J41">
            <v>334925851.64999998</v>
          </cell>
          <cell r="L41">
            <v>82501509.219999999</v>
          </cell>
          <cell r="M41">
            <v>60930013.690000005</v>
          </cell>
        </row>
        <row r="42">
          <cell r="K42">
            <v>34251131.140000001</v>
          </cell>
        </row>
        <row r="43">
          <cell r="I43">
            <v>0</v>
          </cell>
          <cell r="J43">
            <v>0</v>
          </cell>
          <cell r="L43">
            <v>0</v>
          </cell>
          <cell r="M43">
            <v>0</v>
          </cell>
        </row>
        <row r="44">
          <cell r="I44">
            <v>0</v>
          </cell>
          <cell r="J44">
            <v>0</v>
          </cell>
          <cell r="L44">
            <v>0</v>
          </cell>
          <cell r="M44">
            <v>0</v>
          </cell>
        </row>
        <row r="45">
          <cell r="I45">
            <v>0</v>
          </cell>
          <cell r="J45">
            <v>0</v>
          </cell>
          <cell r="L45">
            <v>0</v>
          </cell>
          <cell r="M45">
            <v>0</v>
          </cell>
        </row>
        <row r="46">
          <cell r="I46">
            <v>0</v>
          </cell>
          <cell r="J46">
            <v>0</v>
          </cell>
          <cell r="L46">
            <v>0</v>
          </cell>
          <cell r="M46">
            <v>0</v>
          </cell>
        </row>
        <row r="47">
          <cell r="I47">
            <v>0</v>
          </cell>
          <cell r="J47">
            <v>0</v>
          </cell>
          <cell r="L47">
            <v>0</v>
          </cell>
          <cell r="M47">
            <v>0</v>
          </cell>
        </row>
        <row r="48">
          <cell r="I48">
            <v>0</v>
          </cell>
          <cell r="J48">
            <v>0</v>
          </cell>
          <cell r="L48">
            <v>0</v>
          </cell>
          <cell r="M48">
            <v>0</v>
          </cell>
        </row>
        <row r="49">
          <cell r="I49">
            <v>1231755</v>
          </cell>
          <cell r="J49">
            <v>7021003.5</v>
          </cell>
          <cell r="L49">
            <v>1724457</v>
          </cell>
          <cell r="M49">
            <v>1281025.2</v>
          </cell>
        </row>
        <row r="50">
          <cell r="I50">
            <v>1573317</v>
          </cell>
          <cell r="J50">
            <v>12114540.9</v>
          </cell>
          <cell r="L50">
            <v>3083701.32</v>
          </cell>
          <cell r="M50">
            <v>3398364.72</v>
          </cell>
        </row>
        <row r="52">
          <cell r="K52">
            <v>1861390.78</v>
          </cell>
        </row>
        <row r="53">
          <cell r="I53">
            <v>0</v>
          </cell>
          <cell r="J53">
            <v>0</v>
          </cell>
          <cell r="L53">
            <v>0</v>
          </cell>
          <cell r="M53">
            <v>0</v>
          </cell>
        </row>
        <row r="54">
          <cell r="I54">
            <v>2962</v>
          </cell>
          <cell r="J54">
            <v>19312.239999999998</v>
          </cell>
          <cell r="L54">
            <v>5183.5</v>
          </cell>
          <cell r="M54">
            <v>0</v>
          </cell>
        </row>
        <row r="55">
          <cell r="I55">
            <v>3982509</v>
          </cell>
          <cell r="J55">
            <v>28873190.25</v>
          </cell>
          <cell r="L55">
            <v>6969390.75</v>
          </cell>
          <cell r="M55">
            <v>5097611.5200000005</v>
          </cell>
        </row>
        <row r="56">
          <cell r="K56">
            <v>4840840.34</v>
          </cell>
        </row>
        <row r="57">
          <cell r="I57">
            <v>0</v>
          </cell>
          <cell r="J57">
            <v>0</v>
          </cell>
          <cell r="L57">
            <v>0</v>
          </cell>
          <cell r="M57">
            <v>0</v>
          </cell>
        </row>
        <row r="58">
          <cell r="I58">
            <v>6643</v>
          </cell>
          <cell r="J58">
            <v>42448.77</v>
          </cell>
          <cell r="L58">
            <v>11425.96</v>
          </cell>
          <cell r="M58">
            <v>0</v>
          </cell>
        </row>
        <row r="59">
          <cell r="I59">
            <v>3902590</v>
          </cell>
          <cell r="J59">
            <v>28879166</v>
          </cell>
          <cell r="L59">
            <v>6712454.7999999998</v>
          </cell>
          <cell r="M59">
            <v>4839211.5999999996</v>
          </cell>
        </row>
        <row r="60">
          <cell r="K60">
            <v>2665596.11</v>
          </cell>
        </row>
        <row r="61">
          <cell r="I61">
            <v>-81</v>
          </cell>
          <cell r="J61">
            <v>-923.4</v>
          </cell>
          <cell r="L61">
            <v>0</v>
          </cell>
          <cell r="M61">
            <v>0</v>
          </cell>
        </row>
        <row r="62">
          <cell r="I62">
            <v>-4668</v>
          </cell>
          <cell r="J62">
            <v>-54849</v>
          </cell>
          <cell r="L62">
            <v>-14750.880000000001</v>
          </cell>
          <cell r="M62">
            <v>0</v>
          </cell>
        </row>
        <row r="63">
          <cell r="I63">
            <v>125034</v>
          </cell>
          <cell r="J63">
            <v>1687959</v>
          </cell>
          <cell r="L63">
            <v>395107.44</v>
          </cell>
          <cell r="M63">
            <v>286327.86</v>
          </cell>
        </row>
        <row r="64">
          <cell r="K64">
            <v>242719.99</v>
          </cell>
        </row>
        <row r="65">
          <cell r="I65">
            <v>0</v>
          </cell>
          <cell r="J65">
            <v>0</v>
          </cell>
          <cell r="L65">
            <v>0</v>
          </cell>
          <cell r="M65">
            <v>0</v>
          </cell>
        </row>
        <row r="66">
          <cell r="I66">
            <v>0</v>
          </cell>
          <cell r="J66">
            <v>0</v>
          </cell>
          <cell r="L66">
            <v>0</v>
          </cell>
          <cell r="M66">
            <v>0</v>
          </cell>
        </row>
        <row r="67">
          <cell r="I67">
            <v>2376399.94</v>
          </cell>
          <cell r="J67">
            <v>16040699.594999999</v>
          </cell>
          <cell r="L67">
            <v>3612127.9087999999</v>
          </cell>
          <cell r="M67">
            <v>2661567.9328000001</v>
          </cell>
        </row>
        <row r="68">
          <cell r="K68">
            <v>1839544.35</v>
          </cell>
        </row>
        <row r="69">
          <cell r="I69">
            <v>59</v>
          </cell>
          <cell r="J69">
            <v>312.7</v>
          </cell>
          <cell r="L69">
            <v>0</v>
          </cell>
          <cell r="M69">
            <v>0</v>
          </cell>
        </row>
        <row r="70">
          <cell r="I70">
            <v>3077</v>
          </cell>
          <cell r="J70">
            <v>17415.82</v>
          </cell>
          <cell r="L70">
            <v>4677.04</v>
          </cell>
          <cell r="M70">
            <v>0</v>
          </cell>
        </row>
        <row r="71">
          <cell r="I71">
            <v>385533</v>
          </cell>
          <cell r="J71">
            <v>2602347.75</v>
          </cell>
          <cell r="L71">
            <v>586010.16</v>
          </cell>
          <cell r="M71">
            <v>431796.96</v>
          </cell>
        </row>
        <row r="72">
          <cell r="K72">
            <v>204357.88</v>
          </cell>
        </row>
        <row r="73">
          <cell r="I73">
            <v>0</v>
          </cell>
          <cell r="J73">
            <v>0</v>
          </cell>
          <cell r="L73">
            <v>0</v>
          </cell>
          <cell r="M73">
            <v>0</v>
          </cell>
        </row>
        <row r="74">
          <cell r="I74">
            <v>0</v>
          </cell>
          <cell r="J74">
            <v>0</v>
          </cell>
          <cell r="L74">
            <v>0</v>
          </cell>
          <cell r="M74">
            <v>0</v>
          </cell>
        </row>
        <row r="75">
          <cell r="I75">
            <v>0</v>
          </cell>
          <cell r="J75">
            <v>0</v>
          </cell>
          <cell r="L75">
            <v>0</v>
          </cell>
          <cell r="M75">
            <v>0</v>
          </cell>
        </row>
        <row r="76">
          <cell r="K76">
            <v>600</v>
          </cell>
        </row>
        <row r="77">
          <cell r="I77">
            <v>0</v>
          </cell>
          <cell r="J77">
            <v>0</v>
          </cell>
          <cell r="L77">
            <v>0</v>
          </cell>
          <cell r="M77">
            <v>0</v>
          </cell>
        </row>
        <row r="78">
          <cell r="I78">
            <v>-2239</v>
          </cell>
          <cell r="J78">
            <v>-21024.210000000003</v>
          </cell>
          <cell r="L78">
            <v>-5664.6699999999992</v>
          </cell>
          <cell r="M78">
            <v>0</v>
          </cell>
        </row>
        <row r="79">
          <cell r="I79">
            <v>3290558</v>
          </cell>
          <cell r="J79">
            <v>34550859</v>
          </cell>
          <cell r="L79">
            <v>8325111.7399999993</v>
          </cell>
          <cell r="M79">
            <v>6219154.6200000001</v>
          </cell>
        </row>
        <row r="80">
          <cell r="K80">
            <v>1499519.98</v>
          </cell>
        </row>
        <row r="81">
          <cell r="I81">
            <v>0</v>
          </cell>
          <cell r="J81">
            <v>0</v>
          </cell>
          <cell r="L81">
            <v>0</v>
          </cell>
          <cell r="M81">
            <v>0</v>
          </cell>
        </row>
        <row r="82">
          <cell r="I82">
            <v>0</v>
          </cell>
          <cell r="J82">
            <v>0</v>
          </cell>
          <cell r="L82">
            <v>0</v>
          </cell>
          <cell r="M82">
            <v>0</v>
          </cell>
        </row>
        <row r="83">
          <cell r="I83">
            <v>112943</v>
          </cell>
          <cell r="J83">
            <v>423536.25</v>
          </cell>
          <cell r="L83">
            <v>93742.69</v>
          </cell>
          <cell r="M83">
            <v>62118.65</v>
          </cell>
        </row>
        <row r="84">
          <cell r="K84">
            <v>5400</v>
          </cell>
        </row>
        <row r="85">
          <cell r="I85">
            <v>0</v>
          </cell>
          <cell r="J85">
            <v>0</v>
          </cell>
          <cell r="L85">
            <v>0</v>
          </cell>
          <cell r="M85">
            <v>0</v>
          </cell>
        </row>
        <row r="86">
          <cell r="I86">
            <v>769829</v>
          </cell>
          <cell r="J86">
            <v>5619751.7000000002</v>
          </cell>
          <cell r="L86">
            <v>1408787.07</v>
          </cell>
          <cell r="M86">
            <v>1162441.79</v>
          </cell>
        </row>
        <row r="87">
          <cell r="K87">
            <v>368908.33</v>
          </cell>
        </row>
        <row r="88">
          <cell r="I88">
            <v>0</v>
          </cell>
          <cell r="J88">
            <v>0</v>
          </cell>
          <cell r="L88">
            <v>0</v>
          </cell>
          <cell r="M88">
            <v>0</v>
          </cell>
        </row>
        <row r="89">
          <cell r="I89">
            <v>5559822</v>
          </cell>
          <cell r="J89">
            <v>40586700.600000001</v>
          </cell>
          <cell r="L89">
            <v>10174474.26</v>
          </cell>
          <cell r="M89">
            <v>7894947.2399999993</v>
          </cell>
        </row>
        <row r="90">
          <cell r="K90">
            <v>4634207.67</v>
          </cell>
        </row>
        <row r="91">
          <cell r="I91">
            <v>0</v>
          </cell>
          <cell r="J91">
            <v>0</v>
          </cell>
          <cell r="L91">
            <v>0</v>
          </cell>
          <cell r="M91">
            <v>0</v>
          </cell>
        </row>
        <row r="92">
          <cell r="I92">
            <v>0</v>
          </cell>
          <cell r="J92">
            <v>0</v>
          </cell>
          <cell r="L92">
            <v>0</v>
          </cell>
          <cell r="M92">
            <v>0</v>
          </cell>
        </row>
        <row r="93">
          <cell r="I93">
            <v>14427626</v>
          </cell>
          <cell r="J93">
            <v>99550619.400000006</v>
          </cell>
          <cell r="L93">
            <v>22939925.34</v>
          </cell>
          <cell r="M93">
            <v>16303217.379999999</v>
          </cell>
        </row>
        <row r="94">
          <cell r="K94">
            <v>9046908</v>
          </cell>
        </row>
        <row r="95">
          <cell r="I95">
            <v>0</v>
          </cell>
          <cell r="J95">
            <v>0</v>
          </cell>
          <cell r="L95">
            <v>0</v>
          </cell>
          <cell r="M95">
            <v>0</v>
          </cell>
        </row>
        <row r="96">
          <cell r="I96">
            <v>0</v>
          </cell>
          <cell r="J96">
            <v>0</v>
          </cell>
          <cell r="L96">
            <v>0</v>
          </cell>
          <cell r="M96">
            <v>0</v>
          </cell>
        </row>
        <row r="97">
          <cell r="I97">
            <v>29552942</v>
          </cell>
          <cell r="J97">
            <v>221647065</v>
          </cell>
          <cell r="L97">
            <v>50535530.82</v>
          </cell>
          <cell r="M97">
            <v>35168000.979999997</v>
          </cell>
        </row>
        <row r="98">
          <cell r="K98">
            <v>18478045.800000001</v>
          </cell>
        </row>
        <row r="99">
          <cell r="I99">
            <v>0</v>
          </cell>
          <cell r="J99">
            <v>0</v>
          </cell>
          <cell r="L99">
            <v>0</v>
          </cell>
          <cell r="M99">
            <v>0</v>
          </cell>
        </row>
        <row r="100">
          <cell r="I100">
            <v>0</v>
          </cell>
          <cell r="J100">
            <v>0</v>
          </cell>
          <cell r="L100">
            <v>0</v>
          </cell>
          <cell r="M100">
            <v>0</v>
          </cell>
        </row>
        <row r="101">
          <cell r="I101">
            <v>2749945</v>
          </cell>
          <cell r="J101">
            <v>14767204.65</v>
          </cell>
          <cell r="L101">
            <v>2502449.9500000002</v>
          </cell>
          <cell r="M101">
            <v>1814963.7000000002</v>
          </cell>
        </row>
        <row r="102">
          <cell r="K102">
            <v>1413859.05</v>
          </cell>
        </row>
        <row r="103">
          <cell r="I103">
            <v>0</v>
          </cell>
          <cell r="J103">
            <v>0</v>
          </cell>
          <cell r="L103">
            <v>0</v>
          </cell>
          <cell r="M103">
            <v>0</v>
          </cell>
        </row>
        <row r="104">
          <cell r="I104">
            <v>0</v>
          </cell>
          <cell r="J104">
            <v>0</v>
          </cell>
          <cell r="L104">
            <v>0</v>
          </cell>
          <cell r="M104">
            <v>0</v>
          </cell>
        </row>
        <row r="105">
          <cell r="I105">
            <v>754413</v>
          </cell>
          <cell r="J105">
            <v>7544130</v>
          </cell>
          <cell r="L105">
            <v>1757782.29</v>
          </cell>
          <cell r="M105">
            <v>1267413.8399999999</v>
          </cell>
        </row>
        <row r="106">
          <cell r="K106">
            <v>1500</v>
          </cell>
        </row>
        <row r="107">
          <cell r="I107">
            <v>0</v>
          </cell>
          <cell r="J107">
            <v>0</v>
          </cell>
          <cell r="L107">
            <v>0</v>
          </cell>
          <cell r="M107">
            <v>0</v>
          </cell>
        </row>
        <row r="108">
          <cell r="I108">
            <v>6668519</v>
          </cell>
          <cell r="J108">
            <v>44012225.399999999</v>
          </cell>
          <cell r="L108">
            <v>10069463.689999999</v>
          </cell>
          <cell r="M108">
            <v>7802167.2299999995</v>
          </cell>
        </row>
        <row r="109">
          <cell r="K109">
            <v>2864627</v>
          </cell>
        </row>
        <row r="110">
          <cell r="J110">
            <v>-11220234.6</v>
          </cell>
          <cell r="K110">
            <v>405710.15</v>
          </cell>
          <cell r="L110">
            <v>-2666561.2188000702</v>
          </cell>
          <cell r="M110">
            <v>0</v>
          </cell>
        </row>
        <row r="111">
          <cell r="I111">
            <v>289893278.94</v>
          </cell>
          <cell r="J111">
            <v>1930928936.7950001</v>
          </cell>
          <cell r="K111">
            <v>185925176.28000003</v>
          </cell>
          <cell r="L111">
            <v>455359363.94</v>
          </cell>
          <cell r="M111">
            <v>354198813.16279989</v>
          </cell>
        </row>
        <row r="112">
          <cell r="N112">
            <v>11284274.039999999</v>
          </cell>
        </row>
        <row r="113">
          <cell r="N113">
            <v>-1532878.6427999139</v>
          </cell>
        </row>
        <row r="114">
          <cell r="N114">
            <v>-279452.26</v>
          </cell>
        </row>
        <row r="115">
          <cell r="N115">
            <v>12844881.939999999</v>
          </cell>
        </row>
        <row r="116">
          <cell r="N116">
            <v>7792707.7800000003</v>
          </cell>
        </row>
        <row r="118">
          <cell r="N118">
            <v>-11059328.130000001</v>
          </cell>
        </row>
        <row r="119">
          <cell r="N119">
            <v>-65997691.460000001</v>
          </cell>
        </row>
        <row r="120">
          <cell r="N120">
            <v>-207953.95</v>
          </cell>
        </row>
        <row r="121">
          <cell r="N121">
            <v>-378121.58</v>
          </cell>
        </row>
        <row r="124">
          <cell r="N124">
            <v>23961014.170000002</v>
          </cell>
        </row>
        <row r="125">
          <cell r="N125">
            <v>8999985.3499999996</v>
          </cell>
        </row>
        <row r="126">
          <cell r="N126">
            <v>11249578.91</v>
          </cell>
        </row>
        <row r="127">
          <cell r="N127">
            <v>-688102.06</v>
          </cell>
        </row>
        <row r="128">
          <cell r="N128">
            <v>655850</v>
          </cell>
        </row>
        <row r="129">
          <cell r="N129">
            <v>44178326.370000005</v>
          </cell>
        </row>
      </sheetData>
      <sheetData sheetId="10">
        <row r="5">
          <cell r="I5">
            <v>0</v>
          </cell>
          <cell r="J5">
            <v>0</v>
          </cell>
          <cell r="L5">
            <v>0</v>
          </cell>
          <cell r="M5">
            <v>0</v>
          </cell>
        </row>
        <row r="6">
          <cell r="I6">
            <v>-258</v>
          </cell>
          <cell r="J6">
            <v>-113.52</v>
          </cell>
          <cell r="L6">
            <v>-30.959999999999997</v>
          </cell>
          <cell r="M6">
            <v>0</v>
          </cell>
        </row>
        <row r="7">
          <cell r="I7">
            <v>13364</v>
          </cell>
          <cell r="J7">
            <v>7350.2000000000007</v>
          </cell>
          <cell r="L7">
            <v>1603.6799999999998</v>
          </cell>
          <cell r="M7">
            <v>1202.76</v>
          </cell>
        </row>
        <row r="8">
          <cell r="K8">
            <v>373.8</v>
          </cell>
        </row>
        <row r="9">
          <cell r="I9">
            <v>-683</v>
          </cell>
          <cell r="J9">
            <v>-1058.6500000000001</v>
          </cell>
          <cell r="L9">
            <v>0</v>
          </cell>
          <cell r="M9">
            <v>0</v>
          </cell>
        </row>
        <row r="10">
          <cell r="I10">
            <v>76</v>
          </cell>
          <cell r="J10">
            <v>250.79999999999998</v>
          </cell>
          <cell r="L10">
            <v>0</v>
          </cell>
          <cell r="M10">
            <v>0</v>
          </cell>
        </row>
        <row r="11">
          <cell r="I11">
            <v>28</v>
          </cell>
          <cell r="J11">
            <v>148.4</v>
          </cell>
          <cell r="L11">
            <v>0</v>
          </cell>
          <cell r="M11">
            <v>0</v>
          </cell>
        </row>
        <row r="12">
          <cell r="I12">
            <v>-1584</v>
          </cell>
          <cell r="J12">
            <v>-10771.199999999999</v>
          </cell>
          <cell r="L12">
            <v>0</v>
          </cell>
          <cell r="M12">
            <v>0</v>
          </cell>
        </row>
        <row r="13">
          <cell r="I13">
            <v>-177029</v>
          </cell>
          <cell r="J13">
            <v>-364679.74</v>
          </cell>
          <cell r="L13">
            <v>-97365.950000000012</v>
          </cell>
          <cell r="M13">
            <v>0</v>
          </cell>
        </row>
        <row r="14">
          <cell r="I14">
            <v>-89877</v>
          </cell>
          <cell r="J14">
            <v>-342431.37</v>
          </cell>
          <cell r="L14">
            <v>-92573.31</v>
          </cell>
          <cell r="M14">
            <v>0</v>
          </cell>
        </row>
        <row r="15">
          <cell r="I15">
            <v>-19375</v>
          </cell>
          <cell r="J15">
            <v>-103850</v>
          </cell>
          <cell r="L15">
            <v>-27900</v>
          </cell>
          <cell r="M15">
            <v>0</v>
          </cell>
        </row>
        <row r="16">
          <cell r="I16">
            <v>-68936</v>
          </cell>
          <cell r="J16">
            <v>-472900.96</v>
          </cell>
          <cell r="L16">
            <v>-127531.6</v>
          </cell>
          <cell r="M16">
            <v>0</v>
          </cell>
        </row>
        <row r="17">
          <cell r="I17">
            <v>97513967</v>
          </cell>
          <cell r="J17">
            <v>238909219.15000001</v>
          </cell>
          <cell r="L17">
            <v>53632681.850000001</v>
          </cell>
          <cell r="M17">
            <v>37055307.460000001</v>
          </cell>
        </row>
        <row r="18">
          <cell r="I18">
            <v>69608715</v>
          </cell>
          <cell r="J18">
            <v>313239217.5</v>
          </cell>
          <cell r="L18">
            <v>71696976.450000003</v>
          </cell>
          <cell r="M18">
            <v>50814361.949999996</v>
          </cell>
        </row>
        <row r="19">
          <cell r="I19">
            <v>17635121</v>
          </cell>
          <cell r="J19">
            <v>111983018.34999999</v>
          </cell>
          <cell r="L19">
            <v>25394574.239999998</v>
          </cell>
          <cell r="M19">
            <v>18516877.050000001</v>
          </cell>
        </row>
        <row r="20">
          <cell r="I20">
            <v>31706935</v>
          </cell>
          <cell r="J20">
            <v>253655480</v>
          </cell>
          <cell r="L20">
            <v>58657829.75</v>
          </cell>
          <cell r="M20">
            <v>42487292.900000006</v>
          </cell>
        </row>
        <row r="24">
          <cell r="K24">
            <v>103383003.81</v>
          </cell>
        </row>
        <row r="25">
          <cell r="I25">
            <v>-972</v>
          </cell>
          <cell r="J25">
            <v>-3888</v>
          </cell>
          <cell r="L25">
            <v>0</v>
          </cell>
          <cell r="M25">
            <v>0</v>
          </cell>
        </row>
        <row r="26">
          <cell r="I26">
            <v>-264</v>
          </cell>
          <cell r="J26">
            <v>-1584</v>
          </cell>
          <cell r="L26">
            <v>0</v>
          </cell>
          <cell r="M26">
            <v>0</v>
          </cell>
        </row>
        <row r="27">
          <cell r="I27">
            <v>-554</v>
          </cell>
          <cell r="J27">
            <v>-3822.6000000000004</v>
          </cell>
          <cell r="L27">
            <v>0</v>
          </cell>
          <cell r="M27">
            <v>0</v>
          </cell>
        </row>
        <row r="28">
          <cell r="I28">
            <v>-131</v>
          </cell>
          <cell r="J28">
            <v>-995.59999999999991</v>
          </cell>
          <cell r="L28">
            <v>0</v>
          </cell>
          <cell r="M28">
            <v>0</v>
          </cell>
        </row>
        <row r="29">
          <cell r="I29">
            <v>-100957</v>
          </cell>
          <cell r="J29">
            <v>-555263.5</v>
          </cell>
          <cell r="L29">
            <v>-149416.35999999999</v>
          </cell>
          <cell r="M29">
            <v>0</v>
          </cell>
        </row>
        <row r="30">
          <cell r="I30">
            <v>-70680</v>
          </cell>
          <cell r="J30">
            <v>-576748.80000000005</v>
          </cell>
          <cell r="L30">
            <v>-155496</v>
          </cell>
          <cell r="M30">
            <v>0</v>
          </cell>
        </row>
        <row r="31">
          <cell r="I31">
            <v>70819812</v>
          </cell>
          <cell r="J31">
            <v>463869768.59999996</v>
          </cell>
          <cell r="L31">
            <v>104813321.76000001</v>
          </cell>
          <cell r="M31">
            <v>77901793.200000003</v>
          </cell>
        </row>
        <row r="32">
          <cell r="I32">
            <v>38384622</v>
          </cell>
          <cell r="J32">
            <v>347380829.10000002</v>
          </cell>
          <cell r="L32">
            <v>84446168.400000006</v>
          </cell>
          <cell r="M32">
            <v>95961555</v>
          </cell>
        </row>
        <row r="34">
          <cell r="K34">
            <v>111034503.95999999</v>
          </cell>
        </row>
        <row r="35">
          <cell r="I35">
            <v>0</v>
          </cell>
          <cell r="J35">
            <v>0</v>
          </cell>
          <cell r="L35">
            <v>0</v>
          </cell>
          <cell r="M35">
            <v>0</v>
          </cell>
        </row>
        <row r="36">
          <cell r="I36">
            <v>0</v>
          </cell>
          <cell r="J36">
            <v>0</v>
          </cell>
          <cell r="L36">
            <v>0</v>
          </cell>
          <cell r="M36">
            <v>0</v>
          </cell>
        </row>
        <row r="37">
          <cell r="I37">
            <v>18384160</v>
          </cell>
          <cell r="J37">
            <v>155346152</v>
          </cell>
          <cell r="L37">
            <v>39525944</v>
          </cell>
          <cell r="M37">
            <v>29046972.800000001</v>
          </cell>
        </row>
        <row r="38">
          <cell r="K38">
            <v>20619518.800000001</v>
          </cell>
        </row>
        <row r="39">
          <cell r="I39">
            <v>0</v>
          </cell>
          <cell r="J39">
            <v>0</v>
          </cell>
          <cell r="L39">
            <v>0</v>
          </cell>
          <cell r="M39">
            <v>0</v>
          </cell>
        </row>
        <row r="40">
          <cell r="I40">
            <v>545</v>
          </cell>
          <cell r="J40">
            <v>4409.05</v>
          </cell>
          <cell r="L40">
            <v>1188.1000000000001</v>
          </cell>
          <cell r="M40">
            <v>0</v>
          </cell>
        </row>
        <row r="41">
          <cell r="I41">
            <v>36192913</v>
          </cell>
          <cell r="J41">
            <v>320307280.05000001</v>
          </cell>
          <cell r="L41">
            <v>78900550.340000004</v>
          </cell>
          <cell r="M41">
            <v>58270589.930000007</v>
          </cell>
        </row>
        <row r="42">
          <cell r="K42">
            <v>33544915.210000001</v>
          </cell>
        </row>
        <row r="43">
          <cell r="I43">
            <v>-408</v>
          </cell>
          <cell r="J43">
            <v>-1509.6000000000001</v>
          </cell>
          <cell r="L43">
            <v>0</v>
          </cell>
          <cell r="M43">
            <v>0</v>
          </cell>
        </row>
        <row r="44">
          <cell r="I44">
            <v>-126</v>
          </cell>
          <cell r="J44">
            <v>-693</v>
          </cell>
          <cell r="L44">
            <v>0</v>
          </cell>
          <cell r="M44">
            <v>0</v>
          </cell>
        </row>
        <row r="45">
          <cell r="I45">
            <v>-209</v>
          </cell>
          <cell r="J45">
            <v>-1243.55</v>
          </cell>
          <cell r="L45">
            <v>0</v>
          </cell>
          <cell r="M45">
            <v>0</v>
          </cell>
        </row>
        <row r="46">
          <cell r="I46">
            <v>-221</v>
          </cell>
          <cell r="J46">
            <v>-1414.4</v>
          </cell>
          <cell r="L46">
            <v>0</v>
          </cell>
          <cell r="M46">
            <v>0</v>
          </cell>
        </row>
        <row r="47">
          <cell r="I47">
            <v>-16356</v>
          </cell>
          <cell r="J47">
            <v>-85214.76</v>
          </cell>
          <cell r="L47">
            <v>-22898.399999999998</v>
          </cell>
          <cell r="M47">
            <v>0</v>
          </cell>
        </row>
        <row r="48">
          <cell r="I48">
            <v>-18051</v>
          </cell>
          <cell r="J48">
            <v>-131411.28</v>
          </cell>
          <cell r="L48">
            <v>-35379.96</v>
          </cell>
          <cell r="M48">
            <v>0</v>
          </cell>
        </row>
        <row r="49">
          <cell r="I49">
            <v>2789902</v>
          </cell>
          <cell r="J49">
            <v>15902441.4</v>
          </cell>
          <cell r="L49">
            <v>3905862.8</v>
          </cell>
          <cell r="M49">
            <v>2901498.08</v>
          </cell>
        </row>
        <row r="50">
          <cell r="I50">
            <v>2640405</v>
          </cell>
          <cell r="J50">
            <v>20331118.5</v>
          </cell>
          <cell r="L50">
            <v>5175193.8</v>
          </cell>
          <cell r="M50">
            <v>5703274.8000000007</v>
          </cell>
        </row>
        <row r="52">
          <cell r="K52">
            <v>4801614.91</v>
          </cell>
        </row>
        <row r="53">
          <cell r="I53">
            <v>0</v>
          </cell>
          <cell r="J53">
            <v>0</v>
          </cell>
          <cell r="L53">
            <v>0</v>
          </cell>
          <cell r="M53">
            <v>0</v>
          </cell>
        </row>
        <row r="54">
          <cell r="I54">
            <v>0</v>
          </cell>
          <cell r="J54">
            <v>0</v>
          </cell>
          <cell r="L54">
            <v>0</v>
          </cell>
          <cell r="M54">
            <v>0</v>
          </cell>
        </row>
        <row r="55">
          <cell r="I55">
            <v>4404812</v>
          </cell>
          <cell r="J55">
            <v>31934887</v>
          </cell>
          <cell r="L55">
            <v>7708421</v>
          </cell>
          <cell r="M55">
            <v>5638159.3600000003</v>
          </cell>
        </row>
        <row r="56">
          <cell r="K56">
            <v>5041686.95</v>
          </cell>
        </row>
        <row r="57">
          <cell r="I57">
            <v>0</v>
          </cell>
          <cell r="J57">
            <v>0</v>
          </cell>
          <cell r="L57">
            <v>0</v>
          </cell>
          <cell r="M57">
            <v>0</v>
          </cell>
        </row>
        <row r="58">
          <cell r="I58">
            <v>0</v>
          </cell>
          <cell r="J58">
            <v>0</v>
          </cell>
          <cell r="L58">
            <v>0</v>
          </cell>
          <cell r="M58">
            <v>0</v>
          </cell>
        </row>
        <row r="59">
          <cell r="I59">
            <v>4042426</v>
          </cell>
          <cell r="J59">
            <v>29913952.400000002</v>
          </cell>
          <cell r="L59">
            <v>6952972.7199999997</v>
          </cell>
          <cell r="M59">
            <v>5012608.24</v>
          </cell>
        </row>
        <row r="60">
          <cell r="K60">
            <v>2668397.6800000002</v>
          </cell>
        </row>
        <row r="61">
          <cell r="I61">
            <v>0</v>
          </cell>
          <cell r="J61">
            <v>0</v>
          </cell>
          <cell r="L61">
            <v>0</v>
          </cell>
          <cell r="M61">
            <v>0</v>
          </cell>
        </row>
        <row r="62">
          <cell r="I62">
            <v>-22857</v>
          </cell>
          <cell r="J62">
            <v>-268569.75</v>
          </cell>
          <cell r="L62">
            <v>-72228.12000000001</v>
          </cell>
          <cell r="M62">
            <v>0</v>
          </cell>
        </row>
        <row r="63">
          <cell r="I63">
            <v>253160</v>
          </cell>
          <cell r="J63">
            <v>3417660</v>
          </cell>
          <cell r="L63">
            <v>799985.60000000009</v>
          </cell>
          <cell r="M63">
            <v>579736.4</v>
          </cell>
        </row>
        <row r="64">
          <cell r="K64">
            <v>541679.34</v>
          </cell>
        </row>
        <row r="65">
          <cell r="I65">
            <v>0</v>
          </cell>
          <cell r="J65">
            <v>0</v>
          </cell>
          <cell r="L65">
            <v>0</v>
          </cell>
          <cell r="M65">
            <v>0</v>
          </cell>
        </row>
        <row r="66">
          <cell r="I66">
            <v>0</v>
          </cell>
          <cell r="J66">
            <v>0</v>
          </cell>
          <cell r="L66">
            <v>0</v>
          </cell>
          <cell r="M66">
            <v>0</v>
          </cell>
        </row>
        <row r="67">
          <cell r="I67">
            <v>2531460.02</v>
          </cell>
          <cell r="J67">
            <v>17087355.135000002</v>
          </cell>
          <cell r="L67">
            <v>3847819.2304000002</v>
          </cell>
          <cell r="M67">
            <v>2835235.2224000003</v>
          </cell>
        </row>
        <row r="68">
          <cell r="K68">
            <v>1856193.41</v>
          </cell>
        </row>
        <row r="69">
          <cell r="I69">
            <v>0</v>
          </cell>
          <cell r="J69">
            <v>0</v>
          </cell>
          <cell r="L69">
            <v>0</v>
          </cell>
          <cell r="M69">
            <v>0</v>
          </cell>
        </row>
        <row r="70">
          <cell r="I70">
            <v>56</v>
          </cell>
          <cell r="J70">
            <v>316.96000000000004</v>
          </cell>
          <cell r="L70">
            <v>85.12</v>
          </cell>
          <cell r="M70">
            <v>0</v>
          </cell>
        </row>
        <row r="71">
          <cell r="I71">
            <v>433333</v>
          </cell>
          <cell r="J71">
            <v>2924997.75</v>
          </cell>
          <cell r="L71">
            <v>658666.16</v>
          </cell>
          <cell r="M71">
            <v>485332.96</v>
          </cell>
        </row>
        <row r="72">
          <cell r="K72">
            <v>281696.74</v>
          </cell>
        </row>
        <row r="73">
          <cell r="I73">
            <v>0</v>
          </cell>
          <cell r="J73">
            <v>0</v>
          </cell>
          <cell r="L73">
            <v>0</v>
          </cell>
          <cell r="M73">
            <v>0</v>
          </cell>
        </row>
        <row r="74">
          <cell r="I74">
            <v>20940</v>
          </cell>
          <cell r="J74">
            <v>67636.2</v>
          </cell>
          <cell r="L74">
            <v>18217.8</v>
          </cell>
          <cell r="M74">
            <v>0</v>
          </cell>
        </row>
        <row r="75">
          <cell r="I75">
            <v>151420</v>
          </cell>
          <cell r="J75">
            <v>529970</v>
          </cell>
          <cell r="L75">
            <v>131735.4</v>
          </cell>
          <cell r="M75">
            <v>109022.39999999999</v>
          </cell>
        </row>
        <row r="76">
          <cell r="K76">
            <v>67286.75</v>
          </cell>
        </row>
        <row r="77">
          <cell r="I77">
            <v>0</v>
          </cell>
          <cell r="J77">
            <v>0</v>
          </cell>
          <cell r="L77">
            <v>0</v>
          </cell>
          <cell r="M77">
            <v>0</v>
          </cell>
        </row>
        <row r="78">
          <cell r="I78">
            <v>2758</v>
          </cell>
          <cell r="J78">
            <v>25897.620000000003</v>
          </cell>
          <cell r="L78">
            <v>6977.74</v>
          </cell>
          <cell r="M78">
            <v>0</v>
          </cell>
        </row>
        <row r="79">
          <cell r="I79">
            <v>3370044</v>
          </cell>
          <cell r="J79">
            <v>35385462</v>
          </cell>
          <cell r="L79">
            <v>8526211.3199999984</v>
          </cell>
          <cell r="M79">
            <v>6369383.1599999992</v>
          </cell>
        </row>
        <row r="80">
          <cell r="K80">
            <v>1973853.26</v>
          </cell>
        </row>
        <row r="81">
          <cell r="I81">
            <v>0</v>
          </cell>
          <cell r="J81">
            <v>0</v>
          </cell>
          <cell r="L81">
            <v>0</v>
          </cell>
          <cell r="M81">
            <v>0</v>
          </cell>
        </row>
        <row r="82">
          <cell r="I82">
            <v>0</v>
          </cell>
          <cell r="J82">
            <v>0</v>
          </cell>
          <cell r="L82">
            <v>0</v>
          </cell>
          <cell r="M82">
            <v>0</v>
          </cell>
        </row>
        <row r="83">
          <cell r="I83">
            <v>126605</v>
          </cell>
          <cell r="J83">
            <v>474768.75</v>
          </cell>
          <cell r="L83">
            <v>105082.15</v>
          </cell>
          <cell r="M83">
            <v>69632.75</v>
          </cell>
        </row>
        <row r="84">
          <cell r="K84">
            <v>6933.34</v>
          </cell>
        </row>
        <row r="85">
          <cell r="I85">
            <v>-305</v>
          </cell>
          <cell r="J85">
            <v>-2074</v>
          </cell>
          <cell r="L85">
            <v>-558.15</v>
          </cell>
          <cell r="M85">
            <v>0</v>
          </cell>
        </row>
        <row r="86">
          <cell r="I86">
            <v>1140760</v>
          </cell>
          <cell r="J86">
            <v>8327548</v>
          </cell>
          <cell r="L86">
            <v>2087590.8</v>
          </cell>
          <cell r="M86">
            <v>1722547.6</v>
          </cell>
        </row>
        <row r="87">
          <cell r="K87">
            <v>821166.54</v>
          </cell>
        </row>
        <row r="88">
          <cell r="I88">
            <v>0</v>
          </cell>
          <cell r="J88">
            <v>0</v>
          </cell>
          <cell r="L88">
            <v>0</v>
          </cell>
          <cell r="M88">
            <v>0</v>
          </cell>
        </row>
        <row r="89">
          <cell r="I89">
            <v>5302138</v>
          </cell>
          <cell r="J89">
            <v>38705607.399999999</v>
          </cell>
          <cell r="L89">
            <v>9702912.540000001</v>
          </cell>
          <cell r="M89">
            <v>7529035.96</v>
          </cell>
        </row>
        <row r="90">
          <cell r="K90">
            <v>4710902.1500000004</v>
          </cell>
        </row>
        <row r="91">
          <cell r="I91">
            <v>0</v>
          </cell>
          <cell r="J91">
            <v>0</v>
          </cell>
          <cell r="L91">
            <v>0</v>
          </cell>
          <cell r="M91">
            <v>0</v>
          </cell>
        </row>
        <row r="92">
          <cell r="I92">
            <v>0</v>
          </cell>
          <cell r="J92">
            <v>0</v>
          </cell>
          <cell r="L92">
            <v>0</v>
          </cell>
          <cell r="M92">
            <v>0</v>
          </cell>
        </row>
        <row r="93">
          <cell r="I93">
            <v>14587408</v>
          </cell>
          <cell r="J93">
            <v>100653115.2</v>
          </cell>
          <cell r="L93">
            <v>23193978.720000003</v>
          </cell>
          <cell r="M93">
            <v>16483771.039999999</v>
          </cell>
        </row>
        <row r="94">
          <cell r="K94">
            <v>9001957</v>
          </cell>
        </row>
        <row r="95">
          <cell r="I95">
            <v>0</v>
          </cell>
          <cell r="J95">
            <v>0</v>
          </cell>
          <cell r="L95">
            <v>0</v>
          </cell>
          <cell r="M95">
            <v>0</v>
          </cell>
        </row>
        <row r="96">
          <cell r="I96">
            <v>0</v>
          </cell>
          <cell r="J96">
            <v>0</v>
          </cell>
          <cell r="L96">
            <v>0</v>
          </cell>
          <cell r="M96">
            <v>0</v>
          </cell>
        </row>
        <row r="97">
          <cell r="I97">
            <v>28476893</v>
          </cell>
          <cell r="J97">
            <v>213576697.5</v>
          </cell>
          <cell r="L97">
            <v>48695487.030000001</v>
          </cell>
          <cell r="M97">
            <v>33887502.670000002</v>
          </cell>
        </row>
        <row r="98">
          <cell r="K98">
            <v>18248238.43</v>
          </cell>
        </row>
        <row r="99">
          <cell r="I99">
            <v>0</v>
          </cell>
          <cell r="J99">
            <v>0</v>
          </cell>
          <cell r="L99">
            <v>0</v>
          </cell>
          <cell r="M99">
            <v>0</v>
          </cell>
        </row>
        <row r="100">
          <cell r="I100">
            <v>0</v>
          </cell>
          <cell r="J100">
            <v>0</v>
          </cell>
          <cell r="L100">
            <v>0</v>
          </cell>
          <cell r="M100">
            <v>0</v>
          </cell>
        </row>
        <row r="101">
          <cell r="I101">
            <v>2531397</v>
          </cell>
          <cell r="J101">
            <v>13593601.890000001</v>
          </cell>
          <cell r="L101">
            <v>2303571.27</v>
          </cell>
          <cell r="M101">
            <v>1670722.02</v>
          </cell>
        </row>
        <row r="102">
          <cell r="K102">
            <v>1415250.26</v>
          </cell>
        </row>
        <row r="103">
          <cell r="I103">
            <v>0</v>
          </cell>
          <cell r="J103">
            <v>0</v>
          </cell>
          <cell r="L103">
            <v>0</v>
          </cell>
          <cell r="M103">
            <v>0</v>
          </cell>
        </row>
        <row r="104">
          <cell r="I104">
            <v>0</v>
          </cell>
          <cell r="J104">
            <v>0</v>
          </cell>
          <cell r="L104">
            <v>0</v>
          </cell>
          <cell r="M104">
            <v>0</v>
          </cell>
        </row>
        <row r="105">
          <cell r="I105">
            <v>826767</v>
          </cell>
          <cell r="J105">
            <v>8267670</v>
          </cell>
          <cell r="L105">
            <v>1926367.11</v>
          </cell>
          <cell r="M105">
            <v>1388968.56</v>
          </cell>
        </row>
        <row r="106">
          <cell r="K106">
            <v>1500</v>
          </cell>
        </row>
        <row r="107">
          <cell r="I107">
            <v>0</v>
          </cell>
          <cell r="J107">
            <v>0</v>
          </cell>
          <cell r="L107">
            <v>0</v>
          </cell>
          <cell r="M107">
            <v>0</v>
          </cell>
        </row>
        <row r="108">
          <cell r="I108">
            <v>6304595</v>
          </cell>
          <cell r="J108">
            <v>41610327</v>
          </cell>
          <cell r="L108">
            <v>9519938.4499999993</v>
          </cell>
          <cell r="M108">
            <v>7376376.1499999994</v>
          </cell>
        </row>
        <row r="109">
          <cell r="K109">
            <v>2800792</v>
          </cell>
        </row>
        <row r="110">
          <cell r="J110">
            <v>-3066292.82</v>
          </cell>
          <cell r="K110">
            <v>451367.26</v>
          </cell>
          <cell r="L110">
            <v>-914393.53040003777</v>
          </cell>
          <cell r="M110">
            <v>30165442.797600091</v>
          </cell>
        </row>
        <row r="111">
          <cell r="I111">
            <v>459607704.01999998</v>
          </cell>
          <cell r="J111">
            <v>2781437622.8049994</v>
          </cell>
          <cell r="K111">
            <v>323272831.59999996</v>
          </cell>
          <cell r="L111">
            <v>650642142.99000001</v>
          </cell>
          <cell r="M111">
            <v>539984203.22000003</v>
          </cell>
        </row>
        <row r="112">
          <cell r="N112">
            <v>11598207.24</v>
          </cell>
        </row>
        <row r="113">
          <cell r="N113">
            <v>0</v>
          </cell>
        </row>
        <row r="114">
          <cell r="N114">
            <v>-66738.23</v>
          </cell>
        </row>
        <row r="115">
          <cell r="N115">
            <v>12214342.460000001</v>
          </cell>
        </row>
        <row r="116">
          <cell r="N116">
            <v>10681422.640000001</v>
          </cell>
        </row>
        <row r="118">
          <cell r="N118">
            <v>-15943550.550000001</v>
          </cell>
        </row>
        <row r="119">
          <cell r="N119">
            <v>-65629668.719999999</v>
          </cell>
        </row>
        <row r="120">
          <cell r="N120">
            <v>-440630.15</v>
          </cell>
        </row>
        <row r="121">
          <cell r="N121">
            <v>0</v>
          </cell>
        </row>
        <row r="124">
          <cell r="N124">
            <v>23974298</v>
          </cell>
        </row>
        <row r="125">
          <cell r="N125">
            <v>17934730.039999999</v>
          </cell>
        </row>
        <row r="126">
          <cell r="N126">
            <v>24849105.640000001</v>
          </cell>
        </row>
        <row r="127">
          <cell r="N127">
            <v>-2269427.5</v>
          </cell>
        </row>
        <row r="128">
          <cell r="N128">
            <v>2342977</v>
          </cell>
        </row>
        <row r="129">
          <cell r="N129">
            <v>66831683.18</v>
          </cell>
        </row>
      </sheetData>
      <sheetData sheetId="11">
        <row r="5">
          <cell r="I5">
            <v>0</v>
          </cell>
          <cell r="J5">
            <v>0</v>
          </cell>
          <cell r="L5">
            <v>0</v>
          </cell>
          <cell r="M5">
            <v>0</v>
          </cell>
        </row>
        <row r="6">
          <cell r="I6">
            <v>0</v>
          </cell>
          <cell r="J6">
            <v>0</v>
          </cell>
          <cell r="L6">
            <v>0</v>
          </cell>
          <cell r="M6">
            <v>0</v>
          </cell>
        </row>
        <row r="7">
          <cell r="I7">
            <v>5421</v>
          </cell>
          <cell r="J7">
            <v>2981.55</v>
          </cell>
          <cell r="L7">
            <v>650.52</v>
          </cell>
          <cell r="M7">
            <v>487.89</v>
          </cell>
        </row>
        <row r="8">
          <cell r="K8">
            <v>449.1</v>
          </cell>
        </row>
        <row r="9">
          <cell r="I9">
            <v>-273</v>
          </cell>
          <cell r="J9">
            <v>-423.15000000000003</v>
          </cell>
          <cell r="L9">
            <v>0</v>
          </cell>
          <cell r="M9">
            <v>0</v>
          </cell>
        </row>
        <row r="10">
          <cell r="I10">
            <v>-292</v>
          </cell>
          <cell r="J10">
            <v>-963.59999999999991</v>
          </cell>
          <cell r="L10">
            <v>0</v>
          </cell>
          <cell r="M10">
            <v>0</v>
          </cell>
        </row>
        <row r="11">
          <cell r="I11">
            <v>-10</v>
          </cell>
          <cell r="J11">
            <v>-53</v>
          </cell>
          <cell r="L11">
            <v>0</v>
          </cell>
          <cell r="M11">
            <v>0</v>
          </cell>
        </row>
        <row r="12">
          <cell r="I12">
            <v>0</v>
          </cell>
          <cell r="J12">
            <v>0</v>
          </cell>
          <cell r="L12">
            <v>0</v>
          </cell>
          <cell r="M12">
            <v>0</v>
          </cell>
        </row>
        <row r="13">
          <cell r="I13">
            <v>-33467</v>
          </cell>
          <cell r="J13">
            <v>-68942.02</v>
          </cell>
          <cell r="L13">
            <v>-18406.850000000002</v>
          </cell>
          <cell r="M13">
            <v>0</v>
          </cell>
        </row>
        <row r="14">
          <cell r="I14">
            <v>-30519</v>
          </cell>
          <cell r="J14">
            <v>-116277.39</v>
          </cell>
          <cell r="L14">
            <v>-31434.57</v>
          </cell>
          <cell r="M14">
            <v>0</v>
          </cell>
        </row>
        <row r="15">
          <cell r="I15">
            <v>-8110</v>
          </cell>
          <cell r="J15">
            <v>-43469.600000000006</v>
          </cell>
          <cell r="L15">
            <v>-11678.4</v>
          </cell>
          <cell r="M15">
            <v>0</v>
          </cell>
        </row>
        <row r="16">
          <cell r="I16">
            <v>-16517</v>
          </cell>
          <cell r="J16">
            <v>-113306.62000000001</v>
          </cell>
          <cell r="L16">
            <v>-30556.45</v>
          </cell>
          <cell r="M16">
            <v>0</v>
          </cell>
        </row>
        <row r="17">
          <cell r="I17">
            <v>55674236</v>
          </cell>
          <cell r="J17">
            <v>136401878.20000002</v>
          </cell>
          <cell r="L17">
            <v>30620829.800000001</v>
          </cell>
          <cell r="M17">
            <v>21156209.68</v>
          </cell>
        </row>
        <row r="18">
          <cell r="I18">
            <v>37552256</v>
          </cell>
          <cell r="J18">
            <v>168985152</v>
          </cell>
          <cell r="L18">
            <v>38678823.68</v>
          </cell>
          <cell r="M18">
            <v>27413146.879999999</v>
          </cell>
        </row>
        <row r="19">
          <cell r="I19">
            <v>8963653</v>
          </cell>
          <cell r="J19">
            <v>56919196.549999997</v>
          </cell>
          <cell r="L19">
            <v>12907660.32</v>
          </cell>
          <cell r="M19">
            <v>9411835.6500000004</v>
          </cell>
        </row>
        <row r="20">
          <cell r="I20">
            <v>19136874</v>
          </cell>
          <cell r="J20">
            <v>153094992</v>
          </cell>
          <cell r="L20">
            <v>35403216.899999999</v>
          </cell>
          <cell r="M20">
            <v>25643411.16</v>
          </cell>
        </row>
        <row r="24">
          <cell r="K24">
            <v>59947820.710000001</v>
          </cell>
        </row>
        <row r="25">
          <cell r="I25">
            <v>0</v>
          </cell>
          <cell r="J25">
            <v>0</v>
          </cell>
          <cell r="L25">
            <v>0</v>
          </cell>
          <cell r="M25">
            <v>0</v>
          </cell>
        </row>
        <row r="26">
          <cell r="I26">
            <v>0</v>
          </cell>
          <cell r="J26">
            <v>0</v>
          </cell>
          <cell r="L26">
            <v>0</v>
          </cell>
          <cell r="M26">
            <v>0</v>
          </cell>
        </row>
        <row r="27">
          <cell r="I27">
            <v>0</v>
          </cell>
          <cell r="J27">
            <v>0</v>
          </cell>
          <cell r="L27">
            <v>0</v>
          </cell>
          <cell r="M27">
            <v>0</v>
          </cell>
        </row>
        <row r="28">
          <cell r="I28">
            <v>139</v>
          </cell>
          <cell r="J28">
            <v>1056.3999999999999</v>
          </cell>
          <cell r="L28">
            <v>0</v>
          </cell>
          <cell r="M28">
            <v>0</v>
          </cell>
        </row>
        <row r="29">
          <cell r="I29">
            <v>-14342</v>
          </cell>
          <cell r="J29">
            <v>-78881</v>
          </cell>
          <cell r="L29">
            <v>-21226.16</v>
          </cell>
          <cell r="M29">
            <v>0</v>
          </cell>
        </row>
        <row r="30">
          <cell r="I30">
            <v>-77713</v>
          </cell>
          <cell r="J30">
            <v>-634138.07999999996</v>
          </cell>
          <cell r="L30">
            <v>-170968.6</v>
          </cell>
          <cell r="M30">
            <v>0</v>
          </cell>
        </row>
        <row r="31">
          <cell r="I31">
            <v>40464155</v>
          </cell>
          <cell r="J31">
            <v>265040215.25</v>
          </cell>
          <cell r="L31">
            <v>59886949.399999999</v>
          </cell>
          <cell r="M31">
            <v>44510570.5</v>
          </cell>
        </row>
        <row r="32">
          <cell r="I32">
            <v>23608112</v>
          </cell>
          <cell r="J32">
            <v>213653413.60000002</v>
          </cell>
          <cell r="L32">
            <v>51937846.400000006</v>
          </cell>
          <cell r="M32">
            <v>59020280</v>
          </cell>
        </row>
        <row r="34">
          <cell r="K34">
            <v>63423037.399999999</v>
          </cell>
        </row>
        <row r="35">
          <cell r="I35">
            <v>0</v>
          </cell>
          <cell r="J35">
            <v>0</v>
          </cell>
          <cell r="L35">
            <v>0</v>
          </cell>
          <cell r="M35">
            <v>0</v>
          </cell>
        </row>
        <row r="36">
          <cell r="I36">
            <v>0</v>
          </cell>
          <cell r="J36">
            <v>0</v>
          </cell>
          <cell r="L36">
            <v>0</v>
          </cell>
          <cell r="M36">
            <v>0</v>
          </cell>
        </row>
        <row r="37">
          <cell r="I37">
            <v>17353932</v>
          </cell>
          <cell r="J37">
            <v>146640725.39999998</v>
          </cell>
          <cell r="L37">
            <v>37310953.799999997</v>
          </cell>
          <cell r="M37">
            <v>27419212.560000002</v>
          </cell>
        </row>
        <row r="38">
          <cell r="K38">
            <v>19608561.84</v>
          </cell>
        </row>
        <row r="39">
          <cell r="I39">
            <v>0</v>
          </cell>
          <cell r="J39">
            <v>0</v>
          </cell>
          <cell r="L39">
            <v>0</v>
          </cell>
          <cell r="M39">
            <v>0</v>
          </cell>
        </row>
        <row r="40">
          <cell r="I40">
            <v>0</v>
          </cell>
          <cell r="J40">
            <v>0</v>
          </cell>
          <cell r="L40">
            <v>0</v>
          </cell>
          <cell r="M40">
            <v>0</v>
          </cell>
        </row>
        <row r="41">
          <cell r="I41">
            <v>34688756</v>
          </cell>
          <cell r="J41">
            <v>306995490.59999996</v>
          </cell>
          <cell r="L41">
            <v>75621488.079999998</v>
          </cell>
          <cell r="M41">
            <v>55848897.160000004</v>
          </cell>
        </row>
        <row r="42">
          <cell r="K42">
            <v>32605146.800000001</v>
          </cell>
        </row>
        <row r="43">
          <cell r="I43">
            <v>0</v>
          </cell>
          <cell r="J43">
            <v>0</v>
          </cell>
          <cell r="L43">
            <v>0</v>
          </cell>
          <cell r="M43">
            <v>0</v>
          </cell>
        </row>
        <row r="44">
          <cell r="I44">
            <v>0</v>
          </cell>
          <cell r="J44">
            <v>0</v>
          </cell>
          <cell r="L44">
            <v>0</v>
          </cell>
          <cell r="M44">
            <v>0</v>
          </cell>
        </row>
        <row r="45">
          <cell r="I45">
            <v>0</v>
          </cell>
          <cell r="J45">
            <v>0</v>
          </cell>
          <cell r="L45">
            <v>0</v>
          </cell>
          <cell r="M45">
            <v>0</v>
          </cell>
        </row>
        <row r="46">
          <cell r="I46">
            <v>0</v>
          </cell>
          <cell r="J46">
            <v>0</v>
          </cell>
          <cell r="L46">
            <v>0</v>
          </cell>
          <cell r="M46">
            <v>0</v>
          </cell>
        </row>
        <row r="47">
          <cell r="I47">
            <v>317</v>
          </cell>
          <cell r="J47">
            <v>1651.57</v>
          </cell>
          <cell r="L47">
            <v>443.79999999999995</v>
          </cell>
          <cell r="M47">
            <v>0</v>
          </cell>
        </row>
        <row r="48">
          <cell r="I48">
            <v>0</v>
          </cell>
          <cell r="J48">
            <v>0</v>
          </cell>
          <cell r="L48">
            <v>0</v>
          </cell>
          <cell r="M48">
            <v>0</v>
          </cell>
        </row>
        <row r="49">
          <cell r="I49">
            <v>1697377</v>
          </cell>
          <cell r="J49">
            <v>9675048.9000000004</v>
          </cell>
          <cell r="L49">
            <v>2376327.7999999998</v>
          </cell>
          <cell r="M49">
            <v>1765272.08</v>
          </cell>
        </row>
        <row r="50">
          <cell r="I50">
            <v>1854273</v>
          </cell>
          <cell r="J50">
            <v>14277902.1</v>
          </cell>
          <cell r="L50">
            <v>3634375.08</v>
          </cell>
          <cell r="M50">
            <v>4005229.68</v>
          </cell>
        </row>
        <row r="52">
          <cell r="K52">
            <v>2791625.72</v>
          </cell>
        </row>
        <row r="53">
          <cell r="I53">
            <v>0</v>
          </cell>
          <cell r="J53">
            <v>0</v>
          </cell>
          <cell r="L53">
            <v>0</v>
          </cell>
          <cell r="M53">
            <v>0</v>
          </cell>
        </row>
        <row r="54">
          <cell r="I54">
            <v>0</v>
          </cell>
          <cell r="J54">
            <v>0</v>
          </cell>
          <cell r="L54">
            <v>0</v>
          </cell>
          <cell r="M54">
            <v>0</v>
          </cell>
        </row>
        <row r="55">
          <cell r="I55">
            <v>4213475</v>
          </cell>
          <cell r="J55">
            <v>30547693.75</v>
          </cell>
          <cell r="L55">
            <v>7373581.25</v>
          </cell>
          <cell r="M55">
            <v>5393248</v>
          </cell>
        </row>
        <row r="56">
          <cell r="K56">
            <v>4889142.2</v>
          </cell>
        </row>
        <row r="57">
          <cell r="I57">
            <v>0</v>
          </cell>
          <cell r="J57">
            <v>0</v>
          </cell>
          <cell r="L57">
            <v>0</v>
          </cell>
          <cell r="M57">
            <v>0</v>
          </cell>
        </row>
        <row r="58">
          <cell r="I58">
            <v>0</v>
          </cell>
          <cell r="J58">
            <v>0</v>
          </cell>
          <cell r="L58">
            <v>0</v>
          </cell>
          <cell r="M58">
            <v>0</v>
          </cell>
        </row>
        <row r="59">
          <cell r="I59">
            <v>3959631</v>
          </cell>
          <cell r="J59">
            <v>29301269.400000002</v>
          </cell>
          <cell r="L59">
            <v>6810565.3200000003</v>
          </cell>
          <cell r="M59">
            <v>4909942.4400000004</v>
          </cell>
        </row>
        <row r="60">
          <cell r="K60">
            <v>2663125.7400000002</v>
          </cell>
        </row>
        <row r="61">
          <cell r="I61">
            <v>0</v>
          </cell>
          <cell r="J61">
            <v>0</v>
          </cell>
          <cell r="L61">
            <v>0</v>
          </cell>
          <cell r="M61">
            <v>0</v>
          </cell>
        </row>
        <row r="62">
          <cell r="I62">
            <v>-35</v>
          </cell>
          <cell r="J62">
            <v>-411.25</v>
          </cell>
          <cell r="L62">
            <v>-110.60000000000001</v>
          </cell>
          <cell r="M62">
            <v>0</v>
          </cell>
        </row>
        <row r="63">
          <cell r="I63">
            <v>166747</v>
          </cell>
          <cell r="J63">
            <v>2251084.5</v>
          </cell>
          <cell r="L63">
            <v>526920.52</v>
          </cell>
          <cell r="M63">
            <v>381850.63</v>
          </cell>
        </row>
        <row r="64">
          <cell r="K64">
            <v>330746.65999999997</v>
          </cell>
        </row>
        <row r="65">
          <cell r="I65">
            <v>0</v>
          </cell>
          <cell r="J65">
            <v>0</v>
          </cell>
          <cell r="L65">
            <v>0</v>
          </cell>
          <cell r="M65">
            <v>0</v>
          </cell>
        </row>
        <row r="66">
          <cell r="I66">
            <v>0</v>
          </cell>
          <cell r="J66">
            <v>0</v>
          </cell>
          <cell r="L66">
            <v>0</v>
          </cell>
          <cell r="M66">
            <v>0</v>
          </cell>
        </row>
        <row r="67">
          <cell r="I67">
            <v>2536170.34</v>
          </cell>
          <cell r="J67">
            <v>17119149.794999998</v>
          </cell>
          <cell r="L67">
            <v>3854978.9167999998</v>
          </cell>
          <cell r="M67">
            <v>2840510.7808000003</v>
          </cell>
        </row>
        <row r="68">
          <cell r="K68">
            <v>1885956.8</v>
          </cell>
        </row>
        <row r="69">
          <cell r="I69">
            <v>0</v>
          </cell>
          <cell r="J69">
            <v>0</v>
          </cell>
          <cell r="L69">
            <v>0</v>
          </cell>
          <cell r="M69">
            <v>0</v>
          </cell>
        </row>
        <row r="70">
          <cell r="I70">
            <v>3542</v>
          </cell>
          <cell r="J70">
            <v>20047.72</v>
          </cell>
          <cell r="L70">
            <v>5383.84</v>
          </cell>
          <cell r="M70">
            <v>0</v>
          </cell>
        </row>
        <row r="71">
          <cell r="I71">
            <v>287097</v>
          </cell>
          <cell r="J71">
            <v>1937904.75</v>
          </cell>
          <cell r="L71">
            <v>436387.44</v>
          </cell>
          <cell r="M71">
            <v>321548.64</v>
          </cell>
        </row>
        <row r="72">
          <cell r="K72">
            <v>214123.64</v>
          </cell>
        </row>
        <row r="73">
          <cell r="I73">
            <v>0</v>
          </cell>
          <cell r="J73">
            <v>0</v>
          </cell>
          <cell r="L73">
            <v>0</v>
          </cell>
          <cell r="M73">
            <v>0</v>
          </cell>
        </row>
        <row r="74">
          <cell r="I74">
            <v>2441</v>
          </cell>
          <cell r="J74">
            <v>7884.43</v>
          </cell>
          <cell r="L74">
            <v>2123.67</v>
          </cell>
          <cell r="M74">
            <v>0</v>
          </cell>
        </row>
        <row r="75">
          <cell r="I75">
            <v>33908</v>
          </cell>
          <cell r="J75">
            <v>118678</v>
          </cell>
          <cell r="L75">
            <v>29499.96</v>
          </cell>
          <cell r="M75">
            <v>24413.759999999998</v>
          </cell>
        </row>
        <row r="76">
          <cell r="K76">
            <v>25693.38</v>
          </cell>
        </row>
        <row r="77">
          <cell r="I77">
            <v>0</v>
          </cell>
          <cell r="J77">
            <v>0</v>
          </cell>
          <cell r="L77">
            <v>0</v>
          </cell>
          <cell r="M77">
            <v>0</v>
          </cell>
        </row>
        <row r="78">
          <cell r="I78">
            <v>145</v>
          </cell>
          <cell r="J78">
            <v>1361.5500000000002</v>
          </cell>
          <cell r="L78">
            <v>366.84999999999997</v>
          </cell>
          <cell r="M78">
            <v>0</v>
          </cell>
        </row>
        <row r="79">
          <cell r="I79">
            <v>3130859</v>
          </cell>
          <cell r="J79">
            <v>32874019.5</v>
          </cell>
          <cell r="L79">
            <v>7921073.2699999996</v>
          </cell>
          <cell r="M79">
            <v>5917323.5099999998</v>
          </cell>
        </row>
        <row r="80">
          <cell r="K80">
            <v>1655919.96</v>
          </cell>
        </row>
        <row r="81">
          <cell r="I81">
            <v>0</v>
          </cell>
          <cell r="J81">
            <v>0</v>
          </cell>
          <cell r="L81">
            <v>0</v>
          </cell>
          <cell r="M81">
            <v>0</v>
          </cell>
        </row>
        <row r="82">
          <cell r="I82">
            <v>0</v>
          </cell>
          <cell r="J82">
            <v>0</v>
          </cell>
          <cell r="L82">
            <v>0</v>
          </cell>
          <cell r="M82">
            <v>0</v>
          </cell>
        </row>
        <row r="83">
          <cell r="I83">
            <v>126712</v>
          </cell>
          <cell r="J83">
            <v>475170</v>
          </cell>
          <cell r="L83">
            <v>105170.95999999999</v>
          </cell>
          <cell r="M83">
            <v>69691.600000000006</v>
          </cell>
        </row>
        <row r="84">
          <cell r="K84">
            <v>5400</v>
          </cell>
        </row>
        <row r="85">
          <cell r="I85">
            <v>0</v>
          </cell>
          <cell r="J85">
            <v>0</v>
          </cell>
          <cell r="L85">
            <v>0</v>
          </cell>
          <cell r="M85">
            <v>0</v>
          </cell>
        </row>
        <row r="86">
          <cell r="I86">
            <v>763870</v>
          </cell>
          <cell r="J86">
            <v>5576251</v>
          </cell>
          <cell r="L86">
            <v>1397882.1</v>
          </cell>
          <cell r="M86">
            <v>1153443.7</v>
          </cell>
        </row>
        <row r="87">
          <cell r="K87">
            <v>497674.96</v>
          </cell>
        </row>
        <row r="88">
          <cell r="I88">
            <v>0</v>
          </cell>
          <cell r="J88">
            <v>0</v>
          </cell>
          <cell r="L88">
            <v>0</v>
          </cell>
          <cell r="M88">
            <v>0</v>
          </cell>
        </row>
        <row r="89">
          <cell r="I89">
            <v>5038741</v>
          </cell>
          <cell r="J89">
            <v>36782809.299999997</v>
          </cell>
          <cell r="L89">
            <v>9220896.0300000012</v>
          </cell>
          <cell r="M89">
            <v>7155012.2199999997</v>
          </cell>
        </row>
        <row r="90">
          <cell r="K90">
            <v>4588265.26</v>
          </cell>
        </row>
        <row r="91">
          <cell r="I91">
            <v>0</v>
          </cell>
          <cell r="J91">
            <v>0</v>
          </cell>
          <cell r="L91">
            <v>0</v>
          </cell>
          <cell r="M91">
            <v>0</v>
          </cell>
        </row>
        <row r="92">
          <cell r="I92">
            <v>0</v>
          </cell>
          <cell r="J92">
            <v>0</v>
          </cell>
          <cell r="L92">
            <v>0</v>
          </cell>
          <cell r="M92">
            <v>0</v>
          </cell>
        </row>
        <row r="93">
          <cell r="I93">
            <v>18988271</v>
          </cell>
          <cell r="J93">
            <v>131019069.90000001</v>
          </cell>
          <cell r="L93">
            <v>30191350.890000001</v>
          </cell>
          <cell r="M93">
            <v>21456746.229999997</v>
          </cell>
        </row>
        <row r="94">
          <cell r="K94">
            <v>11037248</v>
          </cell>
        </row>
        <row r="95">
          <cell r="I95">
            <v>0</v>
          </cell>
          <cell r="J95">
            <v>0</v>
          </cell>
          <cell r="L95">
            <v>0</v>
          </cell>
          <cell r="M95">
            <v>0</v>
          </cell>
        </row>
        <row r="96">
          <cell r="I96">
            <v>0</v>
          </cell>
          <cell r="J96">
            <v>0</v>
          </cell>
          <cell r="L96">
            <v>0</v>
          </cell>
          <cell r="M96">
            <v>0</v>
          </cell>
        </row>
        <row r="97">
          <cell r="I97">
            <v>31748714</v>
          </cell>
          <cell r="J97">
            <v>238115355</v>
          </cell>
          <cell r="L97">
            <v>54290300.939999998</v>
          </cell>
          <cell r="M97">
            <v>37780969.659999996</v>
          </cell>
        </row>
        <row r="98">
          <cell r="K98">
            <v>19004867.100000001</v>
          </cell>
        </row>
        <row r="99">
          <cell r="I99">
            <v>0</v>
          </cell>
          <cell r="J99">
            <v>0</v>
          </cell>
          <cell r="L99">
            <v>0</v>
          </cell>
          <cell r="M99">
            <v>0</v>
          </cell>
        </row>
        <row r="100">
          <cell r="I100">
            <v>0</v>
          </cell>
          <cell r="J100">
            <v>0</v>
          </cell>
          <cell r="L100">
            <v>0</v>
          </cell>
          <cell r="M100">
            <v>0</v>
          </cell>
        </row>
        <row r="101">
          <cell r="I101">
            <v>2429324</v>
          </cell>
          <cell r="J101">
            <v>13045469.880000001</v>
          </cell>
          <cell r="L101">
            <v>2210684.84</v>
          </cell>
          <cell r="M101">
            <v>1603353.84</v>
          </cell>
        </row>
        <row r="102">
          <cell r="K102">
            <v>1387917.9</v>
          </cell>
        </row>
        <row r="103">
          <cell r="I103">
            <v>0</v>
          </cell>
          <cell r="J103">
            <v>0</v>
          </cell>
          <cell r="L103">
            <v>0</v>
          </cell>
          <cell r="M103">
            <v>0</v>
          </cell>
        </row>
        <row r="104">
          <cell r="I104">
            <v>0</v>
          </cell>
          <cell r="J104">
            <v>0</v>
          </cell>
          <cell r="L104">
            <v>0</v>
          </cell>
          <cell r="M104">
            <v>0</v>
          </cell>
        </row>
        <row r="105">
          <cell r="I105">
            <v>846807</v>
          </cell>
          <cell r="J105">
            <v>8468070</v>
          </cell>
          <cell r="L105">
            <v>1973060.31</v>
          </cell>
          <cell r="M105">
            <v>1422635.76</v>
          </cell>
        </row>
        <row r="106">
          <cell r="K106">
            <v>1500</v>
          </cell>
        </row>
        <row r="107">
          <cell r="I107">
            <v>0</v>
          </cell>
          <cell r="J107">
            <v>0</v>
          </cell>
          <cell r="L107">
            <v>0</v>
          </cell>
          <cell r="M107">
            <v>0</v>
          </cell>
        </row>
        <row r="108">
          <cell r="I108">
            <v>6030881</v>
          </cell>
          <cell r="J108">
            <v>39803814.600000001</v>
          </cell>
          <cell r="L108">
            <v>9106630.3100000005</v>
          </cell>
          <cell r="M108">
            <v>7056130.7699999996</v>
          </cell>
        </row>
        <row r="109">
          <cell r="K109">
            <v>2642139</v>
          </cell>
        </row>
        <row r="110">
          <cell r="J110">
            <v>-20056643.23</v>
          </cell>
          <cell r="K110">
            <v>-636083.23</v>
          </cell>
          <cell r="L110">
            <v>-5299798.3167999983</v>
          </cell>
          <cell r="M110">
            <v>-1991223.2008000016</v>
          </cell>
        </row>
        <row r="111">
          <cell r="I111">
            <v>321125558.34000003</v>
          </cell>
          <cell r="J111">
            <v>2038041298.2550001</v>
          </cell>
          <cell r="K111">
            <v>228570278.94000003</v>
          </cell>
          <cell r="L111">
            <v>478252243.05000001</v>
          </cell>
          <cell r="M111">
            <v>371690151.57999998</v>
          </cell>
        </row>
        <row r="112">
          <cell r="N112">
            <v>11970787.52</v>
          </cell>
        </row>
        <row r="113">
          <cell r="N113">
            <v>0</v>
          </cell>
        </row>
        <row r="114">
          <cell r="N114">
            <v>-363816.96000000002</v>
          </cell>
        </row>
        <row r="115">
          <cell r="N115">
            <v>12575781.01</v>
          </cell>
        </row>
        <row r="116">
          <cell r="N116">
            <v>4191912.27</v>
          </cell>
        </row>
        <row r="118">
          <cell r="N118">
            <v>-17485386.66</v>
          </cell>
        </row>
        <row r="119">
          <cell r="N119">
            <v>-70870153.810000002</v>
          </cell>
        </row>
        <row r="120">
          <cell r="N120">
            <v>-486176.9</v>
          </cell>
        </row>
        <row r="121">
          <cell r="N121">
            <v>-547603.52</v>
          </cell>
        </row>
        <row r="124">
          <cell r="N124">
            <v>23976280</v>
          </cell>
        </row>
        <row r="125">
          <cell r="N125">
            <v>19866262.690000001</v>
          </cell>
        </row>
        <row r="126">
          <cell r="N126">
            <v>16005216.77</v>
          </cell>
        </row>
        <row r="127">
          <cell r="N127">
            <v>-2244807.12</v>
          </cell>
        </row>
        <row r="128">
          <cell r="N128">
            <v>1100365</v>
          </cell>
        </row>
        <row r="129">
          <cell r="N129">
            <v>58703317.339999996</v>
          </cell>
        </row>
      </sheetData>
      <sheetData sheetId="12">
        <row r="5">
          <cell r="I5">
            <v>0</v>
          </cell>
          <cell r="J5">
            <v>0</v>
          </cell>
          <cell r="L5">
            <v>0</v>
          </cell>
          <cell r="M5">
            <v>0</v>
          </cell>
        </row>
        <row r="6">
          <cell r="I6">
            <v>0</v>
          </cell>
          <cell r="J6">
            <v>0</v>
          </cell>
          <cell r="L6">
            <v>0</v>
          </cell>
          <cell r="M6">
            <v>0</v>
          </cell>
        </row>
        <row r="7">
          <cell r="I7">
            <v>4407</v>
          </cell>
          <cell r="J7">
            <v>2423.8500000000004</v>
          </cell>
          <cell r="L7">
            <v>528.84</v>
          </cell>
          <cell r="M7">
            <v>396.63</v>
          </cell>
        </row>
        <row r="8">
          <cell r="K8">
            <v>513</v>
          </cell>
        </row>
        <row r="9">
          <cell r="I9">
            <v>0</v>
          </cell>
          <cell r="J9">
            <v>0</v>
          </cell>
          <cell r="L9">
            <v>0</v>
          </cell>
          <cell r="M9">
            <v>0</v>
          </cell>
        </row>
        <row r="10">
          <cell r="I10">
            <v>0</v>
          </cell>
          <cell r="J10">
            <v>0</v>
          </cell>
          <cell r="L10">
            <v>0</v>
          </cell>
          <cell r="M10">
            <v>0</v>
          </cell>
        </row>
        <row r="11">
          <cell r="I11">
            <v>0</v>
          </cell>
          <cell r="J11">
            <v>0</v>
          </cell>
          <cell r="L11">
            <v>0</v>
          </cell>
          <cell r="M11">
            <v>0</v>
          </cell>
        </row>
        <row r="12">
          <cell r="I12">
            <v>0</v>
          </cell>
          <cell r="J12">
            <v>0</v>
          </cell>
          <cell r="L12">
            <v>0</v>
          </cell>
          <cell r="M12">
            <v>0</v>
          </cell>
        </row>
        <row r="13">
          <cell r="I13">
            <v>-18132</v>
          </cell>
          <cell r="J13">
            <v>-37351.919999999998</v>
          </cell>
          <cell r="L13">
            <v>-9972.6</v>
          </cell>
          <cell r="M13">
            <v>0</v>
          </cell>
        </row>
        <row r="14">
          <cell r="I14">
            <v>-13651</v>
          </cell>
          <cell r="J14">
            <v>-52010.31</v>
          </cell>
          <cell r="L14">
            <v>-14060.53</v>
          </cell>
          <cell r="M14">
            <v>0</v>
          </cell>
        </row>
        <row r="15">
          <cell r="I15">
            <v>-3696</v>
          </cell>
          <cell r="J15">
            <v>-19810.560000000001</v>
          </cell>
          <cell r="L15">
            <v>-5322.24</v>
          </cell>
          <cell r="M15">
            <v>0</v>
          </cell>
        </row>
        <row r="16">
          <cell r="I16">
            <v>-2717</v>
          </cell>
          <cell r="J16">
            <v>-18638.620000000003</v>
          </cell>
          <cell r="L16">
            <v>-5026.45</v>
          </cell>
          <cell r="M16">
            <v>0</v>
          </cell>
        </row>
        <row r="17">
          <cell r="I17">
            <v>56587194</v>
          </cell>
          <cell r="J17">
            <v>138638625.30000001</v>
          </cell>
          <cell r="L17">
            <v>31122956.700000003</v>
          </cell>
          <cell r="M17">
            <v>21503133.719999999</v>
          </cell>
        </row>
        <row r="18">
          <cell r="I18">
            <v>40184774</v>
          </cell>
          <cell r="J18">
            <v>180831483</v>
          </cell>
          <cell r="L18">
            <v>41390317.219999999</v>
          </cell>
          <cell r="M18">
            <v>29334885.02</v>
          </cell>
        </row>
        <row r="19">
          <cell r="I19">
            <v>9920083</v>
          </cell>
          <cell r="J19">
            <v>62992527.049999997</v>
          </cell>
          <cell r="L19">
            <v>14284919.52</v>
          </cell>
          <cell r="M19">
            <v>10416087.15</v>
          </cell>
        </row>
        <row r="20">
          <cell r="I20">
            <v>19038319</v>
          </cell>
          <cell r="J20">
            <v>152306552</v>
          </cell>
          <cell r="L20">
            <v>35220890.149999999</v>
          </cell>
          <cell r="M20">
            <v>25511347.460000001</v>
          </cell>
        </row>
        <row r="24">
          <cell r="K24">
            <v>60677154.399999999</v>
          </cell>
        </row>
        <row r="25">
          <cell r="I25">
            <v>0</v>
          </cell>
          <cell r="J25">
            <v>0</v>
          </cell>
          <cell r="L25">
            <v>0</v>
          </cell>
          <cell r="M25">
            <v>0</v>
          </cell>
        </row>
        <row r="26">
          <cell r="I26">
            <v>0</v>
          </cell>
          <cell r="J26">
            <v>0</v>
          </cell>
          <cell r="L26">
            <v>0</v>
          </cell>
          <cell r="M26">
            <v>0</v>
          </cell>
        </row>
        <row r="27">
          <cell r="I27">
            <v>0</v>
          </cell>
          <cell r="J27">
            <v>0</v>
          </cell>
          <cell r="L27">
            <v>0</v>
          </cell>
          <cell r="M27">
            <v>0</v>
          </cell>
        </row>
        <row r="28">
          <cell r="I28">
            <v>0</v>
          </cell>
          <cell r="J28">
            <v>0</v>
          </cell>
          <cell r="L28">
            <v>0</v>
          </cell>
          <cell r="M28">
            <v>0</v>
          </cell>
        </row>
        <row r="29">
          <cell r="I29">
            <v>-32905</v>
          </cell>
          <cell r="J29">
            <v>-180977.5</v>
          </cell>
          <cell r="L29">
            <v>-48699.4</v>
          </cell>
          <cell r="M29">
            <v>0</v>
          </cell>
        </row>
        <row r="30">
          <cell r="I30">
            <v>-29062</v>
          </cell>
          <cell r="J30">
            <v>-237145.92</v>
          </cell>
          <cell r="L30">
            <v>-63936.400000000009</v>
          </cell>
          <cell r="M30">
            <v>0</v>
          </cell>
        </row>
        <row r="31">
          <cell r="I31">
            <v>41131195</v>
          </cell>
          <cell r="J31">
            <v>269409327.25</v>
          </cell>
          <cell r="L31">
            <v>60874168.600000001</v>
          </cell>
          <cell r="M31">
            <v>45244314.5</v>
          </cell>
        </row>
        <row r="32">
          <cell r="I32">
            <v>24027464</v>
          </cell>
          <cell r="J32">
            <v>217448549.20000002</v>
          </cell>
          <cell r="L32">
            <v>52860420.800000004</v>
          </cell>
          <cell r="M32">
            <v>60068660</v>
          </cell>
        </row>
        <row r="34">
          <cell r="K34">
            <v>63380505.850000001</v>
          </cell>
        </row>
        <row r="35">
          <cell r="I35">
            <v>0</v>
          </cell>
          <cell r="J35">
            <v>0</v>
          </cell>
          <cell r="L35">
            <v>0</v>
          </cell>
          <cell r="M35">
            <v>0</v>
          </cell>
        </row>
        <row r="36">
          <cell r="I36">
            <v>0</v>
          </cell>
          <cell r="J36">
            <v>0</v>
          </cell>
          <cell r="L36">
            <v>0</v>
          </cell>
          <cell r="M36">
            <v>0</v>
          </cell>
        </row>
        <row r="37">
          <cell r="I37">
            <v>16125373</v>
          </cell>
          <cell r="J37">
            <v>136259401.84999999</v>
          </cell>
          <cell r="L37">
            <v>34669551.949999996</v>
          </cell>
          <cell r="M37">
            <v>25478089.34</v>
          </cell>
        </row>
        <row r="38">
          <cell r="K38">
            <v>19631925.629999999</v>
          </cell>
        </row>
        <row r="39">
          <cell r="I39">
            <v>0</v>
          </cell>
          <cell r="J39">
            <v>0</v>
          </cell>
          <cell r="L39">
            <v>0</v>
          </cell>
          <cell r="M39">
            <v>0</v>
          </cell>
        </row>
        <row r="40">
          <cell r="I40">
            <v>0</v>
          </cell>
          <cell r="J40">
            <v>0</v>
          </cell>
          <cell r="L40">
            <v>0</v>
          </cell>
          <cell r="M40">
            <v>0</v>
          </cell>
        </row>
        <row r="41">
          <cell r="I41">
            <v>32091129</v>
          </cell>
          <cell r="J41">
            <v>284006491.64999998</v>
          </cell>
          <cell r="L41">
            <v>69958661.219999999</v>
          </cell>
          <cell r="M41">
            <v>51666717.690000005</v>
          </cell>
        </row>
        <row r="42">
          <cell r="K42">
            <v>33050151.98</v>
          </cell>
        </row>
        <row r="43">
          <cell r="I43">
            <v>0</v>
          </cell>
          <cell r="J43">
            <v>0</v>
          </cell>
          <cell r="L43">
            <v>0</v>
          </cell>
          <cell r="M43">
            <v>0</v>
          </cell>
        </row>
        <row r="44">
          <cell r="I44">
            <v>0</v>
          </cell>
          <cell r="J44">
            <v>0</v>
          </cell>
          <cell r="L44">
            <v>0</v>
          </cell>
          <cell r="M44">
            <v>0</v>
          </cell>
        </row>
        <row r="45">
          <cell r="I45">
            <v>0</v>
          </cell>
          <cell r="J45">
            <v>0</v>
          </cell>
          <cell r="L45">
            <v>0</v>
          </cell>
          <cell r="M45">
            <v>0</v>
          </cell>
        </row>
        <row r="46">
          <cell r="I46">
            <v>0</v>
          </cell>
          <cell r="J46">
            <v>0</v>
          </cell>
          <cell r="L46">
            <v>0</v>
          </cell>
          <cell r="M46">
            <v>0</v>
          </cell>
        </row>
        <row r="47">
          <cell r="I47">
            <v>0</v>
          </cell>
          <cell r="J47">
            <v>0</v>
          </cell>
          <cell r="L47">
            <v>0</v>
          </cell>
          <cell r="M47">
            <v>0</v>
          </cell>
        </row>
        <row r="48">
          <cell r="I48">
            <v>0</v>
          </cell>
          <cell r="J48">
            <v>0</v>
          </cell>
          <cell r="L48">
            <v>0</v>
          </cell>
          <cell r="M48">
            <v>0</v>
          </cell>
        </row>
        <row r="49">
          <cell r="I49">
            <v>1696882</v>
          </cell>
          <cell r="J49">
            <v>9672227.4000000004</v>
          </cell>
          <cell r="L49">
            <v>2375634.7999999998</v>
          </cell>
          <cell r="M49">
            <v>1764757.28</v>
          </cell>
        </row>
        <row r="50">
          <cell r="I50">
            <v>1754265</v>
          </cell>
          <cell r="J50">
            <v>13507840.5</v>
          </cell>
          <cell r="L50">
            <v>3438359.4</v>
          </cell>
          <cell r="M50">
            <v>3789212.4000000004</v>
          </cell>
        </row>
        <row r="52">
          <cell r="K52">
            <v>2771604.1</v>
          </cell>
        </row>
        <row r="53">
          <cell r="I53">
            <v>0</v>
          </cell>
          <cell r="J53">
            <v>0</v>
          </cell>
          <cell r="L53">
            <v>0</v>
          </cell>
          <cell r="M53">
            <v>0</v>
          </cell>
        </row>
        <row r="54">
          <cell r="I54">
            <v>0</v>
          </cell>
          <cell r="J54">
            <v>0</v>
          </cell>
          <cell r="L54">
            <v>0</v>
          </cell>
          <cell r="M54">
            <v>0</v>
          </cell>
        </row>
        <row r="55">
          <cell r="I55">
            <v>3802769</v>
          </cell>
          <cell r="J55">
            <v>27570075.25</v>
          </cell>
          <cell r="L55">
            <v>6654845.75</v>
          </cell>
          <cell r="M55">
            <v>4867544.32</v>
          </cell>
        </row>
        <row r="56">
          <cell r="K56">
            <v>4914605.25</v>
          </cell>
        </row>
        <row r="57">
          <cell r="I57">
            <v>0</v>
          </cell>
          <cell r="J57">
            <v>0</v>
          </cell>
          <cell r="L57">
            <v>0</v>
          </cell>
          <cell r="M57">
            <v>0</v>
          </cell>
        </row>
        <row r="58">
          <cell r="I58">
            <v>0</v>
          </cell>
          <cell r="J58">
            <v>0</v>
          </cell>
          <cell r="L58">
            <v>0</v>
          </cell>
          <cell r="M58">
            <v>0</v>
          </cell>
        </row>
        <row r="59">
          <cell r="I59">
            <v>3559959</v>
          </cell>
          <cell r="J59">
            <v>26343696.600000001</v>
          </cell>
          <cell r="L59">
            <v>6123129.4799999995</v>
          </cell>
          <cell r="M59">
            <v>4414349.16</v>
          </cell>
        </row>
        <row r="60">
          <cell r="K60">
            <v>2627031.48</v>
          </cell>
        </row>
        <row r="61">
          <cell r="I61">
            <v>0</v>
          </cell>
          <cell r="J61">
            <v>0</v>
          </cell>
          <cell r="L61">
            <v>0</v>
          </cell>
          <cell r="M61">
            <v>0</v>
          </cell>
        </row>
        <row r="62">
          <cell r="I62">
            <v>-11556</v>
          </cell>
          <cell r="J62">
            <v>-135783</v>
          </cell>
          <cell r="L62">
            <v>-36516.959999999999</v>
          </cell>
          <cell r="M62">
            <v>0</v>
          </cell>
        </row>
        <row r="63">
          <cell r="I63">
            <v>135338</v>
          </cell>
          <cell r="J63">
            <v>1827063</v>
          </cell>
          <cell r="L63">
            <v>427668.08</v>
          </cell>
          <cell r="M63">
            <v>309924.02</v>
          </cell>
        </row>
        <row r="64">
          <cell r="K64">
            <v>329599.99</v>
          </cell>
        </row>
        <row r="65">
          <cell r="I65">
            <v>0</v>
          </cell>
          <cell r="J65">
            <v>0</v>
          </cell>
          <cell r="L65">
            <v>0</v>
          </cell>
          <cell r="M65">
            <v>0</v>
          </cell>
        </row>
        <row r="66">
          <cell r="I66">
            <v>0</v>
          </cell>
          <cell r="J66">
            <v>0</v>
          </cell>
          <cell r="L66">
            <v>0</v>
          </cell>
          <cell r="M66">
            <v>0</v>
          </cell>
        </row>
        <row r="67">
          <cell r="I67">
            <v>2217287.87</v>
          </cell>
          <cell r="J67">
            <v>14966693.122500001</v>
          </cell>
          <cell r="L67">
            <v>3370277.5624000002</v>
          </cell>
          <cell r="M67">
            <v>2483362.4144000006</v>
          </cell>
        </row>
        <row r="68">
          <cell r="K68">
            <v>1842409.74</v>
          </cell>
        </row>
        <row r="69">
          <cell r="I69">
            <v>0</v>
          </cell>
          <cell r="J69">
            <v>0</v>
          </cell>
          <cell r="L69">
            <v>0</v>
          </cell>
          <cell r="M69">
            <v>0</v>
          </cell>
        </row>
        <row r="70">
          <cell r="I70">
            <v>558</v>
          </cell>
          <cell r="J70">
            <v>3158.28</v>
          </cell>
          <cell r="L70">
            <v>848.16</v>
          </cell>
          <cell r="M70">
            <v>0</v>
          </cell>
        </row>
        <row r="71">
          <cell r="I71">
            <v>287060</v>
          </cell>
          <cell r="J71">
            <v>1937655</v>
          </cell>
          <cell r="L71">
            <v>436331.2</v>
          </cell>
          <cell r="M71">
            <v>321507.20000000001</v>
          </cell>
        </row>
        <row r="72">
          <cell r="K72">
            <v>210787.96</v>
          </cell>
        </row>
        <row r="73">
          <cell r="I73">
            <v>0</v>
          </cell>
          <cell r="J73">
            <v>0</v>
          </cell>
          <cell r="L73">
            <v>0</v>
          </cell>
          <cell r="M73">
            <v>0</v>
          </cell>
        </row>
        <row r="74">
          <cell r="I74">
            <v>112</v>
          </cell>
          <cell r="J74">
            <v>361.76</v>
          </cell>
          <cell r="L74">
            <v>97.44</v>
          </cell>
          <cell r="M74">
            <v>0</v>
          </cell>
        </row>
        <row r="75">
          <cell r="I75">
            <v>27608</v>
          </cell>
          <cell r="J75">
            <v>96628</v>
          </cell>
          <cell r="L75">
            <v>24018.959999999999</v>
          </cell>
          <cell r="M75">
            <v>19877.759999999998</v>
          </cell>
        </row>
        <row r="76">
          <cell r="K76">
            <v>12619.99</v>
          </cell>
        </row>
        <row r="77">
          <cell r="I77">
            <v>0</v>
          </cell>
          <cell r="J77">
            <v>0</v>
          </cell>
          <cell r="L77">
            <v>0</v>
          </cell>
          <cell r="M77">
            <v>0</v>
          </cell>
        </row>
        <row r="78">
          <cell r="I78">
            <v>-5401</v>
          </cell>
          <cell r="J78">
            <v>-50715.390000000007</v>
          </cell>
          <cell r="L78">
            <v>-13664.529999999999</v>
          </cell>
          <cell r="M78">
            <v>0</v>
          </cell>
        </row>
        <row r="79">
          <cell r="I79">
            <v>2776081</v>
          </cell>
          <cell r="J79">
            <v>29148850.5</v>
          </cell>
          <cell r="L79">
            <v>7023484.9299999997</v>
          </cell>
          <cell r="M79">
            <v>5246793.09</v>
          </cell>
        </row>
        <row r="80">
          <cell r="K80">
            <v>2237346.64</v>
          </cell>
        </row>
        <row r="81">
          <cell r="I81">
            <v>0</v>
          </cell>
          <cell r="J81">
            <v>0</v>
          </cell>
          <cell r="L81">
            <v>0</v>
          </cell>
          <cell r="M81">
            <v>0</v>
          </cell>
        </row>
        <row r="82">
          <cell r="I82">
            <v>0</v>
          </cell>
          <cell r="J82">
            <v>0</v>
          </cell>
          <cell r="L82">
            <v>0</v>
          </cell>
          <cell r="M82">
            <v>0</v>
          </cell>
        </row>
        <row r="83">
          <cell r="I83">
            <v>114132</v>
          </cell>
          <cell r="J83">
            <v>427995</v>
          </cell>
          <cell r="L83">
            <v>94729.56</v>
          </cell>
          <cell r="M83">
            <v>62772.600000000006</v>
          </cell>
        </row>
        <row r="84">
          <cell r="K84">
            <v>5800</v>
          </cell>
        </row>
        <row r="85">
          <cell r="I85">
            <v>-9</v>
          </cell>
          <cell r="J85">
            <v>-61.199999999999996</v>
          </cell>
          <cell r="L85">
            <v>-16.47</v>
          </cell>
          <cell r="M85">
            <v>0</v>
          </cell>
        </row>
        <row r="86">
          <cell r="I86">
            <v>815155</v>
          </cell>
          <cell r="J86">
            <v>5950631.5</v>
          </cell>
          <cell r="L86">
            <v>1491733.6500000001</v>
          </cell>
          <cell r="M86">
            <v>1230884.05</v>
          </cell>
        </row>
        <row r="87">
          <cell r="K87">
            <v>503500.08</v>
          </cell>
        </row>
        <row r="88">
          <cell r="I88">
            <v>0</v>
          </cell>
          <cell r="J88">
            <v>0</v>
          </cell>
          <cell r="L88">
            <v>0</v>
          </cell>
          <cell r="M88">
            <v>0</v>
          </cell>
        </row>
        <row r="89">
          <cell r="I89">
            <v>4835524</v>
          </cell>
          <cell r="J89">
            <v>35299325.199999996</v>
          </cell>
          <cell r="L89">
            <v>8849008.9199999999</v>
          </cell>
          <cell r="M89">
            <v>6866444.0800000001</v>
          </cell>
        </row>
        <row r="90">
          <cell r="K90">
            <v>4657831.34</v>
          </cell>
        </row>
        <row r="91">
          <cell r="I91">
            <v>0</v>
          </cell>
          <cell r="J91">
            <v>0</v>
          </cell>
          <cell r="L91">
            <v>0</v>
          </cell>
          <cell r="M91">
            <v>0</v>
          </cell>
        </row>
        <row r="92">
          <cell r="I92">
            <v>0</v>
          </cell>
          <cell r="J92">
            <v>0</v>
          </cell>
          <cell r="L92">
            <v>0</v>
          </cell>
          <cell r="M92">
            <v>0</v>
          </cell>
        </row>
        <row r="93">
          <cell r="I93">
            <v>8071473</v>
          </cell>
          <cell r="J93">
            <v>55693163.700000003</v>
          </cell>
          <cell r="L93">
            <v>12833642.07</v>
          </cell>
          <cell r="M93">
            <v>9120764.4899999984</v>
          </cell>
        </row>
        <row r="94">
          <cell r="K94">
            <v>6521839</v>
          </cell>
        </row>
        <row r="95">
          <cell r="I95">
            <v>0</v>
          </cell>
          <cell r="J95">
            <v>0</v>
          </cell>
          <cell r="L95">
            <v>0</v>
          </cell>
          <cell r="M95">
            <v>0</v>
          </cell>
        </row>
        <row r="96">
          <cell r="I96">
            <v>0</v>
          </cell>
          <cell r="J96">
            <v>0</v>
          </cell>
          <cell r="L96">
            <v>0</v>
          </cell>
          <cell r="M96">
            <v>0</v>
          </cell>
        </row>
        <row r="97">
          <cell r="I97">
            <v>20968421</v>
          </cell>
          <cell r="J97">
            <v>157263157.5</v>
          </cell>
          <cell r="L97">
            <v>35855999.909999996</v>
          </cell>
          <cell r="M97">
            <v>24952420.989999998</v>
          </cell>
        </row>
        <row r="98">
          <cell r="K98">
            <v>16021670.1</v>
          </cell>
        </row>
        <row r="99">
          <cell r="I99">
            <v>0</v>
          </cell>
          <cell r="J99">
            <v>0</v>
          </cell>
          <cell r="L99">
            <v>0</v>
          </cell>
          <cell r="M99">
            <v>0</v>
          </cell>
        </row>
        <row r="100">
          <cell r="I100">
            <v>0</v>
          </cell>
          <cell r="J100">
            <v>0</v>
          </cell>
          <cell r="L100">
            <v>0</v>
          </cell>
          <cell r="M100">
            <v>0</v>
          </cell>
        </row>
        <row r="101">
          <cell r="I101">
            <v>2257946</v>
          </cell>
          <cell r="J101">
            <v>12125170.02</v>
          </cell>
          <cell r="L101">
            <v>2054730.86</v>
          </cell>
          <cell r="M101">
            <v>1490244.36</v>
          </cell>
        </row>
        <row r="102">
          <cell r="K102">
            <v>1386527.59</v>
          </cell>
        </row>
        <row r="103">
          <cell r="I103">
            <v>0</v>
          </cell>
          <cell r="J103">
            <v>0</v>
          </cell>
          <cell r="L103">
            <v>0</v>
          </cell>
          <cell r="M103">
            <v>0</v>
          </cell>
        </row>
        <row r="104">
          <cell r="I104">
            <v>0</v>
          </cell>
          <cell r="J104">
            <v>0</v>
          </cell>
          <cell r="L104">
            <v>0</v>
          </cell>
          <cell r="M104">
            <v>0</v>
          </cell>
        </row>
        <row r="105">
          <cell r="I105">
            <v>902251</v>
          </cell>
          <cell r="J105">
            <v>9022510</v>
          </cell>
          <cell r="L105">
            <v>2102244.83</v>
          </cell>
          <cell r="M105">
            <v>1515781.68</v>
          </cell>
        </row>
        <row r="106">
          <cell r="K106">
            <v>1500</v>
          </cell>
        </row>
        <row r="107">
          <cell r="I107">
            <v>436</v>
          </cell>
          <cell r="J107">
            <v>2441.6</v>
          </cell>
          <cell r="L107">
            <v>658.36</v>
          </cell>
          <cell r="M107">
            <v>0</v>
          </cell>
        </row>
        <row r="108">
          <cell r="I108">
            <v>5539196</v>
          </cell>
          <cell r="J108">
            <v>36558693.600000001</v>
          </cell>
          <cell r="L108">
            <v>8364185.96</v>
          </cell>
          <cell r="M108">
            <v>6480859.3199999994</v>
          </cell>
        </row>
        <row r="109">
          <cell r="K109">
            <v>2738240.34</v>
          </cell>
        </row>
        <row r="110">
          <cell r="J110">
            <v>-9558757.9600000009</v>
          </cell>
          <cell r="K110">
            <v>-12638.839999999997</v>
          </cell>
          <cell r="L110">
            <v>-2771541.6723999977</v>
          </cell>
          <cell r="M110">
            <v>-45264339.384399951</v>
          </cell>
        </row>
        <row r="111">
          <cell r="I111">
            <v>298755262.87</v>
          </cell>
          <cell r="J111">
            <v>1869021466.3025</v>
          </cell>
          <cell r="K111">
            <v>223510525.62</v>
          </cell>
          <cell r="L111">
            <v>438935287.63</v>
          </cell>
          <cell r="M111">
            <v>298896791.33999997</v>
          </cell>
        </row>
        <row r="112">
          <cell r="N112">
            <v>13154607.08</v>
          </cell>
        </row>
        <row r="113">
          <cell r="N113">
            <v>0</v>
          </cell>
        </row>
        <row r="114">
          <cell r="N114">
            <v>-227686.67</v>
          </cell>
        </row>
        <row r="115">
          <cell r="N115">
            <v>10443504.85</v>
          </cell>
        </row>
        <row r="116">
          <cell r="N116">
            <v>-335563.6</v>
          </cell>
        </row>
        <row r="118">
          <cell r="N118">
            <v>-14014144.01</v>
          </cell>
        </row>
        <row r="119">
          <cell r="N119">
            <v>-55701481.270000003</v>
          </cell>
        </row>
        <row r="120">
          <cell r="N120">
            <v>-320811.36</v>
          </cell>
        </row>
        <row r="121">
          <cell r="N121">
            <v>-10404.94</v>
          </cell>
        </row>
        <row r="124">
          <cell r="N124">
            <v>23974141.170000002</v>
          </cell>
        </row>
        <row r="125">
          <cell r="N125">
            <v>13234448.359999999</v>
          </cell>
        </row>
        <row r="126">
          <cell r="N126">
            <v>14629014.65</v>
          </cell>
        </row>
        <row r="127">
          <cell r="N127">
            <v>-2849903.99</v>
          </cell>
        </row>
        <row r="128">
          <cell r="N128">
            <v>1252160</v>
          </cell>
        </row>
        <row r="129">
          <cell r="N129">
            <v>50239860.189999998</v>
          </cell>
        </row>
      </sheetData>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Year 2012-13"/>
      <sheetName val="Apr 12"/>
      <sheetName val="May 12"/>
      <sheetName val="Jun 12"/>
      <sheetName val="Jul 12"/>
      <sheetName val="Aug 12"/>
      <sheetName val="Sep 12"/>
      <sheetName val="Oct 12"/>
      <sheetName val="Nov 12"/>
      <sheetName val="Dec 12"/>
      <sheetName val="Jan 13"/>
      <sheetName val="Feb 13"/>
      <sheetName val="Mar 13"/>
    </sheetNames>
    <sheetDataSet>
      <sheetData sheetId="0"/>
      <sheetData sheetId="1">
        <row r="5">
          <cell r="F5">
            <v>36022</v>
          </cell>
          <cell r="G5">
            <v>14408.800000000001</v>
          </cell>
          <cell r="H5">
            <v>1721</v>
          </cell>
          <cell r="I5">
            <v>0</v>
          </cell>
        </row>
        <row r="6">
          <cell r="F6">
            <v>56381496</v>
          </cell>
          <cell r="G6">
            <v>87391318.799999997</v>
          </cell>
          <cell r="H6">
            <v>41520078.450000003</v>
          </cell>
          <cell r="I6">
            <v>0</v>
          </cell>
        </row>
        <row r="7">
          <cell r="F7">
            <v>45124345</v>
          </cell>
          <cell r="G7">
            <v>148910338.5</v>
          </cell>
          <cell r="I7">
            <v>0</v>
          </cell>
        </row>
        <row r="8">
          <cell r="F8">
            <v>13425346</v>
          </cell>
          <cell r="G8">
            <v>71154333.799999997</v>
          </cell>
          <cell r="I8">
            <v>0</v>
          </cell>
        </row>
        <row r="9">
          <cell r="F9">
            <v>25563436</v>
          </cell>
          <cell r="G9">
            <v>173831364.79999998</v>
          </cell>
          <cell r="I9">
            <v>0</v>
          </cell>
        </row>
        <row r="10">
          <cell r="F10">
            <v>34046200</v>
          </cell>
          <cell r="G10">
            <v>136184800</v>
          </cell>
          <cell r="H10">
            <v>50552907.229999997</v>
          </cell>
        </row>
        <row r="11">
          <cell r="F11">
            <v>9927815</v>
          </cell>
          <cell r="G11">
            <v>59566890</v>
          </cell>
        </row>
        <row r="12">
          <cell r="F12">
            <v>12473692</v>
          </cell>
          <cell r="G12">
            <v>86068474.799999997</v>
          </cell>
        </row>
        <row r="13">
          <cell r="F13">
            <v>17608240</v>
          </cell>
          <cell r="G13">
            <v>133822624</v>
          </cell>
        </row>
        <row r="14">
          <cell r="F14">
            <v>0</v>
          </cell>
          <cell r="G14">
            <v>0</v>
          </cell>
          <cell r="I14">
            <v>0</v>
          </cell>
        </row>
        <row r="15">
          <cell r="F15">
            <v>0</v>
          </cell>
          <cell r="G15">
            <v>0</v>
          </cell>
          <cell r="I15">
            <v>0</v>
          </cell>
        </row>
        <row r="16">
          <cell r="F16">
            <v>21969360</v>
          </cell>
          <cell r="G16">
            <v>160376328</v>
          </cell>
          <cell r="H16">
            <v>16845048.98</v>
          </cell>
          <cell r="I16">
            <v>0</v>
          </cell>
        </row>
        <row r="17">
          <cell r="F17">
            <v>45895015</v>
          </cell>
          <cell r="G17">
            <v>346507363.25</v>
          </cell>
          <cell r="H17">
            <v>27857227</v>
          </cell>
          <cell r="I17">
            <v>0</v>
          </cell>
        </row>
        <row r="18">
          <cell r="F18">
            <v>1312321</v>
          </cell>
          <cell r="G18">
            <v>4855587.7</v>
          </cell>
          <cell r="H18">
            <v>2504394.94</v>
          </cell>
        </row>
        <row r="19">
          <cell r="F19">
            <v>561399</v>
          </cell>
          <cell r="G19">
            <v>3087694.5</v>
          </cell>
        </row>
        <row r="20">
          <cell r="F20">
            <v>846307</v>
          </cell>
          <cell r="G20">
            <v>5035526.6500000004</v>
          </cell>
        </row>
        <row r="21">
          <cell r="F21">
            <v>1241671</v>
          </cell>
          <cell r="G21">
            <v>7946694.4000000004</v>
          </cell>
        </row>
        <row r="22">
          <cell r="F22">
            <v>0</v>
          </cell>
          <cell r="G22">
            <v>0</v>
          </cell>
          <cell r="I22">
            <v>0</v>
          </cell>
        </row>
        <row r="23">
          <cell r="F23">
            <v>0</v>
          </cell>
          <cell r="G23">
            <v>0</v>
          </cell>
          <cell r="I23">
            <v>0</v>
          </cell>
        </row>
        <row r="24">
          <cell r="F24">
            <v>4512729</v>
          </cell>
          <cell r="G24">
            <v>24368736.600000001</v>
          </cell>
          <cell r="H24">
            <v>3984378.82</v>
          </cell>
          <cell r="I24">
            <v>0</v>
          </cell>
        </row>
        <row r="25">
          <cell r="F25">
            <v>4120158</v>
          </cell>
          <cell r="G25">
            <v>21836837.399999999</v>
          </cell>
          <cell r="H25">
            <v>2034408</v>
          </cell>
          <cell r="I25">
            <v>0</v>
          </cell>
        </row>
        <row r="26">
          <cell r="F26">
            <v>277722</v>
          </cell>
          <cell r="G26">
            <v>3166030.8000000003</v>
          </cell>
          <cell r="H26">
            <v>745560</v>
          </cell>
          <cell r="I26">
            <v>0</v>
          </cell>
        </row>
        <row r="27">
          <cell r="F27">
            <v>2287616.35</v>
          </cell>
          <cell r="G27">
            <v>12124366.654999999</v>
          </cell>
          <cell r="H27">
            <v>1327150.0800000001</v>
          </cell>
          <cell r="I27">
            <v>0</v>
          </cell>
        </row>
        <row r="28">
          <cell r="F28">
            <v>342321</v>
          </cell>
          <cell r="G28">
            <v>1814301.3</v>
          </cell>
          <cell r="H28">
            <v>162154.20000000001</v>
          </cell>
          <cell r="I28">
            <v>0</v>
          </cell>
        </row>
        <row r="29">
          <cell r="F29">
            <v>6528</v>
          </cell>
          <cell r="G29">
            <v>18604.8</v>
          </cell>
          <cell r="H29">
            <v>2700</v>
          </cell>
          <cell r="I29">
            <v>0</v>
          </cell>
        </row>
        <row r="30">
          <cell r="F30">
            <v>2813744</v>
          </cell>
          <cell r="G30">
            <v>24620260</v>
          </cell>
          <cell r="H30">
            <v>1370715</v>
          </cell>
          <cell r="I30">
            <v>0</v>
          </cell>
        </row>
        <row r="31">
          <cell r="F31">
            <v>84527</v>
          </cell>
          <cell r="G31">
            <v>223996.55</v>
          </cell>
          <cell r="H31">
            <v>2100</v>
          </cell>
          <cell r="I31">
            <v>0</v>
          </cell>
        </row>
        <row r="32">
          <cell r="F32">
            <v>0</v>
          </cell>
          <cell r="G32">
            <v>0</v>
          </cell>
          <cell r="H32">
            <v>0</v>
          </cell>
          <cell r="I32">
            <v>0</v>
          </cell>
        </row>
        <row r="33">
          <cell r="F33">
            <v>0</v>
          </cell>
          <cell r="G33">
            <v>0</v>
          </cell>
          <cell r="H33">
            <v>0</v>
          </cell>
          <cell r="I33">
            <v>0</v>
          </cell>
        </row>
        <row r="34">
          <cell r="F34">
            <v>14124668</v>
          </cell>
          <cell r="G34">
            <v>71329573.399999991</v>
          </cell>
          <cell r="H34">
            <v>6153995.2699999996</v>
          </cell>
          <cell r="I34">
            <v>0</v>
          </cell>
        </row>
        <row r="35">
          <cell r="F35">
            <v>32631164</v>
          </cell>
          <cell r="G35">
            <v>174576727.39999998</v>
          </cell>
          <cell r="H35">
            <v>13626096.779999999</v>
          </cell>
          <cell r="I35">
            <v>0</v>
          </cell>
        </row>
        <row r="36">
          <cell r="F36">
            <v>2562134</v>
          </cell>
          <cell r="G36">
            <v>7686402</v>
          </cell>
          <cell r="H36">
            <v>996020.25</v>
          </cell>
          <cell r="I36">
            <v>0</v>
          </cell>
        </row>
        <row r="37">
          <cell r="F37">
            <v>155301</v>
          </cell>
          <cell r="G37">
            <v>1273468.2</v>
          </cell>
          <cell r="H37">
            <v>400</v>
          </cell>
          <cell r="I37">
            <v>0</v>
          </cell>
        </row>
        <row r="38">
          <cell r="F38">
            <v>0</v>
          </cell>
          <cell r="G38">
            <v>0</v>
          </cell>
          <cell r="H38">
            <v>0</v>
          </cell>
          <cell r="I38">
            <v>0</v>
          </cell>
        </row>
        <row r="39">
          <cell r="G39">
            <v>-8954511.5600000005</v>
          </cell>
          <cell r="H39">
            <v>-7816550.2300000004</v>
          </cell>
          <cell r="I39">
            <v>0</v>
          </cell>
        </row>
        <row r="41">
          <cell r="J41">
            <v>12152813.720000001</v>
          </cell>
        </row>
        <row r="42">
          <cell r="J42">
            <v>396031261.63999999</v>
          </cell>
        </row>
        <row r="43">
          <cell r="J43">
            <v>-200636.54</v>
          </cell>
        </row>
        <row r="44">
          <cell r="J44">
            <v>13284896</v>
          </cell>
        </row>
        <row r="45">
          <cell r="J45">
            <v>6529461.4500000002</v>
          </cell>
        </row>
        <row r="47">
          <cell r="J47">
            <v>-7512817.7699999996</v>
          </cell>
        </row>
        <row r="48">
          <cell r="J48">
            <v>-44650790.189999998</v>
          </cell>
        </row>
        <row r="49">
          <cell r="J49">
            <v>-261014.81</v>
          </cell>
        </row>
        <row r="50">
          <cell r="J50">
            <v>0</v>
          </cell>
        </row>
        <row r="53">
          <cell r="J53">
            <v>37975122</v>
          </cell>
        </row>
      </sheetData>
      <sheetData sheetId="2">
        <row r="5">
          <cell r="F5">
            <v>45745</v>
          </cell>
          <cell r="G5">
            <v>18298</v>
          </cell>
          <cell r="H5">
            <v>1737.9</v>
          </cell>
          <cell r="I5">
            <v>0</v>
          </cell>
        </row>
        <row r="6">
          <cell r="F6">
            <v>57810413</v>
          </cell>
          <cell r="G6">
            <v>89606140.150000006</v>
          </cell>
          <cell r="H6">
            <v>43085525.119999997</v>
          </cell>
          <cell r="I6">
            <v>0</v>
          </cell>
        </row>
        <row r="7">
          <cell r="F7">
            <v>54692978</v>
          </cell>
          <cell r="G7">
            <v>180486827.39999998</v>
          </cell>
          <cell r="I7">
            <v>0</v>
          </cell>
        </row>
        <row r="8">
          <cell r="F8">
            <v>19453515</v>
          </cell>
          <cell r="G8">
            <v>103103629.5</v>
          </cell>
          <cell r="I8">
            <v>0</v>
          </cell>
        </row>
        <row r="9">
          <cell r="F9">
            <v>37289078</v>
          </cell>
          <cell r="G9">
            <v>253565730.40000001</v>
          </cell>
          <cell r="I9">
            <v>0</v>
          </cell>
        </row>
        <row r="10">
          <cell r="F10">
            <v>36553864</v>
          </cell>
          <cell r="G10">
            <v>146215456</v>
          </cell>
          <cell r="H10">
            <v>50612513.390000001</v>
          </cell>
        </row>
        <row r="11">
          <cell r="F11">
            <v>11776403</v>
          </cell>
          <cell r="G11">
            <v>70658418</v>
          </cell>
        </row>
        <row r="12">
          <cell r="F12">
            <v>15240868</v>
          </cell>
          <cell r="G12">
            <v>105161989.2</v>
          </cell>
        </row>
        <row r="13">
          <cell r="F13">
            <v>21828449</v>
          </cell>
          <cell r="G13">
            <v>165896212.40000001</v>
          </cell>
        </row>
        <row r="14">
          <cell r="F14">
            <v>0</v>
          </cell>
          <cell r="G14">
            <v>0</v>
          </cell>
          <cell r="I14">
            <v>0</v>
          </cell>
        </row>
        <row r="15">
          <cell r="F15">
            <v>0</v>
          </cell>
          <cell r="G15">
            <v>0</v>
          </cell>
          <cell r="I15">
            <v>0</v>
          </cell>
        </row>
        <row r="16">
          <cell r="F16">
            <v>24063066</v>
          </cell>
          <cell r="G16">
            <v>175660381.79999998</v>
          </cell>
          <cell r="H16">
            <v>17645397.760000002</v>
          </cell>
          <cell r="I16">
            <v>0</v>
          </cell>
        </row>
        <row r="17">
          <cell r="F17">
            <v>49262500</v>
          </cell>
          <cell r="G17">
            <v>371931875</v>
          </cell>
          <cell r="H17">
            <v>29090924.09</v>
          </cell>
          <cell r="I17">
            <v>0</v>
          </cell>
        </row>
        <row r="18">
          <cell r="F18">
            <v>1348594</v>
          </cell>
          <cell r="G18">
            <v>4989797.8</v>
          </cell>
          <cell r="H18">
            <v>2515163.27</v>
          </cell>
        </row>
        <row r="19">
          <cell r="F19">
            <v>602404</v>
          </cell>
          <cell r="G19">
            <v>3313222</v>
          </cell>
        </row>
        <row r="20">
          <cell r="F20">
            <v>933936</v>
          </cell>
          <cell r="G20">
            <v>5556919.2000000002</v>
          </cell>
        </row>
        <row r="21">
          <cell r="F21">
            <v>1439290</v>
          </cell>
          <cell r="G21">
            <v>9211456</v>
          </cell>
        </row>
        <row r="22">
          <cell r="F22">
            <v>0</v>
          </cell>
          <cell r="G22">
            <v>0</v>
          </cell>
          <cell r="I22">
            <v>0</v>
          </cell>
        </row>
        <row r="23">
          <cell r="F23">
            <v>0</v>
          </cell>
          <cell r="G23">
            <v>0</v>
          </cell>
          <cell r="I23">
            <v>0</v>
          </cell>
        </row>
        <row r="24">
          <cell r="F24">
            <v>4475061</v>
          </cell>
          <cell r="G24">
            <v>24165329.400000002</v>
          </cell>
          <cell r="H24">
            <v>3953581.92</v>
          </cell>
          <cell r="I24">
            <v>0</v>
          </cell>
        </row>
        <row r="25">
          <cell r="F25">
            <v>4190857</v>
          </cell>
          <cell r="G25">
            <v>22211542.099999998</v>
          </cell>
          <cell r="H25">
            <v>2097799.0499999998</v>
          </cell>
          <cell r="I25">
            <v>0</v>
          </cell>
        </row>
        <row r="26">
          <cell r="F26">
            <v>349516</v>
          </cell>
          <cell r="G26">
            <v>3984482.4</v>
          </cell>
          <cell r="H26">
            <v>1207290</v>
          </cell>
          <cell r="I26">
            <v>0</v>
          </cell>
        </row>
        <row r="27">
          <cell r="F27">
            <v>2074643.91</v>
          </cell>
          <cell r="G27">
            <v>10995612.722999999</v>
          </cell>
          <cell r="H27">
            <v>1321773.3700000001</v>
          </cell>
          <cell r="I27">
            <v>0</v>
          </cell>
        </row>
        <row r="28">
          <cell r="F28">
            <v>330318</v>
          </cell>
          <cell r="G28">
            <v>1750685.4</v>
          </cell>
          <cell r="H28">
            <v>161275.78</v>
          </cell>
          <cell r="I28">
            <v>0</v>
          </cell>
        </row>
        <row r="29">
          <cell r="F29">
            <v>3616</v>
          </cell>
          <cell r="G29">
            <v>10305.6</v>
          </cell>
          <cell r="H29">
            <v>2100</v>
          </cell>
          <cell r="I29">
            <v>0</v>
          </cell>
        </row>
        <row r="30">
          <cell r="F30">
            <v>3220913</v>
          </cell>
          <cell r="G30">
            <v>28182988.75</v>
          </cell>
          <cell r="H30">
            <v>1427041.94</v>
          </cell>
          <cell r="I30">
            <v>0</v>
          </cell>
        </row>
        <row r="31">
          <cell r="F31">
            <v>100024</v>
          </cell>
          <cell r="G31">
            <v>265063.59999999998</v>
          </cell>
          <cell r="H31">
            <v>2100</v>
          </cell>
          <cell r="I31">
            <v>0</v>
          </cell>
        </row>
        <row r="32">
          <cell r="F32">
            <v>0</v>
          </cell>
          <cell r="G32">
            <v>0</v>
          </cell>
          <cell r="H32">
            <v>0</v>
          </cell>
          <cell r="I32">
            <v>0</v>
          </cell>
        </row>
        <row r="33">
          <cell r="F33">
            <v>0</v>
          </cell>
          <cell r="G33">
            <v>0</v>
          </cell>
          <cell r="H33">
            <v>0</v>
          </cell>
          <cell r="I33">
            <v>0</v>
          </cell>
        </row>
        <row r="34">
          <cell r="F34">
            <v>13949195</v>
          </cell>
          <cell r="G34">
            <v>70443434.75</v>
          </cell>
          <cell r="H34">
            <v>6216268.4900000002</v>
          </cell>
          <cell r="I34">
            <v>0</v>
          </cell>
        </row>
        <row r="35">
          <cell r="F35">
            <v>35739528</v>
          </cell>
          <cell r="G35">
            <v>191206474.79999998</v>
          </cell>
          <cell r="H35">
            <v>14740257.449999999</v>
          </cell>
          <cell r="I35">
            <v>0</v>
          </cell>
        </row>
        <row r="36">
          <cell r="F36">
            <v>2792995</v>
          </cell>
          <cell r="G36">
            <v>8378985</v>
          </cell>
          <cell r="H36">
            <v>1005878.25</v>
          </cell>
          <cell r="I36">
            <v>0</v>
          </cell>
        </row>
        <row r="37">
          <cell r="F37">
            <v>352935</v>
          </cell>
          <cell r="G37">
            <v>2894066.9999999995</v>
          </cell>
          <cell r="H37">
            <v>600</v>
          </cell>
          <cell r="I37">
            <v>0</v>
          </cell>
        </row>
        <row r="38">
          <cell r="F38">
            <v>0</v>
          </cell>
          <cell r="G38">
            <v>0</v>
          </cell>
          <cell r="H38">
            <v>0</v>
          </cell>
          <cell r="I38">
            <v>0</v>
          </cell>
        </row>
        <row r="39">
          <cell r="G39">
            <v>-25583817.260000002</v>
          </cell>
          <cell r="H39">
            <v>525343.80000000005</v>
          </cell>
          <cell r="I39">
            <v>0</v>
          </cell>
        </row>
        <row r="41">
          <cell r="J41">
            <v>10403916.9</v>
          </cell>
        </row>
        <row r="42">
          <cell r="J42">
            <v>425530022.79000002</v>
          </cell>
        </row>
        <row r="43">
          <cell r="J43">
            <v>-493119.69</v>
          </cell>
        </row>
        <row r="44">
          <cell r="J44">
            <v>14285124.59</v>
          </cell>
        </row>
        <row r="45">
          <cell r="J45">
            <v>7533528.9199999999</v>
          </cell>
        </row>
        <row r="47">
          <cell r="J47">
            <v>-6284699.3600000003</v>
          </cell>
        </row>
        <row r="48">
          <cell r="J48">
            <v>-46269257.899999999</v>
          </cell>
        </row>
        <row r="49">
          <cell r="J49">
            <v>-294961.91999999998</v>
          </cell>
        </row>
        <row r="50">
          <cell r="J50">
            <v>0</v>
          </cell>
        </row>
        <row r="53">
          <cell r="J53">
            <v>40339462.560000002</v>
          </cell>
        </row>
      </sheetData>
      <sheetData sheetId="3">
        <row r="5">
          <cell r="F5">
            <v>42017</v>
          </cell>
          <cell r="G5">
            <v>17088.400000000001</v>
          </cell>
          <cell r="H5">
            <v>1726.8</v>
          </cell>
          <cell r="I5">
            <v>844.8</v>
          </cell>
        </row>
        <row r="6">
          <cell r="F6">
            <v>57820183</v>
          </cell>
          <cell r="G6">
            <v>98546508.049999997</v>
          </cell>
          <cell r="H6">
            <v>48561025.869999997</v>
          </cell>
          <cell r="I6">
            <v>9625242</v>
          </cell>
        </row>
        <row r="7">
          <cell r="F7">
            <v>53168687</v>
          </cell>
          <cell r="G7">
            <v>183860277.77999997</v>
          </cell>
          <cell r="I7">
            <v>16971998.039999999</v>
          </cell>
        </row>
        <row r="8">
          <cell r="F8">
            <v>19003277</v>
          </cell>
          <cell r="G8">
            <v>101067949.89999999</v>
          </cell>
          <cell r="I8">
            <v>8413963.1999999993</v>
          </cell>
        </row>
        <row r="9">
          <cell r="F9">
            <v>34826129</v>
          </cell>
          <cell r="G9">
            <v>237309299.79999998</v>
          </cell>
          <cell r="I9">
            <v>15158363.5</v>
          </cell>
        </row>
        <row r="10">
          <cell r="F10">
            <v>25383762</v>
          </cell>
          <cell r="G10">
            <v>101535048</v>
          </cell>
          <cell r="H10">
            <v>54410522.719999999</v>
          </cell>
        </row>
        <row r="11">
          <cell r="F11">
            <v>8004534</v>
          </cell>
          <cell r="G11">
            <v>48027204</v>
          </cell>
        </row>
        <row r="12">
          <cell r="F12">
            <v>10391013</v>
          </cell>
          <cell r="G12">
            <v>71697989.700000003</v>
          </cell>
        </row>
        <row r="13">
          <cell r="F13">
            <v>16365492</v>
          </cell>
          <cell r="G13">
            <v>124377739.19999999</v>
          </cell>
        </row>
        <row r="14">
          <cell r="F14">
            <v>13752185</v>
          </cell>
          <cell r="G14">
            <v>75637017.5</v>
          </cell>
          <cell r="I14">
            <v>20353233.800000001</v>
          </cell>
        </row>
        <row r="15">
          <cell r="F15">
            <v>8623054</v>
          </cell>
          <cell r="G15">
            <v>70364120.640000001</v>
          </cell>
          <cell r="I15">
            <v>18970718.800000001</v>
          </cell>
        </row>
        <row r="16">
          <cell r="F16">
            <v>25140904</v>
          </cell>
          <cell r="G16">
            <v>183583766.19999999</v>
          </cell>
          <cell r="H16">
            <v>17645243.109999999</v>
          </cell>
          <cell r="I16">
            <v>169441.5</v>
          </cell>
        </row>
        <row r="17">
          <cell r="F17">
            <v>52182247</v>
          </cell>
          <cell r="G17">
            <v>394005620.02999997</v>
          </cell>
          <cell r="H17">
            <v>29019316.370000001</v>
          </cell>
          <cell r="I17">
            <v>119719.06000000001</v>
          </cell>
        </row>
        <row r="18">
          <cell r="F18">
            <v>966850</v>
          </cell>
          <cell r="G18">
            <v>3577345</v>
          </cell>
          <cell r="H18">
            <v>2661866.54</v>
          </cell>
        </row>
        <row r="19">
          <cell r="F19">
            <v>428551</v>
          </cell>
          <cell r="G19">
            <v>2357030.5</v>
          </cell>
        </row>
        <row r="20">
          <cell r="F20">
            <v>656037</v>
          </cell>
          <cell r="G20">
            <v>3903420.15</v>
          </cell>
        </row>
        <row r="21">
          <cell r="F21">
            <v>977876</v>
          </cell>
          <cell r="G21">
            <v>6258406.4000000004</v>
          </cell>
        </row>
        <row r="22">
          <cell r="F22">
            <v>511072</v>
          </cell>
          <cell r="G22">
            <v>2662685.12</v>
          </cell>
          <cell r="I22">
            <v>715500.79999999993</v>
          </cell>
        </row>
        <row r="23">
          <cell r="F23">
            <v>478725</v>
          </cell>
          <cell r="G23">
            <v>3485118</v>
          </cell>
          <cell r="I23">
            <v>938301</v>
          </cell>
        </row>
        <row r="24">
          <cell r="F24">
            <v>4577401</v>
          </cell>
          <cell r="G24">
            <v>24724058.200000003</v>
          </cell>
          <cell r="H24">
            <v>3982916.31</v>
          </cell>
          <cell r="I24">
            <v>9520</v>
          </cell>
        </row>
        <row r="25">
          <cell r="F25">
            <v>4312883</v>
          </cell>
          <cell r="G25">
            <v>22858927.359999999</v>
          </cell>
          <cell r="H25">
            <v>2052146.56</v>
          </cell>
          <cell r="I25">
            <v>1021.68</v>
          </cell>
        </row>
        <row r="26">
          <cell r="F26">
            <v>185426</v>
          </cell>
          <cell r="G26">
            <v>2132444.9000000004</v>
          </cell>
          <cell r="H26">
            <v>339043.45</v>
          </cell>
          <cell r="I26">
            <v>167827.6</v>
          </cell>
        </row>
        <row r="27">
          <cell r="F27">
            <v>2057099.43</v>
          </cell>
          <cell r="G27">
            <v>10902626.978999998</v>
          </cell>
          <cell r="H27">
            <v>1332910.24</v>
          </cell>
          <cell r="I27">
            <v>0</v>
          </cell>
        </row>
        <row r="28">
          <cell r="F28">
            <v>324286</v>
          </cell>
          <cell r="G28">
            <v>1768746.08</v>
          </cell>
          <cell r="H28">
            <v>182259.45</v>
          </cell>
          <cell r="I28">
            <v>211238.96</v>
          </cell>
        </row>
        <row r="29">
          <cell r="F29">
            <v>591</v>
          </cell>
          <cell r="G29">
            <v>1684.3500000000001</v>
          </cell>
          <cell r="H29">
            <v>794.65</v>
          </cell>
          <cell r="I29">
            <v>0</v>
          </cell>
        </row>
        <row r="30">
          <cell r="F30">
            <v>2905543</v>
          </cell>
          <cell r="G30">
            <v>25442699.329999998</v>
          </cell>
          <cell r="H30">
            <v>1289681.48</v>
          </cell>
          <cell r="I30">
            <v>75892.409999999989</v>
          </cell>
        </row>
        <row r="31">
          <cell r="F31">
            <v>111032</v>
          </cell>
          <cell r="G31">
            <v>296170.7</v>
          </cell>
          <cell r="H31">
            <v>2418.4699999999998</v>
          </cell>
          <cell r="I31">
            <v>3570.66</v>
          </cell>
        </row>
        <row r="32">
          <cell r="F32">
            <v>0</v>
          </cell>
          <cell r="G32">
            <v>0</v>
          </cell>
          <cell r="H32">
            <v>0</v>
          </cell>
          <cell r="I32">
            <v>0</v>
          </cell>
        </row>
        <row r="33">
          <cell r="F33">
            <v>0</v>
          </cell>
          <cell r="G33">
            <v>0</v>
          </cell>
          <cell r="H33">
            <v>0</v>
          </cell>
          <cell r="I33">
            <v>0</v>
          </cell>
        </row>
        <row r="34">
          <cell r="F34">
            <v>14762558</v>
          </cell>
          <cell r="G34">
            <v>74550938.299999997</v>
          </cell>
          <cell r="H34">
            <v>6397162.9699999997</v>
          </cell>
          <cell r="I34">
            <v>38.160000000000004</v>
          </cell>
        </row>
        <row r="35">
          <cell r="F35">
            <v>37705055</v>
          </cell>
          <cell r="G35">
            <v>201722726.24999997</v>
          </cell>
          <cell r="H35">
            <v>14965397.18</v>
          </cell>
          <cell r="I35">
            <v>1166.22</v>
          </cell>
        </row>
        <row r="36">
          <cell r="F36">
            <v>2871530</v>
          </cell>
          <cell r="G36">
            <v>8614590</v>
          </cell>
          <cell r="H36">
            <v>1046373.75</v>
          </cell>
          <cell r="I36">
            <v>0</v>
          </cell>
        </row>
        <row r="37">
          <cell r="F37">
            <v>272124</v>
          </cell>
          <cell r="G37">
            <v>2231416.7999999998</v>
          </cell>
          <cell r="H37">
            <v>400</v>
          </cell>
          <cell r="I37">
            <v>0</v>
          </cell>
        </row>
        <row r="38">
          <cell r="F38">
            <v>0</v>
          </cell>
          <cell r="G38">
            <v>0</v>
          </cell>
          <cell r="H38">
            <v>200</v>
          </cell>
          <cell r="I38">
            <v>0</v>
          </cell>
        </row>
        <row r="39">
          <cell r="G39">
            <v>-7404056.21</v>
          </cell>
          <cell r="H39">
            <v>1587107.97</v>
          </cell>
          <cell r="I39">
            <v>0</v>
          </cell>
        </row>
        <row r="41">
          <cell r="J41">
            <v>12095897.26</v>
          </cell>
        </row>
        <row r="42">
          <cell r="J42">
            <v>473013038.70999998</v>
          </cell>
        </row>
        <row r="43">
          <cell r="J43">
            <v>-212774.27</v>
          </cell>
        </row>
        <row r="44">
          <cell r="J44">
            <v>16079742.720000001</v>
          </cell>
        </row>
        <row r="45">
          <cell r="J45">
            <v>7136708.8700000001</v>
          </cell>
        </row>
        <row r="47">
          <cell r="J47">
            <v>-8539803.0700000003</v>
          </cell>
        </row>
        <row r="48">
          <cell r="J48">
            <v>-47455029.630000003</v>
          </cell>
        </row>
        <row r="49">
          <cell r="J49">
            <v>-315764.34999999998</v>
          </cell>
        </row>
        <row r="50">
          <cell r="J50">
            <v>0</v>
          </cell>
        </row>
        <row r="53">
          <cell r="J53">
            <v>44021048.32</v>
          </cell>
        </row>
      </sheetData>
      <sheetData sheetId="4">
        <row r="5">
          <cell r="F5">
            <v>49102</v>
          </cell>
          <cell r="G5">
            <v>21592.2</v>
          </cell>
          <cell r="H5">
            <v>1730.4</v>
          </cell>
          <cell r="I5">
            <v>5854.2</v>
          </cell>
        </row>
        <row r="6">
          <cell r="F6">
            <v>58964755</v>
          </cell>
          <cell r="G6">
            <v>121293300.67999999</v>
          </cell>
          <cell r="H6">
            <v>62576406.780000001</v>
          </cell>
          <cell r="I6">
            <v>32242866.150000002</v>
          </cell>
        </row>
        <row r="7">
          <cell r="F7">
            <v>56025688</v>
          </cell>
          <cell r="G7">
            <v>213323925.38999999</v>
          </cell>
          <cell r="I7">
            <v>57435940.469999999</v>
          </cell>
        </row>
        <row r="8">
          <cell r="F8">
            <v>19134971</v>
          </cell>
          <cell r="G8">
            <v>102558092.86</v>
          </cell>
          <cell r="I8">
            <v>27425917.439999998</v>
          </cell>
        </row>
        <row r="9">
          <cell r="F9">
            <v>36886419</v>
          </cell>
          <cell r="G9">
            <v>253018657.08000001</v>
          </cell>
          <cell r="I9">
            <v>67556076.299999997</v>
          </cell>
        </row>
        <row r="10">
          <cell r="F10">
            <v>189116</v>
          </cell>
          <cell r="G10">
            <v>756464</v>
          </cell>
          <cell r="H10">
            <v>63264149.030000001</v>
          </cell>
        </row>
        <row r="11">
          <cell r="F11">
            <v>50758</v>
          </cell>
          <cell r="G11">
            <v>304548</v>
          </cell>
        </row>
        <row r="12">
          <cell r="F12">
            <v>56393</v>
          </cell>
          <cell r="G12">
            <v>389111.7</v>
          </cell>
        </row>
        <row r="13">
          <cell r="F13">
            <v>189261</v>
          </cell>
          <cell r="G13">
            <v>1438383.5999999999</v>
          </cell>
        </row>
        <row r="14">
          <cell r="F14">
            <v>48734854</v>
          </cell>
          <cell r="G14">
            <v>268041697</v>
          </cell>
          <cell r="I14">
            <v>72127583.920000002</v>
          </cell>
        </row>
        <row r="15">
          <cell r="F15">
            <v>37011875</v>
          </cell>
          <cell r="G15">
            <v>302016900</v>
          </cell>
          <cell r="I15">
            <v>81426125</v>
          </cell>
        </row>
        <row r="16">
          <cell r="F16">
            <v>25358206</v>
          </cell>
          <cell r="G16">
            <v>202779018.80000001</v>
          </cell>
          <cell r="H16">
            <v>23781612.789999999</v>
          </cell>
          <cell r="I16">
            <v>54254067.5</v>
          </cell>
        </row>
        <row r="17">
          <cell r="F17">
            <v>50948225</v>
          </cell>
          <cell r="G17">
            <v>412152475.69</v>
          </cell>
          <cell r="H17">
            <v>39134618.719999999</v>
          </cell>
          <cell r="I17">
            <v>110991780.98</v>
          </cell>
        </row>
        <row r="18">
          <cell r="F18">
            <v>3294</v>
          </cell>
          <cell r="G18">
            <v>12187.800000000001</v>
          </cell>
          <cell r="H18">
            <v>3087772.17</v>
          </cell>
        </row>
        <row r="19">
          <cell r="F19">
            <v>1460</v>
          </cell>
          <cell r="G19">
            <v>8030</v>
          </cell>
        </row>
        <row r="20">
          <cell r="F20">
            <v>1557</v>
          </cell>
          <cell r="G20">
            <v>9264.15</v>
          </cell>
        </row>
        <row r="21">
          <cell r="F21">
            <v>561</v>
          </cell>
          <cell r="G21">
            <v>3590.4</v>
          </cell>
        </row>
        <row r="22">
          <cell r="F22">
            <v>1944696</v>
          </cell>
          <cell r="G22">
            <v>10131866.16</v>
          </cell>
          <cell r="I22">
            <v>2722574.4</v>
          </cell>
        </row>
        <row r="23">
          <cell r="F23">
            <v>2243999</v>
          </cell>
          <cell r="G23">
            <v>16336312.720000001</v>
          </cell>
          <cell r="I23">
            <v>4398238.04</v>
          </cell>
        </row>
        <row r="24">
          <cell r="F24">
            <v>4916742</v>
          </cell>
          <cell r="G24">
            <v>31963313.039999999</v>
          </cell>
          <cell r="H24">
            <v>5336395.3899999997</v>
          </cell>
          <cell r="I24">
            <v>8457666</v>
          </cell>
        </row>
        <row r="25">
          <cell r="F25">
            <v>4179658</v>
          </cell>
          <cell r="G25">
            <v>26708014.619999997</v>
          </cell>
          <cell r="H25">
            <v>2761968</v>
          </cell>
          <cell r="I25">
            <v>7189011.7599999998</v>
          </cell>
        </row>
        <row r="26">
          <cell r="F26">
            <v>359982</v>
          </cell>
          <cell r="G26">
            <v>4175990.35</v>
          </cell>
          <cell r="H26">
            <v>1245440</v>
          </cell>
          <cell r="I26">
            <v>651822.68000000005</v>
          </cell>
        </row>
        <row r="27">
          <cell r="F27">
            <v>1903779.57</v>
          </cell>
          <cell r="G27">
            <v>10775392.3662</v>
          </cell>
          <cell r="H27">
            <v>1747517.79</v>
          </cell>
          <cell r="I27">
            <v>2893744.9464000002</v>
          </cell>
        </row>
        <row r="28">
          <cell r="F28">
            <v>334990</v>
          </cell>
          <cell r="G28">
            <v>1896225.2</v>
          </cell>
          <cell r="H28">
            <v>215588.68</v>
          </cell>
          <cell r="I28">
            <v>509952.4</v>
          </cell>
        </row>
        <row r="29">
          <cell r="F29">
            <v>8311</v>
          </cell>
          <cell r="G29">
            <v>25663.489999999998</v>
          </cell>
          <cell r="H29">
            <v>1996.67</v>
          </cell>
          <cell r="I29">
            <v>4526.6099999999997</v>
          </cell>
        </row>
        <row r="30">
          <cell r="F30">
            <v>3103080</v>
          </cell>
          <cell r="G30">
            <v>28738397.360000003</v>
          </cell>
          <cell r="H30">
            <v>1842321.7</v>
          </cell>
          <cell r="I30">
            <v>6271424.7199999997</v>
          </cell>
        </row>
        <row r="31">
          <cell r="F31">
            <v>106340</v>
          </cell>
          <cell r="G31">
            <v>329660.75</v>
          </cell>
          <cell r="H31">
            <v>3300</v>
          </cell>
          <cell r="I31">
            <v>88274.65</v>
          </cell>
        </row>
        <row r="32">
          <cell r="F32">
            <v>98462</v>
          </cell>
          <cell r="G32">
            <v>669541.6</v>
          </cell>
          <cell r="H32">
            <v>73983.100000000006</v>
          </cell>
          <cell r="I32">
            <v>180185.46000000002</v>
          </cell>
        </row>
        <row r="33">
          <cell r="F33">
            <v>8246</v>
          </cell>
          <cell r="G33">
            <v>56072.799999999996</v>
          </cell>
          <cell r="H33">
            <v>11724.27</v>
          </cell>
          <cell r="I33">
            <v>15090.18</v>
          </cell>
        </row>
        <row r="34">
          <cell r="F34">
            <v>14746599</v>
          </cell>
          <cell r="G34">
            <v>87004934.100000009</v>
          </cell>
          <cell r="H34">
            <v>8963672</v>
          </cell>
          <cell r="I34">
            <v>23447092.41</v>
          </cell>
        </row>
        <row r="35">
          <cell r="F35">
            <v>36954558</v>
          </cell>
          <cell r="G35">
            <v>234661443.29999998</v>
          </cell>
          <cell r="H35">
            <v>20416074.489999998</v>
          </cell>
          <cell r="I35">
            <v>63192294.18</v>
          </cell>
        </row>
        <row r="36">
          <cell r="F36">
            <v>2755531</v>
          </cell>
          <cell r="G36">
            <v>9368805.4000000004</v>
          </cell>
          <cell r="H36">
            <v>1390811</v>
          </cell>
          <cell r="I36">
            <v>2507533.21</v>
          </cell>
        </row>
        <row r="37">
          <cell r="F37">
            <v>289956</v>
          </cell>
          <cell r="G37">
            <v>2508119.4</v>
          </cell>
          <cell r="H37">
            <v>750</v>
          </cell>
          <cell r="I37">
            <v>675597.48</v>
          </cell>
        </row>
        <row r="38">
          <cell r="F38">
            <v>0</v>
          </cell>
          <cell r="G38">
            <v>0</v>
          </cell>
          <cell r="H38">
            <v>0</v>
          </cell>
          <cell r="I38">
            <v>0</v>
          </cell>
        </row>
        <row r="39">
          <cell r="G39">
            <v>-13706334.41</v>
          </cell>
          <cell r="H39">
            <v>-5115003.62</v>
          </cell>
          <cell r="I39">
            <v>0</v>
          </cell>
        </row>
        <row r="41">
          <cell r="J41">
            <v>13681716</v>
          </cell>
        </row>
        <row r="42">
          <cell r="J42">
            <v>298828669.92000002</v>
          </cell>
        </row>
        <row r="43">
          <cell r="J43">
            <v>-340277.43</v>
          </cell>
        </row>
        <row r="44">
          <cell r="J44">
            <v>15068672.85</v>
          </cell>
        </row>
        <row r="45">
          <cell r="J45">
            <v>10127465.85</v>
          </cell>
        </row>
        <row r="47">
          <cell r="J47">
            <v>-8273332.7400000002</v>
          </cell>
        </row>
        <row r="48">
          <cell r="J48">
            <v>-59570028.43</v>
          </cell>
        </row>
        <row r="49">
          <cell r="J49">
            <v>-300941.8</v>
          </cell>
        </row>
        <row r="50">
          <cell r="J50">
            <v>0</v>
          </cell>
        </row>
        <row r="53">
          <cell r="J53">
            <v>33858934</v>
          </cell>
        </row>
      </sheetData>
      <sheetData sheetId="5">
        <row r="5">
          <cell r="F5">
            <v>50879</v>
          </cell>
          <cell r="G5">
            <v>22390.84</v>
          </cell>
          <cell r="H5">
            <v>1724.4</v>
          </cell>
          <cell r="I5">
            <v>6117.7199999999993</v>
          </cell>
        </row>
        <row r="6">
          <cell r="F6">
            <v>58842330</v>
          </cell>
          <cell r="G6">
            <v>121221727.29000001</v>
          </cell>
          <cell r="H6">
            <v>62388666.469999999</v>
          </cell>
          <cell r="I6">
            <v>32370320.950000003</v>
          </cell>
        </row>
        <row r="7">
          <cell r="F7">
            <v>53856105</v>
          </cell>
          <cell r="G7">
            <v>205207196.22</v>
          </cell>
          <cell r="I7">
            <v>55502963.160000004</v>
          </cell>
        </row>
        <row r="8">
          <cell r="F8">
            <v>16464818</v>
          </cell>
          <cell r="G8">
            <v>88251991.659999996</v>
          </cell>
          <cell r="I8">
            <v>23722950.239999998</v>
          </cell>
        </row>
        <row r="9">
          <cell r="F9">
            <v>31433346</v>
          </cell>
          <cell r="G9">
            <v>215631988.02000001</v>
          </cell>
          <cell r="I9">
            <v>58128085.950000003</v>
          </cell>
        </row>
        <row r="10">
          <cell r="F10">
            <v>-3870</v>
          </cell>
          <cell r="G10">
            <v>-15480</v>
          </cell>
          <cell r="H10">
            <v>63044805.890000001</v>
          </cell>
        </row>
        <row r="11">
          <cell r="F11">
            <v>-3717</v>
          </cell>
          <cell r="G11">
            <v>-22302</v>
          </cell>
        </row>
        <row r="12">
          <cell r="F12">
            <v>-4198</v>
          </cell>
          <cell r="G12">
            <v>-28966.2</v>
          </cell>
        </row>
        <row r="13">
          <cell r="F13">
            <v>50214</v>
          </cell>
          <cell r="G13">
            <v>381626.39999999997</v>
          </cell>
        </row>
        <row r="14">
          <cell r="F14">
            <v>47404817</v>
          </cell>
          <cell r="G14">
            <v>260726493.5</v>
          </cell>
          <cell r="I14">
            <v>70159129.159999996</v>
          </cell>
        </row>
        <row r="15">
          <cell r="F15">
            <v>34038154</v>
          </cell>
          <cell r="G15">
            <v>277751336.63999999</v>
          </cell>
          <cell r="I15">
            <v>74883938.800000012</v>
          </cell>
        </row>
        <row r="16">
          <cell r="F16">
            <v>24578870</v>
          </cell>
          <cell r="G16">
            <v>196624775.5</v>
          </cell>
          <cell r="H16">
            <v>22478340.23</v>
          </cell>
          <cell r="I16">
            <v>52825575.25</v>
          </cell>
        </row>
        <row r="17">
          <cell r="F17">
            <v>45321087</v>
          </cell>
          <cell r="G17">
            <v>366647593.82999998</v>
          </cell>
          <cell r="H17">
            <v>35308672.130000003</v>
          </cell>
          <cell r="I17">
            <v>98799969.660000011</v>
          </cell>
        </row>
        <row r="18">
          <cell r="F18">
            <v>355</v>
          </cell>
          <cell r="G18">
            <v>1313.5</v>
          </cell>
          <cell r="H18">
            <v>3070378</v>
          </cell>
        </row>
        <row r="19">
          <cell r="F19">
            <v>374</v>
          </cell>
          <cell r="G19">
            <v>2057</v>
          </cell>
        </row>
        <row r="20">
          <cell r="F20">
            <v>223</v>
          </cell>
          <cell r="G20">
            <v>1326.8500000000001</v>
          </cell>
        </row>
        <row r="21">
          <cell r="F21">
            <v>4252</v>
          </cell>
          <cell r="G21">
            <v>27212.800000000003</v>
          </cell>
        </row>
        <row r="22">
          <cell r="F22">
            <v>1934307</v>
          </cell>
          <cell r="G22">
            <v>10077739.470000001</v>
          </cell>
          <cell r="I22">
            <v>2708029.8</v>
          </cell>
        </row>
        <row r="23">
          <cell r="F23">
            <v>2291356</v>
          </cell>
          <cell r="G23">
            <v>16681071.68</v>
          </cell>
          <cell r="I23">
            <v>4491057.76</v>
          </cell>
        </row>
        <row r="24">
          <cell r="F24">
            <v>4709403</v>
          </cell>
          <cell r="G24">
            <v>30705307.559999999</v>
          </cell>
          <cell r="H24">
            <v>5274602.09</v>
          </cell>
          <cell r="I24">
            <v>8241455.25</v>
          </cell>
        </row>
        <row r="25">
          <cell r="F25">
            <v>4224548</v>
          </cell>
          <cell r="G25">
            <v>26994861.719999999</v>
          </cell>
          <cell r="H25">
            <v>2743031.8</v>
          </cell>
          <cell r="I25">
            <v>7266222.5599999996</v>
          </cell>
        </row>
        <row r="26">
          <cell r="F26">
            <v>247902</v>
          </cell>
          <cell r="G26">
            <v>2912950</v>
          </cell>
          <cell r="H26">
            <v>792197.16</v>
          </cell>
          <cell r="I26">
            <v>784286.72000000009</v>
          </cell>
        </row>
        <row r="27">
          <cell r="F27">
            <v>1955982.03</v>
          </cell>
          <cell r="G27">
            <v>11070858.289800001</v>
          </cell>
          <cell r="H27">
            <v>1773313.15</v>
          </cell>
          <cell r="I27">
            <v>2973092.6856</v>
          </cell>
        </row>
        <row r="28">
          <cell r="F28">
            <v>332245</v>
          </cell>
          <cell r="G28">
            <v>1880554.22</v>
          </cell>
          <cell r="H28">
            <v>215463.58</v>
          </cell>
          <cell r="I28">
            <v>505213.04</v>
          </cell>
        </row>
        <row r="29">
          <cell r="F29">
            <v>35011</v>
          </cell>
          <cell r="G29">
            <v>103426.69</v>
          </cell>
          <cell r="H29">
            <v>7078</v>
          </cell>
          <cell r="I29">
            <v>8345.91</v>
          </cell>
        </row>
        <row r="30">
          <cell r="F30">
            <v>3990562</v>
          </cell>
          <cell r="G30">
            <v>37267361.82</v>
          </cell>
          <cell r="H30">
            <v>2172656.66</v>
          </cell>
          <cell r="I30">
            <v>9289623.6399999987</v>
          </cell>
        </row>
        <row r="31">
          <cell r="F31">
            <v>112704</v>
          </cell>
          <cell r="G31">
            <v>349382.40000000002</v>
          </cell>
          <cell r="H31">
            <v>3300</v>
          </cell>
          <cell r="I31">
            <v>93544.319999999992</v>
          </cell>
        </row>
        <row r="32">
          <cell r="F32">
            <v>1260549</v>
          </cell>
          <cell r="G32">
            <v>8571733.1999999993</v>
          </cell>
          <cell r="H32">
            <v>433116.67</v>
          </cell>
          <cell r="I32">
            <v>2306804.67</v>
          </cell>
        </row>
        <row r="33">
          <cell r="F33">
            <v>4391810</v>
          </cell>
          <cell r="G33">
            <v>29864308</v>
          </cell>
          <cell r="H33">
            <v>3412574.82</v>
          </cell>
          <cell r="I33">
            <v>8037012.3000000007</v>
          </cell>
        </row>
        <row r="34">
          <cell r="F34">
            <v>15860574</v>
          </cell>
          <cell r="G34">
            <v>93577386.600000009</v>
          </cell>
          <cell r="H34">
            <v>9387642.5</v>
          </cell>
          <cell r="I34">
            <v>25218312.66</v>
          </cell>
        </row>
        <row r="35">
          <cell r="F35">
            <v>32757904</v>
          </cell>
          <cell r="G35">
            <v>208012690.39999998</v>
          </cell>
          <cell r="H35">
            <v>18269465.16</v>
          </cell>
          <cell r="I35">
            <v>56016015.839999996</v>
          </cell>
        </row>
        <row r="36">
          <cell r="F36">
            <v>2815059</v>
          </cell>
          <cell r="G36">
            <v>9571200.5999999996</v>
          </cell>
          <cell r="H36">
            <v>1364497.77</v>
          </cell>
          <cell r="I36">
            <v>2561703.69</v>
          </cell>
        </row>
        <row r="37">
          <cell r="F37">
            <v>301329</v>
          </cell>
          <cell r="G37">
            <v>2606495.85</v>
          </cell>
          <cell r="H37">
            <v>750</v>
          </cell>
          <cell r="I37">
            <v>702096.57000000007</v>
          </cell>
        </row>
        <row r="38">
          <cell r="F38">
            <v>4235138</v>
          </cell>
          <cell r="G38">
            <v>23716772.799999997</v>
          </cell>
          <cell r="H38">
            <v>1647848</v>
          </cell>
          <cell r="I38">
            <v>6395058.3799999999</v>
          </cell>
        </row>
        <row r="39">
          <cell r="G39">
            <v>-8293410.21</v>
          </cell>
          <cell r="H39">
            <v>560394.85</v>
          </cell>
          <cell r="I39">
            <v>0</v>
          </cell>
        </row>
        <row r="41">
          <cell r="J41">
            <v>14464655.050000001</v>
          </cell>
        </row>
        <row r="42">
          <cell r="J42">
            <v>284991366.64999998</v>
          </cell>
        </row>
        <row r="43">
          <cell r="J43">
            <v>-67163.48</v>
          </cell>
        </row>
        <row r="44">
          <cell r="J44">
            <v>14201383.199999999</v>
          </cell>
        </row>
        <row r="45">
          <cell r="J45">
            <v>8973891.7200000007</v>
          </cell>
        </row>
        <row r="47">
          <cell r="J47">
            <v>-9359181.7100000009</v>
          </cell>
        </row>
        <row r="48">
          <cell r="J48">
            <v>-59444477.700000003</v>
          </cell>
        </row>
        <row r="49">
          <cell r="J49">
            <v>-288751.46999999997</v>
          </cell>
        </row>
        <row r="50">
          <cell r="J50">
            <v>0</v>
          </cell>
        </row>
        <row r="53">
          <cell r="J53">
            <v>47071509.430000007</v>
          </cell>
        </row>
      </sheetData>
      <sheetData sheetId="6">
        <row r="5">
          <cell r="F5">
            <v>47620</v>
          </cell>
          <cell r="G5">
            <v>20988.560000000001</v>
          </cell>
          <cell r="H5">
            <v>1731.2</v>
          </cell>
          <cell r="I5">
            <v>5821.6799999999994</v>
          </cell>
        </row>
        <row r="6">
          <cell r="F6">
            <v>58426187</v>
          </cell>
          <cell r="G6">
            <v>120395645.44000001</v>
          </cell>
          <cell r="H6">
            <v>62378283.969999999</v>
          </cell>
          <cell r="I6">
            <v>32175059.950000003</v>
          </cell>
        </row>
        <row r="7">
          <cell r="F7">
            <v>53137134</v>
          </cell>
          <cell r="G7">
            <v>202480716.18000001</v>
          </cell>
          <cell r="I7">
            <v>54788272.940000005</v>
          </cell>
        </row>
        <row r="8">
          <cell r="F8">
            <v>15590584</v>
          </cell>
          <cell r="G8">
            <v>83566664.660000011</v>
          </cell>
          <cell r="I8">
            <v>22477667.039999999</v>
          </cell>
        </row>
        <row r="9">
          <cell r="F9">
            <v>30011207</v>
          </cell>
          <cell r="G9">
            <v>205879253.97999999</v>
          </cell>
          <cell r="I9">
            <v>55593930.050000004</v>
          </cell>
        </row>
        <row r="10">
          <cell r="F10">
            <v>-34901</v>
          </cell>
          <cell r="G10">
            <v>-139604</v>
          </cell>
          <cell r="H10">
            <v>63053358.520000003</v>
          </cell>
        </row>
        <row r="11">
          <cell r="F11">
            <v>-10268</v>
          </cell>
          <cell r="G11">
            <v>-61608</v>
          </cell>
        </row>
        <row r="12">
          <cell r="F12">
            <v>-13181</v>
          </cell>
          <cell r="G12">
            <v>-90948.900000000009</v>
          </cell>
        </row>
        <row r="13">
          <cell r="F13">
            <v>-32250</v>
          </cell>
          <cell r="G13">
            <v>-245100</v>
          </cell>
        </row>
        <row r="14">
          <cell r="F14">
            <v>46451021</v>
          </cell>
          <cell r="G14">
            <v>255480615.5</v>
          </cell>
          <cell r="I14">
            <v>68747511.079999998</v>
          </cell>
        </row>
        <row r="15">
          <cell r="F15">
            <v>32362435</v>
          </cell>
          <cell r="G15">
            <v>264077469.59999999</v>
          </cell>
          <cell r="I15">
            <v>71197357</v>
          </cell>
        </row>
        <row r="16">
          <cell r="F16">
            <v>21820229</v>
          </cell>
          <cell r="G16">
            <v>174561806.09999999</v>
          </cell>
          <cell r="H16">
            <v>21944565.91</v>
          </cell>
          <cell r="I16">
            <v>46913412.799999997</v>
          </cell>
        </row>
        <row r="17">
          <cell r="F17">
            <v>42880984</v>
          </cell>
          <cell r="G17">
            <v>346907160.56</v>
          </cell>
          <cell r="H17">
            <v>34761261.079999998</v>
          </cell>
          <cell r="I17">
            <v>93480545.120000005</v>
          </cell>
        </row>
        <row r="18">
          <cell r="F18">
            <v>-627</v>
          </cell>
          <cell r="G18">
            <v>-2319.9</v>
          </cell>
          <cell r="H18">
            <v>3048159.95</v>
          </cell>
        </row>
        <row r="19">
          <cell r="F19">
            <v>-129</v>
          </cell>
          <cell r="G19">
            <v>-709.5</v>
          </cell>
        </row>
        <row r="20">
          <cell r="F20">
            <v>-53</v>
          </cell>
          <cell r="G20">
            <v>-315.35000000000002</v>
          </cell>
        </row>
        <row r="21">
          <cell r="F21">
            <v>0</v>
          </cell>
          <cell r="G21">
            <v>0</v>
          </cell>
        </row>
        <row r="22">
          <cell r="F22">
            <v>1915923</v>
          </cell>
          <cell r="G22">
            <v>9981958.8300000001</v>
          </cell>
          <cell r="I22">
            <v>2682292.1999999997</v>
          </cell>
        </row>
        <row r="23">
          <cell r="F23">
            <v>2272182</v>
          </cell>
          <cell r="G23">
            <v>16541484.960000001</v>
          </cell>
          <cell r="I23">
            <v>4453476.72</v>
          </cell>
        </row>
        <row r="24">
          <cell r="F24">
            <v>4579149</v>
          </cell>
          <cell r="G24">
            <v>29856051.479999997</v>
          </cell>
          <cell r="H24">
            <v>5298405.88</v>
          </cell>
          <cell r="I24">
            <v>8013510.75</v>
          </cell>
        </row>
        <row r="25">
          <cell r="F25">
            <v>4225649</v>
          </cell>
          <cell r="G25">
            <v>27001897.109999999</v>
          </cell>
          <cell r="H25">
            <v>2729363.4</v>
          </cell>
          <cell r="I25">
            <v>7268116.2800000003</v>
          </cell>
        </row>
        <row r="26">
          <cell r="F26">
            <v>144749</v>
          </cell>
          <cell r="G26">
            <v>1701642.5</v>
          </cell>
          <cell r="H26">
            <v>316013.27</v>
          </cell>
          <cell r="I26">
            <v>465006.64</v>
          </cell>
        </row>
        <row r="27">
          <cell r="F27">
            <v>2069850</v>
          </cell>
          <cell r="G27">
            <v>11715351</v>
          </cell>
          <cell r="H27">
            <v>1759284.54</v>
          </cell>
          <cell r="I27">
            <v>3146172</v>
          </cell>
        </row>
        <row r="28">
          <cell r="F28">
            <v>324713</v>
          </cell>
          <cell r="G28">
            <v>1838180.86</v>
          </cell>
          <cell r="H28">
            <v>215707.01</v>
          </cell>
          <cell r="I28">
            <v>494852.72000000003</v>
          </cell>
        </row>
        <row r="29">
          <cell r="F29">
            <v>-9154</v>
          </cell>
          <cell r="G29">
            <v>-29567.42</v>
          </cell>
          <cell r="H29">
            <v>800</v>
          </cell>
          <cell r="I29">
            <v>-7963.98</v>
          </cell>
        </row>
        <row r="30">
          <cell r="F30">
            <v>2859216</v>
          </cell>
          <cell r="G30">
            <v>26848045.920000002</v>
          </cell>
          <cell r="H30">
            <v>1932780.01</v>
          </cell>
          <cell r="I30">
            <v>7233846.8399999999</v>
          </cell>
        </row>
        <row r="31">
          <cell r="F31">
            <v>108305</v>
          </cell>
          <cell r="G31">
            <v>335745.5</v>
          </cell>
          <cell r="H31">
            <v>3300</v>
          </cell>
          <cell r="I31">
            <v>89893.15</v>
          </cell>
        </row>
        <row r="32">
          <cell r="F32">
            <v>1459483</v>
          </cell>
          <cell r="G32">
            <v>9924484.4000000004</v>
          </cell>
          <cell r="H32">
            <v>473275.02</v>
          </cell>
          <cell r="I32">
            <v>2670853.89</v>
          </cell>
        </row>
        <row r="33">
          <cell r="F33">
            <v>4625851</v>
          </cell>
          <cell r="G33">
            <v>31455786.800000001</v>
          </cell>
          <cell r="H33">
            <v>3644506.31</v>
          </cell>
          <cell r="I33">
            <v>8465307.3300000001</v>
          </cell>
        </row>
        <row r="34">
          <cell r="F34">
            <v>15025907</v>
          </cell>
          <cell r="G34">
            <v>88652851.300000012</v>
          </cell>
          <cell r="H34">
            <v>9359206.5</v>
          </cell>
          <cell r="I34">
            <v>23891192.130000003</v>
          </cell>
        </row>
        <row r="35">
          <cell r="F35">
            <v>31557741</v>
          </cell>
          <cell r="G35">
            <v>200391655.34999999</v>
          </cell>
          <cell r="H35">
            <v>17803234.239999998</v>
          </cell>
          <cell r="I35">
            <v>53963737.109999999</v>
          </cell>
        </row>
        <row r="36">
          <cell r="F36">
            <v>2803640</v>
          </cell>
          <cell r="G36">
            <v>9532376</v>
          </cell>
          <cell r="H36">
            <v>1349898.77</v>
          </cell>
          <cell r="I36">
            <v>2551312.4</v>
          </cell>
        </row>
        <row r="37">
          <cell r="F37">
            <v>305904</v>
          </cell>
          <cell r="G37">
            <v>2646069.6</v>
          </cell>
          <cell r="H37">
            <v>750</v>
          </cell>
          <cell r="I37">
            <v>712756.32000000007</v>
          </cell>
        </row>
        <row r="38">
          <cell r="F38">
            <v>4224106</v>
          </cell>
          <cell r="G38">
            <v>23654993.599999998</v>
          </cell>
          <cell r="H38">
            <v>1663603</v>
          </cell>
          <cell r="I38">
            <v>6378400.0599999996</v>
          </cell>
        </row>
        <row r="39">
          <cell r="G39">
            <v>-2985780.89</v>
          </cell>
          <cell r="H39">
            <v>449003.96</v>
          </cell>
          <cell r="I39">
            <v>0</v>
          </cell>
        </row>
        <row r="41">
          <cell r="J41">
            <v>13406599.35</v>
          </cell>
        </row>
        <row r="42">
          <cell r="J42">
            <v>575333285.20000005</v>
          </cell>
        </row>
        <row r="43">
          <cell r="J43">
            <v>-55725.79</v>
          </cell>
        </row>
        <row r="44">
          <cell r="J44">
            <v>13209519.52</v>
          </cell>
        </row>
        <row r="45">
          <cell r="J45">
            <v>8700822.9199999999</v>
          </cell>
        </row>
        <row r="47">
          <cell r="J47">
            <v>-10781162.41</v>
          </cell>
        </row>
        <row r="48">
          <cell r="J48">
            <v>-65749750.899999999</v>
          </cell>
        </row>
        <row r="49">
          <cell r="J49">
            <v>-279510.08</v>
          </cell>
        </row>
        <row r="50">
          <cell r="J50">
            <v>0</v>
          </cell>
        </row>
        <row r="53">
          <cell r="J53">
            <v>44959592.609999999</v>
          </cell>
        </row>
      </sheetData>
      <sheetData sheetId="7">
        <row r="5">
          <cell r="F5">
            <v>55544</v>
          </cell>
          <cell r="G5">
            <v>24444.36</v>
          </cell>
          <cell r="H5">
            <v>1744.5</v>
          </cell>
          <cell r="I5">
            <v>6680.28</v>
          </cell>
        </row>
        <row r="6">
          <cell r="F6">
            <v>58521456</v>
          </cell>
          <cell r="G6">
            <v>120572986.23</v>
          </cell>
          <cell r="H6">
            <v>62434700.100000001</v>
          </cell>
          <cell r="I6">
            <v>32207061.150000002</v>
          </cell>
        </row>
        <row r="7">
          <cell r="F7">
            <v>52820764</v>
          </cell>
          <cell r="G7">
            <v>201263202.36000001</v>
          </cell>
          <cell r="I7">
            <v>54437885.480000004</v>
          </cell>
        </row>
        <row r="8">
          <cell r="F8">
            <v>15839552</v>
          </cell>
          <cell r="G8">
            <v>84900880.120000005</v>
          </cell>
          <cell r="I8">
            <v>22830108.48</v>
          </cell>
        </row>
        <row r="9">
          <cell r="F9">
            <v>30252357</v>
          </cell>
          <cell r="G9">
            <v>207532432.80000001</v>
          </cell>
          <cell r="I9">
            <v>56005827</v>
          </cell>
        </row>
        <row r="10">
          <cell r="F10">
            <v>-16549</v>
          </cell>
          <cell r="G10">
            <v>-66196</v>
          </cell>
          <cell r="H10">
            <v>63031864.280000001</v>
          </cell>
        </row>
        <row r="11">
          <cell r="F11">
            <v>-5216</v>
          </cell>
          <cell r="G11">
            <v>-31296</v>
          </cell>
        </row>
        <row r="12">
          <cell r="F12">
            <v>-7390</v>
          </cell>
          <cell r="G12">
            <v>-50991</v>
          </cell>
        </row>
        <row r="13">
          <cell r="F13">
            <v>-12984</v>
          </cell>
          <cell r="G13">
            <v>-98678.399999999994</v>
          </cell>
        </row>
        <row r="14">
          <cell r="F14">
            <v>46361683</v>
          </cell>
          <cell r="G14">
            <v>254989256.5</v>
          </cell>
          <cell r="I14">
            <v>68615290.840000004</v>
          </cell>
        </row>
        <row r="15">
          <cell r="F15">
            <v>32478313</v>
          </cell>
          <cell r="G15">
            <v>265023034.08000001</v>
          </cell>
          <cell r="I15">
            <v>71452288.600000009</v>
          </cell>
        </row>
        <row r="16">
          <cell r="F16">
            <v>20830797</v>
          </cell>
          <cell r="G16">
            <v>166646376</v>
          </cell>
          <cell r="H16">
            <v>21739292.600000001</v>
          </cell>
          <cell r="I16">
            <v>44786213.549999997</v>
          </cell>
        </row>
        <row r="17">
          <cell r="F17">
            <v>40794559</v>
          </cell>
          <cell r="G17">
            <v>330027982.31</v>
          </cell>
          <cell r="H17">
            <v>36930804.829999998</v>
          </cell>
          <cell r="I17">
            <v>88932138.620000005</v>
          </cell>
        </row>
        <row r="18">
          <cell r="F18">
            <v>-317</v>
          </cell>
          <cell r="G18">
            <v>-1172.9000000000001</v>
          </cell>
          <cell r="H18">
            <v>3036978.3</v>
          </cell>
        </row>
        <row r="19">
          <cell r="F19">
            <v>-199</v>
          </cell>
          <cell r="G19">
            <v>-1094.5</v>
          </cell>
        </row>
        <row r="20">
          <cell r="F20">
            <v>-716</v>
          </cell>
          <cell r="G20">
            <v>-4260.2</v>
          </cell>
        </row>
        <row r="21">
          <cell r="F21">
            <v>-3805</v>
          </cell>
          <cell r="G21">
            <v>-24352</v>
          </cell>
        </row>
        <row r="22">
          <cell r="F22">
            <v>1914064</v>
          </cell>
          <cell r="G22">
            <v>9972273.4399999995</v>
          </cell>
          <cell r="I22">
            <v>2679689.5999999996</v>
          </cell>
        </row>
        <row r="23">
          <cell r="F23">
            <v>2330821</v>
          </cell>
          <cell r="G23">
            <v>16968376.879999999</v>
          </cell>
          <cell r="I23">
            <v>4568409.16</v>
          </cell>
        </row>
        <row r="24">
          <cell r="F24">
            <v>4360179</v>
          </cell>
          <cell r="G24">
            <v>28428367.079999998</v>
          </cell>
          <cell r="H24">
            <v>5293457.13</v>
          </cell>
          <cell r="I24">
            <v>7630313.25</v>
          </cell>
        </row>
        <row r="25">
          <cell r="F25">
            <v>4121535</v>
          </cell>
          <cell r="G25">
            <v>26336608.649999999</v>
          </cell>
          <cell r="H25">
            <v>2736497.2</v>
          </cell>
          <cell r="I25">
            <v>7089040.2000000002</v>
          </cell>
        </row>
        <row r="26">
          <cell r="F26">
            <v>140235</v>
          </cell>
          <cell r="G26">
            <v>1649194.15</v>
          </cell>
          <cell r="H26">
            <v>316546.65000000002</v>
          </cell>
          <cell r="I26">
            <v>456079.64</v>
          </cell>
        </row>
        <row r="27">
          <cell r="F27">
            <v>2129842.79</v>
          </cell>
          <cell r="G27">
            <v>12054910.191400001</v>
          </cell>
          <cell r="H27">
            <v>1796715.48</v>
          </cell>
          <cell r="I27">
            <v>3237361.0408000001</v>
          </cell>
        </row>
        <row r="28">
          <cell r="F28">
            <v>350495</v>
          </cell>
          <cell r="G28">
            <v>1983801.7</v>
          </cell>
          <cell r="H28">
            <v>215404.88</v>
          </cell>
          <cell r="I28">
            <v>532752.4</v>
          </cell>
        </row>
        <row r="29">
          <cell r="F29">
            <v>5167</v>
          </cell>
          <cell r="G29">
            <v>16689.41</v>
          </cell>
          <cell r="H29">
            <v>800</v>
          </cell>
          <cell r="I29">
            <v>4495.29</v>
          </cell>
        </row>
        <row r="30">
          <cell r="F30">
            <v>3055934</v>
          </cell>
          <cell r="G30">
            <v>28695220.260000002</v>
          </cell>
          <cell r="H30">
            <v>1809300.87</v>
          </cell>
          <cell r="I30">
            <v>7731513.0199999996</v>
          </cell>
        </row>
        <row r="31">
          <cell r="F31">
            <v>76247</v>
          </cell>
          <cell r="G31">
            <v>236365.7</v>
          </cell>
          <cell r="H31">
            <v>3395</v>
          </cell>
          <cell r="I31">
            <v>63285.009999999995</v>
          </cell>
        </row>
        <row r="32">
          <cell r="F32">
            <v>1456806</v>
          </cell>
          <cell r="G32">
            <v>9906280.7999999989</v>
          </cell>
          <cell r="H32">
            <v>474308.37</v>
          </cell>
          <cell r="I32">
            <v>2665954.98</v>
          </cell>
        </row>
        <row r="33">
          <cell r="F33">
            <v>4555595</v>
          </cell>
          <cell r="G33">
            <v>30978046</v>
          </cell>
          <cell r="H33">
            <v>3728670.07</v>
          </cell>
          <cell r="I33">
            <v>8336738.8500000006</v>
          </cell>
        </row>
        <row r="34">
          <cell r="F34">
            <v>14932420</v>
          </cell>
          <cell r="G34">
            <v>88101278</v>
          </cell>
          <cell r="H34">
            <v>9337206.5</v>
          </cell>
          <cell r="I34">
            <v>23742547.800000001</v>
          </cell>
        </row>
        <row r="35">
          <cell r="F35">
            <v>30062129</v>
          </cell>
          <cell r="G35">
            <v>190894519.14999998</v>
          </cell>
          <cell r="H35">
            <v>17736895.41</v>
          </cell>
          <cell r="I35">
            <v>51406240.589999996</v>
          </cell>
        </row>
        <row r="36">
          <cell r="F36">
            <v>2891449</v>
          </cell>
          <cell r="G36">
            <v>9830926.5999999996</v>
          </cell>
          <cell r="H36">
            <v>1535620</v>
          </cell>
          <cell r="I36">
            <v>2631218.5900000003</v>
          </cell>
        </row>
        <row r="37">
          <cell r="F37">
            <v>295476</v>
          </cell>
          <cell r="G37">
            <v>2555867.4</v>
          </cell>
          <cell r="H37">
            <v>1000</v>
          </cell>
          <cell r="I37">
            <v>688459.08000000007</v>
          </cell>
        </row>
        <row r="38">
          <cell r="F38">
            <v>4093720</v>
          </cell>
          <cell r="G38">
            <v>22924832</v>
          </cell>
          <cell r="H38">
            <v>1739932</v>
          </cell>
          <cell r="I38">
            <v>6181517.2000000002</v>
          </cell>
        </row>
        <row r="39">
          <cell r="G39">
            <v>443604.64</v>
          </cell>
          <cell r="H39">
            <v>464555.58</v>
          </cell>
          <cell r="I39">
            <v>0</v>
          </cell>
        </row>
        <row r="41">
          <cell r="J41">
            <v>15503214.369999999</v>
          </cell>
        </row>
        <row r="42">
          <cell r="J42">
            <v>536574088.95999998</v>
          </cell>
        </row>
        <row r="43">
          <cell r="J43">
            <v>-37222.17</v>
          </cell>
        </row>
        <row r="44">
          <cell r="J44">
            <v>11998713.43</v>
          </cell>
        </row>
        <row r="45">
          <cell r="J45">
            <v>11411460.09</v>
          </cell>
        </row>
        <row r="47">
          <cell r="J47">
            <v>-9421073.8399999999</v>
          </cell>
        </row>
        <row r="48">
          <cell r="J48">
            <v>-62860837.100000001</v>
          </cell>
        </row>
        <row r="49">
          <cell r="J49">
            <v>-300487.98</v>
          </cell>
        </row>
        <row r="50">
          <cell r="J50">
            <v>0</v>
          </cell>
        </row>
        <row r="53">
          <cell r="J53">
            <v>49684415.960000001</v>
          </cell>
        </row>
      </sheetData>
      <sheetData sheetId="8">
        <row r="5">
          <cell r="F5">
            <v>57350</v>
          </cell>
          <cell r="G5">
            <v>25234</v>
          </cell>
          <cell r="H5">
            <v>1400.6</v>
          </cell>
          <cell r="I5">
            <v>6882</v>
          </cell>
        </row>
        <row r="6">
          <cell r="F6">
            <v>58785361</v>
          </cell>
          <cell r="G6">
            <v>121112807.06</v>
          </cell>
          <cell r="H6">
            <v>62964088.57</v>
          </cell>
          <cell r="I6">
            <v>32348085.550000004</v>
          </cell>
        </row>
        <row r="7">
          <cell r="F7">
            <v>56598688</v>
          </cell>
          <cell r="G7">
            <v>215652611.94</v>
          </cell>
          <cell r="I7">
            <v>58320097.620000005</v>
          </cell>
        </row>
        <row r="8">
          <cell r="F8">
            <v>18478747</v>
          </cell>
          <cell r="G8">
            <v>99046556.900000006</v>
          </cell>
          <cell r="I8">
            <v>26620747.199999999</v>
          </cell>
        </row>
        <row r="9">
          <cell r="F9">
            <v>35432124</v>
          </cell>
          <cell r="G9">
            <v>243065535.42000002</v>
          </cell>
          <cell r="I9">
            <v>65585343.450000003</v>
          </cell>
        </row>
        <row r="10">
          <cell r="F10">
            <v>-17141</v>
          </cell>
          <cell r="G10">
            <v>-68564</v>
          </cell>
          <cell r="H10">
            <v>63015834.140000001</v>
          </cell>
        </row>
        <row r="11">
          <cell r="F11">
            <v>-5376</v>
          </cell>
          <cell r="G11">
            <v>-32256</v>
          </cell>
        </row>
        <row r="12">
          <cell r="F12">
            <v>-5535</v>
          </cell>
          <cell r="G12">
            <v>-38191.5</v>
          </cell>
        </row>
        <row r="13">
          <cell r="F13">
            <v>-11571</v>
          </cell>
          <cell r="G13">
            <v>-87939.599999999991</v>
          </cell>
        </row>
        <row r="14">
          <cell r="F14">
            <v>48372515</v>
          </cell>
          <cell r="G14">
            <v>266048832.5</v>
          </cell>
          <cell r="I14">
            <v>71591322.200000003</v>
          </cell>
        </row>
        <row r="15">
          <cell r="F15">
            <v>36365612</v>
          </cell>
          <cell r="G15">
            <v>296743393.92000002</v>
          </cell>
          <cell r="I15">
            <v>80004346.400000006</v>
          </cell>
        </row>
        <row r="16">
          <cell r="F16">
            <v>22682792</v>
          </cell>
          <cell r="G16">
            <v>181462336</v>
          </cell>
          <cell r="H16">
            <v>22214692.899999999</v>
          </cell>
          <cell r="I16">
            <v>48768002.799999997</v>
          </cell>
        </row>
        <row r="17">
          <cell r="F17">
            <v>43951634</v>
          </cell>
          <cell r="G17">
            <v>355568719.06</v>
          </cell>
          <cell r="H17">
            <v>35680036.399999999</v>
          </cell>
          <cell r="I17">
            <v>95814562.120000005</v>
          </cell>
        </row>
        <row r="18">
          <cell r="F18">
            <v>-347</v>
          </cell>
          <cell r="G18">
            <v>-1283.9000000000001</v>
          </cell>
          <cell r="H18">
            <v>3029366.27</v>
          </cell>
        </row>
        <row r="19">
          <cell r="F19">
            <v>-6</v>
          </cell>
          <cell r="G19">
            <v>-33</v>
          </cell>
        </row>
        <row r="20">
          <cell r="F20">
            <v>0</v>
          </cell>
          <cell r="G20">
            <v>0</v>
          </cell>
        </row>
        <row r="21">
          <cell r="F21">
            <v>0</v>
          </cell>
          <cell r="G21">
            <v>0</v>
          </cell>
        </row>
        <row r="22">
          <cell r="F22">
            <v>1921914</v>
          </cell>
          <cell r="G22">
            <v>10013171.939999999</v>
          </cell>
          <cell r="I22">
            <v>2690679.5999999996</v>
          </cell>
        </row>
        <row r="23">
          <cell r="F23">
            <v>2392549</v>
          </cell>
          <cell r="G23">
            <v>17417756.719999999</v>
          </cell>
          <cell r="I23">
            <v>4689396.04</v>
          </cell>
        </row>
        <row r="24">
          <cell r="F24">
            <v>4798708</v>
          </cell>
          <cell r="G24">
            <v>31287576.159999996</v>
          </cell>
          <cell r="H24">
            <v>5255422.2699999996</v>
          </cell>
          <cell r="I24">
            <v>8397739</v>
          </cell>
        </row>
        <row r="25">
          <cell r="F25">
            <v>4375436</v>
          </cell>
          <cell r="G25">
            <v>27959036.039999999</v>
          </cell>
          <cell r="H25">
            <v>2727655.31</v>
          </cell>
          <cell r="I25">
            <v>7525749.9199999999</v>
          </cell>
        </row>
        <row r="26">
          <cell r="F26">
            <v>181430</v>
          </cell>
          <cell r="G26">
            <v>2132370.2000000002</v>
          </cell>
          <cell r="H26">
            <v>318973.36</v>
          </cell>
          <cell r="I26">
            <v>578444.32000000007</v>
          </cell>
        </row>
        <row r="27">
          <cell r="F27">
            <v>2263135.4</v>
          </cell>
          <cell r="G27">
            <v>12809346.364</v>
          </cell>
          <cell r="H27">
            <v>1789862.54</v>
          </cell>
          <cell r="I27">
            <v>3439965.8079999997</v>
          </cell>
        </row>
        <row r="28">
          <cell r="F28">
            <v>341799</v>
          </cell>
          <cell r="G28">
            <v>1934582.34</v>
          </cell>
          <cell r="H28">
            <v>212400.92</v>
          </cell>
          <cell r="I28">
            <v>519534.48</v>
          </cell>
        </row>
        <row r="29">
          <cell r="F29">
            <v>1028188</v>
          </cell>
          <cell r="G29">
            <v>3321047.2399999998</v>
          </cell>
          <cell r="H29">
            <v>200466.67</v>
          </cell>
          <cell r="I29">
            <v>894523.55999999994</v>
          </cell>
        </row>
        <row r="30">
          <cell r="F30">
            <v>3147769</v>
          </cell>
          <cell r="G30">
            <v>29557550.91</v>
          </cell>
          <cell r="H30">
            <v>1844119.98</v>
          </cell>
          <cell r="I30">
            <v>7963855.5699999994</v>
          </cell>
        </row>
        <row r="31">
          <cell r="F31">
            <v>128169</v>
          </cell>
          <cell r="G31">
            <v>397323.9</v>
          </cell>
          <cell r="H31">
            <v>3450</v>
          </cell>
          <cell r="I31">
            <v>106380.26999999999</v>
          </cell>
        </row>
        <row r="32">
          <cell r="F32">
            <v>1496162</v>
          </cell>
          <cell r="G32">
            <v>10173901.6</v>
          </cell>
          <cell r="H32">
            <v>475183.32</v>
          </cell>
          <cell r="I32">
            <v>2737976.46</v>
          </cell>
        </row>
        <row r="33">
          <cell r="F33">
            <v>4888756</v>
          </cell>
          <cell r="G33">
            <v>33243540.800000001</v>
          </cell>
          <cell r="H33">
            <v>3768924.73</v>
          </cell>
          <cell r="I33">
            <v>8946423.4800000004</v>
          </cell>
        </row>
        <row r="34">
          <cell r="F34">
            <v>14514774</v>
          </cell>
          <cell r="G34">
            <v>85637166.600000009</v>
          </cell>
          <cell r="H34">
            <v>9043472.5</v>
          </cell>
          <cell r="I34">
            <v>23078490.66</v>
          </cell>
        </row>
        <row r="35">
          <cell r="F35">
            <v>32254763</v>
          </cell>
          <cell r="G35">
            <v>204817745.04999998</v>
          </cell>
          <cell r="H35">
            <v>18023790.079999998</v>
          </cell>
          <cell r="I35">
            <v>55155644.729999997</v>
          </cell>
        </row>
        <row r="36">
          <cell r="F36">
            <v>2951805</v>
          </cell>
          <cell r="G36">
            <v>10036137</v>
          </cell>
          <cell r="H36">
            <v>1530669.8</v>
          </cell>
          <cell r="I36">
            <v>2686142.5500000003</v>
          </cell>
        </row>
        <row r="37">
          <cell r="F37">
            <v>480602</v>
          </cell>
          <cell r="G37">
            <v>4157207.3000000003</v>
          </cell>
          <cell r="H37">
            <v>1250</v>
          </cell>
          <cell r="I37">
            <v>1119802.6600000001</v>
          </cell>
        </row>
        <row r="38">
          <cell r="F38">
            <v>4248164</v>
          </cell>
          <cell r="G38">
            <v>23789718.399999999</v>
          </cell>
          <cell r="H38">
            <v>1757832</v>
          </cell>
          <cell r="I38">
            <v>6414727.6399999997</v>
          </cell>
        </row>
        <row r="39">
          <cell r="G39">
            <v>-1000.29</v>
          </cell>
          <cell r="H39">
            <v>0</v>
          </cell>
          <cell r="I39">
            <v>0</v>
          </cell>
        </row>
        <row r="41">
          <cell r="J41">
            <v>12072689.310000001</v>
          </cell>
        </row>
        <row r="42">
          <cell r="J42">
            <v>366371287.95999998</v>
          </cell>
        </row>
        <row r="43">
          <cell r="J43">
            <v>0</v>
          </cell>
        </row>
        <row r="44">
          <cell r="J44">
            <v>14177428.75</v>
          </cell>
        </row>
        <row r="45">
          <cell r="J45">
            <v>8350407.8600000003</v>
          </cell>
        </row>
        <row r="47">
          <cell r="J47">
            <v>-9725066.6799999997</v>
          </cell>
        </row>
        <row r="48">
          <cell r="J48">
            <v>-63485728.399999999</v>
          </cell>
        </row>
        <row r="49">
          <cell r="J49">
            <v>-306832.90999999997</v>
          </cell>
        </row>
        <row r="50">
          <cell r="J50">
            <v>0</v>
          </cell>
        </row>
        <row r="53">
          <cell r="J53">
            <v>52823575.649999999</v>
          </cell>
        </row>
      </sheetData>
      <sheetData sheetId="9">
        <row r="5">
          <cell r="F5">
            <v>-12917</v>
          </cell>
          <cell r="G5">
            <v>-5683.4800000000005</v>
          </cell>
          <cell r="H5">
            <v>824.2</v>
          </cell>
          <cell r="I5">
            <v>-1550.04</v>
          </cell>
        </row>
        <row r="6">
          <cell r="F6">
            <v>56485974</v>
          </cell>
          <cell r="G6">
            <v>116373908.97</v>
          </cell>
          <cell r="H6">
            <v>60770020.460000001</v>
          </cell>
          <cell r="I6">
            <v>31081092.350000001</v>
          </cell>
        </row>
        <row r="7">
          <cell r="F7">
            <v>43571451</v>
          </cell>
          <cell r="G7">
            <v>166015925.85000002</v>
          </cell>
          <cell r="I7">
            <v>44896160.149999999</v>
          </cell>
        </row>
        <row r="8">
          <cell r="F8">
            <v>11627239</v>
          </cell>
          <cell r="G8">
            <v>62322438.140000001</v>
          </cell>
          <cell r="I8">
            <v>16753714.559999999</v>
          </cell>
        </row>
        <row r="9">
          <cell r="F9">
            <v>24849411</v>
          </cell>
          <cell r="G9">
            <v>170466928.38000003</v>
          </cell>
          <cell r="I9">
            <v>45970452.050000004</v>
          </cell>
        </row>
        <row r="10">
          <cell r="F10">
            <v>-10971</v>
          </cell>
          <cell r="G10">
            <v>-43884</v>
          </cell>
          <cell r="H10">
            <v>63078504.799999997</v>
          </cell>
        </row>
        <row r="11">
          <cell r="F11">
            <v>-2607</v>
          </cell>
          <cell r="G11">
            <v>-15642</v>
          </cell>
        </row>
        <row r="12">
          <cell r="F12">
            <v>-4985</v>
          </cell>
          <cell r="G12">
            <v>-34396.5</v>
          </cell>
        </row>
        <row r="13">
          <cell r="F13">
            <v>-12143</v>
          </cell>
          <cell r="G13">
            <v>-92286.8</v>
          </cell>
        </row>
        <row r="14">
          <cell r="F14">
            <v>42269716</v>
          </cell>
          <cell r="G14">
            <v>232483438</v>
          </cell>
          <cell r="I14">
            <v>62559179.68</v>
          </cell>
        </row>
        <row r="15">
          <cell r="F15">
            <v>26928882</v>
          </cell>
          <cell r="G15">
            <v>219739677.12</v>
          </cell>
          <cell r="I15">
            <v>59243540.400000006</v>
          </cell>
        </row>
        <row r="16">
          <cell r="F16">
            <v>19497014</v>
          </cell>
          <cell r="G16">
            <v>155976112</v>
          </cell>
          <cell r="H16">
            <v>21468041.120000001</v>
          </cell>
          <cell r="I16">
            <v>41918580.100000001</v>
          </cell>
        </row>
        <row r="17">
          <cell r="F17">
            <v>38096630</v>
          </cell>
          <cell r="G17">
            <v>308201736.69999999</v>
          </cell>
          <cell r="H17">
            <v>35855157.390000001</v>
          </cell>
          <cell r="I17">
            <v>83050653.400000006</v>
          </cell>
        </row>
        <row r="18">
          <cell r="F18">
            <v>-238</v>
          </cell>
          <cell r="G18">
            <v>-880.6</v>
          </cell>
          <cell r="H18">
            <v>2979514.36</v>
          </cell>
        </row>
        <row r="19">
          <cell r="F19">
            <v>-46</v>
          </cell>
          <cell r="G19">
            <v>-253</v>
          </cell>
        </row>
        <row r="20">
          <cell r="F20">
            <v>-77</v>
          </cell>
          <cell r="G20">
            <v>-458.15000000000003</v>
          </cell>
        </row>
        <row r="21">
          <cell r="F21">
            <v>-97</v>
          </cell>
          <cell r="G21">
            <v>-620.80000000000007</v>
          </cell>
        </row>
        <row r="22">
          <cell r="F22">
            <v>1789421</v>
          </cell>
          <cell r="G22">
            <v>9322883.4100000001</v>
          </cell>
          <cell r="I22">
            <v>2505189.4</v>
          </cell>
        </row>
        <row r="23">
          <cell r="F23">
            <v>1960270</v>
          </cell>
          <cell r="G23">
            <v>14270765.6</v>
          </cell>
          <cell r="I23">
            <v>3842129.1999999997</v>
          </cell>
        </row>
        <row r="24">
          <cell r="F24">
            <v>4278049</v>
          </cell>
          <cell r="G24">
            <v>27892879.479999997</v>
          </cell>
          <cell r="H24">
            <v>5245003.33</v>
          </cell>
          <cell r="I24">
            <v>7486585.75</v>
          </cell>
        </row>
        <row r="25">
          <cell r="F25">
            <v>3928220</v>
          </cell>
          <cell r="G25">
            <v>25101325.799999997</v>
          </cell>
          <cell r="H25">
            <v>2689778.4</v>
          </cell>
          <cell r="I25">
            <v>6756538.3999999994</v>
          </cell>
        </row>
        <row r="26">
          <cell r="F26">
            <v>175451</v>
          </cell>
          <cell r="G26">
            <v>2061577.95</v>
          </cell>
          <cell r="H26">
            <v>331047.59000000003</v>
          </cell>
          <cell r="I26">
            <v>554684.28</v>
          </cell>
        </row>
        <row r="27">
          <cell r="F27">
            <v>2310792.0099999998</v>
          </cell>
          <cell r="G27">
            <v>13079082.7766</v>
          </cell>
          <cell r="H27">
            <v>1799416.48</v>
          </cell>
          <cell r="I27">
            <v>3512403.8551999996</v>
          </cell>
        </row>
        <row r="28">
          <cell r="F28">
            <v>319378</v>
          </cell>
          <cell r="G28">
            <v>1807679.48</v>
          </cell>
          <cell r="H28">
            <v>212235.92</v>
          </cell>
          <cell r="I28">
            <v>485454.56</v>
          </cell>
        </row>
        <row r="29">
          <cell r="F29">
            <v>152109</v>
          </cell>
          <cell r="G29">
            <v>491312.07</v>
          </cell>
          <cell r="H29">
            <v>38740</v>
          </cell>
          <cell r="I29">
            <v>132334.82999999999</v>
          </cell>
        </row>
        <row r="30">
          <cell r="F30">
            <v>3074513</v>
          </cell>
          <cell r="G30">
            <v>28869677.07</v>
          </cell>
          <cell r="H30">
            <v>1924412.93</v>
          </cell>
          <cell r="I30">
            <v>7778517.8899999997</v>
          </cell>
        </row>
        <row r="31">
          <cell r="F31">
            <v>102982</v>
          </cell>
          <cell r="G31">
            <v>319244.2</v>
          </cell>
          <cell r="H31">
            <v>3450</v>
          </cell>
          <cell r="I31">
            <v>85475.06</v>
          </cell>
        </row>
        <row r="32">
          <cell r="F32">
            <v>1259080</v>
          </cell>
          <cell r="G32">
            <v>8561744</v>
          </cell>
          <cell r="H32">
            <v>486299.99</v>
          </cell>
          <cell r="I32">
            <v>2304116.4</v>
          </cell>
        </row>
        <row r="33">
          <cell r="F33">
            <v>4306075</v>
          </cell>
          <cell r="G33">
            <v>29281310</v>
          </cell>
          <cell r="H33">
            <v>3765773.5</v>
          </cell>
          <cell r="I33">
            <v>7880117.25</v>
          </cell>
        </row>
        <row r="34">
          <cell r="F34">
            <v>12964543</v>
          </cell>
          <cell r="G34">
            <v>76490803.700000003</v>
          </cell>
          <cell r="H34">
            <v>8344405.5</v>
          </cell>
          <cell r="I34">
            <v>20613623.370000001</v>
          </cell>
        </row>
        <row r="35">
          <cell r="F35">
            <v>28963639</v>
          </cell>
          <cell r="G35">
            <v>183919107.64999998</v>
          </cell>
          <cell r="H35">
            <v>17700292.41</v>
          </cell>
          <cell r="I35">
            <v>49527822.689999998</v>
          </cell>
        </row>
        <row r="36">
          <cell r="F36">
            <v>2619196</v>
          </cell>
          <cell r="G36">
            <v>8905266.4000000004</v>
          </cell>
          <cell r="H36">
            <v>1487522.8</v>
          </cell>
          <cell r="I36">
            <v>2383468.36</v>
          </cell>
        </row>
        <row r="37">
          <cell r="F37">
            <v>392809</v>
          </cell>
          <cell r="G37">
            <v>3397797.85</v>
          </cell>
          <cell r="H37">
            <v>1141.67</v>
          </cell>
          <cell r="I37">
            <v>915244.97</v>
          </cell>
        </row>
        <row r="38">
          <cell r="F38">
            <v>3855402</v>
          </cell>
          <cell r="G38">
            <v>21590251.199999999</v>
          </cell>
          <cell r="H38">
            <v>1723545</v>
          </cell>
          <cell r="I38">
            <v>5821657.0200000005</v>
          </cell>
        </row>
        <row r="39">
          <cell r="G39">
            <v>-10799076.699999999</v>
          </cell>
          <cell r="H39">
            <v>377115.33</v>
          </cell>
          <cell r="I39">
            <v>-458186.96</v>
          </cell>
        </row>
        <row r="41">
          <cell r="J41">
            <v>12479230.220000001</v>
          </cell>
        </row>
        <row r="42">
          <cell r="J42">
            <v>477365898.11000001</v>
          </cell>
        </row>
        <row r="43">
          <cell r="J43">
            <v>-196349.76</v>
          </cell>
        </row>
        <row r="44">
          <cell r="J44">
            <v>11805549.83</v>
          </cell>
        </row>
        <row r="45">
          <cell r="J45">
            <v>9546660.8300000001</v>
          </cell>
        </row>
        <row r="47">
          <cell r="J47">
            <v>-11245022.279999999</v>
          </cell>
        </row>
        <row r="48">
          <cell r="J48">
            <v>-60833393.520000003</v>
          </cell>
        </row>
        <row r="49">
          <cell r="J49">
            <v>-319050.40999999997</v>
          </cell>
        </row>
        <row r="50">
          <cell r="J50">
            <v>0</v>
          </cell>
        </row>
        <row r="53">
          <cell r="J53">
            <v>42773528.280000001</v>
          </cell>
        </row>
      </sheetData>
      <sheetData sheetId="10">
        <row r="5">
          <cell r="F5">
            <v>5412</v>
          </cell>
          <cell r="G5">
            <v>2381.2800000000002</v>
          </cell>
          <cell r="H5">
            <v>737.8</v>
          </cell>
          <cell r="I5">
            <v>649.43999999999994</v>
          </cell>
        </row>
        <row r="6">
          <cell r="F6">
            <v>54637158</v>
          </cell>
          <cell r="G6">
            <v>112555676.88000001</v>
          </cell>
          <cell r="H6">
            <v>59046144.259999998</v>
          </cell>
          <cell r="I6">
            <v>30053813.900000002</v>
          </cell>
        </row>
        <row r="7">
          <cell r="F7">
            <v>35904583</v>
          </cell>
          <cell r="G7">
            <v>136798302.33000001</v>
          </cell>
          <cell r="I7">
            <v>36985438.789999999</v>
          </cell>
        </row>
        <row r="8">
          <cell r="F8">
            <v>9042845</v>
          </cell>
          <cell r="G8">
            <v>48469706.080000006</v>
          </cell>
          <cell r="I8">
            <v>13023061.92</v>
          </cell>
        </row>
        <row r="9">
          <cell r="F9">
            <v>20877155</v>
          </cell>
          <cell r="G9">
            <v>143216707.96000001</v>
          </cell>
          <cell r="I9">
            <v>38604997.100000001</v>
          </cell>
        </row>
        <row r="10">
          <cell r="F10">
            <v>-2152</v>
          </cell>
          <cell r="G10">
            <v>-8608</v>
          </cell>
          <cell r="H10">
            <v>63036840.030000001</v>
          </cell>
        </row>
        <row r="11">
          <cell r="F11">
            <v>-713</v>
          </cell>
          <cell r="G11">
            <v>-4278</v>
          </cell>
        </row>
        <row r="12">
          <cell r="F12">
            <v>-703</v>
          </cell>
          <cell r="G12">
            <v>-4850.7</v>
          </cell>
        </row>
        <row r="13">
          <cell r="F13">
            <v>1605</v>
          </cell>
          <cell r="G13">
            <v>12198</v>
          </cell>
        </row>
        <row r="14">
          <cell r="F14">
            <v>40818222</v>
          </cell>
          <cell r="G14">
            <v>224500221</v>
          </cell>
          <cell r="I14">
            <v>60410968.560000002</v>
          </cell>
        </row>
        <row r="15">
          <cell r="F15">
            <v>25680155</v>
          </cell>
          <cell r="G15">
            <v>209550064.80000001</v>
          </cell>
          <cell r="I15">
            <v>56496341.000000007</v>
          </cell>
        </row>
        <row r="16">
          <cell r="F16">
            <v>19702521</v>
          </cell>
          <cell r="G16">
            <v>157620168</v>
          </cell>
          <cell r="H16">
            <v>20904278.329999998</v>
          </cell>
          <cell r="I16">
            <v>42360420.149999999</v>
          </cell>
        </row>
        <row r="17">
          <cell r="F17">
            <v>37922318</v>
          </cell>
          <cell r="G17">
            <v>306791552.62</v>
          </cell>
          <cell r="H17">
            <v>33655400.869999997</v>
          </cell>
          <cell r="I17">
            <v>82670653.24000001</v>
          </cell>
        </row>
        <row r="18">
          <cell r="F18">
            <v>150</v>
          </cell>
          <cell r="G18">
            <v>555</v>
          </cell>
          <cell r="H18">
            <v>2955694.14</v>
          </cell>
        </row>
        <row r="19">
          <cell r="F19">
            <v>100</v>
          </cell>
          <cell r="G19">
            <v>550</v>
          </cell>
        </row>
        <row r="20">
          <cell r="F20">
            <v>250</v>
          </cell>
          <cell r="G20">
            <v>1487.5</v>
          </cell>
        </row>
        <row r="21">
          <cell r="F21">
            <v>2517</v>
          </cell>
          <cell r="G21">
            <v>16108.800000000001</v>
          </cell>
        </row>
        <row r="22">
          <cell r="F22">
            <v>1748772</v>
          </cell>
          <cell r="G22">
            <v>9111102.1199999992</v>
          </cell>
          <cell r="I22">
            <v>2448280.7999999998</v>
          </cell>
        </row>
        <row r="23">
          <cell r="F23">
            <v>1870607</v>
          </cell>
          <cell r="G23">
            <v>13618018.960000001</v>
          </cell>
          <cell r="I23">
            <v>3666389.7199999997</v>
          </cell>
        </row>
        <row r="24">
          <cell r="F24">
            <v>4544314</v>
          </cell>
          <cell r="G24">
            <v>29628927.279999997</v>
          </cell>
          <cell r="H24">
            <v>5181132.33</v>
          </cell>
          <cell r="I24">
            <v>7952549.5</v>
          </cell>
        </row>
        <row r="25">
          <cell r="F25">
            <v>4125025</v>
          </cell>
          <cell r="G25">
            <v>26358909.75</v>
          </cell>
          <cell r="H25">
            <v>2680965.7999999998</v>
          </cell>
          <cell r="I25">
            <v>7095043</v>
          </cell>
        </row>
        <row r="26">
          <cell r="F26">
            <v>237709</v>
          </cell>
          <cell r="G26">
            <v>2793114.7</v>
          </cell>
          <cell r="H26">
            <v>341013.33</v>
          </cell>
          <cell r="I26">
            <v>751466.96000000008</v>
          </cell>
        </row>
        <row r="27">
          <cell r="F27">
            <v>2423682.6</v>
          </cell>
          <cell r="G27">
            <v>13718043.516000001</v>
          </cell>
          <cell r="H27">
            <v>1798460.43</v>
          </cell>
          <cell r="I27">
            <v>3683997.5520000001</v>
          </cell>
        </row>
        <row r="28">
          <cell r="F28">
            <v>331786</v>
          </cell>
          <cell r="G28">
            <v>1877947.6400000001</v>
          </cell>
          <cell r="H28">
            <v>222484.15</v>
          </cell>
          <cell r="I28">
            <v>504478.88</v>
          </cell>
        </row>
        <row r="29">
          <cell r="F29">
            <v>249017</v>
          </cell>
          <cell r="G29">
            <v>804324.91</v>
          </cell>
          <cell r="H29">
            <v>62433.33</v>
          </cell>
          <cell r="I29">
            <v>216644.79</v>
          </cell>
        </row>
        <row r="30">
          <cell r="F30">
            <v>2681652</v>
          </cell>
          <cell r="G30">
            <v>25180712.280000001</v>
          </cell>
          <cell r="H30">
            <v>1993982.56</v>
          </cell>
          <cell r="I30">
            <v>6784579.5599999996</v>
          </cell>
        </row>
        <row r="31">
          <cell r="F31">
            <v>108591</v>
          </cell>
          <cell r="G31">
            <v>336632.10000000003</v>
          </cell>
          <cell r="H31">
            <v>3450</v>
          </cell>
          <cell r="I31">
            <v>90130.53</v>
          </cell>
        </row>
        <row r="32">
          <cell r="F32">
            <v>1186518</v>
          </cell>
          <cell r="G32">
            <v>8068322.3999999994</v>
          </cell>
          <cell r="H32">
            <v>486816.68</v>
          </cell>
          <cell r="I32">
            <v>2171327.94</v>
          </cell>
        </row>
        <row r="33">
          <cell r="F33">
            <v>4441261</v>
          </cell>
          <cell r="G33">
            <v>30200574.800000001</v>
          </cell>
          <cell r="H33">
            <v>3735769.19</v>
          </cell>
          <cell r="I33">
            <v>8127507.6299999999</v>
          </cell>
        </row>
        <row r="34">
          <cell r="F34">
            <v>13297391</v>
          </cell>
          <cell r="G34">
            <v>78454606.900000006</v>
          </cell>
          <cell r="H34">
            <v>8144167.5</v>
          </cell>
          <cell r="I34">
            <v>21142851.690000001</v>
          </cell>
        </row>
        <row r="35">
          <cell r="F35">
            <v>29214895</v>
          </cell>
          <cell r="G35">
            <v>185514583.25</v>
          </cell>
          <cell r="H35">
            <v>17583558.91</v>
          </cell>
          <cell r="I35">
            <v>49957470.449999996</v>
          </cell>
        </row>
        <row r="36">
          <cell r="F36">
            <v>2565540</v>
          </cell>
          <cell r="G36">
            <v>8722836</v>
          </cell>
          <cell r="H36">
            <v>1500358.8</v>
          </cell>
          <cell r="I36">
            <v>2334641.4</v>
          </cell>
        </row>
        <row r="37">
          <cell r="F37">
            <v>442437</v>
          </cell>
          <cell r="G37">
            <v>3827080.0500000003</v>
          </cell>
          <cell r="H37">
            <v>1000</v>
          </cell>
          <cell r="I37">
            <v>1030878.2100000001</v>
          </cell>
        </row>
        <row r="38">
          <cell r="F38">
            <v>4018275</v>
          </cell>
          <cell r="G38">
            <v>22502340</v>
          </cell>
          <cell r="H38">
            <v>1727906.42</v>
          </cell>
          <cell r="I38">
            <v>6067595.25</v>
          </cell>
        </row>
        <row r="39">
          <cell r="G39">
            <v>0</v>
          </cell>
          <cell r="H39">
            <v>0</v>
          </cell>
          <cell r="I39">
            <v>0</v>
          </cell>
        </row>
        <row r="41">
          <cell r="J41">
            <v>10792554.810000001</v>
          </cell>
        </row>
        <row r="42">
          <cell r="J42">
            <v>-53135716.609999999</v>
          </cell>
        </row>
        <row r="43">
          <cell r="J43">
            <v>0</v>
          </cell>
        </row>
        <row r="44">
          <cell r="J44">
            <v>12001024.25</v>
          </cell>
        </row>
        <row r="45">
          <cell r="J45">
            <v>6663706.75</v>
          </cell>
        </row>
        <row r="47">
          <cell r="J47">
            <v>-9722189.8800000008</v>
          </cell>
        </row>
        <row r="48">
          <cell r="J48">
            <v>-51408013.619999997</v>
          </cell>
        </row>
        <row r="49">
          <cell r="J49">
            <v>-302871.71999999997</v>
          </cell>
        </row>
        <row r="50">
          <cell r="J50">
            <v>-1009446.76</v>
          </cell>
        </row>
        <row r="53">
          <cell r="J53">
            <v>43452102.689999998</v>
          </cell>
        </row>
      </sheetData>
      <sheetData sheetId="11">
        <row r="5">
          <cell r="F5">
            <v>2476</v>
          </cell>
          <cell r="G5">
            <v>1089.44</v>
          </cell>
          <cell r="H5">
            <v>642.79999999999995</v>
          </cell>
          <cell r="I5">
            <v>297.12</v>
          </cell>
        </row>
        <row r="6">
          <cell r="F6">
            <v>54653904</v>
          </cell>
          <cell r="G6">
            <v>112589128.14</v>
          </cell>
          <cell r="H6">
            <v>59248852.579999998</v>
          </cell>
          <cell r="I6">
            <v>30061896.700000003</v>
          </cell>
        </row>
        <row r="7">
          <cell r="F7">
            <v>37363271</v>
          </cell>
          <cell r="G7">
            <v>142355062.62</v>
          </cell>
          <cell r="I7">
            <v>38486188.960000001</v>
          </cell>
        </row>
        <row r="8">
          <cell r="F8">
            <v>9427555</v>
          </cell>
          <cell r="G8">
            <v>50531726.120000005</v>
          </cell>
          <cell r="I8">
            <v>13576430.879999999</v>
          </cell>
        </row>
        <row r="9">
          <cell r="F9">
            <v>20483155</v>
          </cell>
          <cell r="G9">
            <v>140514500.12</v>
          </cell>
          <cell r="I9">
            <v>37895588.700000003</v>
          </cell>
        </row>
        <row r="10">
          <cell r="F10">
            <v>-1902</v>
          </cell>
          <cell r="G10">
            <v>-7608</v>
          </cell>
          <cell r="H10">
            <v>62997974.049999997</v>
          </cell>
        </row>
        <row r="11">
          <cell r="F11">
            <v>-836</v>
          </cell>
          <cell r="G11">
            <v>-5016</v>
          </cell>
        </row>
        <row r="12">
          <cell r="F12">
            <v>-1413</v>
          </cell>
          <cell r="G12">
            <v>-9749.7000000000007</v>
          </cell>
        </row>
        <row r="13">
          <cell r="F13">
            <v>-6664</v>
          </cell>
          <cell r="G13">
            <v>-50646.399999999994</v>
          </cell>
        </row>
        <row r="14">
          <cell r="F14">
            <v>40771662</v>
          </cell>
          <cell r="G14">
            <v>224244141</v>
          </cell>
          <cell r="I14">
            <v>60342059.759999998</v>
          </cell>
        </row>
        <row r="15">
          <cell r="F15">
            <v>25615062</v>
          </cell>
          <cell r="G15">
            <v>209018905.92000002</v>
          </cell>
          <cell r="I15">
            <v>56353136.400000006</v>
          </cell>
        </row>
        <row r="16">
          <cell r="F16">
            <v>17897498</v>
          </cell>
          <cell r="G16">
            <v>143179984</v>
          </cell>
          <cell r="H16">
            <v>20044796.670000002</v>
          </cell>
          <cell r="I16">
            <v>38479620.699999996</v>
          </cell>
        </row>
        <row r="17">
          <cell r="F17">
            <v>35174795</v>
          </cell>
          <cell r="G17">
            <v>284564091.55000001</v>
          </cell>
          <cell r="H17">
            <v>32833339.050000001</v>
          </cell>
          <cell r="I17">
            <v>76681053.100000009</v>
          </cell>
        </row>
        <row r="18">
          <cell r="F18">
            <v>0</v>
          </cell>
          <cell r="G18">
            <v>0</v>
          </cell>
          <cell r="H18">
            <v>2929331.63</v>
          </cell>
        </row>
        <row r="19">
          <cell r="F19">
            <v>0</v>
          </cell>
          <cell r="G19">
            <v>0</v>
          </cell>
        </row>
        <row r="20">
          <cell r="F20">
            <v>0</v>
          </cell>
          <cell r="G20">
            <v>0</v>
          </cell>
        </row>
        <row r="21">
          <cell r="F21">
            <v>0</v>
          </cell>
          <cell r="G21">
            <v>0</v>
          </cell>
        </row>
        <row r="22">
          <cell r="F22">
            <v>1747270</v>
          </cell>
          <cell r="G22">
            <v>9103276.6999999993</v>
          </cell>
          <cell r="I22">
            <v>2446178</v>
          </cell>
        </row>
        <row r="23">
          <cell r="F23">
            <v>1885408</v>
          </cell>
          <cell r="G23">
            <v>13725770.24</v>
          </cell>
          <cell r="I23">
            <v>3695399.6799999997</v>
          </cell>
        </row>
        <row r="24">
          <cell r="F24">
            <v>4377775</v>
          </cell>
          <cell r="G24">
            <v>28543092.999999996</v>
          </cell>
          <cell r="H24">
            <v>5149320.78</v>
          </cell>
          <cell r="I24">
            <v>7661106.25</v>
          </cell>
        </row>
        <row r="25">
          <cell r="F25">
            <v>3951494</v>
          </cell>
          <cell r="G25">
            <v>25250046.66</v>
          </cell>
          <cell r="H25">
            <v>2662895.7999999998</v>
          </cell>
          <cell r="I25">
            <v>6796569.6799999997</v>
          </cell>
        </row>
        <row r="26">
          <cell r="F26">
            <v>182828</v>
          </cell>
          <cell r="G26">
            <v>2148312.2999999998</v>
          </cell>
          <cell r="H26">
            <v>338133.32</v>
          </cell>
          <cell r="I26">
            <v>578488.56000000006</v>
          </cell>
        </row>
        <row r="27">
          <cell r="F27">
            <v>2506914.7999999998</v>
          </cell>
          <cell r="G27">
            <v>14189137.767999999</v>
          </cell>
          <cell r="H27">
            <v>1917553.82</v>
          </cell>
          <cell r="I27">
            <v>3810510.4959999998</v>
          </cell>
        </row>
        <row r="28">
          <cell r="F28">
            <v>335946</v>
          </cell>
          <cell r="G28">
            <v>1901454.36</v>
          </cell>
          <cell r="H28">
            <v>216444.59</v>
          </cell>
          <cell r="I28">
            <v>510637.92</v>
          </cell>
        </row>
        <row r="29">
          <cell r="F29">
            <v>40030</v>
          </cell>
          <cell r="G29">
            <v>129296.9</v>
          </cell>
          <cell r="H29">
            <v>12493.33</v>
          </cell>
          <cell r="I29">
            <v>34826.1</v>
          </cell>
        </row>
        <row r="30">
          <cell r="F30">
            <v>2706086</v>
          </cell>
          <cell r="G30">
            <v>25410147.540000003</v>
          </cell>
          <cell r="H30">
            <v>2005220.05</v>
          </cell>
          <cell r="I30">
            <v>6846397.5799999991</v>
          </cell>
        </row>
        <row r="31">
          <cell r="F31">
            <v>108981</v>
          </cell>
          <cell r="G31">
            <v>337841.10000000003</v>
          </cell>
          <cell r="H31">
            <v>3450</v>
          </cell>
          <cell r="I31">
            <v>90454.23</v>
          </cell>
        </row>
        <row r="32">
          <cell r="F32">
            <v>1158686</v>
          </cell>
          <cell r="G32">
            <v>7879064.7999999998</v>
          </cell>
          <cell r="H32">
            <v>497849.98</v>
          </cell>
          <cell r="I32">
            <v>2120395.38</v>
          </cell>
        </row>
        <row r="33">
          <cell r="F33">
            <v>4218819</v>
          </cell>
          <cell r="G33">
            <v>28687969.199999999</v>
          </cell>
          <cell r="H33">
            <v>3826680.88</v>
          </cell>
          <cell r="I33">
            <v>7720438.7700000005</v>
          </cell>
        </row>
        <row r="34">
          <cell r="F34">
            <v>13097139</v>
          </cell>
          <cell r="G34">
            <v>77273120.100000009</v>
          </cell>
          <cell r="H34">
            <v>7980743.5</v>
          </cell>
          <cell r="I34">
            <v>20824451.010000002</v>
          </cell>
        </row>
        <row r="35">
          <cell r="F35">
            <v>29041802</v>
          </cell>
          <cell r="G35">
            <v>184415442.69999999</v>
          </cell>
          <cell r="H35">
            <v>18091399.91</v>
          </cell>
          <cell r="I35">
            <v>49661481.420000002</v>
          </cell>
        </row>
        <row r="36">
          <cell r="F36">
            <v>2376381</v>
          </cell>
          <cell r="G36">
            <v>8079695.3999999994</v>
          </cell>
          <cell r="H36">
            <v>1354897.85</v>
          </cell>
          <cell r="I36">
            <v>2162506.71</v>
          </cell>
        </row>
        <row r="37">
          <cell r="F37">
            <v>418659</v>
          </cell>
          <cell r="G37">
            <v>3621400.35</v>
          </cell>
          <cell r="H37">
            <v>1150</v>
          </cell>
          <cell r="I37">
            <v>975475.47</v>
          </cell>
        </row>
        <row r="38">
          <cell r="F38">
            <v>4286158</v>
          </cell>
          <cell r="G38">
            <v>24002484.799999997</v>
          </cell>
          <cell r="H38">
            <v>1965252.5</v>
          </cell>
          <cell r="I38">
            <v>6472098.5800000001</v>
          </cell>
        </row>
        <row r="39">
          <cell r="G39">
            <v>107536959.42</v>
          </cell>
          <cell r="H39">
            <v>4212505.97</v>
          </cell>
          <cell r="I39">
            <v>-5249140.67</v>
          </cell>
        </row>
        <row r="41">
          <cell r="J41">
            <v>10030547.189999999</v>
          </cell>
        </row>
        <row r="42">
          <cell r="J42">
            <v>351341634.36000001</v>
          </cell>
        </row>
        <row r="43">
          <cell r="J43">
            <v>-656798.56000000006</v>
          </cell>
        </row>
        <row r="44">
          <cell r="J44">
            <v>7665018.1100000003</v>
          </cell>
        </row>
        <row r="45">
          <cell r="J45">
            <v>8034125.9100000001</v>
          </cell>
        </row>
        <row r="47">
          <cell r="J47">
            <v>-8516689.8499999996</v>
          </cell>
        </row>
        <row r="48">
          <cell r="J48">
            <v>-60974789.130000003</v>
          </cell>
        </row>
        <row r="49">
          <cell r="J49">
            <v>-265752.71000000002</v>
          </cell>
        </row>
        <row r="50">
          <cell r="J50">
            <v>0</v>
          </cell>
        </row>
        <row r="53">
          <cell r="J53">
            <v>41213321.829999998</v>
          </cell>
        </row>
      </sheetData>
      <sheetData sheetId="12">
        <row r="5">
          <cell r="D5">
            <v>202</v>
          </cell>
          <cell r="E5">
            <v>0</v>
          </cell>
          <cell r="F5">
            <v>6351</v>
          </cell>
          <cell r="G5">
            <v>2794.44</v>
          </cell>
          <cell r="H5">
            <v>656.4</v>
          </cell>
          <cell r="I5">
            <v>762.12</v>
          </cell>
        </row>
        <row r="6">
          <cell r="D6">
            <v>289424</v>
          </cell>
          <cell r="E6">
            <v>14416</v>
          </cell>
          <cell r="F6">
            <v>56527683</v>
          </cell>
          <cell r="G6">
            <v>116449986.50999999</v>
          </cell>
          <cell r="H6">
            <v>60612958.240000002</v>
          </cell>
          <cell r="I6">
            <v>31093417.300000001</v>
          </cell>
        </row>
        <row r="7">
          <cell r="D7">
            <v>323091</v>
          </cell>
          <cell r="E7">
            <v>24645</v>
          </cell>
          <cell r="F7">
            <v>42050230</v>
          </cell>
          <cell r="G7">
            <v>160212729.84</v>
          </cell>
          <cell r="I7">
            <v>43314470.520000003</v>
          </cell>
        </row>
        <row r="8">
          <cell r="D8">
            <v>37732</v>
          </cell>
          <cell r="E8">
            <v>18529</v>
          </cell>
          <cell r="F8">
            <v>11042432</v>
          </cell>
          <cell r="G8">
            <v>59187472.359999999</v>
          </cell>
          <cell r="I8">
            <v>15901986.24</v>
          </cell>
        </row>
        <row r="9">
          <cell r="D9">
            <v>9729</v>
          </cell>
          <cell r="E9">
            <v>25164</v>
          </cell>
          <cell r="F9">
            <v>21665584</v>
          </cell>
          <cell r="G9">
            <v>148626067.28000003</v>
          </cell>
          <cell r="I9">
            <v>40086295.800000004</v>
          </cell>
        </row>
        <row r="10">
          <cell r="F10">
            <v>-1908</v>
          </cell>
          <cell r="G10">
            <v>-7632</v>
          </cell>
          <cell r="H10">
            <v>62947450.619999997</v>
          </cell>
        </row>
        <row r="11">
          <cell r="F11">
            <v>-514</v>
          </cell>
          <cell r="G11">
            <v>-3084</v>
          </cell>
        </row>
        <row r="12">
          <cell r="F12">
            <v>-534</v>
          </cell>
          <cell r="G12">
            <v>-3684.6000000000004</v>
          </cell>
        </row>
        <row r="13">
          <cell r="F13">
            <v>440</v>
          </cell>
          <cell r="G13">
            <v>3344</v>
          </cell>
        </row>
        <row r="14">
          <cell r="D14">
            <v>200760</v>
          </cell>
          <cell r="E14">
            <v>21142</v>
          </cell>
          <cell r="F14">
            <v>42620065</v>
          </cell>
          <cell r="G14">
            <v>234410357.5</v>
          </cell>
          <cell r="I14">
            <v>63077696.199999996</v>
          </cell>
        </row>
        <row r="15">
          <cell r="D15">
            <v>13757</v>
          </cell>
          <cell r="E15">
            <v>21500</v>
          </cell>
          <cell r="F15">
            <v>26295389</v>
          </cell>
          <cell r="G15">
            <v>214570374.24000001</v>
          </cell>
          <cell r="I15">
            <v>57849855.800000004</v>
          </cell>
        </row>
        <row r="16">
          <cell r="D16">
            <v>64</v>
          </cell>
          <cell r="E16">
            <v>5926</v>
          </cell>
          <cell r="F16">
            <v>17352232</v>
          </cell>
          <cell r="G16">
            <v>138817856</v>
          </cell>
          <cell r="H16">
            <v>20507364.370000001</v>
          </cell>
          <cell r="I16">
            <v>37307298.799999997</v>
          </cell>
        </row>
        <row r="17">
          <cell r="D17">
            <v>2</v>
          </cell>
          <cell r="E17">
            <v>2614</v>
          </cell>
          <cell r="F17">
            <v>33986129</v>
          </cell>
          <cell r="G17">
            <v>274947783.61000001</v>
          </cell>
          <cell r="H17">
            <v>33183965.780000001</v>
          </cell>
          <cell r="I17">
            <v>74089761.219999999</v>
          </cell>
        </row>
        <row r="18">
          <cell r="F18">
            <v>0</v>
          </cell>
          <cell r="G18">
            <v>0</v>
          </cell>
          <cell r="H18">
            <v>2921224.15</v>
          </cell>
        </row>
        <row r="19">
          <cell r="F19">
            <v>0</v>
          </cell>
          <cell r="G19">
            <v>0</v>
          </cell>
        </row>
        <row r="20">
          <cell r="F20">
            <v>0</v>
          </cell>
          <cell r="G20">
            <v>0</v>
          </cell>
        </row>
        <row r="21">
          <cell r="F21">
            <v>0</v>
          </cell>
          <cell r="G21">
            <v>0</v>
          </cell>
        </row>
        <row r="22">
          <cell r="D22">
            <v>2635</v>
          </cell>
          <cell r="E22">
            <v>3680</v>
          </cell>
          <cell r="F22">
            <v>1790815</v>
          </cell>
          <cell r="G22">
            <v>9330146.1500000004</v>
          </cell>
          <cell r="I22">
            <v>2507141</v>
          </cell>
        </row>
        <row r="23">
          <cell r="D23">
            <v>120</v>
          </cell>
          <cell r="E23">
            <v>2123</v>
          </cell>
          <cell r="F23">
            <v>1983552</v>
          </cell>
          <cell r="G23">
            <v>14440258.560000001</v>
          </cell>
          <cell r="I23">
            <v>3887761.92</v>
          </cell>
        </row>
        <row r="24">
          <cell r="D24">
            <v>11</v>
          </cell>
          <cell r="E24">
            <v>1201</v>
          </cell>
          <cell r="F24">
            <v>4149476</v>
          </cell>
          <cell r="G24">
            <v>27054583.52</v>
          </cell>
          <cell r="H24">
            <v>5150280.57</v>
          </cell>
          <cell r="I24">
            <v>7261583</v>
          </cell>
        </row>
        <row r="25">
          <cell r="D25">
            <v>1</v>
          </cell>
          <cell r="E25">
            <v>125</v>
          </cell>
          <cell r="F25">
            <v>3749661</v>
          </cell>
          <cell r="G25">
            <v>23960333.789999999</v>
          </cell>
          <cell r="H25">
            <v>2707898.52</v>
          </cell>
          <cell r="I25">
            <v>6449416.9199999999</v>
          </cell>
        </row>
        <row r="26">
          <cell r="D26">
            <v>785</v>
          </cell>
          <cell r="E26">
            <v>141</v>
          </cell>
          <cell r="F26">
            <v>178045</v>
          </cell>
          <cell r="G26">
            <v>2092055.35</v>
          </cell>
          <cell r="H26">
            <v>336773.33</v>
          </cell>
          <cell r="I26">
            <v>562862.36</v>
          </cell>
        </row>
        <row r="27">
          <cell r="F27">
            <v>2178720.92</v>
          </cell>
          <cell r="G27">
            <v>12331560.407199999</v>
          </cell>
          <cell r="H27">
            <v>1829415.96</v>
          </cell>
          <cell r="I27">
            <v>3311655.7983999997</v>
          </cell>
        </row>
        <row r="28">
          <cell r="D28">
            <v>559</v>
          </cell>
          <cell r="E28">
            <v>127</v>
          </cell>
          <cell r="F28">
            <v>335710</v>
          </cell>
          <cell r="G28">
            <v>1900118.6</v>
          </cell>
          <cell r="H28">
            <v>216647.92</v>
          </cell>
          <cell r="I28">
            <v>510279.2</v>
          </cell>
        </row>
        <row r="29">
          <cell r="D29">
            <v>1</v>
          </cell>
          <cell r="E29">
            <v>3</v>
          </cell>
          <cell r="F29">
            <v>76492</v>
          </cell>
          <cell r="G29">
            <v>247069.16</v>
          </cell>
          <cell r="H29">
            <v>26583.33</v>
          </cell>
          <cell r="I29">
            <v>66548.039999999994</v>
          </cell>
        </row>
        <row r="30">
          <cell r="D30">
            <v>115</v>
          </cell>
          <cell r="E30">
            <v>1416</v>
          </cell>
          <cell r="F30">
            <v>3046772</v>
          </cell>
          <cell r="G30">
            <v>28609189.080000002</v>
          </cell>
          <cell r="H30">
            <v>1942183.47</v>
          </cell>
          <cell r="I30">
            <v>7708333.1599999992</v>
          </cell>
        </row>
        <row r="31">
          <cell r="D31">
            <v>8</v>
          </cell>
          <cell r="E31">
            <v>15</v>
          </cell>
          <cell r="F31">
            <v>94170</v>
          </cell>
          <cell r="G31">
            <v>291927</v>
          </cell>
          <cell r="H31">
            <v>3450</v>
          </cell>
          <cell r="I31">
            <v>78161.099999999991</v>
          </cell>
        </row>
        <row r="32">
          <cell r="D32">
            <v>1427</v>
          </cell>
          <cell r="E32">
            <v>609</v>
          </cell>
          <cell r="F32">
            <v>1265189</v>
          </cell>
          <cell r="G32">
            <v>8603285.1999999993</v>
          </cell>
          <cell r="H32">
            <v>500324.99</v>
          </cell>
          <cell r="I32">
            <v>2315295.87</v>
          </cell>
        </row>
        <row r="33">
          <cell r="D33">
            <v>3</v>
          </cell>
          <cell r="E33">
            <v>397</v>
          </cell>
          <cell r="F33">
            <v>4363872</v>
          </cell>
          <cell r="G33">
            <v>29674329.599999998</v>
          </cell>
          <cell r="H33">
            <v>4024752.72</v>
          </cell>
          <cell r="I33">
            <v>7985885.7600000007</v>
          </cell>
        </row>
        <row r="34">
          <cell r="E34">
            <v>41</v>
          </cell>
          <cell r="F34">
            <v>12119613</v>
          </cell>
          <cell r="G34">
            <v>71505716.700000003</v>
          </cell>
          <cell r="H34">
            <v>8563797.5</v>
          </cell>
          <cell r="I34">
            <v>19270184.670000002</v>
          </cell>
        </row>
        <row r="35">
          <cell r="E35">
            <v>101</v>
          </cell>
          <cell r="F35">
            <v>24706363</v>
          </cell>
          <cell r="G35">
            <v>156885405.04999998</v>
          </cell>
          <cell r="H35">
            <v>16463722.74</v>
          </cell>
          <cell r="I35">
            <v>42247880.729999997</v>
          </cell>
        </row>
        <row r="36">
          <cell r="E36">
            <v>10</v>
          </cell>
          <cell r="F36">
            <v>2266549</v>
          </cell>
          <cell r="G36">
            <v>7706266.5999999996</v>
          </cell>
          <cell r="H36">
            <v>1357943.6</v>
          </cell>
          <cell r="I36">
            <v>2062559.59</v>
          </cell>
        </row>
        <row r="37">
          <cell r="E37">
            <v>3</v>
          </cell>
          <cell r="F37">
            <v>299640</v>
          </cell>
          <cell r="G37">
            <v>2591886</v>
          </cell>
          <cell r="H37">
            <v>866.67</v>
          </cell>
          <cell r="I37">
            <v>698161.20000000007</v>
          </cell>
        </row>
        <row r="38">
          <cell r="E38">
            <v>15</v>
          </cell>
          <cell r="F38">
            <v>5144770</v>
          </cell>
          <cell r="G38">
            <v>28810712</v>
          </cell>
          <cell r="H38">
            <v>2511310.16</v>
          </cell>
          <cell r="I38">
            <v>7768602.7000000002</v>
          </cell>
        </row>
        <row r="39">
          <cell r="G39">
            <v>0</v>
          </cell>
          <cell r="H39">
            <v>-5256.3</v>
          </cell>
          <cell r="I39">
            <v>0</v>
          </cell>
        </row>
        <row r="41">
          <cell r="J41">
            <v>8817502.4900000002</v>
          </cell>
        </row>
        <row r="42">
          <cell r="J42">
            <v>-336305164.47000003</v>
          </cell>
        </row>
        <row r="43">
          <cell r="J43">
            <v>0</v>
          </cell>
        </row>
        <row r="44">
          <cell r="J44">
            <v>11151333</v>
          </cell>
        </row>
        <row r="45">
          <cell r="J45">
            <v>6343775.8799999999</v>
          </cell>
        </row>
        <row r="47">
          <cell r="J47">
            <v>-15502087.949999999</v>
          </cell>
        </row>
        <row r="48">
          <cell r="J48">
            <v>-41633234</v>
          </cell>
        </row>
        <row r="49">
          <cell r="J49">
            <v>-299511.65999999997</v>
          </cell>
        </row>
        <row r="50">
          <cell r="J50">
            <v>0</v>
          </cell>
        </row>
        <row r="53">
          <cell r="J53">
            <v>32574750.489999998</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2001 02 Est.at Existing Tariff"/>
      <sheetName val="Financial Estimates"/>
      <sheetName val="Sheet1"/>
      <sheetName val="Sheet2"/>
      <sheetName val="Sheet3"/>
    </sheetNames>
    <sheetDataSet>
      <sheetData sheetId="0" refreshError="1"/>
      <sheetData sheetId="1" refreshError="1">
        <row r="8">
          <cell r="A8" t="str">
            <v>AI.</v>
          </cell>
          <cell r="B8" t="str">
            <v>ENERGY DISTRIBUTED(MUS)</v>
          </cell>
        </row>
        <row r="10">
          <cell r="A10">
            <v>1</v>
          </cell>
          <cell r="B10" t="str">
            <v>SALES TO TPC'S CONSUMERS</v>
          </cell>
        </row>
        <row r="11">
          <cell r="B11" t="str">
            <v>TEXTILES</v>
          </cell>
        </row>
        <row r="12">
          <cell r="B12" t="str">
            <v>HT INDUSTRIES</v>
          </cell>
        </row>
        <row r="13">
          <cell r="B13" t="str">
            <v>HT COMMERCIAL</v>
          </cell>
        </row>
        <row r="14">
          <cell r="B14" t="str">
            <v>LT INDUSTRIES (SINGLE PART) (incl.Resi.)</v>
          </cell>
        </row>
        <row r="15">
          <cell r="B15" t="str">
            <v>LT INDUSTRIES (TWO PART)</v>
          </cell>
        </row>
        <row r="16">
          <cell r="B16" t="str">
            <v>LT COMMERCIAL (SINGLE PART)</v>
          </cell>
        </row>
        <row r="17">
          <cell r="B17" t="str">
            <v>LT COMMERCIAL (TWO PART)</v>
          </cell>
        </row>
        <row r="18">
          <cell r="B18" t="str">
            <v>RESIDENTIAL</v>
          </cell>
        </row>
        <row r="19">
          <cell r="B19" t="str">
            <v>RAILWAYS(INCL.INTERCHANGE)</v>
          </cell>
        </row>
        <row r="21">
          <cell r="B21" t="str">
            <v>TOTAL (DIRECT CONSUMERS)</v>
          </cell>
        </row>
        <row r="23">
          <cell r="B23" t="str">
            <v>BEST</v>
          </cell>
        </row>
        <row r="24">
          <cell r="B24" t="str">
            <v>BSES (22 KV/ 33 KV SUPPLY)</v>
          </cell>
        </row>
        <row r="25">
          <cell r="B25" t="str">
            <v>BSES (220 KV INTERCONNECTION)</v>
          </cell>
        </row>
        <row r="26">
          <cell r="B26" t="str">
            <v>BSES (TOTAL)</v>
          </cell>
        </row>
        <row r="28">
          <cell r="B28" t="str">
            <v>BEST &amp; BSES- TOTAL</v>
          </cell>
        </row>
        <row r="30">
          <cell r="B30" t="str">
            <v>TOTAL SALES</v>
          </cell>
        </row>
        <row r="33">
          <cell r="A33">
            <v>2</v>
          </cell>
          <cell r="B33" t="str">
            <v>ENERGY ASSISTANCE TO MSEB</v>
          </cell>
        </row>
        <row r="35">
          <cell r="A35">
            <v>3</v>
          </cell>
          <cell r="B35" t="str">
            <v>SALES TO OTHER STATE UTILITIES</v>
          </cell>
        </row>
        <row r="37">
          <cell r="A37">
            <v>4</v>
          </cell>
          <cell r="B37" t="str">
            <v>TOTAL SALES INCLUDING MSEB AND OTHER STATES</v>
          </cell>
        </row>
        <row r="39">
          <cell r="A39">
            <v>5</v>
          </cell>
          <cell r="B39" t="str">
            <v>22 KV WHEELING FOR MSEB</v>
          </cell>
        </row>
        <row r="41">
          <cell r="A41">
            <v>6</v>
          </cell>
          <cell r="B41" t="str">
            <v xml:space="preserve">TOTAL ENERGY DISTRIBUTED </v>
          </cell>
        </row>
        <row r="43">
          <cell r="A43" t="str">
            <v>AII.</v>
          </cell>
          <cell r="B43" t="str">
            <v>RKVAH (MUs)</v>
          </cell>
        </row>
        <row r="45">
          <cell r="B45" t="str">
            <v>TEXTILES</v>
          </cell>
        </row>
        <row r="46">
          <cell r="B46" t="str">
            <v>HT INDUSTRIES</v>
          </cell>
        </row>
        <row r="47">
          <cell r="B47" t="str">
            <v>HT COMMERCIAL</v>
          </cell>
        </row>
        <row r="48">
          <cell r="B48" t="str">
            <v>LT INDUSTRIES (TWO PART TARIFF)</v>
          </cell>
        </row>
        <row r="49">
          <cell r="B49" t="str">
            <v>LT COMMERCIAL (TWO PART TARIFF)</v>
          </cell>
        </row>
        <row r="50">
          <cell r="B50" t="str">
            <v>RAILWAYS(INCL.INTERCHANGE)</v>
          </cell>
        </row>
        <row r="52">
          <cell r="B52" t="str">
            <v>TOTAL TEX./IND./COMM/RLYS</v>
          </cell>
        </row>
        <row r="54">
          <cell r="B54" t="str">
            <v>BEST</v>
          </cell>
        </row>
        <row r="55">
          <cell r="B55" t="str">
            <v>BSES (22 KV)</v>
          </cell>
        </row>
        <row r="56">
          <cell r="B56" t="str">
            <v>BSES (220 KV)</v>
          </cell>
        </row>
        <row r="58">
          <cell r="B58" t="str">
            <v>TOTAL</v>
          </cell>
        </row>
        <row r="61">
          <cell r="A61" t="str">
            <v>AII.</v>
          </cell>
          <cell r="B61" t="str">
            <v>MAXIMUM DEMAND (MVA)</v>
          </cell>
        </row>
        <row r="63">
          <cell r="B63" t="str">
            <v>TEXTILES</v>
          </cell>
        </row>
        <row r="64">
          <cell r="B64" t="str">
            <v>HT INDUSTRIES</v>
          </cell>
        </row>
        <row r="65">
          <cell r="B65" t="str">
            <v>HT COMMERCIAL</v>
          </cell>
        </row>
        <row r="66">
          <cell r="B66" t="str">
            <v>LT INDUSTRIES (TWO PART TARIFF)</v>
          </cell>
        </row>
        <row r="67">
          <cell r="B67" t="str">
            <v>LT COMMERCIAL (TWO PART TARIFF)</v>
          </cell>
        </row>
        <row r="68">
          <cell r="B68" t="str">
            <v>RAILWAYS(INCL.INTERCHANGE)</v>
          </cell>
        </row>
        <row r="70">
          <cell r="B70" t="str">
            <v>TOTAL (DIRECT CONSUMERS)</v>
          </cell>
        </row>
        <row r="72">
          <cell r="B72" t="str">
            <v>BEST</v>
          </cell>
        </row>
        <row r="73">
          <cell r="B73" t="str">
            <v>BSES (22 KV/ 33 KV SUPPLY)</v>
          </cell>
        </row>
        <row r="75">
          <cell r="B75" t="str">
            <v>TOTAL</v>
          </cell>
        </row>
        <row r="78">
          <cell r="A78" t="str">
            <v>B.</v>
          </cell>
          <cell r="B78" t="str">
            <v>TPC GENERATION(MUS)</v>
          </cell>
        </row>
        <row r="80">
          <cell r="A80">
            <v>1</v>
          </cell>
          <cell r="B80" t="str">
            <v>HYDRO</v>
          </cell>
        </row>
        <row r="81">
          <cell r="B81" t="str">
            <v>FROM NATURAL SOURCE OF WATER</v>
          </cell>
        </row>
        <row r="82">
          <cell r="B82" t="str">
            <v>PEAKING ENERGY FROM PUMPED WATER</v>
          </cell>
        </row>
        <row r="83">
          <cell r="B83" t="str">
            <v>TOTAL</v>
          </cell>
        </row>
        <row r="85">
          <cell r="A85">
            <v>2</v>
          </cell>
          <cell r="B85" t="str">
            <v>THERMAL</v>
          </cell>
        </row>
        <row r="86">
          <cell r="B86" t="str">
            <v>UNIT NO.4</v>
          </cell>
        </row>
        <row r="87">
          <cell r="B87" t="str">
            <v>UNIT NO.5</v>
          </cell>
        </row>
        <row r="88">
          <cell r="B88" t="str">
            <v>UNIT NO.6</v>
          </cell>
        </row>
        <row r="89">
          <cell r="B89" t="str">
            <v>UNIT NOS.7 AS GT</v>
          </cell>
        </row>
        <row r="90">
          <cell r="B90" t="str">
            <v>UNIT NO.7</v>
          </cell>
        </row>
        <row r="92">
          <cell r="B92" t="str">
            <v>TOTAL THERMAL GENERATION</v>
          </cell>
        </row>
        <row r="95">
          <cell r="A95">
            <v>4</v>
          </cell>
          <cell r="B95" t="str">
            <v>TOTAL TPC GENERATION</v>
          </cell>
        </row>
        <row r="97">
          <cell r="A97">
            <v>5</v>
          </cell>
          <cell r="B97" t="str">
            <v>AUXILIARY CONSUMPTION</v>
          </cell>
        </row>
        <row r="98">
          <cell r="A98">
            <v>6</v>
          </cell>
          <cell r="B98" t="str">
            <v>ENERGY REQ.FOR PUMPING</v>
          </cell>
        </row>
        <row r="100">
          <cell r="A100">
            <v>6</v>
          </cell>
          <cell r="B100" t="str">
            <v>NET TPC GENERATION</v>
          </cell>
        </row>
        <row r="102">
          <cell r="A102" t="str">
            <v>C.</v>
          </cell>
          <cell r="B102" t="str">
            <v>PURCHASES FROM MSEB(MUS)</v>
          </cell>
        </row>
        <row r="104">
          <cell r="A104">
            <v>1</v>
          </cell>
          <cell r="B104" t="str">
            <v xml:space="preserve">T&amp;D LOSSES </v>
          </cell>
        </row>
        <row r="105">
          <cell r="A105">
            <v>2</v>
          </cell>
          <cell r="B105" t="str">
            <v>EX BUS REQUIREMENT</v>
          </cell>
        </row>
        <row r="106">
          <cell r="A106">
            <v>3</v>
          </cell>
          <cell r="B106" t="str">
            <v>GROSS PURCHASE</v>
          </cell>
        </row>
        <row r="107">
          <cell r="A107">
            <v>4</v>
          </cell>
          <cell r="B107" t="str">
            <v>22 KV WHEELING FOR MSEB</v>
          </cell>
        </row>
        <row r="108">
          <cell r="A108">
            <v>5</v>
          </cell>
          <cell r="B108" t="str">
            <v>NET PURCHASE</v>
          </cell>
        </row>
      </sheetData>
      <sheetData sheetId="2" refreshError="1"/>
      <sheetData sheetId="3" refreshError="1"/>
      <sheetData sheetId="4"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H1-2012-13"/>
      <sheetName val="H2-2012-13"/>
      <sheetName val="H1F-2013-14"/>
      <sheetName val="H2F-2013-14"/>
    </sheetNames>
    <sheetDataSet>
      <sheetData sheetId="0"/>
      <sheetData sheetId="1">
        <row r="7">
          <cell r="S7">
            <v>52.7</v>
          </cell>
        </row>
        <row r="8">
          <cell r="S8">
            <v>52.050000000000004</v>
          </cell>
        </row>
        <row r="22">
          <cell r="S22">
            <v>50.242499999999993</v>
          </cell>
        </row>
        <row r="33">
          <cell r="S33">
            <v>0.74</v>
          </cell>
        </row>
        <row r="37">
          <cell r="S37">
            <v>249.63</v>
          </cell>
        </row>
        <row r="45">
          <cell r="S45">
            <v>322.73191060000005</v>
          </cell>
        </row>
        <row r="46">
          <cell r="S46">
            <v>22.740629999999999</v>
          </cell>
        </row>
        <row r="47">
          <cell r="S47">
            <v>288.01391000000001</v>
          </cell>
        </row>
        <row r="49">
          <cell r="S49">
            <v>98.630139999999997</v>
          </cell>
        </row>
        <row r="51">
          <cell r="S51">
            <v>1138.3290906000002</v>
          </cell>
        </row>
        <row r="54">
          <cell r="S54">
            <v>120</v>
          </cell>
        </row>
      </sheetData>
      <sheetData sheetId="2"/>
      <sheetData sheetId="3">
        <row r="24">
          <cell r="S24">
            <v>109.49</v>
          </cell>
        </row>
        <row r="28">
          <cell r="S28">
            <v>33.06</v>
          </cell>
        </row>
        <row r="42">
          <cell r="S42">
            <v>20.466570000000001</v>
          </cell>
        </row>
        <row r="43">
          <cell r="S43">
            <v>265.17347999999998</v>
          </cell>
        </row>
        <row r="52">
          <cell r="Q52">
            <v>9594.9033499999987</v>
          </cell>
        </row>
      </sheetData>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Q1F-2013-14"/>
      <sheetName val="Q2F-2013-14"/>
      <sheetName val="Sheet1"/>
      <sheetName val="Q3F-2013-14"/>
      <sheetName val="Q4F-2013-14"/>
      <sheetName val="FYF-2013-14"/>
      <sheetName val="BMC"/>
      <sheetName val="Sheet2"/>
      <sheetName val="Sheet3"/>
    </sheetNames>
    <sheetDataSet>
      <sheetData sheetId="0">
        <row r="5">
          <cell r="N5">
            <v>815</v>
          </cell>
          <cell r="T5">
            <v>10.618080000000001</v>
          </cell>
        </row>
        <row r="6">
          <cell r="N6">
            <v>1650</v>
          </cell>
          <cell r="T6">
            <v>32.560940000000002</v>
          </cell>
        </row>
        <row r="7">
          <cell r="N7">
            <v>1650</v>
          </cell>
          <cell r="T7">
            <v>32.574979999999996</v>
          </cell>
        </row>
        <row r="8">
          <cell r="N8">
            <v>1670</v>
          </cell>
          <cell r="T8">
            <v>60.563140000000004</v>
          </cell>
        </row>
        <row r="9">
          <cell r="N9">
            <v>2505</v>
          </cell>
          <cell r="T9">
            <v>81.753039999999999</v>
          </cell>
        </row>
        <row r="10">
          <cell r="N10">
            <v>1670</v>
          </cell>
          <cell r="T10">
            <v>84.293220000000005</v>
          </cell>
        </row>
        <row r="11">
          <cell r="N11">
            <v>1670</v>
          </cell>
          <cell r="T11">
            <v>118.27523000000001</v>
          </cell>
        </row>
        <row r="12">
          <cell r="N12">
            <v>3340</v>
          </cell>
          <cell r="T12">
            <v>509.99799999999993</v>
          </cell>
        </row>
        <row r="13">
          <cell r="N13">
            <v>1000</v>
          </cell>
          <cell r="T13">
            <v>6.7385299999999999</v>
          </cell>
        </row>
        <row r="14">
          <cell r="N14">
            <v>5050</v>
          </cell>
          <cell r="T14">
            <v>111.96869000000001</v>
          </cell>
        </row>
        <row r="15">
          <cell r="N15">
            <v>2500</v>
          </cell>
          <cell r="T15">
            <v>17.56062</v>
          </cell>
        </row>
        <row r="16">
          <cell r="N16">
            <v>1300</v>
          </cell>
          <cell r="T16">
            <v>85.78694999999999</v>
          </cell>
        </row>
        <row r="17">
          <cell r="N17">
            <v>1700</v>
          </cell>
          <cell r="T17">
            <v>117.32300000000001</v>
          </cell>
        </row>
        <row r="18">
          <cell r="N18">
            <v>1100</v>
          </cell>
          <cell r="T18">
            <v>78.010809999999992</v>
          </cell>
        </row>
        <row r="19">
          <cell r="N19">
            <v>0</v>
          </cell>
          <cell r="T19">
            <v>31.845210000000002</v>
          </cell>
        </row>
        <row r="20">
          <cell r="N20">
            <v>0</v>
          </cell>
          <cell r="T20">
            <v>4.6335600000000001</v>
          </cell>
        </row>
        <row r="21">
          <cell r="N21">
            <v>437.5</v>
          </cell>
          <cell r="T21">
            <v>0.25585000000000002</v>
          </cell>
        </row>
        <row r="22">
          <cell r="N22">
            <v>4950</v>
          </cell>
          <cell r="T22">
            <v>165.67164</v>
          </cell>
        </row>
        <row r="23">
          <cell r="N23">
            <v>3340</v>
          </cell>
          <cell r="T23">
            <v>366.80964</v>
          </cell>
        </row>
        <row r="24">
          <cell r="N24">
            <v>5000</v>
          </cell>
          <cell r="T24">
            <v>770.54682999999989</v>
          </cell>
        </row>
        <row r="25">
          <cell r="N25">
            <v>3400</v>
          </cell>
          <cell r="T25">
            <v>306.28243000000003</v>
          </cell>
        </row>
        <row r="26">
          <cell r="N26">
            <v>0</v>
          </cell>
          <cell r="T26">
            <v>21.061640000000001</v>
          </cell>
        </row>
        <row r="27">
          <cell r="N27">
            <v>4950</v>
          </cell>
          <cell r="T27">
            <v>329.08774</v>
          </cell>
        </row>
        <row r="31">
          <cell r="N31">
            <v>625</v>
          </cell>
          <cell r="T31">
            <v>321.60581000000002</v>
          </cell>
        </row>
        <row r="32">
          <cell r="T32">
            <v>0</v>
          </cell>
        </row>
        <row r="33">
          <cell r="T33">
            <v>0</v>
          </cell>
        </row>
        <row r="34">
          <cell r="N34">
            <v>0</v>
          </cell>
          <cell r="T34">
            <v>0</v>
          </cell>
        </row>
        <row r="35">
          <cell r="T35">
            <v>918.72</v>
          </cell>
        </row>
      </sheetData>
      <sheetData sheetId="1">
        <row r="5">
          <cell r="N5">
            <v>0</v>
          </cell>
          <cell r="T5">
            <v>0</v>
          </cell>
        </row>
        <row r="6">
          <cell r="N6">
            <v>0</v>
          </cell>
          <cell r="T6">
            <v>0</v>
          </cell>
        </row>
        <row r="7">
          <cell r="N7">
            <v>0</v>
          </cell>
          <cell r="T7">
            <v>0</v>
          </cell>
        </row>
        <row r="8">
          <cell r="N8">
            <v>815</v>
          </cell>
          <cell r="T8">
            <v>6.75448</v>
          </cell>
        </row>
        <row r="9">
          <cell r="N9">
            <v>815</v>
          </cell>
          <cell r="T9">
            <v>15.715809999999999</v>
          </cell>
        </row>
        <row r="10">
          <cell r="N10">
            <v>1650</v>
          </cell>
          <cell r="T10">
            <v>19.418880000000001</v>
          </cell>
        </row>
        <row r="11">
          <cell r="N11">
            <v>3320</v>
          </cell>
          <cell r="T11">
            <v>57.708129999999997</v>
          </cell>
        </row>
        <row r="12">
          <cell r="N12">
            <v>9185</v>
          </cell>
          <cell r="T12">
            <v>378.83852000000002</v>
          </cell>
        </row>
        <row r="13">
          <cell r="N13">
            <v>0</v>
          </cell>
          <cell r="T13">
            <v>0</v>
          </cell>
        </row>
        <row r="14">
          <cell r="N14">
            <v>0</v>
          </cell>
          <cell r="T14">
            <v>0</v>
          </cell>
        </row>
        <row r="15">
          <cell r="N15">
            <v>0</v>
          </cell>
          <cell r="T15">
            <v>0</v>
          </cell>
        </row>
        <row r="16">
          <cell r="N16">
            <v>1300</v>
          </cell>
          <cell r="T16">
            <v>50.653900000000007</v>
          </cell>
        </row>
        <row r="17">
          <cell r="N17">
            <v>1700</v>
          </cell>
          <cell r="T17">
            <v>76.114879999999999</v>
          </cell>
        </row>
        <row r="18">
          <cell r="N18">
            <v>1100</v>
          </cell>
          <cell r="T18">
            <v>48.113880000000002</v>
          </cell>
        </row>
        <row r="19">
          <cell r="N19">
            <v>0</v>
          </cell>
          <cell r="T19">
            <v>162.48230000000001</v>
          </cell>
        </row>
        <row r="20">
          <cell r="N20">
            <v>900</v>
          </cell>
          <cell r="T20">
            <v>142.09532999999999</v>
          </cell>
        </row>
        <row r="21">
          <cell r="N21">
            <v>0</v>
          </cell>
          <cell r="T21">
            <v>22.117809999999999</v>
          </cell>
        </row>
        <row r="22">
          <cell r="N22">
            <v>0</v>
          </cell>
          <cell r="T22">
            <v>0</v>
          </cell>
        </row>
        <row r="23">
          <cell r="N23">
            <v>3500</v>
          </cell>
          <cell r="T23">
            <v>50.232230000000001</v>
          </cell>
        </row>
        <row r="24">
          <cell r="N24">
            <v>3340</v>
          </cell>
          <cell r="T24">
            <v>303.22059000000002</v>
          </cell>
        </row>
        <row r="25">
          <cell r="N25">
            <v>5000</v>
          </cell>
          <cell r="T25">
            <v>615.87815999999998</v>
          </cell>
        </row>
        <row r="26">
          <cell r="N26">
            <v>0</v>
          </cell>
          <cell r="T26">
            <v>0</v>
          </cell>
        </row>
        <row r="27">
          <cell r="N27">
            <v>4950</v>
          </cell>
          <cell r="T27">
            <v>205.86572000000001</v>
          </cell>
        </row>
        <row r="28">
          <cell r="N28">
            <v>2500</v>
          </cell>
          <cell r="T28">
            <v>377.67608000000001</v>
          </cell>
        </row>
        <row r="29">
          <cell r="N29">
            <v>4950</v>
          </cell>
          <cell r="T29">
            <v>199.42349000000002</v>
          </cell>
        </row>
        <row r="33">
          <cell r="N33">
            <v>625</v>
          </cell>
          <cell r="T33">
            <v>293.29048999999998</v>
          </cell>
        </row>
        <row r="34">
          <cell r="T34">
            <v>0</v>
          </cell>
        </row>
        <row r="35">
          <cell r="T35">
            <v>0</v>
          </cell>
        </row>
        <row r="36">
          <cell r="N36">
            <v>226.10575</v>
          </cell>
          <cell r="T36">
            <v>285.82535999999999</v>
          </cell>
        </row>
        <row r="37">
          <cell r="T37">
            <v>1999.9999800000001</v>
          </cell>
        </row>
      </sheetData>
      <sheetData sheetId="2" refreshError="1"/>
      <sheetData sheetId="3">
        <row r="12">
          <cell r="N12">
            <v>1670</v>
          </cell>
          <cell r="T12">
            <v>201.17212999999998</v>
          </cell>
        </row>
        <row r="16">
          <cell r="N16">
            <v>1400</v>
          </cell>
          <cell r="T16">
            <v>3.9122999999999997</v>
          </cell>
        </row>
        <row r="17">
          <cell r="N17">
            <v>1600</v>
          </cell>
          <cell r="T17">
            <v>1.8556499999999998</v>
          </cell>
        </row>
        <row r="18">
          <cell r="N18">
            <v>1100</v>
          </cell>
          <cell r="T18">
            <v>1.5394300000000001</v>
          </cell>
        </row>
        <row r="19">
          <cell r="N19">
            <v>6300</v>
          </cell>
          <cell r="T19">
            <v>11.724920000000001</v>
          </cell>
        </row>
        <row r="20">
          <cell r="N20">
            <v>3600</v>
          </cell>
          <cell r="T20">
            <v>54.864059999999995</v>
          </cell>
        </row>
        <row r="21">
          <cell r="N21">
            <v>900</v>
          </cell>
          <cell r="T21">
            <v>60.60342</v>
          </cell>
        </row>
        <row r="22">
          <cell r="N22">
            <v>2500</v>
          </cell>
          <cell r="T22">
            <v>277.62190999999996</v>
          </cell>
        </row>
        <row r="23">
          <cell r="N23">
            <v>0</v>
          </cell>
          <cell r="T23">
            <v>36.015410000000003</v>
          </cell>
        </row>
        <row r="26">
          <cell r="N26">
            <v>6660</v>
          </cell>
          <cell r="T26">
            <v>90.600480000000005</v>
          </cell>
        </row>
        <row r="27">
          <cell r="N27">
            <v>10000</v>
          </cell>
          <cell r="T27">
            <v>414.86613000000006</v>
          </cell>
        </row>
        <row r="28">
          <cell r="N28">
            <v>3300</v>
          </cell>
          <cell r="T28">
            <v>548.66100000000006</v>
          </cell>
        </row>
        <row r="29">
          <cell r="N29">
            <v>0</v>
          </cell>
          <cell r="T29">
            <v>44.931510000000003</v>
          </cell>
        </row>
        <row r="30">
          <cell r="N30">
            <v>5050</v>
          </cell>
          <cell r="T30">
            <v>29.473970000000001</v>
          </cell>
        </row>
        <row r="31">
          <cell r="N31">
            <v>3750</v>
          </cell>
          <cell r="T31">
            <v>262.81852000000003</v>
          </cell>
        </row>
        <row r="32">
          <cell r="N32">
            <v>5150</v>
          </cell>
          <cell r="T32">
            <v>70.782939999999996</v>
          </cell>
        </row>
        <row r="36">
          <cell r="N36">
            <v>625</v>
          </cell>
          <cell r="T36">
            <v>272.28498999999999</v>
          </cell>
        </row>
        <row r="40">
          <cell r="T40">
            <v>3269.5433500000004</v>
          </cell>
        </row>
      </sheetData>
      <sheetData sheetId="4">
        <row r="12">
          <cell r="N12">
            <v>5805</v>
          </cell>
          <cell r="T12">
            <v>115.12914000000001</v>
          </cell>
        </row>
        <row r="16">
          <cell r="N16">
            <v>0</v>
          </cell>
          <cell r="T16">
            <v>0</v>
          </cell>
        </row>
        <row r="17">
          <cell r="N17">
            <v>0</v>
          </cell>
          <cell r="T17">
            <v>0</v>
          </cell>
        </row>
        <row r="18">
          <cell r="N18">
            <v>0</v>
          </cell>
          <cell r="T18">
            <v>0</v>
          </cell>
        </row>
        <row r="19">
          <cell r="N19">
            <v>0</v>
          </cell>
          <cell r="T19">
            <v>0</v>
          </cell>
        </row>
        <row r="20">
          <cell r="N20">
            <v>1000</v>
          </cell>
          <cell r="T20">
            <v>3.92543</v>
          </cell>
        </row>
        <row r="21">
          <cell r="N21">
            <v>1350</v>
          </cell>
          <cell r="T21">
            <v>22.107120000000002</v>
          </cell>
        </row>
        <row r="22">
          <cell r="N22">
            <v>7500</v>
          </cell>
          <cell r="T22">
            <v>195.86261000000002</v>
          </cell>
        </row>
        <row r="23">
          <cell r="N23">
            <v>1600</v>
          </cell>
          <cell r="T23">
            <v>95.843969999999999</v>
          </cell>
        </row>
        <row r="24">
          <cell r="N24">
            <v>1300</v>
          </cell>
          <cell r="T24">
            <v>127.74325999999999</v>
          </cell>
        </row>
        <row r="25">
          <cell r="N25">
            <v>0</v>
          </cell>
          <cell r="T25">
            <v>37.397260000000003</v>
          </cell>
        </row>
        <row r="28">
          <cell r="N28">
            <v>1650</v>
          </cell>
          <cell r="T28">
            <v>-17.133030000000002</v>
          </cell>
        </row>
        <row r="29">
          <cell r="N29">
            <v>10000</v>
          </cell>
          <cell r="T29">
            <v>181.64199000000002</v>
          </cell>
        </row>
        <row r="30">
          <cell r="N30">
            <v>6600</v>
          </cell>
          <cell r="T30">
            <v>403.21181000000001</v>
          </cell>
        </row>
        <row r="31">
          <cell r="N31">
            <v>5010</v>
          </cell>
          <cell r="T31">
            <v>477.64089000000001</v>
          </cell>
        </row>
        <row r="32">
          <cell r="T32">
            <v>0</v>
          </cell>
        </row>
        <row r="33">
          <cell r="N33">
            <v>0</v>
          </cell>
          <cell r="T33">
            <v>0</v>
          </cell>
        </row>
        <row r="34">
          <cell r="N34">
            <v>3750</v>
          </cell>
          <cell r="T34">
            <v>173.65334999999999</v>
          </cell>
        </row>
        <row r="35">
          <cell r="N35">
            <v>0</v>
          </cell>
          <cell r="T35">
            <v>98.287649999999999</v>
          </cell>
        </row>
        <row r="36">
          <cell r="N36">
            <v>0</v>
          </cell>
          <cell r="T36">
            <v>0</v>
          </cell>
        </row>
        <row r="37">
          <cell r="T37">
            <v>28.082190000000001</v>
          </cell>
        </row>
        <row r="41">
          <cell r="N41">
            <v>625</v>
          </cell>
          <cell r="T41">
            <v>248.35575</v>
          </cell>
        </row>
        <row r="42">
          <cell r="N42">
            <v>15.97</v>
          </cell>
          <cell r="T42">
            <v>20.466570000000001</v>
          </cell>
        </row>
        <row r="43">
          <cell r="N43">
            <v>1350.3376000000001</v>
          </cell>
          <cell r="T43">
            <v>265.17347999999998</v>
          </cell>
        </row>
        <row r="44">
          <cell r="N44">
            <v>226.10575</v>
          </cell>
          <cell r="T44">
            <v>285.83</v>
          </cell>
        </row>
        <row r="45">
          <cell r="N45">
            <v>0</v>
          </cell>
          <cell r="T45">
            <v>5333.32</v>
          </cell>
        </row>
      </sheetData>
      <sheetData sheetId="5" refreshError="1"/>
      <sheetData sheetId="6" refreshError="1"/>
      <sheetData sheetId="7" refreshError="1"/>
      <sheetData sheetId="8"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APRIL 13"/>
      <sheetName val="MAY 13"/>
      <sheetName val="JUNE 13"/>
      <sheetName val="JULY 13"/>
      <sheetName val="AUGUST 13"/>
      <sheetName val="SEPT 13"/>
      <sheetName val="OCT 13"/>
      <sheetName val="NOV 13"/>
      <sheetName val="DEC 13"/>
      <sheetName val="JAN 14"/>
      <sheetName val="FEB 14"/>
      <sheetName val="MAR14"/>
    </sheetNames>
    <sheetDataSet>
      <sheetData sheetId="0">
        <row r="31">
          <cell r="N31">
            <v>0</v>
          </cell>
        </row>
      </sheetData>
      <sheetData sheetId="1">
        <row r="29">
          <cell r="N29">
            <v>0</v>
          </cell>
        </row>
      </sheetData>
      <sheetData sheetId="2">
        <row r="29">
          <cell r="N29">
            <v>0</v>
          </cell>
        </row>
      </sheetData>
      <sheetData sheetId="3"/>
      <sheetData sheetId="4"/>
      <sheetData sheetId="5"/>
      <sheetData sheetId="6"/>
      <sheetData sheetId="7"/>
      <sheetData sheetId="8"/>
      <sheetData sheetId="9"/>
      <sheetData sheetId="10"/>
      <sheetData sheetId="1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LAND"/>
      <sheetName val="BLDG"/>
      <sheetName val="Bldg cash coll port chky"/>
      <sheetName val="Motor vehicle"/>
      <sheetName val="Mach Tools"/>
      <sheetName val="Furniture "/>
      <sheetName val="Room A.C."/>
      <sheetName val="P.C."/>
      <sheetName val="Electronic Eqip.OE"/>
      <sheetName val="Electonic Eqp sep M.T."/>
      <sheetName val="Cyclostyle mach"/>
      <sheetName val="CABLE &amp; MAINS"/>
      <sheetName val="HOUSE SER MAIN"/>
      <sheetName val="CABLE CONN FEES"/>
      <sheetName val="DIST PILLARS"/>
      <sheetName val="ST LTG LAMPS"/>
      <sheetName val="METERS CONVN"/>
      <sheetName val="METERS ELECT"/>
      <sheetName val="BUSINESS PROC AUTO"/>
      <sheetName val="SWICHGR"/>
      <sheetName val="Transformer"/>
      <sheetName val="Scada"/>
      <sheetName val="Batteries"/>
      <sheetName val="Capacitors"/>
      <sheetName val="DEA on hire"/>
      <sheetName val="Loose Tools"/>
      <sheetName val="Office Equip"/>
      <sheetName val="SUMMARY"/>
      <sheetName val="E-6 WISE GRUP"/>
      <sheetName val="Dep chg"/>
    </sheetNames>
    <sheetDataSet>
      <sheetData sheetId="0" refreshError="1"/>
      <sheetData sheetId="1">
        <row r="76">
          <cell r="G76">
            <v>626226454</v>
          </cell>
          <cell r="H76">
            <v>0</v>
          </cell>
          <cell r="I76">
            <v>0</v>
          </cell>
          <cell r="J76">
            <v>0</v>
          </cell>
          <cell r="K76">
            <v>626226454</v>
          </cell>
          <cell r="L76">
            <v>0</v>
          </cell>
          <cell r="M76">
            <v>0</v>
          </cell>
          <cell r="N76">
            <v>626226454</v>
          </cell>
          <cell r="P76">
            <v>20409358.398800001</v>
          </cell>
          <cell r="Q76">
            <v>183228906.67139998</v>
          </cell>
          <cell r="R76">
            <v>212432479.17019996</v>
          </cell>
        </row>
      </sheetData>
      <sheetData sheetId="2">
        <row r="21">
          <cell r="G21">
            <v>149466</v>
          </cell>
          <cell r="I21">
            <v>0</v>
          </cell>
          <cell r="J21">
            <v>0</v>
          </cell>
          <cell r="K21">
            <v>149466</v>
          </cell>
          <cell r="L21">
            <v>0</v>
          </cell>
          <cell r="M21">
            <v>0</v>
          </cell>
          <cell r="N21">
            <v>149466</v>
          </cell>
          <cell r="P21">
            <v>4229.1747999999998</v>
          </cell>
          <cell r="Q21">
            <v>56084.969799999992</v>
          </cell>
          <cell r="R21">
            <v>80873.744600000005</v>
          </cell>
        </row>
      </sheetData>
      <sheetData sheetId="3">
        <row r="42">
          <cell r="G42">
            <v>146095852</v>
          </cell>
          <cell r="I42">
            <v>0</v>
          </cell>
          <cell r="J42">
            <v>0</v>
          </cell>
          <cell r="K42">
            <v>146095852</v>
          </cell>
          <cell r="L42">
            <v>0</v>
          </cell>
          <cell r="M42">
            <v>0</v>
          </cell>
          <cell r="N42">
            <v>146095852</v>
          </cell>
          <cell r="P42">
            <v>10344899.5875</v>
          </cell>
          <cell r="Q42">
            <v>36426906.449999996</v>
          </cell>
          <cell r="R42">
            <v>95498876.137500018</v>
          </cell>
        </row>
      </sheetData>
      <sheetData sheetId="4">
        <row r="68">
          <cell r="G68">
            <v>237563872</v>
          </cell>
          <cell r="I68">
            <v>101614</v>
          </cell>
          <cell r="J68">
            <v>0</v>
          </cell>
          <cell r="K68">
            <v>237462258</v>
          </cell>
          <cell r="L68">
            <v>0</v>
          </cell>
          <cell r="M68">
            <v>0</v>
          </cell>
          <cell r="N68">
            <v>237462258</v>
          </cell>
          <cell r="P68">
            <v>11047734.773999998</v>
          </cell>
          <cell r="Q68">
            <v>55369222.5704</v>
          </cell>
          <cell r="R68">
            <v>91298882.044400021</v>
          </cell>
        </row>
      </sheetData>
      <sheetData sheetId="5">
        <row r="47">
          <cell r="G47">
            <v>23400257</v>
          </cell>
          <cell r="I47">
            <v>0</v>
          </cell>
          <cell r="J47">
            <v>0</v>
          </cell>
          <cell r="K47">
            <v>23400257</v>
          </cell>
          <cell r="L47">
            <v>0</v>
          </cell>
          <cell r="M47">
            <v>0</v>
          </cell>
          <cell r="N47">
            <v>23400257</v>
          </cell>
          <cell r="P47">
            <v>1420846.4856</v>
          </cell>
          <cell r="Q47">
            <v>9900421.111200003</v>
          </cell>
          <cell r="R47">
            <v>12179890.096799998</v>
          </cell>
        </row>
      </sheetData>
      <sheetData sheetId="6">
        <row r="33">
          <cell r="G33">
            <v>19232674</v>
          </cell>
          <cell r="I33">
            <v>299654</v>
          </cell>
          <cell r="J33">
            <v>0</v>
          </cell>
          <cell r="K33">
            <v>18933020</v>
          </cell>
          <cell r="L33">
            <v>0</v>
          </cell>
          <cell r="M33">
            <v>0</v>
          </cell>
          <cell r="N33">
            <v>18933020</v>
          </cell>
          <cell r="P33">
            <v>289442.01</v>
          </cell>
          <cell r="Q33">
            <v>948857.73499999999</v>
          </cell>
          <cell r="R33">
            <v>15535935.545000004</v>
          </cell>
        </row>
      </sheetData>
      <sheetData sheetId="7">
        <row r="28">
          <cell r="G28">
            <v>171068021</v>
          </cell>
          <cell r="H28">
            <v>12100000</v>
          </cell>
          <cell r="I28">
            <v>1241221</v>
          </cell>
          <cell r="K28">
            <v>157726800</v>
          </cell>
          <cell r="L28">
            <v>0</v>
          </cell>
          <cell r="M28">
            <v>0</v>
          </cell>
          <cell r="N28">
            <v>157726800</v>
          </cell>
          <cell r="P28">
            <v>13019131.199999999</v>
          </cell>
          <cell r="Q28">
            <v>40657922.100000001</v>
          </cell>
          <cell r="R28">
            <v>117516386.10000001</v>
          </cell>
        </row>
      </sheetData>
      <sheetData sheetId="8">
        <row r="32">
          <cell r="G32">
            <v>17259667</v>
          </cell>
          <cell r="H32">
            <v>0</v>
          </cell>
          <cell r="I32">
            <v>0</v>
          </cell>
          <cell r="J32">
            <v>0</v>
          </cell>
          <cell r="K32">
            <v>17259667</v>
          </cell>
          <cell r="L32">
            <v>0</v>
          </cell>
          <cell r="M32">
            <v>0</v>
          </cell>
          <cell r="N32">
            <v>17259667</v>
          </cell>
          <cell r="P32">
            <v>1983554.7</v>
          </cell>
          <cell r="Q32">
            <v>7865462.7749999994</v>
          </cell>
          <cell r="R32">
            <v>13481389.574999999</v>
          </cell>
        </row>
      </sheetData>
      <sheetData sheetId="9">
        <row r="31">
          <cell r="G31">
            <v>17110545</v>
          </cell>
          <cell r="I31">
            <v>0</v>
          </cell>
          <cell r="J31">
            <v>0</v>
          </cell>
          <cell r="K31">
            <v>17110545</v>
          </cell>
          <cell r="L31">
            <v>0</v>
          </cell>
          <cell r="M31">
            <v>0</v>
          </cell>
          <cell r="N31">
            <v>17110545</v>
          </cell>
          <cell r="P31">
            <v>1166940.75</v>
          </cell>
          <cell r="Q31">
            <v>3563729.3249999997</v>
          </cell>
          <cell r="R31">
            <v>13128516.075000001</v>
          </cell>
        </row>
      </sheetData>
      <sheetData sheetId="10">
        <row r="25">
          <cell r="G25">
            <v>1434612</v>
          </cell>
          <cell r="I25">
            <v>0</v>
          </cell>
          <cell r="J25">
            <v>0</v>
          </cell>
          <cell r="K25">
            <v>1434612</v>
          </cell>
          <cell r="L25">
            <v>0</v>
          </cell>
          <cell r="M25">
            <v>0</v>
          </cell>
          <cell r="N25">
            <v>1434612</v>
          </cell>
          <cell r="P25">
            <v>87807.510000000009</v>
          </cell>
          <cell r="Q25">
            <v>422140.14</v>
          </cell>
          <cell r="R25">
            <v>936436.05</v>
          </cell>
        </row>
      </sheetData>
      <sheetData sheetId="11">
        <row r="61">
          <cell r="G61">
            <v>6198998243</v>
          </cell>
          <cell r="H61">
            <v>1350000</v>
          </cell>
          <cell r="I61">
            <v>3277689</v>
          </cell>
          <cell r="J61">
            <v>0</v>
          </cell>
          <cell r="K61">
            <v>6194370554</v>
          </cell>
          <cell r="L61">
            <v>175078000</v>
          </cell>
          <cell r="M61">
            <v>648320217</v>
          </cell>
          <cell r="N61">
            <v>5370972337</v>
          </cell>
          <cell r="P61">
            <v>275394834.53369999</v>
          </cell>
          <cell r="Q61">
            <v>1415468130.6014998</v>
          </cell>
          <cell r="R61">
            <v>1782399889.7351999</v>
          </cell>
        </row>
      </sheetData>
      <sheetData sheetId="12" refreshError="1"/>
      <sheetData sheetId="13" refreshError="1"/>
      <sheetData sheetId="14">
        <row r="33">
          <cell r="G33">
            <v>251608194</v>
          </cell>
          <cell r="H33">
            <v>0</v>
          </cell>
          <cell r="I33">
            <v>2923000</v>
          </cell>
          <cell r="J33">
            <v>0</v>
          </cell>
          <cell r="K33">
            <v>248685194</v>
          </cell>
          <cell r="L33">
            <v>7177000</v>
          </cell>
          <cell r="M33">
            <v>0</v>
          </cell>
          <cell r="N33">
            <v>241508194</v>
          </cell>
          <cell r="P33">
            <v>12014103.560999999</v>
          </cell>
          <cell r="Q33">
            <v>71978017.009799987</v>
          </cell>
          <cell r="R33">
            <v>95117079.070799991</v>
          </cell>
        </row>
      </sheetData>
      <sheetData sheetId="15">
        <row r="51">
          <cell r="G51">
            <v>450348667</v>
          </cell>
          <cell r="H51">
            <v>1350000</v>
          </cell>
          <cell r="I51">
            <v>0</v>
          </cell>
          <cell r="J51">
            <v>0</v>
          </cell>
          <cell r="K51">
            <v>448998667</v>
          </cell>
          <cell r="L51">
            <v>0</v>
          </cell>
          <cell r="M51">
            <v>0</v>
          </cell>
          <cell r="N51">
            <v>448998667</v>
          </cell>
          <cell r="P51">
            <v>14147343.009599997</v>
          </cell>
          <cell r="Q51">
            <v>138984537.86160001</v>
          </cell>
          <cell r="R51">
            <v>321596034.57120013</v>
          </cell>
        </row>
      </sheetData>
      <sheetData sheetId="16">
        <row r="35">
          <cell r="G35">
            <v>710865187</v>
          </cell>
          <cell r="H35">
            <v>0</v>
          </cell>
          <cell r="I35">
            <v>0</v>
          </cell>
          <cell r="J35">
            <v>0</v>
          </cell>
          <cell r="K35">
            <v>710865187</v>
          </cell>
          <cell r="L35">
            <v>50225000</v>
          </cell>
          <cell r="M35">
            <v>0</v>
          </cell>
          <cell r="N35">
            <v>660640187</v>
          </cell>
          <cell r="P35">
            <v>17093615.5656</v>
          </cell>
          <cell r="Q35">
            <v>190923861.34559998</v>
          </cell>
          <cell r="R35">
            <v>521560377.81120008</v>
          </cell>
        </row>
      </sheetData>
      <sheetData sheetId="17">
        <row r="26">
          <cell r="G26">
            <v>1302182412</v>
          </cell>
          <cell r="H26">
            <v>22500000</v>
          </cell>
          <cell r="I26">
            <v>0</v>
          </cell>
          <cell r="J26">
            <v>0</v>
          </cell>
          <cell r="K26">
            <v>1279682412</v>
          </cell>
          <cell r="L26">
            <v>74225000</v>
          </cell>
          <cell r="M26">
            <v>0</v>
          </cell>
          <cell r="N26">
            <v>1205457412</v>
          </cell>
          <cell r="P26">
            <v>131652779.24250001</v>
          </cell>
          <cell r="Q26">
            <v>474358811.6624999</v>
          </cell>
          <cell r="R26">
            <v>607259206.005</v>
          </cell>
        </row>
      </sheetData>
      <sheetData sheetId="18">
        <row r="12">
          <cell r="G12">
            <v>446717774</v>
          </cell>
          <cell r="H12">
            <v>0</v>
          </cell>
          <cell r="I12">
            <v>0</v>
          </cell>
          <cell r="J12">
            <v>0</v>
          </cell>
          <cell r="K12">
            <v>446717774</v>
          </cell>
          <cell r="L12">
            <v>0</v>
          </cell>
          <cell r="M12">
            <v>0</v>
          </cell>
          <cell r="N12">
            <v>446717774</v>
          </cell>
          <cell r="P12">
            <v>67007666.099999994</v>
          </cell>
          <cell r="Q12">
            <v>160054908.30000001</v>
          </cell>
          <cell r="R12">
            <v>227062574.40000001</v>
          </cell>
        </row>
      </sheetData>
      <sheetData sheetId="19">
        <row r="58">
          <cell r="G58">
            <v>4789388028</v>
          </cell>
          <cell r="H58">
            <v>0</v>
          </cell>
          <cell r="I58">
            <v>26580503</v>
          </cell>
          <cell r="J58">
            <v>0</v>
          </cell>
          <cell r="K58">
            <v>4762807525</v>
          </cell>
          <cell r="L58">
            <v>241063000</v>
          </cell>
          <cell r="M58">
            <v>0</v>
          </cell>
          <cell r="N58">
            <v>4521744525</v>
          </cell>
          <cell r="P58">
            <v>192491363.38079998</v>
          </cell>
          <cell r="Q58">
            <v>1204989518.1336</v>
          </cell>
          <cell r="R58">
            <v>2185948169.1143999</v>
          </cell>
        </row>
      </sheetData>
      <sheetData sheetId="20">
        <row r="74">
          <cell r="G74">
            <v>3190039346.3499999</v>
          </cell>
          <cell r="H74">
            <v>0</v>
          </cell>
          <cell r="I74">
            <v>9328192</v>
          </cell>
          <cell r="J74">
            <v>0</v>
          </cell>
          <cell r="K74">
            <v>3180711154.3499999</v>
          </cell>
          <cell r="L74">
            <v>145781500</v>
          </cell>
          <cell r="M74">
            <v>0</v>
          </cell>
          <cell r="N74">
            <v>3034929654.3499999</v>
          </cell>
          <cell r="P74">
            <v>158839504.154396</v>
          </cell>
          <cell r="Q74">
            <v>845598908.52534389</v>
          </cell>
          <cell r="R74">
            <v>1014143678.80674</v>
          </cell>
        </row>
      </sheetData>
      <sheetData sheetId="21">
        <row r="21">
          <cell r="G21">
            <v>416948754</v>
          </cell>
          <cell r="H21">
            <v>0</v>
          </cell>
          <cell r="I21">
            <v>0</v>
          </cell>
          <cell r="J21">
            <v>0</v>
          </cell>
          <cell r="K21">
            <v>416948754</v>
          </cell>
          <cell r="L21">
            <v>0</v>
          </cell>
          <cell r="M21">
            <v>0</v>
          </cell>
          <cell r="N21">
            <v>416948754</v>
          </cell>
          <cell r="P21">
            <v>37678562.099999994</v>
          </cell>
          <cell r="Q21">
            <v>52208222.024999999</v>
          </cell>
          <cell r="R21">
            <v>219747312.52500001</v>
          </cell>
        </row>
      </sheetData>
      <sheetData sheetId="22">
        <row r="33">
          <cell r="G33">
            <v>64269317</v>
          </cell>
          <cell r="H33">
            <v>0</v>
          </cell>
          <cell r="I33">
            <v>0</v>
          </cell>
          <cell r="J33">
            <v>0</v>
          </cell>
          <cell r="K33">
            <v>64269317</v>
          </cell>
          <cell r="L33">
            <v>0</v>
          </cell>
          <cell r="M33">
            <v>0</v>
          </cell>
          <cell r="N33">
            <v>64269317</v>
          </cell>
          <cell r="P33">
            <v>1631472.5855999999</v>
          </cell>
          <cell r="Q33">
            <v>6651701.9327999996</v>
          </cell>
          <cell r="R33">
            <v>38316368.018400006</v>
          </cell>
        </row>
      </sheetData>
      <sheetData sheetId="23">
        <row r="39">
          <cell r="G39">
            <v>94171129</v>
          </cell>
          <cell r="H39">
            <v>0</v>
          </cell>
          <cell r="I39">
            <v>205067</v>
          </cell>
          <cell r="J39">
            <v>0</v>
          </cell>
          <cell r="K39">
            <v>93966062</v>
          </cell>
          <cell r="L39">
            <v>0</v>
          </cell>
          <cell r="M39">
            <v>0</v>
          </cell>
          <cell r="N39">
            <v>93966062</v>
          </cell>
          <cell r="P39">
            <v>4855801.7147999993</v>
          </cell>
          <cell r="Q39">
            <v>29538350.194800001</v>
          </cell>
          <cell r="R39">
            <v>45600142.809600003</v>
          </cell>
        </row>
      </sheetData>
      <sheetData sheetId="24">
        <row r="36">
          <cell r="G36">
            <v>465756</v>
          </cell>
          <cell r="H36">
            <v>0</v>
          </cell>
          <cell r="I36">
            <v>32838</v>
          </cell>
          <cell r="J36">
            <v>0</v>
          </cell>
          <cell r="K36">
            <v>432918</v>
          </cell>
          <cell r="L36">
            <v>0</v>
          </cell>
          <cell r="M36">
            <v>0</v>
          </cell>
          <cell r="N36">
            <v>432918</v>
          </cell>
          <cell r="P36">
            <v>0</v>
          </cell>
          <cell r="Q36">
            <v>0</v>
          </cell>
          <cell r="R36">
            <v>419180.4</v>
          </cell>
        </row>
      </sheetData>
      <sheetData sheetId="25">
        <row r="42">
          <cell r="G42">
            <v>2852516</v>
          </cell>
          <cell r="H42">
            <v>0</v>
          </cell>
          <cell r="I42">
            <v>1595164</v>
          </cell>
          <cell r="J42">
            <v>0</v>
          </cell>
          <cell r="K42">
            <v>1257352</v>
          </cell>
          <cell r="L42">
            <v>0</v>
          </cell>
          <cell r="M42">
            <v>0</v>
          </cell>
          <cell r="N42">
            <v>1257352</v>
          </cell>
          <cell r="P42">
            <v>0</v>
          </cell>
          <cell r="Q42">
            <v>0</v>
          </cell>
          <cell r="R42">
            <v>2567264.3999999994</v>
          </cell>
        </row>
      </sheetData>
      <sheetData sheetId="26">
        <row r="53">
          <cell r="G53">
            <v>20004019</v>
          </cell>
          <cell r="H53">
            <v>0</v>
          </cell>
          <cell r="I53">
            <v>17381</v>
          </cell>
          <cell r="J53">
            <v>68450</v>
          </cell>
          <cell r="K53">
            <v>20055088</v>
          </cell>
          <cell r="L53">
            <v>0</v>
          </cell>
          <cell r="M53">
            <v>0</v>
          </cell>
          <cell r="N53">
            <v>20055088</v>
          </cell>
          <cell r="P53">
            <v>1146145.8018999998</v>
          </cell>
          <cell r="Q53">
            <v>6592573.2574000005</v>
          </cell>
          <cell r="R53">
            <v>9494640.6593000013</v>
          </cell>
        </row>
      </sheetData>
      <sheetData sheetId="27">
        <row r="8">
          <cell r="G8">
            <v>22953418</v>
          </cell>
          <cell r="H8">
            <v>0</v>
          </cell>
          <cell r="I8">
            <v>0</v>
          </cell>
          <cell r="J8">
            <v>0</v>
          </cell>
          <cell r="K8">
            <v>22953418</v>
          </cell>
          <cell r="L8">
            <v>0</v>
          </cell>
          <cell r="M8">
            <v>0</v>
          </cell>
          <cell r="N8">
            <v>22953418</v>
          </cell>
          <cell r="O8">
            <v>0</v>
          </cell>
          <cell r="P8">
            <v>0</v>
          </cell>
        </row>
        <row r="10">
          <cell r="G10">
            <v>626226454</v>
          </cell>
          <cell r="H10">
            <v>0</v>
          </cell>
          <cell r="I10">
            <v>0</v>
          </cell>
          <cell r="J10">
            <v>0</v>
          </cell>
          <cell r="K10">
            <v>626226454</v>
          </cell>
          <cell r="L10">
            <v>0</v>
          </cell>
          <cell r="M10">
            <v>0</v>
          </cell>
          <cell r="N10">
            <v>626226454</v>
          </cell>
          <cell r="O10">
            <v>0</v>
          </cell>
          <cell r="P10">
            <v>20409358.398800001</v>
          </cell>
        </row>
        <row r="12">
          <cell r="G12">
            <v>149466</v>
          </cell>
          <cell r="H12">
            <v>0</v>
          </cell>
          <cell r="I12">
            <v>0</v>
          </cell>
          <cell r="J12">
            <v>0</v>
          </cell>
          <cell r="K12">
            <v>149466</v>
          </cell>
          <cell r="L12">
            <v>0</v>
          </cell>
          <cell r="M12">
            <v>0</v>
          </cell>
          <cell r="N12">
            <v>149466</v>
          </cell>
          <cell r="O12">
            <v>0</v>
          </cell>
          <cell r="P12">
            <v>4229.1747999999998</v>
          </cell>
        </row>
        <row r="14">
          <cell r="G14">
            <v>146095852</v>
          </cell>
          <cell r="H14">
            <v>0</v>
          </cell>
          <cell r="I14">
            <v>0</v>
          </cell>
          <cell r="J14">
            <v>0</v>
          </cell>
          <cell r="K14">
            <v>146095852</v>
          </cell>
          <cell r="L14">
            <v>0</v>
          </cell>
          <cell r="M14">
            <v>0</v>
          </cell>
          <cell r="N14">
            <v>146095852</v>
          </cell>
          <cell r="O14">
            <v>0</v>
          </cell>
          <cell r="P14">
            <v>10344899.5875</v>
          </cell>
        </row>
        <row r="16">
          <cell r="G16">
            <v>237563872</v>
          </cell>
          <cell r="H16">
            <v>0</v>
          </cell>
          <cell r="I16">
            <v>101614</v>
          </cell>
          <cell r="J16">
            <v>0</v>
          </cell>
          <cell r="K16">
            <v>237462258</v>
          </cell>
          <cell r="L16">
            <v>0</v>
          </cell>
          <cell r="M16">
            <v>0</v>
          </cell>
          <cell r="N16">
            <v>237462258</v>
          </cell>
          <cell r="O16">
            <v>0</v>
          </cell>
          <cell r="P16">
            <v>11047734.773999998</v>
          </cell>
        </row>
        <row r="18">
          <cell r="G18">
            <v>23400257</v>
          </cell>
          <cell r="H18">
            <v>0</v>
          </cell>
          <cell r="I18">
            <v>0</v>
          </cell>
          <cell r="J18">
            <v>0</v>
          </cell>
          <cell r="K18">
            <v>23400257</v>
          </cell>
          <cell r="L18">
            <v>0</v>
          </cell>
          <cell r="M18">
            <v>0</v>
          </cell>
          <cell r="N18">
            <v>23400257</v>
          </cell>
          <cell r="O18">
            <v>0</v>
          </cell>
          <cell r="P18">
            <v>1420846.4856</v>
          </cell>
        </row>
        <row r="20">
          <cell r="G20">
            <v>19232674</v>
          </cell>
          <cell r="H20">
            <v>0</v>
          </cell>
          <cell r="I20">
            <v>299654</v>
          </cell>
          <cell r="J20">
            <v>0</v>
          </cell>
          <cell r="K20">
            <v>18933020</v>
          </cell>
          <cell r="L20">
            <v>0</v>
          </cell>
          <cell r="M20">
            <v>0</v>
          </cell>
          <cell r="N20">
            <v>18933020</v>
          </cell>
          <cell r="O20">
            <v>0</v>
          </cell>
          <cell r="P20">
            <v>289442.01</v>
          </cell>
        </row>
        <row r="22">
          <cell r="G22">
            <v>171068021</v>
          </cell>
          <cell r="H22">
            <v>12100000</v>
          </cell>
          <cell r="I22">
            <v>1241221</v>
          </cell>
          <cell r="J22">
            <v>0</v>
          </cell>
          <cell r="K22">
            <v>157726800</v>
          </cell>
          <cell r="L22">
            <v>0</v>
          </cell>
          <cell r="M22">
            <v>0</v>
          </cell>
          <cell r="N22">
            <v>157726800</v>
          </cell>
          <cell r="O22">
            <v>0</v>
          </cell>
          <cell r="P22">
            <v>13019131.199999999</v>
          </cell>
        </row>
        <row r="24">
          <cell r="G24">
            <v>17259667</v>
          </cell>
          <cell r="H24">
            <v>0</v>
          </cell>
          <cell r="I24">
            <v>0</v>
          </cell>
          <cell r="J24">
            <v>0</v>
          </cell>
          <cell r="K24">
            <v>17259667</v>
          </cell>
          <cell r="L24">
            <v>0</v>
          </cell>
          <cell r="M24">
            <v>0</v>
          </cell>
          <cell r="N24">
            <v>17259667</v>
          </cell>
          <cell r="O24">
            <v>0</v>
          </cell>
          <cell r="P24">
            <v>1983554.7</v>
          </cell>
        </row>
        <row r="26">
          <cell r="G26">
            <v>17110545</v>
          </cell>
          <cell r="H26">
            <v>0</v>
          </cell>
          <cell r="I26">
            <v>0</v>
          </cell>
          <cell r="J26">
            <v>0</v>
          </cell>
          <cell r="K26">
            <v>17110545</v>
          </cell>
          <cell r="L26">
            <v>0</v>
          </cell>
          <cell r="M26">
            <v>0</v>
          </cell>
          <cell r="N26">
            <v>17110545</v>
          </cell>
          <cell r="O26">
            <v>0</v>
          </cell>
          <cell r="P26">
            <v>1166940.75</v>
          </cell>
        </row>
        <row r="28">
          <cell r="G28">
            <v>1434612</v>
          </cell>
          <cell r="H28">
            <v>0</v>
          </cell>
          <cell r="I28">
            <v>0</v>
          </cell>
          <cell r="J28">
            <v>0</v>
          </cell>
          <cell r="K28">
            <v>1434612</v>
          </cell>
          <cell r="L28">
            <v>0</v>
          </cell>
          <cell r="M28">
            <v>0</v>
          </cell>
          <cell r="N28">
            <v>1434612</v>
          </cell>
          <cell r="O28">
            <v>0</v>
          </cell>
          <cell r="P28">
            <v>87807.510000000009</v>
          </cell>
        </row>
        <row r="30">
          <cell r="G30">
            <v>6198998243</v>
          </cell>
          <cell r="H30">
            <v>1350000</v>
          </cell>
          <cell r="I30">
            <v>3277689</v>
          </cell>
          <cell r="J30">
            <v>0</v>
          </cell>
          <cell r="K30">
            <v>6194370554</v>
          </cell>
          <cell r="L30">
            <v>175078000</v>
          </cell>
          <cell r="M30">
            <v>648320217</v>
          </cell>
          <cell r="N30">
            <v>5370972337</v>
          </cell>
          <cell r="O30">
            <v>0</v>
          </cell>
          <cell r="P30">
            <v>275394834.53369999</v>
          </cell>
        </row>
        <row r="32">
          <cell r="G32">
            <v>251608194</v>
          </cell>
          <cell r="H32">
            <v>0</v>
          </cell>
          <cell r="I32">
            <v>2923000</v>
          </cell>
          <cell r="J32">
            <v>0</v>
          </cell>
          <cell r="K32">
            <v>248685194</v>
          </cell>
          <cell r="L32">
            <v>7177000</v>
          </cell>
          <cell r="M32">
            <v>0</v>
          </cell>
          <cell r="N32">
            <v>241508194</v>
          </cell>
          <cell r="O32">
            <v>0</v>
          </cell>
          <cell r="P32">
            <v>12014103.560999999</v>
          </cell>
        </row>
        <row r="34">
          <cell r="G34">
            <v>450348667</v>
          </cell>
          <cell r="H34">
            <v>1350000</v>
          </cell>
          <cell r="I34">
            <v>0</v>
          </cell>
          <cell r="J34">
            <v>0</v>
          </cell>
          <cell r="K34">
            <v>448998667</v>
          </cell>
          <cell r="L34">
            <v>0</v>
          </cell>
          <cell r="M34">
            <v>0</v>
          </cell>
          <cell r="N34">
            <v>448998667</v>
          </cell>
          <cell r="O34">
            <v>0</v>
          </cell>
          <cell r="P34">
            <v>14147343.009599997</v>
          </cell>
        </row>
        <row r="36">
          <cell r="G36">
            <v>710865187</v>
          </cell>
          <cell r="H36">
            <v>0</v>
          </cell>
          <cell r="I36">
            <v>0</v>
          </cell>
          <cell r="J36">
            <v>0</v>
          </cell>
          <cell r="K36">
            <v>710865187</v>
          </cell>
          <cell r="L36">
            <v>50225000</v>
          </cell>
          <cell r="M36">
            <v>0</v>
          </cell>
          <cell r="N36">
            <v>660640187</v>
          </cell>
          <cell r="O36">
            <v>0</v>
          </cell>
          <cell r="P36">
            <v>17093615.5656</v>
          </cell>
        </row>
        <row r="38">
          <cell r="G38">
            <v>1302182412</v>
          </cell>
          <cell r="H38">
            <v>22500000</v>
          </cell>
          <cell r="I38">
            <v>0</v>
          </cell>
          <cell r="J38">
            <v>0</v>
          </cell>
          <cell r="K38">
            <v>1279682412</v>
          </cell>
          <cell r="L38">
            <v>74225000</v>
          </cell>
          <cell r="M38">
            <v>0</v>
          </cell>
          <cell r="N38">
            <v>1205457412</v>
          </cell>
          <cell r="O38">
            <v>0</v>
          </cell>
          <cell r="P38">
            <v>131652779.24250001</v>
          </cell>
        </row>
        <row r="40">
          <cell r="G40">
            <v>446717774</v>
          </cell>
          <cell r="H40">
            <v>0</v>
          </cell>
          <cell r="I40">
            <v>0</v>
          </cell>
          <cell r="J40">
            <v>0</v>
          </cell>
          <cell r="K40">
            <v>446717774</v>
          </cell>
          <cell r="L40">
            <v>0</v>
          </cell>
          <cell r="M40">
            <v>0</v>
          </cell>
          <cell r="N40">
            <v>446717774</v>
          </cell>
          <cell r="O40">
            <v>0</v>
          </cell>
          <cell r="P40">
            <v>67007666.099999994</v>
          </cell>
        </row>
        <row r="42">
          <cell r="G42">
            <v>4789388028</v>
          </cell>
          <cell r="H42">
            <v>0</v>
          </cell>
          <cell r="I42">
            <v>26580503</v>
          </cell>
          <cell r="J42">
            <v>0</v>
          </cell>
          <cell r="K42">
            <v>4762807525</v>
          </cell>
          <cell r="L42">
            <v>241063000</v>
          </cell>
          <cell r="M42">
            <v>0</v>
          </cell>
          <cell r="N42">
            <v>4521744525</v>
          </cell>
          <cell r="O42">
            <v>0</v>
          </cell>
          <cell r="P42">
            <v>192491363.38079998</v>
          </cell>
        </row>
        <row r="44">
          <cell r="G44">
            <v>3190039346.3499999</v>
          </cell>
          <cell r="H44">
            <v>0</v>
          </cell>
          <cell r="I44">
            <v>9328192</v>
          </cell>
          <cell r="J44">
            <v>0</v>
          </cell>
          <cell r="K44">
            <v>3180711154.3499999</v>
          </cell>
          <cell r="L44">
            <v>145781500</v>
          </cell>
          <cell r="M44">
            <v>0</v>
          </cell>
          <cell r="N44">
            <v>3034929654.3499999</v>
          </cell>
          <cell r="O44">
            <v>0</v>
          </cell>
          <cell r="P44">
            <v>158839504.154396</v>
          </cell>
        </row>
        <row r="46">
          <cell r="G46">
            <v>416948754</v>
          </cell>
          <cell r="H46">
            <v>0</v>
          </cell>
          <cell r="I46">
            <v>0</v>
          </cell>
          <cell r="J46">
            <v>0</v>
          </cell>
          <cell r="K46">
            <v>416948754</v>
          </cell>
          <cell r="L46">
            <v>0</v>
          </cell>
          <cell r="M46">
            <v>0</v>
          </cell>
          <cell r="N46">
            <v>416948754</v>
          </cell>
          <cell r="O46">
            <v>0</v>
          </cell>
          <cell r="P46">
            <v>37678562.099999994</v>
          </cell>
        </row>
        <row r="48">
          <cell r="G48">
            <v>64269317</v>
          </cell>
          <cell r="H48">
            <v>0</v>
          </cell>
          <cell r="I48">
            <v>0</v>
          </cell>
          <cell r="J48">
            <v>0</v>
          </cell>
          <cell r="K48">
            <v>64269317</v>
          </cell>
          <cell r="L48">
            <v>0</v>
          </cell>
          <cell r="M48">
            <v>0</v>
          </cell>
          <cell r="N48">
            <v>64269317</v>
          </cell>
          <cell r="O48">
            <v>0</v>
          </cell>
          <cell r="P48">
            <v>1631472.5855999999</v>
          </cell>
        </row>
        <row r="50">
          <cell r="G50">
            <v>94171129</v>
          </cell>
          <cell r="H50">
            <v>0</v>
          </cell>
          <cell r="I50">
            <v>205067</v>
          </cell>
          <cell r="J50">
            <v>0</v>
          </cell>
          <cell r="K50">
            <v>93966062</v>
          </cell>
          <cell r="L50">
            <v>0</v>
          </cell>
          <cell r="M50">
            <v>0</v>
          </cell>
          <cell r="N50">
            <v>93966062</v>
          </cell>
          <cell r="O50">
            <v>0</v>
          </cell>
          <cell r="P50">
            <v>4855801.7147999993</v>
          </cell>
        </row>
        <row r="52">
          <cell r="G52">
            <v>465756</v>
          </cell>
          <cell r="H52">
            <v>0</v>
          </cell>
          <cell r="I52">
            <v>32838</v>
          </cell>
          <cell r="J52">
            <v>0</v>
          </cell>
          <cell r="K52">
            <v>432918</v>
          </cell>
          <cell r="L52">
            <v>0</v>
          </cell>
          <cell r="M52">
            <v>0</v>
          </cell>
          <cell r="N52">
            <v>432918</v>
          </cell>
          <cell r="O52">
            <v>0</v>
          </cell>
          <cell r="P52">
            <v>0</v>
          </cell>
        </row>
        <row r="54">
          <cell r="G54">
            <v>2852516</v>
          </cell>
          <cell r="H54">
            <v>0</v>
          </cell>
          <cell r="I54">
            <v>1595164</v>
          </cell>
          <cell r="J54">
            <v>0</v>
          </cell>
          <cell r="K54">
            <v>1257352</v>
          </cell>
          <cell r="L54">
            <v>0</v>
          </cell>
          <cell r="M54">
            <v>0</v>
          </cell>
          <cell r="N54">
            <v>1257352</v>
          </cell>
          <cell r="O54">
            <v>0</v>
          </cell>
          <cell r="P54">
            <v>0</v>
          </cell>
        </row>
        <row r="56">
          <cell r="G56">
            <v>20004019</v>
          </cell>
          <cell r="H56">
            <v>0</v>
          </cell>
          <cell r="I56">
            <v>17381</v>
          </cell>
          <cell r="J56">
            <v>68450</v>
          </cell>
          <cell r="K56">
            <v>20055088</v>
          </cell>
          <cell r="L56">
            <v>0</v>
          </cell>
          <cell r="M56">
            <v>0</v>
          </cell>
          <cell r="N56">
            <v>20055088</v>
          </cell>
          <cell r="O56">
            <v>0</v>
          </cell>
          <cell r="P56">
            <v>1146145.8018999998</v>
          </cell>
        </row>
      </sheetData>
      <sheetData sheetId="28" refreshError="1"/>
      <sheetData sheetId="29"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Sheet1"/>
      <sheetName val="31.03.12"/>
      <sheetName val="30.04.12"/>
      <sheetName val="31.05.12"/>
      <sheetName val="30.06.12"/>
      <sheetName val="31.07.12"/>
      <sheetName val="31.08.12"/>
      <sheetName val="30.09.12"/>
      <sheetName val="31.10.12"/>
      <sheetName val="30.11.12"/>
      <sheetName val="31.12.12"/>
      <sheetName val="31.01.13"/>
      <sheetName val="28.02.13"/>
      <sheetName val="31.03.13"/>
      <sheetName val="Sheet2"/>
    </sheetNames>
    <sheetDataSet>
      <sheetData sheetId="0"/>
      <sheetData sheetId="1"/>
      <sheetData sheetId="2"/>
      <sheetData sheetId="3"/>
      <sheetData sheetId="4"/>
      <sheetData sheetId="5"/>
      <sheetData sheetId="6"/>
      <sheetData sheetId="7"/>
      <sheetData sheetId="8">
        <row r="7">
          <cell r="N7">
            <v>815</v>
          </cell>
          <cell r="T7">
            <v>13.51</v>
          </cell>
        </row>
        <row r="8">
          <cell r="N8">
            <v>835</v>
          </cell>
          <cell r="T8">
            <v>17.62</v>
          </cell>
        </row>
        <row r="9">
          <cell r="N9">
            <v>835</v>
          </cell>
          <cell r="T9">
            <v>22.08</v>
          </cell>
        </row>
        <row r="10">
          <cell r="N10">
            <v>835</v>
          </cell>
          <cell r="T10">
            <v>22.82</v>
          </cell>
        </row>
        <row r="11">
          <cell r="N11">
            <v>835</v>
          </cell>
          <cell r="T11">
            <v>32.56</v>
          </cell>
        </row>
        <row r="12">
          <cell r="N12">
            <v>835</v>
          </cell>
          <cell r="T12">
            <v>32.909999999999997</v>
          </cell>
        </row>
        <row r="13">
          <cell r="N13">
            <v>835</v>
          </cell>
          <cell r="T13">
            <v>40.159999999999997</v>
          </cell>
        </row>
        <row r="14">
          <cell r="N14">
            <v>835</v>
          </cell>
          <cell r="T14">
            <v>47.22</v>
          </cell>
        </row>
        <row r="15">
          <cell r="N15">
            <v>835</v>
          </cell>
          <cell r="T15">
            <v>54.86</v>
          </cell>
        </row>
        <row r="16">
          <cell r="N16">
            <v>835</v>
          </cell>
          <cell r="T16">
            <v>61.58</v>
          </cell>
        </row>
        <row r="17">
          <cell r="N17">
            <v>835</v>
          </cell>
          <cell r="T17">
            <v>58.17</v>
          </cell>
        </row>
        <row r="18">
          <cell r="N18">
            <v>835</v>
          </cell>
          <cell r="T18">
            <v>68.84</v>
          </cell>
        </row>
        <row r="19">
          <cell r="N19">
            <v>835</v>
          </cell>
          <cell r="T19">
            <v>76.040000000000006</v>
          </cell>
        </row>
        <row r="20">
          <cell r="N20">
            <v>835</v>
          </cell>
          <cell r="T20">
            <v>75.81</v>
          </cell>
        </row>
        <row r="21">
          <cell r="N21">
            <v>835</v>
          </cell>
          <cell r="T21">
            <v>86.32</v>
          </cell>
        </row>
        <row r="22">
          <cell r="N22">
            <v>400</v>
          </cell>
          <cell r="T22">
            <v>10.76</v>
          </cell>
        </row>
        <row r="23">
          <cell r="N23">
            <v>800</v>
          </cell>
          <cell r="T23">
            <v>28.88</v>
          </cell>
        </row>
        <row r="24">
          <cell r="N24">
            <v>400</v>
          </cell>
          <cell r="T24">
            <v>16.97</v>
          </cell>
        </row>
        <row r="25">
          <cell r="N25">
            <v>800</v>
          </cell>
          <cell r="T25">
            <v>39.24</v>
          </cell>
        </row>
        <row r="26">
          <cell r="N26">
            <v>800</v>
          </cell>
          <cell r="T26">
            <v>53.51</v>
          </cell>
        </row>
        <row r="27">
          <cell r="N27">
            <v>1650</v>
          </cell>
          <cell r="T27">
            <v>66.87</v>
          </cell>
        </row>
        <row r="28">
          <cell r="N28">
            <v>1650</v>
          </cell>
          <cell r="T28">
            <v>84.9</v>
          </cell>
        </row>
        <row r="29">
          <cell r="N29">
            <v>875</v>
          </cell>
          <cell r="T29">
            <v>0.74</v>
          </cell>
        </row>
        <row r="30">
          <cell r="N30">
            <v>1237.5</v>
          </cell>
          <cell r="R30">
            <v>0</v>
          </cell>
          <cell r="S30">
            <v>67.55</v>
          </cell>
          <cell r="T30">
            <v>67.55</v>
          </cell>
        </row>
        <row r="31">
          <cell r="N31">
            <v>412.5</v>
          </cell>
          <cell r="T31">
            <v>22.75</v>
          </cell>
        </row>
        <row r="32">
          <cell r="N32">
            <v>1650</v>
          </cell>
          <cell r="T32">
            <v>155.47999999999999</v>
          </cell>
        </row>
        <row r="33">
          <cell r="N33">
            <v>833.34</v>
          </cell>
          <cell r="T33">
            <v>9.11</v>
          </cell>
        </row>
        <row r="37">
          <cell r="N37">
            <v>0</v>
          </cell>
          <cell r="T37">
            <v>124.75</v>
          </cell>
        </row>
      </sheetData>
      <sheetData sheetId="9">
        <row r="7">
          <cell r="N7">
            <v>815</v>
          </cell>
          <cell r="T7">
            <v>14.37</v>
          </cell>
        </row>
        <row r="8">
          <cell r="N8">
            <v>1650</v>
          </cell>
          <cell r="T8">
            <v>18.260000000000002</v>
          </cell>
        </row>
        <row r="9">
          <cell r="N9">
            <v>835</v>
          </cell>
          <cell r="T9">
            <v>15.67</v>
          </cell>
        </row>
        <row r="10">
          <cell r="N10">
            <v>835</v>
          </cell>
          <cell r="T10">
            <v>25.96</v>
          </cell>
        </row>
        <row r="11">
          <cell r="N11">
            <v>835</v>
          </cell>
          <cell r="T11">
            <v>25.19</v>
          </cell>
        </row>
        <row r="12">
          <cell r="N12">
            <v>835</v>
          </cell>
          <cell r="T12">
            <v>32.880000000000003</v>
          </cell>
        </row>
        <row r="13">
          <cell r="N13">
            <v>835</v>
          </cell>
          <cell r="T13">
            <v>40.71</v>
          </cell>
        </row>
        <row r="14">
          <cell r="N14">
            <v>835</v>
          </cell>
          <cell r="T14">
            <v>48.07</v>
          </cell>
        </row>
        <row r="15">
          <cell r="N15">
            <v>835</v>
          </cell>
          <cell r="T15">
            <v>55.27</v>
          </cell>
        </row>
        <row r="16">
          <cell r="N16">
            <v>835</v>
          </cell>
          <cell r="T16">
            <v>53.15</v>
          </cell>
        </row>
        <row r="17">
          <cell r="N17">
            <v>835</v>
          </cell>
          <cell r="T17">
            <v>63.08</v>
          </cell>
        </row>
        <row r="18">
          <cell r="N18">
            <v>835</v>
          </cell>
          <cell r="T18">
            <v>70.5</v>
          </cell>
        </row>
        <row r="19">
          <cell r="N19">
            <v>835</v>
          </cell>
          <cell r="T19">
            <v>70.680000000000007</v>
          </cell>
        </row>
        <row r="20">
          <cell r="N20">
            <v>835</v>
          </cell>
          <cell r="T20">
            <v>81.95</v>
          </cell>
        </row>
        <row r="21">
          <cell r="N21">
            <v>500</v>
          </cell>
          <cell r="T21">
            <v>5.47</v>
          </cell>
        </row>
        <row r="22">
          <cell r="N22">
            <v>800</v>
          </cell>
          <cell r="T22">
            <v>19.11</v>
          </cell>
        </row>
        <row r="23">
          <cell r="N23">
            <v>400</v>
          </cell>
          <cell r="T23">
            <v>13</v>
          </cell>
        </row>
        <row r="24">
          <cell r="N24">
            <v>800</v>
          </cell>
          <cell r="T24">
            <v>27.62</v>
          </cell>
        </row>
        <row r="25">
          <cell r="N25">
            <v>800</v>
          </cell>
          <cell r="T25">
            <v>42.81</v>
          </cell>
        </row>
        <row r="26">
          <cell r="N26">
            <v>1650</v>
          </cell>
          <cell r="T26">
            <v>50.68</v>
          </cell>
        </row>
        <row r="27">
          <cell r="N27">
            <v>1650</v>
          </cell>
          <cell r="T27">
            <v>66.819999999999993</v>
          </cell>
        </row>
        <row r="28">
          <cell r="N28">
            <v>1237.5</v>
          </cell>
          <cell r="R28">
            <v>0.75</v>
          </cell>
          <cell r="S28">
            <v>52.9</v>
          </cell>
          <cell r="T28">
            <v>53.65</v>
          </cell>
        </row>
        <row r="29">
          <cell r="N29">
            <v>825</v>
          </cell>
          <cell r="T29">
            <v>20.010000000000002</v>
          </cell>
        </row>
        <row r="30">
          <cell r="N30">
            <v>1650</v>
          </cell>
          <cell r="T30">
            <v>135.49</v>
          </cell>
        </row>
        <row r="31">
          <cell r="N31">
            <v>0</v>
          </cell>
          <cell r="T31">
            <v>109.32</v>
          </cell>
        </row>
        <row r="32">
          <cell r="N32">
            <v>833.33</v>
          </cell>
          <cell r="T32">
            <v>1.92</v>
          </cell>
        </row>
        <row r="36">
          <cell r="N36">
            <v>500</v>
          </cell>
          <cell r="T36">
            <v>125.99</v>
          </cell>
        </row>
      </sheetData>
      <sheetData sheetId="10">
        <row r="7">
          <cell r="T7">
            <v>12.36</v>
          </cell>
        </row>
        <row r="8">
          <cell r="N8">
            <v>815</v>
          </cell>
          <cell r="T8">
            <v>13.56</v>
          </cell>
        </row>
        <row r="9">
          <cell r="N9">
            <v>835</v>
          </cell>
          <cell r="T9">
            <v>19.96</v>
          </cell>
        </row>
        <row r="10">
          <cell r="N10">
            <v>835</v>
          </cell>
          <cell r="T10">
            <v>44.8</v>
          </cell>
        </row>
        <row r="11">
          <cell r="N11">
            <v>835</v>
          </cell>
          <cell r="T11">
            <v>0.92</v>
          </cell>
        </row>
        <row r="12">
          <cell r="N12">
            <v>835</v>
          </cell>
          <cell r="T12">
            <v>33.47</v>
          </cell>
        </row>
        <row r="13">
          <cell r="N13">
            <v>835</v>
          </cell>
          <cell r="T13">
            <v>41.58</v>
          </cell>
        </row>
        <row r="14">
          <cell r="N14">
            <v>835</v>
          </cell>
          <cell r="T14">
            <v>47.31</v>
          </cell>
        </row>
        <row r="15">
          <cell r="N15">
            <v>835</v>
          </cell>
          <cell r="T15">
            <v>46.78</v>
          </cell>
        </row>
        <row r="16">
          <cell r="N16">
            <v>835</v>
          </cell>
          <cell r="T16">
            <v>54.59</v>
          </cell>
        </row>
        <row r="17">
          <cell r="N17">
            <v>835</v>
          </cell>
          <cell r="T17">
            <v>62.2</v>
          </cell>
        </row>
        <row r="18">
          <cell r="N18">
            <v>835</v>
          </cell>
          <cell r="T18">
            <v>63.2</v>
          </cell>
        </row>
        <row r="19">
          <cell r="N19">
            <v>835</v>
          </cell>
          <cell r="T19">
            <v>74.459999999999994</v>
          </cell>
        </row>
        <row r="20">
          <cell r="N20">
            <v>500</v>
          </cell>
          <cell r="T20">
            <v>1.37</v>
          </cell>
        </row>
        <row r="21">
          <cell r="N21">
            <v>1000</v>
          </cell>
          <cell r="T21">
            <v>13.53</v>
          </cell>
        </row>
        <row r="22">
          <cell r="N22">
            <v>400</v>
          </cell>
          <cell r="T22">
            <v>9.9499999999999993</v>
          </cell>
        </row>
        <row r="23">
          <cell r="N23">
            <v>800</v>
          </cell>
          <cell r="T23">
            <v>21.52</v>
          </cell>
        </row>
        <row r="24">
          <cell r="N24">
            <v>800</v>
          </cell>
          <cell r="T24">
            <v>36.94</v>
          </cell>
        </row>
        <row r="25">
          <cell r="N25">
            <v>1650</v>
          </cell>
          <cell r="T25">
            <v>36</v>
          </cell>
        </row>
        <row r="26">
          <cell r="N26">
            <v>1650</v>
          </cell>
          <cell r="T26">
            <v>53.56</v>
          </cell>
        </row>
        <row r="27">
          <cell r="T27">
            <v>23.01</v>
          </cell>
        </row>
        <row r="28">
          <cell r="N28">
            <v>1237.5</v>
          </cell>
          <cell r="R28">
            <v>0</v>
          </cell>
          <cell r="S28">
            <v>43.34</v>
          </cell>
          <cell r="T28">
            <v>43.34</v>
          </cell>
        </row>
        <row r="29">
          <cell r="N29">
            <v>0</v>
          </cell>
          <cell r="T29">
            <v>15.87</v>
          </cell>
        </row>
        <row r="30">
          <cell r="N30">
            <v>1650</v>
          </cell>
          <cell r="T30">
            <v>124.66</v>
          </cell>
        </row>
        <row r="31">
          <cell r="N31">
            <v>0</v>
          </cell>
          <cell r="T31">
            <v>72.33</v>
          </cell>
        </row>
        <row r="32">
          <cell r="N32">
            <v>1650</v>
          </cell>
          <cell r="T32">
            <v>168.39</v>
          </cell>
        </row>
        <row r="33">
          <cell r="N33">
            <v>0</v>
          </cell>
          <cell r="T33">
            <v>106.52</v>
          </cell>
        </row>
        <row r="37">
          <cell r="N37">
            <v>125</v>
          </cell>
          <cell r="T37">
            <v>117.67999999999999</v>
          </cell>
        </row>
      </sheetData>
      <sheetData sheetId="11">
        <row r="7">
          <cell r="N7">
            <v>815</v>
          </cell>
        </row>
        <row r="8">
          <cell r="N8">
            <v>815</v>
          </cell>
        </row>
        <row r="9">
          <cell r="N9">
            <v>835</v>
          </cell>
        </row>
        <row r="10">
          <cell r="N10">
            <v>835</v>
          </cell>
        </row>
        <row r="11">
          <cell r="N11">
            <v>835</v>
          </cell>
        </row>
        <row r="12">
          <cell r="N12">
            <v>835</v>
          </cell>
        </row>
        <row r="13">
          <cell r="N13">
            <v>0</v>
          </cell>
        </row>
        <row r="14">
          <cell r="N14">
            <v>835</v>
          </cell>
        </row>
        <row r="15">
          <cell r="N15">
            <v>835</v>
          </cell>
        </row>
        <row r="16">
          <cell r="N16">
            <v>835</v>
          </cell>
        </row>
        <row r="17">
          <cell r="N17">
            <v>0</v>
          </cell>
        </row>
        <row r="18">
          <cell r="N18">
            <v>1000</v>
          </cell>
        </row>
        <row r="19">
          <cell r="N19">
            <v>500</v>
          </cell>
        </row>
        <row r="20">
          <cell r="N20">
            <v>1000</v>
          </cell>
        </row>
        <row r="21">
          <cell r="N21">
            <v>800</v>
          </cell>
        </row>
        <row r="22">
          <cell r="N22">
            <v>1650</v>
          </cell>
        </row>
        <row r="23">
          <cell r="N23">
            <v>1650</v>
          </cell>
        </row>
        <row r="24">
          <cell r="N24">
            <v>1650</v>
          </cell>
        </row>
        <row r="25">
          <cell r="N25">
            <v>1237.5</v>
          </cell>
        </row>
        <row r="26">
          <cell r="N26">
            <v>412.5</v>
          </cell>
        </row>
        <row r="27">
          <cell r="N27">
            <v>1650</v>
          </cell>
        </row>
        <row r="28">
          <cell r="N28">
            <v>1670</v>
          </cell>
        </row>
        <row r="29">
          <cell r="N29">
            <v>1650</v>
          </cell>
        </row>
        <row r="30">
          <cell r="N30">
            <v>1650</v>
          </cell>
        </row>
        <row r="34">
          <cell r="N34">
            <v>500</v>
          </cell>
        </row>
        <row r="36">
          <cell r="N36">
            <v>0</v>
          </cell>
        </row>
      </sheetData>
      <sheetData sheetId="12">
        <row r="7">
          <cell r="N7">
            <v>0</v>
          </cell>
        </row>
        <row r="8">
          <cell r="N8">
            <v>0</v>
          </cell>
        </row>
        <row r="9">
          <cell r="N9">
            <v>0</v>
          </cell>
        </row>
        <row r="10">
          <cell r="N10">
            <v>0</v>
          </cell>
        </row>
        <row r="11">
          <cell r="N11">
            <v>0</v>
          </cell>
        </row>
        <row r="12">
          <cell r="N12">
            <v>0</v>
          </cell>
        </row>
        <row r="13">
          <cell r="N13">
            <v>0</v>
          </cell>
        </row>
        <row r="14">
          <cell r="N14">
            <v>0</v>
          </cell>
        </row>
        <row r="15">
          <cell r="N15">
            <v>0</v>
          </cell>
        </row>
        <row r="16">
          <cell r="N16">
            <v>0</v>
          </cell>
        </row>
        <row r="17">
          <cell r="N17">
            <v>0</v>
          </cell>
        </row>
        <row r="18">
          <cell r="N18">
            <v>0</v>
          </cell>
        </row>
        <row r="19">
          <cell r="N19">
            <v>0</v>
          </cell>
        </row>
        <row r="20">
          <cell r="N20">
            <v>0</v>
          </cell>
        </row>
        <row r="21">
          <cell r="N21">
            <v>0</v>
          </cell>
        </row>
        <row r="22">
          <cell r="N22">
            <v>0</v>
          </cell>
        </row>
        <row r="23">
          <cell r="N23">
            <v>0</v>
          </cell>
        </row>
        <row r="24">
          <cell r="N24">
            <v>0</v>
          </cell>
        </row>
        <row r="25">
          <cell r="N25">
            <v>0</v>
          </cell>
        </row>
        <row r="26">
          <cell r="N26">
            <v>0</v>
          </cell>
        </row>
        <row r="27">
          <cell r="N27">
            <v>0</v>
          </cell>
        </row>
        <row r="28">
          <cell r="N28">
            <v>1650</v>
          </cell>
        </row>
        <row r="32">
          <cell r="N32">
            <v>0</v>
          </cell>
        </row>
      </sheetData>
      <sheetData sheetId="13">
        <row r="7">
          <cell r="N7">
            <v>815</v>
          </cell>
        </row>
        <row r="8">
          <cell r="N8">
            <v>1650</v>
          </cell>
        </row>
        <row r="9">
          <cell r="N9">
            <v>1670</v>
          </cell>
        </row>
        <row r="10">
          <cell r="N10">
            <v>1670</v>
          </cell>
        </row>
        <row r="11">
          <cell r="N11">
            <v>2505</v>
          </cell>
        </row>
        <row r="12">
          <cell r="N12">
            <v>1670</v>
          </cell>
        </row>
        <row r="13">
          <cell r="N13">
            <v>1670</v>
          </cell>
        </row>
        <row r="14">
          <cell r="N14">
            <v>1670</v>
          </cell>
        </row>
        <row r="15">
          <cell r="N15">
            <v>2505</v>
          </cell>
        </row>
        <row r="17">
          <cell r="N17">
            <v>500</v>
          </cell>
        </row>
        <row r="18">
          <cell r="N18">
            <v>1000</v>
          </cell>
        </row>
        <row r="19">
          <cell r="N19">
            <v>1800</v>
          </cell>
        </row>
        <row r="20">
          <cell r="N20">
            <v>1750</v>
          </cell>
        </row>
        <row r="21">
          <cell r="N21">
            <v>3400</v>
          </cell>
        </row>
        <row r="22">
          <cell r="N22">
            <v>3300</v>
          </cell>
        </row>
        <row r="23">
          <cell r="N23">
            <v>0</v>
          </cell>
        </row>
        <row r="24">
          <cell r="N24">
            <v>0</v>
          </cell>
        </row>
        <row r="27">
          <cell r="N27">
            <v>2625</v>
          </cell>
        </row>
        <row r="28">
          <cell r="N28">
            <v>850</v>
          </cell>
        </row>
        <row r="29">
          <cell r="N29">
            <v>1650</v>
          </cell>
        </row>
        <row r="30">
          <cell r="N30">
            <v>3340</v>
          </cell>
        </row>
        <row r="32">
          <cell r="N32">
            <v>3300</v>
          </cell>
        </row>
        <row r="33">
          <cell r="N33">
            <v>1650</v>
          </cell>
        </row>
        <row r="37">
          <cell r="N37">
            <v>125</v>
          </cell>
        </row>
        <row r="38">
          <cell r="N38">
            <v>15.95833</v>
          </cell>
        </row>
        <row r="40">
          <cell r="N40">
            <v>226.1</v>
          </cell>
        </row>
      </sheetData>
      <sheetData sheetId="14"/>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Q1-2012-13"/>
      <sheetName val="Q2-2012-13"/>
      <sheetName val="H1-2012-13"/>
      <sheetName val="Q3-2012-13"/>
      <sheetName val="Q4-2012-13"/>
      <sheetName val="H2-2012-13"/>
      <sheetName val="F.Y.2012-13"/>
      <sheetName val="BMC"/>
      <sheetName val="Sheet2"/>
      <sheetName val="Sheet1"/>
    </sheetNames>
    <sheetDataSet>
      <sheetData sheetId="0">
        <row r="6">
          <cell r="N6">
            <v>1650</v>
          </cell>
        </row>
      </sheetData>
      <sheetData sheetId="1">
        <row r="5">
          <cell r="N5">
            <v>815</v>
          </cell>
        </row>
      </sheetData>
      <sheetData sheetId="2">
        <row r="5">
          <cell r="N5" t="e">
            <v>#REF!</v>
          </cell>
        </row>
        <row r="48">
          <cell r="R48">
            <v>910.41000000000008</v>
          </cell>
          <cell r="S48" t="e">
            <v>#REF!</v>
          </cell>
          <cell r="T48" t="e">
            <v>#REF!</v>
          </cell>
        </row>
        <row r="51">
          <cell r="N51">
            <v>1250</v>
          </cell>
          <cell r="T51">
            <v>798.29</v>
          </cell>
        </row>
        <row r="52">
          <cell r="N52">
            <v>0</v>
          </cell>
          <cell r="T52">
            <v>0</v>
          </cell>
        </row>
        <row r="53">
          <cell r="N53">
            <v>0</v>
          </cell>
          <cell r="T53">
            <v>0</v>
          </cell>
        </row>
        <row r="54">
          <cell r="N54">
            <v>226.11</v>
          </cell>
          <cell r="T54">
            <v>285.83</v>
          </cell>
        </row>
        <row r="55">
          <cell r="R55">
            <v>367.21339999999998</v>
          </cell>
          <cell r="S55">
            <v>716.90660000000003</v>
          </cell>
          <cell r="T55">
            <v>1084.1199999999999</v>
          </cell>
        </row>
        <row r="56">
          <cell r="R56">
            <v>1277.6233999999999</v>
          </cell>
          <cell r="S56" t="e">
            <v>#REF!</v>
          </cell>
          <cell r="T56" t="e">
            <v>#REF!</v>
          </cell>
        </row>
      </sheetData>
      <sheetData sheetId="3">
        <row r="5">
          <cell r="N5">
            <v>815</v>
          </cell>
        </row>
      </sheetData>
      <sheetData sheetId="4">
        <row r="5">
          <cell r="N5">
            <v>815</v>
          </cell>
        </row>
      </sheetData>
      <sheetData sheetId="5">
        <row r="5">
          <cell r="N5">
            <v>815</v>
          </cell>
        </row>
        <row r="45">
          <cell r="N45">
            <v>1250</v>
          </cell>
          <cell r="T45">
            <v>701.59111000000007</v>
          </cell>
        </row>
        <row r="46">
          <cell r="N46">
            <v>15.95833</v>
          </cell>
          <cell r="T46">
            <v>22.740629999999999</v>
          </cell>
        </row>
        <row r="47">
          <cell r="N47">
            <v>0</v>
          </cell>
          <cell r="T47">
            <v>288.01391000000001</v>
          </cell>
        </row>
        <row r="48">
          <cell r="N48">
            <v>226.1</v>
          </cell>
          <cell r="T48">
            <v>285.82535999999999</v>
          </cell>
        </row>
        <row r="49">
          <cell r="T49">
            <v>98.630139999999997</v>
          </cell>
        </row>
      </sheetData>
      <sheetData sheetId="6"/>
      <sheetData sheetId="7" refreshError="1"/>
      <sheetData sheetId="8" refreshError="1"/>
      <sheetData sheetId="9"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Sheet1"/>
      <sheetName val="31.03.12"/>
      <sheetName val="30.04.12"/>
      <sheetName val="31.05.12"/>
      <sheetName val="30.06.12"/>
      <sheetName val="31.07.12"/>
      <sheetName val="31.08.12"/>
      <sheetName val="30.09.12"/>
      <sheetName val="31.10.12"/>
      <sheetName val="30.11.12"/>
      <sheetName val="31.12.12"/>
      <sheetName val="31.01.13"/>
      <sheetName val="28.02.13"/>
      <sheetName val="31.03.13"/>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row r="7">
          <cell r="T7">
            <v>12.16868</v>
          </cell>
        </row>
        <row r="8">
          <cell r="T8">
            <v>15.075759999999999</v>
          </cell>
        </row>
        <row r="9">
          <cell r="T9">
            <v>19.54</v>
          </cell>
        </row>
        <row r="10">
          <cell r="T10">
            <v>26.141300000000001</v>
          </cell>
        </row>
        <row r="11">
          <cell r="T11">
            <v>34.409999999999997</v>
          </cell>
        </row>
        <row r="12">
          <cell r="T12">
            <v>40.553629999999998</v>
          </cell>
        </row>
        <row r="13">
          <cell r="T13">
            <v>40.473559999999999</v>
          </cell>
        </row>
        <row r="14">
          <cell r="T14">
            <v>50.504999999999995</v>
          </cell>
        </row>
        <row r="15">
          <cell r="T15">
            <v>55.446369999999995</v>
          </cell>
        </row>
        <row r="16">
          <cell r="T16">
            <v>56.734279999999998</v>
          </cell>
        </row>
        <row r="17">
          <cell r="T17">
            <v>68.840679999999992</v>
          </cell>
        </row>
        <row r="18">
          <cell r="T18">
            <v>5.4700000000000006</v>
          </cell>
        </row>
        <row r="19">
          <cell r="T19">
            <v>5.18</v>
          </cell>
        </row>
        <row r="20">
          <cell r="T20">
            <v>14</v>
          </cell>
        </row>
        <row r="21">
          <cell r="T21">
            <v>29.8</v>
          </cell>
        </row>
        <row r="22">
          <cell r="T22">
            <v>18.440000000000001</v>
          </cell>
        </row>
        <row r="23">
          <cell r="T23">
            <v>38.85</v>
          </cell>
        </row>
        <row r="24">
          <cell r="T24">
            <v>84.88</v>
          </cell>
        </row>
        <row r="25">
          <cell r="T25">
            <v>31.59</v>
          </cell>
        </row>
        <row r="26">
          <cell r="T26">
            <v>11.6</v>
          </cell>
        </row>
        <row r="27">
          <cell r="T27">
            <v>109.22</v>
          </cell>
        </row>
        <row r="28">
          <cell r="T28">
            <v>181.7</v>
          </cell>
        </row>
        <row r="29">
          <cell r="T29">
            <v>153.66999999999999</v>
          </cell>
        </row>
        <row r="30">
          <cell r="T30">
            <v>173.69</v>
          </cell>
        </row>
        <row r="34">
          <cell r="T34">
            <v>119.46885000000002</v>
          </cell>
        </row>
      </sheetData>
      <sheetData sheetId="12">
        <row r="7">
          <cell r="T7">
            <v>25.04</v>
          </cell>
        </row>
        <row r="8">
          <cell r="T8">
            <v>21.56</v>
          </cell>
        </row>
        <row r="9">
          <cell r="T9">
            <v>31.32</v>
          </cell>
        </row>
        <row r="10">
          <cell r="T10">
            <v>30.31</v>
          </cell>
        </row>
        <row r="11">
          <cell r="T11">
            <v>37.68</v>
          </cell>
        </row>
        <row r="12">
          <cell r="T12">
            <v>47.230000000000004</v>
          </cell>
        </row>
        <row r="13">
          <cell r="T13">
            <v>45.19</v>
          </cell>
        </row>
        <row r="14">
          <cell r="T14">
            <v>53.83</v>
          </cell>
        </row>
        <row r="15">
          <cell r="T15">
            <v>65.61</v>
          </cell>
        </row>
        <row r="16">
          <cell r="T16">
            <v>3.95</v>
          </cell>
        </row>
        <row r="17">
          <cell r="T17">
            <v>8.17</v>
          </cell>
        </row>
        <row r="18">
          <cell r="T18">
            <v>22.09</v>
          </cell>
        </row>
        <row r="19">
          <cell r="T19">
            <v>13.903379999999999</v>
          </cell>
        </row>
        <row r="20">
          <cell r="T20">
            <v>27.16</v>
          </cell>
        </row>
        <row r="21">
          <cell r="T21">
            <v>66.8</v>
          </cell>
        </row>
        <row r="22">
          <cell r="T22">
            <v>1.47</v>
          </cell>
        </row>
        <row r="23">
          <cell r="T23">
            <v>20.78</v>
          </cell>
        </row>
        <row r="24">
          <cell r="T24">
            <v>10.19</v>
          </cell>
        </row>
        <row r="25">
          <cell r="T25">
            <v>83.8</v>
          </cell>
        </row>
        <row r="26">
          <cell r="T26">
            <v>152.07</v>
          </cell>
        </row>
        <row r="27">
          <cell r="T27">
            <v>132.22999999999999</v>
          </cell>
        </row>
        <row r="28">
          <cell r="T28">
            <v>149.15</v>
          </cell>
        </row>
        <row r="32">
          <cell r="T32">
            <v>111.61</v>
          </cell>
        </row>
      </sheetData>
      <sheetData sheetId="13">
        <row r="7">
          <cell r="T7">
            <v>9.5721600000000002</v>
          </cell>
        </row>
        <row r="8">
          <cell r="T8">
            <v>19.788440000000001</v>
          </cell>
        </row>
        <row r="9">
          <cell r="T9">
            <v>22.311870000000003</v>
          </cell>
        </row>
        <row r="10">
          <cell r="T10">
            <v>28.301359999999999</v>
          </cell>
        </row>
        <row r="11">
          <cell r="T11">
            <v>27.42539</v>
          </cell>
        </row>
        <row r="12">
          <cell r="T12">
            <v>33.588560000000001</v>
          </cell>
        </row>
        <row r="13">
          <cell r="T13">
            <v>41.432589999999998</v>
          </cell>
        </row>
        <row r="14">
          <cell r="T14">
            <v>42.284529999999997</v>
          </cell>
        </row>
        <row r="15">
          <cell r="T15">
            <v>53.106089999999995</v>
          </cell>
        </row>
        <row r="17">
          <cell r="T17">
            <v>1.44309</v>
          </cell>
        </row>
        <row r="18">
          <cell r="T18">
            <v>2.669</v>
          </cell>
        </row>
        <row r="19">
          <cell r="T19">
            <v>18.534130000000001</v>
          </cell>
        </row>
        <row r="20">
          <cell r="T20">
            <v>11.876910000000001</v>
          </cell>
        </row>
        <row r="21">
          <cell r="T21">
            <v>23.193899999999999</v>
          </cell>
        </row>
        <row r="22">
          <cell r="T22">
            <v>63.043770000000002</v>
          </cell>
        </row>
        <row r="23">
          <cell r="T23">
            <v>22.83</v>
          </cell>
        </row>
        <row r="24">
          <cell r="T24">
            <v>33.446579999999997</v>
          </cell>
        </row>
        <row r="25">
          <cell r="T25">
            <v>14.931509999999999</v>
          </cell>
        </row>
        <row r="26">
          <cell r="T26">
            <v>5.9128800000000004</v>
          </cell>
        </row>
        <row r="27">
          <cell r="T27">
            <v>11.564310000000001</v>
          </cell>
        </row>
        <row r="28">
          <cell r="T28">
            <v>6.5891400000000004</v>
          </cell>
        </row>
        <row r="29">
          <cell r="T29">
            <v>79.56653</v>
          </cell>
        </row>
        <row r="30">
          <cell r="T30">
            <v>148.61652000000001</v>
          </cell>
        </row>
        <row r="31">
          <cell r="T31">
            <v>35.342469999999999</v>
          </cell>
        </row>
        <row r="32">
          <cell r="T32">
            <v>138.89312000000001</v>
          </cell>
        </row>
        <row r="33">
          <cell r="T33">
            <v>143.39413999999999</v>
          </cell>
        </row>
        <row r="37">
          <cell r="T37">
            <v>102.09226</v>
          </cell>
        </row>
        <row r="38">
          <cell r="T38">
            <v>22.740629999999999</v>
          </cell>
        </row>
        <row r="39">
          <cell r="T39">
            <v>288.01391000000001</v>
          </cell>
        </row>
        <row r="40">
          <cell r="T40">
            <v>285.82535999999999</v>
          </cell>
        </row>
        <row r="41">
          <cell r="T41">
            <v>98.630139999999997</v>
          </cell>
        </row>
      </sheetData>
      <sheetData sheetId="14"/>
      <sheetData sheetId="15"/>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Q1-2012-13"/>
      <sheetName val="Q2-2012-13"/>
      <sheetName val="H1-2012-13"/>
      <sheetName val="Q3-2012-13"/>
      <sheetName val="Q4-2012-13"/>
      <sheetName val="H2-2012-13"/>
      <sheetName val="F.Y.2012-13"/>
      <sheetName val="BMC"/>
      <sheetName val="Sheet2"/>
      <sheetName val="Sheet1"/>
    </sheetNames>
    <sheetDataSet>
      <sheetData sheetId="0">
        <row r="30">
          <cell r="N30">
            <v>3000</v>
          </cell>
        </row>
        <row r="31">
          <cell r="N31">
            <v>0</v>
          </cell>
        </row>
      </sheetData>
      <sheetData sheetId="1">
        <row r="29">
          <cell r="N29">
            <v>3000</v>
          </cell>
        </row>
        <row r="30">
          <cell r="N30">
            <v>5000</v>
          </cell>
        </row>
      </sheetData>
      <sheetData sheetId="2">
        <row r="5">
          <cell r="N5">
            <v>815</v>
          </cell>
          <cell r="T5">
            <v>7.2</v>
          </cell>
        </row>
        <row r="6">
          <cell r="N6">
            <v>1650</v>
          </cell>
          <cell r="T6">
            <v>22.03</v>
          </cell>
        </row>
        <row r="7">
          <cell r="N7">
            <v>2485</v>
          </cell>
          <cell r="T7">
            <v>43.71</v>
          </cell>
        </row>
        <row r="8">
          <cell r="N8">
            <v>3320</v>
          </cell>
          <cell r="T8">
            <v>73.08</v>
          </cell>
        </row>
        <row r="9">
          <cell r="N9">
            <v>4155</v>
          </cell>
          <cell r="T9">
            <v>110.03</v>
          </cell>
        </row>
        <row r="10">
          <cell r="N10">
            <v>4990</v>
          </cell>
          <cell r="T10">
            <v>161.91000000000003</v>
          </cell>
        </row>
        <row r="11">
          <cell r="N11">
            <v>5010</v>
          </cell>
          <cell r="T11">
            <v>203.35000000000002</v>
          </cell>
        </row>
        <row r="12">
          <cell r="N12">
            <v>5010</v>
          </cell>
          <cell r="T12">
            <v>248.01</v>
          </cell>
        </row>
        <row r="13">
          <cell r="N13">
            <v>5010</v>
          </cell>
          <cell r="R13">
            <v>220.89999999999998</v>
          </cell>
          <cell r="T13">
            <v>220.89999999999998</v>
          </cell>
        </row>
        <row r="14">
          <cell r="N14">
            <v>5010</v>
          </cell>
          <cell r="R14">
            <v>289.07</v>
          </cell>
          <cell r="T14">
            <v>289.07</v>
          </cell>
        </row>
        <row r="15">
          <cell r="N15">
            <v>5010</v>
          </cell>
          <cell r="T15">
            <v>333.75</v>
          </cell>
        </row>
        <row r="16">
          <cell r="N16">
            <v>5010</v>
          </cell>
          <cell r="T16">
            <v>336.78</v>
          </cell>
        </row>
        <row r="17">
          <cell r="N17">
            <v>5010</v>
          </cell>
          <cell r="T17">
            <v>382.19</v>
          </cell>
        </row>
        <row r="18">
          <cell r="N18">
            <v>5010</v>
          </cell>
          <cell r="T18">
            <v>423.91999999999996</v>
          </cell>
        </row>
        <row r="19">
          <cell r="N19">
            <v>4175</v>
          </cell>
          <cell r="T19">
            <v>371.9</v>
          </cell>
        </row>
        <row r="20">
          <cell r="N20">
            <v>3340</v>
          </cell>
          <cell r="T20">
            <v>310.77</v>
          </cell>
        </row>
        <row r="21">
          <cell r="N21">
            <v>3340</v>
          </cell>
          <cell r="T21">
            <v>310.13</v>
          </cell>
        </row>
        <row r="22">
          <cell r="N22">
            <v>2505</v>
          </cell>
          <cell r="T22">
            <v>247.63</v>
          </cell>
        </row>
        <row r="23">
          <cell r="N23">
            <v>1670</v>
          </cell>
          <cell r="T23">
            <v>173</v>
          </cell>
        </row>
        <row r="24">
          <cell r="N24">
            <v>1670</v>
          </cell>
          <cell r="T24">
            <v>172.69</v>
          </cell>
        </row>
        <row r="25">
          <cell r="T25">
            <v>0</v>
          </cell>
        </row>
        <row r="26">
          <cell r="N26">
            <v>1000</v>
          </cell>
          <cell r="T26">
            <v>12.899999999999999</v>
          </cell>
        </row>
        <row r="27">
          <cell r="N27">
            <v>3400</v>
          </cell>
          <cell r="T27">
            <v>49.88</v>
          </cell>
        </row>
        <row r="28">
          <cell r="N28">
            <v>2400</v>
          </cell>
          <cell r="T28">
            <v>133.32</v>
          </cell>
        </row>
        <row r="29">
          <cell r="N29">
            <v>4800</v>
          </cell>
          <cell r="R29">
            <v>231.51</v>
          </cell>
          <cell r="S29">
            <v>77.17</v>
          </cell>
          <cell r="T29">
            <v>308.68</v>
          </cell>
        </row>
        <row r="30">
          <cell r="N30">
            <v>2400</v>
          </cell>
          <cell r="T30">
            <v>172.14</v>
          </cell>
        </row>
        <row r="31">
          <cell r="N31">
            <v>4800</v>
          </cell>
          <cell r="T31">
            <v>352.84000000000003</v>
          </cell>
        </row>
        <row r="32">
          <cell r="N32">
            <v>4000</v>
          </cell>
          <cell r="T32">
            <v>382.21999999999997</v>
          </cell>
        </row>
        <row r="33">
          <cell r="T33">
            <v>88.02</v>
          </cell>
        </row>
        <row r="34">
          <cell r="T34">
            <v>64.72</v>
          </cell>
        </row>
        <row r="35">
          <cell r="N35">
            <v>8350</v>
          </cell>
          <cell r="T35">
            <v>159.13</v>
          </cell>
        </row>
        <row r="36">
          <cell r="N36">
            <v>10000</v>
          </cell>
          <cell r="T36">
            <v>245.42</v>
          </cell>
        </row>
        <row r="37">
          <cell r="N37">
            <v>10000</v>
          </cell>
          <cell r="T37">
            <v>184.23</v>
          </cell>
        </row>
        <row r="38">
          <cell r="N38">
            <v>1650</v>
          </cell>
          <cell r="T38">
            <v>148.25</v>
          </cell>
        </row>
        <row r="39">
          <cell r="N39">
            <v>0</v>
          </cell>
          <cell r="T39">
            <v>31.64</v>
          </cell>
        </row>
        <row r="40">
          <cell r="N40">
            <v>2575</v>
          </cell>
          <cell r="T40">
            <v>31.91</v>
          </cell>
        </row>
        <row r="41">
          <cell r="N41">
            <v>5000</v>
          </cell>
          <cell r="R41">
            <v>168.93</v>
          </cell>
          <cell r="T41">
            <v>168.93</v>
          </cell>
        </row>
        <row r="42">
          <cell r="N42">
            <v>7425</v>
          </cell>
          <cell r="R42">
            <v>0</v>
          </cell>
          <cell r="S42">
            <v>617.66</v>
          </cell>
          <cell r="T42">
            <v>617.66</v>
          </cell>
        </row>
        <row r="43">
          <cell r="N43">
            <v>2062.5</v>
          </cell>
          <cell r="T43">
            <v>207.48000000000002</v>
          </cell>
        </row>
        <row r="44">
          <cell r="N44">
            <v>3300</v>
          </cell>
          <cell r="T44">
            <v>351.15999999999997</v>
          </cell>
        </row>
        <row r="45">
          <cell r="N45">
            <v>4225</v>
          </cell>
          <cell r="T45">
            <v>114.85000000000001</v>
          </cell>
        </row>
        <row r="46">
          <cell r="N46">
            <v>5050</v>
          </cell>
          <cell r="T46">
            <v>128.64999999999998</v>
          </cell>
        </row>
        <row r="47">
          <cell r="N47">
            <v>5000</v>
          </cell>
          <cell r="T47">
            <v>208.11</v>
          </cell>
        </row>
      </sheetData>
      <sheetData sheetId="3"/>
      <sheetData sheetId="4">
        <row r="16">
          <cell r="T16">
            <v>0</v>
          </cell>
        </row>
      </sheetData>
      <sheetData sheetId="5">
        <row r="5">
          <cell r="N5">
            <v>815</v>
          </cell>
          <cell r="T5">
            <v>13.51</v>
          </cell>
        </row>
        <row r="6">
          <cell r="N6">
            <v>1650</v>
          </cell>
          <cell r="T6">
            <v>31.990000000000002</v>
          </cell>
        </row>
        <row r="7">
          <cell r="N7">
            <v>2485</v>
          </cell>
          <cell r="R7">
            <v>52.7</v>
          </cell>
          <cell r="T7">
            <v>52.7</v>
          </cell>
        </row>
        <row r="8">
          <cell r="N8">
            <v>2485</v>
          </cell>
          <cell r="R8">
            <v>52.050000000000004</v>
          </cell>
          <cell r="T8">
            <v>52.050000000000004</v>
          </cell>
        </row>
        <row r="9">
          <cell r="N9">
            <v>3320</v>
          </cell>
          <cell r="T9">
            <v>90.648679999999999</v>
          </cell>
        </row>
        <row r="10">
          <cell r="N10">
            <v>3320</v>
          </cell>
          <cell r="T10">
            <v>117.97575999999999</v>
          </cell>
        </row>
        <row r="11">
          <cell r="N11">
            <v>4155</v>
          </cell>
          <cell r="T11">
            <v>128.11215999999999</v>
          </cell>
        </row>
        <row r="12">
          <cell r="N12">
            <v>4990</v>
          </cell>
          <cell r="T12">
            <v>188.88974000000002</v>
          </cell>
        </row>
        <row r="13">
          <cell r="N13">
            <v>5010</v>
          </cell>
          <cell r="T13">
            <v>232.55186999999998</v>
          </cell>
        </row>
        <row r="14">
          <cell r="N14">
            <v>5010</v>
          </cell>
          <cell r="T14">
            <v>263.32499000000001</v>
          </cell>
        </row>
        <row r="15">
          <cell r="N15">
            <v>5010</v>
          </cell>
          <cell r="T15">
            <v>263.67894999999999</v>
          </cell>
        </row>
        <row r="16">
          <cell r="N16">
            <v>5010</v>
          </cell>
          <cell r="T16">
            <v>317.83356000000003</v>
          </cell>
        </row>
        <row r="17">
          <cell r="N17">
            <v>5010</v>
          </cell>
          <cell r="T17">
            <v>350.80896000000001</v>
          </cell>
        </row>
        <row r="18">
          <cell r="N18">
            <v>5010</v>
          </cell>
          <cell r="T18">
            <v>362.53881000000001</v>
          </cell>
        </row>
        <row r="19">
          <cell r="N19">
            <v>5010</v>
          </cell>
          <cell r="T19">
            <v>430.28676999999993</v>
          </cell>
        </row>
        <row r="20">
          <cell r="N20">
            <v>0</v>
          </cell>
        </row>
        <row r="21">
          <cell r="N21">
            <v>1400</v>
          </cell>
          <cell r="T21">
            <v>17.600000000000001</v>
          </cell>
        </row>
        <row r="22">
          <cell r="N22">
            <v>3600</v>
          </cell>
          <cell r="R22">
            <v>50.242499999999993</v>
          </cell>
          <cell r="S22">
            <v>16.747499999999999</v>
          </cell>
          <cell r="T22">
            <v>66.989999999999995</v>
          </cell>
        </row>
        <row r="23">
          <cell r="N23">
            <v>2200</v>
          </cell>
          <cell r="T23">
            <v>50.493090000000002</v>
          </cell>
        </row>
        <row r="24">
          <cell r="N24">
            <v>4400</v>
          </cell>
          <cell r="T24">
            <v>113.21899999999999</v>
          </cell>
        </row>
        <row r="25">
          <cell r="N25">
            <v>5000</v>
          </cell>
          <cell r="T25">
            <v>203.68412999999998</v>
          </cell>
        </row>
        <row r="26">
          <cell r="N26">
            <v>8350</v>
          </cell>
          <cell r="T26">
            <v>197.77029000000002</v>
          </cell>
        </row>
        <row r="27">
          <cell r="N27">
            <v>10000</v>
          </cell>
          <cell r="T27">
            <v>294.48390000000001</v>
          </cell>
        </row>
        <row r="28">
          <cell r="N28">
            <v>4950</v>
          </cell>
          <cell r="T28">
            <v>237.73376999999999</v>
          </cell>
        </row>
        <row r="29">
          <cell r="N29">
            <v>0</v>
          </cell>
          <cell r="T29">
            <v>24.299999999999997</v>
          </cell>
        </row>
        <row r="30">
          <cell r="N30">
            <v>0</v>
          </cell>
          <cell r="T30">
            <v>33.446579999999997</v>
          </cell>
        </row>
        <row r="31">
          <cell r="N31">
            <v>0</v>
          </cell>
          <cell r="T31">
            <v>14.931509999999999</v>
          </cell>
        </row>
        <row r="32">
          <cell r="N32">
            <v>0</v>
          </cell>
          <cell r="T32">
            <v>5.9128800000000004</v>
          </cell>
        </row>
        <row r="33">
          <cell r="N33">
            <v>875</v>
          </cell>
          <cell r="R33">
            <v>0.74</v>
          </cell>
          <cell r="T33">
            <v>0.74</v>
          </cell>
        </row>
        <row r="34">
          <cell r="N34">
            <v>7575</v>
          </cell>
          <cell r="R34">
            <v>0.75</v>
          </cell>
          <cell r="S34">
            <v>227.72431</v>
          </cell>
          <cell r="T34">
            <v>228.47431</v>
          </cell>
        </row>
        <row r="35">
          <cell r="N35">
            <v>2500</v>
          </cell>
          <cell r="T35">
            <v>87.009140000000002</v>
          </cell>
        </row>
        <row r="36">
          <cell r="N36">
            <v>8250</v>
          </cell>
          <cell r="T36">
            <v>688.21652999999992</v>
          </cell>
        </row>
        <row r="37">
          <cell r="N37">
            <v>5010</v>
          </cell>
          <cell r="T37">
            <v>554.71652000000006</v>
          </cell>
        </row>
        <row r="38">
          <cell r="N38">
            <v>0</v>
          </cell>
          <cell r="T38">
            <v>35.342469999999999</v>
          </cell>
        </row>
        <row r="39">
          <cell r="N39">
            <v>6600</v>
          </cell>
          <cell r="T39">
            <v>702.50311999999997</v>
          </cell>
        </row>
        <row r="40">
          <cell r="N40">
            <v>1666.67</v>
          </cell>
          <cell r="T40">
            <v>11.03</v>
          </cell>
        </row>
        <row r="41">
          <cell r="N41">
            <v>4950</v>
          </cell>
          <cell r="T41">
            <v>572.75414000000001</v>
          </cell>
        </row>
      </sheetData>
      <sheetData sheetId="6"/>
      <sheetData sheetId="7"/>
      <sheetData sheetId="8"/>
      <sheetData sheetId="9"/>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LAND"/>
      <sheetName val="BLDG"/>
      <sheetName val="Bldg cash coll port chky"/>
      <sheetName val="Motor vehicle"/>
      <sheetName val="Mach Tools"/>
      <sheetName val="Furniture "/>
      <sheetName val="Room A.C."/>
      <sheetName val="P.C."/>
      <sheetName val="Electronic Eqip.OE"/>
      <sheetName val="Electonic Eqp sep M.T."/>
      <sheetName val="Cyclostyle mach"/>
      <sheetName val="CABLE &amp; MAINS"/>
      <sheetName val="HOUSE SER MAIN"/>
      <sheetName val="CABLE CONN FEES"/>
      <sheetName val="DIST PILLARS"/>
      <sheetName val="ST LTG LAMPS"/>
      <sheetName val="METERS CONVN"/>
      <sheetName val="METERS ELECT"/>
      <sheetName val="BUSINESS PROC AUTO"/>
      <sheetName val="SWICHGR"/>
      <sheetName val="Transformer"/>
      <sheetName val="Scada"/>
      <sheetName val="Batteries"/>
      <sheetName val="Capacitors"/>
      <sheetName val="DEA on hire"/>
      <sheetName val="Loose Tools"/>
      <sheetName val="Office Equip"/>
      <sheetName val="SUMMARY"/>
      <sheetName val="E-6 WISE GRUP"/>
      <sheetName val="Dep chg"/>
      <sheetName val="Accumulated Depreciation "/>
    </sheetNames>
    <sheetDataSet>
      <sheetData sheetId="0">
        <row r="10">
          <cell r="Q10">
            <v>0</v>
          </cell>
          <cell r="R10">
            <v>0</v>
          </cell>
        </row>
      </sheetData>
      <sheetData sheetId="1">
        <row r="76">
          <cell r="G76">
            <v>626226454</v>
          </cell>
          <cell r="Q76">
            <v>183228906.67139998</v>
          </cell>
          <cell r="R76">
            <v>212432479.17019996</v>
          </cell>
        </row>
      </sheetData>
      <sheetData sheetId="2">
        <row r="21">
          <cell r="G21">
            <v>149466</v>
          </cell>
          <cell r="Q21">
            <v>56084.969799999992</v>
          </cell>
          <cell r="R21">
            <v>80873.744600000005</v>
          </cell>
        </row>
      </sheetData>
      <sheetData sheetId="3">
        <row r="42">
          <cell r="G42">
            <v>146095852</v>
          </cell>
          <cell r="Q42">
            <v>36426906.449999996</v>
          </cell>
          <cell r="R42">
            <v>95498876.137500018</v>
          </cell>
        </row>
      </sheetData>
      <sheetData sheetId="4">
        <row r="68">
          <cell r="G68">
            <v>237563872</v>
          </cell>
          <cell r="Q68">
            <v>55369222.5704</v>
          </cell>
          <cell r="R68">
            <v>91298882.044400021</v>
          </cell>
        </row>
      </sheetData>
      <sheetData sheetId="5">
        <row r="47">
          <cell r="G47">
            <v>23400257</v>
          </cell>
          <cell r="Q47">
            <v>9900421.111200003</v>
          </cell>
          <cell r="R47">
            <v>12179890.096799998</v>
          </cell>
        </row>
      </sheetData>
      <sheetData sheetId="6">
        <row r="33">
          <cell r="G33">
            <v>19232674</v>
          </cell>
          <cell r="Q33">
            <v>948857.73499999999</v>
          </cell>
          <cell r="R33">
            <v>15535935.545000004</v>
          </cell>
        </row>
      </sheetData>
      <sheetData sheetId="7">
        <row r="28">
          <cell r="G28">
            <v>171068021</v>
          </cell>
          <cell r="Q28">
            <v>40657922.100000001</v>
          </cell>
          <cell r="R28">
            <v>117516386.10000001</v>
          </cell>
        </row>
      </sheetData>
      <sheetData sheetId="8">
        <row r="32">
          <cell r="G32">
            <v>17259667</v>
          </cell>
          <cell r="Q32">
            <v>7865462.7749999994</v>
          </cell>
          <cell r="R32">
            <v>13481389.574999999</v>
          </cell>
        </row>
      </sheetData>
      <sheetData sheetId="9">
        <row r="31">
          <cell r="G31">
            <v>17110545</v>
          </cell>
          <cell r="Q31">
            <v>3563729.3249999997</v>
          </cell>
          <cell r="R31">
            <v>13128516.075000001</v>
          </cell>
        </row>
      </sheetData>
      <sheetData sheetId="10">
        <row r="25">
          <cell r="G25">
            <v>1434612</v>
          </cell>
          <cell r="Q25">
            <v>422140.14</v>
          </cell>
          <cell r="R25">
            <v>936436.05</v>
          </cell>
        </row>
      </sheetData>
      <sheetData sheetId="11">
        <row r="61">
          <cell r="G61">
            <v>6198998243</v>
          </cell>
          <cell r="Q61">
            <v>1415468130.6014998</v>
          </cell>
          <cell r="R61">
            <v>1782399889.7351999</v>
          </cell>
        </row>
      </sheetData>
      <sheetData sheetId="12"/>
      <sheetData sheetId="13"/>
      <sheetData sheetId="14">
        <row r="33">
          <cell r="G33">
            <v>251608194</v>
          </cell>
          <cell r="Q33">
            <v>71978017.009799987</v>
          </cell>
          <cell r="R33">
            <v>95117079.070799991</v>
          </cell>
        </row>
      </sheetData>
      <sheetData sheetId="15">
        <row r="51">
          <cell r="G51">
            <v>450348667</v>
          </cell>
          <cell r="Q51">
            <v>138984537.86160001</v>
          </cell>
          <cell r="R51">
            <v>321596034.57120013</v>
          </cell>
        </row>
      </sheetData>
      <sheetData sheetId="16">
        <row r="35">
          <cell r="G35">
            <v>710865187</v>
          </cell>
          <cell r="Q35">
            <v>190923861.34559998</v>
          </cell>
          <cell r="R35">
            <v>521560377.81120008</v>
          </cell>
        </row>
      </sheetData>
      <sheetData sheetId="17">
        <row r="26">
          <cell r="G26">
            <v>1302182412</v>
          </cell>
          <cell r="Q26">
            <v>474358811.6624999</v>
          </cell>
          <cell r="R26">
            <v>607259206.005</v>
          </cell>
        </row>
      </sheetData>
      <sheetData sheetId="18">
        <row r="12">
          <cell r="G12">
            <v>446717774</v>
          </cell>
          <cell r="Q12">
            <v>160054908.30000001</v>
          </cell>
          <cell r="R12">
            <v>227062574.40000001</v>
          </cell>
        </row>
      </sheetData>
      <sheetData sheetId="19">
        <row r="58">
          <cell r="G58">
            <v>4789388028</v>
          </cell>
          <cell r="Q58">
            <v>1204989518.1336</v>
          </cell>
          <cell r="R58">
            <v>2185948169.1143999</v>
          </cell>
        </row>
      </sheetData>
      <sheetData sheetId="20">
        <row r="74">
          <cell r="G74">
            <v>3190039346.3499999</v>
          </cell>
          <cell r="Q74">
            <v>845598908.52534389</v>
          </cell>
          <cell r="R74">
            <v>1014143678.80674</v>
          </cell>
        </row>
      </sheetData>
      <sheetData sheetId="21">
        <row r="21">
          <cell r="G21">
            <v>416948754</v>
          </cell>
          <cell r="Q21">
            <v>52208222.024999999</v>
          </cell>
          <cell r="R21">
            <v>219747312.52500001</v>
          </cell>
        </row>
      </sheetData>
      <sheetData sheetId="22">
        <row r="33">
          <cell r="G33">
            <v>64269317</v>
          </cell>
          <cell r="Q33">
            <v>6651701.9327999996</v>
          </cell>
          <cell r="R33">
            <v>38316368.018400006</v>
          </cell>
        </row>
      </sheetData>
      <sheetData sheetId="23">
        <row r="39">
          <cell r="G39">
            <v>94171129</v>
          </cell>
          <cell r="Q39">
            <v>29538350.194800001</v>
          </cell>
          <cell r="R39">
            <v>45600142.809600003</v>
          </cell>
        </row>
      </sheetData>
      <sheetData sheetId="24">
        <row r="36">
          <cell r="G36">
            <v>465756</v>
          </cell>
          <cell r="Q36">
            <v>0</v>
          </cell>
          <cell r="R36">
            <v>419180.4</v>
          </cell>
        </row>
      </sheetData>
      <sheetData sheetId="25">
        <row r="42">
          <cell r="G42">
            <v>2852516</v>
          </cell>
          <cell r="Q42">
            <v>0</v>
          </cell>
          <cell r="R42">
            <v>2567264.3999999994</v>
          </cell>
        </row>
      </sheetData>
      <sheetData sheetId="26">
        <row r="53">
          <cell r="G53">
            <v>20004019</v>
          </cell>
          <cell r="Q53">
            <v>6592573.2574000005</v>
          </cell>
          <cell r="R53">
            <v>9494640.6593000013</v>
          </cell>
        </row>
      </sheetData>
      <sheetData sheetId="27">
        <row r="8">
          <cell r="G8">
            <v>22953418</v>
          </cell>
        </row>
      </sheetData>
      <sheetData sheetId="28"/>
      <sheetData sheetId="29"/>
      <sheetData sheetId="30"/>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DETAIL"/>
      <sheetName val="DIV WISE SUMMERY"/>
      <sheetName val="E6 summery"/>
      <sheetName val="E6 Round summery"/>
      <sheetName val="lease bus"/>
    </sheetNames>
    <sheetDataSet>
      <sheetData sheetId="0"/>
      <sheetData sheetId="1">
        <row r="14">
          <cell r="H14">
            <v>0</v>
          </cell>
        </row>
        <row r="38">
          <cell r="F38">
            <v>0</v>
          </cell>
          <cell r="H38">
            <v>0</v>
          </cell>
        </row>
        <row r="45">
          <cell r="H45">
            <v>0</v>
          </cell>
        </row>
        <row r="50">
          <cell r="H50">
            <v>0</v>
          </cell>
        </row>
        <row r="52">
          <cell r="H52">
            <v>0</v>
          </cell>
        </row>
        <row r="54">
          <cell r="H54">
            <v>0</v>
          </cell>
        </row>
        <row r="56">
          <cell r="H56">
            <v>0</v>
          </cell>
        </row>
        <row r="58">
          <cell r="H58">
            <v>0</v>
          </cell>
        </row>
        <row r="86">
          <cell r="H86">
            <v>0</v>
          </cell>
        </row>
        <row r="93">
          <cell r="H93">
            <v>0</v>
          </cell>
        </row>
        <row r="98">
          <cell r="H98">
            <v>0</v>
          </cell>
        </row>
        <row r="108">
          <cell r="H108">
            <v>0</v>
          </cell>
        </row>
        <row r="113">
          <cell r="H113">
            <v>0</v>
          </cell>
        </row>
      </sheetData>
      <sheetData sheetId="2"/>
      <sheetData sheetId="3"/>
      <sheetData sheetId="4"/>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ash-Flow"/>
      <sheetName val="Schedule 1"/>
      <sheetName val="BEST_17112006"/>
      <sheetName val="Cash at Bank"/>
      <sheetName val="B_S Group"/>
      <sheetName val="Notes"/>
      <sheetName val="P&amp;L Group"/>
    </sheetNames>
    <sheetDataSet>
      <sheetData sheetId="0"/>
      <sheetData sheetId="1">
        <row r="2">
          <cell r="B2" t="str">
            <v>SCHEDULE 1</v>
          </cell>
        </row>
      </sheetData>
      <sheetData sheetId="2">
        <row r="13">
          <cell r="C13">
            <v>1</v>
          </cell>
        </row>
        <row r="15">
          <cell r="C15">
            <v>2</v>
          </cell>
        </row>
        <row r="20">
          <cell r="C20">
            <v>3</v>
          </cell>
        </row>
        <row r="30">
          <cell r="C30">
            <v>5</v>
          </cell>
        </row>
        <row r="77">
          <cell r="C77">
            <v>17</v>
          </cell>
        </row>
        <row r="111">
          <cell r="A111" t="str">
            <v>SCHEDULE 2</v>
          </cell>
        </row>
        <row r="128">
          <cell r="A128" t="str">
            <v>SCHEDULE 4</v>
          </cell>
        </row>
        <row r="165">
          <cell r="A165" t="str">
            <v>SCHEDULE 5</v>
          </cell>
        </row>
        <row r="174">
          <cell r="A174" t="str">
            <v>SCHEDULE 6</v>
          </cell>
        </row>
        <row r="206">
          <cell r="A206" t="str">
            <v>SCHEDULE 7</v>
          </cell>
        </row>
        <row r="225">
          <cell r="A225" t="str">
            <v>SCHEDULE 8</v>
          </cell>
        </row>
        <row r="248">
          <cell r="A248" t="str">
            <v>SCHEDULE 9</v>
          </cell>
        </row>
        <row r="303">
          <cell r="A303" t="str">
            <v>SCHEDULE 10</v>
          </cell>
        </row>
        <row r="358">
          <cell r="A358" t="str">
            <v>SCHEDULE 11</v>
          </cell>
        </row>
        <row r="364">
          <cell r="A364" t="str">
            <v>SCHEDULE 12</v>
          </cell>
        </row>
        <row r="381">
          <cell r="A381" t="str">
            <v>SCHEDULE 13</v>
          </cell>
        </row>
        <row r="391">
          <cell r="A391" t="str">
            <v>SCHEDULE 14</v>
          </cell>
        </row>
        <row r="415">
          <cell r="A415" t="str">
            <v>SCHEDULE 15</v>
          </cell>
          <cell r="D415" t="str">
            <v>in Lacs</v>
          </cell>
          <cell r="E415" t="str">
            <v>in Lacs</v>
          </cell>
          <cell r="F415" t="str">
            <v>in Lacs</v>
          </cell>
          <cell r="G415" t="str">
            <v>in Lacs</v>
          </cell>
          <cell r="H415" t="str">
            <v>in Lacs</v>
          </cell>
          <cell r="I415" t="str">
            <v>in Lacs</v>
          </cell>
          <cell r="J415" t="str">
            <v>in Lacs</v>
          </cell>
          <cell r="K415" t="str">
            <v>in Lacs</v>
          </cell>
          <cell r="L415" t="str">
            <v>in Lacs</v>
          </cell>
        </row>
        <row r="417">
          <cell r="A417" t="str">
            <v>Purchase of Electricity</v>
          </cell>
          <cell r="E417">
            <v>112229.46461</v>
          </cell>
          <cell r="G417">
            <v>0</v>
          </cell>
          <cell r="I417">
            <v>112229.46461</v>
          </cell>
          <cell r="J417">
            <v>108981.20299999999</v>
          </cell>
          <cell r="K417">
            <v>0</v>
          </cell>
          <cell r="L417">
            <v>108981.20299999999</v>
          </cell>
        </row>
        <row r="419">
          <cell r="B419" t="str">
            <v>TOTAL</v>
          </cell>
          <cell r="E419">
            <v>112229.46461</v>
          </cell>
          <cell r="G419">
            <v>0</v>
          </cell>
          <cell r="I419">
            <v>112229.46461</v>
          </cell>
          <cell r="J419">
            <v>108981.20299999999</v>
          </cell>
          <cell r="K419">
            <v>0</v>
          </cell>
          <cell r="L419">
            <v>108981.20299999999</v>
          </cell>
        </row>
        <row r="428">
          <cell r="A428" t="str">
            <v>SCHEDULE 16</v>
          </cell>
        </row>
        <row r="493">
          <cell r="A493" t="str">
            <v>SCHEDULE 17</v>
          </cell>
          <cell r="E493" t="str">
            <v>(31.03.2006)</v>
          </cell>
          <cell r="G493" t="str">
            <v>(31.03.2006)</v>
          </cell>
          <cell r="I493" t="str">
            <v>(31.03.2006)</v>
          </cell>
          <cell r="J493" t="str">
            <v>(31.03.2005)</v>
          </cell>
        </row>
        <row r="494">
          <cell r="A494" t="str">
            <v>INTEREST AND FINANCE CHARGES</v>
          </cell>
          <cell r="D494" t="str">
            <v>Rupees</v>
          </cell>
          <cell r="E494" t="str">
            <v>Rupees</v>
          </cell>
          <cell r="F494" t="str">
            <v>Rupees</v>
          </cell>
          <cell r="G494" t="str">
            <v>Rupees</v>
          </cell>
          <cell r="H494" t="str">
            <v>Rupees</v>
          </cell>
          <cell r="I494" t="str">
            <v>Rupees</v>
          </cell>
          <cell r="J494" t="str">
            <v>Rupees</v>
          </cell>
        </row>
        <row r="495">
          <cell r="D495" t="str">
            <v>in Lacs</v>
          </cell>
          <cell r="E495" t="str">
            <v>in Lacs</v>
          </cell>
          <cell r="F495" t="str">
            <v>in Lacs</v>
          </cell>
          <cell r="G495" t="str">
            <v>in Lacs</v>
          </cell>
          <cell r="H495" t="str">
            <v>in Lacs</v>
          </cell>
          <cell r="I495" t="str">
            <v>in Lacs</v>
          </cell>
          <cell r="J495" t="str">
            <v>in lacs</v>
          </cell>
        </row>
        <row r="497">
          <cell r="A497" t="str">
            <v>Interest Charges</v>
          </cell>
          <cell r="E497">
            <v>529.23343999999997</v>
          </cell>
          <cell r="J497">
            <v>389.13197000000002</v>
          </cell>
        </row>
        <row r="498">
          <cell r="B498" t="str">
            <v>TOTAL</v>
          </cell>
          <cell r="E498">
            <v>529.23343999999997</v>
          </cell>
          <cell r="I498">
            <v>0</v>
          </cell>
          <cell r="J498">
            <v>389.13197000000002</v>
          </cell>
        </row>
        <row r="503">
          <cell r="I503" t="str">
            <v>(31.03.2006)</v>
          </cell>
        </row>
        <row r="504">
          <cell r="A504" t="str">
            <v>SCHEDULE 18</v>
          </cell>
          <cell r="E504" t="str">
            <v>Year ended</v>
          </cell>
          <cell r="G504" t="str">
            <v>Year ended</v>
          </cell>
          <cell r="I504" t="str">
            <v>Year ended</v>
          </cell>
          <cell r="J504" t="str">
            <v>Year ended</v>
          </cell>
        </row>
        <row r="505">
          <cell r="A505" t="str">
            <v>PRIOR PERIOD ADJUSTMENTS</v>
          </cell>
          <cell r="E505" t="str">
            <v>(31.03.2006)</v>
          </cell>
          <cell r="G505" t="str">
            <v>(31.03.2006)</v>
          </cell>
          <cell r="I505" t="str">
            <v>(31.03.2006)</v>
          </cell>
          <cell r="J505" t="str">
            <v>(31.03.2005)</v>
          </cell>
        </row>
        <row r="506">
          <cell r="D506" t="str">
            <v>Rupees</v>
          </cell>
          <cell r="E506" t="str">
            <v>Rupees</v>
          </cell>
          <cell r="F506" t="str">
            <v>Rupees</v>
          </cell>
          <cell r="G506" t="str">
            <v>Rupees</v>
          </cell>
          <cell r="H506" t="str">
            <v>Rupees</v>
          </cell>
          <cell r="I506" t="str">
            <v>Rupees</v>
          </cell>
          <cell r="J506" t="str">
            <v>Rupees</v>
          </cell>
        </row>
        <row r="507">
          <cell r="D507" t="str">
            <v>in Lacs</v>
          </cell>
          <cell r="E507" t="str">
            <v>in Lacs</v>
          </cell>
          <cell r="F507" t="str">
            <v>in Lacs</v>
          </cell>
          <cell r="G507" t="str">
            <v>in Lacs</v>
          </cell>
          <cell r="H507" t="str">
            <v>in Lacs</v>
          </cell>
          <cell r="I507" t="str">
            <v>in Lacs</v>
          </cell>
          <cell r="J507" t="str">
            <v>in lacs</v>
          </cell>
        </row>
        <row r="508">
          <cell r="A508" t="str">
            <v>PRIOR PERIOD INCOME</v>
          </cell>
        </row>
        <row r="510">
          <cell r="A510" t="str">
            <v>Profit on Sale of Asset</v>
          </cell>
          <cell r="E510">
            <v>3146.1492244926098</v>
          </cell>
          <cell r="I510">
            <v>0</v>
          </cell>
        </row>
        <row r="511">
          <cell r="A511" t="str">
            <v>Supply Division</v>
          </cell>
          <cell r="E511">
            <v>1320.6718354000002</v>
          </cell>
          <cell r="I511">
            <v>0</v>
          </cell>
        </row>
        <row r="513">
          <cell r="E513">
            <v>4466.8210598926098</v>
          </cell>
          <cell r="I513">
            <v>0</v>
          </cell>
        </row>
        <row r="514">
          <cell r="A514" t="str">
            <v>PRIOR PERIOD EXPENSE</v>
          </cell>
        </row>
        <row r="516">
          <cell r="A516" t="str">
            <v>Supply Division</v>
          </cell>
          <cell r="E516">
            <v>0</v>
          </cell>
          <cell r="I516">
            <v>155.5388762</v>
          </cell>
          <cell r="J516">
            <v>277.23556259999998</v>
          </cell>
          <cell r="K516">
            <v>0</v>
          </cell>
          <cell r="L516">
            <v>277.23556259999998</v>
          </cell>
        </row>
        <row r="517">
          <cell r="A517" t="str">
            <v>General Administration</v>
          </cell>
          <cell r="E517">
            <v>53.643831695999999</v>
          </cell>
          <cell r="I517">
            <v>53.643831695999999</v>
          </cell>
          <cell r="J517">
            <v>326.71346051799998</v>
          </cell>
          <cell r="K517">
            <v>0</v>
          </cell>
          <cell r="L517">
            <v>326.71346051799998</v>
          </cell>
        </row>
        <row r="519">
          <cell r="B519" t="str">
            <v>TOTAL</v>
          </cell>
          <cell r="E519">
            <v>-4413.1772281966096</v>
          </cell>
          <cell r="I519">
            <v>209.18270789600001</v>
          </cell>
          <cell r="J519">
            <v>603.94902311800001</v>
          </cell>
          <cell r="L519">
            <v>603.94902311800001</v>
          </cell>
        </row>
        <row r="541">
          <cell r="A541" t="str">
            <v>SCHEDULE 3</v>
          </cell>
        </row>
      </sheetData>
      <sheetData sheetId="3"/>
      <sheetData sheetId="4">
        <row r="15">
          <cell r="H15" t="str">
            <v>See Notes 1</v>
          </cell>
        </row>
        <row r="20">
          <cell r="H20" t="str">
            <v>See Notes 1</v>
          </cell>
        </row>
        <row r="21">
          <cell r="H21" t="str">
            <v>(Refer Note2)</v>
          </cell>
        </row>
        <row r="23">
          <cell r="H23" t="str">
            <v>Note 3</v>
          </cell>
        </row>
        <row r="31">
          <cell r="H31" t="str">
            <v>Notes 4</v>
          </cell>
        </row>
        <row r="46">
          <cell r="H46" t="str">
            <v>See Notes 5</v>
          </cell>
        </row>
        <row r="67">
          <cell r="H67" t="str">
            <v>Notes 6</v>
          </cell>
        </row>
        <row r="83">
          <cell r="H83" t="str">
            <v>Notes 7</v>
          </cell>
        </row>
        <row r="94">
          <cell r="H94" t="str">
            <v>Notes 8</v>
          </cell>
        </row>
        <row r="103">
          <cell r="H103" t="str">
            <v>Notes 9</v>
          </cell>
        </row>
        <row r="107">
          <cell r="H107" t="str">
            <v>Notes 10</v>
          </cell>
        </row>
        <row r="120">
          <cell r="H120" t="str">
            <v>Notes  11</v>
          </cell>
        </row>
        <row r="129">
          <cell r="H129" t="str">
            <v>Notes 12</v>
          </cell>
        </row>
        <row r="161">
          <cell r="H161" t="str">
            <v>Notes 13</v>
          </cell>
        </row>
        <row r="199">
          <cell r="H199" t="str">
            <v>Notes 14</v>
          </cell>
        </row>
        <row r="213">
          <cell r="H213" t="str">
            <v>Notes 16</v>
          </cell>
        </row>
        <row r="229">
          <cell r="H229" t="str">
            <v>Note 26</v>
          </cell>
        </row>
        <row r="251">
          <cell r="H251" t="str">
            <v>Notes 17</v>
          </cell>
        </row>
        <row r="258">
          <cell r="H258" t="str">
            <v xml:space="preserve"> Notes 18</v>
          </cell>
        </row>
        <row r="269">
          <cell r="H269" t="str">
            <v>Notes 19</v>
          </cell>
        </row>
        <row r="277">
          <cell r="H277" t="str">
            <v>Notes 20</v>
          </cell>
        </row>
        <row r="284">
          <cell r="H284" t="str">
            <v>Notes 21</v>
          </cell>
        </row>
        <row r="303">
          <cell r="H303" t="str">
            <v>Notes 22</v>
          </cell>
        </row>
        <row r="348">
          <cell r="H348" t="str">
            <v>Notes 23</v>
          </cell>
        </row>
        <row r="349">
          <cell r="H349" t="str">
            <v>Notes 24</v>
          </cell>
        </row>
        <row r="434">
          <cell r="H434" t="str">
            <v>Notes 25</v>
          </cell>
        </row>
      </sheetData>
      <sheetData sheetId="5">
        <row r="3">
          <cell r="A3" t="str">
            <v>1)</v>
          </cell>
        </row>
        <row r="6">
          <cell r="A6" t="str">
            <v>2)</v>
          </cell>
        </row>
        <row r="8">
          <cell r="A8" t="str">
            <v>3)</v>
          </cell>
        </row>
        <row r="13">
          <cell r="A13">
            <v>4</v>
          </cell>
        </row>
        <row r="15">
          <cell r="A15">
            <v>5</v>
          </cell>
        </row>
        <row r="17">
          <cell r="A17">
            <v>6</v>
          </cell>
        </row>
        <row r="19">
          <cell r="A19">
            <v>7</v>
          </cell>
        </row>
        <row r="21">
          <cell r="A21">
            <v>8</v>
          </cell>
        </row>
        <row r="23">
          <cell r="A23">
            <v>9</v>
          </cell>
        </row>
        <row r="25">
          <cell r="A25">
            <v>10</v>
          </cell>
        </row>
        <row r="27">
          <cell r="A27">
            <v>11</v>
          </cell>
        </row>
        <row r="29">
          <cell r="A29">
            <v>12</v>
          </cell>
        </row>
        <row r="31">
          <cell r="A31">
            <v>13</v>
          </cell>
        </row>
        <row r="33">
          <cell r="A33">
            <v>14</v>
          </cell>
        </row>
        <row r="35">
          <cell r="A35">
            <v>15</v>
          </cell>
        </row>
        <row r="37">
          <cell r="A37">
            <v>16</v>
          </cell>
        </row>
        <row r="39">
          <cell r="A39">
            <v>17</v>
          </cell>
        </row>
        <row r="41">
          <cell r="A41">
            <v>18</v>
          </cell>
        </row>
        <row r="43">
          <cell r="A43">
            <v>19</v>
          </cell>
        </row>
        <row r="45">
          <cell r="A45">
            <v>20</v>
          </cell>
        </row>
        <row r="47">
          <cell r="A47">
            <v>21</v>
          </cell>
        </row>
        <row r="49">
          <cell r="A49">
            <v>22</v>
          </cell>
        </row>
        <row r="51">
          <cell r="A51">
            <v>23</v>
          </cell>
        </row>
        <row r="53">
          <cell r="A53">
            <v>24</v>
          </cell>
        </row>
        <row r="55">
          <cell r="A55">
            <v>25</v>
          </cell>
        </row>
        <row r="61">
          <cell r="A61">
            <v>26</v>
          </cell>
        </row>
      </sheetData>
      <sheetData sheetId="6">
        <row r="24">
          <cell r="F24" t="str">
            <v>See Annexure B</v>
          </cell>
        </row>
        <row r="58">
          <cell r="A58" t="str">
            <v>(ANNEXURE 'A')</v>
          </cell>
        </row>
        <row r="68">
          <cell r="A68" t="str">
            <v>(ANNEXURE 'A')</v>
          </cell>
        </row>
        <row r="90">
          <cell r="A90" t="str">
            <v>ANNEXURE( B )</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heet1"/>
      <sheetName val="Sheet2"/>
      <sheetName val="Sheet3"/>
      <sheetName val="96상2"/>
      <sheetName val="해외 기술훈련비 (합계)"/>
      <sheetName val="해외 연수비용 계산-삭제"/>
      <sheetName val="Book2"/>
      <sheetName val="카메라"/>
      <sheetName val="#REF"/>
      <sheetName val="자바라1"/>
      <sheetName val="투자종합 (2)"/>
      <sheetName val="해외_기술훈련비_(합계)"/>
      <sheetName val="해외_연수비용_계산-삭제"/>
      <sheetName val="투자종합_(2)"/>
    </sheetNames>
    <definedNames>
      <definedName name="BULYANGPNT"/>
      <definedName name="GUESTPNT"/>
      <definedName name="MONITORPNT"/>
      <definedName name="RTPNT"/>
      <definedName name="UTPNT"/>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현장배관물량집계"/>
      <sheetName val="현장SUPP'T물량집계"/>
      <sheetName val="Valve집계"/>
      <sheetName val="현장배관물량"/>
      <sheetName val="현장지지물물량"/>
      <sheetName val="현장집계3"/>
      <sheetName val="Sheet1"/>
      <sheetName val="설산1_나"/>
      <sheetName val="본사S"/>
      <sheetName val="설산1.나"/>
    </sheetNames>
    <sheetDataSet>
      <sheetData sheetId="0" refreshError="1"/>
      <sheetData sheetId="1" refreshError="1"/>
      <sheetData sheetId="2" refreshError="1"/>
      <sheetData sheetId="3" refreshError="1"/>
      <sheetData sheetId="4" refreshError="1">
        <row r="1">
          <cell r="F1" t="str">
            <v>*********************************</v>
          </cell>
        </row>
        <row r="2">
          <cell r="F2" t="str">
            <v>*****   FIELD FAB. SUPPORT  *****</v>
          </cell>
        </row>
        <row r="3">
          <cell r="F3" t="str">
            <v>*********************************</v>
          </cell>
        </row>
        <row r="4">
          <cell r="A4" t="str">
            <v>=</v>
          </cell>
          <cell r="B4" t="str">
            <v>=</v>
          </cell>
          <cell r="C4" t="str">
            <v>=</v>
          </cell>
          <cell r="D4" t="str">
            <v>=</v>
          </cell>
          <cell r="E4" t="str">
            <v>=</v>
          </cell>
          <cell r="F4" t="str">
            <v>=</v>
          </cell>
          <cell r="G4" t="str">
            <v>=</v>
          </cell>
          <cell r="H4" t="str">
            <v>=</v>
          </cell>
          <cell r="I4" t="str">
            <v>=</v>
          </cell>
          <cell r="J4" t="str">
            <v>=</v>
          </cell>
          <cell r="K4" t="str">
            <v>=</v>
          </cell>
          <cell r="L4" t="str">
            <v>=</v>
          </cell>
          <cell r="M4" t="str">
            <v>=</v>
          </cell>
          <cell r="N4" t="str">
            <v>=</v>
          </cell>
          <cell r="Q4" t="str">
            <v>=</v>
          </cell>
        </row>
        <row r="5">
          <cell r="A5" t="str">
            <v>DWG.NO.</v>
          </cell>
          <cell r="B5" t="str">
            <v>SPEC</v>
          </cell>
          <cell r="C5" t="str">
            <v>ITEM</v>
          </cell>
          <cell r="D5" t="str">
            <v>MATERIAL</v>
          </cell>
          <cell r="E5" t="str">
            <v xml:space="preserve">    SIZE</v>
          </cell>
          <cell r="F5" t="str">
            <v>LANGTH</v>
          </cell>
          <cell r="G5" t="str">
            <v>SYS.-DIA</v>
          </cell>
          <cell r="H5" t="str">
            <v>TOTAL</v>
          </cell>
          <cell r="I5" t="str">
            <v>ELEVATION</v>
          </cell>
          <cell r="K5" t="str">
            <v>IN/OUT</v>
          </cell>
          <cell r="L5" t="str">
            <v>UNIT WT</v>
          </cell>
          <cell r="M5" t="str">
            <v>TOTAL WT</v>
          </cell>
          <cell r="N5" t="str">
            <v>REMARK</v>
          </cell>
          <cell r="P5" t="str">
            <v>SET</v>
          </cell>
          <cell r="Q5" t="str">
            <v>Q'TY</v>
          </cell>
        </row>
        <row r="6">
          <cell r="A6" t="str">
            <v>=</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Q6" t="str">
            <v>=</v>
          </cell>
        </row>
        <row r="8">
          <cell r="A8" t="str">
            <v>03980-001</v>
          </cell>
          <cell r="C8" t="str">
            <v>H-BEAM</v>
          </cell>
          <cell r="D8" t="str">
            <v>C S</v>
          </cell>
          <cell r="E8" t="str">
            <v>H100x100x6x8</v>
          </cell>
          <cell r="F8">
            <v>670</v>
          </cell>
          <cell r="G8" t="str">
            <v>71200- 80</v>
          </cell>
          <cell r="H8">
            <v>1</v>
          </cell>
          <cell r="I8" t="str">
            <v>7150/5900</v>
          </cell>
        </row>
        <row r="9">
          <cell r="A9" t="str">
            <v>03980-001</v>
          </cell>
          <cell r="C9" t="str">
            <v>H-BEAM</v>
          </cell>
          <cell r="D9" t="str">
            <v>C S</v>
          </cell>
          <cell r="E9" t="str">
            <v>H100x100x6x8</v>
          </cell>
          <cell r="F9">
            <v>820</v>
          </cell>
          <cell r="G9" t="str">
            <v>71200- 80</v>
          </cell>
          <cell r="H9">
            <v>1</v>
          </cell>
          <cell r="I9" t="str">
            <v>7150/5900</v>
          </cell>
        </row>
        <row r="10">
          <cell r="A10" t="str">
            <v>03980-001</v>
          </cell>
          <cell r="C10" t="str">
            <v>CT</v>
          </cell>
          <cell r="D10" t="str">
            <v>C S</v>
          </cell>
          <cell r="E10" t="str">
            <v>CT100x150x6x9</v>
          </cell>
          <cell r="F10">
            <v>300</v>
          </cell>
          <cell r="G10" t="str">
            <v>71200- 80</v>
          </cell>
          <cell r="H10">
            <v>1</v>
          </cell>
          <cell r="I10" t="str">
            <v>7150/5900</v>
          </cell>
        </row>
        <row r="11">
          <cell r="A11" t="str">
            <v>03980-001</v>
          </cell>
          <cell r="C11" t="str">
            <v>PLATE</v>
          </cell>
          <cell r="D11" t="str">
            <v>C S</v>
          </cell>
          <cell r="E11" t="str">
            <v>PL103x70x9t</v>
          </cell>
          <cell r="G11" t="str">
            <v>71200- 80</v>
          </cell>
          <cell r="H11">
            <v>4</v>
          </cell>
          <cell r="I11" t="str">
            <v>7150/5900</v>
          </cell>
        </row>
        <row r="12">
          <cell r="A12" t="str">
            <v>03980-001</v>
          </cell>
          <cell r="C12" t="str">
            <v>CT</v>
          </cell>
          <cell r="D12" t="str">
            <v>C S</v>
          </cell>
          <cell r="E12" t="str">
            <v>CT100x100x5.5x8</v>
          </cell>
          <cell r="F12">
            <v>150</v>
          </cell>
          <cell r="G12" t="str">
            <v>71200- 50</v>
          </cell>
          <cell r="H12">
            <v>1</v>
          </cell>
          <cell r="I12" t="str">
            <v>7150/5900</v>
          </cell>
        </row>
        <row r="14">
          <cell r="A14" t="str">
            <v>03980-002</v>
          </cell>
          <cell r="C14" t="str">
            <v>H-BEAM</v>
          </cell>
          <cell r="D14" t="str">
            <v>C S</v>
          </cell>
          <cell r="E14" t="str">
            <v>H100x100x6x8</v>
          </cell>
          <cell r="F14">
            <v>670</v>
          </cell>
          <cell r="G14" t="str">
            <v>71200- 80</v>
          </cell>
          <cell r="H14">
            <v>1</v>
          </cell>
          <cell r="I14" t="str">
            <v>7150/5900</v>
          </cell>
        </row>
        <row r="15">
          <cell r="A15" t="str">
            <v>03980-002</v>
          </cell>
          <cell r="C15" t="str">
            <v>H-BEAM</v>
          </cell>
          <cell r="D15" t="str">
            <v>C S</v>
          </cell>
          <cell r="E15" t="str">
            <v>H100x100x6x8</v>
          </cell>
          <cell r="F15">
            <v>550</v>
          </cell>
          <cell r="G15" t="str">
            <v>71200- 80</v>
          </cell>
          <cell r="H15">
            <v>1</v>
          </cell>
          <cell r="I15" t="str">
            <v>7150/5900</v>
          </cell>
        </row>
        <row r="16">
          <cell r="A16" t="str">
            <v>03980-002</v>
          </cell>
          <cell r="C16" t="str">
            <v>CT</v>
          </cell>
          <cell r="D16" t="str">
            <v>C S</v>
          </cell>
          <cell r="E16" t="str">
            <v>CT100x150x6x9</v>
          </cell>
          <cell r="F16">
            <v>300</v>
          </cell>
          <cell r="G16" t="str">
            <v>71200- 80</v>
          </cell>
          <cell r="H16">
            <v>1</v>
          </cell>
          <cell r="I16" t="str">
            <v>7150/5900</v>
          </cell>
        </row>
        <row r="17">
          <cell r="A17" t="str">
            <v>03980-002</v>
          </cell>
          <cell r="C17" t="str">
            <v>PLATE</v>
          </cell>
          <cell r="D17" t="str">
            <v>C S</v>
          </cell>
          <cell r="E17" t="str">
            <v>PL103x70x9t</v>
          </cell>
          <cell r="G17" t="str">
            <v>71200- 80</v>
          </cell>
          <cell r="H17">
            <v>4</v>
          </cell>
          <cell r="I17" t="str">
            <v>7150/5900</v>
          </cell>
        </row>
        <row r="19">
          <cell r="A19" t="str">
            <v>03980-003</v>
          </cell>
          <cell r="C19" t="str">
            <v>CT</v>
          </cell>
          <cell r="D19" t="str">
            <v>C S</v>
          </cell>
          <cell r="E19" t="str">
            <v>CT100x150x6x9</v>
          </cell>
          <cell r="F19">
            <v>300</v>
          </cell>
          <cell r="G19" t="str">
            <v>71200- 80</v>
          </cell>
          <cell r="H19">
            <v>1</v>
          </cell>
          <cell r="I19" t="str">
            <v>7150/5900</v>
          </cell>
        </row>
        <row r="20">
          <cell r="A20" t="str">
            <v>03980-003</v>
          </cell>
          <cell r="C20" t="str">
            <v>PLATE</v>
          </cell>
          <cell r="D20" t="str">
            <v>C S</v>
          </cell>
          <cell r="E20" t="str">
            <v>PL103x70x9t</v>
          </cell>
          <cell r="G20" t="str">
            <v>71200- 80</v>
          </cell>
          <cell r="H20">
            <v>8</v>
          </cell>
          <cell r="I20" t="str">
            <v>7150/5900</v>
          </cell>
        </row>
        <row r="21">
          <cell r="A21" t="str">
            <v>03980-003</v>
          </cell>
          <cell r="C21" t="str">
            <v>PLATE</v>
          </cell>
          <cell r="D21" t="str">
            <v>C S</v>
          </cell>
          <cell r="E21" t="str">
            <v>PL100x50x12t</v>
          </cell>
          <cell r="G21" t="str">
            <v>71200- 80</v>
          </cell>
          <cell r="H21">
            <v>4</v>
          </cell>
          <cell r="I21" t="str">
            <v>7150/5900</v>
          </cell>
        </row>
        <row r="22">
          <cell r="A22" t="str">
            <v>03980-003</v>
          </cell>
          <cell r="C22" t="str">
            <v>PLATE</v>
          </cell>
          <cell r="D22" t="str">
            <v>C S</v>
          </cell>
          <cell r="E22" t="str">
            <v>PL80x50x9t</v>
          </cell>
          <cell r="G22" t="str">
            <v>71200- 80</v>
          </cell>
          <cell r="H22">
            <v>4</v>
          </cell>
          <cell r="I22" t="str">
            <v>7150/5900</v>
          </cell>
        </row>
        <row r="24">
          <cell r="A24" t="str">
            <v>03980-004</v>
          </cell>
          <cell r="C24" t="str">
            <v>CT</v>
          </cell>
          <cell r="D24" t="str">
            <v>C S</v>
          </cell>
          <cell r="E24" t="str">
            <v>CT100x150x6x9</v>
          </cell>
          <cell r="F24">
            <v>300</v>
          </cell>
          <cell r="G24" t="str">
            <v>71200- 80</v>
          </cell>
          <cell r="H24">
            <v>1</v>
          </cell>
          <cell r="I24" t="str">
            <v>7150/5900</v>
          </cell>
        </row>
        <row r="25">
          <cell r="A25" t="str">
            <v>03980-004</v>
          </cell>
          <cell r="C25" t="str">
            <v>PLATE</v>
          </cell>
          <cell r="D25" t="str">
            <v>C S</v>
          </cell>
          <cell r="E25" t="str">
            <v>PL103x70x9t</v>
          </cell>
          <cell r="G25" t="str">
            <v>71200- 80</v>
          </cell>
          <cell r="H25">
            <v>4</v>
          </cell>
          <cell r="I25" t="str">
            <v>7150/5900</v>
          </cell>
        </row>
        <row r="27">
          <cell r="A27" t="str">
            <v>03980-005</v>
          </cell>
          <cell r="C27" t="str">
            <v>H-BEAM</v>
          </cell>
          <cell r="D27" t="str">
            <v>C S</v>
          </cell>
          <cell r="E27" t="str">
            <v>H100x100x6x8</v>
          </cell>
          <cell r="F27">
            <v>450</v>
          </cell>
          <cell r="G27" t="str">
            <v>71200- 80</v>
          </cell>
          <cell r="H27">
            <v>1</v>
          </cell>
          <cell r="I27" t="str">
            <v>7150/5900</v>
          </cell>
        </row>
        <row r="28">
          <cell r="A28" t="str">
            <v>03980-005</v>
          </cell>
          <cell r="C28" t="str">
            <v>3-BOLT PIPE CLAMP</v>
          </cell>
          <cell r="D28" t="str">
            <v>C S</v>
          </cell>
          <cell r="E28" t="str">
            <v>DN 80</v>
          </cell>
          <cell r="G28" t="str">
            <v>71200- 80</v>
          </cell>
          <cell r="H28">
            <v>1</v>
          </cell>
          <cell r="I28" t="str">
            <v>7150/5900</v>
          </cell>
        </row>
        <row r="29">
          <cell r="A29" t="str">
            <v>03980-005</v>
          </cell>
          <cell r="C29" t="str">
            <v>WEL'D BEAM ATTACH.</v>
          </cell>
          <cell r="D29" t="str">
            <v>C S</v>
          </cell>
          <cell r="E29" t="str">
            <v>M12</v>
          </cell>
          <cell r="G29" t="str">
            <v>71200- 80</v>
          </cell>
          <cell r="H29">
            <v>1</v>
          </cell>
          <cell r="I29" t="str">
            <v>7150/5900</v>
          </cell>
        </row>
        <row r="30">
          <cell r="A30" t="str">
            <v>03980-005</v>
          </cell>
          <cell r="C30" t="str">
            <v>EYE NUT</v>
          </cell>
          <cell r="D30" t="str">
            <v>C S</v>
          </cell>
          <cell r="E30" t="str">
            <v>M12</v>
          </cell>
          <cell r="G30" t="str">
            <v>71200- 80</v>
          </cell>
          <cell r="H30">
            <v>2</v>
          </cell>
          <cell r="I30" t="str">
            <v>7150/5900</v>
          </cell>
        </row>
        <row r="31">
          <cell r="A31" t="str">
            <v>03980-005</v>
          </cell>
          <cell r="C31" t="str">
            <v>THR'D ROD R.H</v>
          </cell>
          <cell r="D31" t="str">
            <v>C S</v>
          </cell>
          <cell r="E31" t="str">
            <v>M12</v>
          </cell>
          <cell r="F31">
            <v>1000</v>
          </cell>
          <cell r="G31" t="str">
            <v>71200- 80</v>
          </cell>
          <cell r="H31">
            <v>1</v>
          </cell>
          <cell r="I31" t="str">
            <v>7150/5900</v>
          </cell>
        </row>
        <row r="32">
          <cell r="A32" t="str">
            <v>03980-005</v>
          </cell>
          <cell r="C32" t="str">
            <v>TURNBUCKLE</v>
          </cell>
          <cell r="D32" t="str">
            <v>C S</v>
          </cell>
          <cell r="E32" t="str">
            <v>M12</v>
          </cell>
          <cell r="G32" t="str">
            <v>71200- 80</v>
          </cell>
          <cell r="H32">
            <v>1</v>
          </cell>
          <cell r="I32" t="str">
            <v>7150/5900</v>
          </cell>
        </row>
        <row r="33">
          <cell r="A33" t="str">
            <v>03980-005</v>
          </cell>
          <cell r="C33" t="str">
            <v>THR'D ROD R.H&amp;L.H</v>
          </cell>
          <cell r="D33" t="str">
            <v>C S</v>
          </cell>
          <cell r="E33" t="str">
            <v>M12</v>
          </cell>
          <cell r="F33">
            <v>980</v>
          </cell>
          <cell r="G33" t="str">
            <v>71200- 80</v>
          </cell>
          <cell r="H33">
            <v>1</v>
          </cell>
          <cell r="I33" t="str">
            <v>7150/5900</v>
          </cell>
        </row>
        <row r="35">
          <cell r="A35" t="str">
            <v>03980-006</v>
          </cell>
          <cell r="C35" t="str">
            <v>H-BEAM</v>
          </cell>
          <cell r="D35" t="str">
            <v>C S</v>
          </cell>
          <cell r="E35" t="str">
            <v>H100x100x6x8</v>
          </cell>
          <cell r="F35">
            <v>550</v>
          </cell>
          <cell r="G35" t="str">
            <v>71200- 80</v>
          </cell>
          <cell r="H35">
            <v>1</v>
          </cell>
          <cell r="I35" t="str">
            <v>7150/5900</v>
          </cell>
        </row>
        <row r="36">
          <cell r="A36" t="str">
            <v>03980-006</v>
          </cell>
          <cell r="C36" t="str">
            <v>CT</v>
          </cell>
          <cell r="D36" t="str">
            <v>C S</v>
          </cell>
          <cell r="E36" t="str">
            <v>CT100x150x6x9</v>
          </cell>
          <cell r="F36">
            <v>300</v>
          </cell>
          <cell r="G36" t="str">
            <v>71200- 80</v>
          </cell>
          <cell r="H36">
            <v>1</v>
          </cell>
          <cell r="I36" t="str">
            <v>7150/5900</v>
          </cell>
        </row>
        <row r="37">
          <cell r="A37" t="str">
            <v>03980-006</v>
          </cell>
          <cell r="C37" t="str">
            <v>PLATE</v>
          </cell>
          <cell r="D37" t="str">
            <v>C S</v>
          </cell>
          <cell r="E37" t="str">
            <v>PL103x70x9t</v>
          </cell>
          <cell r="G37" t="str">
            <v>71200- 80</v>
          </cell>
          <cell r="H37">
            <v>4</v>
          </cell>
          <cell r="I37" t="str">
            <v>7150/5900</v>
          </cell>
        </row>
        <row r="38">
          <cell r="A38" t="str">
            <v>03980-006</v>
          </cell>
          <cell r="C38" t="str">
            <v>PLATE</v>
          </cell>
          <cell r="D38" t="str">
            <v>C S</v>
          </cell>
          <cell r="E38" t="str">
            <v>PL100x50x12t</v>
          </cell>
          <cell r="G38" t="str">
            <v>71200- 80</v>
          </cell>
          <cell r="H38">
            <v>2</v>
          </cell>
          <cell r="I38" t="str">
            <v>7150/5900</v>
          </cell>
        </row>
        <row r="39">
          <cell r="A39" t="str">
            <v>03980-006</v>
          </cell>
          <cell r="C39" t="str">
            <v>PLATE</v>
          </cell>
          <cell r="D39" t="str">
            <v>C S</v>
          </cell>
          <cell r="E39" t="str">
            <v>PL80x50x9t</v>
          </cell>
          <cell r="G39" t="str">
            <v>71200- 80</v>
          </cell>
          <cell r="H39">
            <v>2</v>
          </cell>
          <cell r="I39" t="str">
            <v>7150/5900</v>
          </cell>
        </row>
        <row r="41">
          <cell r="A41" t="str">
            <v>03980-007</v>
          </cell>
          <cell r="C41" t="str">
            <v>CHANNEL</v>
          </cell>
          <cell r="D41" t="str">
            <v>C S</v>
          </cell>
          <cell r="E41" t="str">
            <v>C100x50x5x7.5</v>
          </cell>
          <cell r="F41">
            <v>200</v>
          </cell>
          <cell r="G41" t="str">
            <v>71200- 80</v>
          </cell>
          <cell r="H41">
            <v>1</v>
          </cell>
        </row>
        <row r="42">
          <cell r="A42" t="str">
            <v>03980-007</v>
          </cell>
          <cell r="C42" t="str">
            <v>CT</v>
          </cell>
          <cell r="D42" t="str">
            <v>C S</v>
          </cell>
          <cell r="E42" t="str">
            <v>CT100x150x6x9</v>
          </cell>
          <cell r="F42">
            <v>300</v>
          </cell>
          <cell r="G42" t="str">
            <v>71200- 80</v>
          </cell>
          <cell r="H42">
            <v>1</v>
          </cell>
        </row>
        <row r="43">
          <cell r="A43" t="str">
            <v>03980-007</v>
          </cell>
          <cell r="C43" t="str">
            <v>PLATE</v>
          </cell>
          <cell r="D43" t="str">
            <v>C S</v>
          </cell>
          <cell r="E43" t="str">
            <v>PL103x70x9t</v>
          </cell>
          <cell r="G43" t="str">
            <v>71200- 80</v>
          </cell>
          <cell r="H43">
            <v>4</v>
          </cell>
          <cell r="I43" t="str">
            <v>7150/5900</v>
          </cell>
        </row>
        <row r="45">
          <cell r="A45" t="str">
            <v>03980-008</v>
          </cell>
          <cell r="C45" t="str">
            <v>CHANNEL</v>
          </cell>
          <cell r="D45" t="str">
            <v>C S</v>
          </cell>
          <cell r="E45" t="str">
            <v>C100x50x5x7.5</v>
          </cell>
          <cell r="F45">
            <v>300</v>
          </cell>
          <cell r="G45" t="str">
            <v>71200- 80</v>
          </cell>
          <cell r="H45">
            <v>1</v>
          </cell>
        </row>
        <row r="46">
          <cell r="A46" t="str">
            <v>03980-008</v>
          </cell>
          <cell r="C46" t="str">
            <v>CT</v>
          </cell>
          <cell r="D46" t="str">
            <v>C S</v>
          </cell>
          <cell r="E46" t="str">
            <v>CT100x150x6x9</v>
          </cell>
          <cell r="F46">
            <v>300</v>
          </cell>
          <cell r="G46" t="str">
            <v>71200- 80</v>
          </cell>
          <cell r="H46">
            <v>1</v>
          </cell>
        </row>
        <row r="47">
          <cell r="A47" t="str">
            <v>03980-008</v>
          </cell>
          <cell r="C47" t="str">
            <v>PLATE</v>
          </cell>
          <cell r="D47" t="str">
            <v>C S</v>
          </cell>
          <cell r="E47" t="str">
            <v>PL103x70x9t</v>
          </cell>
          <cell r="G47" t="str">
            <v>71200- 80</v>
          </cell>
          <cell r="H47">
            <v>4</v>
          </cell>
          <cell r="I47" t="str">
            <v>7150/5900</v>
          </cell>
        </row>
        <row r="48">
          <cell r="A48" t="str">
            <v>03980-008</v>
          </cell>
          <cell r="C48" t="str">
            <v>PLATE</v>
          </cell>
          <cell r="D48" t="str">
            <v>C S</v>
          </cell>
          <cell r="E48" t="str">
            <v>PL100x50x12t</v>
          </cell>
          <cell r="G48" t="str">
            <v>71200- 80</v>
          </cell>
          <cell r="H48">
            <v>2</v>
          </cell>
          <cell r="I48" t="str">
            <v>7150/5900</v>
          </cell>
        </row>
        <row r="49">
          <cell r="A49" t="str">
            <v>03980-008</v>
          </cell>
          <cell r="C49" t="str">
            <v>PLATE</v>
          </cell>
          <cell r="D49" t="str">
            <v>C S</v>
          </cell>
          <cell r="E49" t="str">
            <v>PL80x50x9t</v>
          </cell>
          <cell r="G49" t="str">
            <v>71200- 80</v>
          </cell>
          <cell r="H49">
            <v>2</v>
          </cell>
          <cell r="I49" t="str">
            <v>7150/5900</v>
          </cell>
        </row>
        <row r="51">
          <cell r="A51" t="str">
            <v>03980-009</v>
          </cell>
          <cell r="C51" t="str">
            <v>CT</v>
          </cell>
          <cell r="D51" t="str">
            <v>C S</v>
          </cell>
          <cell r="E51" t="str">
            <v>CT100x150x6x9</v>
          </cell>
          <cell r="F51">
            <v>300</v>
          </cell>
          <cell r="G51" t="str">
            <v>71200- 80</v>
          </cell>
          <cell r="H51">
            <v>1</v>
          </cell>
        </row>
        <row r="52">
          <cell r="A52" t="str">
            <v>03980-009</v>
          </cell>
          <cell r="C52" t="str">
            <v>PLATE</v>
          </cell>
          <cell r="D52" t="str">
            <v>C S</v>
          </cell>
          <cell r="E52" t="str">
            <v>PL103x70x9t</v>
          </cell>
          <cell r="G52" t="str">
            <v>71200- 80</v>
          </cell>
          <cell r="H52">
            <v>4</v>
          </cell>
          <cell r="I52" t="str">
            <v>7150/5900</v>
          </cell>
        </row>
        <row r="54">
          <cell r="A54" t="str">
            <v>03980-010</v>
          </cell>
          <cell r="C54" t="str">
            <v>CT</v>
          </cell>
          <cell r="D54" t="str">
            <v>C S</v>
          </cell>
          <cell r="E54" t="str">
            <v>CT100x150x6x9</v>
          </cell>
          <cell r="F54">
            <v>300</v>
          </cell>
          <cell r="G54" t="str">
            <v>71200- 80</v>
          </cell>
          <cell r="H54">
            <v>6</v>
          </cell>
        </row>
        <row r="55">
          <cell r="A55" t="str">
            <v>03980-010</v>
          </cell>
          <cell r="C55" t="str">
            <v>PLATE</v>
          </cell>
          <cell r="D55" t="str">
            <v>C S</v>
          </cell>
          <cell r="E55" t="str">
            <v>PL103x70x9t</v>
          </cell>
          <cell r="G55" t="str">
            <v>71200- 80</v>
          </cell>
          <cell r="H55">
            <v>24</v>
          </cell>
          <cell r="I55" t="str">
            <v>7150/5900</v>
          </cell>
        </row>
        <row r="57">
          <cell r="A57" t="str">
            <v>03980-011</v>
          </cell>
          <cell r="C57" t="str">
            <v>PIPE STD WT</v>
          </cell>
          <cell r="D57" t="str">
            <v>C S</v>
          </cell>
          <cell r="E57" t="str">
            <v>DN 50</v>
          </cell>
          <cell r="F57">
            <v>103</v>
          </cell>
          <cell r="G57" t="str">
            <v>71200- 80</v>
          </cell>
          <cell r="H57">
            <v>2</v>
          </cell>
        </row>
        <row r="58">
          <cell r="A58" t="str">
            <v>03980-011</v>
          </cell>
          <cell r="C58" t="str">
            <v>PLATE</v>
          </cell>
          <cell r="D58" t="str">
            <v>C S</v>
          </cell>
          <cell r="E58" t="str">
            <v>PL110x110x6t</v>
          </cell>
          <cell r="G58" t="str">
            <v>71200- 80</v>
          </cell>
          <cell r="H58">
            <v>2</v>
          </cell>
          <cell r="I58" t="str">
            <v>7150/5900</v>
          </cell>
        </row>
        <row r="60">
          <cell r="A60" t="str">
            <v>03980-012</v>
          </cell>
          <cell r="C60" t="str">
            <v>CT</v>
          </cell>
          <cell r="D60" t="str">
            <v>C S</v>
          </cell>
          <cell r="E60" t="str">
            <v>CT100x150x6x9</v>
          </cell>
          <cell r="F60">
            <v>300</v>
          </cell>
          <cell r="G60" t="str">
            <v>71200- 80</v>
          </cell>
          <cell r="H60">
            <v>2</v>
          </cell>
          <cell r="I60" t="str">
            <v>7150/5900</v>
          </cell>
        </row>
        <row r="61">
          <cell r="A61" t="str">
            <v>03980-012</v>
          </cell>
          <cell r="C61" t="str">
            <v>PLATE</v>
          </cell>
          <cell r="D61" t="str">
            <v>C S</v>
          </cell>
          <cell r="E61" t="str">
            <v>PL103x70x9t</v>
          </cell>
          <cell r="G61" t="str">
            <v>71200- 80</v>
          </cell>
          <cell r="H61">
            <v>8</v>
          </cell>
          <cell r="I61" t="str">
            <v>7150/5900</v>
          </cell>
        </row>
        <row r="62">
          <cell r="A62" t="str">
            <v>03980-012</v>
          </cell>
          <cell r="C62" t="str">
            <v>PLATE</v>
          </cell>
          <cell r="D62" t="str">
            <v>C S</v>
          </cell>
          <cell r="E62" t="str">
            <v>PL100x50x12t</v>
          </cell>
          <cell r="G62" t="str">
            <v>71200- 80</v>
          </cell>
          <cell r="H62">
            <v>4</v>
          </cell>
          <cell r="I62" t="str">
            <v>7150/5900</v>
          </cell>
        </row>
        <row r="63">
          <cell r="A63" t="str">
            <v>03980-012</v>
          </cell>
          <cell r="C63" t="str">
            <v>PLATE</v>
          </cell>
          <cell r="D63" t="str">
            <v>C S</v>
          </cell>
          <cell r="E63" t="str">
            <v>PL80x50x9t</v>
          </cell>
          <cell r="G63" t="str">
            <v>71200- 80</v>
          </cell>
          <cell r="H63">
            <v>4</v>
          </cell>
          <cell r="I63" t="str">
            <v>7150/5900</v>
          </cell>
        </row>
        <row r="65">
          <cell r="A65" t="str">
            <v>03980-013</v>
          </cell>
          <cell r="C65" t="str">
            <v>CHANNEL</v>
          </cell>
          <cell r="D65" t="str">
            <v>C S</v>
          </cell>
          <cell r="E65" t="str">
            <v>C100x50x5x7.5</v>
          </cell>
          <cell r="F65">
            <v>200</v>
          </cell>
          <cell r="G65" t="str">
            <v>71200- 80</v>
          </cell>
          <cell r="H65">
            <v>5</v>
          </cell>
        </row>
        <row r="66">
          <cell r="A66" t="str">
            <v>03980-013</v>
          </cell>
          <cell r="C66" t="str">
            <v>CT</v>
          </cell>
          <cell r="D66" t="str">
            <v>C S</v>
          </cell>
          <cell r="E66" t="str">
            <v>CT100x150x6x9</v>
          </cell>
          <cell r="F66">
            <v>300</v>
          </cell>
          <cell r="G66" t="str">
            <v>71200- 80</v>
          </cell>
          <cell r="H66">
            <v>5</v>
          </cell>
        </row>
        <row r="67">
          <cell r="A67" t="str">
            <v>03980-013</v>
          </cell>
          <cell r="C67" t="str">
            <v>PLATE</v>
          </cell>
          <cell r="D67" t="str">
            <v>C S</v>
          </cell>
          <cell r="E67" t="str">
            <v>PL103x70x9t</v>
          </cell>
          <cell r="G67" t="str">
            <v>71200- 80</v>
          </cell>
          <cell r="H67">
            <v>20</v>
          </cell>
          <cell r="I67" t="str">
            <v>7150/5900</v>
          </cell>
        </row>
        <row r="69">
          <cell r="A69" t="str">
            <v>03980-014</v>
          </cell>
          <cell r="C69" t="str">
            <v>H-BEAM</v>
          </cell>
          <cell r="D69" t="str">
            <v>C S</v>
          </cell>
          <cell r="E69" t="str">
            <v>H100x100x6x8</v>
          </cell>
          <cell r="F69">
            <v>970</v>
          </cell>
          <cell r="G69" t="str">
            <v>71200- 80</v>
          </cell>
          <cell r="H69">
            <v>2</v>
          </cell>
          <cell r="I69" t="str">
            <v>7150/5900</v>
          </cell>
        </row>
        <row r="70">
          <cell r="A70" t="str">
            <v>03980-014</v>
          </cell>
          <cell r="C70" t="str">
            <v>CT</v>
          </cell>
          <cell r="D70" t="str">
            <v>C S</v>
          </cell>
          <cell r="E70" t="str">
            <v>CT100x150x6x9</v>
          </cell>
          <cell r="F70">
            <v>300</v>
          </cell>
          <cell r="G70" t="str">
            <v>71200- 80</v>
          </cell>
          <cell r="H70">
            <v>2</v>
          </cell>
          <cell r="I70" t="str">
            <v>7150/5900</v>
          </cell>
        </row>
        <row r="71">
          <cell r="A71" t="str">
            <v>03980-014</v>
          </cell>
          <cell r="C71" t="str">
            <v>PLATE</v>
          </cell>
          <cell r="D71" t="str">
            <v>C S</v>
          </cell>
          <cell r="E71" t="str">
            <v>PL103x70x9t</v>
          </cell>
          <cell r="G71" t="str">
            <v>71200- 80</v>
          </cell>
          <cell r="H71">
            <v>8</v>
          </cell>
          <cell r="I71" t="str">
            <v>7150/5900</v>
          </cell>
        </row>
        <row r="73">
          <cell r="A73" t="str">
            <v>03980-015</v>
          </cell>
          <cell r="C73" t="str">
            <v>H-BEAM</v>
          </cell>
          <cell r="D73" t="str">
            <v>C S</v>
          </cell>
          <cell r="E73" t="str">
            <v>H100x100x6x8</v>
          </cell>
          <cell r="F73">
            <v>970</v>
          </cell>
          <cell r="G73" t="str">
            <v>71200- 80</v>
          </cell>
          <cell r="H73">
            <v>1</v>
          </cell>
          <cell r="I73" t="str">
            <v>7150/5900</v>
          </cell>
        </row>
        <row r="74">
          <cell r="A74" t="str">
            <v>03980-015</v>
          </cell>
          <cell r="C74" t="str">
            <v>CT</v>
          </cell>
          <cell r="D74" t="str">
            <v>C S</v>
          </cell>
          <cell r="E74" t="str">
            <v>CT100x150x6x9</v>
          </cell>
          <cell r="F74">
            <v>300</v>
          </cell>
          <cell r="G74" t="str">
            <v>71200- 80</v>
          </cell>
          <cell r="H74">
            <v>1</v>
          </cell>
          <cell r="I74" t="str">
            <v>7150/5900</v>
          </cell>
        </row>
        <row r="75">
          <cell r="A75" t="str">
            <v>03980-015</v>
          </cell>
          <cell r="C75" t="str">
            <v>PLATE</v>
          </cell>
          <cell r="D75" t="str">
            <v>C S</v>
          </cell>
          <cell r="E75" t="str">
            <v>PL103x70x9t</v>
          </cell>
          <cell r="G75" t="str">
            <v>71200- 80</v>
          </cell>
          <cell r="H75">
            <v>4</v>
          </cell>
          <cell r="I75" t="str">
            <v>7150/5900</v>
          </cell>
        </row>
        <row r="76">
          <cell r="A76" t="str">
            <v>03980-015</v>
          </cell>
          <cell r="C76" t="str">
            <v>PLATE</v>
          </cell>
          <cell r="D76" t="str">
            <v>C S</v>
          </cell>
          <cell r="E76" t="str">
            <v>PL100x50x12t</v>
          </cell>
          <cell r="G76" t="str">
            <v>71200- 80</v>
          </cell>
          <cell r="H76">
            <v>2</v>
          </cell>
          <cell r="I76" t="str">
            <v>7150/5900</v>
          </cell>
        </row>
        <row r="77">
          <cell r="A77" t="str">
            <v>03980-015</v>
          </cell>
          <cell r="C77" t="str">
            <v>PLATE</v>
          </cell>
          <cell r="D77" t="str">
            <v>C S</v>
          </cell>
          <cell r="E77" t="str">
            <v>PL80x50x9t</v>
          </cell>
          <cell r="G77" t="str">
            <v>71200- 80</v>
          </cell>
          <cell r="H77">
            <v>2</v>
          </cell>
          <cell r="I77" t="str">
            <v>7150/5900</v>
          </cell>
        </row>
        <row r="79">
          <cell r="A79" t="str">
            <v>03980-016</v>
          </cell>
          <cell r="C79" t="str">
            <v>CHANNEL</v>
          </cell>
          <cell r="D79" t="str">
            <v>C S</v>
          </cell>
          <cell r="E79" t="str">
            <v>C100x50x5x7.5</v>
          </cell>
          <cell r="F79">
            <v>300</v>
          </cell>
          <cell r="G79" t="str">
            <v>71200- 80</v>
          </cell>
          <cell r="H79">
            <v>1</v>
          </cell>
        </row>
        <row r="80">
          <cell r="A80" t="str">
            <v>03980-016</v>
          </cell>
          <cell r="C80" t="str">
            <v>CT</v>
          </cell>
          <cell r="D80" t="str">
            <v>C S</v>
          </cell>
          <cell r="E80" t="str">
            <v>CT100x150x6x9</v>
          </cell>
          <cell r="F80">
            <v>300</v>
          </cell>
          <cell r="G80" t="str">
            <v>71200- 80</v>
          </cell>
          <cell r="H80">
            <v>1</v>
          </cell>
        </row>
        <row r="81">
          <cell r="A81" t="str">
            <v>03980-016</v>
          </cell>
          <cell r="C81" t="str">
            <v>PLATE</v>
          </cell>
          <cell r="D81" t="str">
            <v>C S</v>
          </cell>
          <cell r="E81" t="str">
            <v>PL103x70x9t</v>
          </cell>
          <cell r="G81" t="str">
            <v>71200- 80</v>
          </cell>
          <cell r="H81">
            <v>4</v>
          </cell>
          <cell r="I81" t="str">
            <v>7150/5900</v>
          </cell>
        </row>
        <row r="82">
          <cell r="A82" t="str">
            <v>03980-016</v>
          </cell>
          <cell r="C82" t="str">
            <v>PLATE</v>
          </cell>
          <cell r="D82" t="str">
            <v>C S</v>
          </cell>
          <cell r="E82" t="str">
            <v>PL100x50x12t</v>
          </cell>
          <cell r="G82" t="str">
            <v>71200- 80</v>
          </cell>
          <cell r="H82">
            <v>2</v>
          </cell>
          <cell r="I82" t="str">
            <v>7150/5900</v>
          </cell>
        </row>
        <row r="83">
          <cell r="A83" t="str">
            <v>03980-016</v>
          </cell>
          <cell r="C83" t="str">
            <v>PLATE</v>
          </cell>
          <cell r="D83" t="str">
            <v>C S</v>
          </cell>
          <cell r="E83" t="str">
            <v>PL80x50x9t</v>
          </cell>
          <cell r="G83" t="str">
            <v>71200- 80</v>
          </cell>
          <cell r="H83">
            <v>2</v>
          </cell>
          <cell r="I83" t="str">
            <v>7150/5900</v>
          </cell>
        </row>
        <row r="85">
          <cell r="A85" t="str">
            <v>03980-017</v>
          </cell>
          <cell r="C85" t="str">
            <v>H-BEAM</v>
          </cell>
          <cell r="D85" t="str">
            <v>C S</v>
          </cell>
          <cell r="E85" t="str">
            <v>H100x100x6x8</v>
          </cell>
          <cell r="F85">
            <v>290</v>
          </cell>
          <cell r="G85" t="str">
            <v>71200- 80</v>
          </cell>
          <cell r="H85">
            <v>4</v>
          </cell>
          <cell r="I85" t="str">
            <v>7150/5900</v>
          </cell>
        </row>
        <row r="86">
          <cell r="A86" t="str">
            <v>03980-017</v>
          </cell>
          <cell r="C86" t="str">
            <v>CT</v>
          </cell>
          <cell r="D86" t="str">
            <v>C S</v>
          </cell>
          <cell r="E86" t="str">
            <v>CT100x150x6x9</v>
          </cell>
          <cell r="F86">
            <v>300</v>
          </cell>
          <cell r="G86" t="str">
            <v>71200- 80</v>
          </cell>
          <cell r="H86">
            <v>4</v>
          </cell>
          <cell r="I86" t="str">
            <v>7150/5900</v>
          </cell>
        </row>
        <row r="87">
          <cell r="A87" t="str">
            <v>03980-017</v>
          </cell>
          <cell r="C87" t="str">
            <v>PLATE</v>
          </cell>
          <cell r="D87" t="str">
            <v>C S</v>
          </cell>
          <cell r="E87" t="str">
            <v>PL103x70x9t</v>
          </cell>
          <cell r="G87" t="str">
            <v>71200- 80</v>
          </cell>
          <cell r="H87">
            <v>16</v>
          </cell>
          <cell r="I87" t="str">
            <v>7150/5900</v>
          </cell>
        </row>
        <row r="88">
          <cell r="A88" t="str">
            <v>03980-017</v>
          </cell>
          <cell r="C88" t="str">
            <v>PLATE</v>
          </cell>
          <cell r="D88" t="str">
            <v>C S</v>
          </cell>
          <cell r="E88" t="str">
            <v>PL250x250x12t</v>
          </cell>
          <cell r="G88" t="str">
            <v>71200- 80</v>
          </cell>
          <cell r="H88">
            <v>4</v>
          </cell>
          <cell r="I88" t="str">
            <v>7150/5900</v>
          </cell>
        </row>
        <row r="89">
          <cell r="A89" t="str">
            <v>03980-017</v>
          </cell>
          <cell r="C89" t="str">
            <v>ANCHOR BOLT</v>
          </cell>
          <cell r="D89" t="str">
            <v>C S</v>
          </cell>
          <cell r="E89" t="str">
            <v>M12x118L</v>
          </cell>
          <cell r="G89" t="str">
            <v>71200- 80</v>
          </cell>
          <cell r="H89">
            <v>16</v>
          </cell>
          <cell r="I89" t="str">
            <v>7150/5900</v>
          </cell>
        </row>
        <row r="91">
          <cell r="A91" t="str">
            <v>03980-018</v>
          </cell>
          <cell r="C91" t="str">
            <v>H-BEAM</v>
          </cell>
          <cell r="D91" t="str">
            <v>C S</v>
          </cell>
          <cell r="E91" t="str">
            <v>H100x100x6x8</v>
          </cell>
          <cell r="F91">
            <v>270</v>
          </cell>
          <cell r="G91" t="str">
            <v>71200- 80</v>
          </cell>
          <cell r="H91">
            <v>2</v>
          </cell>
          <cell r="I91" t="str">
            <v>7150/5900</v>
          </cell>
        </row>
        <row r="92">
          <cell r="A92" t="str">
            <v>03980-018</v>
          </cell>
          <cell r="C92" t="str">
            <v>PIPE STD WT</v>
          </cell>
          <cell r="D92" t="str">
            <v>C S</v>
          </cell>
          <cell r="E92" t="str">
            <v>DN 50</v>
          </cell>
          <cell r="F92">
            <v>103</v>
          </cell>
          <cell r="G92" t="str">
            <v>71200- 80</v>
          </cell>
          <cell r="H92">
            <v>2</v>
          </cell>
          <cell r="I92" t="str">
            <v>7150/5900</v>
          </cell>
        </row>
        <row r="93">
          <cell r="A93" t="str">
            <v>03980-018</v>
          </cell>
          <cell r="C93" t="str">
            <v>PLATE</v>
          </cell>
          <cell r="D93" t="str">
            <v>C S</v>
          </cell>
          <cell r="E93" t="str">
            <v>PL110x110x6t</v>
          </cell>
          <cell r="G93" t="str">
            <v>71200- 80</v>
          </cell>
          <cell r="H93">
            <v>2</v>
          </cell>
          <cell r="I93" t="str">
            <v>7150/5900</v>
          </cell>
        </row>
        <row r="94">
          <cell r="A94" t="str">
            <v>03980-018</v>
          </cell>
          <cell r="C94" t="str">
            <v>PLATE</v>
          </cell>
          <cell r="D94" t="str">
            <v>C S</v>
          </cell>
          <cell r="E94" t="str">
            <v>PL250x250x12t</v>
          </cell>
          <cell r="G94" t="str">
            <v>71200- 80</v>
          </cell>
          <cell r="H94">
            <v>2</v>
          </cell>
          <cell r="I94" t="str">
            <v>7150/5900</v>
          </cell>
        </row>
        <row r="95">
          <cell r="A95" t="str">
            <v>03980-018</v>
          </cell>
          <cell r="C95" t="str">
            <v>ANCHOR BOLT</v>
          </cell>
          <cell r="D95" t="str">
            <v>C S</v>
          </cell>
          <cell r="E95" t="str">
            <v>M12x118L</v>
          </cell>
          <cell r="G95" t="str">
            <v>71200- 80</v>
          </cell>
          <cell r="H95">
            <v>8</v>
          </cell>
          <cell r="I95" t="str">
            <v>7150/5900</v>
          </cell>
        </row>
        <row r="97">
          <cell r="A97" t="str">
            <v>03980-019</v>
          </cell>
          <cell r="C97" t="str">
            <v>H-BEAM</v>
          </cell>
          <cell r="D97" t="str">
            <v>C S</v>
          </cell>
          <cell r="E97" t="str">
            <v>H100x100x6x8</v>
          </cell>
          <cell r="F97">
            <v>340</v>
          </cell>
          <cell r="G97" t="str">
            <v>71200- 80</v>
          </cell>
          <cell r="H97">
            <v>2</v>
          </cell>
          <cell r="I97" t="str">
            <v>7150/5900</v>
          </cell>
        </row>
        <row r="98">
          <cell r="A98" t="str">
            <v>03980-019</v>
          </cell>
          <cell r="C98" t="str">
            <v>CT</v>
          </cell>
          <cell r="D98" t="str">
            <v>C S</v>
          </cell>
          <cell r="E98" t="str">
            <v>CT100x150x6x9</v>
          </cell>
          <cell r="F98">
            <v>300</v>
          </cell>
          <cell r="G98" t="str">
            <v>71200- 80</v>
          </cell>
          <cell r="H98">
            <v>2</v>
          </cell>
          <cell r="I98" t="str">
            <v>7150/5900</v>
          </cell>
        </row>
        <row r="99">
          <cell r="A99" t="str">
            <v>03980-019</v>
          </cell>
          <cell r="C99" t="str">
            <v>PLATE</v>
          </cell>
          <cell r="D99" t="str">
            <v>C S</v>
          </cell>
          <cell r="E99" t="str">
            <v>PL103x70x9t</v>
          </cell>
          <cell r="G99" t="str">
            <v>71200- 80</v>
          </cell>
          <cell r="H99">
            <v>8</v>
          </cell>
          <cell r="I99" t="str">
            <v>7150/5900</v>
          </cell>
        </row>
        <row r="100">
          <cell r="A100" t="str">
            <v>03980-019</v>
          </cell>
          <cell r="C100" t="str">
            <v>PLATE</v>
          </cell>
          <cell r="D100" t="str">
            <v>C S</v>
          </cell>
          <cell r="E100" t="str">
            <v>PL250x250x12t</v>
          </cell>
          <cell r="G100" t="str">
            <v>71200- 80</v>
          </cell>
          <cell r="H100">
            <v>2</v>
          </cell>
          <cell r="I100" t="str">
            <v>7150/5900</v>
          </cell>
        </row>
        <row r="101">
          <cell r="A101" t="str">
            <v>03980-019</v>
          </cell>
          <cell r="C101" t="str">
            <v>ANCHOR BOLT</v>
          </cell>
          <cell r="D101" t="str">
            <v>C S</v>
          </cell>
          <cell r="E101" t="str">
            <v>M12x118L</v>
          </cell>
          <cell r="G101" t="str">
            <v>71200- 80</v>
          </cell>
          <cell r="H101">
            <v>8</v>
          </cell>
          <cell r="I101" t="str">
            <v>7150/5900</v>
          </cell>
        </row>
        <row r="102">
          <cell r="A102" t="str">
            <v>03980-019</v>
          </cell>
          <cell r="C102" t="str">
            <v>PLATE</v>
          </cell>
          <cell r="D102" t="str">
            <v>C S</v>
          </cell>
          <cell r="E102" t="str">
            <v>PL100x50x12t</v>
          </cell>
          <cell r="G102" t="str">
            <v>71200- 80</v>
          </cell>
          <cell r="H102">
            <v>4</v>
          </cell>
          <cell r="I102" t="str">
            <v>7150/5900</v>
          </cell>
        </row>
        <row r="103">
          <cell r="A103" t="str">
            <v>03980-019</v>
          </cell>
          <cell r="C103" t="str">
            <v>PLATE</v>
          </cell>
          <cell r="D103" t="str">
            <v>C S</v>
          </cell>
          <cell r="E103" t="str">
            <v>PL80x50x9t</v>
          </cell>
          <cell r="G103" t="str">
            <v>71200- 80</v>
          </cell>
          <cell r="H103">
            <v>4</v>
          </cell>
          <cell r="I103" t="str">
            <v>7150/5900</v>
          </cell>
        </row>
        <row r="105">
          <cell r="A105" t="str">
            <v>03980-020</v>
          </cell>
          <cell r="C105" t="str">
            <v>H-BEAM</v>
          </cell>
          <cell r="D105" t="str">
            <v>C S</v>
          </cell>
          <cell r="E105" t="str">
            <v>H100x100x6x8</v>
          </cell>
          <cell r="F105">
            <v>600</v>
          </cell>
          <cell r="G105" t="str">
            <v>71200- 80</v>
          </cell>
          <cell r="H105">
            <v>1</v>
          </cell>
          <cell r="I105" t="str">
            <v>7150/5900</v>
          </cell>
        </row>
        <row r="106">
          <cell r="A106" t="str">
            <v>03980-020</v>
          </cell>
          <cell r="C106" t="str">
            <v>CT</v>
          </cell>
          <cell r="D106" t="str">
            <v>C S</v>
          </cell>
          <cell r="E106" t="str">
            <v>CT100x150x6x9</v>
          </cell>
          <cell r="F106">
            <v>300</v>
          </cell>
          <cell r="G106" t="str">
            <v>71200- 80</v>
          </cell>
          <cell r="H106">
            <v>1</v>
          </cell>
          <cell r="I106" t="str">
            <v>7150/5900</v>
          </cell>
        </row>
        <row r="107">
          <cell r="A107" t="str">
            <v>03980-020</v>
          </cell>
          <cell r="C107" t="str">
            <v>PLATE</v>
          </cell>
          <cell r="D107" t="str">
            <v>C S</v>
          </cell>
          <cell r="E107" t="str">
            <v>PL103x70x9t</v>
          </cell>
          <cell r="G107" t="str">
            <v>71200- 80</v>
          </cell>
          <cell r="H107">
            <v>4</v>
          </cell>
          <cell r="I107" t="str">
            <v>7150/5900</v>
          </cell>
        </row>
        <row r="108">
          <cell r="A108" t="str">
            <v>03980-020</v>
          </cell>
          <cell r="C108" t="str">
            <v>PLATE</v>
          </cell>
          <cell r="D108" t="str">
            <v>C S</v>
          </cell>
          <cell r="E108" t="str">
            <v>PL100x50x12t</v>
          </cell>
          <cell r="G108" t="str">
            <v>71200- 80</v>
          </cell>
          <cell r="H108">
            <v>2</v>
          </cell>
          <cell r="I108" t="str">
            <v>7150/5900</v>
          </cell>
        </row>
        <row r="109">
          <cell r="A109" t="str">
            <v>03980-020</v>
          </cell>
          <cell r="C109" t="str">
            <v>PLATE</v>
          </cell>
          <cell r="D109" t="str">
            <v>C S</v>
          </cell>
          <cell r="E109" t="str">
            <v>PL80x50x9t</v>
          </cell>
          <cell r="G109" t="str">
            <v>71200- 80</v>
          </cell>
          <cell r="H109">
            <v>2</v>
          </cell>
          <cell r="I109" t="str">
            <v>7150/5900</v>
          </cell>
        </row>
        <row r="111">
          <cell r="A111" t="str">
            <v>03980-021</v>
          </cell>
          <cell r="C111" t="str">
            <v>ANGLE</v>
          </cell>
          <cell r="D111" t="str">
            <v>C S</v>
          </cell>
          <cell r="E111" t="str">
            <v>L100x100x10</v>
          </cell>
          <cell r="F111">
            <v>270</v>
          </cell>
          <cell r="G111" t="str">
            <v>71200- 80</v>
          </cell>
          <cell r="H111">
            <v>1</v>
          </cell>
          <cell r="I111" t="str">
            <v>7150/5900</v>
          </cell>
        </row>
        <row r="112">
          <cell r="A112" t="str">
            <v>03980-021</v>
          </cell>
          <cell r="C112" t="str">
            <v>ANGLE</v>
          </cell>
          <cell r="D112" t="str">
            <v>C S</v>
          </cell>
          <cell r="E112" t="str">
            <v>L100x100x10</v>
          </cell>
          <cell r="F112">
            <v>200</v>
          </cell>
          <cell r="G112" t="str">
            <v>71200- 80</v>
          </cell>
          <cell r="H112">
            <v>1</v>
          </cell>
          <cell r="I112" t="str">
            <v>7150/5900</v>
          </cell>
        </row>
        <row r="113">
          <cell r="A113" t="str">
            <v>03980-021</v>
          </cell>
          <cell r="C113" t="str">
            <v>CT</v>
          </cell>
          <cell r="D113" t="str">
            <v>C S</v>
          </cell>
          <cell r="E113" t="str">
            <v>CT100x150x6x9</v>
          </cell>
          <cell r="F113">
            <v>300</v>
          </cell>
          <cell r="G113" t="str">
            <v>71200- 80</v>
          </cell>
          <cell r="H113">
            <v>1</v>
          </cell>
          <cell r="I113" t="str">
            <v>7150/5900</v>
          </cell>
        </row>
        <row r="114">
          <cell r="A114" t="str">
            <v>03980-021</v>
          </cell>
          <cell r="C114" t="str">
            <v>PLATE</v>
          </cell>
          <cell r="D114" t="str">
            <v>C S</v>
          </cell>
          <cell r="E114" t="str">
            <v>PL103x70x9t</v>
          </cell>
          <cell r="G114" t="str">
            <v>71200- 80</v>
          </cell>
          <cell r="H114">
            <v>4</v>
          </cell>
          <cell r="I114" t="str">
            <v>7150/5900</v>
          </cell>
        </row>
        <row r="115">
          <cell r="A115" t="str">
            <v>03980-021</v>
          </cell>
          <cell r="C115" t="str">
            <v>PLATE</v>
          </cell>
          <cell r="D115" t="str">
            <v>C S</v>
          </cell>
          <cell r="E115" t="str">
            <v>PL250x250x12t</v>
          </cell>
          <cell r="G115" t="str">
            <v>71200- 80</v>
          </cell>
          <cell r="H115">
            <v>1</v>
          </cell>
          <cell r="I115" t="str">
            <v>7150/5900</v>
          </cell>
        </row>
        <row r="116">
          <cell r="A116" t="str">
            <v>03980-021</v>
          </cell>
          <cell r="C116" t="str">
            <v>ANCHOR BOLT</v>
          </cell>
          <cell r="D116" t="str">
            <v>C S</v>
          </cell>
          <cell r="E116" t="str">
            <v>M12x118L</v>
          </cell>
          <cell r="G116" t="str">
            <v>71200- 80</v>
          </cell>
          <cell r="H116">
            <v>4</v>
          </cell>
          <cell r="I116" t="str">
            <v>7150/5900</v>
          </cell>
        </row>
        <row r="118">
          <cell r="A118" t="str">
            <v>03980-022</v>
          </cell>
          <cell r="C118" t="str">
            <v>CT</v>
          </cell>
          <cell r="D118" t="str">
            <v>C S</v>
          </cell>
          <cell r="E118" t="str">
            <v>CT100x150x6x9</v>
          </cell>
          <cell r="F118">
            <v>300</v>
          </cell>
          <cell r="G118" t="str">
            <v>71200- 80</v>
          </cell>
          <cell r="H118">
            <v>1</v>
          </cell>
          <cell r="I118" t="str">
            <v>7150/5900</v>
          </cell>
        </row>
        <row r="119">
          <cell r="A119" t="str">
            <v>03980-022</v>
          </cell>
          <cell r="C119" t="str">
            <v>PLATE</v>
          </cell>
          <cell r="D119" t="str">
            <v>C S</v>
          </cell>
          <cell r="E119" t="str">
            <v>PL103x70x9t</v>
          </cell>
          <cell r="G119" t="str">
            <v>71200- 80</v>
          </cell>
          <cell r="H119">
            <v>4</v>
          </cell>
          <cell r="I119" t="str">
            <v>7150/5900</v>
          </cell>
        </row>
        <row r="120">
          <cell r="A120" t="str">
            <v>03980-022</v>
          </cell>
          <cell r="C120" t="str">
            <v>PLATE</v>
          </cell>
          <cell r="D120" t="str">
            <v>C S</v>
          </cell>
          <cell r="E120" t="str">
            <v>PL100x50x12t</v>
          </cell>
          <cell r="G120" t="str">
            <v>71200- 80</v>
          </cell>
          <cell r="H120">
            <v>2</v>
          </cell>
          <cell r="I120" t="str">
            <v>7150/5900</v>
          </cell>
        </row>
        <row r="121">
          <cell r="A121" t="str">
            <v>03980-022</v>
          </cell>
          <cell r="C121" t="str">
            <v>PLATE</v>
          </cell>
          <cell r="D121" t="str">
            <v>C S</v>
          </cell>
          <cell r="E121" t="str">
            <v>PL80x50x9t</v>
          </cell>
          <cell r="G121" t="str">
            <v>71200- 80</v>
          </cell>
          <cell r="H121">
            <v>2</v>
          </cell>
          <cell r="I121" t="str">
            <v>7150/5900</v>
          </cell>
        </row>
        <row r="123">
          <cell r="A123" t="str">
            <v>03980-023</v>
          </cell>
          <cell r="C123" t="str">
            <v>CT</v>
          </cell>
          <cell r="D123" t="str">
            <v>C S</v>
          </cell>
          <cell r="E123" t="str">
            <v>CT100x150x6x9</v>
          </cell>
          <cell r="F123">
            <v>300</v>
          </cell>
          <cell r="G123" t="str">
            <v>71200- 80</v>
          </cell>
          <cell r="H123">
            <v>1</v>
          </cell>
          <cell r="I123" t="str">
            <v>7150/5900</v>
          </cell>
        </row>
        <row r="124">
          <cell r="A124" t="str">
            <v>03980-023</v>
          </cell>
          <cell r="C124" t="str">
            <v>PLATE</v>
          </cell>
          <cell r="D124" t="str">
            <v>C S</v>
          </cell>
          <cell r="E124" t="str">
            <v>PL103x70x9t</v>
          </cell>
          <cell r="G124" t="str">
            <v>71200- 80</v>
          </cell>
          <cell r="H124">
            <v>4</v>
          </cell>
          <cell r="I124" t="str">
            <v>7150/5900</v>
          </cell>
        </row>
        <row r="126">
          <cell r="A126" t="str">
            <v>03980-024</v>
          </cell>
          <cell r="C126" t="str">
            <v>H-BEAM</v>
          </cell>
          <cell r="D126" t="str">
            <v>C S</v>
          </cell>
          <cell r="E126" t="str">
            <v>H100x100x6x8</v>
          </cell>
          <cell r="F126">
            <v>1385</v>
          </cell>
          <cell r="G126" t="str">
            <v>16200-150</v>
          </cell>
          <cell r="H126">
            <v>1</v>
          </cell>
          <cell r="I126" t="str">
            <v>7150/5900</v>
          </cell>
        </row>
        <row r="127">
          <cell r="A127" t="str">
            <v>03980-024</v>
          </cell>
          <cell r="C127" t="str">
            <v>CLIP ANGLE</v>
          </cell>
          <cell r="D127" t="str">
            <v>C S</v>
          </cell>
          <cell r="E127" t="str">
            <v>L75x75x9</v>
          </cell>
          <cell r="F127">
            <v>50</v>
          </cell>
          <cell r="G127" t="str">
            <v>16200-150</v>
          </cell>
          <cell r="H127">
            <v>2</v>
          </cell>
          <cell r="I127" t="str">
            <v>7150/5900</v>
          </cell>
        </row>
        <row r="128">
          <cell r="A128" t="str">
            <v>03980-024</v>
          </cell>
          <cell r="C128" t="str">
            <v>U-BOLT</v>
          </cell>
          <cell r="D128" t="str">
            <v>C S</v>
          </cell>
          <cell r="E128" t="str">
            <v>DN150</v>
          </cell>
          <cell r="G128" t="str">
            <v>16200-150</v>
          </cell>
          <cell r="H128">
            <v>1</v>
          </cell>
          <cell r="I128" t="str">
            <v>7150/5900</v>
          </cell>
        </row>
        <row r="129">
          <cell r="A129" t="str">
            <v>03980-024</v>
          </cell>
          <cell r="C129" t="str">
            <v>U-BOLT</v>
          </cell>
          <cell r="D129" t="str">
            <v>C S</v>
          </cell>
          <cell r="E129" t="str">
            <v>DN 80</v>
          </cell>
          <cell r="G129" t="str">
            <v>16200- 80</v>
          </cell>
          <cell r="H129">
            <v>1</v>
          </cell>
          <cell r="I129" t="str">
            <v>7150/5900</v>
          </cell>
        </row>
        <row r="131">
          <cell r="A131" t="str">
            <v>03980-025</v>
          </cell>
          <cell r="C131" t="str">
            <v>H-BEAM</v>
          </cell>
          <cell r="D131" t="str">
            <v>C S</v>
          </cell>
          <cell r="E131" t="str">
            <v>H100x100x6x8</v>
          </cell>
          <cell r="F131">
            <v>1385</v>
          </cell>
          <cell r="G131" t="str">
            <v>16320-100</v>
          </cell>
          <cell r="H131">
            <v>1</v>
          </cell>
          <cell r="I131" t="str">
            <v>7150/5900</v>
          </cell>
        </row>
        <row r="132">
          <cell r="A132" t="str">
            <v>03980-025</v>
          </cell>
          <cell r="C132" t="str">
            <v>CLIP ANGLE</v>
          </cell>
          <cell r="D132" t="str">
            <v>C S</v>
          </cell>
          <cell r="E132" t="str">
            <v>L75x75x9</v>
          </cell>
          <cell r="F132">
            <v>50</v>
          </cell>
          <cell r="G132" t="str">
            <v>16320-100</v>
          </cell>
          <cell r="H132">
            <v>2</v>
          </cell>
          <cell r="I132" t="str">
            <v>7150/5900</v>
          </cell>
        </row>
        <row r="134">
          <cell r="A134" t="str">
            <v>03980-026</v>
          </cell>
          <cell r="C134" t="str">
            <v>H-BEAM</v>
          </cell>
          <cell r="D134" t="str">
            <v>C S</v>
          </cell>
          <cell r="E134" t="str">
            <v>H100x100x6x8</v>
          </cell>
          <cell r="F134">
            <v>1385</v>
          </cell>
          <cell r="G134" t="str">
            <v>16200-100</v>
          </cell>
          <cell r="H134">
            <v>1</v>
          </cell>
          <cell r="I134" t="str">
            <v>7150/5900</v>
          </cell>
        </row>
        <row r="135">
          <cell r="A135" t="str">
            <v>03980-026</v>
          </cell>
          <cell r="C135" t="str">
            <v>CLIP ANGLE</v>
          </cell>
          <cell r="D135" t="str">
            <v>C S</v>
          </cell>
          <cell r="E135" t="str">
            <v>L75x75x9</v>
          </cell>
          <cell r="F135">
            <v>50</v>
          </cell>
          <cell r="G135" t="str">
            <v>16200-100</v>
          </cell>
          <cell r="H135">
            <v>2</v>
          </cell>
          <cell r="I135" t="str">
            <v>7150/5900</v>
          </cell>
        </row>
        <row r="136">
          <cell r="A136" t="str">
            <v>03980-026</v>
          </cell>
          <cell r="C136" t="str">
            <v>U-BOLT</v>
          </cell>
          <cell r="D136" t="str">
            <v>C S</v>
          </cell>
          <cell r="E136" t="str">
            <v>DN100</v>
          </cell>
          <cell r="G136" t="str">
            <v>16200-100</v>
          </cell>
          <cell r="H136">
            <v>1</v>
          </cell>
          <cell r="I136" t="str">
            <v>7150/5900</v>
          </cell>
        </row>
        <row r="137">
          <cell r="A137" t="str">
            <v>03980-026</v>
          </cell>
          <cell r="C137" t="str">
            <v>U-BOLT</v>
          </cell>
          <cell r="D137" t="str">
            <v>C S</v>
          </cell>
          <cell r="E137" t="str">
            <v>DN100</v>
          </cell>
          <cell r="G137" t="str">
            <v>16320-100</v>
          </cell>
          <cell r="H137">
            <v>1</v>
          </cell>
          <cell r="I137" t="str">
            <v>7150/5900</v>
          </cell>
        </row>
        <row r="139">
          <cell r="A139" t="str">
            <v>03980-027</v>
          </cell>
          <cell r="C139" t="str">
            <v>H-BEAM</v>
          </cell>
          <cell r="D139" t="str">
            <v>C S</v>
          </cell>
          <cell r="E139" t="str">
            <v>H100x100x6x8</v>
          </cell>
          <cell r="F139">
            <v>1385</v>
          </cell>
          <cell r="G139" t="str">
            <v>16100-100</v>
          </cell>
          <cell r="H139">
            <v>1</v>
          </cell>
          <cell r="I139" t="str">
            <v>7150/5900</v>
          </cell>
        </row>
        <row r="140">
          <cell r="A140" t="str">
            <v>03980-027</v>
          </cell>
          <cell r="C140" t="str">
            <v>CLIP ANGLE</v>
          </cell>
          <cell r="D140" t="str">
            <v>C S</v>
          </cell>
          <cell r="E140" t="str">
            <v>L75x75x9</v>
          </cell>
          <cell r="F140">
            <v>50</v>
          </cell>
          <cell r="G140" t="str">
            <v>16100-100</v>
          </cell>
          <cell r="H140">
            <v>2</v>
          </cell>
          <cell r="I140" t="str">
            <v>7150/5900</v>
          </cell>
        </row>
        <row r="142">
          <cell r="A142" t="str">
            <v>03980-028</v>
          </cell>
          <cell r="C142" t="str">
            <v>H-BEAM</v>
          </cell>
          <cell r="D142" t="str">
            <v>C S</v>
          </cell>
          <cell r="E142" t="str">
            <v>H100x100x6x8</v>
          </cell>
          <cell r="F142">
            <v>1385</v>
          </cell>
          <cell r="G142" t="str">
            <v>16100-150</v>
          </cell>
          <cell r="H142">
            <v>1</v>
          </cell>
          <cell r="I142" t="str">
            <v>7150/5900</v>
          </cell>
        </row>
        <row r="143">
          <cell r="A143" t="str">
            <v>03980-028</v>
          </cell>
          <cell r="C143" t="str">
            <v>CLIP ANGLE</v>
          </cell>
          <cell r="D143" t="str">
            <v>C S</v>
          </cell>
          <cell r="E143" t="str">
            <v>L75x75x9</v>
          </cell>
          <cell r="F143">
            <v>50</v>
          </cell>
          <cell r="G143" t="str">
            <v>16100-150</v>
          </cell>
          <cell r="H143">
            <v>2</v>
          </cell>
          <cell r="I143" t="str">
            <v>7150/5900</v>
          </cell>
        </row>
        <row r="144">
          <cell r="A144" t="str">
            <v>03980-028</v>
          </cell>
          <cell r="C144" t="str">
            <v>U-BOLT</v>
          </cell>
          <cell r="D144" t="str">
            <v>C S</v>
          </cell>
          <cell r="E144" t="str">
            <v>DN150</v>
          </cell>
          <cell r="G144" t="str">
            <v>16100-150</v>
          </cell>
          <cell r="H144">
            <v>1</v>
          </cell>
          <cell r="I144" t="str">
            <v>7150/5900</v>
          </cell>
        </row>
        <row r="145">
          <cell r="A145" t="str">
            <v>03980-028</v>
          </cell>
          <cell r="C145" t="str">
            <v>U-BOLT</v>
          </cell>
          <cell r="D145" t="str">
            <v>C S</v>
          </cell>
          <cell r="E145" t="str">
            <v>DN100</v>
          </cell>
          <cell r="G145" t="str">
            <v>16200-100</v>
          </cell>
          <cell r="H145">
            <v>1</v>
          </cell>
          <cell r="I145" t="str">
            <v>7150/5900</v>
          </cell>
        </row>
        <row r="146">
          <cell r="A146" t="str">
            <v>03980-028</v>
          </cell>
          <cell r="C146" t="str">
            <v>U-BOLT</v>
          </cell>
          <cell r="D146" t="str">
            <v>C S</v>
          </cell>
          <cell r="E146" t="str">
            <v>DN100</v>
          </cell>
          <cell r="G146" t="str">
            <v>16100-100</v>
          </cell>
          <cell r="H146">
            <v>1</v>
          </cell>
          <cell r="I146" t="str">
            <v>7150/5900</v>
          </cell>
        </row>
        <row r="148">
          <cell r="A148" t="str">
            <v>03980-029</v>
          </cell>
          <cell r="C148" t="str">
            <v>H-BEAM</v>
          </cell>
          <cell r="D148" t="str">
            <v>C S</v>
          </cell>
          <cell r="E148" t="str">
            <v>H100x100x6x8</v>
          </cell>
          <cell r="F148">
            <v>1780</v>
          </cell>
          <cell r="G148" t="str">
            <v>16100-150</v>
          </cell>
          <cell r="H148">
            <v>1</v>
          </cell>
          <cell r="I148" t="str">
            <v>7150/5900</v>
          </cell>
        </row>
        <row r="149">
          <cell r="A149" t="str">
            <v>03980-029</v>
          </cell>
          <cell r="C149" t="str">
            <v>CLIP ANGLE</v>
          </cell>
          <cell r="D149" t="str">
            <v>C S</v>
          </cell>
          <cell r="E149" t="str">
            <v>L75x75x9</v>
          </cell>
          <cell r="F149">
            <v>50</v>
          </cell>
          <cell r="G149" t="str">
            <v>16100-150</v>
          </cell>
          <cell r="H149">
            <v>2</v>
          </cell>
          <cell r="I149" t="str">
            <v>7150/5900</v>
          </cell>
        </row>
        <row r="151">
          <cell r="A151" t="str">
            <v>03980-030</v>
          </cell>
          <cell r="C151" t="str">
            <v>H-BEAM</v>
          </cell>
          <cell r="D151" t="str">
            <v>C S</v>
          </cell>
          <cell r="E151" t="str">
            <v>H100x100x6x8</v>
          </cell>
          <cell r="F151">
            <v>1385</v>
          </cell>
          <cell r="G151" t="str">
            <v>16200-100</v>
          </cell>
          <cell r="H151">
            <v>1</v>
          </cell>
          <cell r="I151" t="str">
            <v>7150/5900</v>
          </cell>
        </row>
        <row r="152">
          <cell r="A152" t="str">
            <v>03980-030</v>
          </cell>
          <cell r="C152" t="str">
            <v>CLIP ANGLE</v>
          </cell>
          <cell r="D152" t="str">
            <v>C S</v>
          </cell>
          <cell r="E152" t="str">
            <v>L75x75x9</v>
          </cell>
          <cell r="F152">
            <v>50</v>
          </cell>
          <cell r="G152" t="str">
            <v>16200-100</v>
          </cell>
          <cell r="H152">
            <v>2</v>
          </cell>
          <cell r="I152" t="str">
            <v>7150/5900</v>
          </cell>
        </row>
        <row r="154">
          <cell r="A154" t="str">
            <v>03980-031</v>
          </cell>
          <cell r="C154" t="str">
            <v>H-BEAM</v>
          </cell>
          <cell r="D154" t="str">
            <v>C S</v>
          </cell>
          <cell r="E154" t="str">
            <v>H100x100x6x8</v>
          </cell>
          <cell r="F154">
            <v>700</v>
          </cell>
          <cell r="G154" t="str">
            <v>16200-100</v>
          </cell>
          <cell r="H154">
            <v>1</v>
          </cell>
          <cell r="I154" t="str">
            <v>7150/5900</v>
          </cell>
        </row>
        <row r="156">
          <cell r="A156" t="str">
            <v>03980-032</v>
          </cell>
          <cell r="C156" t="str">
            <v>U-BOLT</v>
          </cell>
          <cell r="D156" t="str">
            <v>C S</v>
          </cell>
          <cell r="E156" t="str">
            <v>DN100</v>
          </cell>
          <cell r="G156" t="str">
            <v>16320-100</v>
          </cell>
          <cell r="H156">
            <v>1</v>
          </cell>
          <cell r="I156" t="str">
            <v>7150/5900</v>
          </cell>
        </row>
        <row r="157">
          <cell r="A157" t="str">
            <v>03980-032</v>
          </cell>
          <cell r="C157" t="str">
            <v>ANGLE</v>
          </cell>
          <cell r="D157" t="str">
            <v>C S</v>
          </cell>
          <cell r="E157" t="str">
            <v>L75x75x9</v>
          </cell>
          <cell r="F157">
            <v>527</v>
          </cell>
          <cell r="G157" t="str">
            <v>16320-100</v>
          </cell>
          <cell r="H157">
            <v>1</v>
          </cell>
          <cell r="I157" t="str">
            <v>7150/5900</v>
          </cell>
        </row>
        <row r="158">
          <cell r="A158" t="str">
            <v>03980-032</v>
          </cell>
          <cell r="C158" t="str">
            <v>PLATE</v>
          </cell>
          <cell r="D158" t="str">
            <v>C S</v>
          </cell>
          <cell r="E158" t="str">
            <v>PL200x200x12t</v>
          </cell>
          <cell r="G158" t="str">
            <v>16320-100</v>
          </cell>
          <cell r="H158">
            <v>1</v>
          </cell>
          <cell r="I158" t="str">
            <v>7150/5900</v>
          </cell>
        </row>
        <row r="159">
          <cell r="A159" t="str">
            <v>03980-032</v>
          </cell>
          <cell r="C159" t="str">
            <v>ANCHOR BOLT</v>
          </cell>
          <cell r="D159" t="str">
            <v>C S</v>
          </cell>
          <cell r="E159" t="str">
            <v>M12x155L</v>
          </cell>
          <cell r="G159" t="str">
            <v>16320-100</v>
          </cell>
          <cell r="H159">
            <v>4</v>
          </cell>
          <cell r="I159" t="str">
            <v>7150/5900</v>
          </cell>
        </row>
        <row r="161">
          <cell r="A161" t="str">
            <v>03980-033</v>
          </cell>
          <cell r="C161" t="str">
            <v>CHANNEL</v>
          </cell>
          <cell r="D161" t="str">
            <v>C S</v>
          </cell>
          <cell r="E161" t="str">
            <v>C100x50x5x7.5</v>
          </cell>
          <cell r="F161">
            <v>500</v>
          </cell>
          <cell r="G161" t="str">
            <v>16200- 80</v>
          </cell>
          <cell r="H161">
            <v>1</v>
          </cell>
        </row>
        <row r="162">
          <cell r="A162" t="str">
            <v>03980-033</v>
          </cell>
          <cell r="C162" t="str">
            <v>3-BOLT PIPE CLAMP</v>
          </cell>
          <cell r="D162" t="str">
            <v>C S</v>
          </cell>
          <cell r="E162" t="str">
            <v>DN 80</v>
          </cell>
          <cell r="G162" t="str">
            <v>16200- 80</v>
          </cell>
          <cell r="H162">
            <v>1</v>
          </cell>
          <cell r="I162" t="str">
            <v>7150/5900</v>
          </cell>
        </row>
        <row r="163">
          <cell r="A163" t="str">
            <v>03980-033</v>
          </cell>
          <cell r="C163" t="str">
            <v>WEL'D BEAM ATTACH.</v>
          </cell>
          <cell r="D163" t="str">
            <v>C S</v>
          </cell>
          <cell r="E163" t="str">
            <v>M12</v>
          </cell>
          <cell r="G163" t="str">
            <v>16200- 80</v>
          </cell>
          <cell r="H163">
            <v>1</v>
          </cell>
          <cell r="I163" t="str">
            <v>7150/5900</v>
          </cell>
        </row>
        <row r="164">
          <cell r="A164" t="str">
            <v>03980-033</v>
          </cell>
          <cell r="C164" t="str">
            <v>EYE NUT</v>
          </cell>
          <cell r="D164" t="str">
            <v>C S</v>
          </cell>
          <cell r="E164" t="str">
            <v>M12</v>
          </cell>
          <cell r="G164" t="str">
            <v>16200- 80</v>
          </cell>
          <cell r="H164">
            <v>2</v>
          </cell>
          <cell r="I164" t="str">
            <v>7150/5900</v>
          </cell>
        </row>
        <row r="165">
          <cell r="A165" t="str">
            <v>03980-033</v>
          </cell>
          <cell r="C165" t="str">
            <v>THR'D ROD</v>
          </cell>
          <cell r="D165" t="str">
            <v>C S</v>
          </cell>
          <cell r="E165" t="str">
            <v>M12</v>
          </cell>
          <cell r="F165">
            <v>360</v>
          </cell>
          <cell r="G165" t="str">
            <v>16200- 80</v>
          </cell>
          <cell r="H165">
            <v>1</v>
          </cell>
          <cell r="I165" t="str">
            <v>7150/5900</v>
          </cell>
        </row>
        <row r="166">
          <cell r="A166" t="str">
            <v>03980-033</v>
          </cell>
          <cell r="C166" t="str">
            <v>PLATE</v>
          </cell>
          <cell r="D166" t="str">
            <v>C S</v>
          </cell>
          <cell r="E166" t="str">
            <v>PL200x200x12t</v>
          </cell>
          <cell r="G166" t="str">
            <v>16200- 80</v>
          </cell>
          <cell r="H166">
            <v>1</v>
          </cell>
          <cell r="I166" t="str">
            <v>7150/5900</v>
          </cell>
        </row>
        <row r="167">
          <cell r="A167" t="str">
            <v>03980-033</v>
          </cell>
          <cell r="C167" t="str">
            <v>ANCHOR BOLT</v>
          </cell>
          <cell r="D167" t="str">
            <v>C S</v>
          </cell>
          <cell r="E167" t="str">
            <v>M12x155L</v>
          </cell>
          <cell r="G167" t="str">
            <v>16200- 80</v>
          </cell>
          <cell r="H167">
            <v>4</v>
          </cell>
          <cell r="I167" t="str">
            <v>7150/5900</v>
          </cell>
        </row>
        <row r="169">
          <cell r="A169" t="str">
            <v>03980-034</v>
          </cell>
          <cell r="C169" t="str">
            <v>U-BOLT</v>
          </cell>
          <cell r="D169" t="str">
            <v>C S</v>
          </cell>
          <cell r="E169" t="str">
            <v>DN100</v>
          </cell>
          <cell r="G169" t="str">
            <v>16320-100</v>
          </cell>
          <cell r="H169">
            <v>1</v>
          </cell>
          <cell r="I169" t="str">
            <v>7150/5900</v>
          </cell>
        </row>
        <row r="170">
          <cell r="A170" t="str">
            <v>03980-034</v>
          </cell>
          <cell r="C170" t="str">
            <v>ANGLE</v>
          </cell>
          <cell r="D170" t="str">
            <v>C S</v>
          </cell>
          <cell r="E170" t="str">
            <v>L75x75x9</v>
          </cell>
          <cell r="F170">
            <v>514</v>
          </cell>
          <cell r="G170" t="str">
            <v>16320-100</v>
          </cell>
          <cell r="H170">
            <v>1</v>
          </cell>
          <cell r="I170" t="str">
            <v>7150/5900</v>
          </cell>
        </row>
        <row r="171">
          <cell r="A171" t="str">
            <v>03980-034</v>
          </cell>
          <cell r="C171" t="str">
            <v>PLATE</v>
          </cell>
          <cell r="D171" t="str">
            <v>C S</v>
          </cell>
          <cell r="E171" t="str">
            <v>PL200x200x12t</v>
          </cell>
          <cell r="G171" t="str">
            <v>16320-100</v>
          </cell>
          <cell r="H171">
            <v>1</v>
          </cell>
          <cell r="I171" t="str">
            <v>7150/5900</v>
          </cell>
        </row>
        <row r="172">
          <cell r="A172" t="str">
            <v>03980-034</v>
          </cell>
          <cell r="C172" t="str">
            <v>ANCHOR BOLT</v>
          </cell>
          <cell r="D172" t="str">
            <v>C S</v>
          </cell>
          <cell r="E172" t="str">
            <v>M12x155L</v>
          </cell>
          <cell r="G172" t="str">
            <v>16320-100</v>
          </cell>
          <cell r="H172">
            <v>4</v>
          </cell>
          <cell r="I172" t="str">
            <v>7150/5900</v>
          </cell>
        </row>
        <row r="174">
          <cell r="A174" t="str">
            <v>03980-035</v>
          </cell>
          <cell r="C174" t="str">
            <v>H-BEAM</v>
          </cell>
          <cell r="D174" t="str">
            <v>C S</v>
          </cell>
          <cell r="E174" t="str">
            <v>H100x100x6x8</v>
          </cell>
          <cell r="F174">
            <v>462</v>
          </cell>
          <cell r="G174" t="str">
            <v>16100-150</v>
          </cell>
          <cell r="H174">
            <v>1</v>
          </cell>
          <cell r="I174" t="str">
            <v>7150/5900</v>
          </cell>
        </row>
        <row r="175">
          <cell r="A175" t="str">
            <v>03980-035</v>
          </cell>
          <cell r="C175" t="str">
            <v>ANGLE</v>
          </cell>
          <cell r="D175" t="str">
            <v>C S</v>
          </cell>
          <cell r="E175" t="str">
            <v>L75x75x9</v>
          </cell>
          <cell r="F175">
            <v>330</v>
          </cell>
          <cell r="G175" t="str">
            <v>16100-150</v>
          </cell>
          <cell r="H175">
            <v>1</v>
          </cell>
          <cell r="I175" t="str">
            <v>7150/5900</v>
          </cell>
        </row>
        <row r="176">
          <cell r="A176" t="str">
            <v>03980-035</v>
          </cell>
          <cell r="C176" t="str">
            <v>PLATE</v>
          </cell>
          <cell r="D176" t="str">
            <v>C S</v>
          </cell>
          <cell r="E176" t="str">
            <v>PL200x200x12t</v>
          </cell>
          <cell r="G176" t="str">
            <v>16100-150</v>
          </cell>
          <cell r="H176">
            <v>1</v>
          </cell>
          <cell r="I176" t="str">
            <v>7150/5900</v>
          </cell>
        </row>
        <row r="177">
          <cell r="A177" t="str">
            <v>03980-035</v>
          </cell>
          <cell r="C177" t="str">
            <v>ANCHOR BOLT</v>
          </cell>
          <cell r="D177" t="str">
            <v>C S</v>
          </cell>
          <cell r="E177" t="str">
            <v>M16x177L</v>
          </cell>
          <cell r="G177" t="str">
            <v>16100-150</v>
          </cell>
          <cell r="H177">
            <v>4</v>
          </cell>
          <cell r="I177" t="str">
            <v>7150/5900</v>
          </cell>
        </row>
        <row r="178">
          <cell r="A178" t="str">
            <v>03980-035</v>
          </cell>
          <cell r="C178" t="str">
            <v>U-BOLT</v>
          </cell>
          <cell r="D178" t="str">
            <v>C S</v>
          </cell>
          <cell r="E178" t="str">
            <v>DN150</v>
          </cell>
          <cell r="G178" t="str">
            <v>16100-150</v>
          </cell>
          <cell r="H178">
            <v>1</v>
          </cell>
          <cell r="I178" t="str">
            <v>7150/5900</v>
          </cell>
        </row>
        <row r="180">
          <cell r="A180" t="str">
            <v>03980-036</v>
          </cell>
          <cell r="C180" t="str">
            <v>CHANNEL</v>
          </cell>
          <cell r="D180" t="str">
            <v>C S</v>
          </cell>
          <cell r="E180" t="str">
            <v>C100x50x5x7.5</v>
          </cell>
          <cell r="F180">
            <v>450</v>
          </cell>
          <cell r="G180" t="str">
            <v>16320- 80</v>
          </cell>
          <cell r="H180">
            <v>1</v>
          </cell>
        </row>
        <row r="181">
          <cell r="A181" t="str">
            <v>03980-036</v>
          </cell>
          <cell r="C181" t="str">
            <v>3-BOLT PIPE CLAMP</v>
          </cell>
          <cell r="D181" t="str">
            <v>C S</v>
          </cell>
          <cell r="E181" t="str">
            <v>DN 80</v>
          </cell>
          <cell r="G181" t="str">
            <v>16320- 80</v>
          </cell>
          <cell r="H181">
            <v>1</v>
          </cell>
          <cell r="I181" t="str">
            <v>7150/5900</v>
          </cell>
        </row>
        <row r="182">
          <cell r="A182" t="str">
            <v>03980-036</v>
          </cell>
          <cell r="C182" t="str">
            <v>WEL'D BEAM ATTACH.</v>
          </cell>
          <cell r="D182" t="str">
            <v>C S</v>
          </cell>
          <cell r="E182" t="str">
            <v>M12</v>
          </cell>
          <cell r="G182" t="str">
            <v>16320- 80</v>
          </cell>
          <cell r="H182">
            <v>1</v>
          </cell>
          <cell r="I182" t="str">
            <v>7150/5900</v>
          </cell>
        </row>
        <row r="183">
          <cell r="A183" t="str">
            <v>03980-036</v>
          </cell>
          <cell r="C183" t="str">
            <v>EYE NUT</v>
          </cell>
          <cell r="D183" t="str">
            <v>C S</v>
          </cell>
          <cell r="E183" t="str">
            <v>M12</v>
          </cell>
          <cell r="G183" t="str">
            <v>16320- 80</v>
          </cell>
          <cell r="H183">
            <v>2</v>
          </cell>
          <cell r="I183" t="str">
            <v>7150/5900</v>
          </cell>
        </row>
        <row r="184">
          <cell r="A184" t="str">
            <v>03980-036</v>
          </cell>
          <cell r="C184" t="str">
            <v>THR'D ROD</v>
          </cell>
          <cell r="D184" t="str">
            <v>C S</v>
          </cell>
          <cell r="E184" t="str">
            <v>M12</v>
          </cell>
          <cell r="F184">
            <v>1161</v>
          </cell>
          <cell r="G184" t="str">
            <v>16320- 80</v>
          </cell>
          <cell r="H184">
            <v>1</v>
          </cell>
          <cell r="I184" t="str">
            <v>7150/5900</v>
          </cell>
        </row>
        <row r="186">
          <cell r="A186" t="str">
            <v>03980-037</v>
          </cell>
          <cell r="C186" t="str">
            <v>H-BEAM</v>
          </cell>
          <cell r="D186" t="str">
            <v>C S</v>
          </cell>
          <cell r="E186" t="str">
            <v>H100x100x6x8</v>
          </cell>
          <cell r="F186">
            <v>284</v>
          </cell>
          <cell r="G186" t="str">
            <v>16320- 80</v>
          </cell>
          <cell r="H186">
            <v>1</v>
          </cell>
          <cell r="I186" t="str">
            <v>7150/5900</v>
          </cell>
        </row>
        <row r="187">
          <cell r="A187" t="str">
            <v>03980-037</v>
          </cell>
          <cell r="C187" t="str">
            <v>ANGLE</v>
          </cell>
          <cell r="D187" t="str">
            <v>C S</v>
          </cell>
          <cell r="E187" t="str">
            <v>L75x75x9</v>
          </cell>
          <cell r="F187">
            <v>225</v>
          </cell>
          <cell r="G187" t="str">
            <v>16320- 80</v>
          </cell>
          <cell r="H187">
            <v>1</v>
          </cell>
          <cell r="I187" t="str">
            <v>7150/5900</v>
          </cell>
        </row>
        <row r="188">
          <cell r="A188" t="str">
            <v>03980-037</v>
          </cell>
          <cell r="C188" t="str">
            <v>U-BOLT</v>
          </cell>
          <cell r="D188" t="str">
            <v>C S</v>
          </cell>
          <cell r="E188" t="str">
            <v>DN 80</v>
          </cell>
          <cell r="G188" t="str">
            <v>16320- 80</v>
          </cell>
          <cell r="H188">
            <v>1</v>
          </cell>
          <cell r="I188" t="str">
            <v>7150/5900</v>
          </cell>
        </row>
        <row r="189">
          <cell r="A189" t="str">
            <v>03980-037</v>
          </cell>
          <cell r="C189" t="str">
            <v>PLATE</v>
          </cell>
          <cell r="D189" t="str">
            <v>C S</v>
          </cell>
          <cell r="E189" t="str">
            <v>PL200x200x12t</v>
          </cell>
          <cell r="G189" t="str">
            <v>16320- 80</v>
          </cell>
          <cell r="H189">
            <v>1</v>
          </cell>
          <cell r="I189" t="str">
            <v>7150/5900</v>
          </cell>
        </row>
        <row r="190">
          <cell r="A190" t="str">
            <v>03980-037</v>
          </cell>
          <cell r="C190" t="str">
            <v>ANCHOR BOLT</v>
          </cell>
          <cell r="D190" t="str">
            <v>C S</v>
          </cell>
          <cell r="E190" t="str">
            <v>M12x155L</v>
          </cell>
          <cell r="G190" t="str">
            <v>16320- 80</v>
          </cell>
          <cell r="H190">
            <v>4</v>
          </cell>
          <cell r="I190" t="str">
            <v>7150/5900</v>
          </cell>
        </row>
        <row r="192">
          <cell r="A192" t="str">
            <v>03980-038</v>
          </cell>
          <cell r="C192" t="str">
            <v>ANGLE</v>
          </cell>
          <cell r="D192" t="str">
            <v>C S</v>
          </cell>
          <cell r="E192" t="str">
            <v>L75x75x9</v>
          </cell>
          <cell r="F192">
            <v>284</v>
          </cell>
          <cell r="G192" t="str">
            <v>16320- 80</v>
          </cell>
          <cell r="H192">
            <v>1</v>
          </cell>
          <cell r="I192" t="str">
            <v>7150/5900</v>
          </cell>
        </row>
        <row r="193">
          <cell r="A193" t="str">
            <v>03980-038</v>
          </cell>
          <cell r="C193" t="str">
            <v>U-BOLT</v>
          </cell>
          <cell r="D193" t="str">
            <v>C S</v>
          </cell>
          <cell r="E193" t="str">
            <v>DN 80</v>
          </cell>
          <cell r="G193" t="str">
            <v>16320- 80</v>
          </cell>
          <cell r="H193">
            <v>1</v>
          </cell>
          <cell r="I193" t="str">
            <v>7150/5900</v>
          </cell>
        </row>
        <row r="194">
          <cell r="A194" t="str">
            <v>03980-038</v>
          </cell>
          <cell r="C194" t="str">
            <v>PLATE</v>
          </cell>
          <cell r="D194" t="str">
            <v>C S</v>
          </cell>
          <cell r="E194" t="str">
            <v>PL200x100x12t</v>
          </cell>
          <cell r="G194" t="str">
            <v>16320- 80</v>
          </cell>
          <cell r="H194">
            <v>1</v>
          </cell>
          <cell r="I194" t="str">
            <v>7150/5900</v>
          </cell>
        </row>
        <row r="195">
          <cell r="A195" t="str">
            <v>03980-038</v>
          </cell>
          <cell r="C195" t="str">
            <v>ANCHOR BOLT</v>
          </cell>
          <cell r="D195" t="str">
            <v>C S</v>
          </cell>
          <cell r="E195" t="str">
            <v>M12x155L</v>
          </cell>
          <cell r="G195" t="str">
            <v>16320- 80</v>
          </cell>
          <cell r="H195">
            <v>2</v>
          </cell>
          <cell r="I195" t="str">
            <v>7150/5900</v>
          </cell>
        </row>
      </sheetData>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설내1"/>
      <sheetName val="설품"/>
      <sheetName val="설산1"/>
      <sheetName val="설산2"/>
      <sheetName val="설산3"/>
      <sheetName val="설비SUPP산출"/>
      <sheetName val="현장지지물물량"/>
      <sheetName val="지지물집계"/>
      <sheetName val="현장집계3"/>
    </sheetNames>
    <sheetDataSet>
      <sheetData sheetId="0" refreshError="1"/>
      <sheetData sheetId="1" refreshError="1"/>
      <sheetData sheetId="2" refreshError="1"/>
      <sheetData sheetId="3" refreshError="1"/>
      <sheetData sheetId="4" refreshError="1"/>
      <sheetData sheetId="5" refreshError="1"/>
      <sheetData sheetId="6" refreshError="1">
        <row r="9">
          <cell r="A9" t="str">
            <v>85500-001</v>
          </cell>
          <cell r="C9" t="str">
            <v>CHANNEL</v>
          </cell>
          <cell r="D9" t="str">
            <v>C S</v>
          </cell>
          <cell r="E9" t="str">
            <v>ㄷ100x50x5</v>
          </cell>
          <cell r="F9">
            <v>6100</v>
          </cell>
          <cell r="G9" t="str">
            <v>71730-150</v>
          </cell>
          <cell r="H9">
            <v>1</v>
          </cell>
          <cell r="I9" t="str">
            <v>5900/2200</v>
          </cell>
        </row>
        <row r="10">
          <cell r="A10" t="str">
            <v>85500-001</v>
          </cell>
          <cell r="C10" t="str">
            <v>ANGLE</v>
          </cell>
          <cell r="D10" t="str">
            <v>C S</v>
          </cell>
          <cell r="E10" t="str">
            <v>L50X50X6</v>
          </cell>
          <cell r="F10">
            <v>1800</v>
          </cell>
          <cell r="G10" t="str">
            <v>71730-150</v>
          </cell>
          <cell r="H10">
            <v>1</v>
          </cell>
          <cell r="I10" t="str">
            <v>5900/2200</v>
          </cell>
        </row>
        <row r="11">
          <cell r="A11" t="str">
            <v>85500-001</v>
          </cell>
          <cell r="C11" t="str">
            <v>U-BOLT</v>
          </cell>
          <cell r="D11" t="str">
            <v>C S</v>
          </cell>
          <cell r="E11" t="str">
            <v>DN150</v>
          </cell>
          <cell r="G11" t="str">
            <v>71730-150</v>
          </cell>
          <cell r="H11">
            <v>6</v>
          </cell>
          <cell r="I11" t="str">
            <v>5900/2200</v>
          </cell>
        </row>
        <row r="12">
          <cell r="A12" t="str">
            <v>85500-001</v>
          </cell>
          <cell r="C12" t="str">
            <v>ANCHOR BOLT</v>
          </cell>
          <cell r="D12" t="str">
            <v>C S</v>
          </cell>
          <cell r="E12" t="str">
            <v>M10x80L</v>
          </cell>
          <cell r="G12" t="str">
            <v>71730-150</v>
          </cell>
          <cell r="H12">
            <v>12</v>
          </cell>
          <cell r="I12" t="str">
            <v>5900/2200</v>
          </cell>
        </row>
        <row r="13">
          <cell r="A13" t="str">
            <v>85500-001</v>
          </cell>
          <cell r="C13" t="str">
            <v>STEEL PLATE</v>
          </cell>
          <cell r="D13" t="str">
            <v>C S</v>
          </cell>
          <cell r="E13" t="str">
            <v>PL150x150x9</v>
          </cell>
          <cell r="G13" t="str">
            <v>71730-150</v>
          </cell>
          <cell r="H13">
            <v>3</v>
          </cell>
          <cell r="I13" t="str">
            <v>5900/2200</v>
          </cell>
        </row>
        <row r="15">
          <cell r="A15" t="str">
            <v>85500-001</v>
          </cell>
          <cell r="C15" t="str">
            <v>CHANNEL</v>
          </cell>
          <cell r="D15" t="str">
            <v>C S</v>
          </cell>
          <cell r="E15" t="str">
            <v>ㄷ100x50x5</v>
          </cell>
          <cell r="F15">
            <v>2150</v>
          </cell>
          <cell r="G15" t="str">
            <v>71730-150</v>
          </cell>
          <cell r="H15">
            <v>5</v>
          </cell>
          <cell r="I15" t="str">
            <v>3150/2200</v>
          </cell>
        </row>
        <row r="16">
          <cell r="A16" t="str">
            <v>85500-001</v>
          </cell>
          <cell r="C16" t="str">
            <v>U-BOLT</v>
          </cell>
          <cell r="D16" t="str">
            <v>C S</v>
          </cell>
          <cell r="E16" t="str">
            <v>DN150</v>
          </cell>
          <cell r="G16" t="str">
            <v>71730-150</v>
          </cell>
          <cell r="H16">
            <v>10</v>
          </cell>
          <cell r="I16" t="str">
            <v>3150/2200</v>
          </cell>
        </row>
        <row r="17">
          <cell r="A17" t="str">
            <v>85500-001</v>
          </cell>
          <cell r="C17" t="str">
            <v>ANCHOR BOLT</v>
          </cell>
          <cell r="D17" t="str">
            <v>C S</v>
          </cell>
          <cell r="E17" t="str">
            <v>M10x80L</v>
          </cell>
          <cell r="G17" t="str">
            <v>71730-150</v>
          </cell>
          <cell r="H17">
            <v>40</v>
          </cell>
          <cell r="I17" t="str">
            <v>3150/2200</v>
          </cell>
        </row>
        <row r="18">
          <cell r="A18" t="str">
            <v>85500-001</v>
          </cell>
          <cell r="C18" t="str">
            <v>STEEL PLATE</v>
          </cell>
          <cell r="D18" t="str">
            <v>C S</v>
          </cell>
          <cell r="E18" t="str">
            <v>PL150x150x9</v>
          </cell>
          <cell r="G18" t="str">
            <v>71730-150</v>
          </cell>
          <cell r="H18">
            <v>10</v>
          </cell>
          <cell r="I18" t="str">
            <v>3150/2200</v>
          </cell>
        </row>
        <row r="20">
          <cell r="A20" t="str">
            <v>85500-001</v>
          </cell>
          <cell r="C20" t="str">
            <v>CHANNEL</v>
          </cell>
          <cell r="D20" t="str">
            <v>C S</v>
          </cell>
          <cell r="E20" t="str">
            <v>ㄷ100x50x5</v>
          </cell>
          <cell r="F20">
            <v>1900</v>
          </cell>
          <cell r="G20" t="str">
            <v>71730-150</v>
          </cell>
          <cell r="H20">
            <v>3</v>
          </cell>
          <cell r="I20" t="str">
            <v>3150/2200</v>
          </cell>
        </row>
        <row r="21">
          <cell r="A21" t="str">
            <v>85500-001</v>
          </cell>
          <cell r="C21" t="str">
            <v>U-BOLT</v>
          </cell>
          <cell r="D21" t="str">
            <v>C S</v>
          </cell>
          <cell r="E21" t="str">
            <v>DN150</v>
          </cell>
          <cell r="G21" t="str">
            <v>71730-150</v>
          </cell>
          <cell r="H21">
            <v>6</v>
          </cell>
          <cell r="I21" t="str">
            <v>3150/2200</v>
          </cell>
        </row>
        <row r="22">
          <cell r="A22" t="str">
            <v>85500-001</v>
          </cell>
          <cell r="C22" t="str">
            <v>ANCHOR BOLT</v>
          </cell>
          <cell r="D22" t="str">
            <v>C S</v>
          </cell>
          <cell r="E22" t="str">
            <v>M10x80L</v>
          </cell>
          <cell r="G22" t="str">
            <v>71730-150</v>
          </cell>
          <cell r="H22">
            <v>12</v>
          </cell>
          <cell r="I22" t="str">
            <v>3150/2200</v>
          </cell>
        </row>
        <row r="23">
          <cell r="A23" t="str">
            <v>85500-001</v>
          </cell>
          <cell r="C23" t="str">
            <v>STEEL PLATE</v>
          </cell>
          <cell r="D23" t="str">
            <v>C S</v>
          </cell>
          <cell r="E23" t="str">
            <v>PL150x150x9</v>
          </cell>
          <cell r="G23" t="str">
            <v>71730-150</v>
          </cell>
          <cell r="H23">
            <v>3</v>
          </cell>
          <cell r="I23" t="str">
            <v>3150/2200</v>
          </cell>
        </row>
      </sheetData>
      <sheetData sheetId="7" refreshError="1"/>
      <sheetData sheetId="8"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현장배관물량"/>
      <sheetName val="현장배관물량집계"/>
      <sheetName val="현장지지물물량"/>
      <sheetName val="지지물집계"/>
      <sheetName val="현장집계3"/>
      <sheetName val="Sheet1"/>
    </sheetNames>
    <sheetDataSet>
      <sheetData sheetId="0" refreshError="1"/>
      <sheetData sheetId="1" refreshError="1"/>
      <sheetData sheetId="2" refreshError="1">
        <row r="1">
          <cell r="F1" t="str">
            <v>*********************************</v>
          </cell>
        </row>
        <row r="2">
          <cell r="F2" t="str">
            <v>*****   FIELD FAB. SUPPORT  *****</v>
          </cell>
        </row>
        <row r="3">
          <cell r="F3" t="str">
            <v>*********************************</v>
          </cell>
        </row>
        <row r="4">
          <cell r="A4" t="str">
            <v>=</v>
          </cell>
          <cell r="B4" t="str">
            <v>=</v>
          </cell>
          <cell r="C4" t="str">
            <v>=</v>
          </cell>
          <cell r="D4" t="str">
            <v>=</v>
          </cell>
          <cell r="E4" t="str">
            <v>=</v>
          </cell>
          <cell r="F4" t="str">
            <v>=</v>
          </cell>
          <cell r="G4" t="str">
            <v>=</v>
          </cell>
          <cell r="H4" t="str">
            <v>=</v>
          </cell>
          <cell r="I4" t="str">
            <v>=</v>
          </cell>
          <cell r="J4" t="str">
            <v>=</v>
          </cell>
          <cell r="K4" t="str">
            <v>=</v>
          </cell>
          <cell r="L4" t="str">
            <v>=</v>
          </cell>
          <cell r="M4" t="str">
            <v>=</v>
          </cell>
          <cell r="N4" t="str">
            <v>=</v>
          </cell>
          <cell r="Q4" t="str">
            <v>=</v>
          </cell>
        </row>
        <row r="5">
          <cell r="A5" t="str">
            <v>DWG.NO.</v>
          </cell>
          <cell r="B5" t="str">
            <v>SPEC</v>
          </cell>
          <cell r="C5" t="str">
            <v>ITEM</v>
          </cell>
          <cell r="D5" t="str">
            <v>MATERIAL</v>
          </cell>
          <cell r="E5" t="str">
            <v xml:space="preserve">    SIZE</v>
          </cell>
          <cell r="F5" t="str">
            <v>LANGTH</v>
          </cell>
          <cell r="G5" t="str">
            <v>SYS.-DIA</v>
          </cell>
          <cell r="H5" t="str">
            <v>TOTAL</v>
          </cell>
          <cell r="I5" t="str">
            <v>ELEVATION</v>
          </cell>
          <cell r="K5" t="str">
            <v>IN/OUT</v>
          </cell>
          <cell r="L5" t="str">
            <v>UNIT WT</v>
          </cell>
          <cell r="M5" t="str">
            <v>TOTAL WT</v>
          </cell>
          <cell r="N5" t="str">
            <v>REMARK</v>
          </cell>
          <cell r="P5" t="str">
            <v>SET</v>
          </cell>
          <cell r="Q5" t="str">
            <v>Q'TY</v>
          </cell>
        </row>
        <row r="6">
          <cell r="A6" t="str">
            <v>=</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Q6" t="str">
            <v>=</v>
          </cell>
        </row>
        <row r="8">
          <cell r="A8" t="str">
            <v>HBY</v>
          </cell>
        </row>
        <row r="9">
          <cell r="A9" t="str">
            <v>85500-001</v>
          </cell>
          <cell r="C9" t="str">
            <v>CHANNEL</v>
          </cell>
          <cell r="D9" t="str">
            <v>C S</v>
          </cell>
          <cell r="E9" t="str">
            <v>ㄷ100x50x5</v>
          </cell>
          <cell r="F9">
            <v>6100</v>
          </cell>
          <cell r="G9" t="str">
            <v>71730-150</v>
          </cell>
          <cell r="H9">
            <v>1</v>
          </cell>
          <cell r="I9" t="str">
            <v>5900/2200</v>
          </cell>
        </row>
        <row r="10">
          <cell r="A10" t="str">
            <v>85500-001</v>
          </cell>
          <cell r="C10" t="str">
            <v>ANGLE</v>
          </cell>
          <cell r="D10" t="str">
            <v>C S</v>
          </cell>
          <cell r="E10" t="str">
            <v>L50X50X6</v>
          </cell>
          <cell r="F10">
            <v>1800</v>
          </cell>
          <cell r="G10" t="str">
            <v>71730-150</v>
          </cell>
          <cell r="H10">
            <v>1</v>
          </cell>
          <cell r="I10" t="str">
            <v>5900/2200</v>
          </cell>
        </row>
        <row r="11">
          <cell r="A11" t="str">
            <v>85500-001</v>
          </cell>
          <cell r="C11" t="str">
            <v>U-BOLT</v>
          </cell>
          <cell r="D11" t="str">
            <v>C S</v>
          </cell>
          <cell r="E11" t="str">
            <v>DN150</v>
          </cell>
          <cell r="G11" t="str">
            <v>71730-150</v>
          </cell>
          <cell r="H11">
            <v>6</v>
          </cell>
          <cell r="I11" t="str">
            <v>5900/2200</v>
          </cell>
        </row>
        <row r="12">
          <cell r="A12" t="str">
            <v>85500-001</v>
          </cell>
          <cell r="C12" t="str">
            <v>ANCHOR BOLT</v>
          </cell>
          <cell r="D12" t="str">
            <v>C S</v>
          </cell>
          <cell r="E12" t="str">
            <v>M10x80L</v>
          </cell>
          <cell r="G12" t="str">
            <v>71730-150</v>
          </cell>
          <cell r="H12">
            <v>12</v>
          </cell>
          <cell r="I12" t="str">
            <v>5900/2200</v>
          </cell>
        </row>
        <row r="13">
          <cell r="A13" t="str">
            <v>85500-001</v>
          </cell>
          <cell r="C13" t="str">
            <v>STEEL PLATE</v>
          </cell>
          <cell r="D13" t="str">
            <v>C S</v>
          </cell>
          <cell r="E13" t="str">
            <v>PL150x150x9</v>
          </cell>
          <cell r="G13" t="str">
            <v>71730-150</v>
          </cell>
          <cell r="H13">
            <v>3</v>
          </cell>
          <cell r="I13" t="str">
            <v>5900/2200</v>
          </cell>
        </row>
        <row r="15">
          <cell r="A15" t="str">
            <v>85500-001</v>
          </cell>
          <cell r="C15" t="str">
            <v>CHANNEL</v>
          </cell>
          <cell r="D15" t="str">
            <v>C S</v>
          </cell>
          <cell r="E15" t="str">
            <v>ㄷ100x50x5</v>
          </cell>
          <cell r="F15">
            <v>2150</v>
          </cell>
          <cell r="G15" t="str">
            <v>71730-150</v>
          </cell>
          <cell r="H15">
            <v>5</v>
          </cell>
          <cell r="I15" t="str">
            <v>3150/2200</v>
          </cell>
        </row>
        <row r="16">
          <cell r="A16" t="str">
            <v>85500-001</v>
          </cell>
          <cell r="C16" t="str">
            <v>U-BOLT</v>
          </cell>
          <cell r="D16" t="str">
            <v>C S</v>
          </cell>
          <cell r="E16" t="str">
            <v>DN150</v>
          </cell>
          <cell r="G16" t="str">
            <v>71730-150</v>
          </cell>
          <cell r="H16">
            <v>10</v>
          </cell>
          <cell r="I16" t="str">
            <v>3150/2200</v>
          </cell>
        </row>
        <row r="17">
          <cell r="A17" t="str">
            <v>85500-001</v>
          </cell>
          <cell r="C17" t="str">
            <v>ANCHOR BOLT</v>
          </cell>
          <cell r="D17" t="str">
            <v>C S</v>
          </cell>
          <cell r="E17" t="str">
            <v>M10x80L</v>
          </cell>
          <cell r="G17" t="str">
            <v>71730-150</v>
          </cell>
          <cell r="H17">
            <v>40</v>
          </cell>
          <cell r="I17" t="str">
            <v>3150/2200</v>
          </cell>
        </row>
        <row r="18">
          <cell r="A18" t="str">
            <v>85500-001</v>
          </cell>
          <cell r="C18" t="str">
            <v>STEEL PLATE</v>
          </cell>
          <cell r="D18" t="str">
            <v>C S</v>
          </cell>
          <cell r="E18" t="str">
            <v>PL150x150x9</v>
          </cell>
          <cell r="G18" t="str">
            <v>71730-150</v>
          </cell>
          <cell r="H18">
            <v>10</v>
          </cell>
          <cell r="I18" t="str">
            <v>3150/2200</v>
          </cell>
        </row>
        <row r="20">
          <cell r="A20" t="str">
            <v>85500-001</v>
          </cell>
          <cell r="C20" t="str">
            <v>CHANNEL</v>
          </cell>
          <cell r="D20" t="str">
            <v>C S</v>
          </cell>
          <cell r="E20" t="str">
            <v>ㄷ100x50x5</v>
          </cell>
          <cell r="F20">
            <v>1900</v>
          </cell>
          <cell r="G20" t="str">
            <v>71730-150</v>
          </cell>
          <cell r="H20">
            <v>3</v>
          </cell>
          <cell r="I20" t="str">
            <v>3150/2200</v>
          </cell>
        </row>
        <row r="21">
          <cell r="A21" t="str">
            <v>85500-001</v>
          </cell>
          <cell r="C21" t="str">
            <v>U-BOLT</v>
          </cell>
          <cell r="D21" t="str">
            <v>C S</v>
          </cell>
          <cell r="E21" t="str">
            <v>DN150</v>
          </cell>
          <cell r="G21" t="str">
            <v>71730-150</v>
          </cell>
          <cell r="H21">
            <v>6</v>
          </cell>
          <cell r="I21" t="str">
            <v>3150/2200</v>
          </cell>
        </row>
        <row r="22">
          <cell r="A22" t="str">
            <v>85500-001</v>
          </cell>
          <cell r="C22" t="str">
            <v>ANCHOR BOLT</v>
          </cell>
          <cell r="D22" t="str">
            <v>C S</v>
          </cell>
          <cell r="E22" t="str">
            <v>M10x80L</v>
          </cell>
          <cell r="G22" t="str">
            <v>71730-150</v>
          </cell>
          <cell r="H22">
            <v>12</v>
          </cell>
          <cell r="I22" t="str">
            <v>3150/2200</v>
          </cell>
        </row>
        <row r="23">
          <cell r="A23" t="str">
            <v>85500-001</v>
          </cell>
          <cell r="C23" t="str">
            <v>STEEL PLATE</v>
          </cell>
          <cell r="D23" t="str">
            <v>C S</v>
          </cell>
          <cell r="E23" t="str">
            <v>PL150x150x9</v>
          </cell>
          <cell r="G23" t="str">
            <v>71730-150</v>
          </cell>
          <cell r="H23">
            <v>3</v>
          </cell>
          <cell r="I23" t="str">
            <v>3150/2200</v>
          </cell>
        </row>
      </sheetData>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현장설계분"/>
      <sheetName val="본사설계분"/>
      <sheetName val="가설배관"/>
      <sheetName val="본사S"/>
      <sheetName val="현장S"/>
      <sheetName val="C1"/>
      <sheetName val="C2"/>
      <sheetName val="공계"/>
      <sheetName val="C3"/>
      <sheetName val="공설"/>
      <sheetName val="C4"/>
      <sheetName val="C5"/>
      <sheetName val="도면"/>
      <sheetName val="C6"/>
      <sheetName val="공정표"/>
      <sheetName val="C7"/>
      <sheetName val="예"/>
      <sheetName val="C8"/>
      <sheetName val="명"/>
      <sheetName val="C9"/>
      <sheetName val="내1가"/>
      <sheetName val="내1다"/>
      <sheetName val="설내"/>
      <sheetName val="소내"/>
      <sheetName val="내2"/>
      <sheetName val="C10"/>
      <sheetName val="품1"/>
      <sheetName val="품2"/>
      <sheetName val="품3"/>
      <sheetName val="설품"/>
      <sheetName val="소품"/>
      <sheetName val="C11"/>
      <sheetName val="산1"/>
      <sheetName val="산2.가.1"/>
      <sheetName val="산2.가.2"/>
      <sheetName val="산2.나"/>
      <sheetName val="설산1.가"/>
      <sheetName val="설산1.나"/>
      <sheetName val="설산2"/>
      <sheetName val="소산1.가"/>
      <sheetName val="소산1.나"/>
      <sheetName val="소산2"/>
      <sheetName val="산3"/>
      <sheetName val="산4"/>
      <sheetName val="산5"/>
      <sheetName val="산6"/>
      <sheetName val="산7"/>
      <sheetName val="산8"/>
      <sheetName val="산9"/>
      <sheetName val="산10"/>
      <sheetName val="산11"/>
      <sheetName val="C12"/>
      <sheetName val="산2_가_1"/>
      <sheetName val="산2_가_2"/>
      <sheetName val="산2_나"/>
      <sheetName val="설산1_가"/>
      <sheetName val="설산1_나"/>
      <sheetName val="소산1_가"/>
      <sheetName val="소산1_나"/>
      <sheetName val="현장지지물물량"/>
    </sheetNames>
    <sheetDataSet>
      <sheetData sheetId="0" refreshError="1"/>
      <sheetData sheetId="1" refreshError="1"/>
      <sheetData sheetId="2" refreshError="1"/>
      <sheetData sheetId="3" refreshError="1">
        <row r="10">
          <cell r="B10" t="str">
            <v>03980-028</v>
          </cell>
          <cell r="C10" t="str">
            <v>U-BOLT</v>
          </cell>
          <cell r="D10" t="str">
            <v>C S</v>
          </cell>
          <cell r="E10" t="str">
            <v>DN150</v>
          </cell>
          <cell r="G10" t="str">
            <v>16100-150</v>
          </cell>
          <cell r="H10">
            <v>4</v>
          </cell>
          <cell r="K10">
            <v>0.75800000000000001</v>
          </cell>
          <cell r="L10">
            <v>3.032</v>
          </cell>
          <cell r="M10">
            <v>760</v>
          </cell>
          <cell r="N10">
            <v>3040</v>
          </cell>
          <cell r="O10" t="str">
            <v>물정 '98.11.p78</v>
          </cell>
        </row>
        <row r="11">
          <cell r="B11" t="str">
            <v>03980-042</v>
          </cell>
          <cell r="C11" t="str">
            <v>STUD BOLT</v>
          </cell>
          <cell r="D11" t="str">
            <v>C S</v>
          </cell>
          <cell r="E11" t="str">
            <v>M15x60L</v>
          </cell>
          <cell r="G11" t="str">
            <v>16100-150</v>
          </cell>
          <cell r="H11">
            <v>24</v>
          </cell>
          <cell r="K11">
            <v>0.2</v>
          </cell>
          <cell r="L11">
            <v>4.8</v>
          </cell>
          <cell r="M11">
            <v>137</v>
          </cell>
          <cell r="N11">
            <v>3288</v>
          </cell>
          <cell r="O11" t="str">
            <v>물정 '98.11 p.74</v>
          </cell>
        </row>
        <row r="12">
          <cell r="B12" t="str">
            <v>03980-043</v>
          </cell>
          <cell r="C12" t="str">
            <v>PLATE</v>
          </cell>
          <cell r="D12" t="str">
            <v>C S</v>
          </cell>
          <cell r="E12" t="str">
            <v>PL200x38x12t</v>
          </cell>
          <cell r="G12" t="str">
            <v>16100-150</v>
          </cell>
          <cell r="H12">
            <v>4</v>
          </cell>
          <cell r="K12">
            <v>0.71599999999999997</v>
          </cell>
          <cell r="L12">
            <v>2.8639999999999999</v>
          </cell>
          <cell r="M12">
            <v>289</v>
          </cell>
          <cell r="N12">
            <v>1156</v>
          </cell>
          <cell r="O12" t="str">
            <v>물정 '98.11 p.50</v>
          </cell>
        </row>
        <row r="13">
          <cell r="B13" t="str">
            <v>03980-035</v>
          </cell>
          <cell r="C13" t="str">
            <v>PLATE</v>
          </cell>
          <cell r="D13" t="str">
            <v>C S</v>
          </cell>
          <cell r="E13" t="str">
            <v>PL200x200x12t</v>
          </cell>
          <cell r="G13" t="str">
            <v>16100-150</v>
          </cell>
          <cell r="H13">
            <v>7</v>
          </cell>
          <cell r="K13">
            <v>3.7679999999999998</v>
          </cell>
          <cell r="L13">
            <v>26.376000000000001</v>
          </cell>
          <cell r="M13">
            <v>1526</v>
          </cell>
          <cell r="N13">
            <v>10682</v>
          </cell>
          <cell r="O13" t="str">
            <v>물정 '98.11 p.50</v>
          </cell>
        </row>
        <row r="14">
          <cell r="B14" t="str">
            <v>03980-042</v>
          </cell>
          <cell r="C14" t="str">
            <v>PLATE</v>
          </cell>
          <cell r="D14" t="str">
            <v>C S</v>
          </cell>
          <cell r="E14" t="str">
            <v>PL150x150x9t</v>
          </cell>
          <cell r="G14" t="str">
            <v>16100-150</v>
          </cell>
          <cell r="H14">
            <v>2</v>
          </cell>
          <cell r="K14">
            <v>1.59</v>
          </cell>
          <cell r="L14">
            <v>3.18</v>
          </cell>
          <cell r="M14">
            <v>659</v>
          </cell>
          <cell r="N14">
            <v>1318</v>
          </cell>
          <cell r="O14" t="str">
            <v>물정 '98.11 p.50</v>
          </cell>
        </row>
        <row r="15">
          <cell r="B15" t="str">
            <v>03980-042</v>
          </cell>
          <cell r="C15" t="str">
            <v>PIPE STD WT</v>
          </cell>
          <cell r="D15" t="str">
            <v>C S</v>
          </cell>
          <cell r="E15" t="str">
            <v>DN100</v>
          </cell>
          <cell r="F15">
            <v>143</v>
          </cell>
          <cell r="G15" t="str">
            <v>16100-150</v>
          </cell>
          <cell r="H15">
            <v>2</v>
          </cell>
          <cell r="K15">
            <v>2.2999999999999998</v>
          </cell>
          <cell r="L15">
            <v>4.5999999999999996</v>
          </cell>
          <cell r="M15">
            <v>1301.443</v>
          </cell>
          <cell r="N15">
            <v>2602</v>
          </cell>
          <cell r="O15" t="str">
            <v>물자 '98.11 p.476</v>
          </cell>
        </row>
        <row r="16">
          <cell r="B16" t="str">
            <v>03980-028</v>
          </cell>
          <cell r="C16" t="str">
            <v>H-BEAM</v>
          </cell>
          <cell r="D16" t="str">
            <v>C S</v>
          </cell>
          <cell r="E16" t="str">
            <v>H100x100x6x8</v>
          </cell>
          <cell r="F16">
            <v>1385</v>
          </cell>
          <cell r="G16" t="str">
            <v>16100-150</v>
          </cell>
          <cell r="H16">
            <v>1</v>
          </cell>
          <cell r="K16">
            <v>23.821999999999999</v>
          </cell>
          <cell r="L16">
            <v>23.821999999999999</v>
          </cell>
          <cell r="M16">
            <v>11553</v>
          </cell>
          <cell r="N16">
            <v>11553</v>
          </cell>
          <cell r="O16" t="str">
            <v>물정 '98.11 p.47</v>
          </cell>
        </row>
        <row r="17">
          <cell r="B17" t="str">
            <v>03980-029</v>
          </cell>
          <cell r="C17" t="str">
            <v>H-BEAM</v>
          </cell>
          <cell r="D17" t="str">
            <v>C S</v>
          </cell>
          <cell r="E17" t="str">
            <v>H100x100x6x8</v>
          </cell>
          <cell r="F17">
            <v>1780</v>
          </cell>
          <cell r="G17" t="str">
            <v>16100-150</v>
          </cell>
          <cell r="H17">
            <v>1</v>
          </cell>
          <cell r="K17">
            <v>30.616</v>
          </cell>
          <cell r="L17">
            <v>30.616</v>
          </cell>
          <cell r="M17">
            <v>14848</v>
          </cell>
          <cell r="N17">
            <v>14848</v>
          </cell>
          <cell r="O17" t="str">
            <v>물정 '98.11 p.47</v>
          </cell>
        </row>
        <row r="18">
          <cell r="B18" t="str">
            <v>03980-035</v>
          </cell>
          <cell r="C18" t="str">
            <v>H-BEAM</v>
          </cell>
          <cell r="D18" t="str">
            <v>C S</v>
          </cell>
          <cell r="E18" t="str">
            <v>H100x100x6x8</v>
          </cell>
          <cell r="F18">
            <v>462</v>
          </cell>
          <cell r="G18" t="str">
            <v>16100-150</v>
          </cell>
          <cell r="H18">
            <v>1</v>
          </cell>
          <cell r="K18">
            <v>7.9470000000000001</v>
          </cell>
          <cell r="L18">
            <v>7.9470000000000001</v>
          </cell>
          <cell r="M18">
            <v>3854</v>
          </cell>
          <cell r="N18">
            <v>3854</v>
          </cell>
          <cell r="O18" t="str">
            <v>물정 '98.11 p.47</v>
          </cell>
        </row>
        <row r="19">
          <cell r="B19" t="str">
            <v>03980-028</v>
          </cell>
          <cell r="C19" t="str">
            <v>CLIP ANGLE</v>
          </cell>
          <cell r="D19" t="str">
            <v>C S</v>
          </cell>
          <cell r="E19" t="str">
            <v>L75x75x9</v>
          </cell>
          <cell r="F19">
            <v>50</v>
          </cell>
          <cell r="G19" t="str">
            <v>16100-150</v>
          </cell>
          <cell r="H19">
            <v>4</v>
          </cell>
          <cell r="K19">
            <v>0.498</v>
          </cell>
          <cell r="L19">
            <v>1.992</v>
          </cell>
          <cell r="M19">
            <v>196</v>
          </cell>
          <cell r="N19">
            <v>784</v>
          </cell>
          <cell r="O19" t="str">
            <v>물정 '98.11 p.45</v>
          </cell>
        </row>
        <row r="20">
          <cell r="B20" t="str">
            <v>03980-042</v>
          </cell>
          <cell r="C20" t="str">
            <v>CHANNEL</v>
          </cell>
          <cell r="D20" t="str">
            <v>C S</v>
          </cell>
          <cell r="E20" t="str">
            <v>C100x50x5x7.5</v>
          </cell>
          <cell r="F20">
            <v>628</v>
          </cell>
          <cell r="G20" t="str">
            <v>16100-150</v>
          </cell>
          <cell r="H20">
            <v>6</v>
          </cell>
          <cell r="K20">
            <v>5.8780000000000001</v>
          </cell>
          <cell r="L20">
            <v>35.268000000000001</v>
          </cell>
          <cell r="M20">
            <v>2468</v>
          </cell>
          <cell r="N20">
            <v>14808</v>
          </cell>
          <cell r="O20" t="str">
            <v>물정 '98.11 p.46</v>
          </cell>
        </row>
        <row r="21">
          <cell r="B21" t="str">
            <v>03980-042</v>
          </cell>
          <cell r="C21" t="str">
            <v>CHANNEL</v>
          </cell>
          <cell r="D21" t="str">
            <v>C S</v>
          </cell>
          <cell r="E21" t="str">
            <v>C100x50x5x7.5</v>
          </cell>
          <cell r="F21">
            <v>250</v>
          </cell>
          <cell r="G21" t="str">
            <v>16100-150</v>
          </cell>
          <cell r="H21">
            <v>6</v>
          </cell>
          <cell r="K21">
            <v>2.34</v>
          </cell>
          <cell r="L21">
            <v>14.04</v>
          </cell>
          <cell r="M21">
            <v>982</v>
          </cell>
          <cell r="N21">
            <v>5892</v>
          </cell>
          <cell r="O21" t="str">
            <v>물정 '98.11 p.46</v>
          </cell>
        </row>
        <row r="22">
          <cell r="B22" t="str">
            <v>03980-035</v>
          </cell>
          <cell r="C22" t="str">
            <v>ANGLE</v>
          </cell>
          <cell r="D22" t="str">
            <v>C S</v>
          </cell>
          <cell r="E22" t="str">
            <v>L75x75x9</v>
          </cell>
          <cell r="F22">
            <v>330</v>
          </cell>
          <cell r="G22" t="str">
            <v>16100-150</v>
          </cell>
          <cell r="H22">
            <v>1</v>
          </cell>
          <cell r="K22">
            <v>3.2869999999999999</v>
          </cell>
          <cell r="L22">
            <v>3.2869999999999999</v>
          </cell>
          <cell r="M22">
            <v>1295</v>
          </cell>
          <cell r="N22">
            <v>1295</v>
          </cell>
          <cell r="O22" t="str">
            <v>물정 '98.11 p.45</v>
          </cell>
        </row>
        <row r="23">
          <cell r="B23" t="str">
            <v>03980-044</v>
          </cell>
          <cell r="C23" t="str">
            <v>ANGLE</v>
          </cell>
          <cell r="D23" t="str">
            <v>C S</v>
          </cell>
          <cell r="E23" t="str">
            <v>L100x100x10</v>
          </cell>
          <cell r="F23">
            <v>280</v>
          </cell>
          <cell r="G23" t="str">
            <v>16100-150</v>
          </cell>
          <cell r="H23">
            <v>3</v>
          </cell>
          <cell r="K23">
            <v>4.1719999999999997</v>
          </cell>
          <cell r="L23">
            <v>12.516</v>
          </cell>
          <cell r="M23">
            <v>1756</v>
          </cell>
          <cell r="N23">
            <v>5268</v>
          </cell>
          <cell r="O23" t="str">
            <v>물정 '98.11 p.45</v>
          </cell>
        </row>
        <row r="24">
          <cell r="B24" t="str">
            <v>03980-044</v>
          </cell>
          <cell r="C24" t="str">
            <v>ANGLE</v>
          </cell>
          <cell r="D24" t="str">
            <v>C S</v>
          </cell>
          <cell r="E24" t="str">
            <v>L100x100x10</v>
          </cell>
          <cell r="F24">
            <v>250</v>
          </cell>
          <cell r="G24" t="str">
            <v>16100-150</v>
          </cell>
          <cell r="H24">
            <v>2</v>
          </cell>
          <cell r="K24">
            <v>3.7250000000000001</v>
          </cell>
          <cell r="L24">
            <v>7.45</v>
          </cell>
          <cell r="M24">
            <v>1568</v>
          </cell>
          <cell r="N24">
            <v>3136</v>
          </cell>
          <cell r="O24" t="str">
            <v>물정 '98.11 p.45</v>
          </cell>
        </row>
        <row r="25">
          <cell r="B25" t="str">
            <v>03980-045</v>
          </cell>
          <cell r="C25" t="str">
            <v>ANGLE</v>
          </cell>
          <cell r="D25" t="str">
            <v>C S</v>
          </cell>
          <cell r="E25" t="str">
            <v>L100x100x10</v>
          </cell>
          <cell r="F25">
            <v>535</v>
          </cell>
          <cell r="G25" t="str">
            <v>16100-150</v>
          </cell>
          <cell r="H25">
            <v>1</v>
          </cell>
          <cell r="K25">
            <v>7.9720000000000004</v>
          </cell>
          <cell r="L25">
            <v>7.9720000000000004</v>
          </cell>
          <cell r="M25">
            <v>3356</v>
          </cell>
          <cell r="N25">
            <v>3356</v>
          </cell>
          <cell r="O25" t="str">
            <v>물정 '98.11 p.45</v>
          </cell>
        </row>
        <row r="26">
          <cell r="B26" t="str">
            <v>03980-035</v>
          </cell>
          <cell r="C26" t="str">
            <v>ANCHOR BOLT</v>
          </cell>
          <cell r="D26" t="str">
            <v>C S</v>
          </cell>
          <cell r="E26" t="str">
            <v>M16x177L</v>
          </cell>
          <cell r="G26" t="str">
            <v>16100-150</v>
          </cell>
          <cell r="H26">
            <v>4</v>
          </cell>
          <cell r="K26">
            <v>0.34699999999999998</v>
          </cell>
          <cell r="L26">
            <v>1.3879999999999999</v>
          </cell>
          <cell r="M26">
            <v>1660</v>
          </cell>
          <cell r="N26">
            <v>6640</v>
          </cell>
          <cell r="O26" t="str">
            <v>견적가</v>
          </cell>
        </row>
        <row r="27">
          <cell r="B27" t="str">
            <v>03980-028</v>
          </cell>
          <cell r="C27" t="str">
            <v>U-BOLT</v>
          </cell>
          <cell r="D27" t="str">
            <v>C S</v>
          </cell>
          <cell r="E27" t="str">
            <v>DN100</v>
          </cell>
          <cell r="G27" t="str">
            <v>16100-100</v>
          </cell>
          <cell r="H27">
            <v>4</v>
          </cell>
          <cell r="K27">
            <v>0.54900000000000004</v>
          </cell>
          <cell r="L27">
            <v>2.1960000000000002</v>
          </cell>
          <cell r="M27">
            <v>510</v>
          </cell>
          <cell r="N27">
            <v>2040</v>
          </cell>
          <cell r="O27" t="str">
            <v>물정 '98.11.p78</v>
          </cell>
        </row>
        <row r="28">
          <cell r="B28" t="str">
            <v>03980-040</v>
          </cell>
          <cell r="C28" t="str">
            <v>STUD BOLT</v>
          </cell>
          <cell r="D28" t="str">
            <v>C S</v>
          </cell>
          <cell r="E28" t="str">
            <v>M15x60L</v>
          </cell>
          <cell r="G28" t="str">
            <v>16100-100</v>
          </cell>
          <cell r="H28">
            <v>12</v>
          </cell>
          <cell r="K28">
            <v>0.2</v>
          </cell>
          <cell r="L28">
            <v>2.4</v>
          </cell>
          <cell r="M28">
            <v>137</v>
          </cell>
          <cell r="N28">
            <v>1644</v>
          </cell>
          <cell r="O28" t="str">
            <v>물정 '98.11 p.74</v>
          </cell>
        </row>
        <row r="29">
          <cell r="B29" t="str">
            <v>03980-040</v>
          </cell>
          <cell r="C29" t="str">
            <v>PLATE</v>
          </cell>
          <cell r="D29" t="str">
            <v>C S</v>
          </cell>
          <cell r="E29" t="str">
            <v>PL200x200x12t</v>
          </cell>
          <cell r="G29" t="str">
            <v>16100-100</v>
          </cell>
          <cell r="H29">
            <v>3</v>
          </cell>
          <cell r="K29">
            <v>3.7679999999999998</v>
          </cell>
          <cell r="L29">
            <v>11.304</v>
          </cell>
          <cell r="M29">
            <v>1526</v>
          </cell>
          <cell r="N29">
            <v>4578</v>
          </cell>
          <cell r="O29" t="str">
            <v>물정 '98.11 p.50</v>
          </cell>
        </row>
        <row r="30">
          <cell r="B30" t="str">
            <v>03980-040</v>
          </cell>
          <cell r="C30" t="str">
            <v>PLATE</v>
          </cell>
          <cell r="D30" t="str">
            <v>C S</v>
          </cell>
          <cell r="E30" t="str">
            <v>PL180x150x12t</v>
          </cell>
          <cell r="G30" t="str">
            <v>16100-100</v>
          </cell>
          <cell r="H30">
            <v>3</v>
          </cell>
          <cell r="K30">
            <v>2.5430000000000001</v>
          </cell>
          <cell r="L30">
            <v>7.6289999999999996</v>
          </cell>
          <cell r="M30">
            <v>1029</v>
          </cell>
          <cell r="N30">
            <v>3087</v>
          </cell>
          <cell r="O30" t="str">
            <v>물정 '98.11 p.50</v>
          </cell>
        </row>
        <row r="31">
          <cell r="B31" t="str">
            <v>03980-040</v>
          </cell>
          <cell r="C31" t="str">
            <v>LUG PLATE</v>
          </cell>
          <cell r="D31" t="str">
            <v>S S</v>
          </cell>
          <cell r="E31" t="str">
            <v>PL100x50x12t</v>
          </cell>
          <cell r="G31" t="str">
            <v>16100-100</v>
          </cell>
          <cell r="H31">
            <v>2</v>
          </cell>
          <cell r="K31">
            <v>0.47099999999999997</v>
          </cell>
          <cell r="L31">
            <v>0.94199999999999995</v>
          </cell>
          <cell r="M31">
            <v>190</v>
          </cell>
          <cell r="N31">
            <v>380</v>
          </cell>
          <cell r="O31" t="str">
            <v>물정 '98.11 p.50</v>
          </cell>
        </row>
        <row r="32">
          <cell r="B32" t="str">
            <v>03980-027</v>
          </cell>
          <cell r="C32" t="str">
            <v>H-BEAM</v>
          </cell>
          <cell r="D32" t="str">
            <v>C S</v>
          </cell>
          <cell r="E32" t="str">
            <v>H100x100x6x8</v>
          </cell>
          <cell r="F32">
            <v>1385</v>
          </cell>
          <cell r="G32" t="str">
            <v>16100-100</v>
          </cell>
          <cell r="H32">
            <v>1</v>
          </cell>
          <cell r="K32">
            <v>23.821999999999999</v>
          </cell>
          <cell r="L32">
            <v>23.821999999999999</v>
          </cell>
          <cell r="M32">
            <v>11553</v>
          </cell>
          <cell r="N32">
            <v>11553</v>
          </cell>
          <cell r="O32" t="str">
            <v>물정 '98.11 p.47</v>
          </cell>
        </row>
        <row r="33">
          <cell r="B33" t="str">
            <v>03980-027</v>
          </cell>
          <cell r="C33" t="str">
            <v>CLIP ANGLE</v>
          </cell>
          <cell r="D33" t="str">
            <v>C S</v>
          </cell>
          <cell r="E33" t="str">
            <v>L75x75x9</v>
          </cell>
          <cell r="F33">
            <v>50</v>
          </cell>
          <cell r="G33" t="str">
            <v>16100-100</v>
          </cell>
          <cell r="H33">
            <v>2</v>
          </cell>
          <cell r="K33">
            <v>0.498</v>
          </cell>
          <cell r="L33">
            <v>0.996</v>
          </cell>
          <cell r="M33">
            <v>196</v>
          </cell>
          <cell r="N33">
            <v>392</v>
          </cell>
          <cell r="O33" t="str">
            <v>물정 '98.11 p.45</v>
          </cell>
        </row>
        <row r="34">
          <cell r="B34" t="str">
            <v>03980-040</v>
          </cell>
          <cell r="C34" t="str">
            <v>ANGLE</v>
          </cell>
          <cell r="D34" t="str">
            <v>C S</v>
          </cell>
          <cell r="E34" t="str">
            <v>L75x75x9</v>
          </cell>
          <cell r="F34">
            <v>252</v>
          </cell>
          <cell r="G34" t="str">
            <v>16100-100</v>
          </cell>
          <cell r="H34">
            <v>3</v>
          </cell>
          <cell r="K34">
            <v>2.5099999999999998</v>
          </cell>
          <cell r="L34">
            <v>7.53</v>
          </cell>
          <cell r="M34">
            <v>988</v>
          </cell>
          <cell r="N34">
            <v>2964</v>
          </cell>
          <cell r="O34" t="str">
            <v>물정 '98.11 p.45</v>
          </cell>
        </row>
        <row r="36">
          <cell r="B36" t="str">
            <v>03980-024</v>
          </cell>
          <cell r="C36" t="str">
            <v>U-BOLT</v>
          </cell>
          <cell r="D36" t="str">
            <v>C S</v>
          </cell>
          <cell r="E36" t="str">
            <v>DN150</v>
          </cell>
          <cell r="G36" t="str">
            <v>16200-150</v>
          </cell>
          <cell r="H36">
            <v>13</v>
          </cell>
          <cell r="K36">
            <v>0.75800000000000001</v>
          </cell>
          <cell r="L36">
            <v>9.8539999999999992</v>
          </cell>
          <cell r="M36">
            <v>2200</v>
          </cell>
          <cell r="N36">
            <v>28600</v>
          </cell>
          <cell r="O36" t="str">
            <v>물정 '98.11.p78</v>
          </cell>
        </row>
        <row r="37">
          <cell r="B37" t="str">
            <v>03980-024</v>
          </cell>
          <cell r="C37" t="str">
            <v>H-BEAM</v>
          </cell>
          <cell r="D37" t="str">
            <v>C S</v>
          </cell>
          <cell r="E37" t="str">
            <v>H100x100x6x8</v>
          </cell>
          <cell r="F37">
            <v>1385</v>
          </cell>
          <cell r="G37" t="str">
            <v>16200-150</v>
          </cell>
          <cell r="H37">
            <v>27</v>
          </cell>
          <cell r="K37">
            <v>23.821999999999999</v>
          </cell>
          <cell r="L37">
            <v>643.19399999999996</v>
          </cell>
          <cell r="M37">
            <v>11553</v>
          </cell>
          <cell r="N37">
            <v>311931</v>
          </cell>
          <cell r="O37" t="str">
            <v>물정 '98.11 p.47</v>
          </cell>
        </row>
        <row r="38">
          <cell r="B38" t="str">
            <v>03980-024</v>
          </cell>
          <cell r="C38" t="str">
            <v>CLIP ANGLE</v>
          </cell>
          <cell r="D38" t="str">
            <v>C S</v>
          </cell>
          <cell r="E38" t="str">
            <v>L75x75x9</v>
          </cell>
          <cell r="F38">
            <v>50</v>
          </cell>
          <cell r="G38" t="str">
            <v>16200-150</v>
          </cell>
          <cell r="H38">
            <v>54</v>
          </cell>
          <cell r="K38">
            <v>0.498</v>
          </cell>
          <cell r="L38">
            <v>26.891999999999999</v>
          </cell>
          <cell r="M38">
            <v>196</v>
          </cell>
          <cell r="N38">
            <v>10584</v>
          </cell>
          <cell r="O38" t="str">
            <v>물정 '98.11 p.45</v>
          </cell>
        </row>
        <row r="39">
          <cell r="B39" t="str">
            <v>03980-046</v>
          </cell>
          <cell r="C39" t="str">
            <v>ANGLE</v>
          </cell>
          <cell r="D39" t="str">
            <v>C S</v>
          </cell>
          <cell r="E39" t="str">
            <v>L100x100x10</v>
          </cell>
          <cell r="F39">
            <v>700</v>
          </cell>
          <cell r="G39" t="str">
            <v>16200-150</v>
          </cell>
          <cell r="H39">
            <v>5</v>
          </cell>
          <cell r="K39">
            <v>10.43</v>
          </cell>
          <cell r="L39">
            <v>52.15</v>
          </cell>
          <cell r="M39">
            <v>4391</v>
          </cell>
          <cell r="N39">
            <v>21955</v>
          </cell>
          <cell r="O39" t="str">
            <v>물정 '98.11 p.45</v>
          </cell>
        </row>
        <row r="40">
          <cell r="B40" t="str">
            <v>03980-026</v>
          </cell>
          <cell r="C40" t="str">
            <v>U-BOLT</v>
          </cell>
          <cell r="D40" t="str">
            <v>C S</v>
          </cell>
          <cell r="E40" t="str">
            <v>DN100</v>
          </cell>
          <cell r="G40" t="str">
            <v>16200-100</v>
          </cell>
          <cell r="H40">
            <v>16</v>
          </cell>
          <cell r="K40">
            <v>0.54900000000000004</v>
          </cell>
          <cell r="L40">
            <v>8.7840000000000007</v>
          </cell>
          <cell r="M40">
            <v>900</v>
          </cell>
          <cell r="N40">
            <v>14400</v>
          </cell>
          <cell r="O40" t="str">
            <v>물정 '98.11.p78</v>
          </cell>
        </row>
        <row r="41">
          <cell r="B41" t="str">
            <v>03980-026</v>
          </cell>
          <cell r="C41" t="str">
            <v>H-BEAM</v>
          </cell>
          <cell r="D41" t="str">
            <v>C S</v>
          </cell>
          <cell r="E41" t="str">
            <v>H100x100x6x8</v>
          </cell>
          <cell r="F41">
            <v>1385</v>
          </cell>
          <cell r="G41" t="str">
            <v>16200-100</v>
          </cell>
          <cell r="H41">
            <v>3</v>
          </cell>
          <cell r="K41">
            <v>23.821999999999999</v>
          </cell>
          <cell r="L41">
            <v>71.465999999999994</v>
          </cell>
          <cell r="M41">
            <v>11553</v>
          </cell>
          <cell r="N41">
            <v>34659</v>
          </cell>
          <cell r="O41" t="str">
            <v>물정 '98.11 p.47</v>
          </cell>
        </row>
        <row r="42">
          <cell r="B42" t="str">
            <v>03980-026</v>
          </cell>
          <cell r="C42" t="str">
            <v>CLIP ANGLE</v>
          </cell>
          <cell r="D42" t="str">
            <v>C S</v>
          </cell>
          <cell r="E42" t="str">
            <v>L75x75x9</v>
          </cell>
          <cell r="F42">
            <v>50</v>
          </cell>
          <cell r="G42" t="str">
            <v>16200-100</v>
          </cell>
          <cell r="H42">
            <v>6</v>
          </cell>
          <cell r="K42">
            <v>0.498</v>
          </cell>
          <cell r="L42">
            <v>2.988</v>
          </cell>
          <cell r="M42">
            <v>196</v>
          </cell>
          <cell r="N42">
            <v>1176</v>
          </cell>
          <cell r="O42" t="str">
            <v>물정 '98.11 p.45</v>
          </cell>
        </row>
        <row r="43">
          <cell r="B43" t="str">
            <v>03980-031</v>
          </cell>
          <cell r="C43" t="str">
            <v>H-BEAM</v>
          </cell>
          <cell r="D43" t="str">
            <v>C S</v>
          </cell>
          <cell r="E43" t="str">
            <v>H100x100x6x8</v>
          </cell>
          <cell r="F43">
            <v>700</v>
          </cell>
          <cell r="G43" t="str">
            <v>16200-100</v>
          </cell>
          <cell r="H43">
            <v>1</v>
          </cell>
          <cell r="K43">
            <v>12.04</v>
          </cell>
          <cell r="L43">
            <v>12.04</v>
          </cell>
          <cell r="M43">
            <v>5839</v>
          </cell>
          <cell r="N43">
            <v>5839</v>
          </cell>
          <cell r="O43" t="str">
            <v>물정 '98.11 p.47</v>
          </cell>
        </row>
        <row r="44">
          <cell r="B44" t="str">
            <v>03980-051</v>
          </cell>
          <cell r="C44" t="str">
            <v>ANGLE</v>
          </cell>
          <cell r="D44" t="str">
            <v>C S</v>
          </cell>
          <cell r="E44" t="str">
            <v>L75x75x9</v>
          </cell>
          <cell r="F44">
            <v>160</v>
          </cell>
          <cell r="G44" t="str">
            <v>16200-100</v>
          </cell>
          <cell r="H44">
            <v>3</v>
          </cell>
          <cell r="K44">
            <v>1.5940000000000001</v>
          </cell>
          <cell r="L44">
            <v>4.782</v>
          </cell>
          <cell r="M44">
            <v>628</v>
          </cell>
          <cell r="N44">
            <v>1884</v>
          </cell>
          <cell r="O44" t="str">
            <v>물정 '98.11 p.45</v>
          </cell>
        </row>
        <row r="45">
          <cell r="B45" t="str">
            <v>03980-052</v>
          </cell>
          <cell r="C45" t="str">
            <v>ANGLE</v>
          </cell>
          <cell r="D45" t="str">
            <v>C S</v>
          </cell>
          <cell r="E45" t="str">
            <v>L75x75x9</v>
          </cell>
          <cell r="F45">
            <v>460</v>
          </cell>
          <cell r="G45" t="str">
            <v>16200-100</v>
          </cell>
          <cell r="H45">
            <v>2</v>
          </cell>
          <cell r="K45">
            <v>4.5819999999999999</v>
          </cell>
          <cell r="L45">
            <v>9.1639999999999997</v>
          </cell>
          <cell r="M45">
            <v>1805</v>
          </cell>
          <cell r="N45">
            <v>3610</v>
          </cell>
          <cell r="O45" t="str">
            <v>물정 '98.11 p.45</v>
          </cell>
        </row>
        <row r="46">
          <cell r="B46" t="str">
            <v>03980-053</v>
          </cell>
          <cell r="C46" t="str">
            <v>STUD BOLT</v>
          </cell>
          <cell r="D46" t="str">
            <v>C S</v>
          </cell>
          <cell r="E46" t="str">
            <v>M15x60L</v>
          </cell>
          <cell r="G46" t="str">
            <v>16200-100</v>
          </cell>
          <cell r="H46">
            <v>16</v>
          </cell>
          <cell r="K46">
            <v>0.2</v>
          </cell>
          <cell r="L46">
            <v>3.2</v>
          </cell>
          <cell r="M46">
            <v>137</v>
          </cell>
          <cell r="N46">
            <v>2192</v>
          </cell>
          <cell r="O46" t="str">
            <v>물정 '98.11 p.74</v>
          </cell>
        </row>
        <row r="47">
          <cell r="B47" t="str">
            <v>03980-053</v>
          </cell>
          <cell r="C47" t="str">
            <v>PLATE</v>
          </cell>
          <cell r="D47" t="str">
            <v>C S</v>
          </cell>
          <cell r="E47" t="str">
            <v>PL200x200x12t</v>
          </cell>
          <cell r="G47" t="str">
            <v>16200-100</v>
          </cell>
          <cell r="H47">
            <v>4</v>
          </cell>
          <cell r="K47">
            <v>3.7679999999999998</v>
          </cell>
          <cell r="L47">
            <v>15.071999999999999</v>
          </cell>
          <cell r="M47">
            <v>1526</v>
          </cell>
          <cell r="N47">
            <v>6104</v>
          </cell>
          <cell r="O47" t="str">
            <v>물정 '98.11 p.50</v>
          </cell>
        </row>
        <row r="48">
          <cell r="B48" t="str">
            <v>03980-053</v>
          </cell>
          <cell r="C48" t="str">
            <v>PLATE</v>
          </cell>
          <cell r="D48" t="str">
            <v>C S</v>
          </cell>
          <cell r="E48" t="str">
            <v>PL200x150x12t</v>
          </cell>
          <cell r="G48" t="str">
            <v>16200-100</v>
          </cell>
          <cell r="H48">
            <v>4</v>
          </cell>
          <cell r="K48">
            <v>2.8260000000000001</v>
          </cell>
          <cell r="L48">
            <v>11.304</v>
          </cell>
          <cell r="M48">
            <v>1144</v>
          </cell>
          <cell r="N48">
            <v>4576</v>
          </cell>
          <cell r="O48" t="str">
            <v>물정 '98.11 p.50</v>
          </cell>
        </row>
        <row r="49">
          <cell r="B49" t="str">
            <v>03980-053</v>
          </cell>
          <cell r="C49" t="str">
            <v>LUG PLATE</v>
          </cell>
          <cell r="D49" t="str">
            <v>S S</v>
          </cell>
          <cell r="E49" t="str">
            <v>PL100x50x12t</v>
          </cell>
          <cell r="G49" t="str">
            <v>16200-100</v>
          </cell>
          <cell r="H49">
            <v>4</v>
          </cell>
          <cell r="K49">
            <v>0.47099999999999997</v>
          </cell>
          <cell r="L49">
            <v>1.8839999999999999</v>
          </cell>
          <cell r="M49">
            <v>190</v>
          </cell>
          <cell r="N49">
            <v>760</v>
          </cell>
          <cell r="O49" t="str">
            <v>물정 '98.11 p.50</v>
          </cell>
        </row>
        <row r="50">
          <cell r="B50" t="str">
            <v>03980-053</v>
          </cell>
          <cell r="C50" t="str">
            <v>ANGLE</v>
          </cell>
          <cell r="D50" t="str">
            <v>C S</v>
          </cell>
          <cell r="E50" t="str">
            <v>L75x75x9</v>
          </cell>
          <cell r="F50">
            <v>248</v>
          </cell>
          <cell r="G50" t="str">
            <v>16200-100</v>
          </cell>
          <cell r="H50">
            <v>4</v>
          </cell>
          <cell r="K50">
            <v>2.4710000000000001</v>
          </cell>
          <cell r="L50">
            <v>9.8840000000000003</v>
          </cell>
          <cell r="M50">
            <v>973</v>
          </cell>
          <cell r="N50">
            <v>3892</v>
          </cell>
          <cell r="O50" t="str">
            <v>물정 '98.11 p.45</v>
          </cell>
        </row>
        <row r="51">
          <cell r="B51" t="str">
            <v>03980-024</v>
          </cell>
          <cell r="C51" t="str">
            <v>U-BOLT</v>
          </cell>
          <cell r="D51" t="str">
            <v>C S</v>
          </cell>
          <cell r="E51" t="str">
            <v>DN 80</v>
          </cell>
          <cell r="G51" t="str">
            <v>16200- 80</v>
          </cell>
          <cell r="H51">
            <v>10</v>
          </cell>
          <cell r="K51">
            <v>0.25900000000000001</v>
          </cell>
          <cell r="L51">
            <v>2.59</v>
          </cell>
          <cell r="M51">
            <v>770</v>
          </cell>
          <cell r="N51">
            <v>7700</v>
          </cell>
          <cell r="O51" t="str">
            <v>물정 '98.11.p78</v>
          </cell>
        </row>
        <row r="52">
          <cell r="B52" t="str">
            <v>03980-033</v>
          </cell>
          <cell r="C52" t="str">
            <v>WEL'D BEAM ATTACH.</v>
          </cell>
          <cell r="D52" t="str">
            <v>C S</v>
          </cell>
          <cell r="E52" t="str">
            <v>M12</v>
          </cell>
          <cell r="G52" t="str">
            <v>16200- 80</v>
          </cell>
          <cell r="H52">
            <v>1</v>
          </cell>
          <cell r="K52">
            <v>0.59</v>
          </cell>
          <cell r="L52">
            <v>0.59</v>
          </cell>
          <cell r="M52">
            <v>4800</v>
          </cell>
          <cell r="N52">
            <v>4800</v>
          </cell>
          <cell r="O52" t="str">
            <v>견적가</v>
          </cell>
        </row>
        <row r="53">
          <cell r="B53" t="str">
            <v>03980-033</v>
          </cell>
          <cell r="C53" t="str">
            <v>THR'D ROD</v>
          </cell>
          <cell r="D53" t="str">
            <v>C S</v>
          </cell>
          <cell r="E53" t="str">
            <v>M12</v>
          </cell>
          <cell r="F53">
            <v>360</v>
          </cell>
          <cell r="G53" t="str">
            <v>16200- 80</v>
          </cell>
          <cell r="H53">
            <v>1</v>
          </cell>
          <cell r="K53">
            <v>0.28499999999999998</v>
          </cell>
          <cell r="L53">
            <v>0.28499999999999998</v>
          </cell>
          <cell r="M53">
            <v>3430</v>
          </cell>
          <cell r="N53">
            <v>3430</v>
          </cell>
          <cell r="O53" t="str">
            <v>견적가</v>
          </cell>
        </row>
        <row r="54">
          <cell r="B54" t="str">
            <v>03980-033</v>
          </cell>
          <cell r="C54" t="str">
            <v>PLATE</v>
          </cell>
          <cell r="D54" t="str">
            <v>C S</v>
          </cell>
          <cell r="E54" t="str">
            <v>PL200x200x12t</v>
          </cell>
          <cell r="G54" t="str">
            <v>16200- 80</v>
          </cell>
          <cell r="H54">
            <v>1</v>
          </cell>
          <cell r="K54">
            <v>3.7679999999999998</v>
          </cell>
          <cell r="L54">
            <v>3.7679999999999998</v>
          </cell>
          <cell r="M54">
            <v>1526</v>
          </cell>
          <cell r="N54">
            <v>1526</v>
          </cell>
          <cell r="O54" t="str">
            <v>물정 '98.11 p.50</v>
          </cell>
        </row>
        <row r="55">
          <cell r="B55" t="str">
            <v>03980-033</v>
          </cell>
          <cell r="C55" t="str">
            <v>EYE NUT</v>
          </cell>
          <cell r="D55" t="str">
            <v>C S</v>
          </cell>
          <cell r="E55" t="str">
            <v>M12</v>
          </cell>
          <cell r="G55" t="str">
            <v>16200- 80</v>
          </cell>
          <cell r="H55">
            <v>2</v>
          </cell>
          <cell r="K55">
            <v>0.28999999999999998</v>
          </cell>
          <cell r="L55">
            <v>0.57999999999999996</v>
          </cell>
          <cell r="M55">
            <v>1600</v>
          </cell>
          <cell r="N55">
            <v>3200</v>
          </cell>
          <cell r="O55" t="str">
            <v>견적가</v>
          </cell>
        </row>
        <row r="56">
          <cell r="B56" t="str">
            <v>03980-033</v>
          </cell>
          <cell r="C56" t="str">
            <v>CHANNEL</v>
          </cell>
          <cell r="D56" t="str">
            <v>C S</v>
          </cell>
          <cell r="E56" t="str">
            <v>C100x50x5x7.5</v>
          </cell>
          <cell r="F56">
            <v>500</v>
          </cell>
          <cell r="G56" t="str">
            <v>16200- 80</v>
          </cell>
          <cell r="H56">
            <v>1</v>
          </cell>
          <cell r="K56">
            <v>4.68</v>
          </cell>
          <cell r="L56">
            <v>4.68</v>
          </cell>
          <cell r="M56">
            <v>1965</v>
          </cell>
          <cell r="N56">
            <v>1965</v>
          </cell>
          <cell r="O56" t="str">
            <v>물정 '98.11 p.46</v>
          </cell>
        </row>
        <row r="57">
          <cell r="B57" t="str">
            <v>03980-033</v>
          </cell>
          <cell r="C57" t="str">
            <v>ANCHOR BOLT</v>
          </cell>
          <cell r="D57" t="str">
            <v>C S</v>
          </cell>
          <cell r="E57" t="str">
            <v>M12x155L</v>
          </cell>
          <cell r="G57" t="str">
            <v>16200- 80</v>
          </cell>
          <cell r="H57">
            <v>4</v>
          </cell>
          <cell r="K57">
            <v>0.124</v>
          </cell>
          <cell r="L57">
            <v>0.496</v>
          </cell>
          <cell r="M57">
            <v>1480</v>
          </cell>
          <cell r="N57">
            <v>5920</v>
          </cell>
          <cell r="O57" t="str">
            <v>견적가</v>
          </cell>
        </row>
        <row r="58">
          <cell r="B58" t="str">
            <v>03980-033</v>
          </cell>
          <cell r="C58" t="str">
            <v>3-BOLT PIPE CLAMP</v>
          </cell>
          <cell r="D58" t="str">
            <v>C S</v>
          </cell>
          <cell r="E58" t="str">
            <v>DN 80</v>
          </cell>
          <cell r="G58" t="str">
            <v>16200- 80</v>
          </cell>
          <cell r="H58">
            <v>1</v>
          </cell>
          <cell r="K58">
            <v>1.36</v>
          </cell>
          <cell r="L58">
            <v>1.36</v>
          </cell>
          <cell r="M58">
            <v>10000</v>
          </cell>
          <cell r="N58">
            <v>10000</v>
          </cell>
          <cell r="O58" t="str">
            <v>견적가</v>
          </cell>
        </row>
        <row r="60">
          <cell r="B60" t="str">
            <v>03980-026</v>
          </cell>
          <cell r="C60" t="str">
            <v>U-BOLT</v>
          </cell>
          <cell r="D60" t="str">
            <v>C S</v>
          </cell>
          <cell r="E60" t="str">
            <v>DN100</v>
          </cell>
          <cell r="G60" t="str">
            <v>16320-100</v>
          </cell>
          <cell r="H60">
            <v>3</v>
          </cell>
          <cell r="K60">
            <v>0.54900000000000004</v>
          </cell>
          <cell r="L60">
            <v>1.647</v>
          </cell>
          <cell r="M60">
            <v>510</v>
          </cell>
          <cell r="N60">
            <v>1530</v>
          </cell>
          <cell r="O60" t="str">
            <v>물정 '98.11.p78</v>
          </cell>
        </row>
        <row r="61">
          <cell r="B61" t="str">
            <v>03980-032</v>
          </cell>
          <cell r="C61" t="str">
            <v>PLATE</v>
          </cell>
          <cell r="D61" t="str">
            <v>C S</v>
          </cell>
          <cell r="E61" t="str">
            <v>PL200x200x12t</v>
          </cell>
          <cell r="G61" t="str">
            <v>16320-100</v>
          </cell>
          <cell r="H61">
            <v>2</v>
          </cell>
          <cell r="K61">
            <v>3.7679999999999998</v>
          </cell>
          <cell r="L61">
            <v>7.5359999999999996</v>
          </cell>
          <cell r="M61">
            <v>1526</v>
          </cell>
          <cell r="N61">
            <v>3052</v>
          </cell>
          <cell r="O61" t="str">
            <v>물정 '98.11 p.50</v>
          </cell>
        </row>
        <row r="62">
          <cell r="B62" t="str">
            <v>03980-025</v>
          </cell>
          <cell r="C62" t="str">
            <v>H-BEAM</v>
          </cell>
          <cell r="D62" t="str">
            <v>C S</v>
          </cell>
          <cell r="E62" t="str">
            <v>H100x100x6x8</v>
          </cell>
          <cell r="F62">
            <v>1385</v>
          </cell>
          <cell r="G62" t="str">
            <v>16320-100</v>
          </cell>
          <cell r="H62">
            <v>1</v>
          </cell>
          <cell r="K62">
            <v>23.821999999999999</v>
          </cell>
          <cell r="L62">
            <v>23.821999999999999</v>
          </cell>
          <cell r="M62">
            <v>11553</v>
          </cell>
          <cell r="N62">
            <v>11553</v>
          </cell>
          <cell r="O62" t="str">
            <v>물정 '98.11 p.47</v>
          </cell>
        </row>
        <row r="63">
          <cell r="B63" t="str">
            <v>03980-025</v>
          </cell>
          <cell r="C63" t="str">
            <v>CLIP ANGLE</v>
          </cell>
          <cell r="D63" t="str">
            <v>C S</v>
          </cell>
          <cell r="E63" t="str">
            <v>L75x75x9</v>
          </cell>
          <cell r="F63">
            <v>50</v>
          </cell>
          <cell r="G63" t="str">
            <v>16320-100</v>
          </cell>
          <cell r="H63">
            <v>2</v>
          </cell>
          <cell r="K63">
            <v>0.498</v>
          </cell>
          <cell r="L63">
            <v>0.996</v>
          </cell>
          <cell r="M63">
            <v>196</v>
          </cell>
          <cell r="N63">
            <v>392</v>
          </cell>
          <cell r="O63" t="str">
            <v>물정 '98.11 p.45</v>
          </cell>
        </row>
        <row r="64">
          <cell r="B64" t="str">
            <v>03980-032</v>
          </cell>
          <cell r="C64" t="str">
            <v>ANGLE</v>
          </cell>
          <cell r="D64" t="str">
            <v>C S</v>
          </cell>
          <cell r="E64" t="str">
            <v>L75x75x9</v>
          </cell>
          <cell r="F64">
            <v>527</v>
          </cell>
          <cell r="G64" t="str">
            <v>16320-100</v>
          </cell>
          <cell r="H64">
            <v>1</v>
          </cell>
          <cell r="K64">
            <v>5.2489999999999997</v>
          </cell>
          <cell r="L64">
            <v>5.2489999999999997</v>
          </cell>
          <cell r="M64">
            <v>2068</v>
          </cell>
          <cell r="N64">
            <v>2068</v>
          </cell>
          <cell r="O64" t="str">
            <v>물정 '98.11 p.45</v>
          </cell>
        </row>
        <row r="65">
          <cell r="B65" t="str">
            <v>03980-034</v>
          </cell>
          <cell r="C65" t="str">
            <v>ANGLE</v>
          </cell>
          <cell r="D65" t="str">
            <v>C S</v>
          </cell>
          <cell r="E65" t="str">
            <v>L75x75x9</v>
          </cell>
          <cell r="F65">
            <v>514</v>
          </cell>
          <cell r="G65" t="str">
            <v>16320-100</v>
          </cell>
          <cell r="H65">
            <v>1</v>
          </cell>
          <cell r="K65">
            <v>5.12</v>
          </cell>
          <cell r="L65">
            <v>5.12</v>
          </cell>
          <cell r="M65">
            <v>2017</v>
          </cell>
          <cell r="N65">
            <v>2017</v>
          </cell>
          <cell r="O65" t="str">
            <v>물정 '98.11 p.45</v>
          </cell>
        </row>
        <row r="66">
          <cell r="B66" t="str">
            <v>03980-032</v>
          </cell>
          <cell r="C66" t="str">
            <v>ANCHOR BOLT</v>
          </cell>
          <cell r="D66" t="str">
            <v>C S</v>
          </cell>
          <cell r="E66" t="str">
            <v>M12x155L</v>
          </cell>
          <cell r="G66" t="str">
            <v>16320-100</v>
          </cell>
          <cell r="H66">
            <v>8</v>
          </cell>
          <cell r="K66">
            <v>0.124</v>
          </cell>
          <cell r="L66">
            <v>0.99199999999999999</v>
          </cell>
          <cell r="M66">
            <v>1480</v>
          </cell>
          <cell r="N66">
            <v>11840</v>
          </cell>
          <cell r="O66" t="str">
            <v>견적가</v>
          </cell>
        </row>
        <row r="67">
          <cell r="B67" t="str">
            <v>03980-036</v>
          </cell>
          <cell r="C67" t="str">
            <v>WEL'D BEAM ATTACH.</v>
          </cell>
          <cell r="D67" t="str">
            <v>C S</v>
          </cell>
          <cell r="E67" t="str">
            <v>M12</v>
          </cell>
          <cell r="G67" t="str">
            <v>16320- 80</v>
          </cell>
          <cell r="H67">
            <v>1</v>
          </cell>
          <cell r="K67">
            <v>0.59</v>
          </cell>
          <cell r="L67">
            <v>0.59</v>
          </cell>
          <cell r="M67">
            <v>4800</v>
          </cell>
          <cell r="N67">
            <v>4800</v>
          </cell>
          <cell r="O67" t="str">
            <v>견적가</v>
          </cell>
        </row>
        <row r="68">
          <cell r="B68" t="str">
            <v>03980-037</v>
          </cell>
          <cell r="C68" t="str">
            <v>U-BOLT</v>
          </cell>
          <cell r="D68" t="str">
            <v>C S</v>
          </cell>
          <cell r="E68" t="str">
            <v>DN 80</v>
          </cell>
          <cell r="G68" t="str">
            <v>16320- 80</v>
          </cell>
          <cell r="H68">
            <v>11</v>
          </cell>
          <cell r="K68">
            <v>0.25900000000000001</v>
          </cell>
          <cell r="L68">
            <v>2.8490000000000002</v>
          </cell>
          <cell r="M68">
            <v>220</v>
          </cell>
          <cell r="N68">
            <v>2420</v>
          </cell>
          <cell r="O68" t="str">
            <v>물정 '98.11.p78</v>
          </cell>
        </row>
        <row r="69">
          <cell r="B69" t="str">
            <v>03980-036</v>
          </cell>
          <cell r="C69" t="str">
            <v>THR'D ROD</v>
          </cell>
          <cell r="D69" t="str">
            <v>C S</v>
          </cell>
          <cell r="E69" t="str">
            <v>M12</v>
          </cell>
          <cell r="F69">
            <v>1161</v>
          </cell>
          <cell r="G69" t="str">
            <v>16320- 80</v>
          </cell>
          <cell r="H69">
            <v>1</v>
          </cell>
          <cell r="K69">
            <v>0.91700000000000004</v>
          </cell>
          <cell r="L69">
            <v>0.91700000000000004</v>
          </cell>
          <cell r="M69">
            <v>3630</v>
          </cell>
          <cell r="N69">
            <v>3630</v>
          </cell>
          <cell r="O69" t="str">
            <v>견적가</v>
          </cell>
        </row>
        <row r="70">
          <cell r="B70" t="str">
            <v>03980-037</v>
          </cell>
          <cell r="C70" t="str">
            <v>PLATE</v>
          </cell>
          <cell r="D70" t="str">
            <v>C S</v>
          </cell>
          <cell r="E70" t="str">
            <v>PL200x200x12t</v>
          </cell>
          <cell r="G70" t="str">
            <v>16320- 80</v>
          </cell>
          <cell r="H70">
            <v>3</v>
          </cell>
          <cell r="K70">
            <v>3.7679999999999998</v>
          </cell>
          <cell r="L70">
            <v>11.304</v>
          </cell>
          <cell r="M70">
            <v>1526</v>
          </cell>
          <cell r="N70">
            <v>4578</v>
          </cell>
          <cell r="O70" t="str">
            <v>물정 '98.11 p.50</v>
          </cell>
        </row>
        <row r="71">
          <cell r="B71" t="str">
            <v>03980-037</v>
          </cell>
          <cell r="C71" t="str">
            <v>H-BEAM</v>
          </cell>
          <cell r="D71" t="str">
            <v>C S</v>
          </cell>
          <cell r="E71" t="str">
            <v>H100x100x6x8</v>
          </cell>
          <cell r="F71">
            <v>284</v>
          </cell>
          <cell r="G71" t="str">
            <v>16320- 80</v>
          </cell>
          <cell r="H71">
            <v>1</v>
          </cell>
          <cell r="K71">
            <v>4.8849999999999998</v>
          </cell>
          <cell r="L71">
            <v>4.8849999999999998</v>
          </cell>
          <cell r="M71">
            <v>2369</v>
          </cell>
          <cell r="N71">
            <v>2369</v>
          </cell>
          <cell r="O71" t="str">
            <v>물정 '98.11 p.47</v>
          </cell>
        </row>
        <row r="72">
          <cell r="B72" t="str">
            <v>03980-036</v>
          </cell>
          <cell r="C72" t="str">
            <v>EYE NUT</v>
          </cell>
          <cell r="D72" t="str">
            <v>C S</v>
          </cell>
          <cell r="E72" t="str">
            <v>M12</v>
          </cell>
          <cell r="G72" t="str">
            <v>16320- 80</v>
          </cell>
          <cell r="H72">
            <v>2</v>
          </cell>
          <cell r="K72">
            <v>0.28999999999999998</v>
          </cell>
          <cell r="L72">
            <v>0.57999999999999996</v>
          </cell>
          <cell r="M72">
            <v>1600</v>
          </cell>
          <cell r="N72">
            <v>3200</v>
          </cell>
          <cell r="O72" t="str">
            <v>견적가</v>
          </cell>
        </row>
        <row r="73">
          <cell r="B73" t="str">
            <v>03980-036</v>
          </cell>
          <cell r="C73" t="str">
            <v>CHANNEL</v>
          </cell>
          <cell r="D73" t="str">
            <v>C S</v>
          </cell>
          <cell r="E73" t="str">
            <v>C100x50x5x7.5</v>
          </cell>
          <cell r="F73">
            <v>450</v>
          </cell>
          <cell r="G73" t="str">
            <v>16320- 80</v>
          </cell>
          <cell r="H73">
            <v>1</v>
          </cell>
          <cell r="K73">
            <v>4.2119999999999997</v>
          </cell>
          <cell r="L73">
            <v>4.2119999999999997</v>
          </cell>
          <cell r="M73">
            <v>1769</v>
          </cell>
          <cell r="N73">
            <v>1769</v>
          </cell>
          <cell r="O73" t="str">
            <v>물정 '98.11 p.46</v>
          </cell>
        </row>
        <row r="74">
          <cell r="B74" t="str">
            <v>03980-037</v>
          </cell>
          <cell r="C74" t="str">
            <v>ANGLE</v>
          </cell>
          <cell r="D74" t="str">
            <v>C S</v>
          </cell>
          <cell r="E74" t="str">
            <v>L75x75x9</v>
          </cell>
          <cell r="F74">
            <v>225</v>
          </cell>
          <cell r="G74" t="str">
            <v>16320- 80</v>
          </cell>
          <cell r="H74">
            <v>1</v>
          </cell>
          <cell r="K74">
            <v>2.2410000000000001</v>
          </cell>
          <cell r="L74">
            <v>2.2410000000000001</v>
          </cell>
          <cell r="M74">
            <v>882</v>
          </cell>
          <cell r="N74">
            <v>882</v>
          </cell>
          <cell r="O74" t="str">
            <v>물정 '98.11 p.45</v>
          </cell>
        </row>
        <row r="75">
          <cell r="B75" t="str">
            <v>03980-038</v>
          </cell>
          <cell r="C75" t="str">
            <v>ANGLE</v>
          </cell>
          <cell r="D75" t="str">
            <v>C S</v>
          </cell>
          <cell r="E75" t="str">
            <v>L75x75x9</v>
          </cell>
          <cell r="F75">
            <v>284</v>
          </cell>
          <cell r="G75" t="str">
            <v>16320- 80</v>
          </cell>
          <cell r="H75">
            <v>2</v>
          </cell>
          <cell r="K75">
            <v>2.8290000000000002</v>
          </cell>
          <cell r="L75">
            <v>5.6580000000000004</v>
          </cell>
          <cell r="M75">
            <v>1114</v>
          </cell>
          <cell r="N75">
            <v>2228</v>
          </cell>
          <cell r="O75" t="str">
            <v>물정 '98.11 p.45</v>
          </cell>
        </row>
        <row r="76">
          <cell r="B76" t="str">
            <v>03980-060</v>
          </cell>
          <cell r="C76" t="str">
            <v>ANGLE</v>
          </cell>
          <cell r="D76" t="str">
            <v>C S</v>
          </cell>
          <cell r="E76" t="str">
            <v>L75x75x9</v>
          </cell>
          <cell r="F76">
            <v>430</v>
          </cell>
          <cell r="G76" t="str">
            <v>16320- 80</v>
          </cell>
          <cell r="H76">
            <v>1</v>
          </cell>
          <cell r="K76">
            <v>4.2830000000000004</v>
          </cell>
          <cell r="L76">
            <v>4.2830000000000004</v>
          </cell>
          <cell r="M76">
            <v>1687</v>
          </cell>
          <cell r="N76">
            <v>1687</v>
          </cell>
          <cell r="O76" t="str">
            <v>물정 '98.11 p.45</v>
          </cell>
        </row>
        <row r="77">
          <cell r="B77" t="str">
            <v>03980-037</v>
          </cell>
          <cell r="C77" t="str">
            <v>ANCHOR BOLT</v>
          </cell>
          <cell r="D77" t="str">
            <v>C S</v>
          </cell>
          <cell r="E77" t="str">
            <v>M12x155L</v>
          </cell>
          <cell r="G77" t="str">
            <v>16320- 80</v>
          </cell>
          <cell r="H77">
            <v>8</v>
          </cell>
          <cell r="K77">
            <v>0.124</v>
          </cell>
          <cell r="L77">
            <v>0.99199999999999999</v>
          </cell>
          <cell r="M77">
            <v>1480</v>
          </cell>
          <cell r="N77">
            <v>11840</v>
          </cell>
          <cell r="O77" t="str">
            <v>견적가</v>
          </cell>
        </row>
        <row r="78">
          <cell r="B78" t="str">
            <v>03980-036</v>
          </cell>
          <cell r="C78" t="str">
            <v>3-BOLT PIPE CLAMP</v>
          </cell>
          <cell r="D78" t="str">
            <v>C S</v>
          </cell>
          <cell r="E78" t="str">
            <v>DN 80</v>
          </cell>
          <cell r="G78" t="str">
            <v>16320- 80</v>
          </cell>
          <cell r="H78">
            <v>1</v>
          </cell>
          <cell r="K78">
            <v>1.36</v>
          </cell>
          <cell r="L78">
            <v>1.36</v>
          </cell>
          <cell r="M78">
            <v>10000</v>
          </cell>
          <cell r="N78">
            <v>10000</v>
          </cell>
          <cell r="O78" t="str">
            <v>견적가</v>
          </cell>
        </row>
        <row r="80">
          <cell r="B80" t="str">
            <v>03980-072</v>
          </cell>
          <cell r="C80" t="str">
            <v>PLATE</v>
          </cell>
          <cell r="D80" t="str">
            <v>C S</v>
          </cell>
          <cell r="E80" t="str">
            <v>PL300x300x15t</v>
          </cell>
          <cell r="G80" t="str">
            <v>22100-200</v>
          </cell>
          <cell r="H80">
            <v>2</v>
          </cell>
          <cell r="K80">
            <v>10.602</v>
          </cell>
          <cell r="L80">
            <v>21.204000000000001</v>
          </cell>
          <cell r="M80">
            <v>4293</v>
          </cell>
          <cell r="N80">
            <v>8586</v>
          </cell>
          <cell r="O80" t="str">
            <v>물정 '98.11 p.50</v>
          </cell>
        </row>
        <row r="81">
          <cell r="B81" t="str">
            <v>03980-072</v>
          </cell>
          <cell r="C81" t="str">
            <v>PLATE</v>
          </cell>
          <cell r="D81" t="str">
            <v>C S</v>
          </cell>
          <cell r="E81" t="str">
            <v>PL107x70x9t</v>
          </cell>
          <cell r="G81" t="str">
            <v>22100-200</v>
          </cell>
          <cell r="H81">
            <v>8</v>
          </cell>
          <cell r="K81">
            <v>0.52900000000000003</v>
          </cell>
          <cell r="L81">
            <v>4.2320000000000002</v>
          </cell>
          <cell r="M81">
            <v>219</v>
          </cell>
          <cell r="N81">
            <v>1752</v>
          </cell>
          <cell r="O81" t="str">
            <v>물정 '98.11 p.50</v>
          </cell>
        </row>
        <row r="82">
          <cell r="B82" t="str">
            <v>03980-077</v>
          </cell>
          <cell r="C82" t="str">
            <v>H-BEAM</v>
          </cell>
          <cell r="D82" t="str">
            <v>C S</v>
          </cell>
          <cell r="E82" t="str">
            <v>H150x150x7x9</v>
          </cell>
          <cell r="F82">
            <v>3300</v>
          </cell>
          <cell r="G82" t="str">
            <v>22100-200</v>
          </cell>
          <cell r="H82">
            <v>1</v>
          </cell>
          <cell r="K82">
            <v>103.95</v>
          </cell>
          <cell r="L82">
            <v>103.95</v>
          </cell>
          <cell r="M82">
            <v>50415</v>
          </cell>
          <cell r="N82">
            <v>50415</v>
          </cell>
          <cell r="O82" t="str">
            <v>물정 '98.11 p.47</v>
          </cell>
        </row>
        <row r="83">
          <cell r="B83" t="str">
            <v>03980-077</v>
          </cell>
          <cell r="C83" t="str">
            <v>H-BEAM</v>
          </cell>
          <cell r="D83" t="str">
            <v>C S</v>
          </cell>
          <cell r="E83" t="str">
            <v>H150x150x7x9</v>
          </cell>
          <cell r="F83">
            <v>535</v>
          </cell>
          <cell r="G83" t="str">
            <v>22100-200</v>
          </cell>
          <cell r="H83">
            <v>2</v>
          </cell>
          <cell r="K83">
            <v>16.853000000000002</v>
          </cell>
          <cell r="L83">
            <v>33.706000000000003</v>
          </cell>
          <cell r="M83">
            <v>8173</v>
          </cell>
          <cell r="N83">
            <v>16346</v>
          </cell>
          <cell r="O83" t="str">
            <v>물정 '98.11 p.47</v>
          </cell>
        </row>
        <row r="84">
          <cell r="B84" t="str">
            <v>03980-072</v>
          </cell>
          <cell r="C84" t="str">
            <v>H-BEAM</v>
          </cell>
          <cell r="D84" t="str">
            <v>C S</v>
          </cell>
          <cell r="E84" t="str">
            <v>H100x100x6x8</v>
          </cell>
          <cell r="F84">
            <v>200</v>
          </cell>
          <cell r="G84" t="str">
            <v>22100-200</v>
          </cell>
          <cell r="H84">
            <v>2</v>
          </cell>
          <cell r="K84">
            <v>3.44</v>
          </cell>
          <cell r="L84">
            <v>6.88</v>
          </cell>
          <cell r="M84">
            <v>1668</v>
          </cell>
          <cell r="N84">
            <v>3336</v>
          </cell>
          <cell r="O84" t="str">
            <v>물정 '98.11 p.47</v>
          </cell>
        </row>
        <row r="85">
          <cell r="B85" t="str">
            <v>03980-072</v>
          </cell>
          <cell r="C85" t="str">
            <v>CT</v>
          </cell>
          <cell r="D85" t="str">
            <v>C S</v>
          </cell>
          <cell r="E85" t="str">
            <v>CT100x150x6x9</v>
          </cell>
          <cell r="F85">
            <v>200</v>
          </cell>
          <cell r="G85" t="str">
            <v>22100-200</v>
          </cell>
          <cell r="H85">
            <v>2</v>
          </cell>
          <cell r="K85">
            <v>3.06</v>
          </cell>
          <cell r="L85">
            <v>6.12</v>
          </cell>
          <cell r="M85">
            <v>1569</v>
          </cell>
          <cell r="N85">
            <v>3138</v>
          </cell>
          <cell r="O85" t="str">
            <v>물정 '98.11 p.48</v>
          </cell>
        </row>
        <row r="86">
          <cell r="B86" t="str">
            <v>03980-072</v>
          </cell>
          <cell r="C86" t="str">
            <v>ANCHOR BOLT</v>
          </cell>
          <cell r="D86" t="str">
            <v>C S</v>
          </cell>
          <cell r="E86" t="str">
            <v>M16x177L</v>
          </cell>
          <cell r="G86" t="str">
            <v>22100-200</v>
          </cell>
          <cell r="H86">
            <v>12</v>
          </cell>
          <cell r="K86">
            <v>0.34699999999999998</v>
          </cell>
          <cell r="L86">
            <v>4.1639999999999997</v>
          </cell>
          <cell r="M86">
            <v>1660</v>
          </cell>
          <cell r="N86">
            <v>19920</v>
          </cell>
          <cell r="O86" t="str">
            <v>견적가</v>
          </cell>
        </row>
        <row r="87">
          <cell r="B87" t="str">
            <v>03980-073</v>
          </cell>
          <cell r="C87" t="str">
            <v>PLATE</v>
          </cell>
          <cell r="D87" t="str">
            <v>C S</v>
          </cell>
          <cell r="E87" t="str">
            <v>PL300x300x15t</v>
          </cell>
          <cell r="G87" t="str">
            <v>22100-300</v>
          </cell>
          <cell r="H87">
            <v>4</v>
          </cell>
          <cell r="K87">
            <v>10.602</v>
          </cell>
          <cell r="L87">
            <v>42.408000000000001</v>
          </cell>
          <cell r="M87">
            <v>4293</v>
          </cell>
          <cell r="N87">
            <v>17172</v>
          </cell>
          <cell r="O87" t="str">
            <v>물정 '98.11 p.50</v>
          </cell>
        </row>
        <row r="88">
          <cell r="B88" t="str">
            <v>03980-077</v>
          </cell>
          <cell r="C88" t="str">
            <v>PLATE</v>
          </cell>
          <cell r="D88" t="str">
            <v>C S</v>
          </cell>
          <cell r="E88" t="str">
            <v>PL300x250x15t</v>
          </cell>
          <cell r="G88" t="str">
            <v>22100-300</v>
          </cell>
          <cell r="H88">
            <v>2</v>
          </cell>
          <cell r="K88">
            <v>8.8350000000000009</v>
          </cell>
          <cell r="L88">
            <v>17.670000000000002</v>
          </cell>
          <cell r="M88">
            <v>3578</v>
          </cell>
          <cell r="N88">
            <v>7156</v>
          </cell>
          <cell r="O88" t="str">
            <v>물정 '98.11 p.50</v>
          </cell>
        </row>
        <row r="89">
          <cell r="B89" t="str">
            <v>03980-102</v>
          </cell>
          <cell r="C89" t="str">
            <v>PLATE</v>
          </cell>
          <cell r="D89" t="str">
            <v>C S</v>
          </cell>
          <cell r="E89" t="str">
            <v>PL300x240x9t</v>
          </cell>
          <cell r="G89" t="str">
            <v>22100-300</v>
          </cell>
          <cell r="H89">
            <v>12</v>
          </cell>
          <cell r="K89">
            <v>5.0869999999999997</v>
          </cell>
          <cell r="L89">
            <v>61.043999999999997</v>
          </cell>
          <cell r="M89">
            <v>2111</v>
          </cell>
          <cell r="N89">
            <v>25332</v>
          </cell>
          <cell r="O89" t="str">
            <v>물정 '98.11 p.50</v>
          </cell>
        </row>
        <row r="90">
          <cell r="B90" t="str">
            <v>03980-084</v>
          </cell>
          <cell r="C90" t="str">
            <v>PLATE</v>
          </cell>
          <cell r="D90" t="str">
            <v>C S</v>
          </cell>
          <cell r="E90" t="str">
            <v>PL270x270x12t</v>
          </cell>
          <cell r="G90" t="str">
            <v>22100-300</v>
          </cell>
          <cell r="H90">
            <v>6</v>
          </cell>
          <cell r="K90">
            <v>6.867</v>
          </cell>
          <cell r="L90">
            <v>41.201999999999998</v>
          </cell>
          <cell r="M90">
            <v>2781</v>
          </cell>
          <cell r="N90">
            <v>16686</v>
          </cell>
          <cell r="O90" t="str">
            <v>물정 '98.11 p.50</v>
          </cell>
        </row>
        <row r="91">
          <cell r="B91" t="str">
            <v>03980-103</v>
          </cell>
          <cell r="C91" t="str">
            <v>PLATE</v>
          </cell>
          <cell r="D91" t="str">
            <v>C S</v>
          </cell>
          <cell r="E91" t="str">
            <v>PL250x98x15t</v>
          </cell>
          <cell r="G91" t="str">
            <v>22100-300</v>
          </cell>
          <cell r="H91">
            <v>20</v>
          </cell>
          <cell r="K91">
            <v>2.8860000000000001</v>
          </cell>
          <cell r="L91">
            <v>57.72</v>
          </cell>
          <cell r="M91">
            <v>1168</v>
          </cell>
          <cell r="N91">
            <v>23360</v>
          </cell>
          <cell r="O91" t="str">
            <v>물정 '98.11 p.50</v>
          </cell>
        </row>
        <row r="92">
          <cell r="B92" t="str">
            <v>03980-074</v>
          </cell>
          <cell r="C92" t="str">
            <v>PLATE</v>
          </cell>
          <cell r="D92" t="str">
            <v>C S</v>
          </cell>
          <cell r="E92" t="str">
            <v>PL220x100x15t</v>
          </cell>
          <cell r="G92" t="str">
            <v>22100-300</v>
          </cell>
          <cell r="H92">
            <v>8</v>
          </cell>
          <cell r="K92">
            <v>2.5920000000000001</v>
          </cell>
          <cell r="L92">
            <v>20.736000000000001</v>
          </cell>
          <cell r="M92">
            <v>1049</v>
          </cell>
          <cell r="N92">
            <v>8392</v>
          </cell>
          <cell r="O92" t="str">
            <v>물정 '98.11 p.50</v>
          </cell>
        </row>
        <row r="93">
          <cell r="B93" t="str">
            <v>03980-102</v>
          </cell>
          <cell r="C93" t="str">
            <v>PLATE</v>
          </cell>
          <cell r="D93" t="str">
            <v>C S</v>
          </cell>
          <cell r="E93" t="str">
            <v>PL200x200x9t</v>
          </cell>
          <cell r="G93" t="str">
            <v>22100-300</v>
          </cell>
          <cell r="H93">
            <v>4</v>
          </cell>
          <cell r="K93">
            <v>2.8260000000000001</v>
          </cell>
          <cell r="L93">
            <v>11.304</v>
          </cell>
          <cell r="M93">
            <v>1172</v>
          </cell>
          <cell r="N93">
            <v>4688</v>
          </cell>
          <cell r="O93" t="str">
            <v>물정 '98.11 p.50</v>
          </cell>
        </row>
        <row r="94">
          <cell r="B94" t="str">
            <v>03980-081</v>
          </cell>
          <cell r="C94" t="str">
            <v>PLATE</v>
          </cell>
          <cell r="D94" t="str">
            <v>C S</v>
          </cell>
          <cell r="E94" t="str">
            <v>PL150x50x15t</v>
          </cell>
          <cell r="G94" t="str">
            <v>22100-300</v>
          </cell>
          <cell r="H94">
            <v>42</v>
          </cell>
          <cell r="K94">
            <v>0.88400000000000001</v>
          </cell>
          <cell r="L94">
            <v>37.128</v>
          </cell>
          <cell r="M94">
            <v>358</v>
          </cell>
          <cell r="N94">
            <v>15036</v>
          </cell>
          <cell r="O94" t="str">
            <v>물정 '98.11 p.50</v>
          </cell>
        </row>
        <row r="95">
          <cell r="B95" t="str">
            <v>03980-102</v>
          </cell>
          <cell r="C95" t="str">
            <v>PLATE</v>
          </cell>
          <cell r="D95" t="str">
            <v>C S</v>
          </cell>
          <cell r="E95" t="str">
            <v>PL140x98x15t</v>
          </cell>
          <cell r="G95" t="str">
            <v>22100-300</v>
          </cell>
          <cell r="H95">
            <v>4</v>
          </cell>
          <cell r="K95">
            <v>1.6160000000000001</v>
          </cell>
          <cell r="L95">
            <v>6.4640000000000004</v>
          </cell>
          <cell r="M95">
            <v>654</v>
          </cell>
          <cell r="N95">
            <v>2616</v>
          </cell>
          <cell r="O95" t="str">
            <v>물정 '98.11 p.50</v>
          </cell>
        </row>
        <row r="96">
          <cell r="B96" t="str">
            <v>03980-073</v>
          </cell>
          <cell r="C96" t="str">
            <v>PLATE</v>
          </cell>
          <cell r="D96" t="str">
            <v>C S</v>
          </cell>
          <cell r="E96" t="str">
            <v>PL103x96x10t</v>
          </cell>
          <cell r="G96" t="str">
            <v>22100-300</v>
          </cell>
          <cell r="H96">
            <v>384</v>
          </cell>
          <cell r="K96">
            <v>0.77600000000000002</v>
          </cell>
          <cell r="L96">
            <v>297.98399999999998</v>
          </cell>
          <cell r="M96">
            <v>314</v>
          </cell>
          <cell r="N96">
            <v>120576</v>
          </cell>
          <cell r="O96" t="str">
            <v>물정 '98.11 p.50</v>
          </cell>
        </row>
        <row r="97">
          <cell r="B97" t="str">
            <v>03980-084</v>
          </cell>
          <cell r="C97" t="str">
            <v>PIPE STD WT</v>
          </cell>
          <cell r="D97" t="str">
            <v>C S</v>
          </cell>
          <cell r="E97" t="str">
            <v>DN200</v>
          </cell>
          <cell r="F97">
            <v>128</v>
          </cell>
          <cell r="G97" t="str">
            <v>22100-300</v>
          </cell>
          <cell r="H97">
            <v>6</v>
          </cell>
          <cell r="K97">
            <v>5.484</v>
          </cell>
          <cell r="L97">
            <v>32.904000000000003</v>
          </cell>
          <cell r="M97">
            <v>312.32</v>
          </cell>
          <cell r="N97">
            <v>1873</v>
          </cell>
          <cell r="O97" t="str">
            <v>물자 '98.11 p.476</v>
          </cell>
        </row>
        <row r="98">
          <cell r="B98" t="str">
            <v>03980-102</v>
          </cell>
          <cell r="C98" t="str">
            <v>PIPE STD WT</v>
          </cell>
          <cell r="D98" t="str">
            <v>C S</v>
          </cell>
          <cell r="E98" t="str">
            <v>DN150</v>
          </cell>
          <cell r="F98">
            <v>220</v>
          </cell>
          <cell r="G98" t="str">
            <v>22100-300</v>
          </cell>
          <cell r="H98">
            <v>4</v>
          </cell>
          <cell r="K98">
            <v>6.22</v>
          </cell>
          <cell r="L98">
            <v>24.88</v>
          </cell>
          <cell r="M98">
            <v>3582.26</v>
          </cell>
          <cell r="N98">
            <v>14329</v>
          </cell>
          <cell r="O98" t="str">
            <v>물자 '98.11 p.476</v>
          </cell>
        </row>
        <row r="99">
          <cell r="B99" t="str">
            <v>03980-101</v>
          </cell>
          <cell r="C99" t="str">
            <v>H-BEAM</v>
          </cell>
          <cell r="D99" t="str">
            <v>C S</v>
          </cell>
          <cell r="E99" t="str">
            <v>H150x150x7x9</v>
          </cell>
          <cell r="F99">
            <v>302</v>
          </cell>
          <cell r="G99" t="str">
            <v>22100-300</v>
          </cell>
          <cell r="H99">
            <v>2</v>
          </cell>
          <cell r="K99">
            <v>9.5129999999999999</v>
          </cell>
          <cell r="L99">
            <v>19.026</v>
          </cell>
          <cell r="M99">
            <v>4613</v>
          </cell>
          <cell r="N99">
            <v>9226</v>
          </cell>
          <cell r="O99" t="str">
            <v>물정 '98.11 p.47</v>
          </cell>
        </row>
        <row r="100">
          <cell r="B100" t="str">
            <v>03980-087</v>
          </cell>
          <cell r="C100" t="str">
            <v>H-BEAM</v>
          </cell>
          <cell r="D100" t="str">
            <v>C S</v>
          </cell>
          <cell r="E100" t="str">
            <v>H150x100x6x9</v>
          </cell>
          <cell r="F100">
            <v>775</v>
          </cell>
          <cell r="G100" t="str">
            <v>22100-300</v>
          </cell>
          <cell r="H100">
            <v>5</v>
          </cell>
          <cell r="K100">
            <v>16.353000000000002</v>
          </cell>
          <cell r="L100">
            <v>81.765000000000001</v>
          </cell>
          <cell r="M100">
            <v>7931</v>
          </cell>
          <cell r="N100">
            <v>39655</v>
          </cell>
          <cell r="O100" t="str">
            <v>물정 '98.11 p.47</v>
          </cell>
        </row>
        <row r="101">
          <cell r="B101" t="str">
            <v>03980-087</v>
          </cell>
          <cell r="C101" t="str">
            <v>H-BEAM</v>
          </cell>
          <cell r="D101" t="str">
            <v>C S</v>
          </cell>
          <cell r="E101" t="str">
            <v>H150x100x6x9</v>
          </cell>
          <cell r="F101">
            <v>1800</v>
          </cell>
          <cell r="G101" t="str">
            <v>22100-300</v>
          </cell>
          <cell r="H101">
            <v>10</v>
          </cell>
          <cell r="K101">
            <v>37.979999999999997</v>
          </cell>
          <cell r="L101">
            <v>379.8</v>
          </cell>
          <cell r="M101">
            <v>18420</v>
          </cell>
          <cell r="N101">
            <v>184200</v>
          </cell>
          <cell r="O101" t="str">
            <v>물정 '98.11 p.47</v>
          </cell>
        </row>
        <row r="102">
          <cell r="B102" t="str">
            <v>03980-073</v>
          </cell>
          <cell r="C102" t="str">
            <v>H-BEAM</v>
          </cell>
          <cell r="D102" t="str">
            <v>C S</v>
          </cell>
          <cell r="E102" t="str">
            <v>H100x100x6x8</v>
          </cell>
          <cell r="F102">
            <v>520</v>
          </cell>
          <cell r="G102" t="str">
            <v>22100-300</v>
          </cell>
          <cell r="H102">
            <v>2</v>
          </cell>
          <cell r="K102">
            <v>8.9440000000000008</v>
          </cell>
          <cell r="L102">
            <v>17.888000000000002</v>
          </cell>
          <cell r="M102">
            <v>4337</v>
          </cell>
          <cell r="N102">
            <v>8674</v>
          </cell>
          <cell r="O102" t="str">
            <v>물정 '98.11 p.47</v>
          </cell>
        </row>
        <row r="103">
          <cell r="B103" t="str">
            <v>03980-091</v>
          </cell>
          <cell r="C103" t="str">
            <v>H-BEAM</v>
          </cell>
          <cell r="D103" t="str">
            <v>C S</v>
          </cell>
          <cell r="E103" t="str">
            <v>H100x100x6x8</v>
          </cell>
          <cell r="F103">
            <v>1000</v>
          </cell>
          <cell r="G103" t="str">
            <v>22100-300</v>
          </cell>
          <cell r="H103">
            <v>3</v>
          </cell>
          <cell r="K103">
            <v>17.2</v>
          </cell>
          <cell r="L103">
            <v>51.6</v>
          </cell>
          <cell r="M103">
            <v>8342</v>
          </cell>
          <cell r="N103">
            <v>25026</v>
          </cell>
          <cell r="O103" t="str">
            <v>물정 '98.11 p.47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8">
          <cell r="A8" t="str">
            <v>HBY</v>
          </cell>
        </row>
        <row r="9">
          <cell r="A9" t="str">
            <v>85500-001</v>
          </cell>
          <cell r="B9" t="str">
            <v>ANCHOR BOLT</v>
          </cell>
          <cell r="C9" t="str">
            <v>C S</v>
          </cell>
          <cell r="D9" t="str">
            <v>M10x80L</v>
          </cell>
          <cell r="F9" t="str">
            <v>71730-150</v>
          </cell>
          <cell r="G9">
            <v>64</v>
          </cell>
          <cell r="H9">
            <v>0.11</v>
          </cell>
          <cell r="I9">
            <v>7.04</v>
          </cell>
        </row>
        <row r="10">
          <cell r="A10" t="str">
            <v>85500-001</v>
          </cell>
          <cell r="B10" t="str">
            <v>ANGLE</v>
          </cell>
          <cell r="C10" t="str">
            <v>C S</v>
          </cell>
          <cell r="D10" t="str">
            <v>L50X50X6</v>
          </cell>
          <cell r="E10">
            <v>1800</v>
          </cell>
          <cell r="F10" t="str">
            <v>71730-150</v>
          </cell>
          <cell r="G10">
            <v>1</v>
          </cell>
          <cell r="H10">
            <v>27.02</v>
          </cell>
          <cell r="I10">
            <v>27.02</v>
          </cell>
          <cell r="J10">
            <v>0.05</v>
          </cell>
        </row>
        <row r="11">
          <cell r="A11" t="str">
            <v>85500-001</v>
          </cell>
          <cell r="B11" t="str">
            <v>CHANNEL</v>
          </cell>
          <cell r="C11" t="str">
            <v>C S</v>
          </cell>
          <cell r="D11" t="str">
            <v>ㄷ100x50x5</v>
          </cell>
          <cell r="E11">
            <v>6100</v>
          </cell>
          <cell r="F11" t="str">
            <v>71730-150</v>
          </cell>
          <cell r="G11">
            <v>1</v>
          </cell>
          <cell r="H11">
            <v>57.1</v>
          </cell>
          <cell r="I11">
            <v>57.1</v>
          </cell>
          <cell r="J11">
            <v>0.05</v>
          </cell>
        </row>
        <row r="12">
          <cell r="A12" t="str">
            <v>85500-001</v>
          </cell>
          <cell r="B12" t="str">
            <v>CHANNEL</v>
          </cell>
          <cell r="C12" t="str">
            <v>C S</v>
          </cell>
          <cell r="D12" t="str">
            <v>ㄷ100x50x5</v>
          </cell>
          <cell r="E12">
            <v>2150</v>
          </cell>
          <cell r="F12" t="str">
            <v>71730-150</v>
          </cell>
          <cell r="G12">
            <v>5</v>
          </cell>
          <cell r="H12">
            <v>20.12</v>
          </cell>
          <cell r="I12">
            <v>100.6</v>
          </cell>
          <cell r="J12">
            <v>0.05</v>
          </cell>
        </row>
        <row r="13">
          <cell r="A13" t="str">
            <v>85500-001</v>
          </cell>
          <cell r="B13" t="str">
            <v>CHANNEL</v>
          </cell>
          <cell r="C13" t="str">
            <v>C S</v>
          </cell>
          <cell r="D13" t="str">
            <v>ㄷ100x50x5</v>
          </cell>
          <cell r="E13">
            <v>1900</v>
          </cell>
          <cell r="F13" t="str">
            <v>71730-150</v>
          </cell>
          <cell r="G13">
            <v>3</v>
          </cell>
          <cell r="H13">
            <v>17.78</v>
          </cell>
          <cell r="I13">
            <v>53.34</v>
          </cell>
          <cell r="J13">
            <v>0.05</v>
          </cell>
        </row>
        <row r="14">
          <cell r="A14" t="str">
            <v>85500-001</v>
          </cell>
          <cell r="B14" t="str">
            <v>STEEL PLATE</v>
          </cell>
          <cell r="C14" t="str">
            <v>C S</v>
          </cell>
          <cell r="D14" t="str">
            <v>PL150x150x9</v>
          </cell>
          <cell r="F14" t="str">
            <v>71730-150</v>
          </cell>
          <cell r="G14">
            <v>16</v>
          </cell>
          <cell r="H14">
            <v>1.59</v>
          </cell>
          <cell r="I14">
            <v>25.44</v>
          </cell>
          <cell r="J14">
            <v>0.1</v>
          </cell>
        </row>
        <row r="15">
          <cell r="A15" t="str">
            <v>85500-001</v>
          </cell>
          <cell r="B15" t="str">
            <v>U-BOLT</v>
          </cell>
          <cell r="C15" t="str">
            <v>C S</v>
          </cell>
          <cell r="D15" t="str">
            <v>DN150</v>
          </cell>
          <cell r="F15" t="str">
            <v>71730-150</v>
          </cell>
          <cell r="G15">
            <v>22</v>
          </cell>
          <cell r="H15">
            <v>1.1499999999999999</v>
          </cell>
          <cell r="I15">
            <v>25.3</v>
          </cell>
        </row>
        <row r="16">
          <cell r="A16" t="str">
            <v>85500-002</v>
          </cell>
          <cell r="B16" t="str">
            <v>ANCHOR BOLT</v>
          </cell>
          <cell r="C16" t="str">
            <v>C S</v>
          </cell>
          <cell r="D16" t="str">
            <v>M10x80L</v>
          </cell>
          <cell r="F16" t="str">
            <v>71730-125</v>
          </cell>
          <cell r="G16">
            <v>20</v>
          </cell>
          <cell r="H16">
            <v>0.11</v>
          </cell>
          <cell r="I16">
            <v>2.2000000000000002</v>
          </cell>
        </row>
        <row r="17">
          <cell r="A17" t="str">
            <v>85500-002</v>
          </cell>
          <cell r="B17" t="str">
            <v>CHANNEL</v>
          </cell>
          <cell r="C17" t="str">
            <v>C S</v>
          </cell>
          <cell r="D17" t="str">
            <v>ㄷ100x50x5</v>
          </cell>
          <cell r="E17">
            <v>2710</v>
          </cell>
          <cell r="F17" t="str">
            <v>71730-125</v>
          </cell>
          <cell r="G17">
            <v>1</v>
          </cell>
          <cell r="H17">
            <v>25.37</v>
          </cell>
          <cell r="I17">
            <v>25.37</v>
          </cell>
          <cell r="J17">
            <v>0.05</v>
          </cell>
        </row>
        <row r="18">
          <cell r="A18" t="str">
            <v>85500-002</v>
          </cell>
          <cell r="B18" t="str">
            <v>CHANNEL</v>
          </cell>
          <cell r="C18" t="str">
            <v>C S</v>
          </cell>
          <cell r="D18" t="str">
            <v>ㄷ100x50x5</v>
          </cell>
          <cell r="E18">
            <v>2230</v>
          </cell>
          <cell r="F18" t="str">
            <v>71730-125</v>
          </cell>
          <cell r="G18">
            <v>1</v>
          </cell>
          <cell r="H18">
            <v>20.87</v>
          </cell>
          <cell r="I18">
            <v>20.87</v>
          </cell>
          <cell r="J18">
            <v>0.05</v>
          </cell>
        </row>
        <row r="19">
          <cell r="A19" t="str">
            <v>85500-002</v>
          </cell>
          <cell r="B19" t="str">
            <v>CHANNEL</v>
          </cell>
          <cell r="C19" t="str">
            <v>C S</v>
          </cell>
          <cell r="D19" t="str">
            <v>ㄷ100x50x5</v>
          </cell>
          <cell r="E19">
            <v>3200</v>
          </cell>
          <cell r="F19" t="str">
            <v>71730-125</v>
          </cell>
          <cell r="G19">
            <v>1</v>
          </cell>
          <cell r="H19">
            <v>29.55</v>
          </cell>
          <cell r="I19">
            <v>29.55</v>
          </cell>
          <cell r="J19">
            <v>0.05</v>
          </cell>
        </row>
        <row r="20">
          <cell r="A20" t="str">
            <v>85500-002</v>
          </cell>
          <cell r="B20" t="str">
            <v>STEEL PLATE</v>
          </cell>
          <cell r="C20" t="str">
            <v>C S</v>
          </cell>
          <cell r="D20" t="str">
            <v>PL150x150x9</v>
          </cell>
          <cell r="F20" t="str">
            <v>71730-125</v>
          </cell>
          <cell r="G20">
            <v>5</v>
          </cell>
          <cell r="H20">
            <v>1.59</v>
          </cell>
          <cell r="I20">
            <v>7.95</v>
          </cell>
          <cell r="J20">
            <v>0.1</v>
          </cell>
        </row>
        <row r="21">
          <cell r="A21" t="str">
            <v>85500-002</v>
          </cell>
          <cell r="B21" t="str">
            <v>U-BOLT</v>
          </cell>
          <cell r="C21" t="str">
            <v>C S</v>
          </cell>
          <cell r="D21" t="str">
            <v>DN125</v>
          </cell>
          <cell r="F21" t="str">
            <v>71730-125</v>
          </cell>
          <cell r="G21">
            <v>10</v>
          </cell>
          <cell r="H21">
            <v>1</v>
          </cell>
          <cell r="I21">
            <v>10</v>
          </cell>
        </row>
        <row r="22">
          <cell r="A22" t="str">
            <v>85500-005</v>
          </cell>
          <cell r="B22" t="str">
            <v>ANGLE</v>
          </cell>
          <cell r="C22" t="str">
            <v>C S</v>
          </cell>
          <cell r="D22" t="str">
            <v>L50X50X6</v>
          </cell>
          <cell r="E22">
            <v>1000</v>
          </cell>
          <cell r="F22" t="str">
            <v>71730- 50</v>
          </cell>
          <cell r="G22">
            <v>15</v>
          </cell>
          <cell r="H22">
            <v>4.43</v>
          </cell>
          <cell r="I22">
            <v>66.45</v>
          </cell>
          <cell r="J22">
            <v>0.05</v>
          </cell>
        </row>
        <row r="23">
          <cell r="A23" t="str">
            <v>85500-005</v>
          </cell>
          <cell r="B23" t="str">
            <v>ANGLE</v>
          </cell>
          <cell r="C23" t="str">
            <v>C S</v>
          </cell>
          <cell r="D23" t="str">
            <v>L50X50X6</v>
          </cell>
          <cell r="E23">
            <v>500</v>
          </cell>
          <cell r="F23" t="str">
            <v>71730- 50</v>
          </cell>
          <cell r="G23">
            <v>8</v>
          </cell>
          <cell r="H23">
            <v>2.2000000000000002</v>
          </cell>
          <cell r="I23">
            <v>17.600000000000001</v>
          </cell>
          <cell r="J23">
            <v>0.05</v>
          </cell>
        </row>
        <row r="24">
          <cell r="A24" t="str">
            <v>85500-006</v>
          </cell>
          <cell r="B24" t="str">
            <v>ANGLE</v>
          </cell>
          <cell r="C24" t="str">
            <v>C S</v>
          </cell>
          <cell r="D24" t="str">
            <v>L50X50X6</v>
          </cell>
          <cell r="E24">
            <v>1100</v>
          </cell>
          <cell r="F24" t="str">
            <v>71730- 50</v>
          </cell>
          <cell r="G24">
            <v>8</v>
          </cell>
          <cell r="H24">
            <v>4.87</v>
          </cell>
          <cell r="I24">
            <v>38.96</v>
          </cell>
          <cell r="J24">
            <v>0.05</v>
          </cell>
        </row>
        <row r="25">
          <cell r="A25" t="str">
            <v>85500-005</v>
          </cell>
          <cell r="B25" t="str">
            <v>STEEL PLATE</v>
          </cell>
          <cell r="C25" t="str">
            <v>C S</v>
          </cell>
          <cell r="D25" t="str">
            <v>PL150x150x9</v>
          </cell>
          <cell r="F25" t="str">
            <v>71730- 50</v>
          </cell>
          <cell r="G25">
            <v>31</v>
          </cell>
          <cell r="H25">
            <v>1.59</v>
          </cell>
          <cell r="I25">
            <v>49.29</v>
          </cell>
          <cell r="J25">
            <v>0.1</v>
          </cell>
        </row>
        <row r="26">
          <cell r="A26" t="str">
            <v>85500-005</v>
          </cell>
          <cell r="B26" t="str">
            <v>U-BOLT</v>
          </cell>
          <cell r="C26" t="str">
            <v>C S</v>
          </cell>
          <cell r="D26" t="str">
            <v>DN50</v>
          </cell>
          <cell r="F26" t="str">
            <v>71730- 50</v>
          </cell>
          <cell r="G26">
            <v>62</v>
          </cell>
          <cell r="H26">
            <v>0.17</v>
          </cell>
          <cell r="I26">
            <v>10.54</v>
          </cell>
        </row>
        <row r="27">
          <cell r="A27" t="str">
            <v>85500-004</v>
          </cell>
          <cell r="B27" t="str">
            <v>ANGLE</v>
          </cell>
          <cell r="C27" t="str">
            <v>C S</v>
          </cell>
          <cell r="D27" t="str">
            <v>L50X50X6</v>
          </cell>
          <cell r="E27">
            <v>1800</v>
          </cell>
          <cell r="F27" t="str">
            <v>71730- 25</v>
          </cell>
          <cell r="G27">
            <v>13</v>
          </cell>
          <cell r="H27">
            <v>7.97</v>
          </cell>
          <cell r="I27">
            <v>103.61</v>
          </cell>
          <cell r="J27">
            <v>0.05</v>
          </cell>
        </row>
        <row r="28">
          <cell r="A28" t="str">
            <v>85500-005</v>
          </cell>
          <cell r="B28" t="str">
            <v>ANGLE</v>
          </cell>
          <cell r="C28" t="str">
            <v>C S</v>
          </cell>
          <cell r="D28" t="str">
            <v>L50X50X6</v>
          </cell>
          <cell r="E28">
            <v>500</v>
          </cell>
          <cell r="F28" t="str">
            <v>71730- 25</v>
          </cell>
          <cell r="G28">
            <v>4</v>
          </cell>
          <cell r="H28">
            <v>2.2200000000000002</v>
          </cell>
          <cell r="I28">
            <v>8.8800000000000008</v>
          </cell>
          <cell r="J28">
            <v>0.05</v>
          </cell>
        </row>
        <row r="29">
          <cell r="A29" t="str">
            <v>85500-006</v>
          </cell>
          <cell r="B29" t="str">
            <v>ANGLE</v>
          </cell>
          <cell r="C29" t="str">
            <v>C S</v>
          </cell>
          <cell r="D29" t="str">
            <v>L50X50X6</v>
          </cell>
          <cell r="E29">
            <v>1100</v>
          </cell>
          <cell r="F29" t="str">
            <v>71730- 25</v>
          </cell>
          <cell r="G29">
            <v>10</v>
          </cell>
          <cell r="H29">
            <v>4.87</v>
          </cell>
          <cell r="I29">
            <v>48.7</v>
          </cell>
          <cell r="J29">
            <v>0.05</v>
          </cell>
        </row>
        <row r="30">
          <cell r="A30" t="str">
            <v>85500-006</v>
          </cell>
          <cell r="B30" t="str">
            <v>ANGLE</v>
          </cell>
          <cell r="C30" t="str">
            <v>C S</v>
          </cell>
          <cell r="D30" t="str">
            <v>L50X50X6</v>
          </cell>
          <cell r="E30">
            <v>2100</v>
          </cell>
          <cell r="F30" t="str">
            <v>71730- 25</v>
          </cell>
          <cell r="G30">
            <v>10</v>
          </cell>
          <cell r="H30">
            <v>9.3000000000000007</v>
          </cell>
          <cell r="I30">
            <v>93</v>
          </cell>
          <cell r="J30">
            <v>0.05</v>
          </cell>
        </row>
        <row r="31">
          <cell r="A31" t="str">
            <v>85500-008</v>
          </cell>
          <cell r="B31" t="str">
            <v>ANGLE</v>
          </cell>
          <cell r="C31" t="str">
            <v>C S</v>
          </cell>
          <cell r="D31" t="str">
            <v>L50X50X6</v>
          </cell>
          <cell r="E31">
            <v>2000</v>
          </cell>
          <cell r="F31" t="str">
            <v>71730- 25</v>
          </cell>
          <cell r="G31">
            <v>1</v>
          </cell>
          <cell r="H31">
            <v>8.86</v>
          </cell>
          <cell r="I31">
            <v>8.86</v>
          </cell>
          <cell r="J31">
            <v>0.05</v>
          </cell>
        </row>
        <row r="32">
          <cell r="A32" t="str">
            <v>85500-004</v>
          </cell>
          <cell r="B32" t="str">
            <v>STEEL PLATE</v>
          </cell>
          <cell r="C32" t="str">
            <v>C S</v>
          </cell>
          <cell r="D32" t="str">
            <v>PL150x150x9</v>
          </cell>
          <cell r="F32" t="str">
            <v>71730- 25</v>
          </cell>
          <cell r="G32">
            <v>38</v>
          </cell>
          <cell r="H32">
            <v>1.59</v>
          </cell>
          <cell r="I32">
            <v>60.42</v>
          </cell>
          <cell r="J32">
            <v>0.1</v>
          </cell>
        </row>
        <row r="33">
          <cell r="A33" t="str">
            <v>85500-004</v>
          </cell>
          <cell r="B33" t="str">
            <v>U-BOLT</v>
          </cell>
          <cell r="C33" t="str">
            <v>C S</v>
          </cell>
          <cell r="D33" t="str">
            <v>DN25</v>
          </cell>
          <cell r="F33" t="str">
            <v>71730- 25</v>
          </cell>
          <cell r="G33">
            <v>47</v>
          </cell>
          <cell r="H33">
            <v>0.14000000000000001</v>
          </cell>
          <cell r="I33">
            <v>6.58</v>
          </cell>
        </row>
        <row r="35">
          <cell r="A35" t="str">
            <v>XBK</v>
          </cell>
        </row>
        <row r="36">
          <cell r="A36" t="str">
            <v>85500-002</v>
          </cell>
          <cell r="B36" t="str">
            <v>ANCHOR BOLT</v>
          </cell>
          <cell r="C36" t="str">
            <v>C S</v>
          </cell>
          <cell r="D36" t="str">
            <v>M10x80L</v>
          </cell>
          <cell r="F36" t="str">
            <v>71730-150</v>
          </cell>
          <cell r="G36">
            <v>36</v>
          </cell>
          <cell r="H36">
            <v>0.11</v>
          </cell>
          <cell r="I36">
            <v>3.96</v>
          </cell>
        </row>
        <row r="37">
          <cell r="A37" t="str">
            <v>85500-002</v>
          </cell>
          <cell r="B37" t="str">
            <v>CHANNEL</v>
          </cell>
          <cell r="C37" t="str">
            <v>C S</v>
          </cell>
          <cell r="D37" t="str">
            <v>ㄷ100x50x5</v>
          </cell>
          <cell r="E37">
            <v>2700</v>
          </cell>
          <cell r="F37" t="str">
            <v>71730-150</v>
          </cell>
          <cell r="G37">
            <v>4</v>
          </cell>
          <cell r="H37">
            <v>25.27</v>
          </cell>
          <cell r="I37">
            <v>101.08</v>
          </cell>
          <cell r="J37">
            <v>0.05</v>
          </cell>
        </row>
        <row r="38">
          <cell r="A38" t="str">
            <v>85500-002</v>
          </cell>
          <cell r="B38" t="str">
            <v>CHANNEL</v>
          </cell>
          <cell r="C38" t="str">
            <v>C S</v>
          </cell>
          <cell r="D38" t="str">
            <v>ㄷ100x50x5</v>
          </cell>
          <cell r="E38">
            <v>300</v>
          </cell>
          <cell r="F38" t="str">
            <v>71730-150</v>
          </cell>
          <cell r="G38">
            <v>1</v>
          </cell>
          <cell r="H38">
            <v>2.81</v>
          </cell>
          <cell r="I38">
            <v>2.81</v>
          </cell>
          <cell r="J38">
            <v>0.05</v>
          </cell>
        </row>
        <row r="39">
          <cell r="A39" t="str">
            <v>85500-002</v>
          </cell>
          <cell r="B39" t="str">
            <v>H-BEAM</v>
          </cell>
          <cell r="C39" t="str">
            <v>C S</v>
          </cell>
          <cell r="D39" t="str">
            <v>H100X100X6X8</v>
          </cell>
          <cell r="E39">
            <v>2300</v>
          </cell>
          <cell r="F39" t="str">
            <v>71730-150</v>
          </cell>
          <cell r="G39">
            <v>1</v>
          </cell>
          <cell r="H39">
            <v>39.56</v>
          </cell>
          <cell r="I39">
            <v>39.56</v>
          </cell>
          <cell r="J39">
            <v>7.0000000000000007E-2</v>
          </cell>
        </row>
        <row r="40">
          <cell r="A40" t="str">
            <v>85500-008</v>
          </cell>
          <cell r="B40" t="str">
            <v>H-BEAM</v>
          </cell>
          <cell r="C40" t="str">
            <v>C S</v>
          </cell>
          <cell r="D40" t="str">
            <v>H100X100X6X8</v>
          </cell>
          <cell r="E40">
            <v>5900</v>
          </cell>
          <cell r="F40" t="str">
            <v>71730-150</v>
          </cell>
          <cell r="G40">
            <v>4</v>
          </cell>
          <cell r="H40">
            <v>101.48</v>
          </cell>
          <cell r="I40">
            <v>405.92</v>
          </cell>
          <cell r="J40">
            <v>7.0000000000000007E-2</v>
          </cell>
        </row>
        <row r="41">
          <cell r="A41" t="str">
            <v>85500-002</v>
          </cell>
          <cell r="B41" t="str">
            <v>STEEL PLATE</v>
          </cell>
          <cell r="C41" t="str">
            <v>C S</v>
          </cell>
          <cell r="D41" t="str">
            <v>PL150x150x9</v>
          </cell>
          <cell r="F41" t="str">
            <v>71730-150</v>
          </cell>
          <cell r="G41">
            <v>17</v>
          </cell>
          <cell r="H41">
            <v>1.59</v>
          </cell>
          <cell r="I41">
            <v>27.03</v>
          </cell>
          <cell r="J41">
            <v>0.1</v>
          </cell>
        </row>
        <row r="42">
          <cell r="A42" t="str">
            <v>85500-002</v>
          </cell>
          <cell r="B42" t="str">
            <v>U-BOLT</v>
          </cell>
          <cell r="C42" t="str">
            <v>C S</v>
          </cell>
          <cell r="D42" t="str">
            <v>DN150</v>
          </cell>
          <cell r="F42" t="str">
            <v>71730-150</v>
          </cell>
          <cell r="G42">
            <v>17</v>
          </cell>
          <cell r="H42">
            <v>1.1499999999999999</v>
          </cell>
          <cell r="I42">
            <v>19.55</v>
          </cell>
        </row>
        <row r="43">
          <cell r="A43" t="str">
            <v>85500-002</v>
          </cell>
          <cell r="B43" t="str">
            <v>ANCHOR BOLT</v>
          </cell>
          <cell r="C43" t="str">
            <v>C S</v>
          </cell>
          <cell r="D43" t="str">
            <v>M10x80L</v>
          </cell>
          <cell r="F43" t="str">
            <v>71730-125</v>
          </cell>
          <cell r="G43">
            <v>16</v>
          </cell>
          <cell r="H43">
            <v>0.11</v>
          </cell>
          <cell r="I43">
            <v>1.76</v>
          </cell>
        </row>
        <row r="44">
          <cell r="A44" t="str">
            <v>85500-002</v>
          </cell>
          <cell r="B44" t="str">
            <v>CHANNEL</v>
          </cell>
          <cell r="C44" t="str">
            <v>C S</v>
          </cell>
          <cell r="D44" t="str">
            <v>ㄷ100x50x5</v>
          </cell>
          <cell r="E44">
            <v>300</v>
          </cell>
          <cell r="F44" t="str">
            <v>71730-125</v>
          </cell>
          <cell r="G44">
            <v>2</v>
          </cell>
          <cell r="H44">
            <v>2.81</v>
          </cell>
          <cell r="I44">
            <v>5.62</v>
          </cell>
          <cell r="J44">
            <v>0.05</v>
          </cell>
        </row>
        <row r="45">
          <cell r="A45" t="str">
            <v>85500-002</v>
          </cell>
          <cell r="B45" t="str">
            <v>H-BEAM</v>
          </cell>
          <cell r="C45" t="str">
            <v>C S</v>
          </cell>
          <cell r="D45" t="str">
            <v>H100X100X6X8</v>
          </cell>
          <cell r="E45">
            <v>2000</v>
          </cell>
          <cell r="F45" t="str">
            <v>71730-125</v>
          </cell>
          <cell r="G45">
            <v>3</v>
          </cell>
          <cell r="H45">
            <v>34.4</v>
          </cell>
          <cell r="I45">
            <v>103.2</v>
          </cell>
          <cell r="J45">
            <v>7.0000000000000007E-2</v>
          </cell>
        </row>
        <row r="46">
          <cell r="A46" t="str">
            <v>85500-002</v>
          </cell>
          <cell r="B46" t="str">
            <v>PIPE STD WT</v>
          </cell>
          <cell r="C46" t="str">
            <v>C S</v>
          </cell>
          <cell r="D46" t="str">
            <v>DN100</v>
          </cell>
          <cell r="E46">
            <v>2300</v>
          </cell>
          <cell r="F46" t="str">
            <v>71730-125</v>
          </cell>
          <cell r="G46">
            <v>1</v>
          </cell>
          <cell r="H46">
            <v>28.06</v>
          </cell>
          <cell r="I46">
            <v>28.06</v>
          </cell>
          <cell r="J46">
            <v>0.05</v>
          </cell>
        </row>
        <row r="47">
          <cell r="A47" t="str">
            <v>85500-002</v>
          </cell>
          <cell r="B47" t="str">
            <v>PIPE STD WT</v>
          </cell>
          <cell r="C47" t="str">
            <v>C S</v>
          </cell>
          <cell r="D47" t="str">
            <v>DN100</v>
          </cell>
          <cell r="E47">
            <v>2000</v>
          </cell>
          <cell r="F47" t="str">
            <v>71730-125</v>
          </cell>
          <cell r="G47">
            <v>1</v>
          </cell>
          <cell r="H47">
            <v>24.4</v>
          </cell>
          <cell r="I47">
            <v>24.4</v>
          </cell>
          <cell r="J47">
            <v>0.05</v>
          </cell>
        </row>
        <row r="48">
          <cell r="A48" t="str">
            <v>85500-002</v>
          </cell>
          <cell r="B48" t="str">
            <v>STEEL PLATE</v>
          </cell>
          <cell r="C48" t="str">
            <v>C S</v>
          </cell>
          <cell r="D48" t="str">
            <v>PL150x150x9</v>
          </cell>
          <cell r="F48" t="str">
            <v>71730-125</v>
          </cell>
          <cell r="G48">
            <v>4</v>
          </cell>
          <cell r="H48">
            <v>1.59</v>
          </cell>
          <cell r="I48">
            <v>6.36</v>
          </cell>
          <cell r="J48">
            <v>0.1</v>
          </cell>
        </row>
        <row r="49">
          <cell r="A49" t="str">
            <v>85500-002</v>
          </cell>
          <cell r="B49" t="str">
            <v>U-BOLT</v>
          </cell>
          <cell r="C49" t="str">
            <v>C S</v>
          </cell>
          <cell r="D49" t="str">
            <v>DN125</v>
          </cell>
          <cell r="F49" t="str">
            <v>71730-125</v>
          </cell>
          <cell r="G49">
            <v>2</v>
          </cell>
          <cell r="H49">
            <v>1</v>
          </cell>
          <cell r="I49">
            <v>2</v>
          </cell>
        </row>
        <row r="50">
          <cell r="A50" t="str">
            <v>85500-008</v>
          </cell>
          <cell r="B50" t="str">
            <v>H-BEAM</v>
          </cell>
          <cell r="C50" t="str">
            <v>C S</v>
          </cell>
          <cell r="D50" t="str">
            <v>H100X100X6X8</v>
          </cell>
          <cell r="E50">
            <v>5900</v>
          </cell>
          <cell r="F50" t="str">
            <v>71730-100</v>
          </cell>
          <cell r="G50">
            <v>2</v>
          </cell>
          <cell r="H50">
            <v>101.48</v>
          </cell>
          <cell r="I50">
            <v>202.96</v>
          </cell>
          <cell r="J50">
            <v>7.0000000000000007E-2</v>
          </cell>
        </row>
        <row r="51">
          <cell r="A51" t="str">
            <v>85500-008</v>
          </cell>
          <cell r="B51" t="str">
            <v>H-BEAM</v>
          </cell>
          <cell r="C51" t="str">
            <v>C S</v>
          </cell>
          <cell r="D51" t="str">
            <v>H100X100X6X8</v>
          </cell>
          <cell r="E51">
            <v>4280</v>
          </cell>
          <cell r="F51" t="str">
            <v>71730-100</v>
          </cell>
          <cell r="G51">
            <v>1</v>
          </cell>
          <cell r="H51">
            <v>73.62</v>
          </cell>
          <cell r="I51">
            <v>73.62</v>
          </cell>
          <cell r="J51">
            <v>7.0000000000000007E-2</v>
          </cell>
        </row>
        <row r="52">
          <cell r="A52" t="str">
            <v>85500-008</v>
          </cell>
          <cell r="B52" t="str">
            <v>STEEL PLATE</v>
          </cell>
          <cell r="C52" t="str">
            <v>C S</v>
          </cell>
          <cell r="D52" t="str">
            <v>PL150x150x9</v>
          </cell>
          <cell r="F52" t="str">
            <v>71730-100</v>
          </cell>
          <cell r="G52">
            <v>6</v>
          </cell>
          <cell r="H52">
            <v>1.59</v>
          </cell>
          <cell r="I52">
            <v>9.5399999999999991</v>
          </cell>
          <cell r="J52">
            <v>0.1</v>
          </cell>
        </row>
        <row r="53">
          <cell r="A53" t="str">
            <v>85500-008</v>
          </cell>
          <cell r="B53" t="str">
            <v>U-BOLT</v>
          </cell>
          <cell r="C53" t="str">
            <v>C S</v>
          </cell>
          <cell r="D53" t="str">
            <v>DN100</v>
          </cell>
          <cell r="F53" t="str">
            <v>71730-100</v>
          </cell>
          <cell r="G53">
            <v>8</v>
          </cell>
          <cell r="H53">
            <v>0.45</v>
          </cell>
          <cell r="I53">
            <v>3.6</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over"/>
      <sheetName val="Index"/>
      <sheetName val="F1"/>
      <sheetName val="F2 "/>
      <sheetName val="F3"/>
      <sheetName val="F3.1"/>
      <sheetName val="F3.2"/>
      <sheetName val="F3.3"/>
      <sheetName val="Summary"/>
      <sheetName val="F4"/>
      <sheetName val="F4 ABPS"/>
      <sheetName val="F5"/>
      <sheetName val="Sources of capitalisation"/>
      <sheetName val="Capex Team"/>
      <sheetName val="Add during the year 2010_HOSS"/>
      <sheetName val="HOSS FY11"/>
      <sheetName val="F5.1"/>
      <sheetName val="F5.1 APBS"/>
      <sheetName val="Norm Loans - D ABPS"/>
      <sheetName val="Norm Loans - D"/>
      <sheetName val="F5.2"/>
      <sheetName val="F5.2 ABPS"/>
      <sheetName val="F5.3 D"/>
      <sheetName val="F5.4 D"/>
      <sheetName val="F5.4 D ABPS"/>
      <sheetName val="F8"/>
      <sheetName val="Query No. 10"/>
      <sheetName val="F6"/>
      <sheetName val="F7"/>
      <sheetName val="F9"/>
      <sheetName val="F10"/>
      <sheetName val="F11"/>
      <sheetName val="F12 "/>
      <sheetName val="F11.1"/>
      <sheetName val="F13 "/>
      <sheetName val="F13.1"/>
      <sheetName val="F13.1 C"/>
      <sheetName val="F14"/>
      <sheetName val="F15"/>
      <sheetName val="F16"/>
      <sheetName val="F17"/>
      <sheetName val="F20"/>
    </sheetNames>
    <definedNames>
      <definedName name="___a3" refersTo="#REF!" sheetId="8"/>
      <definedName name="__a3" refersTo="#REF!" sheetId="8"/>
      <definedName name="_a3" refersTo="#REF!" sheetId="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laroux"/>
      <sheetName val="작성해 볼까요"/>
      <sheetName val="편성내역서"/>
      <sheetName val="실행예산종합"/>
      <sheetName val="예정배부율"/>
      <sheetName val="Sheet9"/>
      <sheetName val="Module1"/>
      <sheetName val="Module2"/>
      <sheetName val="Module3"/>
      <sheetName val="Module4"/>
      <sheetName val="실행예산편성2"/>
      <sheetName val="작성해_볼까요"/>
    </sheetNames>
    <definedNames>
      <definedName name="_xlbgnm.BBQ1"/>
      <definedName name="QQ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상반기손익차2총괄"/>
    </sheetNames>
    <sheetDataSet>
      <sheetData sheetId="0"/>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Energy Charge"/>
      <sheetName val="Fixed Charge"/>
      <sheetName val="Reliability Charge"/>
      <sheetName val="Fixed Charge (1)"/>
      <sheetName val="per unit"/>
    </sheetNames>
    <sheetDataSet>
      <sheetData sheetId="0" refreshError="1"/>
      <sheetData sheetId="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현장배관물량"/>
      <sheetName val="현장배관물량집계"/>
      <sheetName val="현장지지물물량"/>
      <sheetName val="지지물집계"/>
      <sheetName val="현장집계3"/>
      <sheetName val="Sheet1"/>
      <sheetName val="설산1_나"/>
      <sheetName val="본사S"/>
      <sheetName val="설산1.나"/>
    </sheetNames>
    <sheetDataSet>
      <sheetData sheetId="0" refreshError="1"/>
      <sheetData sheetId="1" refreshError="1"/>
      <sheetData sheetId="2" refreshError="1">
        <row r="1">
          <cell r="F1" t="str">
            <v>*********************************</v>
          </cell>
        </row>
        <row r="2">
          <cell r="F2" t="str">
            <v>*****   FIELD FAB. SUPPORT  *****</v>
          </cell>
        </row>
        <row r="3">
          <cell r="F3" t="str">
            <v>*********************************</v>
          </cell>
        </row>
        <row r="4">
          <cell r="A4" t="str">
            <v>=</v>
          </cell>
          <cell r="B4" t="str">
            <v>=</v>
          </cell>
          <cell r="C4" t="str">
            <v>=</v>
          </cell>
          <cell r="D4" t="str">
            <v>=</v>
          </cell>
          <cell r="E4" t="str">
            <v>=</v>
          </cell>
          <cell r="F4" t="str">
            <v>=</v>
          </cell>
          <cell r="G4" t="str">
            <v>=</v>
          </cell>
          <cell r="H4" t="str">
            <v>=</v>
          </cell>
          <cell r="I4" t="str">
            <v>=</v>
          </cell>
          <cell r="J4" t="str">
            <v>=</v>
          </cell>
          <cell r="K4" t="str">
            <v>=</v>
          </cell>
          <cell r="L4" t="str">
            <v>=</v>
          </cell>
          <cell r="M4" t="str">
            <v>=</v>
          </cell>
          <cell r="N4" t="str">
            <v>=</v>
          </cell>
          <cell r="Q4" t="str">
            <v>=</v>
          </cell>
        </row>
        <row r="5">
          <cell r="A5" t="str">
            <v>DWG.NO.</v>
          </cell>
          <cell r="B5" t="str">
            <v>SPEC</v>
          </cell>
          <cell r="C5" t="str">
            <v>ITEM</v>
          </cell>
          <cell r="D5" t="str">
            <v>MATERIAL</v>
          </cell>
          <cell r="E5" t="str">
            <v xml:space="preserve">    SIZE</v>
          </cell>
          <cell r="F5" t="str">
            <v>LANGTH</v>
          </cell>
          <cell r="G5" t="str">
            <v>SYS.-DIA</v>
          </cell>
          <cell r="H5" t="str">
            <v>TOTAL</v>
          </cell>
          <cell r="I5" t="str">
            <v>ELEVATION</v>
          </cell>
          <cell r="K5" t="str">
            <v>IN/OUT</v>
          </cell>
          <cell r="L5" t="str">
            <v>UNIT WT</v>
          </cell>
          <cell r="M5" t="str">
            <v>TOTAL WT</v>
          </cell>
          <cell r="N5" t="str">
            <v>REMARK</v>
          </cell>
          <cell r="P5" t="str">
            <v>SET</v>
          </cell>
          <cell r="Q5" t="str">
            <v>Q'TY</v>
          </cell>
        </row>
        <row r="6">
          <cell r="A6" t="str">
            <v>=</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Q6" t="str">
            <v>=</v>
          </cell>
        </row>
        <row r="8">
          <cell r="A8" t="str">
            <v>HBY</v>
          </cell>
        </row>
        <row r="9">
          <cell r="A9" t="str">
            <v>85500-001</v>
          </cell>
          <cell r="C9" t="str">
            <v>CHANNEL</v>
          </cell>
          <cell r="D9" t="str">
            <v>C S</v>
          </cell>
          <cell r="E9" t="str">
            <v>ㄷ100x50x5</v>
          </cell>
          <cell r="F9">
            <v>6100</v>
          </cell>
          <cell r="G9" t="str">
            <v>71730-150</v>
          </cell>
          <cell r="H9">
            <v>1</v>
          </cell>
          <cell r="I9" t="str">
            <v>5900/2200</v>
          </cell>
        </row>
        <row r="10">
          <cell r="A10" t="str">
            <v>85500-001</v>
          </cell>
          <cell r="C10" t="str">
            <v>ANGLE</v>
          </cell>
          <cell r="D10" t="str">
            <v>C S</v>
          </cell>
          <cell r="E10" t="str">
            <v>L50X50X6</v>
          </cell>
          <cell r="F10">
            <v>1800</v>
          </cell>
          <cell r="G10" t="str">
            <v>71730-150</v>
          </cell>
          <cell r="H10">
            <v>1</v>
          </cell>
          <cell r="I10" t="str">
            <v>5900/2200</v>
          </cell>
        </row>
        <row r="11">
          <cell r="A11" t="str">
            <v>85500-001</v>
          </cell>
          <cell r="C11" t="str">
            <v>U-BOLT</v>
          </cell>
          <cell r="D11" t="str">
            <v>C S</v>
          </cell>
          <cell r="E11" t="str">
            <v>DN150</v>
          </cell>
          <cell r="G11" t="str">
            <v>71730-150</v>
          </cell>
          <cell r="H11">
            <v>6</v>
          </cell>
          <cell r="I11" t="str">
            <v>5900/2200</v>
          </cell>
        </row>
        <row r="12">
          <cell r="A12" t="str">
            <v>85500-001</v>
          </cell>
          <cell r="C12" t="str">
            <v>ANCHOR BOLT</v>
          </cell>
          <cell r="D12" t="str">
            <v>C S</v>
          </cell>
          <cell r="E12" t="str">
            <v>M10x80L</v>
          </cell>
          <cell r="G12" t="str">
            <v>71730-150</v>
          </cell>
          <cell r="H12">
            <v>12</v>
          </cell>
          <cell r="I12" t="str">
            <v>5900/2200</v>
          </cell>
        </row>
        <row r="13">
          <cell r="A13" t="str">
            <v>85500-001</v>
          </cell>
          <cell r="C13" t="str">
            <v>STEEL PLATE</v>
          </cell>
          <cell r="D13" t="str">
            <v>C S</v>
          </cell>
          <cell r="E13" t="str">
            <v>PL150x150x9</v>
          </cell>
          <cell r="G13" t="str">
            <v>71730-150</v>
          </cell>
          <cell r="H13">
            <v>3</v>
          </cell>
          <cell r="I13" t="str">
            <v>5900/2200</v>
          </cell>
        </row>
        <row r="15">
          <cell r="A15" t="str">
            <v>85500-001</v>
          </cell>
          <cell r="C15" t="str">
            <v>CHANNEL</v>
          </cell>
          <cell r="D15" t="str">
            <v>C S</v>
          </cell>
          <cell r="E15" t="str">
            <v>ㄷ100x50x5</v>
          </cell>
          <cell r="F15">
            <v>2150</v>
          </cell>
          <cell r="G15" t="str">
            <v>71730-150</v>
          </cell>
          <cell r="H15">
            <v>5</v>
          </cell>
          <cell r="I15" t="str">
            <v>3150/2200</v>
          </cell>
        </row>
        <row r="16">
          <cell r="A16" t="str">
            <v>85500-001</v>
          </cell>
          <cell r="C16" t="str">
            <v>U-BOLT</v>
          </cell>
          <cell r="D16" t="str">
            <v>C S</v>
          </cell>
          <cell r="E16" t="str">
            <v>DN150</v>
          </cell>
          <cell r="G16" t="str">
            <v>71730-150</v>
          </cell>
          <cell r="H16">
            <v>10</v>
          </cell>
          <cell r="I16" t="str">
            <v>3150/2200</v>
          </cell>
        </row>
        <row r="17">
          <cell r="A17" t="str">
            <v>85500-001</v>
          </cell>
          <cell r="C17" t="str">
            <v>ANCHOR BOLT</v>
          </cell>
          <cell r="D17" t="str">
            <v>C S</v>
          </cell>
          <cell r="E17" t="str">
            <v>M10x80L</v>
          </cell>
          <cell r="G17" t="str">
            <v>71730-150</v>
          </cell>
          <cell r="H17">
            <v>40</v>
          </cell>
          <cell r="I17" t="str">
            <v>3150/2200</v>
          </cell>
        </row>
        <row r="18">
          <cell r="A18" t="str">
            <v>85500-001</v>
          </cell>
          <cell r="C18" t="str">
            <v>STEEL PLATE</v>
          </cell>
          <cell r="D18" t="str">
            <v>C S</v>
          </cell>
          <cell r="E18" t="str">
            <v>PL150x150x9</v>
          </cell>
          <cell r="G18" t="str">
            <v>71730-150</v>
          </cell>
          <cell r="H18">
            <v>10</v>
          </cell>
          <cell r="I18" t="str">
            <v>3150/2200</v>
          </cell>
        </row>
        <row r="20">
          <cell r="A20" t="str">
            <v>85500-001</v>
          </cell>
          <cell r="C20" t="str">
            <v>CHANNEL</v>
          </cell>
          <cell r="D20" t="str">
            <v>C S</v>
          </cell>
          <cell r="E20" t="str">
            <v>ㄷ100x50x5</v>
          </cell>
          <cell r="F20">
            <v>1900</v>
          </cell>
          <cell r="G20" t="str">
            <v>71730-150</v>
          </cell>
          <cell r="H20">
            <v>3</v>
          </cell>
          <cell r="I20" t="str">
            <v>3150/2200</v>
          </cell>
        </row>
        <row r="21">
          <cell r="A21" t="str">
            <v>85500-001</v>
          </cell>
          <cell r="C21" t="str">
            <v>U-BOLT</v>
          </cell>
          <cell r="D21" t="str">
            <v>C S</v>
          </cell>
          <cell r="E21" t="str">
            <v>DN150</v>
          </cell>
          <cell r="G21" t="str">
            <v>71730-150</v>
          </cell>
          <cell r="H21">
            <v>6</v>
          </cell>
          <cell r="I21" t="str">
            <v>3150/2200</v>
          </cell>
        </row>
        <row r="22">
          <cell r="A22" t="str">
            <v>85500-001</v>
          </cell>
          <cell r="C22" t="str">
            <v>ANCHOR BOLT</v>
          </cell>
          <cell r="D22" t="str">
            <v>C S</v>
          </cell>
          <cell r="E22" t="str">
            <v>M10x80L</v>
          </cell>
          <cell r="G22" t="str">
            <v>71730-150</v>
          </cell>
          <cell r="H22">
            <v>12</v>
          </cell>
          <cell r="I22" t="str">
            <v>3150/2200</v>
          </cell>
        </row>
        <row r="23">
          <cell r="A23" t="str">
            <v>85500-001</v>
          </cell>
          <cell r="C23" t="str">
            <v>STEEL PLATE</v>
          </cell>
          <cell r="D23" t="str">
            <v>C S</v>
          </cell>
          <cell r="E23" t="str">
            <v>PL150x150x9</v>
          </cell>
          <cell r="G23" t="str">
            <v>71730-150</v>
          </cell>
          <cell r="H23">
            <v>3</v>
          </cell>
          <cell r="I23" t="str">
            <v>3150/2200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over Sheet"/>
      <sheetName val="Content"/>
      <sheetName val="Project Outline"/>
      <sheetName val="주요공사"/>
      <sheetName val="Contractual Amount"/>
      <sheetName val="시헹예산"/>
      <sheetName val="TENDER vs BUDGET"/>
      <sheetName val="직영 vs 하청 - 2"/>
      <sheetName val="96 당초Schedule"/>
      <sheetName val="96 Performance"/>
      <sheetName val="소화-투입 분석표"/>
      <sheetName val="STF ORG(K)"/>
      <sheetName val="Staff Org. Chart"/>
      <sheetName val="Scope of Work"/>
      <sheetName val="Design Status"/>
      <sheetName val="DWG Status"/>
      <sheetName val="MAT'L Status"/>
      <sheetName val="장비동원"/>
      <sheetName val="근로자동원"/>
      <sheetName val="Install Status"/>
      <sheetName val="Staff Mob. Plan"/>
      <sheetName val="M.P Mob. Plan"/>
      <sheetName val="Eq. Mobilization"/>
      <sheetName val="Cover_Sheet"/>
      <sheetName val="Project_Outline"/>
      <sheetName val="Contractual_Amount"/>
      <sheetName val="TENDER_vs_BUDGET"/>
      <sheetName val="직영_vs_하청_-_2"/>
      <sheetName val="96_당초Schedule"/>
      <sheetName val="96_Performance"/>
      <sheetName val="소화-투입_분석표"/>
      <sheetName val="STF_ORG(K)"/>
      <sheetName val="Staff_Org__Chart"/>
      <sheetName val="Scope_of_Work"/>
      <sheetName val="Design_Status"/>
      <sheetName val="DWG_Status"/>
      <sheetName val="MAT'L_Status"/>
      <sheetName val="Install_Status"/>
      <sheetName val="Staff_Mob__Plan"/>
      <sheetName val="M_P_Mob__Plan"/>
      <sheetName val="Eq__Mob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var"/>
      <sheetName val="I"/>
      <sheetName val="I(B)"/>
      <sheetName val="loss"/>
      <sheetName val="en-pur"/>
      <sheetName val="en-pur-cum"/>
      <sheetName val="Amt-cum"/>
      <sheetName val="1998-99"/>
      <sheetName val="I(B) (2)"/>
      <sheetName val="Amt-cum 98-99"/>
      <sheetName val="dtls"/>
      <sheetName val="1997-98"/>
      <sheetName val="1996-97"/>
      <sheetName val="5-inter"/>
      <sheetName val="5-inter -cum"/>
      <sheetName val="ins spares"/>
      <sheetName val="Input_Sheet"/>
      <sheetName val="Financial Estimates"/>
      <sheetName val="OT-Common (DB)"/>
      <sheetName val="OT-Common (Cr)"/>
      <sheetName val="OT-Discom(DB)"/>
      <sheetName val="OT-Discom(C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현장설계분"/>
      <sheetName val="본사설계분"/>
      <sheetName val="가설배관"/>
      <sheetName val="본사S"/>
      <sheetName val="현장S"/>
      <sheetName val="C1"/>
      <sheetName val="C2"/>
      <sheetName val="공계"/>
      <sheetName val="C3"/>
      <sheetName val="공설"/>
      <sheetName val="C4"/>
      <sheetName val="C5"/>
      <sheetName val="도면"/>
      <sheetName val="C6"/>
      <sheetName val="공정표"/>
      <sheetName val="C7"/>
      <sheetName val="예"/>
      <sheetName val="C8"/>
      <sheetName val="명"/>
      <sheetName val="C9"/>
      <sheetName val="내1가"/>
      <sheetName val="내1다"/>
      <sheetName val="설내"/>
      <sheetName val="소내"/>
      <sheetName val="내2"/>
      <sheetName val="C10"/>
      <sheetName val="품1"/>
      <sheetName val="품2"/>
      <sheetName val="품3"/>
      <sheetName val="설품"/>
      <sheetName val="소품"/>
      <sheetName val="C11"/>
      <sheetName val="산1"/>
      <sheetName val="산2.가.1"/>
      <sheetName val="산2.가.2"/>
      <sheetName val="산2.나"/>
      <sheetName val="설산1.가"/>
      <sheetName val="설산1.나"/>
      <sheetName val="설산2"/>
      <sheetName val="소산1.가"/>
      <sheetName val="소산1.나"/>
      <sheetName val="소산2"/>
      <sheetName val="산3"/>
      <sheetName val="산4"/>
      <sheetName val="산5"/>
      <sheetName val="산6"/>
      <sheetName val="산7"/>
      <sheetName val="산8"/>
      <sheetName val="산9"/>
      <sheetName val="산10"/>
      <sheetName val="산11"/>
      <sheetName val="C12"/>
      <sheetName val="산2_가_1"/>
      <sheetName val="산2_가_2"/>
      <sheetName val="산2_나"/>
      <sheetName val="설산1_가"/>
      <sheetName val="설산1_나"/>
      <sheetName val="소산1_가"/>
      <sheetName val="소산1_나"/>
      <sheetName val="자바라1"/>
      <sheetName val="#REF"/>
    </sheetNames>
    <sheetDataSet>
      <sheetData sheetId="0" refreshError="1"/>
      <sheetData sheetId="1" refreshError="1"/>
      <sheetData sheetId="2" refreshError="1"/>
      <sheetData sheetId="3" refreshError="1">
        <row r="10">
          <cell r="B10" t="str">
            <v>03980-028</v>
          </cell>
          <cell r="C10" t="str">
            <v>U-BOLT</v>
          </cell>
          <cell r="D10" t="str">
            <v>C S</v>
          </cell>
          <cell r="E10" t="str">
            <v>DN150</v>
          </cell>
          <cell r="G10" t="str">
            <v>16100-150</v>
          </cell>
          <cell r="H10">
            <v>4</v>
          </cell>
          <cell r="K10">
            <v>0.75800000000000001</v>
          </cell>
          <cell r="L10">
            <v>3.032</v>
          </cell>
          <cell r="M10">
            <v>760</v>
          </cell>
          <cell r="N10">
            <v>3040</v>
          </cell>
          <cell r="O10" t="str">
            <v>물정 '98.11.p78</v>
          </cell>
        </row>
        <row r="11">
          <cell r="B11" t="str">
            <v>03980-042</v>
          </cell>
          <cell r="C11" t="str">
            <v>STUD BOLT</v>
          </cell>
          <cell r="D11" t="str">
            <v>C S</v>
          </cell>
          <cell r="E11" t="str">
            <v>M15x60L</v>
          </cell>
          <cell r="G11" t="str">
            <v>16100-150</v>
          </cell>
          <cell r="H11">
            <v>24</v>
          </cell>
          <cell r="K11">
            <v>0.2</v>
          </cell>
          <cell r="L11">
            <v>4.8</v>
          </cell>
          <cell r="M11">
            <v>137</v>
          </cell>
          <cell r="N11">
            <v>3288</v>
          </cell>
          <cell r="O11" t="str">
            <v>물정 '98.11 p.74</v>
          </cell>
        </row>
        <row r="12">
          <cell r="B12" t="str">
            <v>03980-043</v>
          </cell>
          <cell r="C12" t="str">
            <v>PLATE</v>
          </cell>
          <cell r="D12" t="str">
            <v>C S</v>
          </cell>
          <cell r="E12" t="str">
            <v>PL200x38x12t</v>
          </cell>
          <cell r="G12" t="str">
            <v>16100-150</v>
          </cell>
          <cell r="H12">
            <v>4</v>
          </cell>
          <cell r="K12">
            <v>0.71599999999999997</v>
          </cell>
          <cell r="L12">
            <v>2.8639999999999999</v>
          </cell>
          <cell r="M12">
            <v>289</v>
          </cell>
          <cell r="N12">
            <v>1156</v>
          </cell>
          <cell r="O12" t="str">
            <v>물정 '98.11 p.50</v>
          </cell>
        </row>
        <row r="13">
          <cell r="B13" t="str">
            <v>03980-035</v>
          </cell>
          <cell r="C13" t="str">
            <v>PLATE</v>
          </cell>
          <cell r="D13" t="str">
            <v>C S</v>
          </cell>
          <cell r="E13" t="str">
            <v>PL200x200x12t</v>
          </cell>
          <cell r="G13" t="str">
            <v>16100-150</v>
          </cell>
          <cell r="H13">
            <v>7</v>
          </cell>
          <cell r="K13">
            <v>3.7679999999999998</v>
          </cell>
          <cell r="L13">
            <v>26.376000000000001</v>
          </cell>
          <cell r="M13">
            <v>1526</v>
          </cell>
          <cell r="N13">
            <v>10682</v>
          </cell>
          <cell r="O13" t="str">
            <v>물정 '98.11 p.50</v>
          </cell>
        </row>
        <row r="14">
          <cell r="B14" t="str">
            <v>03980-042</v>
          </cell>
          <cell r="C14" t="str">
            <v>PLATE</v>
          </cell>
          <cell r="D14" t="str">
            <v>C S</v>
          </cell>
          <cell r="E14" t="str">
            <v>PL150x150x9t</v>
          </cell>
          <cell r="G14" t="str">
            <v>16100-150</v>
          </cell>
          <cell r="H14">
            <v>2</v>
          </cell>
          <cell r="K14">
            <v>1.59</v>
          </cell>
          <cell r="L14">
            <v>3.18</v>
          </cell>
          <cell r="M14">
            <v>659</v>
          </cell>
          <cell r="N14">
            <v>1318</v>
          </cell>
          <cell r="O14" t="str">
            <v>물정 '98.11 p.50</v>
          </cell>
        </row>
        <row r="15">
          <cell r="B15" t="str">
            <v>03980-042</v>
          </cell>
          <cell r="C15" t="str">
            <v>PIPE STD WT</v>
          </cell>
          <cell r="D15" t="str">
            <v>C S</v>
          </cell>
          <cell r="E15" t="str">
            <v>DN100</v>
          </cell>
          <cell r="F15">
            <v>143</v>
          </cell>
          <cell r="G15" t="str">
            <v>16100-150</v>
          </cell>
          <cell r="H15">
            <v>2</v>
          </cell>
          <cell r="K15">
            <v>2.2999999999999998</v>
          </cell>
          <cell r="L15">
            <v>4.5999999999999996</v>
          </cell>
          <cell r="M15">
            <v>1301.443</v>
          </cell>
          <cell r="N15">
            <v>2602</v>
          </cell>
          <cell r="O15" t="str">
            <v>물자 '98.11 p.476</v>
          </cell>
        </row>
        <row r="16">
          <cell r="B16" t="str">
            <v>03980-028</v>
          </cell>
          <cell r="C16" t="str">
            <v>H-BEAM</v>
          </cell>
          <cell r="D16" t="str">
            <v>C S</v>
          </cell>
          <cell r="E16" t="str">
            <v>H100x100x6x8</v>
          </cell>
          <cell r="F16">
            <v>1385</v>
          </cell>
          <cell r="G16" t="str">
            <v>16100-150</v>
          </cell>
          <cell r="H16">
            <v>1</v>
          </cell>
          <cell r="K16">
            <v>23.821999999999999</v>
          </cell>
          <cell r="L16">
            <v>23.821999999999999</v>
          </cell>
          <cell r="M16">
            <v>11553</v>
          </cell>
          <cell r="N16">
            <v>11553</v>
          </cell>
          <cell r="O16" t="str">
            <v>물정 '98.11 p.47</v>
          </cell>
        </row>
        <row r="17">
          <cell r="B17" t="str">
            <v>03980-029</v>
          </cell>
          <cell r="C17" t="str">
            <v>H-BEAM</v>
          </cell>
          <cell r="D17" t="str">
            <v>C S</v>
          </cell>
          <cell r="E17" t="str">
            <v>H100x100x6x8</v>
          </cell>
          <cell r="F17">
            <v>1780</v>
          </cell>
          <cell r="G17" t="str">
            <v>16100-150</v>
          </cell>
          <cell r="H17">
            <v>1</v>
          </cell>
          <cell r="K17">
            <v>30.616</v>
          </cell>
          <cell r="L17">
            <v>30.616</v>
          </cell>
          <cell r="M17">
            <v>14848</v>
          </cell>
          <cell r="N17">
            <v>14848</v>
          </cell>
          <cell r="O17" t="str">
            <v>물정 '98.11 p.47</v>
          </cell>
        </row>
        <row r="18">
          <cell r="B18" t="str">
            <v>03980-035</v>
          </cell>
          <cell r="C18" t="str">
            <v>H-BEAM</v>
          </cell>
          <cell r="D18" t="str">
            <v>C S</v>
          </cell>
          <cell r="E18" t="str">
            <v>H100x100x6x8</v>
          </cell>
          <cell r="F18">
            <v>462</v>
          </cell>
          <cell r="G18" t="str">
            <v>16100-150</v>
          </cell>
          <cell r="H18">
            <v>1</v>
          </cell>
          <cell r="K18">
            <v>7.9470000000000001</v>
          </cell>
          <cell r="L18">
            <v>7.9470000000000001</v>
          </cell>
          <cell r="M18">
            <v>3854</v>
          </cell>
          <cell r="N18">
            <v>3854</v>
          </cell>
          <cell r="O18" t="str">
            <v>물정 '98.11 p.47</v>
          </cell>
        </row>
        <row r="19">
          <cell r="B19" t="str">
            <v>03980-028</v>
          </cell>
          <cell r="C19" t="str">
            <v>CLIP ANGLE</v>
          </cell>
          <cell r="D19" t="str">
            <v>C S</v>
          </cell>
          <cell r="E19" t="str">
            <v>L75x75x9</v>
          </cell>
          <cell r="F19">
            <v>50</v>
          </cell>
          <cell r="G19" t="str">
            <v>16100-150</v>
          </cell>
          <cell r="H19">
            <v>4</v>
          </cell>
          <cell r="K19">
            <v>0.498</v>
          </cell>
          <cell r="L19">
            <v>1.992</v>
          </cell>
          <cell r="M19">
            <v>196</v>
          </cell>
          <cell r="N19">
            <v>784</v>
          </cell>
          <cell r="O19" t="str">
            <v>물정 '98.11 p.45</v>
          </cell>
        </row>
        <row r="20">
          <cell r="B20" t="str">
            <v>03980-042</v>
          </cell>
          <cell r="C20" t="str">
            <v>CHANNEL</v>
          </cell>
          <cell r="D20" t="str">
            <v>C S</v>
          </cell>
          <cell r="E20" t="str">
            <v>C100x50x5x7.5</v>
          </cell>
          <cell r="F20">
            <v>628</v>
          </cell>
          <cell r="G20" t="str">
            <v>16100-150</v>
          </cell>
          <cell r="H20">
            <v>6</v>
          </cell>
          <cell r="K20">
            <v>5.8780000000000001</v>
          </cell>
          <cell r="L20">
            <v>35.268000000000001</v>
          </cell>
          <cell r="M20">
            <v>2468</v>
          </cell>
          <cell r="N20">
            <v>14808</v>
          </cell>
          <cell r="O20" t="str">
            <v>물정 '98.11 p.46</v>
          </cell>
        </row>
        <row r="21">
          <cell r="B21" t="str">
            <v>03980-042</v>
          </cell>
          <cell r="C21" t="str">
            <v>CHANNEL</v>
          </cell>
          <cell r="D21" t="str">
            <v>C S</v>
          </cell>
          <cell r="E21" t="str">
            <v>C100x50x5x7.5</v>
          </cell>
          <cell r="F21">
            <v>250</v>
          </cell>
          <cell r="G21" t="str">
            <v>16100-150</v>
          </cell>
          <cell r="H21">
            <v>6</v>
          </cell>
          <cell r="K21">
            <v>2.34</v>
          </cell>
          <cell r="L21">
            <v>14.04</v>
          </cell>
          <cell r="M21">
            <v>982</v>
          </cell>
          <cell r="N21">
            <v>5892</v>
          </cell>
          <cell r="O21" t="str">
            <v>물정 '98.11 p.46</v>
          </cell>
        </row>
        <row r="22">
          <cell r="B22" t="str">
            <v>03980-035</v>
          </cell>
          <cell r="C22" t="str">
            <v>ANGLE</v>
          </cell>
          <cell r="D22" t="str">
            <v>C S</v>
          </cell>
          <cell r="E22" t="str">
            <v>L75x75x9</v>
          </cell>
          <cell r="F22">
            <v>330</v>
          </cell>
          <cell r="G22" t="str">
            <v>16100-150</v>
          </cell>
          <cell r="H22">
            <v>1</v>
          </cell>
          <cell r="K22">
            <v>3.2869999999999999</v>
          </cell>
          <cell r="L22">
            <v>3.2869999999999999</v>
          </cell>
          <cell r="M22">
            <v>1295</v>
          </cell>
          <cell r="N22">
            <v>1295</v>
          </cell>
          <cell r="O22" t="str">
            <v>물정 '98.11 p.45</v>
          </cell>
        </row>
        <row r="23">
          <cell r="B23" t="str">
            <v>03980-044</v>
          </cell>
          <cell r="C23" t="str">
            <v>ANGLE</v>
          </cell>
          <cell r="D23" t="str">
            <v>C S</v>
          </cell>
          <cell r="E23" t="str">
            <v>L100x100x10</v>
          </cell>
          <cell r="F23">
            <v>280</v>
          </cell>
          <cell r="G23" t="str">
            <v>16100-150</v>
          </cell>
          <cell r="H23">
            <v>3</v>
          </cell>
          <cell r="K23">
            <v>4.1719999999999997</v>
          </cell>
          <cell r="L23">
            <v>12.516</v>
          </cell>
          <cell r="M23">
            <v>1756</v>
          </cell>
          <cell r="N23">
            <v>5268</v>
          </cell>
          <cell r="O23" t="str">
            <v>물정 '98.11 p.45</v>
          </cell>
        </row>
        <row r="24">
          <cell r="B24" t="str">
            <v>03980-044</v>
          </cell>
          <cell r="C24" t="str">
            <v>ANGLE</v>
          </cell>
          <cell r="D24" t="str">
            <v>C S</v>
          </cell>
          <cell r="E24" t="str">
            <v>L100x100x10</v>
          </cell>
          <cell r="F24">
            <v>250</v>
          </cell>
          <cell r="G24" t="str">
            <v>16100-150</v>
          </cell>
          <cell r="H24">
            <v>2</v>
          </cell>
          <cell r="K24">
            <v>3.7250000000000001</v>
          </cell>
          <cell r="L24">
            <v>7.45</v>
          </cell>
          <cell r="M24">
            <v>1568</v>
          </cell>
          <cell r="N24">
            <v>3136</v>
          </cell>
          <cell r="O24" t="str">
            <v>물정 '98.11 p.45</v>
          </cell>
        </row>
        <row r="25">
          <cell r="B25" t="str">
            <v>03980-045</v>
          </cell>
          <cell r="C25" t="str">
            <v>ANGLE</v>
          </cell>
          <cell r="D25" t="str">
            <v>C S</v>
          </cell>
          <cell r="E25" t="str">
            <v>L100x100x10</v>
          </cell>
          <cell r="F25">
            <v>535</v>
          </cell>
          <cell r="G25" t="str">
            <v>16100-150</v>
          </cell>
          <cell r="H25">
            <v>1</v>
          </cell>
          <cell r="K25">
            <v>7.9720000000000004</v>
          </cell>
          <cell r="L25">
            <v>7.9720000000000004</v>
          </cell>
          <cell r="M25">
            <v>3356</v>
          </cell>
          <cell r="N25">
            <v>3356</v>
          </cell>
          <cell r="O25" t="str">
            <v>물정 '98.11 p.45</v>
          </cell>
        </row>
        <row r="26">
          <cell r="B26" t="str">
            <v>03980-035</v>
          </cell>
          <cell r="C26" t="str">
            <v>ANCHOR BOLT</v>
          </cell>
          <cell r="D26" t="str">
            <v>C S</v>
          </cell>
          <cell r="E26" t="str">
            <v>M16x177L</v>
          </cell>
          <cell r="G26" t="str">
            <v>16100-150</v>
          </cell>
          <cell r="H26">
            <v>4</v>
          </cell>
          <cell r="K26">
            <v>0.34699999999999998</v>
          </cell>
          <cell r="L26">
            <v>1.3879999999999999</v>
          </cell>
          <cell r="M26">
            <v>1660</v>
          </cell>
          <cell r="N26">
            <v>6640</v>
          </cell>
          <cell r="O26" t="str">
            <v>견적가</v>
          </cell>
        </row>
        <row r="27">
          <cell r="B27" t="str">
            <v>03980-028</v>
          </cell>
          <cell r="C27" t="str">
            <v>U-BOLT</v>
          </cell>
          <cell r="D27" t="str">
            <v>C S</v>
          </cell>
          <cell r="E27" t="str">
            <v>DN100</v>
          </cell>
          <cell r="G27" t="str">
            <v>16100-100</v>
          </cell>
          <cell r="H27">
            <v>4</v>
          </cell>
          <cell r="K27">
            <v>0.54900000000000004</v>
          </cell>
          <cell r="L27">
            <v>2.1960000000000002</v>
          </cell>
          <cell r="M27">
            <v>510</v>
          </cell>
          <cell r="N27">
            <v>2040</v>
          </cell>
          <cell r="O27" t="str">
            <v>물정 '98.11.p78</v>
          </cell>
        </row>
        <row r="28">
          <cell r="B28" t="str">
            <v>03980-040</v>
          </cell>
          <cell r="C28" t="str">
            <v>STUD BOLT</v>
          </cell>
          <cell r="D28" t="str">
            <v>C S</v>
          </cell>
          <cell r="E28" t="str">
            <v>M15x60L</v>
          </cell>
          <cell r="G28" t="str">
            <v>16100-100</v>
          </cell>
          <cell r="H28">
            <v>12</v>
          </cell>
          <cell r="K28">
            <v>0.2</v>
          </cell>
          <cell r="L28">
            <v>2.4</v>
          </cell>
          <cell r="M28">
            <v>137</v>
          </cell>
          <cell r="N28">
            <v>1644</v>
          </cell>
          <cell r="O28" t="str">
            <v>물정 '98.11 p.74</v>
          </cell>
        </row>
        <row r="29">
          <cell r="B29" t="str">
            <v>03980-040</v>
          </cell>
          <cell r="C29" t="str">
            <v>PLATE</v>
          </cell>
          <cell r="D29" t="str">
            <v>C S</v>
          </cell>
          <cell r="E29" t="str">
            <v>PL200x200x12t</v>
          </cell>
          <cell r="G29" t="str">
            <v>16100-100</v>
          </cell>
          <cell r="H29">
            <v>3</v>
          </cell>
          <cell r="K29">
            <v>3.7679999999999998</v>
          </cell>
          <cell r="L29">
            <v>11.304</v>
          </cell>
          <cell r="M29">
            <v>1526</v>
          </cell>
          <cell r="N29">
            <v>4578</v>
          </cell>
          <cell r="O29" t="str">
            <v>물정 '98.11 p.50</v>
          </cell>
        </row>
        <row r="30">
          <cell r="B30" t="str">
            <v>03980-040</v>
          </cell>
          <cell r="C30" t="str">
            <v>PLATE</v>
          </cell>
          <cell r="D30" t="str">
            <v>C S</v>
          </cell>
          <cell r="E30" t="str">
            <v>PL180x150x12t</v>
          </cell>
          <cell r="G30" t="str">
            <v>16100-100</v>
          </cell>
          <cell r="H30">
            <v>3</v>
          </cell>
          <cell r="K30">
            <v>2.5430000000000001</v>
          </cell>
          <cell r="L30">
            <v>7.6289999999999996</v>
          </cell>
          <cell r="M30">
            <v>1029</v>
          </cell>
          <cell r="N30">
            <v>3087</v>
          </cell>
          <cell r="O30" t="str">
            <v>물정 '98.11 p.50</v>
          </cell>
        </row>
        <row r="31">
          <cell r="B31" t="str">
            <v>03980-040</v>
          </cell>
          <cell r="C31" t="str">
            <v>LUG PLATE</v>
          </cell>
          <cell r="D31" t="str">
            <v>S S</v>
          </cell>
          <cell r="E31" t="str">
            <v>PL100x50x12t</v>
          </cell>
          <cell r="G31" t="str">
            <v>16100-100</v>
          </cell>
          <cell r="H31">
            <v>2</v>
          </cell>
          <cell r="K31">
            <v>0.47099999999999997</v>
          </cell>
          <cell r="L31">
            <v>0.94199999999999995</v>
          </cell>
          <cell r="M31">
            <v>190</v>
          </cell>
          <cell r="N31">
            <v>380</v>
          </cell>
          <cell r="O31" t="str">
            <v>물정 '98.11 p.50</v>
          </cell>
        </row>
        <row r="32">
          <cell r="B32" t="str">
            <v>03980-027</v>
          </cell>
          <cell r="C32" t="str">
            <v>H-BEAM</v>
          </cell>
          <cell r="D32" t="str">
            <v>C S</v>
          </cell>
          <cell r="E32" t="str">
            <v>H100x100x6x8</v>
          </cell>
          <cell r="F32">
            <v>1385</v>
          </cell>
          <cell r="G32" t="str">
            <v>16100-100</v>
          </cell>
          <cell r="H32">
            <v>1</v>
          </cell>
          <cell r="K32">
            <v>23.821999999999999</v>
          </cell>
          <cell r="L32">
            <v>23.821999999999999</v>
          </cell>
          <cell r="M32">
            <v>11553</v>
          </cell>
          <cell r="N32">
            <v>11553</v>
          </cell>
          <cell r="O32" t="str">
            <v>물정 '98.11 p.47</v>
          </cell>
        </row>
        <row r="33">
          <cell r="B33" t="str">
            <v>03980-027</v>
          </cell>
          <cell r="C33" t="str">
            <v>CLIP ANGLE</v>
          </cell>
          <cell r="D33" t="str">
            <v>C S</v>
          </cell>
          <cell r="E33" t="str">
            <v>L75x75x9</v>
          </cell>
          <cell r="F33">
            <v>50</v>
          </cell>
          <cell r="G33" t="str">
            <v>16100-100</v>
          </cell>
          <cell r="H33">
            <v>2</v>
          </cell>
          <cell r="K33">
            <v>0.498</v>
          </cell>
          <cell r="L33">
            <v>0.996</v>
          </cell>
          <cell r="M33">
            <v>196</v>
          </cell>
          <cell r="N33">
            <v>392</v>
          </cell>
          <cell r="O33" t="str">
            <v>물정 '98.11 p.45</v>
          </cell>
        </row>
        <row r="34">
          <cell r="B34" t="str">
            <v>03980-040</v>
          </cell>
          <cell r="C34" t="str">
            <v>ANGLE</v>
          </cell>
          <cell r="D34" t="str">
            <v>C S</v>
          </cell>
          <cell r="E34" t="str">
            <v>L75x75x9</v>
          </cell>
          <cell r="F34">
            <v>252</v>
          </cell>
          <cell r="G34" t="str">
            <v>16100-100</v>
          </cell>
          <cell r="H34">
            <v>3</v>
          </cell>
          <cell r="K34">
            <v>2.5099999999999998</v>
          </cell>
          <cell r="L34">
            <v>7.53</v>
          </cell>
          <cell r="M34">
            <v>988</v>
          </cell>
          <cell r="N34">
            <v>2964</v>
          </cell>
          <cell r="O34" t="str">
            <v>물정 '98.11 p.45</v>
          </cell>
        </row>
        <row r="36">
          <cell r="B36" t="str">
            <v>03980-024</v>
          </cell>
          <cell r="C36" t="str">
            <v>U-BOLT</v>
          </cell>
          <cell r="D36" t="str">
            <v>C S</v>
          </cell>
          <cell r="E36" t="str">
            <v>DN150</v>
          </cell>
          <cell r="G36" t="str">
            <v>16200-150</v>
          </cell>
          <cell r="H36">
            <v>13</v>
          </cell>
          <cell r="K36">
            <v>0.75800000000000001</v>
          </cell>
          <cell r="L36">
            <v>9.8539999999999992</v>
          </cell>
          <cell r="M36">
            <v>2200</v>
          </cell>
          <cell r="N36">
            <v>28600</v>
          </cell>
          <cell r="O36" t="str">
            <v>물정 '98.11.p78</v>
          </cell>
        </row>
        <row r="37">
          <cell r="B37" t="str">
            <v>03980-024</v>
          </cell>
          <cell r="C37" t="str">
            <v>H-BEAM</v>
          </cell>
          <cell r="D37" t="str">
            <v>C S</v>
          </cell>
          <cell r="E37" t="str">
            <v>H100x100x6x8</v>
          </cell>
          <cell r="F37">
            <v>1385</v>
          </cell>
          <cell r="G37" t="str">
            <v>16200-150</v>
          </cell>
          <cell r="H37">
            <v>27</v>
          </cell>
          <cell r="K37">
            <v>23.821999999999999</v>
          </cell>
          <cell r="L37">
            <v>643.19399999999996</v>
          </cell>
          <cell r="M37">
            <v>11553</v>
          </cell>
          <cell r="N37">
            <v>311931</v>
          </cell>
          <cell r="O37" t="str">
            <v>물정 '98.11 p.47</v>
          </cell>
        </row>
        <row r="38">
          <cell r="B38" t="str">
            <v>03980-024</v>
          </cell>
          <cell r="C38" t="str">
            <v>CLIP ANGLE</v>
          </cell>
          <cell r="D38" t="str">
            <v>C S</v>
          </cell>
          <cell r="E38" t="str">
            <v>L75x75x9</v>
          </cell>
          <cell r="F38">
            <v>50</v>
          </cell>
          <cell r="G38" t="str">
            <v>16200-150</v>
          </cell>
          <cell r="H38">
            <v>54</v>
          </cell>
          <cell r="K38">
            <v>0.498</v>
          </cell>
          <cell r="L38">
            <v>26.891999999999999</v>
          </cell>
          <cell r="M38">
            <v>196</v>
          </cell>
          <cell r="N38">
            <v>10584</v>
          </cell>
          <cell r="O38" t="str">
            <v>물정 '98.11 p.45</v>
          </cell>
        </row>
        <row r="39">
          <cell r="B39" t="str">
            <v>03980-046</v>
          </cell>
          <cell r="C39" t="str">
            <v>ANGLE</v>
          </cell>
          <cell r="D39" t="str">
            <v>C S</v>
          </cell>
          <cell r="E39" t="str">
            <v>L100x100x10</v>
          </cell>
          <cell r="F39">
            <v>700</v>
          </cell>
          <cell r="G39" t="str">
            <v>16200-150</v>
          </cell>
          <cell r="H39">
            <v>5</v>
          </cell>
          <cell r="K39">
            <v>10.43</v>
          </cell>
          <cell r="L39">
            <v>52.15</v>
          </cell>
          <cell r="M39">
            <v>4391</v>
          </cell>
          <cell r="N39">
            <v>21955</v>
          </cell>
          <cell r="O39" t="str">
            <v>물정 '98.11 p.45</v>
          </cell>
        </row>
        <row r="40">
          <cell r="B40" t="str">
            <v>03980-026</v>
          </cell>
          <cell r="C40" t="str">
            <v>U-BOLT</v>
          </cell>
          <cell r="D40" t="str">
            <v>C S</v>
          </cell>
          <cell r="E40" t="str">
            <v>DN100</v>
          </cell>
          <cell r="G40" t="str">
            <v>16200-100</v>
          </cell>
          <cell r="H40">
            <v>16</v>
          </cell>
          <cell r="K40">
            <v>0.54900000000000004</v>
          </cell>
          <cell r="L40">
            <v>8.7840000000000007</v>
          </cell>
          <cell r="M40">
            <v>900</v>
          </cell>
          <cell r="N40">
            <v>14400</v>
          </cell>
          <cell r="O40" t="str">
            <v>물정 '98.11.p78</v>
          </cell>
        </row>
        <row r="41">
          <cell r="B41" t="str">
            <v>03980-026</v>
          </cell>
          <cell r="C41" t="str">
            <v>H-BEAM</v>
          </cell>
          <cell r="D41" t="str">
            <v>C S</v>
          </cell>
          <cell r="E41" t="str">
            <v>H100x100x6x8</v>
          </cell>
          <cell r="F41">
            <v>1385</v>
          </cell>
          <cell r="G41" t="str">
            <v>16200-100</v>
          </cell>
          <cell r="H41">
            <v>3</v>
          </cell>
          <cell r="K41">
            <v>23.821999999999999</v>
          </cell>
          <cell r="L41">
            <v>71.465999999999994</v>
          </cell>
          <cell r="M41">
            <v>11553</v>
          </cell>
          <cell r="N41">
            <v>34659</v>
          </cell>
          <cell r="O41" t="str">
            <v>물정 '98.11 p.47</v>
          </cell>
        </row>
        <row r="42">
          <cell r="B42" t="str">
            <v>03980-026</v>
          </cell>
          <cell r="C42" t="str">
            <v>CLIP ANGLE</v>
          </cell>
          <cell r="D42" t="str">
            <v>C S</v>
          </cell>
          <cell r="E42" t="str">
            <v>L75x75x9</v>
          </cell>
          <cell r="F42">
            <v>50</v>
          </cell>
          <cell r="G42" t="str">
            <v>16200-100</v>
          </cell>
          <cell r="H42">
            <v>6</v>
          </cell>
          <cell r="K42">
            <v>0.498</v>
          </cell>
          <cell r="L42">
            <v>2.988</v>
          </cell>
          <cell r="M42">
            <v>196</v>
          </cell>
          <cell r="N42">
            <v>1176</v>
          </cell>
          <cell r="O42" t="str">
            <v>물정 '98.11 p.45</v>
          </cell>
        </row>
        <row r="43">
          <cell r="B43" t="str">
            <v>03980-031</v>
          </cell>
          <cell r="C43" t="str">
            <v>H-BEAM</v>
          </cell>
          <cell r="D43" t="str">
            <v>C S</v>
          </cell>
          <cell r="E43" t="str">
            <v>H100x100x6x8</v>
          </cell>
          <cell r="F43">
            <v>700</v>
          </cell>
          <cell r="G43" t="str">
            <v>16200-100</v>
          </cell>
          <cell r="H43">
            <v>1</v>
          </cell>
          <cell r="K43">
            <v>12.04</v>
          </cell>
          <cell r="L43">
            <v>12.04</v>
          </cell>
          <cell r="M43">
            <v>5839</v>
          </cell>
          <cell r="N43">
            <v>5839</v>
          </cell>
          <cell r="O43" t="str">
            <v>물정 '98.11 p.47</v>
          </cell>
        </row>
        <row r="44">
          <cell r="B44" t="str">
            <v>03980-051</v>
          </cell>
          <cell r="C44" t="str">
            <v>ANGLE</v>
          </cell>
          <cell r="D44" t="str">
            <v>C S</v>
          </cell>
          <cell r="E44" t="str">
            <v>L75x75x9</v>
          </cell>
          <cell r="F44">
            <v>160</v>
          </cell>
          <cell r="G44" t="str">
            <v>16200-100</v>
          </cell>
          <cell r="H44">
            <v>3</v>
          </cell>
          <cell r="K44">
            <v>1.5940000000000001</v>
          </cell>
          <cell r="L44">
            <v>4.782</v>
          </cell>
          <cell r="M44">
            <v>628</v>
          </cell>
          <cell r="N44">
            <v>1884</v>
          </cell>
          <cell r="O44" t="str">
            <v>물정 '98.11 p.45</v>
          </cell>
        </row>
        <row r="45">
          <cell r="B45" t="str">
            <v>03980-052</v>
          </cell>
          <cell r="C45" t="str">
            <v>ANGLE</v>
          </cell>
          <cell r="D45" t="str">
            <v>C S</v>
          </cell>
          <cell r="E45" t="str">
            <v>L75x75x9</v>
          </cell>
          <cell r="F45">
            <v>460</v>
          </cell>
          <cell r="G45" t="str">
            <v>16200-100</v>
          </cell>
          <cell r="H45">
            <v>2</v>
          </cell>
          <cell r="K45">
            <v>4.5819999999999999</v>
          </cell>
          <cell r="L45">
            <v>9.1639999999999997</v>
          </cell>
          <cell r="M45">
            <v>1805</v>
          </cell>
          <cell r="N45">
            <v>3610</v>
          </cell>
          <cell r="O45" t="str">
            <v>물정 '98.11 p.45</v>
          </cell>
        </row>
        <row r="46">
          <cell r="B46" t="str">
            <v>03980-053</v>
          </cell>
          <cell r="C46" t="str">
            <v>STUD BOLT</v>
          </cell>
          <cell r="D46" t="str">
            <v>C S</v>
          </cell>
          <cell r="E46" t="str">
            <v>M15x60L</v>
          </cell>
          <cell r="G46" t="str">
            <v>16200-100</v>
          </cell>
          <cell r="H46">
            <v>16</v>
          </cell>
          <cell r="K46">
            <v>0.2</v>
          </cell>
          <cell r="L46">
            <v>3.2</v>
          </cell>
          <cell r="M46">
            <v>137</v>
          </cell>
          <cell r="N46">
            <v>2192</v>
          </cell>
          <cell r="O46" t="str">
            <v>물정 '98.11 p.74</v>
          </cell>
        </row>
        <row r="47">
          <cell r="B47" t="str">
            <v>03980-053</v>
          </cell>
          <cell r="C47" t="str">
            <v>PLATE</v>
          </cell>
          <cell r="D47" t="str">
            <v>C S</v>
          </cell>
          <cell r="E47" t="str">
            <v>PL200x200x12t</v>
          </cell>
          <cell r="G47" t="str">
            <v>16200-100</v>
          </cell>
          <cell r="H47">
            <v>4</v>
          </cell>
          <cell r="K47">
            <v>3.7679999999999998</v>
          </cell>
          <cell r="L47">
            <v>15.071999999999999</v>
          </cell>
          <cell r="M47">
            <v>1526</v>
          </cell>
          <cell r="N47">
            <v>6104</v>
          </cell>
          <cell r="O47" t="str">
            <v>물정 '98.11 p.50</v>
          </cell>
        </row>
        <row r="48">
          <cell r="B48" t="str">
            <v>03980-053</v>
          </cell>
          <cell r="C48" t="str">
            <v>PLATE</v>
          </cell>
          <cell r="D48" t="str">
            <v>C S</v>
          </cell>
          <cell r="E48" t="str">
            <v>PL200x150x12t</v>
          </cell>
          <cell r="G48" t="str">
            <v>16200-100</v>
          </cell>
          <cell r="H48">
            <v>4</v>
          </cell>
          <cell r="K48">
            <v>2.8260000000000001</v>
          </cell>
          <cell r="L48">
            <v>11.304</v>
          </cell>
          <cell r="M48">
            <v>1144</v>
          </cell>
          <cell r="N48">
            <v>4576</v>
          </cell>
          <cell r="O48" t="str">
            <v>물정 '98.11 p.50</v>
          </cell>
        </row>
        <row r="49">
          <cell r="B49" t="str">
            <v>03980-053</v>
          </cell>
          <cell r="C49" t="str">
            <v>LUG PLATE</v>
          </cell>
          <cell r="D49" t="str">
            <v>S S</v>
          </cell>
          <cell r="E49" t="str">
            <v>PL100x50x12t</v>
          </cell>
          <cell r="G49" t="str">
            <v>16200-100</v>
          </cell>
          <cell r="H49">
            <v>4</v>
          </cell>
          <cell r="K49">
            <v>0.47099999999999997</v>
          </cell>
          <cell r="L49">
            <v>1.8839999999999999</v>
          </cell>
          <cell r="M49">
            <v>190</v>
          </cell>
          <cell r="N49">
            <v>760</v>
          </cell>
          <cell r="O49" t="str">
            <v>물정 '98.11 p.50</v>
          </cell>
        </row>
        <row r="50">
          <cell r="B50" t="str">
            <v>03980-053</v>
          </cell>
          <cell r="C50" t="str">
            <v>ANGLE</v>
          </cell>
          <cell r="D50" t="str">
            <v>C S</v>
          </cell>
          <cell r="E50" t="str">
            <v>L75x75x9</v>
          </cell>
          <cell r="F50">
            <v>248</v>
          </cell>
          <cell r="G50" t="str">
            <v>16200-100</v>
          </cell>
          <cell r="H50">
            <v>4</v>
          </cell>
          <cell r="K50">
            <v>2.4710000000000001</v>
          </cell>
          <cell r="L50">
            <v>9.8840000000000003</v>
          </cell>
          <cell r="M50">
            <v>973</v>
          </cell>
          <cell r="N50">
            <v>3892</v>
          </cell>
          <cell r="O50" t="str">
            <v>물정 '98.11 p.45</v>
          </cell>
        </row>
        <row r="51">
          <cell r="B51" t="str">
            <v>03980-024</v>
          </cell>
          <cell r="C51" t="str">
            <v>U-BOLT</v>
          </cell>
          <cell r="D51" t="str">
            <v>C S</v>
          </cell>
          <cell r="E51" t="str">
            <v>DN 80</v>
          </cell>
          <cell r="G51" t="str">
            <v>16200- 80</v>
          </cell>
          <cell r="H51">
            <v>10</v>
          </cell>
          <cell r="K51">
            <v>0.25900000000000001</v>
          </cell>
          <cell r="L51">
            <v>2.59</v>
          </cell>
          <cell r="M51">
            <v>770</v>
          </cell>
          <cell r="N51">
            <v>7700</v>
          </cell>
          <cell r="O51" t="str">
            <v>물정 '98.11.p78</v>
          </cell>
        </row>
        <row r="52">
          <cell r="B52" t="str">
            <v>03980-033</v>
          </cell>
          <cell r="C52" t="str">
            <v>WEL'D BEAM ATTACH.</v>
          </cell>
          <cell r="D52" t="str">
            <v>C S</v>
          </cell>
          <cell r="E52" t="str">
            <v>M12</v>
          </cell>
          <cell r="G52" t="str">
            <v>16200- 80</v>
          </cell>
          <cell r="H52">
            <v>1</v>
          </cell>
          <cell r="K52">
            <v>0.59</v>
          </cell>
          <cell r="L52">
            <v>0.59</v>
          </cell>
          <cell r="M52">
            <v>4800</v>
          </cell>
          <cell r="N52">
            <v>4800</v>
          </cell>
          <cell r="O52" t="str">
            <v>견적가</v>
          </cell>
        </row>
        <row r="53">
          <cell r="B53" t="str">
            <v>03980-033</v>
          </cell>
          <cell r="C53" t="str">
            <v>THR'D ROD</v>
          </cell>
          <cell r="D53" t="str">
            <v>C S</v>
          </cell>
          <cell r="E53" t="str">
            <v>M12</v>
          </cell>
          <cell r="F53">
            <v>360</v>
          </cell>
          <cell r="G53" t="str">
            <v>16200- 80</v>
          </cell>
          <cell r="H53">
            <v>1</v>
          </cell>
          <cell r="K53">
            <v>0.28499999999999998</v>
          </cell>
          <cell r="L53">
            <v>0.28499999999999998</v>
          </cell>
          <cell r="M53">
            <v>3430</v>
          </cell>
          <cell r="N53">
            <v>3430</v>
          </cell>
          <cell r="O53" t="str">
            <v>견적가</v>
          </cell>
        </row>
        <row r="54">
          <cell r="B54" t="str">
            <v>03980-033</v>
          </cell>
          <cell r="C54" t="str">
            <v>PLATE</v>
          </cell>
          <cell r="D54" t="str">
            <v>C S</v>
          </cell>
          <cell r="E54" t="str">
            <v>PL200x200x12t</v>
          </cell>
          <cell r="G54" t="str">
            <v>16200- 80</v>
          </cell>
          <cell r="H54">
            <v>1</v>
          </cell>
          <cell r="K54">
            <v>3.7679999999999998</v>
          </cell>
          <cell r="L54">
            <v>3.7679999999999998</v>
          </cell>
          <cell r="M54">
            <v>1526</v>
          </cell>
          <cell r="N54">
            <v>1526</v>
          </cell>
          <cell r="O54" t="str">
            <v>물정 '98.11 p.50</v>
          </cell>
        </row>
        <row r="55">
          <cell r="B55" t="str">
            <v>03980-033</v>
          </cell>
          <cell r="C55" t="str">
            <v>EYE NUT</v>
          </cell>
          <cell r="D55" t="str">
            <v>C S</v>
          </cell>
          <cell r="E55" t="str">
            <v>M12</v>
          </cell>
          <cell r="G55" t="str">
            <v>16200- 80</v>
          </cell>
          <cell r="H55">
            <v>2</v>
          </cell>
          <cell r="K55">
            <v>0.28999999999999998</v>
          </cell>
          <cell r="L55">
            <v>0.57999999999999996</v>
          </cell>
          <cell r="M55">
            <v>1600</v>
          </cell>
          <cell r="N55">
            <v>3200</v>
          </cell>
          <cell r="O55" t="str">
            <v>견적가</v>
          </cell>
        </row>
        <row r="56">
          <cell r="B56" t="str">
            <v>03980-033</v>
          </cell>
          <cell r="C56" t="str">
            <v>CHANNEL</v>
          </cell>
          <cell r="D56" t="str">
            <v>C S</v>
          </cell>
          <cell r="E56" t="str">
            <v>C100x50x5x7.5</v>
          </cell>
          <cell r="F56">
            <v>500</v>
          </cell>
          <cell r="G56" t="str">
            <v>16200- 80</v>
          </cell>
          <cell r="H56">
            <v>1</v>
          </cell>
          <cell r="K56">
            <v>4.68</v>
          </cell>
          <cell r="L56">
            <v>4.68</v>
          </cell>
          <cell r="M56">
            <v>1965</v>
          </cell>
          <cell r="N56">
            <v>1965</v>
          </cell>
          <cell r="O56" t="str">
            <v>물정 '98.11 p.46</v>
          </cell>
        </row>
        <row r="57">
          <cell r="B57" t="str">
            <v>03980-033</v>
          </cell>
          <cell r="C57" t="str">
            <v>ANCHOR BOLT</v>
          </cell>
          <cell r="D57" t="str">
            <v>C S</v>
          </cell>
          <cell r="E57" t="str">
            <v>M12x155L</v>
          </cell>
          <cell r="G57" t="str">
            <v>16200- 80</v>
          </cell>
          <cell r="H57">
            <v>4</v>
          </cell>
          <cell r="K57">
            <v>0.124</v>
          </cell>
          <cell r="L57">
            <v>0.496</v>
          </cell>
          <cell r="M57">
            <v>1480</v>
          </cell>
          <cell r="N57">
            <v>5920</v>
          </cell>
          <cell r="O57" t="str">
            <v>견적가</v>
          </cell>
        </row>
        <row r="58">
          <cell r="B58" t="str">
            <v>03980-033</v>
          </cell>
          <cell r="C58" t="str">
            <v>3-BOLT PIPE CLAMP</v>
          </cell>
          <cell r="D58" t="str">
            <v>C S</v>
          </cell>
          <cell r="E58" t="str">
            <v>DN 80</v>
          </cell>
          <cell r="G58" t="str">
            <v>16200- 80</v>
          </cell>
          <cell r="H58">
            <v>1</v>
          </cell>
          <cell r="K58">
            <v>1.36</v>
          </cell>
          <cell r="L58">
            <v>1.36</v>
          </cell>
          <cell r="M58">
            <v>10000</v>
          </cell>
          <cell r="N58">
            <v>10000</v>
          </cell>
          <cell r="O58" t="str">
            <v>견적가</v>
          </cell>
        </row>
        <row r="60">
          <cell r="B60" t="str">
            <v>03980-026</v>
          </cell>
          <cell r="C60" t="str">
            <v>U-BOLT</v>
          </cell>
          <cell r="D60" t="str">
            <v>C S</v>
          </cell>
          <cell r="E60" t="str">
            <v>DN100</v>
          </cell>
          <cell r="G60" t="str">
            <v>16320-100</v>
          </cell>
          <cell r="H60">
            <v>3</v>
          </cell>
          <cell r="K60">
            <v>0.54900000000000004</v>
          </cell>
          <cell r="L60">
            <v>1.647</v>
          </cell>
          <cell r="M60">
            <v>510</v>
          </cell>
          <cell r="N60">
            <v>1530</v>
          </cell>
          <cell r="O60" t="str">
            <v>물정 '98.11.p78</v>
          </cell>
        </row>
        <row r="61">
          <cell r="B61" t="str">
            <v>03980-032</v>
          </cell>
          <cell r="C61" t="str">
            <v>PLATE</v>
          </cell>
          <cell r="D61" t="str">
            <v>C S</v>
          </cell>
          <cell r="E61" t="str">
            <v>PL200x200x12t</v>
          </cell>
          <cell r="G61" t="str">
            <v>16320-100</v>
          </cell>
          <cell r="H61">
            <v>2</v>
          </cell>
          <cell r="K61">
            <v>3.7679999999999998</v>
          </cell>
          <cell r="L61">
            <v>7.5359999999999996</v>
          </cell>
          <cell r="M61">
            <v>1526</v>
          </cell>
          <cell r="N61">
            <v>3052</v>
          </cell>
          <cell r="O61" t="str">
            <v>물정 '98.11 p.50</v>
          </cell>
        </row>
        <row r="62">
          <cell r="B62" t="str">
            <v>03980-025</v>
          </cell>
          <cell r="C62" t="str">
            <v>H-BEAM</v>
          </cell>
          <cell r="D62" t="str">
            <v>C S</v>
          </cell>
          <cell r="E62" t="str">
            <v>H100x100x6x8</v>
          </cell>
          <cell r="F62">
            <v>1385</v>
          </cell>
          <cell r="G62" t="str">
            <v>16320-100</v>
          </cell>
          <cell r="H62">
            <v>1</v>
          </cell>
          <cell r="K62">
            <v>23.821999999999999</v>
          </cell>
          <cell r="L62">
            <v>23.821999999999999</v>
          </cell>
          <cell r="M62">
            <v>11553</v>
          </cell>
          <cell r="N62">
            <v>11553</v>
          </cell>
          <cell r="O62" t="str">
            <v>물정 '98.11 p.47</v>
          </cell>
        </row>
        <row r="63">
          <cell r="B63" t="str">
            <v>03980-025</v>
          </cell>
          <cell r="C63" t="str">
            <v>CLIP ANGLE</v>
          </cell>
          <cell r="D63" t="str">
            <v>C S</v>
          </cell>
          <cell r="E63" t="str">
            <v>L75x75x9</v>
          </cell>
          <cell r="F63">
            <v>50</v>
          </cell>
          <cell r="G63" t="str">
            <v>16320-100</v>
          </cell>
          <cell r="H63">
            <v>2</v>
          </cell>
          <cell r="K63">
            <v>0.498</v>
          </cell>
          <cell r="L63">
            <v>0.996</v>
          </cell>
          <cell r="M63">
            <v>196</v>
          </cell>
          <cell r="N63">
            <v>392</v>
          </cell>
          <cell r="O63" t="str">
            <v>물정 '98.11 p.45</v>
          </cell>
        </row>
        <row r="64">
          <cell r="B64" t="str">
            <v>03980-032</v>
          </cell>
          <cell r="C64" t="str">
            <v>ANGLE</v>
          </cell>
          <cell r="D64" t="str">
            <v>C S</v>
          </cell>
          <cell r="E64" t="str">
            <v>L75x75x9</v>
          </cell>
          <cell r="F64">
            <v>527</v>
          </cell>
          <cell r="G64" t="str">
            <v>16320-100</v>
          </cell>
          <cell r="H64">
            <v>1</v>
          </cell>
          <cell r="K64">
            <v>5.2489999999999997</v>
          </cell>
          <cell r="L64">
            <v>5.2489999999999997</v>
          </cell>
          <cell r="M64">
            <v>2068</v>
          </cell>
          <cell r="N64">
            <v>2068</v>
          </cell>
          <cell r="O64" t="str">
            <v>물정 '98.11 p.45</v>
          </cell>
        </row>
        <row r="65">
          <cell r="B65" t="str">
            <v>03980-034</v>
          </cell>
          <cell r="C65" t="str">
            <v>ANGLE</v>
          </cell>
          <cell r="D65" t="str">
            <v>C S</v>
          </cell>
          <cell r="E65" t="str">
            <v>L75x75x9</v>
          </cell>
          <cell r="F65">
            <v>514</v>
          </cell>
          <cell r="G65" t="str">
            <v>16320-100</v>
          </cell>
          <cell r="H65">
            <v>1</v>
          </cell>
          <cell r="K65">
            <v>5.12</v>
          </cell>
          <cell r="L65">
            <v>5.12</v>
          </cell>
          <cell r="M65">
            <v>2017</v>
          </cell>
          <cell r="N65">
            <v>2017</v>
          </cell>
          <cell r="O65" t="str">
            <v>물정 '98.11 p.45</v>
          </cell>
        </row>
        <row r="66">
          <cell r="B66" t="str">
            <v>03980-032</v>
          </cell>
          <cell r="C66" t="str">
            <v>ANCHOR BOLT</v>
          </cell>
          <cell r="D66" t="str">
            <v>C S</v>
          </cell>
          <cell r="E66" t="str">
            <v>M12x155L</v>
          </cell>
          <cell r="G66" t="str">
            <v>16320-100</v>
          </cell>
          <cell r="H66">
            <v>8</v>
          </cell>
          <cell r="K66">
            <v>0.124</v>
          </cell>
          <cell r="L66">
            <v>0.99199999999999999</v>
          </cell>
          <cell r="M66">
            <v>1480</v>
          </cell>
          <cell r="N66">
            <v>11840</v>
          </cell>
          <cell r="O66" t="str">
            <v>견적가</v>
          </cell>
        </row>
        <row r="67">
          <cell r="B67" t="str">
            <v>03980-036</v>
          </cell>
          <cell r="C67" t="str">
            <v>WEL'D BEAM ATTACH.</v>
          </cell>
          <cell r="D67" t="str">
            <v>C S</v>
          </cell>
          <cell r="E67" t="str">
            <v>M12</v>
          </cell>
          <cell r="G67" t="str">
            <v>16320- 80</v>
          </cell>
          <cell r="H67">
            <v>1</v>
          </cell>
          <cell r="K67">
            <v>0.59</v>
          </cell>
          <cell r="L67">
            <v>0.59</v>
          </cell>
          <cell r="M67">
            <v>4800</v>
          </cell>
          <cell r="N67">
            <v>4800</v>
          </cell>
          <cell r="O67" t="str">
            <v>견적가</v>
          </cell>
        </row>
        <row r="68">
          <cell r="B68" t="str">
            <v>03980-037</v>
          </cell>
          <cell r="C68" t="str">
            <v>U-BOLT</v>
          </cell>
          <cell r="D68" t="str">
            <v>C S</v>
          </cell>
          <cell r="E68" t="str">
            <v>DN 80</v>
          </cell>
          <cell r="G68" t="str">
            <v>16320- 80</v>
          </cell>
          <cell r="H68">
            <v>11</v>
          </cell>
          <cell r="K68">
            <v>0.25900000000000001</v>
          </cell>
          <cell r="L68">
            <v>2.8490000000000002</v>
          </cell>
          <cell r="M68">
            <v>220</v>
          </cell>
          <cell r="N68">
            <v>2420</v>
          </cell>
          <cell r="O68" t="str">
            <v>물정 '98.11.p78</v>
          </cell>
        </row>
        <row r="69">
          <cell r="B69" t="str">
            <v>03980-036</v>
          </cell>
          <cell r="C69" t="str">
            <v>THR'D ROD</v>
          </cell>
          <cell r="D69" t="str">
            <v>C S</v>
          </cell>
          <cell r="E69" t="str">
            <v>M12</v>
          </cell>
          <cell r="F69">
            <v>1161</v>
          </cell>
          <cell r="G69" t="str">
            <v>16320- 80</v>
          </cell>
          <cell r="H69">
            <v>1</v>
          </cell>
          <cell r="K69">
            <v>0.91700000000000004</v>
          </cell>
          <cell r="L69">
            <v>0.91700000000000004</v>
          </cell>
          <cell r="M69">
            <v>3630</v>
          </cell>
          <cell r="N69">
            <v>3630</v>
          </cell>
          <cell r="O69" t="str">
            <v>견적가</v>
          </cell>
        </row>
        <row r="70">
          <cell r="B70" t="str">
            <v>03980-037</v>
          </cell>
          <cell r="C70" t="str">
            <v>PLATE</v>
          </cell>
          <cell r="D70" t="str">
            <v>C S</v>
          </cell>
          <cell r="E70" t="str">
            <v>PL200x200x12t</v>
          </cell>
          <cell r="G70" t="str">
            <v>16320- 80</v>
          </cell>
          <cell r="H70">
            <v>3</v>
          </cell>
          <cell r="K70">
            <v>3.7679999999999998</v>
          </cell>
          <cell r="L70">
            <v>11.304</v>
          </cell>
          <cell r="M70">
            <v>1526</v>
          </cell>
          <cell r="N70">
            <v>4578</v>
          </cell>
          <cell r="O70" t="str">
            <v>물정 '98.11 p.50</v>
          </cell>
        </row>
        <row r="71">
          <cell r="B71" t="str">
            <v>03980-037</v>
          </cell>
          <cell r="C71" t="str">
            <v>H-BEAM</v>
          </cell>
          <cell r="D71" t="str">
            <v>C S</v>
          </cell>
          <cell r="E71" t="str">
            <v>H100x100x6x8</v>
          </cell>
          <cell r="F71">
            <v>284</v>
          </cell>
          <cell r="G71" t="str">
            <v>16320- 80</v>
          </cell>
          <cell r="H71">
            <v>1</v>
          </cell>
          <cell r="K71">
            <v>4.8849999999999998</v>
          </cell>
          <cell r="L71">
            <v>4.8849999999999998</v>
          </cell>
          <cell r="M71">
            <v>2369</v>
          </cell>
          <cell r="N71">
            <v>2369</v>
          </cell>
          <cell r="O71" t="str">
            <v>물정 '98.11 p.47</v>
          </cell>
        </row>
        <row r="72">
          <cell r="B72" t="str">
            <v>03980-036</v>
          </cell>
          <cell r="C72" t="str">
            <v>EYE NUT</v>
          </cell>
          <cell r="D72" t="str">
            <v>C S</v>
          </cell>
          <cell r="E72" t="str">
            <v>M12</v>
          </cell>
          <cell r="G72" t="str">
            <v>16320- 80</v>
          </cell>
          <cell r="H72">
            <v>2</v>
          </cell>
          <cell r="K72">
            <v>0.28999999999999998</v>
          </cell>
          <cell r="L72">
            <v>0.57999999999999996</v>
          </cell>
          <cell r="M72">
            <v>1600</v>
          </cell>
          <cell r="N72">
            <v>3200</v>
          </cell>
          <cell r="O72" t="str">
            <v>견적가</v>
          </cell>
        </row>
        <row r="73">
          <cell r="B73" t="str">
            <v>03980-036</v>
          </cell>
          <cell r="C73" t="str">
            <v>CHANNEL</v>
          </cell>
          <cell r="D73" t="str">
            <v>C S</v>
          </cell>
          <cell r="E73" t="str">
            <v>C100x50x5x7.5</v>
          </cell>
          <cell r="F73">
            <v>450</v>
          </cell>
          <cell r="G73" t="str">
            <v>16320- 80</v>
          </cell>
          <cell r="H73">
            <v>1</v>
          </cell>
          <cell r="K73">
            <v>4.2119999999999997</v>
          </cell>
          <cell r="L73">
            <v>4.2119999999999997</v>
          </cell>
          <cell r="M73">
            <v>1769</v>
          </cell>
          <cell r="N73">
            <v>1769</v>
          </cell>
          <cell r="O73" t="str">
            <v>물정 '98.11 p.46</v>
          </cell>
        </row>
        <row r="74">
          <cell r="B74" t="str">
            <v>03980-037</v>
          </cell>
          <cell r="C74" t="str">
            <v>ANGLE</v>
          </cell>
          <cell r="D74" t="str">
            <v>C S</v>
          </cell>
          <cell r="E74" t="str">
            <v>L75x75x9</v>
          </cell>
          <cell r="F74">
            <v>225</v>
          </cell>
          <cell r="G74" t="str">
            <v>16320- 80</v>
          </cell>
          <cell r="H74">
            <v>1</v>
          </cell>
          <cell r="K74">
            <v>2.2410000000000001</v>
          </cell>
          <cell r="L74">
            <v>2.2410000000000001</v>
          </cell>
          <cell r="M74">
            <v>882</v>
          </cell>
          <cell r="N74">
            <v>882</v>
          </cell>
          <cell r="O74" t="str">
            <v>물정 '98.11 p.45</v>
          </cell>
        </row>
        <row r="75">
          <cell r="B75" t="str">
            <v>03980-038</v>
          </cell>
          <cell r="C75" t="str">
            <v>ANGLE</v>
          </cell>
          <cell r="D75" t="str">
            <v>C S</v>
          </cell>
          <cell r="E75" t="str">
            <v>L75x75x9</v>
          </cell>
          <cell r="F75">
            <v>284</v>
          </cell>
          <cell r="G75" t="str">
            <v>16320- 80</v>
          </cell>
          <cell r="H75">
            <v>2</v>
          </cell>
          <cell r="K75">
            <v>2.8290000000000002</v>
          </cell>
          <cell r="L75">
            <v>5.6580000000000004</v>
          </cell>
          <cell r="M75">
            <v>1114</v>
          </cell>
          <cell r="N75">
            <v>2228</v>
          </cell>
          <cell r="O75" t="str">
            <v>물정 '98.11 p.45</v>
          </cell>
        </row>
        <row r="76">
          <cell r="B76" t="str">
            <v>03980-060</v>
          </cell>
          <cell r="C76" t="str">
            <v>ANGLE</v>
          </cell>
          <cell r="D76" t="str">
            <v>C S</v>
          </cell>
          <cell r="E76" t="str">
            <v>L75x75x9</v>
          </cell>
          <cell r="F76">
            <v>430</v>
          </cell>
          <cell r="G76" t="str">
            <v>16320- 80</v>
          </cell>
          <cell r="H76">
            <v>1</v>
          </cell>
          <cell r="K76">
            <v>4.2830000000000004</v>
          </cell>
          <cell r="L76">
            <v>4.2830000000000004</v>
          </cell>
          <cell r="M76">
            <v>1687</v>
          </cell>
          <cell r="N76">
            <v>1687</v>
          </cell>
          <cell r="O76" t="str">
            <v>물정 '98.11 p.45</v>
          </cell>
        </row>
        <row r="77">
          <cell r="B77" t="str">
            <v>03980-037</v>
          </cell>
          <cell r="C77" t="str">
            <v>ANCHOR BOLT</v>
          </cell>
          <cell r="D77" t="str">
            <v>C S</v>
          </cell>
          <cell r="E77" t="str">
            <v>M12x155L</v>
          </cell>
          <cell r="G77" t="str">
            <v>16320- 80</v>
          </cell>
          <cell r="H77">
            <v>8</v>
          </cell>
          <cell r="K77">
            <v>0.124</v>
          </cell>
          <cell r="L77">
            <v>0.99199999999999999</v>
          </cell>
          <cell r="M77">
            <v>1480</v>
          </cell>
          <cell r="N77">
            <v>11840</v>
          </cell>
          <cell r="O77" t="str">
            <v>견적가</v>
          </cell>
        </row>
        <row r="78">
          <cell r="B78" t="str">
            <v>03980-036</v>
          </cell>
          <cell r="C78" t="str">
            <v>3-BOLT PIPE CLAMP</v>
          </cell>
          <cell r="D78" t="str">
            <v>C S</v>
          </cell>
          <cell r="E78" t="str">
            <v>DN 80</v>
          </cell>
          <cell r="G78" t="str">
            <v>16320- 80</v>
          </cell>
          <cell r="H78">
            <v>1</v>
          </cell>
          <cell r="K78">
            <v>1.36</v>
          </cell>
          <cell r="L78">
            <v>1.36</v>
          </cell>
          <cell r="M78">
            <v>10000</v>
          </cell>
          <cell r="N78">
            <v>10000</v>
          </cell>
          <cell r="O78" t="str">
            <v>견적가</v>
          </cell>
        </row>
        <row r="80">
          <cell r="B80" t="str">
            <v>03980-072</v>
          </cell>
          <cell r="C80" t="str">
            <v>PLATE</v>
          </cell>
          <cell r="D80" t="str">
            <v>C S</v>
          </cell>
          <cell r="E80" t="str">
            <v>PL300x300x15t</v>
          </cell>
          <cell r="G80" t="str">
            <v>22100-200</v>
          </cell>
          <cell r="H80">
            <v>2</v>
          </cell>
          <cell r="K80">
            <v>10.602</v>
          </cell>
          <cell r="L80">
            <v>21.204000000000001</v>
          </cell>
          <cell r="M80">
            <v>4293</v>
          </cell>
          <cell r="N80">
            <v>8586</v>
          </cell>
          <cell r="O80" t="str">
            <v>물정 '98.11 p.50</v>
          </cell>
        </row>
        <row r="81">
          <cell r="B81" t="str">
            <v>03980-072</v>
          </cell>
          <cell r="C81" t="str">
            <v>PLATE</v>
          </cell>
          <cell r="D81" t="str">
            <v>C S</v>
          </cell>
          <cell r="E81" t="str">
            <v>PL107x70x9t</v>
          </cell>
          <cell r="G81" t="str">
            <v>22100-200</v>
          </cell>
          <cell r="H81">
            <v>8</v>
          </cell>
          <cell r="K81">
            <v>0.52900000000000003</v>
          </cell>
          <cell r="L81">
            <v>4.2320000000000002</v>
          </cell>
          <cell r="M81">
            <v>219</v>
          </cell>
          <cell r="N81">
            <v>1752</v>
          </cell>
          <cell r="O81" t="str">
            <v>물정 '98.11 p.50</v>
          </cell>
        </row>
        <row r="82">
          <cell r="B82" t="str">
            <v>03980-077</v>
          </cell>
          <cell r="C82" t="str">
            <v>H-BEAM</v>
          </cell>
          <cell r="D82" t="str">
            <v>C S</v>
          </cell>
          <cell r="E82" t="str">
            <v>H150x150x7x9</v>
          </cell>
          <cell r="F82">
            <v>3300</v>
          </cell>
          <cell r="G82" t="str">
            <v>22100-200</v>
          </cell>
          <cell r="H82">
            <v>1</v>
          </cell>
          <cell r="K82">
            <v>103.95</v>
          </cell>
          <cell r="L82">
            <v>103.95</v>
          </cell>
          <cell r="M82">
            <v>50415</v>
          </cell>
          <cell r="N82">
            <v>50415</v>
          </cell>
          <cell r="O82" t="str">
            <v>물정 '98.11 p.47</v>
          </cell>
        </row>
        <row r="83">
          <cell r="B83" t="str">
            <v>03980-077</v>
          </cell>
          <cell r="C83" t="str">
            <v>H-BEAM</v>
          </cell>
          <cell r="D83" t="str">
            <v>C S</v>
          </cell>
          <cell r="E83" t="str">
            <v>H150x150x7x9</v>
          </cell>
          <cell r="F83">
            <v>535</v>
          </cell>
          <cell r="G83" t="str">
            <v>22100-200</v>
          </cell>
          <cell r="H83">
            <v>2</v>
          </cell>
          <cell r="K83">
            <v>16.853000000000002</v>
          </cell>
          <cell r="L83">
            <v>33.706000000000003</v>
          </cell>
          <cell r="M83">
            <v>8173</v>
          </cell>
          <cell r="N83">
            <v>16346</v>
          </cell>
          <cell r="O83" t="str">
            <v>물정 '98.11 p.47</v>
          </cell>
        </row>
        <row r="84">
          <cell r="B84" t="str">
            <v>03980-072</v>
          </cell>
          <cell r="C84" t="str">
            <v>H-BEAM</v>
          </cell>
          <cell r="D84" t="str">
            <v>C S</v>
          </cell>
          <cell r="E84" t="str">
            <v>H100x100x6x8</v>
          </cell>
          <cell r="F84">
            <v>200</v>
          </cell>
          <cell r="G84" t="str">
            <v>22100-200</v>
          </cell>
          <cell r="H84">
            <v>2</v>
          </cell>
          <cell r="K84">
            <v>3.44</v>
          </cell>
          <cell r="L84">
            <v>6.88</v>
          </cell>
          <cell r="M84">
            <v>1668</v>
          </cell>
          <cell r="N84">
            <v>3336</v>
          </cell>
          <cell r="O84" t="str">
            <v>물정 '98.11 p.47</v>
          </cell>
        </row>
        <row r="85">
          <cell r="B85" t="str">
            <v>03980-072</v>
          </cell>
          <cell r="C85" t="str">
            <v>CT</v>
          </cell>
          <cell r="D85" t="str">
            <v>C S</v>
          </cell>
          <cell r="E85" t="str">
            <v>CT100x150x6x9</v>
          </cell>
          <cell r="F85">
            <v>200</v>
          </cell>
          <cell r="G85" t="str">
            <v>22100-200</v>
          </cell>
          <cell r="H85">
            <v>2</v>
          </cell>
          <cell r="K85">
            <v>3.06</v>
          </cell>
          <cell r="L85">
            <v>6.12</v>
          </cell>
          <cell r="M85">
            <v>1569</v>
          </cell>
          <cell r="N85">
            <v>3138</v>
          </cell>
          <cell r="O85" t="str">
            <v>물정 '98.11 p.48</v>
          </cell>
        </row>
        <row r="86">
          <cell r="B86" t="str">
            <v>03980-072</v>
          </cell>
          <cell r="C86" t="str">
            <v>ANCHOR BOLT</v>
          </cell>
          <cell r="D86" t="str">
            <v>C S</v>
          </cell>
          <cell r="E86" t="str">
            <v>M16x177L</v>
          </cell>
          <cell r="G86" t="str">
            <v>22100-200</v>
          </cell>
          <cell r="H86">
            <v>12</v>
          </cell>
          <cell r="K86">
            <v>0.34699999999999998</v>
          </cell>
          <cell r="L86">
            <v>4.1639999999999997</v>
          </cell>
          <cell r="M86">
            <v>1660</v>
          </cell>
          <cell r="N86">
            <v>19920</v>
          </cell>
          <cell r="O86" t="str">
            <v>견적가</v>
          </cell>
        </row>
        <row r="87">
          <cell r="B87" t="str">
            <v>03980-073</v>
          </cell>
          <cell r="C87" t="str">
            <v>PLATE</v>
          </cell>
          <cell r="D87" t="str">
            <v>C S</v>
          </cell>
          <cell r="E87" t="str">
            <v>PL300x300x15t</v>
          </cell>
          <cell r="G87" t="str">
            <v>22100-300</v>
          </cell>
          <cell r="H87">
            <v>4</v>
          </cell>
          <cell r="K87">
            <v>10.602</v>
          </cell>
          <cell r="L87">
            <v>42.408000000000001</v>
          </cell>
          <cell r="M87">
            <v>4293</v>
          </cell>
          <cell r="N87">
            <v>17172</v>
          </cell>
          <cell r="O87" t="str">
            <v>물정 '98.11 p.50</v>
          </cell>
        </row>
        <row r="88">
          <cell r="B88" t="str">
            <v>03980-077</v>
          </cell>
          <cell r="C88" t="str">
            <v>PLATE</v>
          </cell>
          <cell r="D88" t="str">
            <v>C S</v>
          </cell>
          <cell r="E88" t="str">
            <v>PL300x250x15t</v>
          </cell>
          <cell r="G88" t="str">
            <v>22100-300</v>
          </cell>
          <cell r="H88">
            <v>2</v>
          </cell>
          <cell r="K88">
            <v>8.8350000000000009</v>
          </cell>
          <cell r="L88">
            <v>17.670000000000002</v>
          </cell>
          <cell r="M88">
            <v>3578</v>
          </cell>
          <cell r="N88">
            <v>7156</v>
          </cell>
          <cell r="O88" t="str">
            <v>물정 '98.11 p.50</v>
          </cell>
        </row>
        <row r="89">
          <cell r="B89" t="str">
            <v>03980-102</v>
          </cell>
          <cell r="C89" t="str">
            <v>PLATE</v>
          </cell>
          <cell r="D89" t="str">
            <v>C S</v>
          </cell>
          <cell r="E89" t="str">
            <v>PL300x240x9t</v>
          </cell>
          <cell r="G89" t="str">
            <v>22100-300</v>
          </cell>
          <cell r="H89">
            <v>12</v>
          </cell>
          <cell r="K89">
            <v>5.0869999999999997</v>
          </cell>
          <cell r="L89">
            <v>61.043999999999997</v>
          </cell>
          <cell r="M89">
            <v>2111</v>
          </cell>
          <cell r="N89">
            <v>25332</v>
          </cell>
          <cell r="O89" t="str">
            <v>물정 '98.11 p.50</v>
          </cell>
        </row>
        <row r="90">
          <cell r="B90" t="str">
            <v>03980-084</v>
          </cell>
          <cell r="C90" t="str">
            <v>PLATE</v>
          </cell>
          <cell r="D90" t="str">
            <v>C S</v>
          </cell>
          <cell r="E90" t="str">
            <v>PL270x270x12t</v>
          </cell>
          <cell r="G90" t="str">
            <v>22100-300</v>
          </cell>
          <cell r="H90">
            <v>6</v>
          </cell>
          <cell r="K90">
            <v>6.867</v>
          </cell>
          <cell r="L90">
            <v>41.201999999999998</v>
          </cell>
          <cell r="M90">
            <v>2781</v>
          </cell>
          <cell r="N90">
            <v>16686</v>
          </cell>
          <cell r="O90" t="str">
            <v>물정 '98.11 p.50</v>
          </cell>
        </row>
        <row r="91">
          <cell r="B91" t="str">
            <v>03980-103</v>
          </cell>
          <cell r="C91" t="str">
            <v>PLATE</v>
          </cell>
          <cell r="D91" t="str">
            <v>C S</v>
          </cell>
          <cell r="E91" t="str">
            <v>PL250x98x15t</v>
          </cell>
          <cell r="G91" t="str">
            <v>22100-300</v>
          </cell>
          <cell r="H91">
            <v>20</v>
          </cell>
          <cell r="K91">
            <v>2.8860000000000001</v>
          </cell>
          <cell r="L91">
            <v>57.72</v>
          </cell>
          <cell r="M91">
            <v>1168</v>
          </cell>
          <cell r="N91">
            <v>23360</v>
          </cell>
          <cell r="O91" t="str">
            <v>물정 '98.11 p.50</v>
          </cell>
        </row>
        <row r="92">
          <cell r="B92" t="str">
            <v>03980-074</v>
          </cell>
          <cell r="C92" t="str">
            <v>PLATE</v>
          </cell>
          <cell r="D92" t="str">
            <v>C S</v>
          </cell>
          <cell r="E92" t="str">
            <v>PL220x100x15t</v>
          </cell>
          <cell r="G92" t="str">
            <v>22100-300</v>
          </cell>
          <cell r="H92">
            <v>8</v>
          </cell>
          <cell r="K92">
            <v>2.5920000000000001</v>
          </cell>
          <cell r="L92">
            <v>20.736000000000001</v>
          </cell>
          <cell r="M92">
            <v>1049</v>
          </cell>
          <cell r="N92">
            <v>8392</v>
          </cell>
          <cell r="O92" t="str">
            <v>물정 '98.11 p.50</v>
          </cell>
        </row>
        <row r="93">
          <cell r="B93" t="str">
            <v>03980-102</v>
          </cell>
          <cell r="C93" t="str">
            <v>PLATE</v>
          </cell>
          <cell r="D93" t="str">
            <v>C S</v>
          </cell>
          <cell r="E93" t="str">
            <v>PL200x200x9t</v>
          </cell>
          <cell r="G93" t="str">
            <v>22100-300</v>
          </cell>
          <cell r="H93">
            <v>4</v>
          </cell>
          <cell r="K93">
            <v>2.8260000000000001</v>
          </cell>
          <cell r="L93">
            <v>11.304</v>
          </cell>
          <cell r="M93">
            <v>1172</v>
          </cell>
          <cell r="N93">
            <v>4688</v>
          </cell>
          <cell r="O93" t="str">
            <v>물정 '98.11 p.50</v>
          </cell>
        </row>
        <row r="94">
          <cell r="B94" t="str">
            <v>03980-081</v>
          </cell>
          <cell r="C94" t="str">
            <v>PLATE</v>
          </cell>
          <cell r="D94" t="str">
            <v>C S</v>
          </cell>
          <cell r="E94" t="str">
            <v>PL150x50x15t</v>
          </cell>
          <cell r="G94" t="str">
            <v>22100-300</v>
          </cell>
          <cell r="H94">
            <v>42</v>
          </cell>
          <cell r="K94">
            <v>0.88400000000000001</v>
          </cell>
          <cell r="L94">
            <v>37.128</v>
          </cell>
          <cell r="M94">
            <v>358</v>
          </cell>
          <cell r="N94">
            <v>15036</v>
          </cell>
          <cell r="O94" t="str">
            <v>물정 '98.11 p.50</v>
          </cell>
        </row>
        <row r="95">
          <cell r="B95" t="str">
            <v>03980-102</v>
          </cell>
          <cell r="C95" t="str">
            <v>PLATE</v>
          </cell>
          <cell r="D95" t="str">
            <v>C S</v>
          </cell>
          <cell r="E95" t="str">
            <v>PL140x98x15t</v>
          </cell>
          <cell r="G95" t="str">
            <v>22100-300</v>
          </cell>
          <cell r="H95">
            <v>4</v>
          </cell>
          <cell r="K95">
            <v>1.6160000000000001</v>
          </cell>
          <cell r="L95">
            <v>6.4640000000000004</v>
          </cell>
          <cell r="M95">
            <v>654</v>
          </cell>
          <cell r="N95">
            <v>2616</v>
          </cell>
          <cell r="O95" t="str">
            <v>물정 '98.11 p.50</v>
          </cell>
        </row>
        <row r="96">
          <cell r="B96" t="str">
            <v>03980-073</v>
          </cell>
          <cell r="C96" t="str">
            <v>PLATE</v>
          </cell>
          <cell r="D96" t="str">
            <v>C S</v>
          </cell>
          <cell r="E96" t="str">
            <v>PL103x96x10t</v>
          </cell>
          <cell r="G96" t="str">
            <v>22100-300</v>
          </cell>
          <cell r="H96">
            <v>384</v>
          </cell>
          <cell r="K96">
            <v>0.77600000000000002</v>
          </cell>
          <cell r="L96">
            <v>297.98399999999998</v>
          </cell>
          <cell r="M96">
            <v>314</v>
          </cell>
          <cell r="N96">
            <v>120576</v>
          </cell>
          <cell r="O96" t="str">
            <v>물정 '98.11 p.50</v>
          </cell>
        </row>
        <row r="97">
          <cell r="B97" t="str">
            <v>03980-084</v>
          </cell>
          <cell r="C97" t="str">
            <v>PIPE STD WT</v>
          </cell>
          <cell r="D97" t="str">
            <v>C S</v>
          </cell>
          <cell r="E97" t="str">
            <v>DN200</v>
          </cell>
          <cell r="F97">
            <v>128</v>
          </cell>
          <cell r="G97" t="str">
            <v>22100-300</v>
          </cell>
          <cell r="H97">
            <v>6</v>
          </cell>
          <cell r="K97">
            <v>5.484</v>
          </cell>
          <cell r="L97">
            <v>32.904000000000003</v>
          </cell>
          <cell r="M97">
            <v>312.32</v>
          </cell>
          <cell r="N97">
            <v>1873</v>
          </cell>
          <cell r="O97" t="str">
            <v>물자 '98.11 p.476</v>
          </cell>
        </row>
        <row r="98">
          <cell r="B98" t="str">
            <v>03980-102</v>
          </cell>
          <cell r="C98" t="str">
            <v>PIPE STD WT</v>
          </cell>
          <cell r="D98" t="str">
            <v>C S</v>
          </cell>
          <cell r="E98" t="str">
            <v>DN150</v>
          </cell>
          <cell r="F98">
            <v>220</v>
          </cell>
          <cell r="G98" t="str">
            <v>22100-300</v>
          </cell>
          <cell r="H98">
            <v>4</v>
          </cell>
          <cell r="K98">
            <v>6.22</v>
          </cell>
          <cell r="L98">
            <v>24.88</v>
          </cell>
          <cell r="M98">
            <v>3582.26</v>
          </cell>
          <cell r="N98">
            <v>14329</v>
          </cell>
          <cell r="O98" t="str">
            <v>물자 '98.11 p.476</v>
          </cell>
        </row>
        <row r="99">
          <cell r="B99" t="str">
            <v>03980-101</v>
          </cell>
          <cell r="C99" t="str">
            <v>H-BEAM</v>
          </cell>
          <cell r="D99" t="str">
            <v>C S</v>
          </cell>
          <cell r="E99" t="str">
            <v>H150x150x7x9</v>
          </cell>
          <cell r="F99">
            <v>302</v>
          </cell>
          <cell r="G99" t="str">
            <v>22100-300</v>
          </cell>
          <cell r="H99">
            <v>2</v>
          </cell>
          <cell r="K99">
            <v>9.5129999999999999</v>
          </cell>
          <cell r="L99">
            <v>19.026</v>
          </cell>
          <cell r="M99">
            <v>4613</v>
          </cell>
          <cell r="N99">
            <v>9226</v>
          </cell>
          <cell r="O99" t="str">
            <v>물정 '98.11 p.47</v>
          </cell>
        </row>
        <row r="100">
          <cell r="B100" t="str">
            <v>03980-087</v>
          </cell>
          <cell r="C100" t="str">
            <v>H-BEAM</v>
          </cell>
          <cell r="D100" t="str">
            <v>C S</v>
          </cell>
          <cell r="E100" t="str">
            <v>H150x100x6x9</v>
          </cell>
          <cell r="F100">
            <v>775</v>
          </cell>
          <cell r="G100" t="str">
            <v>22100-300</v>
          </cell>
          <cell r="H100">
            <v>5</v>
          </cell>
          <cell r="K100">
            <v>16.353000000000002</v>
          </cell>
          <cell r="L100">
            <v>81.765000000000001</v>
          </cell>
          <cell r="M100">
            <v>7931</v>
          </cell>
          <cell r="N100">
            <v>39655</v>
          </cell>
          <cell r="O100" t="str">
            <v>물정 '98.11 p.47</v>
          </cell>
        </row>
        <row r="101">
          <cell r="B101" t="str">
            <v>03980-087</v>
          </cell>
          <cell r="C101" t="str">
            <v>H-BEAM</v>
          </cell>
          <cell r="D101" t="str">
            <v>C S</v>
          </cell>
          <cell r="E101" t="str">
            <v>H150x100x6x9</v>
          </cell>
          <cell r="F101">
            <v>1800</v>
          </cell>
          <cell r="G101" t="str">
            <v>22100-300</v>
          </cell>
          <cell r="H101">
            <v>10</v>
          </cell>
          <cell r="K101">
            <v>37.979999999999997</v>
          </cell>
          <cell r="L101">
            <v>379.8</v>
          </cell>
          <cell r="M101">
            <v>18420</v>
          </cell>
          <cell r="N101">
            <v>184200</v>
          </cell>
          <cell r="O101" t="str">
            <v>물정 '98.11 p.47</v>
          </cell>
        </row>
        <row r="102">
          <cell r="B102" t="str">
            <v>03980-073</v>
          </cell>
          <cell r="C102" t="str">
            <v>H-BEAM</v>
          </cell>
          <cell r="D102" t="str">
            <v>C S</v>
          </cell>
          <cell r="E102" t="str">
            <v>H100x100x6x8</v>
          </cell>
          <cell r="F102">
            <v>520</v>
          </cell>
          <cell r="G102" t="str">
            <v>22100-300</v>
          </cell>
          <cell r="H102">
            <v>2</v>
          </cell>
          <cell r="K102">
            <v>8.9440000000000008</v>
          </cell>
          <cell r="L102">
            <v>17.888000000000002</v>
          </cell>
          <cell r="M102">
            <v>4337</v>
          </cell>
          <cell r="N102">
            <v>8674</v>
          </cell>
          <cell r="O102" t="str">
            <v>물정 '98.11 p.47</v>
          </cell>
        </row>
        <row r="103">
          <cell r="B103" t="str">
            <v>03980-091</v>
          </cell>
          <cell r="C103" t="str">
            <v>H-BEAM</v>
          </cell>
          <cell r="D103" t="str">
            <v>C S</v>
          </cell>
          <cell r="E103" t="str">
            <v>H100x100x6x8</v>
          </cell>
          <cell r="F103">
            <v>1000</v>
          </cell>
          <cell r="G103" t="str">
            <v>22100-300</v>
          </cell>
          <cell r="H103">
            <v>3</v>
          </cell>
          <cell r="K103">
            <v>17.2</v>
          </cell>
          <cell r="L103">
            <v>51.6</v>
          </cell>
          <cell r="M103">
            <v>8342</v>
          </cell>
          <cell r="N103">
            <v>25026</v>
          </cell>
          <cell r="O103" t="str">
            <v>물정 '98.11 p.47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8">
          <cell r="A8" t="str">
            <v>HBY</v>
          </cell>
        </row>
        <row r="9">
          <cell r="A9" t="str">
            <v>85500-001</v>
          </cell>
          <cell r="B9" t="str">
            <v>ANCHOR BOLT</v>
          </cell>
          <cell r="C9" t="str">
            <v>C S</v>
          </cell>
          <cell r="D9" t="str">
            <v>M10x80L</v>
          </cell>
          <cell r="F9" t="str">
            <v>71730-150</v>
          </cell>
          <cell r="G9">
            <v>64</v>
          </cell>
          <cell r="H9">
            <v>0.11</v>
          </cell>
          <cell r="I9">
            <v>7.04</v>
          </cell>
        </row>
        <row r="10">
          <cell r="A10" t="str">
            <v>85500-001</v>
          </cell>
          <cell r="B10" t="str">
            <v>ANGLE</v>
          </cell>
          <cell r="C10" t="str">
            <v>C S</v>
          </cell>
          <cell r="D10" t="str">
            <v>L50X50X6</v>
          </cell>
          <cell r="E10">
            <v>1800</v>
          </cell>
          <cell r="F10" t="str">
            <v>71730-150</v>
          </cell>
          <cell r="G10">
            <v>1</v>
          </cell>
          <cell r="H10">
            <v>27.02</v>
          </cell>
          <cell r="I10">
            <v>27.02</v>
          </cell>
          <cell r="J10">
            <v>0.05</v>
          </cell>
        </row>
        <row r="11">
          <cell r="A11" t="str">
            <v>85500-001</v>
          </cell>
          <cell r="B11" t="str">
            <v>CHANNEL</v>
          </cell>
          <cell r="C11" t="str">
            <v>C S</v>
          </cell>
          <cell r="D11" t="str">
            <v>ㄷ100x50x5</v>
          </cell>
          <cell r="E11">
            <v>6100</v>
          </cell>
          <cell r="F11" t="str">
            <v>71730-150</v>
          </cell>
          <cell r="G11">
            <v>1</v>
          </cell>
          <cell r="H11">
            <v>57.1</v>
          </cell>
          <cell r="I11">
            <v>57.1</v>
          </cell>
          <cell r="J11">
            <v>0.05</v>
          </cell>
        </row>
        <row r="12">
          <cell r="A12" t="str">
            <v>85500-001</v>
          </cell>
          <cell r="B12" t="str">
            <v>CHANNEL</v>
          </cell>
          <cell r="C12" t="str">
            <v>C S</v>
          </cell>
          <cell r="D12" t="str">
            <v>ㄷ100x50x5</v>
          </cell>
          <cell r="E12">
            <v>2150</v>
          </cell>
          <cell r="F12" t="str">
            <v>71730-150</v>
          </cell>
          <cell r="G12">
            <v>5</v>
          </cell>
          <cell r="H12">
            <v>20.12</v>
          </cell>
          <cell r="I12">
            <v>100.6</v>
          </cell>
          <cell r="J12">
            <v>0.05</v>
          </cell>
        </row>
        <row r="13">
          <cell r="A13" t="str">
            <v>85500-001</v>
          </cell>
          <cell r="B13" t="str">
            <v>CHANNEL</v>
          </cell>
          <cell r="C13" t="str">
            <v>C S</v>
          </cell>
          <cell r="D13" t="str">
            <v>ㄷ100x50x5</v>
          </cell>
          <cell r="E13">
            <v>1900</v>
          </cell>
          <cell r="F13" t="str">
            <v>71730-150</v>
          </cell>
          <cell r="G13">
            <v>3</v>
          </cell>
          <cell r="H13">
            <v>17.78</v>
          </cell>
          <cell r="I13">
            <v>53.34</v>
          </cell>
          <cell r="J13">
            <v>0.05</v>
          </cell>
        </row>
        <row r="14">
          <cell r="A14" t="str">
            <v>85500-001</v>
          </cell>
          <cell r="B14" t="str">
            <v>STEEL PLATE</v>
          </cell>
          <cell r="C14" t="str">
            <v>C S</v>
          </cell>
          <cell r="D14" t="str">
            <v>PL150x150x9</v>
          </cell>
          <cell r="F14" t="str">
            <v>71730-150</v>
          </cell>
          <cell r="G14">
            <v>16</v>
          </cell>
          <cell r="H14">
            <v>1.59</v>
          </cell>
          <cell r="I14">
            <v>25.44</v>
          </cell>
          <cell r="J14">
            <v>0.1</v>
          </cell>
        </row>
        <row r="15">
          <cell r="A15" t="str">
            <v>85500-001</v>
          </cell>
          <cell r="B15" t="str">
            <v>U-BOLT</v>
          </cell>
          <cell r="C15" t="str">
            <v>C S</v>
          </cell>
          <cell r="D15" t="str">
            <v>DN150</v>
          </cell>
          <cell r="F15" t="str">
            <v>71730-150</v>
          </cell>
          <cell r="G15">
            <v>22</v>
          </cell>
          <cell r="H15">
            <v>1.1499999999999999</v>
          </cell>
          <cell r="I15">
            <v>25.3</v>
          </cell>
        </row>
        <row r="16">
          <cell r="A16" t="str">
            <v>85500-002</v>
          </cell>
          <cell r="B16" t="str">
            <v>ANCHOR BOLT</v>
          </cell>
          <cell r="C16" t="str">
            <v>C S</v>
          </cell>
          <cell r="D16" t="str">
            <v>M10x80L</v>
          </cell>
          <cell r="F16" t="str">
            <v>71730-125</v>
          </cell>
          <cell r="G16">
            <v>20</v>
          </cell>
          <cell r="H16">
            <v>0.11</v>
          </cell>
          <cell r="I16">
            <v>2.2000000000000002</v>
          </cell>
        </row>
        <row r="17">
          <cell r="A17" t="str">
            <v>85500-002</v>
          </cell>
          <cell r="B17" t="str">
            <v>CHANNEL</v>
          </cell>
          <cell r="C17" t="str">
            <v>C S</v>
          </cell>
          <cell r="D17" t="str">
            <v>ㄷ100x50x5</v>
          </cell>
          <cell r="E17">
            <v>2710</v>
          </cell>
          <cell r="F17" t="str">
            <v>71730-125</v>
          </cell>
          <cell r="G17">
            <v>1</v>
          </cell>
          <cell r="H17">
            <v>25.37</v>
          </cell>
          <cell r="I17">
            <v>25.37</v>
          </cell>
          <cell r="J17">
            <v>0.05</v>
          </cell>
        </row>
        <row r="18">
          <cell r="A18" t="str">
            <v>85500-002</v>
          </cell>
          <cell r="B18" t="str">
            <v>CHANNEL</v>
          </cell>
          <cell r="C18" t="str">
            <v>C S</v>
          </cell>
          <cell r="D18" t="str">
            <v>ㄷ100x50x5</v>
          </cell>
          <cell r="E18">
            <v>2230</v>
          </cell>
          <cell r="F18" t="str">
            <v>71730-125</v>
          </cell>
          <cell r="G18">
            <v>1</v>
          </cell>
          <cell r="H18">
            <v>20.87</v>
          </cell>
          <cell r="I18">
            <v>20.87</v>
          </cell>
          <cell r="J18">
            <v>0.05</v>
          </cell>
        </row>
        <row r="19">
          <cell r="A19" t="str">
            <v>85500-002</v>
          </cell>
          <cell r="B19" t="str">
            <v>CHANNEL</v>
          </cell>
          <cell r="C19" t="str">
            <v>C S</v>
          </cell>
          <cell r="D19" t="str">
            <v>ㄷ100x50x5</v>
          </cell>
          <cell r="E19">
            <v>3200</v>
          </cell>
          <cell r="F19" t="str">
            <v>71730-125</v>
          </cell>
          <cell r="G19">
            <v>1</v>
          </cell>
          <cell r="H19">
            <v>29.55</v>
          </cell>
          <cell r="I19">
            <v>29.55</v>
          </cell>
          <cell r="J19">
            <v>0.05</v>
          </cell>
        </row>
        <row r="20">
          <cell r="A20" t="str">
            <v>85500-002</v>
          </cell>
          <cell r="B20" t="str">
            <v>STEEL PLATE</v>
          </cell>
          <cell r="C20" t="str">
            <v>C S</v>
          </cell>
          <cell r="D20" t="str">
            <v>PL150x150x9</v>
          </cell>
          <cell r="F20" t="str">
            <v>71730-125</v>
          </cell>
          <cell r="G20">
            <v>5</v>
          </cell>
          <cell r="H20">
            <v>1.59</v>
          </cell>
          <cell r="I20">
            <v>7.95</v>
          </cell>
          <cell r="J20">
            <v>0.1</v>
          </cell>
        </row>
        <row r="21">
          <cell r="A21" t="str">
            <v>85500-002</v>
          </cell>
          <cell r="B21" t="str">
            <v>U-BOLT</v>
          </cell>
          <cell r="C21" t="str">
            <v>C S</v>
          </cell>
          <cell r="D21" t="str">
            <v>DN125</v>
          </cell>
          <cell r="F21" t="str">
            <v>71730-125</v>
          </cell>
          <cell r="G21">
            <v>10</v>
          </cell>
          <cell r="H21">
            <v>1</v>
          </cell>
          <cell r="I21">
            <v>10</v>
          </cell>
        </row>
        <row r="22">
          <cell r="A22" t="str">
            <v>85500-005</v>
          </cell>
          <cell r="B22" t="str">
            <v>ANGLE</v>
          </cell>
          <cell r="C22" t="str">
            <v>C S</v>
          </cell>
          <cell r="D22" t="str">
            <v>L50X50X6</v>
          </cell>
          <cell r="E22">
            <v>1000</v>
          </cell>
          <cell r="F22" t="str">
            <v>71730- 50</v>
          </cell>
          <cell r="G22">
            <v>15</v>
          </cell>
          <cell r="H22">
            <v>4.43</v>
          </cell>
          <cell r="I22">
            <v>66.45</v>
          </cell>
          <cell r="J22">
            <v>0.05</v>
          </cell>
        </row>
        <row r="23">
          <cell r="A23" t="str">
            <v>85500-005</v>
          </cell>
          <cell r="B23" t="str">
            <v>ANGLE</v>
          </cell>
          <cell r="C23" t="str">
            <v>C S</v>
          </cell>
          <cell r="D23" t="str">
            <v>L50X50X6</v>
          </cell>
          <cell r="E23">
            <v>500</v>
          </cell>
          <cell r="F23" t="str">
            <v>71730- 50</v>
          </cell>
          <cell r="G23">
            <v>8</v>
          </cell>
          <cell r="H23">
            <v>2.2000000000000002</v>
          </cell>
          <cell r="I23">
            <v>17.600000000000001</v>
          </cell>
          <cell r="J23">
            <v>0.05</v>
          </cell>
        </row>
        <row r="24">
          <cell r="A24" t="str">
            <v>85500-006</v>
          </cell>
          <cell r="B24" t="str">
            <v>ANGLE</v>
          </cell>
          <cell r="C24" t="str">
            <v>C S</v>
          </cell>
          <cell r="D24" t="str">
            <v>L50X50X6</v>
          </cell>
          <cell r="E24">
            <v>1100</v>
          </cell>
          <cell r="F24" t="str">
            <v>71730- 50</v>
          </cell>
          <cell r="G24">
            <v>8</v>
          </cell>
          <cell r="H24">
            <v>4.87</v>
          </cell>
          <cell r="I24">
            <v>38.96</v>
          </cell>
          <cell r="J24">
            <v>0.05</v>
          </cell>
        </row>
        <row r="25">
          <cell r="A25" t="str">
            <v>85500-005</v>
          </cell>
          <cell r="B25" t="str">
            <v>STEEL PLATE</v>
          </cell>
          <cell r="C25" t="str">
            <v>C S</v>
          </cell>
          <cell r="D25" t="str">
            <v>PL150x150x9</v>
          </cell>
          <cell r="F25" t="str">
            <v>71730- 50</v>
          </cell>
          <cell r="G25">
            <v>31</v>
          </cell>
          <cell r="H25">
            <v>1.59</v>
          </cell>
          <cell r="I25">
            <v>49.29</v>
          </cell>
          <cell r="J25">
            <v>0.1</v>
          </cell>
        </row>
        <row r="26">
          <cell r="A26" t="str">
            <v>85500-005</v>
          </cell>
          <cell r="B26" t="str">
            <v>U-BOLT</v>
          </cell>
          <cell r="C26" t="str">
            <v>C S</v>
          </cell>
          <cell r="D26" t="str">
            <v>DN50</v>
          </cell>
          <cell r="F26" t="str">
            <v>71730- 50</v>
          </cell>
          <cell r="G26">
            <v>62</v>
          </cell>
          <cell r="H26">
            <v>0.17</v>
          </cell>
          <cell r="I26">
            <v>10.54</v>
          </cell>
        </row>
        <row r="27">
          <cell r="A27" t="str">
            <v>85500-004</v>
          </cell>
          <cell r="B27" t="str">
            <v>ANGLE</v>
          </cell>
          <cell r="C27" t="str">
            <v>C S</v>
          </cell>
          <cell r="D27" t="str">
            <v>L50X50X6</v>
          </cell>
          <cell r="E27">
            <v>1800</v>
          </cell>
          <cell r="F27" t="str">
            <v>71730- 25</v>
          </cell>
          <cell r="G27">
            <v>13</v>
          </cell>
          <cell r="H27">
            <v>7.97</v>
          </cell>
          <cell r="I27">
            <v>103.61</v>
          </cell>
          <cell r="J27">
            <v>0.05</v>
          </cell>
        </row>
        <row r="28">
          <cell r="A28" t="str">
            <v>85500-005</v>
          </cell>
          <cell r="B28" t="str">
            <v>ANGLE</v>
          </cell>
          <cell r="C28" t="str">
            <v>C S</v>
          </cell>
          <cell r="D28" t="str">
            <v>L50X50X6</v>
          </cell>
          <cell r="E28">
            <v>500</v>
          </cell>
          <cell r="F28" t="str">
            <v>71730- 25</v>
          </cell>
          <cell r="G28">
            <v>4</v>
          </cell>
          <cell r="H28">
            <v>2.2200000000000002</v>
          </cell>
          <cell r="I28">
            <v>8.8800000000000008</v>
          </cell>
          <cell r="J28">
            <v>0.05</v>
          </cell>
        </row>
        <row r="29">
          <cell r="A29" t="str">
            <v>85500-006</v>
          </cell>
          <cell r="B29" t="str">
            <v>ANGLE</v>
          </cell>
          <cell r="C29" t="str">
            <v>C S</v>
          </cell>
          <cell r="D29" t="str">
            <v>L50X50X6</v>
          </cell>
          <cell r="E29">
            <v>1100</v>
          </cell>
          <cell r="F29" t="str">
            <v>71730- 25</v>
          </cell>
          <cell r="G29">
            <v>10</v>
          </cell>
          <cell r="H29">
            <v>4.87</v>
          </cell>
          <cell r="I29">
            <v>48.7</v>
          </cell>
          <cell r="J29">
            <v>0.05</v>
          </cell>
        </row>
        <row r="30">
          <cell r="A30" t="str">
            <v>85500-006</v>
          </cell>
          <cell r="B30" t="str">
            <v>ANGLE</v>
          </cell>
          <cell r="C30" t="str">
            <v>C S</v>
          </cell>
          <cell r="D30" t="str">
            <v>L50X50X6</v>
          </cell>
          <cell r="E30">
            <v>2100</v>
          </cell>
          <cell r="F30" t="str">
            <v>71730- 25</v>
          </cell>
          <cell r="G30">
            <v>10</v>
          </cell>
          <cell r="H30">
            <v>9.3000000000000007</v>
          </cell>
          <cell r="I30">
            <v>93</v>
          </cell>
          <cell r="J30">
            <v>0.05</v>
          </cell>
        </row>
        <row r="31">
          <cell r="A31" t="str">
            <v>85500-008</v>
          </cell>
          <cell r="B31" t="str">
            <v>ANGLE</v>
          </cell>
          <cell r="C31" t="str">
            <v>C S</v>
          </cell>
          <cell r="D31" t="str">
            <v>L50X50X6</v>
          </cell>
          <cell r="E31">
            <v>2000</v>
          </cell>
          <cell r="F31" t="str">
            <v>71730- 25</v>
          </cell>
          <cell r="G31">
            <v>1</v>
          </cell>
          <cell r="H31">
            <v>8.86</v>
          </cell>
          <cell r="I31">
            <v>8.86</v>
          </cell>
          <cell r="J31">
            <v>0.05</v>
          </cell>
        </row>
        <row r="32">
          <cell r="A32" t="str">
            <v>85500-004</v>
          </cell>
          <cell r="B32" t="str">
            <v>STEEL PLATE</v>
          </cell>
          <cell r="C32" t="str">
            <v>C S</v>
          </cell>
          <cell r="D32" t="str">
            <v>PL150x150x9</v>
          </cell>
          <cell r="F32" t="str">
            <v>71730- 25</v>
          </cell>
          <cell r="G32">
            <v>38</v>
          </cell>
          <cell r="H32">
            <v>1.59</v>
          </cell>
          <cell r="I32">
            <v>60.42</v>
          </cell>
          <cell r="J32">
            <v>0.1</v>
          </cell>
        </row>
        <row r="33">
          <cell r="A33" t="str">
            <v>85500-004</v>
          </cell>
          <cell r="B33" t="str">
            <v>U-BOLT</v>
          </cell>
          <cell r="C33" t="str">
            <v>C S</v>
          </cell>
          <cell r="D33" t="str">
            <v>DN25</v>
          </cell>
          <cell r="F33" t="str">
            <v>71730- 25</v>
          </cell>
          <cell r="G33">
            <v>47</v>
          </cell>
          <cell r="H33">
            <v>0.14000000000000001</v>
          </cell>
          <cell r="I33">
            <v>6.58</v>
          </cell>
        </row>
        <row r="35">
          <cell r="A35" t="str">
            <v>XBK</v>
          </cell>
        </row>
        <row r="36">
          <cell r="A36" t="str">
            <v>85500-002</v>
          </cell>
          <cell r="B36" t="str">
            <v>ANCHOR BOLT</v>
          </cell>
          <cell r="C36" t="str">
            <v>C S</v>
          </cell>
          <cell r="D36" t="str">
            <v>M10x80L</v>
          </cell>
          <cell r="F36" t="str">
            <v>71730-150</v>
          </cell>
          <cell r="G36">
            <v>36</v>
          </cell>
          <cell r="H36">
            <v>0.11</v>
          </cell>
          <cell r="I36">
            <v>3.96</v>
          </cell>
        </row>
        <row r="37">
          <cell r="A37" t="str">
            <v>85500-002</v>
          </cell>
          <cell r="B37" t="str">
            <v>CHANNEL</v>
          </cell>
          <cell r="C37" t="str">
            <v>C S</v>
          </cell>
          <cell r="D37" t="str">
            <v>ㄷ100x50x5</v>
          </cell>
          <cell r="E37">
            <v>2700</v>
          </cell>
          <cell r="F37" t="str">
            <v>71730-150</v>
          </cell>
          <cell r="G37">
            <v>4</v>
          </cell>
          <cell r="H37">
            <v>25.27</v>
          </cell>
          <cell r="I37">
            <v>101.08</v>
          </cell>
          <cell r="J37">
            <v>0.05</v>
          </cell>
        </row>
        <row r="38">
          <cell r="A38" t="str">
            <v>85500-002</v>
          </cell>
          <cell r="B38" t="str">
            <v>CHANNEL</v>
          </cell>
          <cell r="C38" t="str">
            <v>C S</v>
          </cell>
          <cell r="D38" t="str">
            <v>ㄷ100x50x5</v>
          </cell>
          <cell r="E38">
            <v>300</v>
          </cell>
          <cell r="F38" t="str">
            <v>71730-150</v>
          </cell>
          <cell r="G38">
            <v>1</v>
          </cell>
          <cell r="H38">
            <v>2.81</v>
          </cell>
          <cell r="I38">
            <v>2.81</v>
          </cell>
          <cell r="J38">
            <v>0.05</v>
          </cell>
        </row>
        <row r="39">
          <cell r="A39" t="str">
            <v>85500-002</v>
          </cell>
          <cell r="B39" t="str">
            <v>H-BEAM</v>
          </cell>
          <cell r="C39" t="str">
            <v>C S</v>
          </cell>
          <cell r="D39" t="str">
            <v>H100X100X6X8</v>
          </cell>
          <cell r="E39">
            <v>2300</v>
          </cell>
          <cell r="F39" t="str">
            <v>71730-150</v>
          </cell>
          <cell r="G39">
            <v>1</v>
          </cell>
          <cell r="H39">
            <v>39.56</v>
          </cell>
          <cell r="I39">
            <v>39.56</v>
          </cell>
          <cell r="J39">
            <v>7.0000000000000007E-2</v>
          </cell>
        </row>
        <row r="40">
          <cell r="A40" t="str">
            <v>85500-008</v>
          </cell>
          <cell r="B40" t="str">
            <v>H-BEAM</v>
          </cell>
          <cell r="C40" t="str">
            <v>C S</v>
          </cell>
          <cell r="D40" t="str">
            <v>H100X100X6X8</v>
          </cell>
          <cell r="E40">
            <v>5900</v>
          </cell>
          <cell r="F40" t="str">
            <v>71730-150</v>
          </cell>
          <cell r="G40">
            <v>4</v>
          </cell>
          <cell r="H40">
            <v>101.48</v>
          </cell>
          <cell r="I40">
            <v>405.92</v>
          </cell>
          <cell r="J40">
            <v>7.0000000000000007E-2</v>
          </cell>
        </row>
        <row r="41">
          <cell r="A41" t="str">
            <v>85500-002</v>
          </cell>
          <cell r="B41" t="str">
            <v>STEEL PLATE</v>
          </cell>
          <cell r="C41" t="str">
            <v>C S</v>
          </cell>
          <cell r="D41" t="str">
            <v>PL150x150x9</v>
          </cell>
          <cell r="F41" t="str">
            <v>71730-150</v>
          </cell>
          <cell r="G41">
            <v>17</v>
          </cell>
          <cell r="H41">
            <v>1.59</v>
          </cell>
          <cell r="I41">
            <v>27.03</v>
          </cell>
          <cell r="J41">
            <v>0.1</v>
          </cell>
        </row>
        <row r="42">
          <cell r="A42" t="str">
            <v>85500-002</v>
          </cell>
          <cell r="B42" t="str">
            <v>U-BOLT</v>
          </cell>
          <cell r="C42" t="str">
            <v>C S</v>
          </cell>
          <cell r="D42" t="str">
            <v>DN150</v>
          </cell>
          <cell r="F42" t="str">
            <v>71730-150</v>
          </cell>
          <cell r="G42">
            <v>17</v>
          </cell>
          <cell r="H42">
            <v>1.1499999999999999</v>
          </cell>
          <cell r="I42">
            <v>19.55</v>
          </cell>
        </row>
        <row r="43">
          <cell r="A43" t="str">
            <v>85500-002</v>
          </cell>
          <cell r="B43" t="str">
            <v>ANCHOR BOLT</v>
          </cell>
          <cell r="C43" t="str">
            <v>C S</v>
          </cell>
          <cell r="D43" t="str">
            <v>M10x80L</v>
          </cell>
          <cell r="F43" t="str">
            <v>71730-125</v>
          </cell>
          <cell r="G43">
            <v>16</v>
          </cell>
          <cell r="H43">
            <v>0.11</v>
          </cell>
          <cell r="I43">
            <v>1.76</v>
          </cell>
        </row>
        <row r="44">
          <cell r="A44" t="str">
            <v>85500-002</v>
          </cell>
          <cell r="B44" t="str">
            <v>CHANNEL</v>
          </cell>
          <cell r="C44" t="str">
            <v>C S</v>
          </cell>
          <cell r="D44" t="str">
            <v>ㄷ100x50x5</v>
          </cell>
          <cell r="E44">
            <v>300</v>
          </cell>
          <cell r="F44" t="str">
            <v>71730-125</v>
          </cell>
          <cell r="G44">
            <v>2</v>
          </cell>
          <cell r="H44">
            <v>2.81</v>
          </cell>
          <cell r="I44">
            <v>5.62</v>
          </cell>
          <cell r="J44">
            <v>0.05</v>
          </cell>
        </row>
        <row r="45">
          <cell r="A45" t="str">
            <v>85500-002</v>
          </cell>
          <cell r="B45" t="str">
            <v>H-BEAM</v>
          </cell>
          <cell r="C45" t="str">
            <v>C S</v>
          </cell>
          <cell r="D45" t="str">
            <v>H100X100X6X8</v>
          </cell>
          <cell r="E45">
            <v>2000</v>
          </cell>
          <cell r="F45" t="str">
            <v>71730-125</v>
          </cell>
          <cell r="G45">
            <v>3</v>
          </cell>
          <cell r="H45">
            <v>34.4</v>
          </cell>
          <cell r="I45">
            <v>103.2</v>
          </cell>
          <cell r="J45">
            <v>7.0000000000000007E-2</v>
          </cell>
        </row>
        <row r="46">
          <cell r="A46" t="str">
            <v>85500-002</v>
          </cell>
          <cell r="B46" t="str">
            <v>PIPE STD WT</v>
          </cell>
          <cell r="C46" t="str">
            <v>C S</v>
          </cell>
          <cell r="D46" t="str">
            <v>DN100</v>
          </cell>
          <cell r="E46">
            <v>2300</v>
          </cell>
          <cell r="F46" t="str">
            <v>71730-125</v>
          </cell>
          <cell r="G46">
            <v>1</v>
          </cell>
          <cell r="H46">
            <v>28.06</v>
          </cell>
          <cell r="I46">
            <v>28.06</v>
          </cell>
          <cell r="J46">
            <v>0.05</v>
          </cell>
        </row>
        <row r="47">
          <cell r="A47" t="str">
            <v>85500-002</v>
          </cell>
          <cell r="B47" t="str">
            <v>PIPE STD WT</v>
          </cell>
          <cell r="C47" t="str">
            <v>C S</v>
          </cell>
          <cell r="D47" t="str">
            <v>DN100</v>
          </cell>
          <cell r="E47">
            <v>2000</v>
          </cell>
          <cell r="F47" t="str">
            <v>71730-125</v>
          </cell>
          <cell r="G47">
            <v>1</v>
          </cell>
          <cell r="H47">
            <v>24.4</v>
          </cell>
          <cell r="I47">
            <v>24.4</v>
          </cell>
          <cell r="J47">
            <v>0.05</v>
          </cell>
        </row>
        <row r="48">
          <cell r="A48" t="str">
            <v>85500-002</v>
          </cell>
          <cell r="B48" t="str">
            <v>STEEL PLATE</v>
          </cell>
          <cell r="C48" t="str">
            <v>C S</v>
          </cell>
          <cell r="D48" t="str">
            <v>PL150x150x9</v>
          </cell>
          <cell r="F48" t="str">
            <v>71730-125</v>
          </cell>
          <cell r="G48">
            <v>4</v>
          </cell>
          <cell r="H48">
            <v>1.59</v>
          </cell>
          <cell r="I48">
            <v>6.36</v>
          </cell>
          <cell r="J48">
            <v>0.1</v>
          </cell>
        </row>
        <row r="49">
          <cell r="A49" t="str">
            <v>85500-002</v>
          </cell>
          <cell r="B49" t="str">
            <v>U-BOLT</v>
          </cell>
          <cell r="C49" t="str">
            <v>C S</v>
          </cell>
          <cell r="D49" t="str">
            <v>DN125</v>
          </cell>
          <cell r="F49" t="str">
            <v>71730-125</v>
          </cell>
          <cell r="G49">
            <v>2</v>
          </cell>
          <cell r="H49">
            <v>1</v>
          </cell>
          <cell r="I49">
            <v>2</v>
          </cell>
        </row>
        <row r="50">
          <cell r="A50" t="str">
            <v>85500-008</v>
          </cell>
          <cell r="B50" t="str">
            <v>H-BEAM</v>
          </cell>
          <cell r="C50" t="str">
            <v>C S</v>
          </cell>
          <cell r="D50" t="str">
            <v>H100X100X6X8</v>
          </cell>
          <cell r="E50">
            <v>5900</v>
          </cell>
          <cell r="F50" t="str">
            <v>71730-100</v>
          </cell>
          <cell r="G50">
            <v>2</v>
          </cell>
          <cell r="H50">
            <v>101.48</v>
          </cell>
          <cell r="I50">
            <v>202.96</v>
          </cell>
          <cell r="J50">
            <v>7.0000000000000007E-2</v>
          </cell>
        </row>
        <row r="51">
          <cell r="A51" t="str">
            <v>85500-008</v>
          </cell>
          <cell r="B51" t="str">
            <v>H-BEAM</v>
          </cell>
          <cell r="C51" t="str">
            <v>C S</v>
          </cell>
          <cell r="D51" t="str">
            <v>H100X100X6X8</v>
          </cell>
          <cell r="E51">
            <v>4280</v>
          </cell>
          <cell r="F51" t="str">
            <v>71730-100</v>
          </cell>
          <cell r="G51">
            <v>1</v>
          </cell>
          <cell r="H51">
            <v>73.62</v>
          </cell>
          <cell r="I51">
            <v>73.62</v>
          </cell>
          <cell r="J51">
            <v>7.0000000000000007E-2</v>
          </cell>
        </row>
        <row r="52">
          <cell r="A52" t="str">
            <v>85500-008</v>
          </cell>
          <cell r="B52" t="str">
            <v>STEEL PLATE</v>
          </cell>
          <cell r="C52" t="str">
            <v>C S</v>
          </cell>
          <cell r="D52" t="str">
            <v>PL150x150x9</v>
          </cell>
          <cell r="F52" t="str">
            <v>71730-100</v>
          </cell>
          <cell r="G52">
            <v>6</v>
          </cell>
          <cell r="H52">
            <v>1.59</v>
          </cell>
          <cell r="I52">
            <v>9.5399999999999991</v>
          </cell>
          <cell r="J52">
            <v>0.1</v>
          </cell>
        </row>
        <row r="53">
          <cell r="A53" t="str">
            <v>85500-008</v>
          </cell>
          <cell r="B53" t="str">
            <v>U-BOLT</v>
          </cell>
          <cell r="C53" t="str">
            <v>C S</v>
          </cell>
          <cell r="D53" t="str">
            <v>DN100</v>
          </cell>
          <cell r="F53" t="str">
            <v>71730-100</v>
          </cell>
          <cell r="G53">
            <v>8</v>
          </cell>
          <cell r="H53">
            <v>0.45</v>
          </cell>
          <cell r="I53">
            <v>3.6</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A 3.7"/>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ash-Flow"/>
      <sheetName val="Schedule 1"/>
      <sheetName val="BEST"/>
      <sheetName val="Profit on Fixed Asset"/>
      <sheetName val=" Bank"/>
      <sheetName val="B&amp;S Group"/>
      <sheetName val="Notes"/>
      <sheetName val="P&amp;L Group"/>
      <sheetName val="PRS"/>
      <sheetName val="TOTAL OF ASSET"/>
      <sheetName val="Stores"/>
      <sheetName val="Supply&amp;General 90%"/>
      <sheetName val="Deduction"/>
      <sheetName val="90% Write off"/>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현장배관물량집계"/>
      <sheetName val="현장SUPP'T물량집계"/>
      <sheetName val="Valve집계"/>
      <sheetName val="현장배관물량"/>
      <sheetName val="현장지지물물량"/>
      <sheetName val="현장집계3"/>
      <sheetName val="Sheet1"/>
      <sheetName val="DJ1"/>
      <sheetName val="CMA Calculations"/>
    </sheetNames>
    <sheetDataSet>
      <sheetData sheetId="0"/>
      <sheetData sheetId="1"/>
      <sheetData sheetId="2"/>
      <sheetData sheetId="3"/>
      <sheetData sheetId="4" refreshError="1">
        <row r="1">
          <cell r="F1" t="str">
            <v>*********************************</v>
          </cell>
        </row>
        <row r="2">
          <cell r="F2" t="str">
            <v>*****   FIELD FAB. SUPPORT  *****</v>
          </cell>
        </row>
        <row r="3">
          <cell r="F3" t="str">
            <v>*********************************</v>
          </cell>
        </row>
        <row r="4">
          <cell r="A4" t="str">
            <v>=</v>
          </cell>
          <cell r="B4" t="str">
            <v>=</v>
          </cell>
          <cell r="C4" t="str">
            <v>=</v>
          </cell>
          <cell r="D4" t="str">
            <v>=</v>
          </cell>
          <cell r="E4" t="str">
            <v>=</v>
          </cell>
          <cell r="F4" t="str">
            <v>=</v>
          </cell>
          <cell r="G4" t="str">
            <v>=</v>
          </cell>
          <cell r="H4" t="str">
            <v>=</v>
          </cell>
          <cell r="I4" t="str">
            <v>=</v>
          </cell>
          <cell r="J4" t="str">
            <v>=</v>
          </cell>
          <cell r="K4" t="str">
            <v>=</v>
          </cell>
          <cell r="L4" t="str">
            <v>=</v>
          </cell>
          <cell r="M4" t="str">
            <v>=</v>
          </cell>
          <cell r="N4" t="str">
            <v>=</v>
          </cell>
          <cell r="Q4" t="str">
            <v>=</v>
          </cell>
        </row>
        <row r="5">
          <cell r="A5" t="str">
            <v>DWG.NO.</v>
          </cell>
          <cell r="B5" t="str">
            <v>SPEC</v>
          </cell>
          <cell r="C5" t="str">
            <v>ITEM</v>
          </cell>
          <cell r="D5" t="str">
            <v>MATERIAL</v>
          </cell>
          <cell r="E5" t="str">
            <v xml:space="preserve">    SIZE</v>
          </cell>
          <cell r="F5" t="str">
            <v>LANGTH</v>
          </cell>
          <cell r="G5" t="str">
            <v>SYS.-DIA</v>
          </cell>
          <cell r="H5" t="str">
            <v>TOTAL</v>
          </cell>
          <cell r="I5" t="str">
            <v>ELEVATION</v>
          </cell>
          <cell r="K5" t="str">
            <v>IN/OUT</v>
          </cell>
          <cell r="L5" t="str">
            <v>UNIT WT</v>
          </cell>
          <cell r="M5" t="str">
            <v>TOTAL WT</v>
          </cell>
          <cell r="N5" t="str">
            <v>REMARK</v>
          </cell>
          <cell r="P5" t="str">
            <v>SET</v>
          </cell>
          <cell r="Q5" t="str">
            <v>Q'TY</v>
          </cell>
        </row>
        <row r="6">
          <cell r="A6" t="str">
            <v>=</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Q6" t="str">
            <v>=</v>
          </cell>
        </row>
        <row r="8">
          <cell r="A8" t="str">
            <v>03980-001</v>
          </cell>
          <cell r="C8" t="str">
            <v>H-BEAM</v>
          </cell>
          <cell r="D8" t="str">
            <v>C S</v>
          </cell>
          <cell r="E8" t="str">
            <v>H100x100x6x8</v>
          </cell>
          <cell r="F8">
            <v>670</v>
          </cell>
          <cell r="G8" t="str">
            <v>71200- 80</v>
          </cell>
          <cell r="H8">
            <v>1</v>
          </cell>
          <cell r="I8" t="str">
            <v>7150/5900</v>
          </cell>
        </row>
        <row r="9">
          <cell r="A9" t="str">
            <v>03980-001</v>
          </cell>
          <cell r="C9" t="str">
            <v>H-BEAM</v>
          </cell>
          <cell r="D9" t="str">
            <v>C S</v>
          </cell>
          <cell r="E9" t="str">
            <v>H100x100x6x8</v>
          </cell>
          <cell r="F9">
            <v>820</v>
          </cell>
          <cell r="G9" t="str">
            <v>71200- 80</v>
          </cell>
          <cell r="H9">
            <v>1</v>
          </cell>
          <cell r="I9" t="str">
            <v>7150/5900</v>
          </cell>
        </row>
        <row r="10">
          <cell r="A10" t="str">
            <v>03980-001</v>
          </cell>
          <cell r="C10" t="str">
            <v>CT</v>
          </cell>
          <cell r="D10" t="str">
            <v>C S</v>
          </cell>
          <cell r="E10" t="str">
            <v>CT100x150x6x9</v>
          </cell>
          <cell r="F10">
            <v>300</v>
          </cell>
          <cell r="G10" t="str">
            <v>71200- 80</v>
          </cell>
          <cell r="H10">
            <v>1</v>
          </cell>
          <cell r="I10" t="str">
            <v>7150/5900</v>
          </cell>
        </row>
        <row r="11">
          <cell r="A11" t="str">
            <v>03980-001</v>
          </cell>
          <cell r="C11" t="str">
            <v>PLATE</v>
          </cell>
          <cell r="D11" t="str">
            <v>C S</v>
          </cell>
          <cell r="E11" t="str">
            <v>PL103x70x9t</v>
          </cell>
          <cell r="G11" t="str">
            <v>71200- 80</v>
          </cell>
          <cell r="H11">
            <v>4</v>
          </cell>
          <cell r="I11" t="str">
            <v>7150/5900</v>
          </cell>
        </row>
        <row r="12">
          <cell r="A12" t="str">
            <v>03980-001</v>
          </cell>
          <cell r="C12" t="str">
            <v>CT</v>
          </cell>
          <cell r="D12" t="str">
            <v>C S</v>
          </cell>
          <cell r="E12" t="str">
            <v>CT100x100x5.5x8</v>
          </cell>
          <cell r="F12">
            <v>150</v>
          </cell>
          <cell r="G12" t="str">
            <v>71200- 50</v>
          </cell>
          <cell r="H12">
            <v>1</v>
          </cell>
          <cell r="I12" t="str">
            <v>7150/5900</v>
          </cell>
        </row>
        <row r="14">
          <cell r="A14" t="str">
            <v>03980-002</v>
          </cell>
          <cell r="C14" t="str">
            <v>H-BEAM</v>
          </cell>
          <cell r="D14" t="str">
            <v>C S</v>
          </cell>
          <cell r="E14" t="str">
            <v>H100x100x6x8</v>
          </cell>
          <cell r="F14">
            <v>670</v>
          </cell>
          <cell r="G14" t="str">
            <v>71200- 80</v>
          </cell>
          <cell r="H14">
            <v>1</v>
          </cell>
          <cell r="I14" t="str">
            <v>7150/5900</v>
          </cell>
        </row>
        <row r="15">
          <cell r="A15" t="str">
            <v>03980-002</v>
          </cell>
          <cell r="C15" t="str">
            <v>H-BEAM</v>
          </cell>
          <cell r="D15" t="str">
            <v>C S</v>
          </cell>
          <cell r="E15" t="str">
            <v>H100x100x6x8</v>
          </cell>
          <cell r="F15">
            <v>550</v>
          </cell>
          <cell r="G15" t="str">
            <v>71200- 80</v>
          </cell>
          <cell r="H15">
            <v>1</v>
          </cell>
          <cell r="I15" t="str">
            <v>7150/5900</v>
          </cell>
        </row>
        <row r="16">
          <cell r="A16" t="str">
            <v>03980-002</v>
          </cell>
          <cell r="C16" t="str">
            <v>CT</v>
          </cell>
          <cell r="D16" t="str">
            <v>C S</v>
          </cell>
          <cell r="E16" t="str">
            <v>CT100x150x6x9</v>
          </cell>
          <cell r="F16">
            <v>300</v>
          </cell>
          <cell r="G16" t="str">
            <v>71200- 80</v>
          </cell>
          <cell r="H16">
            <v>1</v>
          </cell>
          <cell r="I16" t="str">
            <v>7150/5900</v>
          </cell>
        </row>
        <row r="17">
          <cell r="A17" t="str">
            <v>03980-002</v>
          </cell>
          <cell r="C17" t="str">
            <v>PLATE</v>
          </cell>
          <cell r="D17" t="str">
            <v>C S</v>
          </cell>
          <cell r="E17" t="str">
            <v>PL103x70x9t</v>
          </cell>
          <cell r="G17" t="str">
            <v>71200- 80</v>
          </cell>
          <cell r="H17">
            <v>4</v>
          </cell>
          <cell r="I17" t="str">
            <v>7150/5900</v>
          </cell>
        </row>
        <row r="19">
          <cell r="A19" t="str">
            <v>03980-003</v>
          </cell>
          <cell r="C19" t="str">
            <v>CT</v>
          </cell>
          <cell r="D19" t="str">
            <v>C S</v>
          </cell>
          <cell r="E19" t="str">
            <v>CT100x150x6x9</v>
          </cell>
          <cell r="F19">
            <v>300</v>
          </cell>
          <cell r="G19" t="str">
            <v>71200- 80</v>
          </cell>
          <cell r="H19">
            <v>1</v>
          </cell>
          <cell r="I19" t="str">
            <v>7150/5900</v>
          </cell>
        </row>
        <row r="20">
          <cell r="A20" t="str">
            <v>03980-003</v>
          </cell>
          <cell r="C20" t="str">
            <v>PLATE</v>
          </cell>
          <cell r="D20" t="str">
            <v>C S</v>
          </cell>
          <cell r="E20" t="str">
            <v>PL103x70x9t</v>
          </cell>
          <cell r="G20" t="str">
            <v>71200- 80</v>
          </cell>
          <cell r="H20">
            <v>8</v>
          </cell>
          <cell r="I20" t="str">
            <v>7150/5900</v>
          </cell>
        </row>
        <row r="21">
          <cell r="A21" t="str">
            <v>03980-003</v>
          </cell>
          <cell r="C21" t="str">
            <v>PLATE</v>
          </cell>
          <cell r="D21" t="str">
            <v>C S</v>
          </cell>
          <cell r="E21" t="str">
            <v>PL100x50x12t</v>
          </cell>
          <cell r="G21" t="str">
            <v>71200- 80</v>
          </cell>
          <cell r="H21">
            <v>4</v>
          </cell>
          <cell r="I21" t="str">
            <v>7150/5900</v>
          </cell>
        </row>
        <row r="22">
          <cell r="A22" t="str">
            <v>03980-003</v>
          </cell>
          <cell r="C22" t="str">
            <v>PLATE</v>
          </cell>
          <cell r="D22" t="str">
            <v>C S</v>
          </cell>
          <cell r="E22" t="str">
            <v>PL80x50x9t</v>
          </cell>
          <cell r="G22" t="str">
            <v>71200- 80</v>
          </cell>
          <cell r="H22">
            <v>4</v>
          </cell>
          <cell r="I22" t="str">
            <v>7150/5900</v>
          </cell>
        </row>
        <row r="24">
          <cell r="A24" t="str">
            <v>03980-004</v>
          </cell>
          <cell r="C24" t="str">
            <v>CT</v>
          </cell>
          <cell r="D24" t="str">
            <v>C S</v>
          </cell>
          <cell r="E24" t="str">
            <v>CT100x150x6x9</v>
          </cell>
          <cell r="F24">
            <v>300</v>
          </cell>
          <cell r="G24" t="str">
            <v>71200- 80</v>
          </cell>
          <cell r="H24">
            <v>1</v>
          </cell>
          <cell r="I24" t="str">
            <v>7150/5900</v>
          </cell>
        </row>
        <row r="25">
          <cell r="A25" t="str">
            <v>03980-004</v>
          </cell>
          <cell r="C25" t="str">
            <v>PLATE</v>
          </cell>
          <cell r="D25" t="str">
            <v>C S</v>
          </cell>
          <cell r="E25" t="str">
            <v>PL103x70x9t</v>
          </cell>
          <cell r="G25" t="str">
            <v>71200- 80</v>
          </cell>
          <cell r="H25">
            <v>4</v>
          </cell>
          <cell r="I25" t="str">
            <v>7150/5900</v>
          </cell>
        </row>
        <row r="27">
          <cell r="A27" t="str">
            <v>03980-005</v>
          </cell>
          <cell r="C27" t="str">
            <v>H-BEAM</v>
          </cell>
          <cell r="D27" t="str">
            <v>C S</v>
          </cell>
          <cell r="E27" t="str">
            <v>H100x100x6x8</v>
          </cell>
          <cell r="F27">
            <v>450</v>
          </cell>
          <cell r="G27" t="str">
            <v>71200- 80</v>
          </cell>
          <cell r="H27">
            <v>1</v>
          </cell>
          <cell r="I27" t="str">
            <v>7150/5900</v>
          </cell>
        </row>
        <row r="28">
          <cell r="A28" t="str">
            <v>03980-005</v>
          </cell>
          <cell r="C28" t="str">
            <v>3-BOLT PIPE CLAMP</v>
          </cell>
          <cell r="D28" t="str">
            <v>C S</v>
          </cell>
          <cell r="E28" t="str">
            <v>DN 80</v>
          </cell>
          <cell r="G28" t="str">
            <v>71200- 80</v>
          </cell>
          <cell r="H28">
            <v>1</v>
          </cell>
          <cell r="I28" t="str">
            <v>7150/5900</v>
          </cell>
        </row>
        <row r="29">
          <cell r="A29" t="str">
            <v>03980-005</v>
          </cell>
          <cell r="C29" t="str">
            <v>WEL'D BEAM ATTACH.</v>
          </cell>
          <cell r="D29" t="str">
            <v>C S</v>
          </cell>
          <cell r="E29" t="str">
            <v>M12</v>
          </cell>
          <cell r="G29" t="str">
            <v>71200- 80</v>
          </cell>
          <cell r="H29">
            <v>1</v>
          </cell>
          <cell r="I29" t="str">
            <v>7150/5900</v>
          </cell>
        </row>
        <row r="30">
          <cell r="A30" t="str">
            <v>03980-005</v>
          </cell>
          <cell r="C30" t="str">
            <v>EYE NUT</v>
          </cell>
          <cell r="D30" t="str">
            <v>C S</v>
          </cell>
          <cell r="E30" t="str">
            <v>M12</v>
          </cell>
          <cell r="G30" t="str">
            <v>71200- 80</v>
          </cell>
          <cell r="H30">
            <v>2</v>
          </cell>
          <cell r="I30" t="str">
            <v>7150/5900</v>
          </cell>
        </row>
        <row r="31">
          <cell r="A31" t="str">
            <v>03980-005</v>
          </cell>
          <cell r="C31" t="str">
            <v>THR'D ROD R.H</v>
          </cell>
          <cell r="D31" t="str">
            <v>C S</v>
          </cell>
          <cell r="E31" t="str">
            <v>M12</v>
          </cell>
          <cell r="F31">
            <v>1000</v>
          </cell>
          <cell r="G31" t="str">
            <v>71200- 80</v>
          </cell>
          <cell r="H31">
            <v>1</v>
          </cell>
          <cell r="I31" t="str">
            <v>7150/5900</v>
          </cell>
        </row>
        <row r="32">
          <cell r="A32" t="str">
            <v>03980-005</v>
          </cell>
          <cell r="C32" t="str">
            <v>TURNBUCKLE</v>
          </cell>
          <cell r="D32" t="str">
            <v>C S</v>
          </cell>
          <cell r="E32" t="str">
            <v>M12</v>
          </cell>
          <cell r="G32" t="str">
            <v>71200- 80</v>
          </cell>
          <cell r="H32">
            <v>1</v>
          </cell>
          <cell r="I32" t="str">
            <v>7150/5900</v>
          </cell>
        </row>
        <row r="33">
          <cell r="A33" t="str">
            <v>03980-005</v>
          </cell>
          <cell r="C33" t="str">
            <v>THR'D ROD R.H&amp;L.H</v>
          </cell>
          <cell r="D33" t="str">
            <v>C S</v>
          </cell>
          <cell r="E33" t="str">
            <v>M12</v>
          </cell>
          <cell r="F33">
            <v>980</v>
          </cell>
          <cell r="G33" t="str">
            <v>71200- 80</v>
          </cell>
          <cell r="H33">
            <v>1</v>
          </cell>
          <cell r="I33" t="str">
            <v>7150/5900</v>
          </cell>
        </row>
        <row r="35">
          <cell r="A35" t="str">
            <v>03980-006</v>
          </cell>
          <cell r="C35" t="str">
            <v>H-BEAM</v>
          </cell>
          <cell r="D35" t="str">
            <v>C S</v>
          </cell>
          <cell r="E35" t="str">
            <v>H100x100x6x8</v>
          </cell>
          <cell r="F35">
            <v>550</v>
          </cell>
          <cell r="G35" t="str">
            <v>71200- 80</v>
          </cell>
          <cell r="H35">
            <v>1</v>
          </cell>
          <cell r="I35" t="str">
            <v>7150/5900</v>
          </cell>
        </row>
        <row r="36">
          <cell r="A36" t="str">
            <v>03980-006</v>
          </cell>
          <cell r="C36" t="str">
            <v>CT</v>
          </cell>
          <cell r="D36" t="str">
            <v>C S</v>
          </cell>
          <cell r="E36" t="str">
            <v>CT100x150x6x9</v>
          </cell>
          <cell r="F36">
            <v>300</v>
          </cell>
          <cell r="G36" t="str">
            <v>71200- 80</v>
          </cell>
          <cell r="H36">
            <v>1</v>
          </cell>
          <cell r="I36" t="str">
            <v>7150/5900</v>
          </cell>
        </row>
        <row r="37">
          <cell r="A37" t="str">
            <v>03980-006</v>
          </cell>
          <cell r="C37" t="str">
            <v>PLATE</v>
          </cell>
          <cell r="D37" t="str">
            <v>C S</v>
          </cell>
          <cell r="E37" t="str">
            <v>PL103x70x9t</v>
          </cell>
          <cell r="G37" t="str">
            <v>71200- 80</v>
          </cell>
          <cell r="H37">
            <v>4</v>
          </cell>
          <cell r="I37" t="str">
            <v>7150/5900</v>
          </cell>
        </row>
        <row r="38">
          <cell r="A38" t="str">
            <v>03980-006</v>
          </cell>
          <cell r="C38" t="str">
            <v>PLATE</v>
          </cell>
          <cell r="D38" t="str">
            <v>C S</v>
          </cell>
          <cell r="E38" t="str">
            <v>PL100x50x12t</v>
          </cell>
          <cell r="G38" t="str">
            <v>71200- 80</v>
          </cell>
          <cell r="H38">
            <v>2</v>
          </cell>
          <cell r="I38" t="str">
            <v>7150/5900</v>
          </cell>
        </row>
        <row r="39">
          <cell r="A39" t="str">
            <v>03980-006</v>
          </cell>
          <cell r="C39" t="str">
            <v>PLATE</v>
          </cell>
          <cell r="D39" t="str">
            <v>C S</v>
          </cell>
          <cell r="E39" t="str">
            <v>PL80x50x9t</v>
          </cell>
          <cell r="G39" t="str">
            <v>71200- 80</v>
          </cell>
          <cell r="H39">
            <v>2</v>
          </cell>
          <cell r="I39" t="str">
            <v>7150/5900</v>
          </cell>
        </row>
        <row r="41">
          <cell r="A41" t="str">
            <v>03980-007</v>
          </cell>
          <cell r="C41" t="str">
            <v>CHANNEL</v>
          </cell>
          <cell r="D41" t="str">
            <v>C S</v>
          </cell>
          <cell r="E41" t="str">
            <v>C100x50x5x7.5</v>
          </cell>
          <cell r="F41">
            <v>200</v>
          </cell>
          <cell r="G41" t="str">
            <v>71200- 80</v>
          </cell>
          <cell r="H41">
            <v>1</v>
          </cell>
        </row>
        <row r="42">
          <cell r="A42" t="str">
            <v>03980-007</v>
          </cell>
          <cell r="C42" t="str">
            <v>CT</v>
          </cell>
          <cell r="D42" t="str">
            <v>C S</v>
          </cell>
          <cell r="E42" t="str">
            <v>CT100x150x6x9</v>
          </cell>
          <cell r="F42">
            <v>300</v>
          </cell>
          <cell r="G42" t="str">
            <v>71200- 80</v>
          </cell>
          <cell r="H42">
            <v>1</v>
          </cell>
        </row>
        <row r="43">
          <cell r="A43" t="str">
            <v>03980-007</v>
          </cell>
          <cell r="C43" t="str">
            <v>PLATE</v>
          </cell>
          <cell r="D43" t="str">
            <v>C S</v>
          </cell>
          <cell r="E43" t="str">
            <v>PL103x70x9t</v>
          </cell>
          <cell r="G43" t="str">
            <v>71200- 80</v>
          </cell>
          <cell r="H43">
            <v>4</v>
          </cell>
          <cell r="I43" t="str">
            <v>7150/5900</v>
          </cell>
        </row>
        <row r="45">
          <cell r="A45" t="str">
            <v>03980-008</v>
          </cell>
          <cell r="C45" t="str">
            <v>CHANNEL</v>
          </cell>
          <cell r="D45" t="str">
            <v>C S</v>
          </cell>
          <cell r="E45" t="str">
            <v>C100x50x5x7.5</v>
          </cell>
          <cell r="F45">
            <v>300</v>
          </cell>
          <cell r="G45" t="str">
            <v>71200- 80</v>
          </cell>
          <cell r="H45">
            <v>1</v>
          </cell>
        </row>
        <row r="46">
          <cell r="A46" t="str">
            <v>03980-008</v>
          </cell>
          <cell r="C46" t="str">
            <v>CT</v>
          </cell>
          <cell r="D46" t="str">
            <v>C S</v>
          </cell>
          <cell r="E46" t="str">
            <v>CT100x150x6x9</v>
          </cell>
          <cell r="F46">
            <v>300</v>
          </cell>
          <cell r="G46" t="str">
            <v>71200- 80</v>
          </cell>
          <cell r="H46">
            <v>1</v>
          </cell>
        </row>
        <row r="47">
          <cell r="A47" t="str">
            <v>03980-008</v>
          </cell>
          <cell r="C47" t="str">
            <v>PLATE</v>
          </cell>
          <cell r="D47" t="str">
            <v>C S</v>
          </cell>
          <cell r="E47" t="str">
            <v>PL103x70x9t</v>
          </cell>
          <cell r="G47" t="str">
            <v>71200- 80</v>
          </cell>
          <cell r="H47">
            <v>4</v>
          </cell>
          <cell r="I47" t="str">
            <v>7150/5900</v>
          </cell>
        </row>
        <row r="48">
          <cell r="A48" t="str">
            <v>03980-008</v>
          </cell>
          <cell r="C48" t="str">
            <v>PLATE</v>
          </cell>
          <cell r="D48" t="str">
            <v>C S</v>
          </cell>
          <cell r="E48" t="str">
            <v>PL100x50x12t</v>
          </cell>
          <cell r="G48" t="str">
            <v>71200- 80</v>
          </cell>
          <cell r="H48">
            <v>2</v>
          </cell>
          <cell r="I48" t="str">
            <v>7150/5900</v>
          </cell>
        </row>
        <row r="49">
          <cell r="A49" t="str">
            <v>03980-008</v>
          </cell>
          <cell r="C49" t="str">
            <v>PLATE</v>
          </cell>
          <cell r="D49" t="str">
            <v>C S</v>
          </cell>
          <cell r="E49" t="str">
            <v>PL80x50x9t</v>
          </cell>
          <cell r="G49" t="str">
            <v>71200- 80</v>
          </cell>
          <cell r="H49">
            <v>2</v>
          </cell>
          <cell r="I49" t="str">
            <v>7150/5900</v>
          </cell>
        </row>
        <row r="51">
          <cell r="A51" t="str">
            <v>03980-009</v>
          </cell>
          <cell r="C51" t="str">
            <v>CT</v>
          </cell>
          <cell r="D51" t="str">
            <v>C S</v>
          </cell>
          <cell r="E51" t="str">
            <v>CT100x150x6x9</v>
          </cell>
          <cell r="F51">
            <v>300</v>
          </cell>
          <cell r="G51" t="str">
            <v>71200- 80</v>
          </cell>
          <cell r="H51">
            <v>1</v>
          </cell>
        </row>
        <row r="52">
          <cell r="A52" t="str">
            <v>03980-009</v>
          </cell>
          <cell r="C52" t="str">
            <v>PLATE</v>
          </cell>
          <cell r="D52" t="str">
            <v>C S</v>
          </cell>
          <cell r="E52" t="str">
            <v>PL103x70x9t</v>
          </cell>
          <cell r="G52" t="str">
            <v>71200- 80</v>
          </cell>
          <cell r="H52">
            <v>4</v>
          </cell>
          <cell r="I52" t="str">
            <v>7150/5900</v>
          </cell>
        </row>
        <row r="54">
          <cell r="A54" t="str">
            <v>03980-010</v>
          </cell>
          <cell r="C54" t="str">
            <v>CT</v>
          </cell>
          <cell r="D54" t="str">
            <v>C S</v>
          </cell>
          <cell r="E54" t="str">
            <v>CT100x150x6x9</v>
          </cell>
          <cell r="F54">
            <v>300</v>
          </cell>
          <cell r="G54" t="str">
            <v>71200- 80</v>
          </cell>
          <cell r="H54">
            <v>6</v>
          </cell>
        </row>
        <row r="55">
          <cell r="A55" t="str">
            <v>03980-010</v>
          </cell>
          <cell r="C55" t="str">
            <v>PLATE</v>
          </cell>
          <cell r="D55" t="str">
            <v>C S</v>
          </cell>
          <cell r="E55" t="str">
            <v>PL103x70x9t</v>
          </cell>
          <cell r="G55" t="str">
            <v>71200- 80</v>
          </cell>
          <cell r="H55">
            <v>24</v>
          </cell>
          <cell r="I55" t="str">
            <v>7150/5900</v>
          </cell>
        </row>
        <row r="57">
          <cell r="A57" t="str">
            <v>03980-011</v>
          </cell>
          <cell r="C57" t="str">
            <v>PIPE STD WT</v>
          </cell>
          <cell r="D57" t="str">
            <v>C S</v>
          </cell>
          <cell r="E57" t="str">
            <v>DN 50</v>
          </cell>
          <cell r="F57">
            <v>103</v>
          </cell>
          <cell r="G57" t="str">
            <v>71200- 80</v>
          </cell>
          <cell r="H57">
            <v>2</v>
          </cell>
        </row>
        <row r="58">
          <cell r="A58" t="str">
            <v>03980-011</v>
          </cell>
          <cell r="C58" t="str">
            <v>PLATE</v>
          </cell>
          <cell r="D58" t="str">
            <v>C S</v>
          </cell>
          <cell r="E58" t="str">
            <v>PL110x110x6t</v>
          </cell>
          <cell r="G58" t="str">
            <v>71200- 80</v>
          </cell>
          <cell r="H58">
            <v>2</v>
          </cell>
          <cell r="I58" t="str">
            <v>7150/5900</v>
          </cell>
        </row>
        <row r="60">
          <cell r="A60" t="str">
            <v>03980-012</v>
          </cell>
          <cell r="C60" t="str">
            <v>CT</v>
          </cell>
          <cell r="D60" t="str">
            <v>C S</v>
          </cell>
          <cell r="E60" t="str">
            <v>CT100x150x6x9</v>
          </cell>
          <cell r="F60">
            <v>300</v>
          </cell>
          <cell r="G60" t="str">
            <v>71200- 80</v>
          </cell>
          <cell r="H60">
            <v>2</v>
          </cell>
          <cell r="I60" t="str">
            <v>7150/5900</v>
          </cell>
        </row>
        <row r="61">
          <cell r="A61" t="str">
            <v>03980-012</v>
          </cell>
          <cell r="C61" t="str">
            <v>PLATE</v>
          </cell>
          <cell r="D61" t="str">
            <v>C S</v>
          </cell>
          <cell r="E61" t="str">
            <v>PL103x70x9t</v>
          </cell>
          <cell r="G61" t="str">
            <v>71200- 80</v>
          </cell>
          <cell r="H61">
            <v>8</v>
          </cell>
          <cell r="I61" t="str">
            <v>7150/5900</v>
          </cell>
        </row>
        <row r="62">
          <cell r="A62" t="str">
            <v>03980-012</v>
          </cell>
          <cell r="C62" t="str">
            <v>PLATE</v>
          </cell>
          <cell r="D62" t="str">
            <v>C S</v>
          </cell>
          <cell r="E62" t="str">
            <v>PL100x50x12t</v>
          </cell>
          <cell r="G62" t="str">
            <v>71200- 80</v>
          </cell>
          <cell r="H62">
            <v>4</v>
          </cell>
          <cell r="I62" t="str">
            <v>7150/5900</v>
          </cell>
        </row>
        <row r="63">
          <cell r="A63" t="str">
            <v>03980-012</v>
          </cell>
          <cell r="C63" t="str">
            <v>PLATE</v>
          </cell>
          <cell r="D63" t="str">
            <v>C S</v>
          </cell>
          <cell r="E63" t="str">
            <v>PL80x50x9t</v>
          </cell>
          <cell r="G63" t="str">
            <v>71200- 80</v>
          </cell>
          <cell r="H63">
            <v>4</v>
          </cell>
          <cell r="I63" t="str">
            <v>7150/5900</v>
          </cell>
        </row>
        <row r="65">
          <cell r="A65" t="str">
            <v>03980-013</v>
          </cell>
          <cell r="C65" t="str">
            <v>CHANNEL</v>
          </cell>
          <cell r="D65" t="str">
            <v>C S</v>
          </cell>
          <cell r="E65" t="str">
            <v>C100x50x5x7.5</v>
          </cell>
          <cell r="F65">
            <v>200</v>
          </cell>
          <cell r="G65" t="str">
            <v>71200- 80</v>
          </cell>
          <cell r="H65">
            <v>5</v>
          </cell>
        </row>
        <row r="66">
          <cell r="A66" t="str">
            <v>03980-013</v>
          </cell>
          <cell r="C66" t="str">
            <v>CT</v>
          </cell>
          <cell r="D66" t="str">
            <v>C S</v>
          </cell>
          <cell r="E66" t="str">
            <v>CT100x150x6x9</v>
          </cell>
          <cell r="F66">
            <v>300</v>
          </cell>
          <cell r="G66" t="str">
            <v>71200- 80</v>
          </cell>
          <cell r="H66">
            <v>5</v>
          </cell>
        </row>
        <row r="67">
          <cell r="A67" t="str">
            <v>03980-013</v>
          </cell>
          <cell r="C67" t="str">
            <v>PLATE</v>
          </cell>
          <cell r="D67" t="str">
            <v>C S</v>
          </cell>
          <cell r="E67" t="str">
            <v>PL103x70x9t</v>
          </cell>
          <cell r="G67" t="str">
            <v>71200- 80</v>
          </cell>
          <cell r="H67">
            <v>20</v>
          </cell>
          <cell r="I67" t="str">
            <v>7150/5900</v>
          </cell>
        </row>
        <row r="69">
          <cell r="A69" t="str">
            <v>03980-014</v>
          </cell>
          <cell r="C69" t="str">
            <v>H-BEAM</v>
          </cell>
          <cell r="D69" t="str">
            <v>C S</v>
          </cell>
          <cell r="E69" t="str">
            <v>H100x100x6x8</v>
          </cell>
          <cell r="F69">
            <v>970</v>
          </cell>
          <cell r="G69" t="str">
            <v>71200- 80</v>
          </cell>
          <cell r="H69">
            <v>2</v>
          </cell>
          <cell r="I69" t="str">
            <v>7150/5900</v>
          </cell>
        </row>
        <row r="70">
          <cell r="A70" t="str">
            <v>03980-014</v>
          </cell>
          <cell r="C70" t="str">
            <v>CT</v>
          </cell>
          <cell r="D70" t="str">
            <v>C S</v>
          </cell>
          <cell r="E70" t="str">
            <v>CT100x150x6x9</v>
          </cell>
          <cell r="F70">
            <v>300</v>
          </cell>
          <cell r="G70" t="str">
            <v>71200- 80</v>
          </cell>
          <cell r="H70">
            <v>2</v>
          </cell>
          <cell r="I70" t="str">
            <v>7150/5900</v>
          </cell>
        </row>
        <row r="71">
          <cell r="A71" t="str">
            <v>03980-014</v>
          </cell>
          <cell r="C71" t="str">
            <v>PLATE</v>
          </cell>
          <cell r="D71" t="str">
            <v>C S</v>
          </cell>
          <cell r="E71" t="str">
            <v>PL103x70x9t</v>
          </cell>
          <cell r="G71" t="str">
            <v>71200- 80</v>
          </cell>
          <cell r="H71">
            <v>8</v>
          </cell>
          <cell r="I71" t="str">
            <v>7150/5900</v>
          </cell>
        </row>
        <row r="73">
          <cell r="A73" t="str">
            <v>03980-015</v>
          </cell>
          <cell r="C73" t="str">
            <v>H-BEAM</v>
          </cell>
          <cell r="D73" t="str">
            <v>C S</v>
          </cell>
          <cell r="E73" t="str">
            <v>H100x100x6x8</v>
          </cell>
          <cell r="F73">
            <v>970</v>
          </cell>
          <cell r="G73" t="str">
            <v>71200- 80</v>
          </cell>
          <cell r="H73">
            <v>1</v>
          </cell>
          <cell r="I73" t="str">
            <v>7150/5900</v>
          </cell>
        </row>
        <row r="74">
          <cell r="A74" t="str">
            <v>03980-015</v>
          </cell>
          <cell r="C74" t="str">
            <v>CT</v>
          </cell>
          <cell r="D74" t="str">
            <v>C S</v>
          </cell>
          <cell r="E74" t="str">
            <v>CT100x150x6x9</v>
          </cell>
          <cell r="F74">
            <v>300</v>
          </cell>
          <cell r="G74" t="str">
            <v>71200- 80</v>
          </cell>
          <cell r="H74">
            <v>1</v>
          </cell>
          <cell r="I74" t="str">
            <v>7150/5900</v>
          </cell>
        </row>
        <row r="75">
          <cell r="A75" t="str">
            <v>03980-015</v>
          </cell>
          <cell r="C75" t="str">
            <v>PLATE</v>
          </cell>
          <cell r="D75" t="str">
            <v>C S</v>
          </cell>
          <cell r="E75" t="str">
            <v>PL103x70x9t</v>
          </cell>
          <cell r="G75" t="str">
            <v>71200- 80</v>
          </cell>
          <cell r="H75">
            <v>4</v>
          </cell>
          <cell r="I75" t="str">
            <v>7150/5900</v>
          </cell>
        </row>
        <row r="76">
          <cell r="A76" t="str">
            <v>03980-015</v>
          </cell>
          <cell r="C76" t="str">
            <v>PLATE</v>
          </cell>
          <cell r="D76" t="str">
            <v>C S</v>
          </cell>
          <cell r="E76" t="str">
            <v>PL100x50x12t</v>
          </cell>
          <cell r="G76" t="str">
            <v>71200- 80</v>
          </cell>
          <cell r="H76">
            <v>2</v>
          </cell>
          <cell r="I76" t="str">
            <v>7150/5900</v>
          </cell>
        </row>
        <row r="77">
          <cell r="A77" t="str">
            <v>03980-015</v>
          </cell>
          <cell r="C77" t="str">
            <v>PLATE</v>
          </cell>
          <cell r="D77" t="str">
            <v>C S</v>
          </cell>
          <cell r="E77" t="str">
            <v>PL80x50x9t</v>
          </cell>
          <cell r="G77" t="str">
            <v>71200- 80</v>
          </cell>
          <cell r="H77">
            <v>2</v>
          </cell>
          <cell r="I77" t="str">
            <v>7150/5900</v>
          </cell>
        </row>
        <row r="79">
          <cell r="A79" t="str">
            <v>03980-016</v>
          </cell>
          <cell r="C79" t="str">
            <v>CHANNEL</v>
          </cell>
          <cell r="D79" t="str">
            <v>C S</v>
          </cell>
          <cell r="E79" t="str">
            <v>C100x50x5x7.5</v>
          </cell>
          <cell r="F79">
            <v>300</v>
          </cell>
          <cell r="G79" t="str">
            <v>71200- 80</v>
          </cell>
          <cell r="H79">
            <v>1</v>
          </cell>
        </row>
        <row r="80">
          <cell r="A80" t="str">
            <v>03980-016</v>
          </cell>
          <cell r="C80" t="str">
            <v>CT</v>
          </cell>
          <cell r="D80" t="str">
            <v>C S</v>
          </cell>
          <cell r="E80" t="str">
            <v>CT100x150x6x9</v>
          </cell>
          <cell r="F80">
            <v>300</v>
          </cell>
          <cell r="G80" t="str">
            <v>71200- 80</v>
          </cell>
          <cell r="H80">
            <v>1</v>
          </cell>
        </row>
        <row r="81">
          <cell r="A81" t="str">
            <v>03980-016</v>
          </cell>
          <cell r="C81" t="str">
            <v>PLATE</v>
          </cell>
          <cell r="D81" t="str">
            <v>C S</v>
          </cell>
          <cell r="E81" t="str">
            <v>PL103x70x9t</v>
          </cell>
          <cell r="G81" t="str">
            <v>71200- 80</v>
          </cell>
          <cell r="H81">
            <v>4</v>
          </cell>
          <cell r="I81" t="str">
            <v>7150/5900</v>
          </cell>
        </row>
        <row r="82">
          <cell r="A82" t="str">
            <v>03980-016</v>
          </cell>
          <cell r="C82" t="str">
            <v>PLATE</v>
          </cell>
          <cell r="D82" t="str">
            <v>C S</v>
          </cell>
          <cell r="E82" t="str">
            <v>PL100x50x12t</v>
          </cell>
          <cell r="G82" t="str">
            <v>71200- 80</v>
          </cell>
          <cell r="H82">
            <v>2</v>
          </cell>
          <cell r="I82" t="str">
            <v>7150/5900</v>
          </cell>
        </row>
        <row r="83">
          <cell r="A83" t="str">
            <v>03980-016</v>
          </cell>
          <cell r="C83" t="str">
            <v>PLATE</v>
          </cell>
          <cell r="D83" t="str">
            <v>C S</v>
          </cell>
          <cell r="E83" t="str">
            <v>PL80x50x9t</v>
          </cell>
          <cell r="G83" t="str">
            <v>71200- 80</v>
          </cell>
          <cell r="H83">
            <v>2</v>
          </cell>
          <cell r="I83" t="str">
            <v>7150/5900</v>
          </cell>
        </row>
        <row r="85">
          <cell r="A85" t="str">
            <v>03980-017</v>
          </cell>
          <cell r="C85" t="str">
            <v>H-BEAM</v>
          </cell>
          <cell r="D85" t="str">
            <v>C S</v>
          </cell>
          <cell r="E85" t="str">
            <v>H100x100x6x8</v>
          </cell>
          <cell r="F85">
            <v>290</v>
          </cell>
          <cell r="G85" t="str">
            <v>71200- 80</v>
          </cell>
          <cell r="H85">
            <v>4</v>
          </cell>
          <cell r="I85" t="str">
            <v>7150/5900</v>
          </cell>
        </row>
        <row r="86">
          <cell r="A86" t="str">
            <v>03980-017</v>
          </cell>
          <cell r="C86" t="str">
            <v>CT</v>
          </cell>
          <cell r="D86" t="str">
            <v>C S</v>
          </cell>
          <cell r="E86" t="str">
            <v>CT100x150x6x9</v>
          </cell>
          <cell r="F86">
            <v>300</v>
          </cell>
          <cell r="G86" t="str">
            <v>71200- 80</v>
          </cell>
          <cell r="H86">
            <v>4</v>
          </cell>
          <cell r="I86" t="str">
            <v>7150/5900</v>
          </cell>
        </row>
        <row r="87">
          <cell r="A87" t="str">
            <v>03980-017</v>
          </cell>
          <cell r="C87" t="str">
            <v>PLATE</v>
          </cell>
          <cell r="D87" t="str">
            <v>C S</v>
          </cell>
          <cell r="E87" t="str">
            <v>PL103x70x9t</v>
          </cell>
          <cell r="G87" t="str">
            <v>71200- 80</v>
          </cell>
          <cell r="H87">
            <v>16</v>
          </cell>
          <cell r="I87" t="str">
            <v>7150/5900</v>
          </cell>
        </row>
        <row r="88">
          <cell r="A88" t="str">
            <v>03980-017</v>
          </cell>
          <cell r="C88" t="str">
            <v>PLATE</v>
          </cell>
          <cell r="D88" t="str">
            <v>C S</v>
          </cell>
          <cell r="E88" t="str">
            <v>PL250x250x12t</v>
          </cell>
          <cell r="G88" t="str">
            <v>71200- 80</v>
          </cell>
          <cell r="H88">
            <v>4</v>
          </cell>
          <cell r="I88" t="str">
            <v>7150/5900</v>
          </cell>
        </row>
        <row r="89">
          <cell r="A89" t="str">
            <v>03980-017</v>
          </cell>
          <cell r="C89" t="str">
            <v>ANCHOR BOLT</v>
          </cell>
          <cell r="D89" t="str">
            <v>C S</v>
          </cell>
          <cell r="E89" t="str">
            <v>M12x118L</v>
          </cell>
          <cell r="G89" t="str">
            <v>71200- 80</v>
          </cell>
          <cell r="H89">
            <v>16</v>
          </cell>
          <cell r="I89" t="str">
            <v>7150/5900</v>
          </cell>
        </row>
        <row r="91">
          <cell r="A91" t="str">
            <v>03980-018</v>
          </cell>
          <cell r="C91" t="str">
            <v>H-BEAM</v>
          </cell>
          <cell r="D91" t="str">
            <v>C S</v>
          </cell>
          <cell r="E91" t="str">
            <v>H100x100x6x8</v>
          </cell>
          <cell r="F91">
            <v>270</v>
          </cell>
          <cell r="G91" t="str">
            <v>71200- 80</v>
          </cell>
          <cell r="H91">
            <v>2</v>
          </cell>
          <cell r="I91" t="str">
            <v>7150/5900</v>
          </cell>
        </row>
        <row r="92">
          <cell r="A92" t="str">
            <v>03980-018</v>
          </cell>
          <cell r="C92" t="str">
            <v>PIPE STD WT</v>
          </cell>
          <cell r="D92" t="str">
            <v>C S</v>
          </cell>
          <cell r="E92" t="str">
            <v>DN 50</v>
          </cell>
          <cell r="F92">
            <v>103</v>
          </cell>
          <cell r="G92" t="str">
            <v>71200- 80</v>
          </cell>
          <cell r="H92">
            <v>2</v>
          </cell>
          <cell r="I92" t="str">
            <v>7150/5900</v>
          </cell>
        </row>
        <row r="93">
          <cell r="A93" t="str">
            <v>03980-018</v>
          </cell>
          <cell r="C93" t="str">
            <v>PLATE</v>
          </cell>
          <cell r="D93" t="str">
            <v>C S</v>
          </cell>
          <cell r="E93" t="str">
            <v>PL110x110x6t</v>
          </cell>
          <cell r="G93" t="str">
            <v>71200- 80</v>
          </cell>
          <cell r="H93">
            <v>2</v>
          </cell>
          <cell r="I93" t="str">
            <v>7150/5900</v>
          </cell>
        </row>
        <row r="94">
          <cell r="A94" t="str">
            <v>03980-018</v>
          </cell>
          <cell r="C94" t="str">
            <v>PLATE</v>
          </cell>
          <cell r="D94" t="str">
            <v>C S</v>
          </cell>
          <cell r="E94" t="str">
            <v>PL250x250x12t</v>
          </cell>
          <cell r="G94" t="str">
            <v>71200- 80</v>
          </cell>
          <cell r="H94">
            <v>2</v>
          </cell>
          <cell r="I94" t="str">
            <v>7150/5900</v>
          </cell>
        </row>
        <row r="95">
          <cell r="A95" t="str">
            <v>03980-018</v>
          </cell>
          <cell r="C95" t="str">
            <v>ANCHOR BOLT</v>
          </cell>
          <cell r="D95" t="str">
            <v>C S</v>
          </cell>
          <cell r="E95" t="str">
            <v>M12x118L</v>
          </cell>
          <cell r="G95" t="str">
            <v>71200- 80</v>
          </cell>
          <cell r="H95">
            <v>8</v>
          </cell>
          <cell r="I95" t="str">
            <v>7150/5900</v>
          </cell>
        </row>
        <row r="97">
          <cell r="A97" t="str">
            <v>03980-019</v>
          </cell>
          <cell r="C97" t="str">
            <v>H-BEAM</v>
          </cell>
          <cell r="D97" t="str">
            <v>C S</v>
          </cell>
          <cell r="E97" t="str">
            <v>H100x100x6x8</v>
          </cell>
          <cell r="F97">
            <v>340</v>
          </cell>
          <cell r="G97" t="str">
            <v>71200- 80</v>
          </cell>
          <cell r="H97">
            <v>2</v>
          </cell>
          <cell r="I97" t="str">
            <v>7150/5900</v>
          </cell>
        </row>
        <row r="98">
          <cell r="A98" t="str">
            <v>03980-019</v>
          </cell>
          <cell r="C98" t="str">
            <v>CT</v>
          </cell>
          <cell r="D98" t="str">
            <v>C S</v>
          </cell>
          <cell r="E98" t="str">
            <v>CT100x150x6x9</v>
          </cell>
          <cell r="F98">
            <v>300</v>
          </cell>
          <cell r="G98" t="str">
            <v>71200- 80</v>
          </cell>
          <cell r="H98">
            <v>2</v>
          </cell>
          <cell r="I98" t="str">
            <v>7150/5900</v>
          </cell>
        </row>
        <row r="99">
          <cell r="A99" t="str">
            <v>03980-019</v>
          </cell>
          <cell r="C99" t="str">
            <v>PLATE</v>
          </cell>
          <cell r="D99" t="str">
            <v>C S</v>
          </cell>
          <cell r="E99" t="str">
            <v>PL103x70x9t</v>
          </cell>
          <cell r="G99" t="str">
            <v>71200- 80</v>
          </cell>
          <cell r="H99">
            <v>8</v>
          </cell>
          <cell r="I99" t="str">
            <v>7150/5900</v>
          </cell>
        </row>
        <row r="100">
          <cell r="A100" t="str">
            <v>03980-019</v>
          </cell>
          <cell r="C100" t="str">
            <v>PLATE</v>
          </cell>
          <cell r="D100" t="str">
            <v>C S</v>
          </cell>
          <cell r="E100" t="str">
            <v>PL250x250x12t</v>
          </cell>
          <cell r="G100" t="str">
            <v>71200- 80</v>
          </cell>
          <cell r="H100">
            <v>2</v>
          </cell>
          <cell r="I100" t="str">
            <v>7150/5900</v>
          </cell>
        </row>
        <row r="101">
          <cell r="A101" t="str">
            <v>03980-019</v>
          </cell>
          <cell r="C101" t="str">
            <v>ANCHOR BOLT</v>
          </cell>
          <cell r="D101" t="str">
            <v>C S</v>
          </cell>
          <cell r="E101" t="str">
            <v>M12x118L</v>
          </cell>
          <cell r="G101" t="str">
            <v>71200- 80</v>
          </cell>
          <cell r="H101">
            <v>8</v>
          </cell>
          <cell r="I101" t="str">
            <v>7150/5900</v>
          </cell>
        </row>
        <row r="102">
          <cell r="A102" t="str">
            <v>03980-019</v>
          </cell>
          <cell r="C102" t="str">
            <v>PLATE</v>
          </cell>
          <cell r="D102" t="str">
            <v>C S</v>
          </cell>
          <cell r="E102" t="str">
            <v>PL100x50x12t</v>
          </cell>
          <cell r="G102" t="str">
            <v>71200- 80</v>
          </cell>
          <cell r="H102">
            <v>4</v>
          </cell>
          <cell r="I102" t="str">
            <v>7150/5900</v>
          </cell>
        </row>
        <row r="103">
          <cell r="A103" t="str">
            <v>03980-019</v>
          </cell>
          <cell r="C103" t="str">
            <v>PLATE</v>
          </cell>
          <cell r="D103" t="str">
            <v>C S</v>
          </cell>
          <cell r="E103" t="str">
            <v>PL80x50x9t</v>
          </cell>
          <cell r="G103" t="str">
            <v>71200- 80</v>
          </cell>
          <cell r="H103">
            <v>4</v>
          </cell>
          <cell r="I103" t="str">
            <v>7150/5900</v>
          </cell>
        </row>
        <row r="105">
          <cell r="A105" t="str">
            <v>03980-020</v>
          </cell>
          <cell r="C105" t="str">
            <v>H-BEAM</v>
          </cell>
          <cell r="D105" t="str">
            <v>C S</v>
          </cell>
          <cell r="E105" t="str">
            <v>H100x100x6x8</v>
          </cell>
          <cell r="F105">
            <v>600</v>
          </cell>
          <cell r="G105" t="str">
            <v>71200- 80</v>
          </cell>
          <cell r="H105">
            <v>1</v>
          </cell>
          <cell r="I105" t="str">
            <v>7150/5900</v>
          </cell>
        </row>
        <row r="106">
          <cell r="A106" t="str">
            <v>03980-020</v>
          </cell>
          <cell r="C106" t="str">
            <v>CT</v>
          </cell>
          <cell r="D106" t="str">
            <v>C S</v>
          </cell>
          <cell r="E106" t="str">
            <v>CT100x150x6x9</v>
          </cell>
          <cell r="F106">
            <v>300</v>
          </cell>
          <cell r="G106" t="str">
            <v>71200- 80</v>
          </cell>
          <cell r="H106">
            <v>1</v>
          </cell>
          <cell r="I106" t="str">
            <v>7150/5900</v>
          </cell>
        </row>
        <row r="107">
          <cell r="A107" t="str">
            <v>03980-020</v>
          </cell>
          <cell r="C107" t="str">
            <v>PLATE</v>
          </cell>
          <cell r="D107" t="str">
            <v>C S</v>
          </cell>
          <cell r="E107" t="str">
            <v>PL103x70x9t</v>
          </cell>
          <cell r="G107" t="str">
            <v>71200- 80</v>
          </cell>
          <cell r="H107">
            <v>4</v>
          </cell>
          <cell r="I107" t="str">
            <v>7150/5900</v>
          </cell>
        </row>
        <row r="108">
          <cell r="A108" t="str">
            <v>03980-020</v>
          </cell>
          <cell r="C108" t="str">
            <v>PLATE</v>
          </cell>
          <cell r="D108" t="str">
            <v>C S</v>
          </cell>
          <cell r="E108" t="str">
            <v>PL100x50x12t</v>
          </cell>
          <cell r="G108" t="str">
            <v>71200- 80</v>
          </cell>
          <cell r="H108">
            <v>2</v>
          </cell>
          <cell r="I108" t="str">
            <v>7150/5900</v>
          </cell>
        </row>
        <row r="109">
          <cell r="A109" t="str">
            <v>03980-020</v>
          </cell>
          <cell r="C109" t="str">
            <v>PLATE</v>
          </cell>
          <cell r="D109" t="str">
            <v>C S</v>
          </cell>
          <cell r="E109" t="str">
            <v>PL80x50x9t</v>
          </cell>
          <cell r="G109" t="str">
            <v>71200- 80</v>
          </cell>
          <cell r="H109">
            <v>2</v>
          </cell>
          <cell r="I109" t="str">
            <v>7150/5900</v>
          </cell>
        </row>
        <row r="111">
          <cell r="A111" t="str">
            <v>03980-021</v>
          </cell>
          <cell r="C111" t="str">
            <v>ANGLE</v>
          </cell>
          <cell r="D111" t="str">
            <v>C S</v>
          </cell>
          <cell r="E111" t="str">
            <v>L100x100x10</v>
          </cell>
          <cell r="F111">
            <v>270</v>
          </cell>
          <cell r="G111" t="str">
            <v>71200- 80</v>
          </cell>
          <cell r="H111">
            <v>1</v>
          </cell>
          <cell r="I111" t="str">
            <v>7150/5900</v>
          </cell>
        </row>
        <row r="112">
          <cell r="A112" t="str">
            <v>03980-021</v>
          </cell>
          <cell r="C112" t="str">
            <v>ANGLE</v>
          </cell>
          <cell r="D112" t="str">
            <v>C S</v>
          </cell>
          <cell r="E112" t="str">
            <v>L100x100x10</v>
          </cell>
          <cell r="F112">
            <v>200</v>
          </cell>
          <cell r="G112" t="str">
            <v>71200- 80</v>
          </cell>
          <cell r="H112">
            <v>1</v>
          </cell>
          <cell r="I112" t="str">
            <v>7150/5900</v>
          </cell>
        </row>
        <row r="113">
          <cell r="A113" t="str">
            <v>03980-021</v>
          </cell>
          <cell r="C113" t="str">
            <v>CT</v>
          </cell>
          <cell r="D113" t="str">
            <v>C S</v>
          </cell>
          <cell r="E113" t="str">
            <v>CT100x150x6x9</v>
          </cell>
          <cell r="F113">
            <v>300</v>
          </cell>
          <cell r="G113" t="str">
            <v>71200- 80</v>
          </cell>
          <cell r="H113">
            <v>1</v>
          </cell>
          <cell r="I113" t="str">
            <v>7150/5900</v>
          </cell>
        </row>
        <row r="114">
          <cell r="A114" t="str">
            <v>03980-021</v>
          </cell>
          <cell r="C114" t="str">
            <v>PLATE</v>
          </cell>
          <cell r="D114" t="str">
            <v>C S</v>
          </cell>
          <cell r="E114" t="str">
            <v>PL103x70x9t</v>
          </cell>
          <cell r="G114" t="str">
            <v>71200- 80</v>
          </cell>
          <cell r="H114">
            <v>4</v>
          </cell>
          <cell r="I114" t="str">
            <v>7150/5900</v>
          </cell>
        </row>
        <row r="115">
          <cell r="A115" t="str">
            <v>03980-021</v>
          </cell>
          <cell r="C115" t="str">
            <v>PLATE</v>
          </cell>
          <cell r="D115" t="str">
            <v>C S</v>
          </cell>
          <cell r="E115" t="str">
            <v>PL250x250x12t</v>
          </cell>
          <cell r="G115" t="str">
            <v>71200- 80</v>
          </cell>
          <cell r="H115">
            <v>1</v>
          </cell>
          <cell r="I115" t="str">
            <v>7150/5900</v>
          </cell>
        </row>
        <row r="116">
          <cell r="A116" t="str">
            <v>03980-021</v>
          </cell>
          <cell r="C116" t="str">
            <v>ANCHOR BOLT</v>
          </cell>
          <cell r="D116" t="str">
            <v>C S</v>
          </cell>
          <cell r="E116" t="str">
            <v>M12x118L</v>
          </cell>
          <cell r="G116" t="str">
            <v>71200- 80</v>
          </cell>
          <cell r="H116">
            <v>4</v>
          </cell>
          <cell r="I116" t="str">
            <v>7150/5900</v>
          </cell>
        </row>
        <row r="118">
          <cell r="A118" t="str">
            <v>03980-022</v>
          </cell>
          <cell r="C118" t="str">
            <v>CT</v>
          </cell>
          <cell r="D118" t="str">
            <v>C S</v>
          </cell>
          <cell r="E118" t="str">
            <v>CT100x150x6x9</v>
          </cell>
          <cell r="F118">
            <v>300</v>
          </cell>
          <cell r="G118" t="str">
            <v>71200- 80</v>
          </cell>
          <cell r="H118">
            <v>1</v>
          </cell>
          <cell r="I118" t="str">
            <v>7150/5900</v>
          </cell>
        </row>
        <row r="119">
          <cell r="A119" t="str">
            <v>03980-022</v>
          </cell>
          <cell r="C119" t="str">
            <v>PLATE</v>
          </cell>
          <cell r="D119" t="str">
            <v>C S</v>
          </cell>
          <cell r="E119" t="str">
            <v>PL103x70x9t</v>
          </cell>
          <cell r="G119" t="str">
            <v>71200- 80</v>
          </cell>
          <cell r="H119">
            <v>4</v>
          </cell>
          <cell r="I119" t="str">
            <v>7150/5900</v>
          </cell>
        </row>
        <row r="120">
          <cell r="A120" t="str">
            <v>03980-022</v>
          </cell>
          <cell r="C120" t="str">
            <v>PLATE</v>
          </cell>
          <cell r="D120" t="str">
            <v>C S</v>
          </cell>
          <cell r="E120" t="str">
            <v>PL100x50x12t</v>
          </cell>
          <cell r="G120" t="str">
            <v>71200- 80</v>
          </cell>
          <cell r="H120">
            <v>2</v>
          </cell>
          <cell r="I120" t="str">
            <v>7150/5900</v>
          </cell>
        </row>
        <row r="121">
          <cell r="A121" t="str">
            <v>03980-022</v>
          </cell>
          <cell r="C121" t="str">
            <v>PLATE</v>
          </cell>
          <cell r="D121" t="str">
            <v>C S</v>
          </cell>
          <cell r="E121" t="str">
            <v>PL80x50x9t</v>
          </cell>
          <cell r="G121" t="str">
            <v>71200- 80</v>
          </cell>
          <cell r="H121">
            <v>2</v>
          </cell>
          <cell r="I121" t="str">
            <v>7150/5900</v>
          </cell>
        </row>
        <row r="123">
          <cell r="A123" t="str">
            <v>03980-023</v>
          </cell>
          <cell r="C123" t="str">
            <v>CT</v>
          </cell>
          <cell r="D123" t="str">
            <v>C S</v>
          </cell>
          <cell r="E123" t="str">
            <v>CT100x150x6x9</v>
          </cell>
          <cell r="F123">
            <v>300</v>
          </cell>
          <cell r="G123" t="str">
            <v>71200- 80</v>
          </cell>
          <cell r="H123">
            <v>1</v>
          </cell>
          <cell r="I123" t="str">
            <v>7150/5900</v>
          </cell>
        </row>
        <row r="124">
          <cell r="A124" t="str">
            <v>03980-023</v>
          </cell>
          <cell r="C124" t="str">
            <v>PLATE</v>
          </cell>
          <cell r="D124" t="str">
            <v>C S</v>
          </cell>
          <cell r="E124" t="str">
            <v>PL103x70x9t</v>
          </cell>
          <cell r="G124" t="str">
            <v>71200- 80</v>
          </cell>
          <cell r="H124">
            <v>4</v>
          </cell>
          <cell r="I124" t="str">
            <v>7150/5900</v>
          </cell>
        </row>
        <row r="126">
          <cell r="A126" t="str">
            <v>03980-024</v>
          </cell>
          <cell r="C126" t="str">
            <v>H-BEAM</v>
          </cell>
          <cell r="D126" t="str">
            <v>C S</v>
          </cell>
          <cell r="E126" t="str">
            <v>H100x100x6x8</v>
          </cell>
          <cell r="F126">
            <v>1385</v>
          </cell>
          <cell r="G126" t="str">
            <v>16200-150</v>
          </cell>
          <cell r="H126">
            <v>1</v>
          </cell>
          <cell r="I126" t="str">
            <v>7150/5900</v>
          </cell>
        </row>
        <row r="127">
          <cell r="A127" t="str">
            <v>03980-024</v>
          </cell>
          <cell r="C127" t="str">
            <v>CLIP ANGLE</v>
          </cell>
          <cell r="D127" t="str">
            <v>C S</v>
          </cell>
          <cell r="E127" t="str">
            <v>L75x75x9</v>
          </cell>
          <cell r="F127">
            <v>50</v>
          </cell>
          <cell r="G127" t="str">
            <v>16200-150</v>
          </cell>
          <cell r="H127">
            <v>2</v>
          </cell>
          <cell r="I127" t="str">
            <v>7150/5900</v>
          </cell>
        </row>
        <row r="128">
          <cell r="A128" t="str">
            <v>03980-024</v>
          </cell>
          <cell r="C128" t="str">
            <v>U-BOLT</v>
          </cell>
          <cell r="D128" t="str">
            <v>C S</v>
          </cell>
          <cell r="E128" t="str">
            <v>DN150</v>
          </cell>
          <cell r="G128" t="str">
            <v>16200-150</v>
          </cell>
          <cell r="H128">
            <v>1</v>
          </cell>
          <cell r="I128" t="str">
            <v>7150/5900</v>
          </cell>
        </row>
        <row r="129">
          <cell r="A129" t="str">
            <v>03980-024</v>
          </cell>
          <cell r="C129" t="str">
            <v>U-BOLT</v>
          </cell>
          <cell r="D129" t="str">
            <v>C S</v>
          </cell>
          <cell r="E129" t="str">
            <v>DN 80</v>
          </cell>
          <cell r="G129" t="str">
            <v>16200- 80</v>
          </cell>
          <cell r="H129">
            <v>1</v>
          </cell>
          <cell r="I129" t="str">
            <v>7150/5900</v>
          </cell>
        </row>
        <row r="131">
          <cell r="A131" t="str">
            <v>03980-025</v>
          </cell>
          <cell r="C131" t="str">
            <v>H-BEAM</v>
          </cell>
          <cell r="D131" t="str">
            <v>C S</v>
          </cell>
          <cell r="E131" t="str">
            <v>H100x100x6x8</v>
          </cell>
          <cell r="F131">
            <v>1385</v>
          </cell>
          <cell r="G131" t="str">
            <v>16320-100</v>
          </cell>
          <cell r="H131">
            <v>1</v>
          </cell>
          <cell r="I131" t="str">
            <v>7150/5900</v>
          </cell>
        </row>
        <row r="132">
          <cell r="A132" t="str">
            <v>03980-025</v>
          </cell>
          <cell r="C132" t="str">
            <v>CLIP ANGLE</v>
          </cell>
          <cell r="D132" t="str">
            <v>C S</v>
          </cell>
          <cell r="E132" t="str">
            <v>L75x75x9</v>
          </cell>
          <cell r="F132">
            <v>50</v>
          </cell>
          <cell r="G132" t="str">
            <v>16320-100</v>
          </cell>
          <cell r="H132">
            <v>2</v>
          </cell>
          <cell r="I132" t="str">
            <v>7150/5900</v>
          </cell>
        </row>
        <row r="134">
          <cell r="A134" t="str">
            <v>03980-026</v>
          </cell>
          <cell r="C134" t="str">
            <v>H-BEAM</v>
          </cell>
          <cell r="D134" t="str">
            <v>C S</v>
          </cell>
          <cell r="E134" t="str">
            <v>H100x100x6x8</v>
          </cell>
          <cell r="F134">
            <v>1385</v>
          </cell>
          <cell r="G134" t="str">
            <v>16200-100</v>
          </cell>
          <cell r="H134">
            <v>1</v>
          </cell>
          <cell r="I134" t="str">
            <v>7150/5900</v>
          </cell>
        </row>
        <row r="135">
          <cell r="A135" t="str">
            <v>03980-026</v>
          </cell>
          <cell r="C135" t="str">
            <v>CLIP ANGLE</v>
          </cell>
          <cell r="D135" t="str">
            <v>C S</v>
          </cell>
          <cell r="E135" t="str">
            <v>L75x75x9</v>
          </cell>
          <cell r="F135">
            <v>50</v>
          </cell>
          <cell r="G135" t="str">
            <v>16200-100</v>
          </cell>
          <cell r="H135">
            <v>2</v>
          </cell>
          <cell r="I135" t="str">
            <v>7150/5900</v>
          </cell>
        </row>
        <row r="136">
          <cell r="A136" t="str">
            <v>03980-026</v>
          </cell>
          <cell r="C136" t="str">
            <v>U-BOLT</v>
          </cell>
          <cell r="D136" t="str">
            <v>C S</v>
          </cell>
          <cell r="E136" t="str">
            <v>DN100</v>
          </cell>
          <cell r="G136" t="str">
            <v>16200-100</v>
          </cell>
          <cell r="H136">
            <v>1</v>
          </cell>
          <cell r="I136" t="str">
            <v>7150/5900</v>
          </cell>
        </row>
        <row r="137">
          <cell r="A137" t="str">
            <v>03980-026</v>
          </cell>
          <cell r="C137" t="str">
            <v>U-BOLT</v>
          </cell>
          <cell r="D137" t="str">
            <v>C S</v>
          </cell>
          <cell r="E137" t="str">
            <v>DN100</v>
          </cell>
          <cell r="G137" t="str">
            <v>16320-100</v>
          </cell>
          <cell r="H137">
            <v>1</v>
          </cell>
          <cell r="I137" t="str">
            <v>7150/5900</v>
          </cell>
        </row>
        <row r="139">
          <cell r="A139" t="str">
            <v>03980-027</v>
          </cell>
          <cell r="C139" t="str">
            <v>H-BEAM</v>
          </cell>
          <cell r="D139" t="str">
            <v>C S</v>
          </cell>
          <cell r="E139" t="str">
            <v>H100x100x6x8</v>
          </cell>
          <cell r="F139">
            <v>1385</v>
          </cell>
          <cell r="G139" t="str">
            <v>16100-100</v>
          </cell>
          <cell r="H139">
            <v>1</v>
          </cell>
          <cell r="I139" t="str">
            <v>7150/5900</v>
          </cell>
        </row>
        <row r="140">
          <cell r="A140" t="str">
            <v>03980-027</v>
          </cell>
          <cell r="C140" t="str">
            <v>CLIP ANGLE</v>
          </cell>
          <cell r="D140" t="str">
            <v>C S</v>
          </cell>
          <cell r="E140" t="str">
            <v>L75x75x9</v>
          </cell>
          <cell r="F140">
            <v>50</v>
          </cell>
          <cell r="G140" t="str">
            <v>16100-100</v>
          </cell>
          <cell r="H140">
            <v>2</v>
          </cell>
          <cell r="I140" t="str">
            <v>7150/5900</v>
          </cell>
        </row>
        <row r="142">
          <cell r="A142" t="str">
            <v>03980-028</v>
          </cell>
          <cell r="C142" t="str">
            <v>H-BEAM</v>
          </cell>
          <cell r="D142" t="str">
            <v>C S</v>
          </cell>
          <cell r="E142" t="str">
            <v>H100x100x6x8</v>
          </cell>
          <cell r="F142">
            <v>1385</v>
          </cell>
          <cell r="G142" t="str">
            <v>16100-150</v>
          </cell>
          <cell r="H142">
            <v>1</v>
          </cell>
          <cell r="I142" t="str">
            <v>7150/5900</v>
          </cell>
        </row>
        <row r="143">
          <cell r="A143" t="str">
            <v>03980-028</v>
          </cell>
          <cell r="C143" t="str">
            <v>CLIP ANGLE</v>
          </cell>
          <cell r="D143" t="str">
            <v>C S</v>
          </cell>
          <cell r="E143" t="str">
            <v>L75x75x9</v>
          </cell>
          <cell r="F143">
            <v>50</v>
          </cell>
          <cell r="G143" t="str">
            <v>16100-150</v>
          </cell>
          <cell r="H143">
            <v>2</v>
          </cell>
          <cell r="I143" t="str">
            <v>7150/5900</v>
          </cell>
        </row>
        <row r="144">
          <cell r="A144" t="str">
            <v>03980-028</v>
          </cell>
          <cell r="C144" t="str">
            <v>U-BOLT</v>
          </cell>
          <cell r="D144" t="str">
            <v>C S</v>
          </cell>
          <cell r="E144" t="str">
            <v>DN150</v>
          </cell>
          <cell r="G144" t="str">
            <v>16100-150</v>
          </cell>
          <cell r="H144">
            <v>1</v>
          </cell>
          <cell r="I144" t="str">
            <v>7150/5900</v>
          </cell>
        </row>
        <row r="145">
          <cell r="A145" t="str">
            <v>03980-028</v>
          </cell>
          <cell r="C145" t="str">
            <v>U-BOLT</v>
          </cell>
          <cell r="D145" t="str">
            <v>C S</v>
          </cell>
          <cell r="E145" t="str">
            <v>DN100</v>
          </cell>
          <cell r="G145" t="str">
            <v>16200-100</v>
          </cell>
          <cell r="H145">
            <v>1</v>
          </cell>
          <cell r="I145" t="str">
            <v>7150/5900</v>
          </cell>
        </row>
        <row r="146">
          <cell r="A146" t="str">
            <v>03980-028</v>
          </cell>
          <cell r="C146" t="str">
            <v>U-BOLT</v>
          </cell>
          <cell r="D146" t="str">
            <v>C S</v>
          </cell>
          <cell r="E146" t="str">
            <v>DN100</v>
          </cell>
          <cell r="G146" t="str">
            <v>16100-100</v>
          </cell>
          <cell r="H146">
            <v>1</v>
          </cell>
          <cell r="I146" t="str">
            <v>7150/5900</v>
          </cell>
        </row>
        <row r="148">
          <cell r="A148" t="str">
            <v>03980-029</v>
          </cell>
          <cell r="C148" t="str">
            <v>H-BEAM</v>
          </cell>
          <cell r="D148" t="str">
            <v>C S</v>
          </cell>
          <cell r="E148" t="str">
            <v>H100x100x6x8</v>
          </cell>
          <cell r="F148">
            <v>1780</v>
          </cell>
          <cell r="G148" t="str">
            <v>16100-150</v>
          </cell>
          <cell r="H148">
            <v>1</v>
          </cell>
          <cell r="I148" t="str">
            <v>7150/5900</v>
          </cell>
        </row>
        <row r="149">
          <cell r="A149" t="str">
            <v>03980-029</v>
          </cell>
          <cell r="C149" t="str">
            <v>CLIP ANGLE</v>
          </cell>
          <cell r="D149" t="str">
            <v>C S</v>
          </cell>
          <cell r="E149" t="str">
            <v>L75x75x9</v>
          </cell>
          <cell r="F149">
            <v>50</v>
          </cell>
          <cell r="G149" t="str">
            <v>16100-150</v>
          </cell>
          <cell r="H149">
            <v>2</v>
          </cell>
          <cell r="I149" t="str">
            <v>7150/5900</v>
          </cell>
        </row>
        <row r="151">
          <cell r="A151" t="str">
            <v>03980-030</v>
          </cell>
          <cell r="C151" t="str">
            <v>H-BEAM</v>
          </cell>
          <cell r="D151" t="str">
            <v>C S</v>
          </cell>
          <cell r="E151" t="str">
            <v>H100x100x6x8</v>
          </cell>
          <cell r="F151">
            <v>1385</v>
          </cell>
          <cell r="G151" t="str">
            <v>16200-100</v>
          </cell>
          <cell r="H151">
            <v>1</v>
          </cell>
          <cell r="I151" t="str">
            <v>7150/5900</v>
          </cell>
        </row>
        <row r="152">
          <cell r="A152" t="str">
            <v>03980-030</v>
          </cell>
          <cell r="C152" t="str">
            <v>CLIP ANGLE</v>
          </cell>
          <cell r="D152" t="str">
            <v>C S</v>
          </cell>
          <cell r="E152" t="str">
            <v>L75x75x9</v>
          </cell>
          <cell r="F152">
            <v>50</v>
          </cell>
          <cell r="G152" t="str">
            <v>16200-100</v>
          </cell>
          <cell r="H152">
            <v>2</v>
          </cell>
          <cell r="I152" t="str">
            <v>7150/5900</v>
          </cell>
        </row>
        <row r="154">
          <cell r="A154" t="str">
            <v>03980-031</v>
          </cell>
          <cell r="C154" t="str">
            <v>H-BEAM</v>
          </cell>
          <cell r="D154" t="str">
            <v>C S</v>
          </cell>
          <cell r="E154" t="str">
            <v>H100x100x6x8</v>
          </cell>
          <cell r="F154">
            <v>700</v>
          </cell>
          <cell r="G154" t="str">
            <v>16200-100</v>
          </cell>
          <cell r="H154">
            <v>1</v>
          </cell>
          <cell r="I154" t="str">
            <v>7150/5900</v>
          </cell>
        </row>
        <row r="156">
          <cell r="A156" t="str">
            <v>03980-032</v>
          </cell>
          <cell r="C156" t="str">
            <v>U-BOLT</v>
          </cell>
          <cell r="D156" t="str">
            <v>C S</v>
          </cell>
          <cell r="E156" t="str">
            <v>DN100</v>
          </cell>
          <cell r="G156" t="str">
            <v>16320-100</v>
          </cell>
          <cell r="H156">
            <v>1</v>
          </cell>
          <cell r="I156" t="str">
            <v>7150/5900</v>
          </cell>
        </row>
        <row r="157">
          <cell r="A157" t="str">
            <v>03980-032</v>
          </cell>
          <cell r="C157" t="str">
            <v>ANGLE</v>
          </cell>
          <cell r="D157" t="str">
            <v>C S</v>
          </cell>
          <cell r="E157" t="str">
            <v>L75x75x9</v>
          </cell>
          <cell r="F157">
            <v>527</v>
          </cell>
          <cell r="G157" t="str">
            <v>16320-100</v>
          </cell>
          <cell r="H157">
            <v>1</v>
          </cell>
          <cell r="I157" t="str">
            <v>7150/5900</v>
          </cell>
        </row>
        <row r="158">
          <cell r="A158" t="str">
            <v>03980-032</v>
          </cell>
          <cell r="C158" t="str">
            <v>PLATE</v>
          </cell>
          <cell r="D158" t="str">
            <v>C S</v>
          </cell>
          <cell r="E158" t="str">
            <v>PL200x200x12t</v>
          </cell>
          <cell r="G158" t="str">
            <v>16320-100</v>
          </cell>
          <cell r="H158">
            <v>1</v>
          </cell>
          <cell r="I158" t="str">
            <v>7150/5900</v>
          </cell>
        </row>
        <row r="159">
          <cell r="A159" t="str">
            <v>03980-032</v>
          </cell>
          <cell r="C159" t="str">
            <v>ANCHOR BOLT</v>
          </cell>
          <cell r="D159" t="str">
            <v>C S</v>
          </cell>
          <cell r="E159" t="str">
            <v>M12x155L</v>
          </cell>
          <cell r="G159" t="str">
            <v>16320-100</v>
          </cell>
          <cell r="H159">
            <v>4</v>
          </cell>
          <cell r="I159" t="str">
            <v>7150/5900</v>
          </cell>
        </row>
        <row r="161">
          <cell r="A161" t="str">
            <v>03980-033</v>
          </cell>
          <cell r="C161" t="str">
            <v>CHANNEL</v>
          </cell>
          <cell r="D161" t="str">
            <v>C S</v>
          </cell>
          <cell r="E161" t="str">
            <v>C100x50x5x7.5</v>
          </cell>
          <cell r="F161">
            <v>500</v>
          </cell>
          <cell r="G161" t="str">
            <v>16200- 80</v>
          </cell>
          <cell r="H161">
            <v>1</v>
          </cell>
        </row>
        <row r="162">
          <cell r="A162" t="str">
            <v>03980-033</v>
          </cell>
          <cell r="C162" t="str">
            <v>3-BOLT PIPE CLAMP</v>
          </cell>
          <cell r="D162" t="str">
            <v>C S</v>
          </cell>
          <cell r="E162" t="str">
            <v>DN 80</v>
          </cell>
          <cell r="G162" t="str">
            <v>16200- 80</v>
          </cell>
          <cell r="H162">
            <v>1</v>
          </cell>
          <cell r="I162" t="str">
            <v>7150/5900</v>
          </cell>
        </row>
        <row r="163">
          <cell r="A163" t="str">
            <v>03980-033</v>
          </cell>
          <cell r="C163" t="str">
            <v>WEL'D BEAM ATTACH.</v>
          </cell>
          <cell r="D163" t="str">
            <v>C S</v>
          </cell>
          <cell r="E163" t="str">
            <v>M12</v>
          </cell>
          <cell r="G163" t="str">
            <v>16200- 80</v>
          </cell>
          <cell r="H163">
            <v>1</v>
          </cell>
          <cell r="I163" t="str">
            <v>7150/5900</v>
          </cell>
        </row>
        <row r="164">
          <cell r="A164" t="str">
            <v>03980-033</v>
          </cell>
          <cell r="C164" t="str">
            <v>EYE NUT</v>
          </cell>
          <cell r="D164" t="str">
            <v>C S</v>
          </cell>
          <cell r="E164" t="str">
            <v>M12</v>
          </cell>
          <cell r="G164" t="str">
            <v>16200- 80</v>
          </cell>
          <cell r="H164">
            <v>2</v>
          </cell>
          <cell r="I164" t="str">
            <v>7150/5900</v>
          </cell>
        </row>
        <row r="165">
          <cell r="A165" t="str">
            <v>03980-033</v>
          </cell>
          <cell r="C165" t="str">
            <v>THR'D ROD</v>
          </cell>
          <cell r="D165" t="str">
            <v>C S</v>
          </cell>
          <cell r="E165" t="str">
            <v>M12</v>
          </cell>
          <cell r="F165">
            <v>360</v>
          </cell>
          <cell r="G165" t="str">
            <v>16200- 80</v>
          </cell>
          <cell r="H165">
            <v>1</v>
          </cell>
          <cell r="I165" t="str">
            <v>7150/5900</v>
          </cell>
        </row>
        <row r="166">
          <cell r="A166" t="str">
            <v>03980-033</v>
          </cell>
          <cell r="C166" t="str">
            <v>PLATE</v>
          </cell>
          <cell r="D166" t="str">
            <v>C S</v>
          </cell>
          <cell r="E166" t="str">
            <v>PL200x200x12t</v>
          </cell>
          <cell r="G166" t="str">
            <v>16200- 80</v>
          </cell>
          <cell r="H166">
            <v>1</v>
          </cell>
          <cell r="I166" t="str">
            <v>7150/5900</v>
          </cell>
        </row>
        <row r="167">
          <cell r="A167" t="str">
            <v>03980-033</v>
          </cell>
          <cell r="C167" t="str">
            <v>ANCHOR BOLT</v>
          </cell>
          <cell r="D167" t="str">
            <v>C S</v>
          </cell>
          <cell r="E167" t="str">
            <v>M12x155L</v>
          </cell>
          <cell r="G167" t="str">
            <v>16200- 80</v>
          </cell>
          <cell r="H167">
            <v>4</v>
          </cell>
          <cell r="I167" t="str">
            <v>7150/5900</v>
          </cell>
        </row>
        <row r="169">
          <cell r="A169" t="str">
            <v>03980-034</v>
          </cell>
          <cell r="C169" t="str">
            <v>U-BOLT</v>
          </cell>
          <cell r="D169" t="str">
            <v>C S</v>
          </cell>
          <cell r="E169" t="str">
            <v>DN100</v>
          </cell>
          <cell r="G169" t="str">
            <v>16320-100</v>
          </cell>
          <cell r="H169">
            <v>1</v>
          </cell>
          <cell r="I169" t="str">
            <v>7150/5900</v>
          </cell>
        </row>
        <row r="170">
          <cell r="A170" t="str">
            <v>03980-034</v>
          </cell>
          <cell r="C170" t="str">
            <v>ANGLE</v>
          </cell>
          <cell r="D170" t="str">
            <v>C S</v>
          </cell>
          <cell r="E170" t="str">
            <v>L75x75x9</v>
          </cell>
          <cell r="F170">
            <v>514</v>
          </cell>
          <cell r="G170" t="str">
            <v>16320-100</v>
          </cell>
          <cell r="H170">
            <v>1</v>
          </cell>
          <cell r="I170" t="str">
            <v>7150/5900</v>
          </cell>
        </row>
        <row r="171">
          <cell r="A171" t="str">
            <v>03980-034</v>
          </cell>
          <cell r="C171" t="str">
            <v>PLATE</v>
          </cell>
          <cell r="D171" t="str">
            <v>C S</v>
          </cell>
          <cell r="E171" t="str">
            <v>PL200x200x12t</v>
          </cell>
          <cell r="G171" t="str">
            <v>16320-100</v>
          </cell>
          <cell r="H171">
            <v>1</v>
          </cell>
          <cell r="I171" t="str">
            <v>7150/5900</v>
          </cell>
        </row>
        <row r="172">
          <cell r="A172" t="str">
            <v>03980-034</v>
          </cell>
          <cell r="C172" t="str">
            <v>ANCHOR BOLT</v>
          </cell>
          <cell r="D172" t="str">
            <v>C S</v>
          </cell>
          <cell r="E172" t="str">
            <v>M12x155L</v>
          </cell>
          <cell r="G172" t="str">
            <v>16320-100</v>
          </cell>
          <cell r="H172">
            <v>4</v>
          </cell>
          <cell r="I172" t="str">
            <v>7150/5900</v>
          </cell>
        </row>
        <row r="174">
          <cell r="A174" t="str">
            <v>03980-035</v>
          </cell>
          <cell r="C174" t="str">
            <v>H-BEAM</v>
          </cell>
          <cell r="D174" t="str">
            <v>C S</v>
          </cell>
          <cell r="E174" t="str">
            <v>H100x100x6x8</v>
          </cell>
          <cell r="F174">
            <v>462</v>
          </cell>
          <cell r="G174" t="str">
            <v>16100-150</v>
          </cell>
          <cell r="H174">
            <v>1</v>
          </cell>
          <cell r="I174" t="str">
            <v>7150/5900</v>
          </cell>
        </row>
        <row r="175">
          <cell r="A175" t="str">
            <v>03980-035</v>
          </cell>
          <cell r="C175" t="str">
            <v>ANGLE</v>
          </cell>
          <cell r="D175" t="str">
            <v>C S</v>
          </cell>
          <cell r="E175" t="str">
            <v>L75x75x9</v>
          </cell>
          <cell r="F175">
            <v>330</v>
          </cell>
          <cell r="G175" t="str">
            <v>16100-150</v>
          </cell>
          <cell r="H175">
            <v>1</v>
          </cell>
          <cell r="I175" t="str">
            <v>7150/5900</v>
          </cell>
        </row>
        <row r="176">
          <cell r="A176" t="str">
            <v>03980-035</v>
          </cell>
          <cell r="C176" t="str">
            <v>PLATE</v>
          </cell>
          <cell r="D176" t="str">
            <v>C S</v>
          </cell>
          <cell r="E176" t="str">
            <v>PL200x200x12t</v>
          </cell>
          <cell r="G176" t="str">
            <v>16100-150</v>
          </cell>
          <cell r="H176">
            <v>1</v>
          </cell>
          <cell r="I176" t="str">
            <v>7150/5900</v>
          </cell>
        </row>
        <row r="177">
          <cell r="A177" t="str">
            <v>03980-035</v>
          </cell>
          <cell r="C177" t="str">
            <v>ANCHOR BOLT</v>
          </cell>
          <cell r="D177" t="str">
            <v>C S</v>
          </cell>
          <cell r="E177" t="str">
            <v>M16x177L</v>
          </cell>
          <cell r="G177" t="str">
            <v>16100-150</v>
          </cell>
          <cell r="H177">
            <v>4</v>
          </cell>
          <cell r="I177" t="str">
            <v>7150/5900</v>
          </cell>
        </row>
        <row r="178">
          <cell r="A178" t="str">
            <v>03980-035</v>
          </cell>
          <cell r="C178" t="str">
            <v>U-BOLT</v>
          </cell>
          <cell r="D178" t="str">
            <v>C S</v>
          </cell>
          <cell r="E178" t="str">
            <v>DN150</v>
          </cell>
          <cell r="G178" t="str">
            <v>16100-150</v>
          </cell>
          <cell r="H178">
            <v>1</v>
          </cell>
          <cell r="I178" t="str">
            <v>7150/5900</v>
          </cell>
        </row>
        <row r="180">
          <cell r="A180" t="str">
            <v>03980-036</v>
          </cell>
          <cell r="C180" t="str">
            <v>CHANNEL</v>
          </cell>
          <cell r="D180" t="str">
            <v>C S</v>
          </cell>
          <cell r="E180" t="str">
            <v>C100x50x5x7.5</v>
          </cell>
          <cell r="F180">
            <v>450</v>
          </cell>
          <cell r="G180" t="str">
            <v>16320- 80</v>
          </cell>
          <cell r="H180">
            <v>1</v>
          </cell>
        </row>
        <row r="181">
          <cell r="A181" t="str">
            <v>03980-036</v>
          </cell>
          <cell r="C181" t="str">
            <v>3-BOLT PIPE CLAMP</v>
          </cell>
          <cell r="D181" t="str">
            <v>C S</v>
          </cell>
          <cell r="E181" t="str">
            <v>DN 80</v>
          </cell>
          <cell r="G181" t="str">
            <v>16320- 80</v>
          </cell>
          <cell r="H181">
            <v>1</v>
          </cell>
          <cell r="I181" t="str">
            <v>7150/5900</v>
          </cell>
        </row>
        <row r="182">
          <cell r="A182" t="str">
            <v>03980-036</v>
          </cell>
          <cell r="C182" t="str">
            <v>WEL'D BEAM ATTACH.</v>
          </cell>
          <cell r="D182" t="str">
            <v>C S</v>
          </cell>
          <cell r="E182" t="str">
            <v>M12</v>
          </cell>
          <cell r="G182" t="str">
            <v>16320- 80</v>
          </cell>
          <cell r="H182">
            <v>1</v>
          </cell>
          <cell r="I182" t="str">
            <v>7150/5900</v>
          </cell>
        </row>
        <row r="183">
          <cell r="A183" t="str">
            <v>03980-036</v>
          </cell>
          <cell r="C183" t="str">
            <v>EYE NUT</v>
          </cell>
          <cell r="D183" t="str">
            <v>C S</v>
          </cell>
          <cell r="E183" t="str">
            <v>M12</v>
          </cell>
          <cell r="G183" t="str">
            <v>16320- 80</v>
          </cell>
          <cell r="H183">
            <v>2</v>
          </cell>
          <cell r="I183" t="str">
            <v>7150/5900</v>
          </cell>
        </row>
        <row r="184">
          <cell r="A184" t="str">
            <v>03980-036</v>
          </cell>
          <cell r="C184" t="str">
            <v>THR'D ROD</v>
          </cell>
          <cell r="D184" t="str">
            <v>C S</v>
          </cell>
          <cell r="E184" t="str">
            <v>M12</v>
          </cell>
          <cell r="F184">
            <v>1161</v>
          </cell>
          <cell r="G184" t="str">
            <v>16320- 80</v>
          </cell>
          <cell r="H184">
            <v>1</v>
          </cell>
          <cell r="I184" t="str">
            <v>7150/5900</v>
          </cell>
        </row>
        <row r="186">
          <cell r="A186" t="str">
            <v>03980-037</v>
          </cell>
          <cell r="C186" t="str">
            <v>H-BEAM</v>
          </cell>
          <cell r="D186" t="str">
            <v>C S</v>
          </cell>
          <cell r="E186" t="str">
            <v>H100x100x6x8</v>
          </cell>
          <cell r="F186">
            <v>284</v>
          </cell>
          <cell r="G186" t="str">
            <v>16320- 80</v>
          </cell>
          <cell r="H186">
            <v>1</v>
          </cell>
          <cell r="I186" t="str">
            <v>7150/5900</v>
          </cell>
        </row>
        <row r="187">
          <cell r="A187" t="str">
            <v>03980-037</v>
          </cell>
          <cell r="C187" t="str">
            <v>ANGLE</v>
          </cell>
          <cell r="D187" t="str">
            <v>C S</v>
          </cell>
          <cell r="E187" t="str">
            <v>L75x75x9</v>
          </cell>
          <cell r="F187">
            <v>225</v>
          </cell>
          <cell r="G187" t="str">
            <v>16320- 80</v>
          </cell>
          <cell r="H187">
            <v>1</v>
          </cell>
          <cell r="I187" t="str">
            <v>7150/5900</v>
          </cell>
        </row>
        <row r="188">
          <cell r="A188" t="str">
            <v>03980-037</v>
          </cell>
          <cell r="C188" t="str">
            <v>U-BOLT</v>
          </cell>
          <cell r="D188" t="str">
            <v>C S</v>
          </cell>
          <cell r="E188" t="str">
            <v>DN 80</v>
          </cell>
          <cell r="G188" t="str">
            <v>16320- 80</v>
          </cell>
          <cell r="H188">
            <v>1</v>
          </cell>
          <cell r="I188" t="str">
            <v>7150/5900</v>
          </cell>
        </row>
        <row r="189">
          <cell r="A189" t="str">
            <v>03980-037</v>
          </cell>
          <cell r="C189" t="str">
            <v>PLATE</v>
          </cell>
          <cell r="D189" t="str">
            <v>C S</v>
          </cell>
          <cell r="E189" t="str">
            <v>PL200x200x12t</v>
          </cell>
          <cell r="G189" t="str">
            <v>16320- 80</v>
          </cell>
          <cell r="H189">
            <v>1</v>
          </cell>
          <cell r="I189" t="str">
            <v>7150/5900</v>
          </cell>
        </row>
        <row r="190">
          <cell r="A190" t="str">
            <v>03980-037</v>
          </cell>
          <cell r="C190" t="str">
            <v>ANCHOR BOLT</v>
          </cell>
          <cell r="D190" t="str">
            <v>C S</v>
          </cell>
          <cell r="E190" t="str">
            <v>M12x155L</v>
          </cell>
          <cell r="G190" t="str">
            <v>16320- 80</v>
          </cell>
          <cell r="H190">
            <v>4</v>
          </cell>
          <cell r="I190" t="str">
            <v>7150/5900</v>
          </cell>
        </row>
        <row r="192">
          <cell r="A192" t="str">
            <v>03980-038</v>
          </cell>
          <cell r="C192" t="str">
            <v>ANGLE</v>
          </cell>
          <cell r="D192" t="str">
            <v>C S</v>
          </cell>
          <cell r="E192" t="str">
            <v>L75x75x9</v>
          </cell>
          <cell r="F192">
            <v>284</v>
          </cell>
          <cell r="G192" t="str">
            <v>16320- 80</v>
          </cell>
          <cell r="H192">
            <v>1</v>
          </cell>
          <cell r="I192" t="str">
            <v>7150/5900</v>
          </cell>
        </row>
        <row r="193">
          <cell r="A193" t="str">
            <v>03980-038</v>
          </cell>
          <cell r="C193" t="str">
            <v>U-BOLT</v>
          </cell>
          <cell r="D193" t="str">
            <v>C S</v>
          </cell>
          <cell r="E193" t="str">
            <v>DN 80</v>
          </cell>
          <cell r="G193" t="str">
            <v>16320- 80</v>
          </cell>
          <cell r="H193">
            <v>1</v>
          </cell>
          <cell r="I193" t="str">
            <v>7150/5900</v>
          </cell>
        </row>
        <row r="194">
          <cell r="A194" t="str">
            <v>03980-038</v>
          </cell>
          <cell r="C194" t="str">
            <v>PLATE</v>
          </cell>
          <cell r="D194" t="str">
            <v>C S</v>
          </cell>
          <cell r="E194" t="str">
            <v>PL200x100x12t</v>
          </cell>
          <cell r="G194" t="str">
            <v>16320- 80</v>
          </cell>
          <cell r="H194">
            <v>1</v>
          </cell>
          <cell r="I194" t="str">
            <v>7150/5900</v>
          </cell>
        </row>
        <row r="195">
          <cell r="A195" t="str">
            <v>03980-038</v>
          </cell>
          <cell r="C195" t="str">
            <v>ANCHOR BOLT</v>
          </cell>
          <cell r="D195" t="str">
            <v>C S</v>
          </cell>
          <cell r="E195" t="str">
            <v>M12x155L</v>
          </cell>
          <cell r="G195" t="str">
            <v>16320- 80</v>
          </cell>
          <cell r="H195">
            <v>2</v>
          </cell>
          <cell r="I195" t="str">
            <v>7150/5900</v>
          </cell>
        </row>
      </sheetData>
      <sheetData sheetId="5"/>
      <sheetData sheetId="6"/>
      <sheetData sheetId="7" refreshError="1"/>
      <sheetData sheetId="8"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Cover Sheet"/>
      <sheetName val="Content"/>
      <sheetName val="Project Outline"/>
      <sheetName val="주요공사"/>
      <sheetName val="Contractual Amount"/>
      <sheetName val="시헹예산"/>
      <sheetName val="TENDER vs BUDGET"/>
      <sheetName val="직영 vs 하청 - 2"/>
      <sheetName val="96 당초Schedule"/>
      <sheetName val="96 Performance"/>
      <sheetName val="소화-투입 분석표"/>
      <sheetName val="STF ORG(K)"/>
      <sheetName val="Staff Org. Chart"/>
      <sheetName val="Scope of Work"/>
      <sheetName val="Design Status"/>
      <sheetName val="DWG Status"/>
      <sheetName val="MAT'L Status"/>
      <sheetName val="장비동원"/>
      <sheetName val="근로자동원"/>
      <sheetName val="Install Status"/>
      <sheetName val="Staff Mob. Plan"/>
      <sheetName val="M.P Mob. Plan"/>
      <sheetName val="Eq. Mobiliz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Unit_Rate"/>
      <sheetName val="160MVA_Addl"/>
      <sheetName val="220KV_FB"/>
      <sheetName val="315MVA_Addl"/>
      <sheetName val="Addl_401"/>
      <sheetName val="Addl_20"/>
      <sheetName val="Addl_6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8">
          <cell r="A38" t="str">
            <v xml:space="preserve">ESTIMATE FOR INSTALLATION OF ADDITIONAL 1X40MVA 132/33KV TRANSFORMER AT EXISTING EHV SUBSTATION </v>
          </cell>
        </row>
        <row r="40">
          <cell r="A40" t="str">
            <v>SCHEDULE</v>
          </cell>
        </row>
        <row r="42">
          <cell r="A42" t="str">
            <v>TOTAL NO. OF LOCATIONS</v>
          </cell>
          <cell r="C42">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6">
          <cell r="A46" t="str">
            <v>(A)</v>
          </cell>
          <cell r="B46"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2">
          <cell r="B62" t="str">
            <v>SUB TOTAL (A)</v>
          </cell>
          <cell r="C62" t="str">
            <v/>
          </cell>
          <cell r="E62">
            <v>0</v>
          </cell>
          <cell r="G62">
            <v>0</v>
          </cell>
          <cell r="I62">
            <v>0</v>
          </cell>
        </row>
        <row r="64">
          <cell r="A64" t="str">
            <v>(B)</v>
          </cell>
          <cell r="B64"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80">
          <cell r="B80" t="str">
            <v>SUB TOTAL (B)</v>
          </cell>
          <cell r="E80">
            <v>18.909721452513967</v>
          </cell>
          <cell r="G80">
            <v>1.801389441340782</v>
          </cell>
          <cell r="I80">
            <v>20.711110893854752</v>
          </cell>
        </row>
        <row r="82">
          <cell r="A82" t="str">
            <v>(C)</v>
          </cell>
          <cell r="B82"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6">
          <cell r="B96" t="str">
            <v>SUB TOTAL (C)</v>
          </cell>
          <cell r="E96">
            <v>5.0827799999999996</v>
          </cell>
          <cell r="G96">
            <v>0.37859999999999994</v>
          </cell>
          <cell r="I96">
            <v>5.4613800000000001</v>
          </cell>
        </row>
        <row r="98">
          <cell r="A98" t="str">
            <v>(D)</v>
          </cell>
          <cell r="B98" t="str">
            <v>TRANSFORMER &amp; ASSOCIATED EQUIP.</v>
          </cell>
        </row>
        <row r="100">
          <cell r="A100">
            <v>1</v>
          </cell>
          <cell r="B100" t="str">
            <v>160MVA 220/132KV Xmer(with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5">
          <cell r="B105" t="str">
            <v>SUB TOTAL (D)</v>
          </cell>
          <cell r="E105">
            <v>126.63249344262296</v>
          </cell>
          <cell r="G105">
            <v>8.816557377049179</v>
          </cell>
          <cell r="I105">
            <v>135.44905081967212</v>
          </cell>
        </row>
        <row r="107">
          <cell r="A107" t="str">
            <v>(E)</v>
          </cell>
          <cell r="B107" t="str">
            <v xml:space="preserve">220KV &amp;132KV Carrier Comm.Equip.including provision for </v>
          </cell>
        </row>
        <row r="108">
          <cell r="B108"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2">
          <cell r="B122" t="str">
            <v>SUB TOTAL (E)</v>
          </cell>
          <cell r="E122">
            <v>0</v>
          </cell>
          <cell r="G122">
            <v>0</v>
          </cell>
          <cell r="I122">
            <v>0</v>
          </cell>
        </row>
        <row r="124">
          <cell r="A124" t="str">
            <v>(F-I)</v>
          </cell>
          <cell r="B124" t="str">
            <v>220KV Structures</v>
          </cell>
          <cell r="C124"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7">
          <cell r="B137" t="str">
            <v>SUB TOTAL (F-I)</v>
          </cell>
          <cell r="E137">
            <v>0</v>
          </cell>
        </row>
        <row r="139">
          <cell r="A139" t="str">
            <v>(F-II)</v>
          </cell>
          <cell r="B139"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2">
          <cell r="B152" t="str">
            <v>SUB TOTAL (F-II)</v>
          </cell>
          <cell r="E152">
            <v>18.798999999999999</v>
          </cell>
        </row>
        <row r="154">
          <cell r="A154" t="str">
            <v>(F-III)</v>
          </cell>
          <cell r="B154"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6">
          <cell r="B166" t="str">
            <v>SUB TOTAL (F-III)</v>
          </cell>
          <cell r="E166">
            <v>3.7690000000000001</v>
          </cell>
        </row>
        <row r="167">
          <cell r="G167" t="str">
            <v>LS</v>
          </cell>
        </row>
        <row r="168">
          <cell r="B168" t="str">
            <v>SUB TOTAL F(I)+F(II)+F(III)</v>
          </cell>
          <cell r="E168">
            <v>22.567999999999998</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2">
          <cell r="A172" t="str">
            <v>G</v>
          </cell>
          <cell r="B172" t="str">
            <v>BUSBAR, EARTHING MATERIAL</v>
          </cell>
          <cell r="I172" t="str">
            <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G178">
            <v>0</v>
          </cell>
          <cell r="H178" t="str">
            <v>LS</v>
          </cell>
          <cell r="I178">
            <v>0.2</v>
          </cell>
        </row>
        <row r="179">
          <cell r="A179">
            <v>6</v>
          </cell>
          <cell r="B179" t="str">
            <v>Junction Box etc. &amp; Misc.expendtirues</v>
          </cell>
          <cell r="C179" t="str">
            <v>LS</v>
          </cell>
          <cell r="D179">
            <v>0.5</v>
          </cell>
          <cell r="E179">
            <v>0.5</v>
          </cell>
          <cell r="G179">
            <v>0</v>
          </cell>
          <cell r="H179" t="str">
            <v>LS</v>
          </cell>
          <cell r="I179">
            <v>0.5</v>
          </cell>
        </row>
        <row r="180">
          <cell r="A180">
            <v>7</v>
          </cell>
          <cell r="B180" t="str">
            <v>Fire fighting equipments</v>
          </cell>
          <cell r="C180" t="str">
            <v>LS</v>
          </cell>
          <cell r="E180">
            <v>0</v>
          </cell>
          <cell r="F180">
            <v>0</v>
          </cell>
          <cell r="G180">
            <v>0</v>
          </cell>
          <cell r="H180" t="str">
            <v>LS</v>
          </cell>
          <cell r="I180">
            <v>0</v>
          </cell>
        </row>
        <row r="181">
          <cell r="A181">
            <v>8</v>
          </cell>
          <cell r="B181" t="str">
            <v>Aluminium/Red Oxide Paint and Nut,Bolt,Washers &amp; other misc. material</v>
          </cell>
          <cell r="C181" t="str">
            <v>LS</v>
          </cell>
          <cell r="E181">
            <v>0</v>
          </cell>
          <cell r="F181">
            <v>0.1</v>
          </cell>
          <cell r="G181">
            <v>0.1</v>
          </cell>
          <cell r="H181" t="str">
            <v>LS</v>
          </cell>
          <cell r="I181">
            <v>0.1</v>
          </cell>
        </row>
        <row r="183">
          <cell r="B183" t="str">
            <v>SUB TOTAL (G)</v>
          </cell>
          <cell r="E183">
            <v>3.4125500000000004</v>
          </cell>
          <cell r="G183">
            <v>0.26250000000000001</v>
          </cell>
          <cell r="I183">
            <v>3.6750500000000001</v>
          </cell>
        </row>
        <row r="185">
          <cell r="A185" t="str">
            <v>H</v>
          </cell>
          <cell r="B185" t="str">
            <v>AC/DC SUPPLY</v>
          </cell>
          <cell r="I185" t="str">
            <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E192">
            <v>0</v>
          </cell>
          <cell r="F192">
            <v>1.25</v>
          </cell>
          <cell r="G192">
            <v>0</v>
          </cell>
          <cell r="H192">
            <v>1.25</v>
          </cell>
          <cell r="I192">
            <v>0</v>
          </cell>
        </row>
        <row r="193">
          <cell r="A193">
            <v>7</v>
          </cell>
          <cell r="B193" t="str">
            <v>Arrangement of Lighting in S/s</v>
          </cell>
          <cell r="C193" t="str">
            <v>LS</v>
          </cell>
          <cell r="E193">
            <v>0</v>
          </cell>
          <cell r="F193">
            <v>0</v>
          </cell>
          <cell r="G193">
            <v>0</v>
          </cell>
          <cell r="H193" t="str">
            <v>LS</v>
          </cell>
          <cell r="I193">
            <v>0</v>
          </cell>
        </row>
        <row r="195">
          <cell r="B195" t="str">
            <v>SUB TOTAL (H)</v>
          </cell>
          <cell r="E195">
            <v>0</v>
          </cell>
          <cell r="G195">
            <v>0</v>
          </cell>
          <cell r="I195">
            <v>0</v>
          </cell>
        </row>
        <row r="197">
          <cell r="A197" t="str">
            <v>I</v>
          </cell>
          <cell r="B197" t="str">
            <v>CIVIL WORKS</v>
          </cell>
          <cell r="I197" t="str">
            <v/>
          </cell>
        </row>
        <row r="198">
          <cell r="A198" t="str">
            <v/>
          </cell>
          <cell r="B198" t="str">
            <v xml:space="preserve">Foundation work of </v>
          </cell>
          <cell r="I198" t="str">
            <v/>
          </cell>
        </row>
        <row r="200">
          <cell r="A200">
            <v>1</v>
          </cell>
          <cell r="B200" t="str">
            <v>Gantry Column(AGT)</v>
          </cell>
          <cell r="C200">
            <v>0</v>
          </cell>
          <cell r="E200">
            <v>0</v>
          </cell>
          <cell r="F200">
            <v>0.28000000000000003</v>
          </cell>
          <cell r="G200">
            <v>0</v>
          </cell>
          <cell r="H200">
            <v>0.28000000000000003</v>
          </cell>
          <cell r="I200">
            <v>0</v>
          </cell>
        </row>
        <row r="201">
          <cell r="A201">
            <v>2</v>
          </cell>
          <cell r="B201" t="str">
            <v>Gantry Column(AAGT)</v>
          </cell>
          <cell r="C201">
            <v>0</v>
          </cell>
          <cell r="E201">
            <v>0</v>
          </cell>
          <cell r="F201">
            <v>0.28000000000000003</v>
          </cell>
          <cell r="G201">
            <v>0</v>
          </cell>
          <cell r="H201">
            <v>0.28000000000000003</v>
          </cell>
          <cell r="I201">
            <v>0</v>
          </cell>
        </row>
        <row r="202">
          <cell r="A202">
            <v>3</v>
          </cell>
          <cell r="B202" t="str">
            <v>220KV Main Busbar</v>
          </cell>
          <cell r="C202">
            <v>0</v>
          </cell>
          <cell r="E202">
            <v>0</v>
          </cell>
          <cell r="F202">
            <v>0.191</v>
          </cell>
          <cell r="G202">
            <v>0</v>
          </cell>
          <cell r="H202">
            <v>0.191</v>
          </cell>
          <cell r="I202">
            <v>0</v>
          </cell>
        </row>
        <row r="203">
          <cell r="A203">
            <v>4</v>
          </cell>
          <cell r="B203" t="str">
            <v xml:space="preserve">220KV Aux.Busbar </v>
          </cell>
          <cell r="C203">
            <v>0</v>
          </cell>
          <cell r="E203">
            <v>0</v>
          </cell>
          <cell r="F203">
            <v>0.21</v>
          </cell>
          <cell r="G203">
            <v>0</v>
          </cell>
          <cell r="H203">
            <v>0.21</v>
          </cell>
          <cell r="I203">
            <v>0</v>
          </cell>
        </row>
        <row r="204">
          <cell r="A204">
            <v>5</v>
          </cell>
          <cell r="B204" t="str">
            <v>220KV Isolator</v>
          </cell>
          <cell r="C204">
            <v>0</v>
          </cell>
          <cell r="E204">
            <v>0</v>
          </cell>
          <cell r="F204">
            <v>0.16500000000000001</v>
          </cell>
          <cell r="G204">
            <v>0</v>
          </cell>
          <cell r="H204">
            <v>0.16500000000000001</v>
          </cell>
          <cell r="I204">
            <v>0</v>
          </cell>
        </row>
        <row r="205">
          <cell r="A205">
            <v>6</v>
          </cell>
          <cell r="B205" t="str">
            <v>220KV CB</v>
          </cell>
          <cell r="C205">
            <v>0</v>
          </cell>
          <cell r="E205">
            <v>0</v>
          </cell>
          <cell r="F205">
            <v>0.311</v>
          </cell>
          <cell r="G205">
            <v>0</v>
          </cell>
          <cell r="H205">
            <v>0.311</v>
          </cell>
          <cell r="I205">
            <v>0</v>
          </cell>
        </row>
        <row r="206">
          <cell r="A206">
            <v>7</v>
          </cell>
          <cell r="B206" t="str">
            <v>220KV CT</v>
          </cell>
          <cell r="C206">
            <v>0</v>
          </cell>
          <cell r="E206">
            <v>0</v>
          </cell>
          <cell r="F206">
            <v>0.05</v>
          </cell>
          <cell r="G206">
            <v>0</v>
          </cell>
          <cell r="H206">
            <v>0.05</v>
          </cell>
          <cell r="I206">
            <v>0</v>
          </cell>
        </row>
        <row r="207">
          <cell r="A207">
            <v>8</v>
          </cell>
          <cell r="B207" t="str">
            <v>220KV CVT/PT</v>
          </cell>
          <cell r="C207">
            <v>0</v>
          </cell>
          <cell r="E207">
            <v>0</v>
          </cell>
          <cell r="F207">
            <v>0.05</v>
          </cell>
          <cell r="G207">
            <v>0</v>
          </cell>
          <cell r="H207">
            <v>0.05</v>
          </cell>
          <cell r="I207">
            <v>0</v>
          </cell>
        </row>
        <row r="208">
          <cell r="A208">
            <v>9</v>
          </cell>
          <cell r="B208" t="str">
            <v>220KV LA</v>
          </cell>
          <cell r="C208">
            <v>0</v>
          </cell>
          <cell r="E208">
            <v>0</v>
          </cell>
          <cell r="F208">
            <v>2.5000000000000001E-2</v>
          </cell>
          <cell r="G208">
            <v>0</v>
          </cell>
          <cell r="H208">
            <v>2.5000000000000001E-2</v>
          </cell>
          <cell r="I208">
            <v>0</v>
          </cell>
        </row>
        <row r="209">
          <cell r="A209">
            <v>10</v>
          </cell>
          <cell r="B209" t="str">
            <v>220KV Post/Solid Core Insulators</v>
          </cell>
          <cell r="C209">
            <v>0</v>
          </cell>
          <cell r="E209">
            <v>0</v>
          </cell>
          <cell r="F209">
            <v>0.06</v>
          </cell>
          <cell r="G209">
            <v>0</v>
          </cell>
          <cell r="H209">
            <v>0.06</v>
          </cell>
          <cell r="I209">
            <v>0</v>
          </cell>
        </row>
        <row r="210">
          <cell r="A210">
            <v>11</v>
          </cell>
          <cell r="B210" t="str">
            <v>160MVA transformer</v>
          </cell>
          <cell r="C210">
            <v>0</v>
          </cell>
          <cell r="E210">
            <v>0</v>
          </cell>
          <cell r="F210">
            <v>0.54</v>
          </cell>
          <cell r="G210">
            <v>0</v>
          </cell>
          <cell r="H210">
            <v>0.54</v>
          </cell>
          <cell r="I210">
            <v>0</v>
          </cell>
        </row>
        <row r="211">
          <cell r="A211">
            <v>12</v>
          </cell>
          <cell r="B211" t="str">
            <v>40MVA transformer</v>
          </cell>
          <cell r="C211">
            <v>1</v>
          </cell>
          <cell r="E211">
            <v>0</v>
          </cell>
          <cell r="F211">
            <v>0.53</v>
          </cell>
          <cell r="G211">
            <v>0.53</v>
          </cell>
          <cell r="H211">
            <v>0.53</v>
          </cell>
          <cell r="I211">
            <v>0.53</v>
          </cell>
        </row>
        <row r="212">
          <cell r="A212">
            <v>13</v>
          </cell>
          <cell r="B212" t="str">
            <v>132KV Gantry</v>
          </cell>
          <cell r="C212">
            <v>4</v>
          </cell>
          <cell r="E212">
            <v>0</v>
          </cell>
          <cell r="F212">
            <v>0.3</v>
          </cell>
          <cell r="G212">
            <v>1.2</v>
          </cell>
          <cell r="H212">
            <v>0.3</v>
          </cell>
          <cell r="I212">
            <v>1.2</v>
          </cell>
        </row>
        <row r="213">
          <cell r="A213">
            <v>14</v>
          </cell>
          <cell r="B213" t="str">
            <v xml:space="preserve">132KV main busbar foundation </v>
          </cell>
          <cell r="C213">
            <v>1</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E214">
            <v>0</v>
          </cell>
          <cell r="F214">
            <v>0.121</v>
          </cell>
          <cell r="G214">
            <v>0</v>
          </cell>
          <cell r="H214">
            <v>0.121</v>
          </cell>
          <cell r="I214">
            <v>0</v>
          </cell>
        </row>
        <row r="215">
          <cell r="A215">
            <v>16</v>
          </cell>
          <cell r="B215" t="str">
            <v>132KV Isolator</v>
          </cell>
          <cell r="C215">
            <v>3</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E216">
            <v>0</v>
          </cell>
          <cell r="F216">
            <v>1.0999999999999999E-2</v>
          </cell>
          <cell r="G216">
            <v>3.3000000000000002E-2</v>
          </cell>
          <cell r="H216">
            <v>1.0999999999999999E-2</v>
          </cell>
          <cell r="I216">
            <v>3.3000000000000002E-2</v>
          </cell>
        </row>
        <row r="217">
          <cell r="A217">
            <v>18</v>
          </cell>
          <cell r="B217" t="str">
            <v>132KV CB</v>
          </cell>
          <cell r="C217">
            <v>1</v>
          </cell>
          <cell r="E217">
            <v>0</v>
          </cell>
          <cell r="F217">
            <v>0.30499999999999999</v>
          </cell>
          <cell r="G217">
            <v>0.30499999999999999</v>
          </cell>
          <cell r="H217">
            <v>0.30499999999999999</v>
          </cell>
          <cell r="I217">
            <v>0.30499999999999999</v>
          </cell>
        </row>
        <row r="218">
          <cell r="A218">
            <v>19</v>
          </cell>
          <cell r="B218" t="str">
            <v>132KV CT</v>
          </cell>
          <cell r="C218">
            <v>3</v>
          </cell>
          <cell r="E218">
            <v>0</v>
          </cell>
          <cell r="F218">
            <v>1.0999999999999999E-2</v>
          </cell>
          <cell r="G218">
            <v>3.3000000000000002E-2</v>
          </cell>
          <cell r="H218">
            <v>1.0999999999999999E-2</v>
          </cell>
          <cell r="I218">
            <v>3.3000000000000002E-2</v>
          </cell>
        </row>
        <row r="219">
          <cell r="A219">
            <v>20</v>
          </cell>
          <cell r="B219" t="str">
            <v>132KV LA</v>
          </cell>
          <cell r="C219">
            <v>3</v>
          </cell>
          <cell r="E219">
            <v>0</v>
          </cell>
          <cell r="F219">
            <v>2.1000000000000001E-2</v>
          </cell>
          <cell r="G219">
            <v>6.3E-2</v>
          </cell>
          <cell r="H219">
            <v>2.1000000000000001E-2</v>
          </cell>
          <cell r="I219">
            <v>6.3E-2</v>
          </cell>
        </row>
        <row r="220">
          <cell r="A220">
            <v>21</v>
          </cell>
          <cell r="B220" t="str">
            <v>132KV PT</v>
          </cell>
          <cell r="C220">
            <v>0</v>
          </cell>
          <cell r="E220">
            <v>0</v>
          </cell>
          <cell r="F220">
            <v>0.03</v>
          </cell>
          <cell r="G220">
            <v>0</v>
          </cell>
          <cell r="H220">
            <v>0.03</v>
          </cell>
          <cell r="I220">
            <v>0</v>
          </cell>
        </row>
        <row r="221">
          <cell r="A221">
            <v>22</v>
          </cell>
          <cell r="B221" t="str">
            <v>132KV CC</v>
          </cell>
          <cell r="C221">
            <v>0</v>
          </cell>
          <cell r="E221">
            <v>0</v>
          </cell>
          <cell r="F221">
            <v>2.1000000000000001E-2</v>
          </cell>
          <cell r="G221">
            <v>0</v>
          </cell>
          <cell r="H221">
            <v>2.1000000000000001E-2</v>
          </cell>
          <cell r="I221">
            <v>0</v>
          </cell>
        </row>
        <row r="222">
          <cell r="A222">
            <v>23</v>
          </cell>
          <cell r="B222" t="str">
            <v xml:space="preserve">33KV Gantry </v>
          </cell>
          <cell r="C222">
            <v>2</v>
          </cell>
          <cell r="E222">
            <v>0</v>
          </cell>
          <cell r="F222">
            <v>0.12</v>
          </cell>
          <cell r="G222">
            <v>0.24</v>
          </cell>
          <cell r="H222">
            <v>0.12</v>
          </cell>
          <cell r="I222">
            <v>0.24</v>
          </cell>
        </row>
        <row r="223">
          <cell r="A223">
            <v>24</v>
          </cell>
          <cell r="B223" t="str">
            <v>33KV main/aux. Busbar</v>
          </cell>
          <cell r="C223">
            <v>1</v>
          </cell>
          <cell r="E223">
            <v>0</v>
          </cell>
          <cell r="F223">
            <v>0.34</v>
          </cell>
          <cell r="G223">
            <v>0.34</v>
          </cell>
          <cell r="H223">
            <v>0.34</v>
          </cell>
          <cell r="I223">
            <v>0.34</v>
          </cell>
        </row>
        <row r="224">
          <cell r="A224">
            <v>25</v>
          </cell>
          <cell r="B224" t="str">
            <v>33KV CB</v>
          </cell>
          <cell r="C224">
            <v>1</v>
          </cell>
          <cell r="E224">
            <v>0</v>
          </cell>
          <cell r="F224">
            <v>5.5E-2</v>
          </cell>
          <cell r="G224">
            <v>5.5E-2</v>
          </cell>
          <cell r="H224">
            <v>5.5E-2</v>
          </cell>
          <cell r="I224">
            <v>5.5E-2</v>
          </cell>
        </row>
        <row r="225">
          <cell r="A225">
            <v>26</v>
          </cell>
          <cell r="B225" t="str">
            <v>33KV CT/PT/LA/PI</v>
          </cell>
          <cell r="C225">
            <v>6</v>
          </cell>
          <cell r="E225">
            <v>0</v>
          </cell>
          <cell r="F225">
            <v>1.4999999999999999E-2</v>
          </cell>
          <cell r="G225">
            <v>0.09</v>
          </cell>
          <cell r="H225">
            <v>1.4999999999999999E-2</v>
          </cell>
          <cell r="I225">
            <v>0.09</v>
          </cell>
        </row>
        <row r="226">
          <cell r="A226">
            <v>27</v>
          </cell>
          <cell r="B226" t="str">
            <v>33KV Isolator</v>
          </cell>
          <cell r="C226">
            <v>2</v>
          </cell>
          <cell r="E226">
            <v>0</v>
          </cell>
          <cell r="F226">
            <v>5.0999999999999997E-2</v>
          </cell>
          <cell r="G226">
            <v>0.10199999999999999</v>
          </cell>
          <cell r="H226">
            <v>5.0999999999999997E-2</v>
          </cell>
          <cell r="I226">
            <v>0.10199999999999999</v>
          </cell>
        </row>
        <row r="227">
          <cell r="A227">
            <v>28</v>
          </cell>
          <cell r="B227" t="str">
            <v>Control room type-V</v>
          </cell>
          <cell r="C227">
            <v>0</v>
          </cell>
          <cell r="E227">
            <v>0</v>
          </cell>
          <cell r="F227">
            <v>15</v>
          </cell>
          <cell r="G227">
            <v>0</v>
          </cell>
          <cell r="H227">
            <v>15</v>
          </cell>
          <cell r="I227">
            <v>0</v>
          </cell>
        </row>
        <row r="228">
          <cell r="A228">
            <v>29</v>
          </cell>
          <cell r="B228" t="str">
            <v>Yard levelling,metalling &amp; misc. civil work</v>
          </cell>
          <cell r="C228" t="str">
            <v>LS</v>
          </cell>
          <cell r="E228">
            <v>0</v>
          </cell>
          <cell r="F228">
            <v>0.5</v>
          </cell>
          <cell r="G228">
            <v>0.5</v>
          </cell>
          <cell r="H228" t="str">
            <v>LS</v>
          </cell>
          <cell r="I228">
            <v>0.5</v>
          </cell>
        </row>
        <row r="229">
          <cell r="A229">
            <v>30</v>
          </cell>
          <cell r="B229" t="str">
            <v>Water supply arrangement including overhead tank etc.</v>
          </cell>
          <cell r="C229" t="str">
            <v>LS</v>
          </cell>
          <cell r="E229">
            <v>0</v>
          </cell>
          <cell r="F229">
            <v>0</v>
          </cell>
          <cell r="G229">
            <v>0</v>
          </cell>
          <cell r="H229" t="str">
            <v>LS</v>
          </cell>
          <cell r="I229">
            <v>0</v>
          </cell>
        </row>
        <row r="230">
          <cell r="A230">
            <v>31</v>
          </cell>
          <cell r="B230" t="str">
            <v>Earth pits</v>
          </cell>
          <cell r="C230" t="str">
            <v>LS</v>
          </cell>
          <cell r="E230">
            <v>0</v>
          </cell>
          <cell r="F230">
            <v>0.2</v>
          </cell>
          <cell r="G230">
            <v>0.2</v>
          </cell>
          <cell r="H230" t="str">
            <v>LS</v>
          </cell>
          <cell r="I230">
            <v>0.2</v>
          </cell>
        </row>
        <row r="231">
          <cell r="A231">
            <v>32</v>
          </cell>
          <cell r="B231" t="str">
            <v>Four bay constn.shed</v>
          </cell>
          <cell r="C231">
            <v>0</v>
          </cell>
          <cell r="E231">
            <v>0</v>
          </cell>
          <cell r="F231">
            <v>4.37</v>
          </cell>
          <cell r="G231">
            <v>0</v>
          </cell>
          <cell r="H231">
            <v>4.37</v>
          </cell>
          <cell r="I231">
            <v>0</v>
          </cell>
        </row>
        <row r="232">
          <cell r="A232">
            <v>33</v>
          </cell>
          <cell r="B232" t="str">
            <v>Cable Trenches</v>
          </cell>
          <cell r="C232" t="str">
            <v>LS</v>
          </cell>
          <cell r="E232">
            <v>0</v>
          </cell>
          <cell r="F232">
            <v>1.5</v>
          </cell>
          <cell r="G232">
            <v>1.5</v>
          </cell>
          <cell r="H232" t="str">
            <v>LS</v>
          </cell>
          <cell r="I232">
            <v>1.5</v>
          </cell>
        </row>
        <row r="233">
          <cell r="A233">
            <v>34</v>
          </cell>
          <cell r="B233" t="str">
            <v>Internal Colony Road</v>
          </cell>
          <cell r="C233" t="str">
            <v>LS</v>
          </cell>
          <cell r="E233">
            <v>0</v>
          </cell>
          <cell r="F233">
            <v>0</v>
          </cell>
          <cell r="G233">
            <v>0</v>
          </cell>
          <cell r="H233" t="str">
            <v>LS</v>
          </cell>
          <cell r="I233">
            <v>0</v>
          </cell>
        </row>
        <row r="234">
          <cell r="A234">
            <v>35</v>
          </cell>
          <cell r="B234" t="str">
            <v>Yard &amp; area fencing</v>
          </cell>
          <cell r="C234" t="str">
            <v>LS</v>
          </cell>
          <cell r="E234">
            <v>0</v>
          </cell>
          <cell r="F234">
            <v>0</v>
          </cell>
          <cell r="G234">
            <v>0</v>
          </cell>
          <cell r="H234" t="str">
            <v>LS</v>
          </cell>
          <cell r="I234">
            <v>0</v>
          </cell>
        </row>
        <row r="235">
          <cell r="A235">
            <v>36</v>
          </cell>
          <cell r="B235" t="str">
            <v>Staff quarter</v>
          </cell>
          <cell r="C235" t="str">
            <v>LS</v>
          </cell>
          <cell r="E235">
            <v>0</v>
          </cell>
          <cell r="F235">
            <v>0</v>
          </cell>
          <cell r="G235">
            <v>0</v>
          </cell>
          <cell r="H235" t="str">
            <v>LS</v>
          </cell>
          <cell r="I235">
            <v>0</v>
          </cell>
        </row>
        <row r="236">
          <cell r="A236">
            <v>37</v>
          </cell>
          <cell r="B236" t="str">
            <v>Rail Track</v>
          </cell>
          <cell r="C236" t="str">
            <v>LS</v>
          </cell>
          <cell r="E236">
            <v>0</v>
          </cell>
          <cell r="F236">
            <v>1</v>
          </cell>
          <cell r="G236">
            <v>1</v>
          </cell>
          <cell r="H236" t="str">
            <v>LS</v>
          </cell>
          <cell r="I236">
            <v>1</v>
          </cell>
        </row>
        <row r="237">
          <cell r="A237">
            <v>38</v>
          </cell>
          <cell r="B237" t="str">
            <v>Station transformer foundation</v>
          </cell>
          <cell r="C237">
            <v>0</v>
          </cell>
          <cell r="E237">
            <v>0</v>
          </cell>
          <cell r="F237">
            <v>0.30099999999999999</v>
          </cell>
          <cell r="G237">
            <v>0</v>
          </cell>
          <cell r="H237">
            <v>0.30099999999999999</v>
          </cell>
          <cell r="I237">
            <v>0</v>
          </cell>
        </row>
        <row r="238">
          <cell r="A238">
            <v>39</v>
          </cell>
          <cell r="B238" t="str">
            <v>Flag stone flooring &amp; Misc. civil works</v>
          </cell>
          <cell r="C238" t="str">
            <v>LS</v>
          </cell>
          <cell r="E238">
            <v>0</v>
          </cell>
          <cell r="F238">
            <v>0.5</v>
          </cell>
          <cell r="G238">
            <v>0.5</v>
          </cell>
          <cell r="H238" t="str">
            <v>LS</v>
          </cell>
          <cell r="I238">
            <v>0.5</v>
          </cell>
        </row>
        <row r="240">
          <cell r="A240" t="str">
            <v/>
          </cell>
          <cell r="B240" t="str">
            <v>SUB TOTAL (I)</v>
          </cell>
          <cell r="E240">
            <v>0</v>
          </cell>
          <cell r="G240">
            <v>7.0570000000000004</v>
          </cell>
          <cell r="I240">
            <v>7.0570000000000004</v>
          </cell>
        </row>
        <row r="242">
          <cell r="A242" t="str">
            <v>J</v>
          </cell>
          <cell r="B242" t="str">
            <v>ERECTION,TESTING &amp; COMMISSIONING ETC.</v>
          </cell>
        </row>
        <row r="244">
          <cell r="A244">
            <v>1</v>
          </cell>
          <cell r="B244" t="str">
            <v>160MVA Transformer</v>
          </cell>
          <cell r="C244">
            <v>0</v>
          </cell>
          <cell r="E244">
            <v>0</v>
          </cell>
          <cell r="F244">
            <v>1.24</v>
          </cell>
          <cell r="G244">
            <v>0</v>
          </cell>
          <cell r="H244">
            <v>1.24</v>
          </cell>
          <cell r="I244">
            <v>0</v>
          </cell>
        </row>
        <row r="245">
          <cell r="A245">
            <v>2</v>
          </cell>
          <cell r="B245" t="str">
            <v>40MVA transformer</v>
          </cell>
          <cell r="C245">
            <v>1</v>
          </cell>
          <cell r="E245">
            <v>0</v>
          </cell>
          <cell r="F245">
            <v>0.97</v>
          </cell>
          <cell r="G245">
            <v>0.97</v>
          </cell>
          <cell r="H245">
            <v>0.97</v>
          </cell>
          <cell r="I245">
            <v>0.97</v>
          </cell>
        </row>
        <row r="246">
          <cell r="A246">
            <v>3</v>
          </cell>
          <cell r="B246" t="str">
            <v>220KV CB</v>
          </cell>
          <cell r="C246">
            <v>0</v>
          </cell>
          <cell r="E246">
            <v>0</v>
          </cell>
          <cell r="F246">
            <v>0.2</v>
          </cell>
          <cell r="G246">
            <v>0</v>
          </cell>
          <cell r="H246">
            <v>0.2</v>
          </cell>
          <cell r="I246">
            <v>0</v>
          </cell>
        </row>
        <row r="247">
          <cell r="A247">
            <v>4</v>
          </cell>
          <cell r="B247" t="str">
            <v>220KV CT</v>
          </cell>
          <cell r="C247">
            <v>0</v>
          </cell>
          <cell r="E247">
            <v>0</v>
          </cell>
          <cell r="F247">
            <v>4.1000000000000002E-2</v>
          </cell>
          <cell r="G247">
            <v>0</v>
          </cell>
          <cell r="H247">
            <v>4.1000000000000002E-2</v>
          </cell>
          <cell r="I247">
            <v>0</v>
          </cell>
        </row>
        <row r="248">
          <cell r="A248">
            <v>5</v>
          </cell>
          <cell r="B248" t="str">
            <v>220KV Isolator</v>
          </cell>
          <cell r="C248">
            <v>0</v>
          </cell>
          <cell r="E248">
            <v>0</v>
          </cell>
          <cell r="F248">
            <v>0.09</v>
          </cell>
          <cell r="G248">
            <v>0</v>
          </cell>
          <cell r="H248">
            <v>0.09</v>
          </cell>
          <cell r="I248">
            <v>0</v>
          </cell>
        </row>
        <row r="249">
          <cell r="A249">
            <v>6</v>
          </cell>
          <cell r="B249" t="str">
            <v>220KV LA</v>
          </cell>
          <cell r="C249">
            <v>0</v>
          </cell>
          <cell r="E249">
            <v>0</v>
          </cell>
          <cell r="F249">
            <v>2.5000000000000001E-2</v>
          </cell>
          <cell r="G249">
            <v>0</v>
          </cell>
          <cell r="H249">
            <v>2.5000000000000001E-2</v>
          </cell>
          <cell r="I249">
            <v>0</v>
          </cell>
        </row>
        <row r="250">
          <cell r="A250">
            <v>7</v>
          </cell>
          <cell r="B250" t="str">
            <v>220KV PT/CVT</v>
          </cell>
          <cell r="C250">
            <v>0</v>
          </cell>
          <cell r="E250">
            <v>0</v>
          </cell>
          <cell r="F250">
            <v>0.04</v>
          </cell>
          <cell r="G250">
            <v>0</v>
          </cell>
          <cell r="H250">
            <v>0.04</v>
          </cell>
          <cell r="I250">
            <v>0</v>
          </cell>
        </row>
        <row r="251">
          <cell r="A251">
            <v>8</v>
          </cell>
          <cell r="B251" t="str">
            <v>220KV C&amp;R Panel</v>
          </cell>
          <cell r="C251">
            <v>0</v>
          </cell>
          <cell r="E251">
            <v>0</v>
          </cell>
          <cell r="F251">
            <v>0.18</v>
          </cell>
          <cell r="G251">
            <v>0</v>
          </cell>
          <cell r="H251">
            <v>0.18</v>
          </cell>
          <cell r="I251">
            <v>0</v>
          </cell>
        </row>
        <row r="252">
          <cell r="A252">
            <v>9</v>
          </cell>
          <cell r="B252" t="str">
            <v>220/132/33KV Gantries,Busbar equip.structure erection(in MT)</v>
          </cell>
          <cell r="C252">
            <v>22.567999999999998</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E253">
            <v>0</v>
          </cell>
          <cell r="F253">
            <v>0</v>
          </cell>
          <cell r="G253">
            <v>0</v>
          </cell>
          <cell r="H253" t="str">
            <v>LS</v>
          </cell>
          <cell r="I253">
            <v>0</v>
          </cell>
        </row>
        <row r="254">
          <cell r="A254">
            <v>11</v>
          </cell>
          <cell r="B254" t="str">
            <v>220KV PI/Solid Core Insulators</v>
          </cell>
          <cell r="C254">
            <v>0</v>
          </cell>
          <cell r="E254">
            <v>0</v>
          </cell>
          <cell r="F254">
            <v>7.0000000000000001E-3</v>
          </cell>
          <cell r="G254">
            <v>0</v>
          </cell>
          <cell r="H254">
            <v>7.0000000000000001E-3</v>
          </cell>
          <cell r="I254">
            <v>0</v>
          </cell>
        </row>
        <row r="255">
          <cell r="A255">
            <v>12</v>
          </cell>
          <cell r="B255" t="str">
            <v>220KV wave trap</v>
          </cell>
          <cell r="C255">
            <v>0</v>
          </cell>
          <cell r="E255">
            <v>0</v>
          </cell>
          <cell r="F255">
            <v>0.04</v>
          </cell>
          <cell r="G255">
            <v>0</v>
          </cell>
          <cell r="H255">
            <v>0.04</v>
          </cell>
          <cell r="I255">
            <v>0</v>
          </cell>
        </row>
        <row r="256">
          <cell r="A256">
            <v>13</v>
          </cell>
          <cell r="B256" t="str">
            <v>132KV CC</v>
          </cell>
          <cell r="C256">
            <v>0</v>
          </cell>
          <cell r="E256">
            <v>0</v>
          </cell>
          <cell r="F256">
            <v>3.4000000000000002E-2</v>
          </cell>
          <cell r="G256">
            <v>0</v>
          </cell>
          <cell r="H256">
            <v>3.4000000000000002E-2</v>
          </cell>
          <cell r="I256">
            <v>0</v>
          </cell>
        </row>
        <row r="257">
          <cell r="A257">
            <v>14</v>
          </cell>
          <cell r="B257" t="str">
            <v>132KV CB</v>
          </cell>
          <cell r="C257">
            <v>1</v>
          </cell>
          <cell r="E257">
            <v>0</v>
          </cell>
          <cell r="F257">
            <v>0.16</v>
          </cell>
          <cell r="G257">
            <v>0.16</v>
          </cell>
          <cell r="H257">
            <v>0.16</v>
          </cell>
          <cell r="I257">
            <v>0.16</v>
          </cell>
        </row>
        <row r="258">
          <cell r="A258">
            <v>15</v>
          </cell>
          <cell r="B258" t="str">
            <v>132KV CT</v>
          </cell>
          <cell r="C258">
            <v>3</v>
          </cell>
          <cell r="E258">
            <v>0</v>
          </cell>
          <cell r="F258">
            <v>3.9E-2</v>
          </cell>
          <cell r="G258">
            <v>0.11699999999999999</v>
          </cell>
          <cell r="H258">
            <v>3.9E-2</v>
          </cell>
          <cell r="I258">
            <v>0.11699999999999999</v>
          </cell>
        </row>
        <row r="259">
          <cell r="A259">
            <v>16</v>
          </cell>
          <cell r="B259" t="str">
            <v>132KV Isolators</v>
          </cell>
          <cell r="C259">
            <v>3</v>
          </cell>
          <cell r="E259">
            <v>0</v>
          </cell>
          <cell r="F259">
            <v>7.0000000000000007E-2</v>
          </cell>
          <cell r="G259">
            <v>0.21000000000000002</v>
          </cell>
          <cell r="H259">
            <v>7.0000000000000007E-2</v>
          </cell>
          <cell r="I259">
            <v>0.21000000000000002</v>
          </cell>
        </row>
        <row r="260">
          <cell r="A260">
            <v>17</v>
          </cell>
          <cell r="B260" t="str">
            <v>132KV LA</v>
          </cell>
          <cell r="C260">
            <v>3</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E262">
            <v>0</v>
          </cell>
          <cell r="F262">
            <v>5.0000000000000001E-3</v>
          </cell>
          <cell r="G262">
            <v>0.03</v>
          </cell>
          <cell r="H262">
            <v>5.0000000000000001E-3</v>
          </cell>
          <cell r="I262">
            <v>0.03</v>
          </cell>
        </row>
        <row r="263">
          <cell r="A263">
            <v>20</v>
          </cell>
          <cell r="B263" t="str">
            <v>132KV PT</v>
          </cell>
          <cell r="C263">
            <v>0</v>
          </cell>
          <cell r="E263">
            <v>0</v>
          </cell>
          <cell r="F263">
            <v>3.4000000000000002E-2</v>
          </cell>
          <cell r="G263">
            <v>0</v>
          </cell>
          <cell r="H263">
            <v>3.4000000000000002E-2</v>
          </cell>
          <cell r="I263">
            <v>0</v>
          </cell>
        </row>
        <row r="264">
          <cell r="A264">
            <v>21</v>
          </cell>
          <cell r="B264" t="str">
            <v>33KV CB</v>
          </cell>
          <cell r="C264">
            <v>1</v>
          </cell>
          <cell r="E264">
            <v>0</v>
          </cell>
          <cell r="F264">
            <v>8.2000000000000003E-2</v>
          </cell>
          <cell r="G264">
            <v>8.2000000000000003E-2</v>
          </cell>
          <cell r="H264">
            <v>8.2000000000000003E-2</v>
          </cell>
          <cell r="I264">
            <v>8.2000000000000003E-2</v>
          </cell>
        </row>
        <row r="265">
          <cell r="A265">
            <v>22</v>
          </cell>
          <cell r="B265" t="str">
            <v>33KV CT</v>
          </cell>
          <cell r="C265">
            <v>3</v>
          </cell>
          <cell r="E265">
            <v>0</v>
          </cell>
          <cell r="F265">
            <v>0.03</v>
          </cell>
          <cell r="G265">
            <v>0.09</v>
          </cell>
          <cell r="H265">
            <v>0.03</v>
          </cell>
          <cell r="I265">
            <v>0.09</v>
          </cell>
        </row>
        <row r="266">
          <cell r="A266">
            <v>23</v>
          </cell>
          <cell r="B266" t="str">
            <v>33KV PT</v>
          </cell>
          <cell r="C266">
            <v>0</v>
          </cell>
          <cell r="E266">
            <v>0</v>
          </cell>
          <cell r="F266">
            <v>0.03</v>
          </cell>
          <cell r="G266">
            <v>0</v>
          </cell>
          <cell r="H266">
            <v>0.03</v>
          </cell>
          <cell r="I266">
            <v>0</v>
          </cell>
        </row>
        <row r="267">
          <cell r="A267">
            <v>24</v>
          </cell>
          <cell r="B267" t="str">
            <v>33KV Isolator</v>
          </cell>
          <cell r="C267">
            <v>2</v>
          </cell>
          <cell r="E267">
            <v>0</v>
          </cell>
          <cell r="F267">
            <v>4.7E-2</v>
          </cell>
          <cell r="G267">
            <v>9.4E-2</v>
          </cell>
          <cell r="H267">
            <v>4.7E-2</v>
          </cell>
          <cell r="I267">
            <v>9.4E-2</v>
          </cell>
        </row>
        <row r="268">
          <cell r="A268">
            <v>25</v>
          </cell>
          <cell r="B268" t="str">
            <v>33KV LA</v>
          </cell>
          <cell r="C268">
            <v>3</v>
          </cell>
          <cell r="E268">
            <v>0</v>
          </cell>
          <cell r="F268">
            <v>1.0999999999999999E-2</v>
          </cell>
          <cell r="G268">
            <v>3.3000000000000002E-2</v>
          </cell>
          <cell r="H268">
            <v>1.0999999999999999E-2</v>
          </cell>
          <cell r="I268">
            <v>3.3000000000000002E-2</v>
          </cell>
        </row>
        <row r="269">
          <cell r="A269">
            <v>26</v>
          </cell>
          <cell r="B269" t="str">
            <v>33KV C&amp;R Panel</v>
          </cell>
          <cell r="C269">
            <v>1</v>
          </cell>
          <cell r="E269">
            <v>0</v>
          </cell>
          <cell r="F269">
            <v>0.13</v>
          </cell>
          <cell r="G269">
            <v>0.13</v>
          </cell>
          <cell r="H269">
            <v>0.13</v>
          </cell>
          <cell r="I269">
            <v>0.13</v>
          </cell>
        </row>
        <row r="270">
          <cell r="A270">
            <v>27</v>
          </cell>
          <cell r="B270" t="str">
            <v>33KV PI/Solid Core Insulators</v>
          </cell>
          <cell r="C270">
            <v>0</v>
          </cell>
          <cell r="E270">
            <v>0</v>
          </cell>
          <cell r="F270">
            <v>3.0000000000000001E-3</v>
          </cell>
          <cell r="G270">
            <v>0</v>
          </cell>
          <cell r="H270">
            <v>3.0000000000000001E-3</v>
          </cell>
          <cell r="I270">
            <v>0</v>
          </cell>
        </row>
        <row r="271">
          <cell r="A271">
            <v>28</v>
          </cell>
          <cell r="B271" t="str">
            <v>Station Transformer,</v>
          </cell>
          <cell r="C271">
            <v>0</v>
          </cell>
          <cell r="E271">
            <v>0</v>
          </cell>
          <cell r="F271">
            <v>7.0000000000000007E-2</v>
          </cell>
          <cell r="G271">
            <v>0</v>
          </cell>
          <cell r="H271">
            <v>7.0000000000000007E-2</v>
          </cell>
          <cell r="I271">
            <v>0</v>
          </cell>
        </row>
        <row r="272">
          <cell r="A272">
            <v>29</v>
          </cell>
          <cell r="B272" t="str">
            <v>Cable laying &amp; associated works</v>
          </cell>
          <cell r="C272" t="str">
            <v>LS</v>
          </cell>
          <cell r="E272">
            <v>0</v>
          </cell>
          <cell r="F272">
            <v>0.2</v>
          </cell>
          <cell r="G272">
            <v>0.2</v>
          </cell>
          <cell r="H272" t="str">
            <v>LS</v>
          </cell>
          <cell r="I272">
            <v>0.2</v>
          </cell>
        </row>
        <row r="273">
          <cell r="A273">
            <v>30</v>
          </cell>
          <cell r="B273" t="str">
            <v>Earthing works</v>
          </cell>
          <cell r="C273" t="str">
            <v>LS</v>
          </cell>
          <cell r="E273">
            <v>0</v>
          </cell>
          <cell r="F273">
            <v>0.2</v>
          </cell>
          <cell r="G273">
            <v>0.2</v>
          </cell>
          <cell r="H273" t="str">
            <v>LS</v>
          </cell>
          <cell r="I273">
            <v>0.2</v>
          </cell>
        </row>
        <row r="274">
          <cell r="A274">
            <v>31</v>
          </cell>
          <cell r="B274" t="str">
            <v>AC/DC Board</v>
          </cell>
          <cell r="C274">
            <v>0</v>
          </cell>
          <cell r="E274">
            <v>0</v>
          </cell>
          <cell r="F274">
            <v>0.13100000000000001</v>
          </cell>
          <cell r="G274">
            <v>0</v>
          </cell>
          <cell r="H274">
            <v>0.13100000000000001</v>
          </cell>
          <cell r="I274">
            <v>0</v>
          </cell>
        </row>
        <row r="275">
          <cell r="A275">
            <v>32</v>
          </cell>
          <cell r="B275" t="str">
            <v>Fitting of lighting fixtures</v>
          </cell>
          <cell r="C275" t="str">
            <v>LS</v>
          </cell>
          <cell r="E275">
            <v>0</v>
          </cell>
          <cell r="F275">
            <v>0.1</v>
          </cell>
          <cell r="G275">
            <v>0.1</v>
          </cell>
          <cell r="H275" t="str">
            <v>LS</v>
          </cell>
          <cell r="I275">
            <v>0.1</v>
          </cell>
        </row>
        <row r="276">
          <cell r="A276">
            <v>33</v>
          </cell>
          <cell r="B276" t="str">
            <v>110V 300Ah battery</v>
          </cell>
          <cell r="C276">
            <v>0</v>
          </cell>
          <cell r="E276">
            <v>0</v>
          </cell>
          <cell r="F276">
            <v>0.14000000000000001</v>
          </cell>
          <cell r="G276">
            <v>0</v>
          </cell>
          <cell r="H276">
            <v>0.14000000000000001</v>
          </cell>
          <cell r="I276">
            <v>0</v>
          </cell>
        </row>
        <row r="277">
          <cell r="A277">
            <v>34</v>
          </cell>
          <cell r="B277" t="str">
            <v>110V 300Ah battery charger</v>
          </cell>
          <cell r="C277">
            <v>0</v>
          </cell>
          <cell r="E277">
            <v>0</v>
          </cell>
          <cell r="F277">
            <v>9.5000000000000001E-2</v>
          </cell>
          <cell r="G277">
            <v>0</v>
          </cell>
          <cell r="H277">
            <v>9.5000000000000001E-2</v>
          </cell>
          <cell r="I277">
            <v>0</v>
          </cell>
        </row>
        <row r="278">
          <cell r="A278">
            <v>35</v>
          </cell>
          <cell r="B278" t="str">
            <v>48V 200Ah battery</v>
          </cell>
          <cell r="C278">
            <v>0</v>
          </cell>
          <cell r="E278">
            <v>0</v>
          </cell>
          <cell r="F278">
            <v>0.1</v>
          </cell>
          <cell r="G278">
            <v>0</v>
          </cell>
          <cell r="H278">
            <v>0.1</v>
          </cell>
          <cell r="I278">
            <v>0</v>
          </cell>
        </row>
        <row r="279">
          <cell r="A279">
            <v>36</v>
          </cell>
          <cell r="B279" t="str">
            <v>48V 200Ah battery charger</v>
          </cell>
          <cell r="C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E280">
            <v>0</v>
          </cell>
          <cell r="F280">
            <v>0.5</v>
          </cell>
          <cell r="G280">
            <v>0.5</v>
          </cell>
          <cell r="H280" t="str">
            <v>LS</v>
          </cell>
          <cell r="I280">
            <v>0.5</v>
          </cell>
        </row>
        <row r="281">
          <cell r="A281">
            <v>38</v>
          </cell>
          <cell r="B281" t="str">
            <v>Testing &amp; Commissioning &amp; misc.expenditure</v>
          </cell>
          <cell r="C281" t="str">
            <v>LS</v>
          </cell>
          <cell r="E281">
            <v>0</v>
          </cell>
          <cell r="F281">
            <v>0.1</v>
          </cell>
          <cell r="G281">
            <v>0.1</v>
          </cell>
          <cell r="H281" t="str">
            <v>LS</v>
          </cell>
          <cell r="I281">
            <v>0.1</v>
          </cell>
        </row>
        <row r="284">
          <cell r="B284" t="str">
            <v>SUB TOTAL (J)</v>
          </cell>
          <cell r="E284">
            <v>0</v>
          </cell>
          <cell r="G284">
            <v>3.7711999999999999</v>
          </cell>
          <cell r="I284">
            <v>3.7711999999999999</v>
          </cell>
        </row>
      </sheetData>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소화실적"/>
    </sheetNames>
    <sheetDataSet>
      <sheetData sheetId="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ounterSplit"/>
      <sheetName val="Organic Scav"/>
      <sheetName val="Air consumption"/>
      <sheetName val="Power consump"/>
      <sheetName val="Chem consump"/>
      <sheetName val="Co-current"/>
      <sheetName val="DMFHoriz"/>
      <sheetName val="DMFVert"/>
      <sheetName val="Counter "/>
      <sheetName val="Pipe Sizing"/>
      <sheetName val="RO Cleaning"/>
      <sheetName val="UPCORE"/>
      <sheetName val="MixBed"/>
      <sheetName val="Analy"/>
      <sheetName val="CondPol"/>
      <sheetName val="Sheet1"/>
      <sheetName val="CaCO3 Conversion"/>
      <sheetName val="Storage Tank"/>
      <sheetName val="ACF"/>
      <sheetName val="Clarifier"/>
      <sheetName val="Sheet23"/>
      <sheetName val="pHadj"/>
      <sheetName val="Degasif"/>
      <sheetName val="Filter Press"/>
      <sheetName val="Dosing"/>
      <sheetName val="Neutralization"/>
      <sheetName val="Greensand"/>
      <sheetName val="Soft Exchanger"/>
      <sheetName val="Organic_Scav"/>
      <sheetName val="Air_consumption"/>
      <sheetName val="Power_consump"/>
      <sheetName val="Chem_consump"/>
      <sheetName val="Counter_"/>
      <sheetName val="Pipe_Sizing"/>
      <sheetName val="RO_Cleaning"/>
      <sheetName val="CaCO3_Conversion"/>
      <sheetName val="Storage_Tank"/>
      <sheetName val="Filter_Press"/>
      <sheetName val="Soft_Exchanger"/>
      <sheetName val="BS-203"/>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8">
          <cell r="F68">
            <v>3.5959844104579464</v>
          </cell>
        </row>
        <row r="69">
          <cell r="F69">
            <v>1.7979922052289734</v>
          </cell>
        </row>
        <row r="70">
          <cell r="F70">
            <v>0</v>
          </cell>
        </row>
        <row r="71">
          <cell r="F71">
            <v>5.3939766156869196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소요시간"/>
      <sheetName val="ITEM-LIST"/>
    </sheetNames>
    <sheetDataSet>
      <sheetData sheetId="0" refreshError="1"/>
      <sheetData sheetId="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ompany"/>
      <sheetName val="License Area"/>
      <sheetName val="LA-ARR-PU"/>
      <sheetName val="LA-PU"/>
      <sheetName val="LA-ARR"/>
      <sheetName val="LA-ARR-PU "/>
      <sheetName val="Co. Graphs"/>
      <sheetName val="OB Graphs"/>
      <sheetName val="License_Area"/>
      <sheetName val="LA-ARR-PU_"/>
      <sheetName val="Co__Graphs"/>
      <sheetName val="OB_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Sheet1"/>
      <sheetName val="Sheet2"/>
      <sheetName val="Sheet3"/>
      <sheetName val="96상2"/>
      <sheetName val="해외 기술훈련비 (합계)"/>
      <sheetName val="해외 연수비용 계산-삭제"/>
      <sheetName val="Book2"/>
      <sheetName val="카메라"/>
      <sheetName val="#REF"/>
      <sheetName val="자바라1"/>
      <sheetName val="투자종합 (2)"/>
      <sheetName val="해외_기술훈련비_(합계)"/>
      <sheetName val="해외_연수비용_계산-삭제"/>
      <sheetName val="투자종합_(2)"/>
    </sheetNames>
    <definedNames>
      <definedName name="GUESTPNT"/>
      <definedName name="RTPNT"/>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LA-ARR-PU"/>
      <sheetName val="Company-Base"/>
      <sheetName val="License Area"/>
      <sheetName val="financial data"/>
      <sheetName val="Notional Int"/>
      <sheetName val="LA-PU"/>
      <sheetName val="LA-ARR FY07"/>
      <sheetName val="LA-ARR-PU FY07"/>
      <sheetName val="LA-Revenue"/>
      <sheetName val="LA-PU (AJE)"/>
      <sheetName val="ABP Input"/>
      <sheetName val="Co. Graphs"/>
      <sheetName val="OB Graphs"/>
      <sheetName val="License_Area"/>
      <sheetName val="financial_data"/>
      <sheetName val="Notional_Int"/>
      <sheetName val="LA-ARR_FY07"/>
      <sheetName val="LA-ARR-PU_FY07"/>
      <sheetName val="LA-PU_(AJE)"/>
      <sheetName val="ABP_Input"/>
      <sheetName val="Co__Graphs"/>
      <sheetName val="OB_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공통데이터"/>
      <sheetName val="제작데이터"/>
      <sheetName val="자재리스트"/>
      <sheetName val="집계표"/>
      <sheetName val="생산목표"/>
      <sheetName val="세부내역"/>
      <sheetName val="타부서집계표"/>
      <sheetName val="구매분_Modify"/>
      <sheetName val="제작분_Modify"/>
      <sheetName val="Sheet3"/>
      <sheetName val="세부내역서"/>
    </sheetNames>
    <sheetDataSet>
      <sheetData sheetId="0" refreshError="1"/>
      <sheetData sheetId="1" refreshError="1"/>
      <sheetData sheetId="2" refreshError="1"/>
      <sheetData sheetId="3" refreshError="1">
        <row r="9">
          <cell r="D9">
            <v>0</v>
          </cell>
          <cell r="E9">
            <v>209</v>
          </cell>
          <cell r="F9">
            <v>29091</v>
          </cell>
          <cell r="G9">
            <v>3361</v>
          </cell>
          <cell r="H9">
            <v>0</v>
          </cell>
          <cell r="I9">
            <v>135</v>
          </cell>
          <cell r="J9">
            <v>3453</v>
          </cell>
          <cell r="L9">
            <v>6523</v>
          </cell>
          <cell r="M9">
            <v>5275</v>
          </cell>
          <cell r="N9">
            <v>58</v>
          </cell>
          <cell r="O9">
            <v>10939</v>
          </cell>
        </row>
        <row r="46">
          <cell r="D46">
            <v>0</v>
          </cell>
          <cell r="E46">
            <v>14</v>
          </cell>
          <cell r="F46">
            <v>1947</v>
          </cell>
          <cell r="G46">
            <v>225</v>
          </cell>
          <cell r="H46">
            <v>0</v>
          </cell>
          <cell r="I46">
            <v>9</v>
          </cell>
          <cell r="J46">
            <v>231</v>
          </cell>
          <cell r="L46">
            <v>436</v>
          </cell>
          <cell r="M46">
            <v>353</v>
          </cell>
          <cell r="N46">
            <v>3</v>
          </cell>
          <cell r="O46">
            <v>732</v>
          </cell>
        </row>
        <row r="47">
          <cell r="D47">
            <v>135603</v>
          </cell>
        </row>
        <row r="55">
          <cell r="D55">
            <v>0</v>
          </cell>
          <cell r="E55">
            <v>2</v>
          </cell>
          <cell r="F55">
            <v>0</v>
          </cell>
          <cell r="G55">
            <v>815</v>
          </cell>
          <cell r="H55">
            <v>0</v>
          </cell>
          <cell r="I55">
            <v>5</v>
          </cell>
          <cell r="J55">
            <v>197</v>
          </cell>
          <cell r="L55">
            <v>1583</v>
          </cell>
          <cell r="M55">
            <v>236</v>
          </cell>
          <cell r="N55">
            <v>2</v>
          </cell>
          <cell r="O55">
            <v>625</v>
          </cell>
        </row>
        <row r="60">
          <cell r="D60">
            <v>0</v>
          </cell>
          <cell r="E60">
            <v>2</v>
          </cell>
          <cell r="F60">
            <v>0</v>
          </cell>
          <cell r="G60">
            <v>2011</v>
          </cell>
          <cell r="H60">
            <v>149835</v>
          </cell>
          <cell r="I60">
            <v>10</v>
          </cell>
          <cell r="J60">
            <v>1188</v>
          </cell>
          <cell r="L60">
            <v>3904</v>
          </cell>
          <cell r="M60">
            <v>2929</v>
          </cell>
          <cell r="N60">
            <v>4</v>
          </cell>
          <cell r="O60">
            <v>3764</v>
          </cell>
        </row>
        <row r="83">
          <cell r="D83">
            <v>0</v>
          </cell>
          <cell r="E83">
            <v>36</v>
          </cell>
          <cell r="F83">
            <v>5026</v>
          </cell>
          <cell r="G83">
            <v>580</v>
          </cell>
          <cell r="H83">
            <v>0</v>
          </cell>
          <cell r="I83">
            <v>23</v>
          </cell>
          <cell r="J83">
            <v>596</v>
          </cell>
          <cell r="L83">
            <v>1127</v>
          </cell>
          <cell r="M83">
            <v>911</v>
          </cell>
          <cell r="N83">
            <v>10</v>
          </cell>
          <cell r="O83">
            <v>1890</v>
          </cell>
        </row>
        <row r="84">
          <cell r="D84">
            <v>91650</v>
          </cell>
        </row>
        <row r="85">
          <cell r="D85">
            <v>365</v>
          </cell>
        </row>
        <row r="89">
          <cell r="D89">
            <v>0</v>
          </cell>
          <cell r="E89">
            <v>2028</v>
          </cell>
          <cell r="F89">
            <v>92655</v>
          </cell>
          <cell r="G89">
            <v>6339</v>
          </cell>
          <cell r="H89">
            <v>0</v>
          </cell>
          <cell r="I89">
            <v>124</v>
          </cell>
          <cell r="J89">
            <v>3428</v>
          </cell>
          <cell r="L89">
            <v>12309</v>
          </cell>
          <cell r="M89">
            <v>8183</v>
          </cell>
          <cell r="N89">
            <v>50</v>
          </cell>
          <cell r="O89">
            <v>10858</v>
          </cell>
        </row>
        <row r="92">
          <cell r="D92">
            <v>0</v>
          </cell>
          <cell r="E92">
            <v>0</v>
          </cell>
          <cell r="F92">
            <v>0</v>
          </cell>
          <cell r="G92">
            <v>317</v>
          </cell>
          <cell r="H92">
            <v>1600</v>
          </cell>
          <cell r="I92">
            <v>2</v>
          </cell>
          <cell r="J92">
            <v>76</v>
          </cell>
          <cell r="L92">
            <v>616</v>
          </cell>
          <cell r="M92">
            <v>92</v>
          </cell>
          <cell r="N92">
            <v>0</v>
          </cell>
          <cell r="O92">
            <v>243</v>
          </cell>
        </row>
        <row r="93">
          <cell r="D93">
            <v>0</v>
          </cell>
          <cell r="E93">
            <v>13</v>
          </cell>
          <cell r="F93">
            <v>773</v>
          </cell>
          <cell r="G93">
            <v>33</v>
          </cell>
          <cell r="H93">
            <v>0</v>
          </cell>
          <cell r="I93">
            <v>1</v>
          </cell>
          <cell r="J93">
            <v>53</v>
          </cell>
          <cell r="L93">
            <v>64</v>
          </cell>
          <cell r="M93">
            <v>88</v>
          </cell>
          <cell r="N93">
            <v>0</v>
          </cell>
          <cell r="O93">
            <v>170</v>
          </cell>
        </row>
        <row r="97">
          <cell r="D97">
            <v>0</v>
          </cell>
          <cell r="E97">
            <v>0</v>
          </cell>
          <cell r="F97">
            <v>0</v>
          </cell>
          <cell r="G97">
            <v>609</v>
          </cell>
          <cell r="H97">
            <v>45372</v>
          </cell>
          <cell r="I97">
            <v>3</v>
          </cell>
          <cell r="J97">
            <v>359</v>
          </cell>
          <cell r="L97">
            <v>1182</v>
          </cell>
          <cell r="M97">
            <v>887</v>
          </cell>
          <cell r="N97">
            <v>1</v>
          </cell>
          <cell r="O97">
            <v>1139</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C-18"/>
      <sheetName val="COA-17"/>
    </sheetNames>
    <sheetDataSet>
      <sheetData sheetId="0"/>
      <sheetData sheetId="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CAT_5"/>
      <sheetName val="Monthly_Qtr "/>
    </sheetNames>
    <sheetDataSet>
      <sheetData sheetId="0"/>
      <sheetData sheetId="1"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Chart1"/>
      <sheetName val="Dailysource"/>
      <sheetName val="Chart2"/>
      <sheetName val="Sheet2"/>
      <sheetName val="local-Rer"/>
      <sheetName val="IOCL Chart"/>
      <sheetName val="IOCL"/>
      <sheetName val="daily flash"/>
      <sheetName val="Chart3"/>
      <sheetName val="LSHS base"/>
      <sheetName val="Sheet1"/>
      <sheetName val="ED-LSHS Chart"/>
      <sheetName val="LSHS Data"/>
      <sheetName val="Chart Price trend"/>
      <sheetName val="Chart % Change"/>
      <sheetName val="LSHS Prices"/>
      <sheetName val="Sheet3"/>
      <sheetName val="Sheet4"/>
      <sheetName val="CE"/>
    </sheetNames>
    <sheetDataSet>
      <sheetData sheetId="0" refreshError="1"/>
      <sheetData sheetId="1" refreshError="1">
        <row r="2">
          <cell r="B2" t="str">
            <v>Dates</v>
          </cell>
          <cell r="C2" t="str">
            <v>Argus</v>
          </cell>
          <cell r="D2" t="str">
            <v>180 CST</v>
          </cell>
          <cell r="E2" t="str">
            <v>Brent</v>
          </cell>
          <cell r="F2" t="str">
            <v>Argus FOB Prem</v>
          </cell>
          <cell r="G2" t="str">
            <v>180 CST</v>
          </cell>
          <cell r="H2" t="str">
            <v>180 CST-AG</v>
          </cell>
        </row>
        <row r="3">
          <cell r="B3">
            <v>37669</v>
          </cell>
          <cell r="C3">
            <v>28.6</v>
          </cell>
          <cell r="E3">
            <v>33.44</v>
          </cell>
          <cell r="F3">
            <v>0.8</v>
          </cell>
        </row>
        <row r="4">
          <cell r="B4">
            <v>37670</v>
          </cell>
          <cell r="C4">
            <v>28.6</v>
          </cell>
          <cell r="E4">
            <v>32.35</v>
          </cell>
          <cell r="F4">
            <v>0.9</v>
          </cell>
        </row>
        <row r="5">
          <cell r="B5">
            <v>37671</v>
          </cell>
          <cell r="C5">
            <v>28.4</v>
          </cell>
          <cell r="D5">
            <v>28.535714285714285</v>
          </cell>
          <cell r="E5">
            <v>33.21</v>
          </cell>
          <cell r="F5">
            <v>0.8</v>
          </cell>
        </row>
        <row r="6">
          <cell r="B6">
            <v>37672</v>
          </cell>
          <cell r="C6">
            <v>28.3</v>
          </cell>
          <cell r="D6">
            <v>28.107142857142858</v>
          </cell>
          <cell r="E6">
            <v>33.21</v>
          </cell>
          <cell r="F6">
            <v>0.6</v>
          </cell>
        </row>
        <row r="7">
          <cell r="B7">
            <v>37673</v>
          </cell>
          <cell r="C7">
            <v>28.3</v>
          </cell>
          <cell r="D7">
            <v>27.785714285714285</v>
          </cell>
          <cell r="E7">
            <v>31.7</v>
          </cell>
          <cell r="F7">
            <v>0.6</v>
          </cell>
        </row>
        <row r="8">
          <cell r="B8">
            <v>37676</v>
          </cell>
          <cell r="C8">
            <v>28.3</v>
          </cell>
          <cell r="D8">
            <v>28.464285714285715</v>
          </cell>
          <cell r="E8">
            <v>32.770000000000003</v>
          </cell>
          <cell r="F8">
            <v>0.6</v>
          </cell>
        </row>
        <row r="9">
          <cell r="B9">
            <v>37677</v>
          </cell>
          <cell r="C9">
            <v>28.6</v>
          </cell>
          <cell r="E9">
            <v>33.39</v>
          </cell>
          <cell r="F9">
            <v>0.8</v>
          </cell>
        </row>
        <row r="10">
          <cell r="B10">
            <v>37678</v>
          </cell>
          <cell r="C10">
            <v>28.8</v>
          </cell>
          <cell r="D10">
            <v>28.035714285714285</v>
          </cell>
          <cell r="E10">
            <v>33.01</v>
          </cell>
          <cell r="F10">
            <v>0.9</v>
          </cell>
        </row>
        <row r="11">
          <cell r="B11">
            <v>37679</v>
          </cell>
          <cell r="C11">
            <v>28.8</v>
          </cell>
          <cell r="D11">
            <v>28.357142857142858</v>
          </cell>
          <cell r="E11">
            <v>33.729999999999997</v>
          </cell>
          <cell r="F11">
            <v>1.2</v>
          </cell>
        </row>
        <row r="12">
          <cell r="B12">
            <v>37680</v>
          </cell>
          <cell r="C12">
            <v>28.5</v>
          </cell>
          <cell r="D12">
            <v>27.857142857142858</v>
          </cell>
          <cell r="E12">
            <v>33.880000000000003</v>
          </cell>
          <cell r="F12">
            <v>1.5</v>
          </cell>
        </row>
        <row r="13">
          <cell r="B13">
            <v>37683</v>
          </cell>
          <cell r="C13">
            <v>28.1</v>
          </cell>
          <cell r="D13">
            <v>27.071428571428573</v>
          </cell>
          <cell r="E13">
            <v>34</v>
          </cell>
          <cell r="F13">
            <v>1.7</v>
          </cell>
        </row>
        <row r="14">
          <cell r="B14">
            <v>37684</v>
          </cell>
          <cell r="C14">
            <v>28.1</v>
          </cell>
          <cell r="D14">
            <v>25.714285714285715</v>
          </cell>
          <cell r="E14">
            <v>33.32</v>
          </cell>
          <cell r="F14">
            <v>1.7</v>
          </cell>
        </row>
        <row r="15">
          <cell r="B15">
            <v>37685</v>
          </cell>
          <cell r="C15">
            <v>28.5</v>
          </cell>
          <cell r="D15">
            <v>25.892857142857142</v>
          </cell>
          <cell r="E15">
            <v>34.08</v>
          </cell>
          <cell r="F15">
            <v>1.7</v>
          </cell>
        </row>
        <row r="16">
          <cell r="B16">
            <v>37686</v>
          </cell>
          <cell r="C16">
            <v>28.8</v>
          </cell>
          <cell r="D16">
            <v>26.107142857142858</v>
          </cell>
          <cell r="E16">
            <v>33.99</v>
          </cell>
          <cell r="F16">
            <v>1.7</v>
          </cell>
        </row>
        <row r="17">
          <cell r="B17">
            <v>37687</v>
          </cell>
          <cell r="C17">
            <v>28.8</v>
          </cell>
          <cell r="D17">
            <v>26.678571428571427</v>
          </cell>
          <cell r="E17">
            <v>34.67</v>
          </cell>
          <cell r="F17">
            <v>1.9</v>
          </cell>
        </row>
        <row r="18">
          <cell r="B18">
            <v>37690</v>
          </cell>
          <cell r="C18">
            <v>29</v>
          </cell>
          <cell r="D18">
            <v>27</v>
          </cell>
          <cell r="E18">
            <v>35.04</v>
          </cell>
          <cell r="F18">
            <v>1.9</v>
          </cell>
        </row>
        <row r="19">
          <cell r="B19">
            <v>37691</v>
          </cell>
          <cell r="C19">
            <v>29</v>
          </cell>
          <cell r="D19">
            <v>27.142857142857142</v>
          </cell>
          <cell r="E19">
            <v>34.89</v>
          </cell>
          <cell r="F19">
            <v>1.9</v>
          </cell>
        </row>
        <row r="20">
          <cell r="B20">
            <v>37692</v>
          </cell>
          <cell r="C20">
            <v>28.8</v>
          </cell>
          <cell r="E20">
            <v>33.82</v>
          </cell>
          <cell r="F20">
            <v>1.9</v>
          </cell>
          <cell r="G20">
            <v>24.792857142857144</v>
          </cell>
          <cell r="H20">
            <v>24.792857142857144</v>
          </cell>
        </row>
        <row r="21">
          <cell r="B21">
            <v>37693</v>
          </cell>
          <cell r="C21">
            <v>28.6</v>
          </cell>
          <cell r="D21">
            <v>27.214285714285715</v>
          </cell>
          <cell r="E21">
            <v>34.01</v>
          </cell>
          <cell r="F21">
            <v>1.9</v>
          </cell>
          <cell r="G21">
            <v>25.25714285714286</v>
          </cell>
          <cell r="H21">
            <v>25.25714285714286</v>
          </cell>
        </row>
        <row r="22">
          <cell r="B22">
            <v>37694</v>
          </cell>
          <cell r="C22">
            <v>28.4</v>
          </cell>
          <cell r="E22">
            <v>32.44</v>
          </cell>
          <cell r="F22">
            <v>2</v>
          </cell>
          <cell r="G22">
            <v>24.485714285714288</v>
          </cell>
          <cell r="H22">
            <v>24.485714285714288</v>
          </cell>
        </row>
        <row r="23">
          <cell r="B23">
            <v>37697</v>
          </cell>
          <cell r="C23">
            <v>28</v>
          </cell>
          <cell r="D23">
            <v>26.357142857142858</v>
          </cell>
          <cell r="E23">
            <v>32.520000000000003</v>
          </cell>
          <cell r="F23">
            <v>2</v>
          </cell>
          <cell r="G23">
            <v>24.235714285714288</v>
          </cell>
          <cell r="H23">
            <v>24.235714285714288</v>
          </cell>
        </row>
        <row r="24">
          <cell r="B24">
            <v>37698</v>
          </cell>
          <cell r="C24">
            <v>27</v>
          </cell>
          <cell r="E24">
            <v>32</v>
          </cell>
          <cell r="F24">
            <v>1.9</v>
          </cell>
          <cell r="G24">
            <v>21.985714285714288</v>
          </cell>
          <cell r="H24">
            <v>21.985714285714288</v>
          </cell>
        </row>
        <row r="25">
          <cell r="B25">
            <v>37699</v>
          </cell>
          <cell r="C25">
            <v>26.5</v>
          </cell>
          <cell r="E25">
            <v>28.74</v>
          </cell>
          <cell r="F25">
            <v>1.9</v>
          </cell>
          <cell r="G25">
            <v>21.771428571428572</v>
          </cell>
          <cell r="H25">
            <v>21.771428571428572</v>
          </cell>
        </row>
        <row r="26">
          <cell r="B26">
            <v>37700</v>
          </cell>
          <cell r="C26">
            <v>25.8</v>
          </cell>
          <cell r="E26">
            <v>28.32</v>
          </cell>
          <cell r="F26">
            <v>1.9</v>
          </cell>
          <cell r="G26">
            <v>21.12857142857143</v>
          </cell>
          <cell r="H26">
            <v>21.12857142857143</v>
          </cell>
        </row>
        <row r="27">
          <cell r="B27">
            <v>37701</v>
          </cell>
          <cell r="C27">
            <v>24.8</v>
          </cell>
          <cell r="E27">
            <v>26.84</v>
          </cell>
          <cell r="F27">
            <v>1.9</v>
          </cell>
          <cell r="G27">
            <v>20.542857142857144</v>
          </cell>
          <cell r="H27">
            <v>20.542857142857144</v>
          </cell>
        </row>
        <row r="28">
          <cell r="B28">
            <v>37704</v>
          </cell>
          <cell r="C28">
            <v>24</v>
          </cell>
          <cell r="D28">
            <v>22.285714285714285</v>
          </cell>
          <cell r="E28">
            <v>24.82</v>
          </cell>
          <cell r="F28">
            <v>1.9</v>
          </cell>
          <cell r="G28">
            <v>21.00714285714286</v>
          </cell>
          <cell r="H28">
            <v>21.00714285714286</v>
          </cell>
        </row>
        <row r="29">
          <cell r="B29">
            <v>37705</v>
          </cell>
          <cell r="C29">
            <v>23.8</v>
          </cell>
          <cell r="D29">
            <v>23.071428571428573</v>
          </cell>
          <cell r="E29">
            <v>26.31</v>
          </cell>
          <cell r="F29">
            <v>1.9</v>
          </cell>
          <cell r="G29">
            <v>21.692857142857143</v>
          </cell>
          <cell r="H29">
            <v>21.692857142857143</v>
          </cell>
        </row>
        <row r="30">
          <cell r="B30">
            <v>37706</v>
          </cell>
          <cell r="E30">
            <v>26.78</v>
          </cell>
        </row>
        <row r="31">
          <cell r="B31">
            <v>37707</v>
          </cell>
          <cell r="C31">
            <v>24.5</v>
          </cell>
          <cell r="D31">
            <v>23.25</v>
          </cell>
          <cell r="E31">
            <v>25.93</v>
          </cell>
          <cell r="F31">
            <v>1.8</v>
          </cell>
          <cell r="G31">
            <v>21.692857142857143</v>
          </cell>
          <cell r="H31">
            <v>21.692857142857143</v>
          </cell>
        </row>
        <row r="32">
          <cell r="B32">
            <v>37708</v>
          </cell>
          <cell r="C32">
            <v>25.5</v>
          </cell>
          <cell r="D32">
            <v>24.214285714285715</v>
          </cell>
          <cell r="E32">
            <v>28.13</v>
          </cell>
          <cell r="F32">
            <v>2.2000000000000002</v>
          </cell>
          <cell r="G32">
            <v>22.671428571428571</v>
          </cell>
          <cell r="H32">
            <v>22.671428571428571</v>
          </cell>
        </row>
        <row r="33">
          <cell r="B33">
            <v>37711</v>
          </cell>
          <cell r="C33">
            <v>25.5</v>
          </cell>
          <cell r="D33">
            <v>24.464285714285715</v>
          </cell>
          <cell r="E33">
            <v>27.29</v>
          </cell>
          <cell r="F33">
            <v>2.2000000000000002</v>
          </cell>
          <cell r="G33">
            <v>22.24285714285714</v>
          </cell>
          <cell r="H33">
            <v>22.24285714285714</v>
          </cell>
        </row>
        <row r="34">
          <cell r="B34">
            <v>37712</v>
          </cell>
          <cell r="C34">
            <v>25.7</v>
          </cell>
          <cell r="D34">
            <v>25</v>
          </cell>
          <cell r="E34">
            <v>28.09</v>
          </cell>
          <cell r="F34">
            <v>2</v>
          </cell>
          <cell r="G34">
            <v>21.171428571428571</v>
          </cell>
          <cell r="H34">
            <v>21.171428571428571</v>
          </cell>
        </row>
        <row r="35">
          <cell r="B35">
            <v>37713</v>
          </cell>
          <cell r="C35">
            <v>24.2</v>
          </cell>
          <cell r="F35">
            <v>2</v>
          </cell>
          <cell r="G35">
            <v>20.385714285714283</v>
          </cell>
          <cell r="H35">
            <v>20.385714285714283</v>
          </cell>
        </row>
        <row r="36">
          <cell r="B36">
            <v>37714</v>
          </cell>
          <cell r="C36">
            <v>24</v>
          </cell>
          <cell r="E36">
            <v>25.37</v>
          </cell>
          <cell r="F36">
            <v>2.5</v>
          </cell>
          <cell r="G36">
            <v>19.671428571428571</v>
          </cell>
          <cell r="H36">
            <v>19.671428571428571</v>
          </cell>
        </row>
        <row r="37">
          <cell r="B37">
            <v>37715</v>
          </cell>
          <cell r="C37">
            <v>23.6</v>
          </cell>
          <cell r="D37">
            <v>22.321428571428573</v>
          </cell>
          <cell r="E37">
            <v>26.08</v>
          </cell>
          <cell r="F37">
            <v>2.5</v>
          </cell>
          <cell r="G37">
            <v>19.614285714285717</v>
          </cell>
          <cell r="H37">
            <v>19.614285714285717</v>
          </cell>
        </row>
        <row r="38">
          <cell r="B38">
            <v>37718</v>
          </cell>
          <cell r="C38">
            <v>22.7</v>
          </cell>
          <cell r="D38">
            <v>20.68</v>
          </cell>
          <cell r="E38">
            <v>24.91</v>
          </cell>
          <cell r="F38">
            <v>2.8</v>
          </cell>
          <cell r="G38">
            <v>18.114285714285714</v>
          </cell>
          <cell r="H38">
            <v>18.114285714285714</v>
          </cell>
        </row>
        <row r="39">
          <cell r="B39">
            <v>37720</v>
          </cell>
          <cell r="C39">
            <v>23.3</v>
          </cell>
          <cell r="D39">
            <v>21.714285714285715</v>
          </cell>
          <cell r="E39">
            <v>25.43</v>
          </cell>
          <cell r="F39">
            <v>3</v>
          </cell>
          <cell r="G39">
            <v>19.307142857142857</v>
          </cell>
          <cell r="H39">
            <v>19.307142857142857</v>
          </cell>
        </row>
        <row r="40">
          <cell r="B40">
            <v>37721</v>
          </cell>
          <cell r="C40">
            <v>23.8</v>
          </cell>
          <cell r="E40">
            <v>25.35</v>
          </cell>
          <cell r="F40">
            <v>3</v>
          </cell>
          <cell r="G40">
            <v>20.021428571428572</v>
          </cell>
          <cell r="H40">
            <v>20.021428571428572</v>
          </cell>
        </row>
        <row r="41">
          <cell r="B41">
            <v>37722</v>
          </cell>
          <cell r="D41">
            <v>21.535714285714285</v>
          </cell>
        </row>
        <row r="42">
          <cell r="B42">
            <v>37725</v>
          </cell>
          <cell r="C42">
            <v>23.3</v>
          </cell>
          <cell r="D42">
            <v>21.607142857142858</v>
          </cell>
          <cell r="E42">
            <v>24.26</v>
          </cell>
          <cell r="F42">
            <v>3</v>
          </cell>
        </row>
        <row r="43">
          <cell r="B43">
            <v>37726</v>
          </cell>
          <cell r="C43">
            <v>23.2</v>
          </cell>
          <cell r="D43">
            <v>21.535714285714285</v>
          </cell>
          <cell r="F43">
            <v>3</v>
          </cell>
          <cell r="G43">
            <v>19</v>
          </cell>
          <cell r="H43">
            <v>19</v>
          </cell>
        </row>
        <row r="44">
          <cell r="B44">
            <v>37727</v>
          </cell>
          <cell r="C44">
            <v>23.5</v>
          </cell>
          <cell r="F44">
            <v>3</v>
          </cell>
          <cell r="G44">
            <v>19.285714285714285</v>
          </cell>
          <cell r="H44">
            <v>19.285714285714285</v>
          </cell>
        </row>
        <row r="45">
          <cell r="B45">
            <v>37728</v>
          </cell>
          <cell r="C45">
            <v>23.9</v>
          </cell>
          <cell r="E45">
            <v>24.98</v>
          </cell>
          <cell r="F45">
            <v>3</v>
          </cell>
          <cell r="G45">
            <v>20.12857142857143</v>
          </cell>
          <cell r="H45">
            <v>20.12857142857143</v>
          </cell>
        </row>
        <row r="46">
          <cell r="B46">
            <v>37732</v>
          </cell>
          <cell r="C46">
            <v>23.9</v>
          </cell>
          <cell r="D46">
            <v>21.928571428571427</v>
          </cell>
          <cell r="E46">
            <v>25.4</v>
          </cell>
          <cell r="F46">
            <v>3</v>
          </cell>
          <cell r="G46">
            <v>20.771428571428572</v>
          </cell>
          <cell r="H46">
            <v>20.771428571428572</v>
          </cell>
        </row>
        <row r="47">
          <cell r="B47">
            <v>37733</v>
          </cell>
          <cell r="C47">
            <v>23.9</v>
          </cell>
          <cell r="D47">
            <v>22.142857142857142</v>
          </cell>
          <cell r="E47">
            <v>25.84</v>
          </cell>
          <cell r="F47">
            <v>3</v>
          </cell>
          <cell r="G47">
            <v>20.771428571428572</v>
          </cell>
          <cell r="H47">
            <v>20.771428571428572</v>
          </cell>
        </row>
        <row r="48">
          <cell r="B48">
            <v>37734</v>
          </cell>
          <cell r="C48">
            <v>23.6</v>
          </cell>
          <cell r="D48">
            <v>21.892857142857142</v>
          </cell>
          <cell r="E48">
            <v>25.8</v>
          </cell>
          <cell r="F48">
            <v>3</v>
          </cell>
          <cell r="G48">
            <v>20.7</v>
          </cell>
          <cell r="H48">
            <v>20.7</v>
          </cell>
        </row>
        <row r="49">
          <cell r="B49">
            <v>37735</v>
          </cell>
          <cell r="C49">
            <v>23.2</v>
          </cell>
          <cell r="D49">
            <v>21.357142857142858</v>
          </cell>
          <cell r="E49">
            <v>24.44</v>
          </cell>
          <cell r="F49">
            <v>3</v>
          </cell>
          <cell r="G49">
            <v>20.592857142857145</v>
          </cell>
          <cell r="H49">
            <v>20.592857142857145</v>
          </cell>
        </row>
        <row r="50">
          <cell r="B50">
            <v>37736</v>
          </cell>
          <cell r="C50">
            <v>23.2</v>
          </cell>
          <cell r="D50">
            <v>21.857142857142858</v>
          </cell>
          <cell r="F50">
            <v>3</v>
          </cell>
          <cell r="G50">
            <v>21.071428571428573</v>
          </cell>
          <cell r="H50">
            <v>21.071428571428573</v>
          </cell>
        </row>
        <row r="51">
          <cell r="B51">
            <v>37739</v>
          </cell>
          <cell r="D51">
            <v>21.785714285714285</v>
          </cell>
          <cell r="E51">
            <v>24.29</v>
          </cell>
          <cell r="G51">
            <v>21.285714285714285</v>
          </cell>
          <cell r="H51">
            <v>21.285714285714285</v>
          </cell>
        </row>
        <row r="52">
          <cell r="B52">
            <v>37740</v>
          </cell>
          <cell r="C52">
            <v>22.6</v>
          </cell>
          <cell r="D52">
            <v>21.607142857142858</v>
          </cell>
          <cell r="E52">
            <v>23.41</v>
          </cell>
          <cell r="F52">
            <v>3</v>
          </cell>
          <cell r="G52">
            <v>20.857142857142858</v>
          </cell>
          <cell r="H52">
            <v>20.857142857142858</v>
          </cell>
        </row>
        <row r="53">
          <cell r="B53">
            <v>37741</v>
          </cell>
          <cell r="C53">
            <v>22.9</v>
          </cell>
          <cell r="D53">
            <v>21.571428571428573</v>
          </cell>
          <cell r="E53">
            <v>22.97</v>
          </cell>
          <cell r="G53">
            <v>21</v>
          </cell>
          <cell r="H53">
            <v>21</v>
          </cell>
        </row>
        <row r="54">
          <cell r="B54">
            <v>37743</v>
          </cell>
          <cell r="C54">
            <v>23.3</v>
          </cell>
          <cell r="D54">
            <v>22.428571428571399</v>
          </cell>
          <cell r="F54">
            <v>3</v>
          </cell>
          <cell r="G54">
            <v>21.74285714285714</v>
          </cell>
          <cell r="H54">
            <v>21.74285714285714</v>
          </cell>
        </row>
        <row r="55">
          <cell r="B55">
            <v>37746</v>
          </cell>
          <cell r="C55">
            <v>23.3</v>
          </cell>
          <cell r="D55">
            <v>22.214285714285715</v>
          </cell>
          <cell r="E55">
            <v>23.12</v>
          </cell>
          <cell r="F55">
            <v>3</v>
          </cell>
          <cell r="G55">
            <v>21.599999999999998</v>
          </cell>
          <cell r="H55">
            <v>21.599999999999998</v>
          </cell>
        </row>
        <row r="56">
          <cell r="B56">
            <v>37747</v>
          </cell>
          <cell r="C56">
            <v>23.3</v>
          </cell>
          <cell r="D56">
            <v>23</v>
          </cell>
          <cell r="E56">
            <v>23.39</v>
          </cell>
          <cell r="F56">
            <v>2.8</v>
          </cell>
          <cell r="G56">
            <v>21.599999999999998</v>
          </cell>
          <cell r="H56">
            <v>21.599999999999998</v>
          </cell>
        </row>
        <row r="57">
          <cell r="B57">
            <v>37748</v>
          </cell>
          <cell r="C57">
            <v>23</v>
          </cell>
          <cell r="D57">
            <v>22.714285714285715</v>
          </cell>
          <cell r="E57">
            <v>23.69</v>
          </cell>
          <cell r="F57">
            <v>2.8</v>
          </cell>
          <cell r="G57">
            <v>21.421428571428571</v>
          </cell>
          <cell r="H57">
            <v>21.599999999999998</v>
          </cell>
        </row>
        <row r="58">
          <cell r="B58">
            <v>37749</v>
          </cell>
          <cell r="C58">
            <v>22.8</v>
          </cell>
          <cell r="D58">
            <v>22.928571428571427</v>
          </cell>
          <cell r="E58">
            <v>23.85</v>
          </cell>
          <cell r="F58">
            <v>2.8</v>
          </cell>
          <cell r="G58">
            <v>21.50714285714286</v>
          </cell>
          <cell r="H58">
            <v>21.50714285714286</v>
          </cell>
        </row>
        <row r="59">
          <cell r="B59">
            <v>37750</v>
          </cell>
          <cell r="C59">
            <v>23</v>
          </cell>
          <cell r="D59">
            <v>22.607142857142858</v>
          </cell>
          <cell r="E59">
            <v>24.75</v>
          </cell>
          <cell r="F59">
            <v>2.5</v>
          </cell>
          <cell r="G59">
            <v>21.292857142857144</v>
          </cell>
          <cell r="H59">
            <v>21.292857142857144</v>
          </cell>
        </row>
        <row r="60">
          <cell r="B60">
            <v>37753</v>
          </cell>
          <cell r="C60">
            <v>23</v>
          </cell>
          <cell r="D60">
            <v>23</v>
          </cell>
          <cell r="E60">
            <v>24.74</v>
          </cell>
          <cell r="F60">
            <v>2.15</v>
          </cell>
          <cell r="G60">
            <v>20.50714285714286</v>
          </cell>
          <cell r="H60">
            <v>20.50714285714286</v>
          </cell>
        </row>
        <row r="61">
          <cell r="B61">
            <v>37754</v>
          </cell>
          <cell r="C61">
            <v>22.8</v>
          </cell>
          <cell r="D61">
            <v>22.571428571428573</v>
          </cell>
          <cell r="E61">
            <v>25.3</v>
          </cell>
          <cell r="F61">
            <v>2</v>
          </cell>
        </row>
        <row r="62">
          <cell r="B62">
            <v>37755</v>
          </cell>
          <cell r="D62">
            <v>21.571428571428573</v>
          </cell>
          <cell r="E62">
            <v>26.28</v>
          </cell>
        </row>
        <row r="63">
          <cell r="B63">
            <v>37756</v>
          </cell>
          <cell r="E63">
            <v>26.8</v>
          </cell>
        </row>
        <row r="64">
          <cell r="B64">
            <v>37757</v>
          </cell>
          <cell r="C64">
            <v>23.3</v>
          </cell>
          <cell r="D64">
            <v>21.642857142857142</v>
          </cell>
          <cell r="E64">
            <v>26.36</v>
          </cell>
          <cell r="F64">
            <v>1.7</v>
          </cell>
          <cell r="G64">
            <v>20.764285714285712</v>
          </cell>
          <cell r="H64">
            <v>20.764285714285712</v>
          </cell>
        </row>
        <row r="65">
          <cell r="B65">
            <v>37760</v>
          </cell>
          <cell r="C65">
            <v>23.5</v>
          </cell>
          <cell r="D65">
            <v>21.607142857142858</v>
          </cell>
          <cell r="E65">
            <v>27.22</v>
          </cell>
          <cell r="F65">
            <v>1.5</v>
          </cell>
          <cell r="G65">
            <v>20.907142857142855</v>
          </cell>
          <cell r="H65">
            <v>20.907142857142855</v>
          </cell>
        </row>
        <row r="66">
          <cell r="B66">
            <v>37761</v>
          </cell>
          <cell r="C66">
            <v>23.5</v>
          </cell>
          <cell r="D66">
            <v>21.214285714285715</v>
          </cell>
          <cell r="E66">
            <v>27.323699999999999</v>
          </cell>
          <cell r="F66">
            <v>1.5</v>
          </cell>
          <cell r="G66">
            <v>20.478571428571428</v>
          </cell>
          <cell r="H66">
            <v>20.478571428571428</v>
          </cell>
        </row>
        <row r="67">
          <cell r="B67">
            <v>37762</v>
          </cell>
          <cell r="C67">
            <v>23.2</v>
          </cell>
          <cell r="D67">
            <v>21.321428571428573</v>
          </cell>
          <cell r="F67">
            <v>1.4</v>
          </cell>
          <cell r="G67">
            <v>20.478571428571428</v>
          </cell>
          <cell r="H67">
            <v>20.478571428571428</v>
          </cell>
        </row>
        <row r="68">
          <cell r="B68">
            <v>37763</v>
          </cell>
          <cell r="C68">
            <v>23.3</v>
          </cell>
          <cell r="D68">
            <v>21.535714285714285</v>
          </cell>
          <cell r="F68">
            <v>1.3</v>
          </cell>
          <cell r="G68">
            <v>20.835714285714285</v>
          </cell>
          <cell r="H68">
            <v>20.835714285714285</v>
          </cell>
        </row>
        <row r="69">
          <cell r="B69">
            <v>37764</v>
          </cell>
          <cell r="C69">
            <v>23.5</v>
          </cell>
          <cell r="D69">
            <v>21.678571428571427</v>
          </cell>
          <cell r="E69">
            <v>26.78</v>
          </cell>
          <cell r="F69">
            <v>1.3</v>
          </cell>
          <cell r="G69">
            <v>21.599999999999998</v>
          </cell>
          <cell r="H69">
            <v>21.599999999999998</v>
          </cell>
        </row>
        <row r="70">
          <cell r="B70">
            <v>37767</v>
          </cell>
          <cell r="C70">
            <v>23.7</v>
          </cell>
          <cell r="D70">
            <v>22.571428571428573</v>
          </cell>
          <cell r="F70">
            <v>1.3</v>
          </cell>
          <cell r="G70">
            <v>21.814285714285713</v>
          </cell>
          <cell r="H70">
            <v>21.814285714285713</v>
          </cell>
        </row>
        <row r="71">
          <cell r="B71">
            <v>37768</v>
          </cell>
          <cell r="C71">
            <v>23.7</v>
          </cell>
          <cell r="D71">
            <v>22.571428571428573</v>
          </cell>
          <cell r="E71">
            <v>26.78</v>
          </cell>
          <cell r="F71">
            <v>1.3</v>
          </cell>
          <cell r="G71">
            <v>22.24285714285714</v>
          </cell>
          <cell r="H71">
            <v>22.24285714285714</v>
          </cell>
        </row>
        <row r="72">
          <cell r="B72">
            <v>37769</v>
          </cell>
          <cell r="C72">
            <v>23.5</v>
          </cell>
          <cell r="D72">
            <v>22.785714285714285</v>
          </cell>
          <cell r="E72">
            <v>26.88</v>
          </cell>
          <cell r="F72">
            <v>1.3</v>
          </cell>
          <cell r="G72">
            <v>22.171428571428571</v>
          </cell>
          <cell r="H72">
            <v>22.171428571428571</v>
          </cell>
        </row>
        <row r="73">
          <cell r="B73">
            <v>37770</v>
          </cell>
          <cell r="C73">
            <v>23.2</v>
          </cell>
          <cell r="D73">
            <v>22.285714285714285</v>
          </cell>
          <cell r="E73">
            <v>26.06</v>
          </cell>
          <cell r="F73">
            <v>1.3</v>
          </cell>
          <cell r="G73">
            <v>21.099999999999998</v>
          </cell>
          <cell r="H73">
            <v>21.028571428571428</v>
          </cell>
        </row>
        <row r="74">
          <cell r="B74">
            <v>37771</v>
          </cell>
          <cell r="C74">
            <v>23.2</v>
          </cell>
          <cell r="D74">
            <v>22.321428571428573</v>
          </cell>
          <cell r="E74">
            <v>26.32</v>
          </cell>
          <cell r="F74">
            <v>1.3</v>
          </cell>
          <cell r="H74">
            <v>21.485714285714288</v>
          </cell>
        </row>
        <row r="75">
          <cell r="B75">
            <v>37774</v>
          </cell>
          <cell r="C75">
            <v>23.3</v>
          </cell>
          <cell r="D75">
            <v>22.642857142857142</v>
          </cell>
          <cell r="E75">
            <v>26.63</v>
          </cell>
          <cell r="F75">
            <v>1.3</v>
          </cell>
          <cell r="H75">
            <v>21.592857142857145</v>
          </cell>
        </row>
        <row r="76">
          <cell r="B76">
            <v>37775</v>
          </cell>
          <cell r="C76">
            <v>23.3</v>
          </cell>
          <cell r="D76">
            <v>23.035714285714285</v>
          </cell>
          <cell r="E76">
            <v>27.87</v>
          </cell>
          <cell r="F76">
            <v>1.3</v>
          </cell>
          <cell r="H76">
            <v>22.021428571428572</v>
          </cell>
        </row>
        <row r="77">
          <cell r="B77">
            <v>37776</v>
          </cell>
          <cell r="C77">
            <v>23.8</v>
          </cell>
          <cell r="D77">
            <v>23.107142857142858</v>
          </cell>
          <cell r="E77">
            <v>28.09</v>
          </cell>
          <cell r="F77">
            <v>1.3</v>
          </cell>
          <cell r="G77">
            <v>22.04</v>
          </cell>
          <cell r="H77">
            <v>21.971428571428572</v>
          </cell>
        </row>
        <row r="78">
          <cell r="B78">
            <v>37777</v>
          </cell>
          <cell r="C78">
            <v>23.8</v>
          </cell>
          <cell r="D78">
            <v>22.607142857142858</v>
          </cell>
          <cell r="E78">
            <v>27.57</v>
          </cell>
          <cell r="F78">
            <v>1.3</v>
          </cell>
          <cell r="G78">
            <v>21.900000000000002</v>
          </cell>
          <cell r="H78">
            <v>21.828571428571429</v>
          </cell>
        </row>
        <row r="79">
          <cell r="B79">
            <v>37778</v>
          </cell>
          <cell r="C79">
            <v>24</v>
          </cell>
          <cell r="D79">
            <v>23.357142857142858</v>
          </cell>
          <cell r="E79">
            <v>27.68</v>
          </cell>
          <cell r="F79">
            <v>1.1000000000000001</v>
          </cell>
          <cell r="G79">
            <v>22.307142857142857</v>
          </cell>
          <cell r="H79">
            <v>22.235714285714288</v>
          </cell>
        </row>
        <row r="80">
          <cell r="B80">
            <v>37781</v>
          </cell>
          <cell r="C80">
            <v>23.8</v>
          </cell>
          <cell r="D80">
            <v>23.5</v>
          </cell>
          <cell r="E80">
            <v>28.56</v>
          </cell>
          <cell r="F80">
            <v>1</v>
          </cell>
          <cell r="G80">
            <v>22.271428571428572</v>
          </cell>
          <cell r="H80">
            <v>22.201428571428572</v>
          </cell>
        </row>
        <row r="81">
          <cell r="B81">
            <v>37782</v>
          </cell>
          <cell r="C81">
            <v>23.8</v>
          </cell>
          <cell r="D81">
            <v>23.571428571428601</v>
          </cell>
          <cell r="E81">
            <v>28.38</v>
          </cell>
          <cell r="F81">
            <v>1</v>
          </cell>
          <cell r="G81">
            <v>22.12857142857143</v>
          </cell>
          <cell r="H81">
            <v>22.05857142857143</v>
          </cell>
        </row>
        <row r="82">
          <cell r="B82">
            <v>37783</v>
          </cell>
          <cell r="C82">
            <v>23.8</v>
          </cell>
          <cell r="D82">
            <v>23.571428571428601</v>
          </cell>
          <cell r="E82">
            <v>28.52</v>
          </cell>
          <cell r="F82">
            <v>1</v>
          </cell>
          <cell r="G82">
            <v>22.271428571428572</v>
          </cell>
          <cell r="H82">
            <v>22.201428571428572</v>
          </cell>
        </row>
        <row r="83">
          <cell r="B83">
            <v>37784</v>
          </cell>
          <cell r="C83">
            <v>24</v>
          </cell>
          <cell r="D83">
            <v>23.714285714285701</v>
          </cell>
          <cell r="E83">
            <v>28.47</v>
          </cell>
          <cell r="F83">
            <v>0.9</v>
          </cell>
          <cell r="G83">
            <v>22.528571428571428</v>
          </cell>
          <cell r="H83">
            <v>22.458571428571428</v>
          </cell>
        </row>
        <row r="84">
          <cell r="B84">
            <v>37785</v>
          </cell>
          <cell r="C84">
            <v>23.5</v>
          </cell>
          <cell r="D84">
            <v>23.571428571428601</v>
          </cell>
          <cell r="E84">
            <v>28.87</v>
          </cell>
          <cell r="F84">
            <v>0.7</v>
          </cell>
          <cell r="G84">
            <v>22.3</v>
          </cell>
          <cell r="H84">
            <v>22.23</v>
          </cell>
        </row>
        <row r="85">
          <cell r="B85">
            <v>37788</v>
          </cell>
          <cell r="C85">
            <v>23.5</v>
          </cell>
          <cell r="D85">
            <v>23.285714285714285</v>
          </cell>
          <cell r="E85">
            <v>28.63</v>
          </cell>
          <cell r="F85">
            <v>0.7</v>
          </cell>
          <cell r="G85">
            <v>22.335714285714285</v>
          </cell>
          <cell r="H85">
            <v>22.265714285714285</v>
          </cell>
        </row>
        <row r="86">
          <cell r="B86">
            <v>37789</v>
          </cell>
          <cell r="C86">
            <v>23.5</v>
          </cell>
          <cell r="D86">
            <v>23.785714285714285</v>
          </cell>
          <cell r="E86">
            <v>27.21</v>
          </cell>
          <cell r="F86">
            <v>0.7</v>
          </cell>
          <cell r="G86">
            <v>22.085714285714285</v>
          </cell>
          <cell r="H86">
            <v>22.015714285714285</v>
          </cell>
        </row>
        <row r="87">
          <cell r="B87">
            <v>37790</v>
          </cell>
          <cell r="C87">
            <v>23.5</v>
          </cell>
          <cell r="D87">
            <v>24.214285714285715</v>
          </cell>
          <cell r="E87">
            <v>26.97</v>
          </cell>
          <cell r="F87">
            <v>0.5</v>
          </cell>
          <cell r="G87">
            <v>22.157142857142855</v>
          </cell>
          <cell r="H87">
            <v>22.087142857142855</v>
          </cell>
        </row>
        <row r="88">
          <cell r="B88">
            <v>37791</v>
          </cell>
          <cell r="C88">
            <v>23.2</v>
          </cell>
          <cell r="D88">
            <v>24</v>
          </cell>
          <cell r="E88">
            <v>26.55</v>
          </cell>
          <cell r="F88">
            <v>0.5</v>
          </cell>
          <cell r="G88">
            <v>22.478571428571428</v>
          </cell>
          <cell r="H88">
            <v>22.478571428571428</v>
          </cell>
        </row>
        <row r="89">
          <cell r="B89">
            <v>37792</v>
          </cell>
          <cell r="C89">
            <v>23</v>
          </cell>
          <cell r="D89">
            <v>24.142857142857142</v>
          </cell>
          <cell r="E89">
            <v>26.43</v>
          </cell>
          <cell r="F89">
            <v>0.5</v>
          </cell>
          <cell r="G89">
            <v>22.764285714285712</v>
          </cell>
          <cell r="H89">
            <v>22.764285714285712</v>
          </cell>
        </row>
        <row r="90">
          <cell r="B90">
            <v>37795</v>
          </cell>
          <cell r="C90">
            <v>23</v>
          </cell>
          <cell r="D90">
            <v>24.464285714285715</v>
          </cell>
          <cell r="E90">
            <v>27.37</v>
          </cell>
          <cell r="F90">
            <v>0.5</v>
          </cell>
          <cell r="G90">
            <v>22.157142857142855</v>
          </cell>
        </row>
        <row r="91">
          <cell r="B91">
            <v>37796</v>
          </cell>
          <cell r="D91">
            <v>24.428571428571399</v>
          </cell>
          <cell r="E91">
            <v>26.97</v>
          </cell>
        </row>
        <row r="92">
          <cell r="B92">
            <v>37797</v>
          </cell>
          <cell r="C92">
            <v>22.9</v>
          </cell>
          <cell r="D92">
            <v>24.25</v>
          </cell>
          <cell r="E92">
            <v>26.78</v>
          </cell>
          <cell r="F92">
            <v>0.4</v>
          </cell>
          <cell r="G92">
            <v>22.585714285714285</v>
          </cell>
          <cell r="H92">
            <v>22.585714285714285</v>
          </cell>
        </row>
        <row r="93">
          <cell r="B93">
            <v>37798</v>
          </cell>
          <cell r="C93">
            <v>23.2</v>
          </cell>
          <cell r="D93">
            <v>24.928571428571427</v>
          </cell>
          <cell r="E93">
            <v>27.64</v>
          </cell>
          <cell r="F93">
            <v>0.4</v>
          </cell>
          <cell r="G93">
            <v>23.192857142857143</v>
          </cell>
          <cell r="H93">
            <v>23.192857142857143</v>
          </cell>
        </row>
        <row r="94">
          <cell r="B94">
            <v>37799</v>
          </cell>
          <cell r="C94">
            <v>23.1</v>
          </cell>
          <cell r="E94">
            <v>26.69</v>
          </cell>
          <cell r="F94">
            <v>0.4</v>
          </cell>
          <cell r="G94">
            <v>23.05</v>
          </cell>
          <cell r="H94">
            <v>23.05</v>
          </cell>
        </row>
        <row r="95">
          <cell r="B95">
            <v>37802</v>
          </cell>
          <cell r="C95">
            <v>23.3</v>
          </cell>
          <cell r="D95">
            <v>24.785714285714285</v>
          </cell>
          <cell r="E95">
            <v>27.25</v>
          </cell>
          <cell r="F95">
            <v>0.4</v>
          </cell>
          <cell r="G95">
            <v>23.264285714285712</v>
          </cell>
          <cell r="H95">
            <v>23.264285714285712</v>
          </cell>
        </row>
        <row r="96">
          <cell r="B96">
            <v>37803</v>
          </cell>
          <cell r="C96">
            <v>23.6</v>
          </cell>
          <cell r="D96">
            <v>25.142857142857142</v>
          </cell>
          <cell r="E96">
            <v>28.45</v>
          </cell>
          <cell r="F96">
            <v>0.4</v>
          </cell>
          <cell r="G96">
            <v>23.835714285714285</v>
          </cell>
          <cell r="H96">
            <v>23.978571428571428</v>
          </cell>
        </row>
        <row r="97">
          <cell r="B97">
            <v>37804</v>
          </cell>
          <cell r="C97">
            <v>23.6</v>
          </cell>
          <cell r="F97">
            <v>0.4</v>
          </cell>
          <cell r="G97">
            <v>24.55</v>
          </cell>
          <cell r="H97">
            <v>24.55</v>
          </cell>
        </row>
        <row r="98">
          <cell r="B98">
            <v>37805</v>
          </cell>
          <cell r="C98">
            <v>23.7</v>
          </cell>
          <cell r="D98">
            <v>25.535714285714285</v>
          </cell>
          <cell r="E98">
            <v>28.16</v>
          </cell>
          <cell r="F98">
            <v>0.4</v>
          </cell>
          <cell r="G98">
            <v>24.657142857142855</v>
          </cell>
          <cell r="H98">
            <v>24.657142857142855</v>
          </cell>
        </row>
        <row r="99">
          <cell r="B99">
            <v>37806</v>
          </cell>
          <cell r="C99">
            <v>23.5</v>
          </cell>
          <cell r="D99">
            <v>25.785714285714285</v>
          </cell>
          <cell r="E99">
            <v>28.39</v>
          </cell>
          <cell r="F99">
            <v>0.4</v>
          </cell>
          <cell r="G99">
            <v>23.971428571428572</v>
          </cell>
          <cell r="H99">
            <v>23.971428571428572</v>
          </cell>
        </row>
        <row r="100">
          <cell r="B100">
            <v>37809</v>
          </cell>
          <cell r="C100">
            <v>23.5</v>
          </cell>
          <cell r="F100">
            <v>0.4</v>
          </cell>
          <cell r="G100">
            <v>23.935714285714287</v>
          </cell>
          <cell r="H100">
            <v>23.935714285714287</v>
          </cell>
        </row>
        <row r="101">
          <cell r="B101">
            <v>37810</v>
          </cell>
          <cell r="C101">
            <v>23.3</v>
          </cell>
          <cell r="D101">
            <v>24.892857142857142</v>
          </cell>
          <cell r="E101">
            <v>27.81</v>
          </cell>
          <cell r="F101">
            <v>0.5</v>
          </cell>
          <cell r="G101">
            <v>23.292857142857144</v>
          </cell>
          <cell r="H101">
            <v>23.292857142857144</v>
          </cell>
        </row>
        <row r="102">
          <cell r="B102">
            <v>37811</v>
          </cell>
          <cell r="C102">
            <v>23.3</v>
          </cell>
          <cell r="E102">
            <v>27.97</v>
          </cell>
          <cell r="F102">
            <v>0.5</v>
          </cell>
          <cell r="G102">
            <v>23.792857142857144</v>
          </cell>
        </row>
        <row r="103">
          <cell r="B103">
            <v>37812</v>
          </cell>
          <cell r="C103">
            <v>23.3</v>
          </cell>
          <cell r="D103">
            <v>25.607142857142858</v>
          </cell>
          <cell r="E103">
            <v>28.59</v>
          </cell>
          <cell r="F103">
            <v>0.5</v>
          </cell>
          <cell r="G103">
            <v>24.292857142857144</v>
          </cell>
          <cell r="H103">
            <v>24.292857142857144</v>
          </cell>
        </row>
        <row r="104">
          <cell r="B104">
            <v>37813</v>
          </cell>
          <cell r="C104">
            <v>23.6</v>
          </cell>
          <cell r="D104">
            <v>25.642857142857142</v>
          </cell>
          <cell r="E104">
            <v>28.6</v>
          </cell>
          <cell r="F104">
            <v>0.6</v>
          </cell>
          <cell r="G104">
            <v>24.435714285714287</v>
          </cell>
          <cell r="H104">
            <v>24.435714285714287</v>
          </cell>
        </row>
        <row r="105">
          <cell r="B105">
            <v>37816</v>
          </cell>
          <cell r="C105">
            <v>23.8</v>
          </cell>
          <cell r="D105">
            <v>25.892857142857142</v>
          </cell>
          <cell r="E105">
            <v>28.88</v>
          </cell>
          <cell r="F105">
            <v>0.6</v>
          </cell>
          <cell r="G105">
            <v>24.721428571428572</v>
          </cell>
          <cell r="H105">
            <v>24.721428571428572</v>
          </cell>
        </row>
        <row r="106">
          <cell r="B106">
            <v>37817</v>
          </cell>
          <cell r="C106">
            <v>23.8</v>
          </cell>
          <cell r="D106">
            <v>26</v>
          </cell>
          <cell r="E106">
            <v>29.05</v>
          </cell>
          <cell r="F106">
            <v>0.6</v>
          </cell>
          <cell r="G106">
            <v>24.578571428571429</v>
          </cell>
          <cell r="H106">
            <v>24.578571428571429</v>
          </cell>
        </row>
        <row r="107">
          <cell r="B107">
            <v>37818</v>
          </cell>
          <cell r="C107">
            <v>23.8</v>
          </cell>
          <cell r="F107">
            <v>0.6</v>
          </cell>
          <cell r="G107">
            <v>24.435714285714287</v>
          </cell>
          <cell r="H107">
            <v>24.435714285714287</v>
          </cell>
        </row>
        <row r="109">
          <cell r="B109">
            <v>37819</v>
          </cell>
          <cell r="C109">
            <v>23.8</v>
          </cell>
          <cell r="D109">
            <v>25.714285714285715</v>
          </cell>
          <cell r="E109">
            <v>28.53</v>
          </cell>
          <cell r="F109">
            <v>0.6</v>
          </cell>
          <cell r="G109">
            <v>24.292857142857144</v>
          </cell>
          <cell r="H109">
            <v>24.292857142857144</v>
          </cell>
        </row>
        <row r="110">
          <cell r="B110">
            <v>37820</v>
          </cell>
          <cell r="C110">
            <v>23.8</v>
          </cell>
          <cell r="D110">
            <v>25.607142857142858</v>
          </cell>
          <cell r="E110">
            <v>28.83</v>
          </cell>
          <cell r="F110">
            <v>0.6</v>
          </cell>
          <cell r="G110">
            <v>24.221428571428572</v>
          </cell>
          <cell r="H110">
            <v>24.221428571428572</v>
          </cell>
        </row>
        <row r="111">
          <cell r="B111">
            <v>37823</v>
          </cell>
          <cell r="C111">
            <v>23.9</v>
          </cell>
          <cell r="D111">
            <v>25.25</v>
          </cell>
          <cell r="E111">
            <v>29.19</v>
          </cell>
          <cell r="F111">
            <v>0.6</v>
          </cell>
          <cell r="G111">
            <v>23.971428571428572</v>
          </cell>
          <cell r="H111">
            <v>23.971428571428572</v>
          </cell>
        </row>
        <row r="112">
          <cell r="B112">
            <v>37824</v>
          </cell>
          <cell r="C112">
            <v>23.6</v>
          </cell>
          <cell r="E112">
            <v>28.98</v>
          </cell>
          <cell r="F112">
            <v>0.6</v>
          </cell>
          <cell r="G112">
            <v>23.50714285714286</v>
          </cell>
          <cell r="H112">
            <v>23.50714285714286</v>
          </cell>
        </row>
        <row r="113">
          <cell r="B113">
            <v>37825</v>
          </cell>
          <cell r="C113">
            <v>23.1</v>
          </cell>
          <cell r="E113">
            <v>27.63</v>
          </cell>
          <cell r="F113">
            <v>0.6</v>
          </cell>
          <cell r="G113">
            <v>23.078571428571429</v>
          </cell>
          <cell r="H113">
            <v>23.078571428571429</v>
          </cell>
        </row>
        <row r="114">
          <cell r="B114">
            <v>37826</v>
          </cell>
          <cell r="C114">
            <v>23.1</v>
          </cell>
          <cell r="D114">
            <v>24.392857142857142</v>
          </cell>
          <cell r="E114">
            <v>27.89</v>
          </cell>
          <cell r="F114">
            <v>0.6</v>
          </cell>
          <cell r="G114">
            <v>23.364285714285717</v>
          </cell>
          <cell r="H114">
            <v>23.364285714285717</v>
          </cell>
        </row>
        <row r="115">
          <cell r="B115">
            <v>37827</v>
          </cell>
          <cell r="C115">
            <v>23.1</v>
          </cell>
          <cell r="D115">
            <v>24.535714285714285</v>
          </cell>
          <cell r="E115">
            <v>28.31</v>
          </cell>
          <cell r="F115">
            <v>0.6</v>
          </cell>
          <cell r="G115">
            <v>23.292857142857144</v>
          </cell>
          <cell r="H115">
            <v>23.292857142857144</v>
          </cell>
        </row>
        <row r="116">
          <cell r="B116">
            <v>37830</v>
          </cell>
          <cell r="C116">
            <v>23.1</v>
          </cell>
          <cell r="D116">
            <v>24.178571428571427</v>
          </cell>
          <cell r="E116">
            <v>28.32</v>
          </cell>
          <cell r="F116">
            <v>0.6</v>
          </cell>
          <cell r="G116">
            <v>22.721428571428572</v>
          </cell>
          <cell r="H116">
            <v>22.721428571428572</v>
          </cell>
        </row>
        <row r="117">
          <cell r="B117">
            <v>37831</v>
          </cell>
          <cell r="C117">
            <v>23</v>
          </cell>
          <cell r="E117">
            <v>27.87</v>
          </cell>
          <cell r="F117">
            <v>0.6</v>
          </cell>
          <cell r="G117">
            <v>22.721428571428572</v>
          </cell>
          <cell r="H117">
            <v>22.721428571428572</v>
          </cell>
        </row>
        <row r="118">
          <cell r="B118">
            <v>37832</v>
          </cell>
          <cell r="C118">
            <v>23</v>
          </cell>
          <cell r="D118">
            <v>24.035714285714285</v>
          </cell>
          <cell r="F118">
            <v>0.6</v>
          </cell>
          <cell r="G118">
            <v>23.078571428571429</v>
          </cell>
          <cell r="H118">
            <v>23.078571428571429</v>
          </cell>
        </row>
        <row r="119">
          <cell r="B119">
            <v>37833</v>
          </cell>
          <cell r="C119">
            <v>22.9</v>
          </cell>
          <cell r="D119">
            <v>24.5</v>
          </cell>
          <cell r="E119">
            <v>28.58</v>
          </cell>
          <cell r="F119">
            <v>0.2</v>
          </cell>
          <cell r="G119">
            <v>23.185714285714287</v>
          </cell>
          <cell r="H119">
            <v>23.185714285714287</v>
          </cell>
        </row>
        <row r="120">
          <cell r="B120">
            <v>37834</v>
          </cell>
          <cell r="C120">
            <v>22.9</v>
          </cell>
          <cell r="D120">
            <v>24.214285714285715</v>
          </cell>
          <cell r="E120">
            <v>28.48</v>
          </cell>
          <cell r="F120">
            <v>0.2</v>
          </cell>
          <cell r="G120">
            <v>23.035714285714285</v>
          </cell>
          <cell r="H120">
            <v>23.035714285714285</v>
          </cell>
        </row>
        <row r="121">
          <cell r="B121">
            <v>37837</v>
          </cell>
          <cell r="C121">
            <v>23.2</v>
          </cell>
          <cell r="F121">
            <v>0.2</v>
          </cell>
          <cell r="G121">
            <v>23.107142857142858</v>
          </cell>
          <cell r="H121">
            <v>23.107142857142858</v>
          </cell>
        </row>
        <row r="122">
          <cell r="B122">
            <v>37838</v>
          </cell>
          <cell r="C122">
            <v>23.2</v>
          </cell>
          <cell r="D122">
            <v>24.5</v>
          </cell>
          <cell r="E122">
            <v>29.88</v>
          </cell>
          <cell r="F122">
            <v>0.3</v>
          </cell>
          <cell r="G122">
            <v>22.642857142857142</v>
          </cell>
          <cell r="H122">
            <v>22.642857142857142</v>
          </cell>
        </row>
        <row r="123">
          <cell r="B123">
            <v>37839</v>
          </cell>
          <cell r="C123">
            <v>23.5</v>
          </cell>
          <cell r="D123">
            <v>24.571428571428573</v>
          </cell>
          <cell r="F123">
            <v>0.4</v>
          </cell>
          <cell r="G123">
            <v>23.214285714285715</v>
          </cell>
          <cell r="H123">
            <v>23.214285714285715</v>
          </cell>
        </row>
        <row r="124">
          <cell r="B124">
            <v>37840</v>
          </cell>
          <cell r="C124">
            <v>23.4</v>
          </cell>
          <cell r="D124">
            <v>24.428571428571399</v>
          </cell>
          <cell r="E124">
            <v>29.75</v>
          </cell>
          <cell r="F124">
            <v>0.4</v>
          </cell>
          <cell r="G124">
            <v>23</v>
          </cell>
          <cell r="H124">
            <v>23</v>
          </cell>
        </row>
        <row r="125">
          <cell r="B125">
            <v>37841</v>
          </cell>
          <cell r="C125">
            <v>23.6</v>
          </cell>
          <cell r="D125">
            <v>25</v>
          </cell>
          <cell r="E125">
            <v>30.92</v>
          </cell>
          <cell r="F125">
            <v>0.4</v>
          </cell>
          <cell r="G125">
            <v>22.849999999999998</v>
          </cell>
          <cell r="H125">
            <v>23.24285714285714</v>
          </cell>
        </row>
        <row r="126">
          <cell r="B126">
            <v>37844</v>
          </cell>
          <cell r="C126">
            <v>23.5</v>
          </cell>
          <cell r="D126">
            <v>24.928571428571427</v>
          </cell>
          <cell r="F126">
            <v>0.4</v>
          </cell>
          <cell r="G126">
            <v>23.24285714285714</v>
          </cell>
          <cell r="H126">
            <v>22.849999999999998</v>
          </cell>
        </row>
        <row r="127">
          <cell r="B127">
            <v>37845</v>
          </cell>
          <cell r="C127">
            <v>23.3</v>
          </cell>
          <cell r="D127">
            <v>24.678571428571427</v>
          </cell>
          <cell r="F127">
            <v>0.5</v>
          </cell>
          <cell r="G127">
            <v>22.74285714285714</v>
          </cell>
          <cell r="H127">
            <v>22.74285714285714</v>
          </cell>
        </row>
        <row r="128">
          <cell r="B128">
            <v>37846</v>
          </cell>
          <cell r="C128">
            <v>23.3</v>
          </cell>
          <cell r="D128">
            <v>24.571428571428601</v>
          </cell>
          <cell r="E128">
            <v>30.11</v>
          </cell>
          <cell r="F128">
            <v>0.5</v>
          </cell>
          <cell r="G128">
            <v>22.814285714285713</v>
          </cell>
          <cell r="H128">
            <v>22.671428571428571</v>
          </cell>
        </row>
        <row r="129">
          <cell r="B129">
            <v>37847</v>
          </cell>
          <cell r="C129">
            <v>23</v>
          </cell>
          <cell r="D129">
            <v>23.821428571428573</v>
          </cell>
          <cell r="E129">
            <v>29.56</v>
          </cell>
          <cell r="F129">
            <v>0.5</v>
          </cell>
          <cell r="G129">
            <v>22.335714285714285</v>
          </cell>
          <cell r="H129">
            <v>22.335714285714285</v>
          </cell>
        </row>
        <row r="130">
          <cell r="B130">
            <v>37848</v>
          </cell>
          <cell r="C130">
            <v>23</v>
          </cell>
          <cell r="D130">
            <v>24.071428571428573</v>
          </cell>
          <cell r="F130">
            <v>0.5</v>
          </cell>
          <cell r="G130">
            <v>22.55</v>
          </cell>
          <cell r="H130">
            <v>22.55</v>
          </cell>
        </row>
        <row r="131">
          <cell r="B131">
            <v>37851</v>
          </cell>
          <cell r="C131">
            <v>23</v>
          </cell>
          <cell r="D131">
            <v>23.678571428571427</v>
          </cell>
          <cell r="E131">
            <v>29.28</v>
          </cell>
          <cell r="F131">
            <v>0.5</v>
          </cell>
          <cell r="G131">
            <v>22.478571428571428</v>
          </cell>
          <cell r="H131">
            <v>22.478571428571428</v>
          </cell>
        </row>
        <row r="132">
          <cell r="B132">
            <v>37852</v>
          </cell>
          <cell r="C132">
            <v>22.9</v>
          </cell>
          <cell r="E132">
            <v>29.07</v>
          </cell>
          <cell r="F132">
            <v>0.5</v>
          </cell>
          <cell r="G132">
            <v>22.192857142857143</v>
          </cell>
          <cell r="H132">
            <v>22.192857142857143</v>
          </cell>
        </row>
        <row r="133">
          <cell r="B133">
            <v>37853</v>
          </cell>
          <cell r="D133">
            <v>23.678571428571427</v>
          </cell>
          <cell r="E133">
            <v>28.92</v>
          </cell>
          <cell r="H133">
            <v>21.728571428571428</v>
          </cell>
        </row>
        <row r="134">
          <cell r="B134">
            <v>37854</v>
          </cell>
          <cell r="C134">
            <v>23</v>
          </cell>
          <cell r="D134">
            <v>23.357142857142858</v>
          </cell>
          <cell r="F134">
            <v>0.5</v>
          </cell>
          <cell r="G134">
            <v>21.764285714285712</v>
          </cell>
          <cell r="H134">
            <v>21.764285714285712</v>
          </cell>
        </row>
        <row r="135">
          <cell r="B135">
            <v>37855</v>
          </cell>
          <cell r="C135">
            <v>23.1</v>
          </cell>
          <cell r="D135">
            <v>23.57</v>
          </cell>
          <cell r="E135">
            <v>30.01</v>
          </cell>
          <cell r="F135">
            <v>0.5</v>
          </cell>
          <cell r="G135">
            <v>22.114285714285717</v>
          </cell>
          <cell r="H135">
            <v>22.114285714285717</v>
          </cell>
        </row>
        <row r="136">
          <cell r="B136">
            <v>37858</v>
          </cell>
          <cell r="C136">
            <v>23.1</v>
          </cell>
          <cell r="D136">
            <v>23.607142857142858</v>
          </cell>
          <cell r="E136">
            <v>30.12</v>
          </cell>
          <cell r="F136">
            <v>0.5</v>
          </cell>
          <cell r="G136">
            <v>22.364285714285717</v>
          </cell>
          <cell r="H136">
            <v>22.364285714285717</v>
          </cell>
        </row>
        <row r="137">
          <cell r="B137">
            <v>37859</v>
          </cell>
          <cell r="C137">
            <v>23.1</v>
          </cell>
          <cell r="D137">
            <v>23.642857142857142</v>
          </cell>
          <cell r="E137">
            <v>30.26</v>
          </cell>
          <cell r="F137">
            <v>0.5</v>
          </cell>
          <cell r="G137">
            <v>22.185714285714287</v>
          </cell>
          <cell r="H137">
            <v>22.185714285714287</v>
          </cell>
        </row>
        <row r="138">
          <cell r="B138">
            <v>37860</v>
          </cell>
          <cell r="C138">
            <v>23.7</v>
          </cell>
          <cell r="E138">
            <v>29.72</v>
          </cell>
          <cell r="F138">
            <v>0.5</v>
          </cell>
          <cell r="G138">
            <v>22.150000000000002</v>
          </cell>
          <cell r="H138">
            <v>22.150000000000002</v>
          </cell>
        </row>
        <row r="139">
          <cell r="B139">
            <v>37861</v>
          </cell>
          <cell r="C139">
            <v>23.6</v>
          </cell>
          <cell r="D139">
            <v>23.428571428571399</v>
          </cell>
          <cell r="E139">
            <v>29.72</v>
          </cell>
          <cell r="F139">
            <v>0.5</v>
          </cell>
          <cell r="G139">
            <v>22.185714285714287</v>
          </cell>
          <cell r="H139">
            <v>22.185714285714287</v>
          </cell>
        </row>
        <row r="140">
          <cell r="B140">
            <v>37862</v>
          </cell>
          <cell r="C140">
            <v>23.7</v>
          </cell>
          <cell r="D140">
            <v>24.071428571428573</v>
          </cell>
          <cell r="E140">
            <v>29.97</v>
          </cell>
          <cell r="F140">
            <v>0.6</v>
          </cell>
          <cell r="G140">
            <v>22.278571428571428</v>
          </cell>
          <cell r="H140">
            <v>22.278571428571428</v>
          </cell>
        </row>
        <row r="141">
          <cell r="B141">
            <v>37865</v>
          </cell>
          <cell r="C141">
            <v>23.7</v>
          </cell>
          <cell r="D141">
            <v>23.785714285714285</v>
          </cell>
          <cell r="E141">
            <v>30.01</v>
          </cell>
          <cell r="F141">
            <v>0.6</v>
          </cell>
          <cell r="H141">
            <v>22.349999999999998</v>
          </cell>
        </row>
        <row r="142">
          <cell r="B142">
            <v>37866</v>
          </cell>
          <cell r="C142">
            <v>23.6</v>
          </cell>
          <cell r="E142">
            <v>29.62</v>
          </cell>
          <cell r="F142">
            <v>0.6</v>
          </cell>
          <cell r="G142">
            <v>23.592857142857145</v>
          </cell>
          <cell r="H142">
            <v>22.349999999999998</v>
          </cell>
        </row>
        <row r="143">
          <cell r="B143">
            <v>37867</v>
          </cell>
          <cell r="C143">
            <v>23.2</v>
          </cell>
          <cell r="D143">
            <v>23.142857142857142</v>
          </cell>
          <cell r="E143">
            <v>27.84</v>
          </cell>
          <cell r="F143">
            <v>0.6</v>
          </cell>
          <cell r="G143">
            <v>23.035714285714285</v>
          </cell>
          <cell r="H143">
            <v>21.707142857142856</v>
          </cell>
        </row>
        <row r="144">
          <cell r="B144">
            <v>37868</v>
          </cell>
          <cell r="C144">
            <v>23.1</v>
          </cell>
          <cell r="D144">
            <v>23.071428571428573</v>
          </cell>
          <cell r="E144">
            <v>27.95</v>
          </cell>
          <cell r="F144">
            <v>0.6</v>
          </cell>
          <cell r="G144">
            <v>22.821428571428573</v>
          </cell>
          <cell r="H144">
            <v>21.778571428571428</v>
          </cell>
        </row>
        <row r="145">
          <cell r="B145">
            <v>37869</v>
          </cell>
          <cell r="C145">
            <v>22.8</v>
          </cell>
          <cell r="E145">
            <v>27.61</v>
          </cell>
          <cell r="F145">
            <v>0.8</v>
          </cell>
          <cell r="G145">
            <v>22.571428571428573</v>
          </cell>
          <cell r="H145">
            <v>21.24285714285714</v>
          </cell>
        </row>
        <row r="146">
          <cell r="B146">
            <v>37872</v>
          </cell>
          <cell r="C146">
            <v>22.8</v>
          </cell>
          <cell r="E146">
            <v>27.55</v>
          </cell>
          <cell r="F146">
            <v>0.8</v>
          </cell>
          <cell r="G146">
            <v>22.678571428571427</v>
          </cell>
          <cell r="H146">
            <v>21.349999999999998</v>
          </cell>
        </row>
        <row r="147">
          <cell r="B147">
            <v>37873</v>
          </cell>
          <cell r="C147">
            <v>22.8</v>
          </cell>
          <cell r="E147">
            <v>27.5</v>
          </cell>
          <cell r="F147">
            <v>0.8</v>
          </cell>
          <cell r="G147">
            <v>22.821428571428573</v>
          </cell>
          <cell r="H147">
            <v>21.49285714285714</v>
          </cell>
        </row>
        <row r="148">
          <cell r="B148">
            <v>37874</v>
          </cell>
          <cell r="C148">
            <v>23</v>
          </cell>
          <cell r="D148">
            <v>22.892857142857142</v>
          </cell>
          <cell r="E148">
            <v>27.57</v>
          </cell>
          <cell r="F148">
            <v>0.8</v>
          </cell>
          <cell r="G148">
            <v>23.035714285714285</v>
          </cell>
          <cell r="H148">
            <v>21.707142857142856</v>
          </cell>
        </row>
        <row r="149">
          <cell r="B149">
            <v>37875</v>
          </cell>
          <cell r="C149">
            <v>23</v>
          </cell>
          <cell r="D149">
            <v>23.285714285714285</v>
          </cell>
          <cell r="E149">
            <v>27.78</v>
          </cell>
          <cell r="F149">
            <v>0.8</v>
          </cell>
          <cell r="G149">
            <v>23.178571428571427</v>
          </cell>
          <cell r="H149">
            <v>21.849999999999998</v>
          </cell>
        </row>
        <row r="150">
          <cell r="B150">
            <v>37876</v>
          </cell>
          <cell r="C150">
            <v>23</v>
          </cell>
          <cell r="D150">
            <v>22.928571428571427</v>
          </cell>
          <cell r="E150">
            <v>27.25</v>
          </cell>
          <cell r="F150">
            <v>1</v>
          </cell>
          <cell r="G150">
            <v>22.964285714285715</v>
          </cell>
          <cell r="H150">
            <v>21.585714285714285</v>
          </cell>
        </row>
        <row r="151">
          <cell r="B151">
            <v>37879</v>
          </cell>
          <cell r="C151">
            <v>22.9</v>
          </cell>
          <cell r="D151">
            <v>22.785714285714285</v>
          </cell>
          <cell r="E151">
            <v>26.68</v>
          </cell>
          <cell r="F151">
            <v>1</v>
          </cell>
        </row>
        <row r="152">
          <cell r="B152">
            <v>37880</v>
          </cell>
          <cell r="C152">
            <v>22.9</v>
          </cell>
          <cell r="D152">
            <v>22.785714285714285</v>
          </cell>
          <cell r="E152">
            <v>26.78</v>
          </cell>
          <cell r="F152">
            <v>1</v>
          </cell>
          <cell r="H152">
            <v>21.407142857142855</v>
          </cell>
        </row>
        <row r="153">
          <cell r="B153">
            <v>37881</v>
          </cell>
          <cell r="C153">
            <v>22.8</v>
          </cell>
          <cell r="E153">
            <v>26.28</v>
          </cell>
          <cell r="F153">
            <v>1</v>
          </cell>
          <cell r="H153">
            <v>20.978571428571428</v>
          </cell>
        </row>
        <row r="154">
          <cell r="B154">
            <v>37882</v>
          </cell>
          <cell r="C154">
            <v>22.8</v>
          </cell>
          <cell r="D154">
            <v>22.357142857142858</v>
          </cell>
          <cell r="E154">
            <v>25.73</v>
          </cell>
          <cell r="F154">
            <v>1</v>
          </cell>
          <cell r="H154">
            <v>20.62142857142857</v>
          </cell>
        </row>
        <row r="155">
          <cell r="B155">
            <v>37883</v>
          </cell>
          <cell r="C155">
            <v>22.8</v>
          </cell>
          <cell r="F155">
            <v>1</v>
          </cell>
          <cell r="H155">
            <v>20.692857142857143</v>
          </cell>
        </row>
        <row r="156">
          <cell r="B156">
            <v>37886</v>
          </cell>
          <cell r="C156">
            <v>22.6</v>
          </cell>
          <cell r="D156">
            <v>22.107142857142858</v>
          </cell>
          <cell r="E156">
            <v>25.49</v>
          </cell>
          <cell r="F156">
            <v>1</v>
          </cell>
          <cell r="H156">
            <v>20.335714285714285</v>
          </cell>
        </row>
        <row r="157">
          <cell r="B157">
            <v>37888</v>
          </cell>
          <cell r="C157">
            <v>22.8</v>
          </cell>
          <cell r="D157">
            <v>22.107142857142858</v>
          </cell>
          <cell r="E157">
            <v>25.67</v>
          </cell>
          <cell r="F157">
            <v>1</v>
          </cell>
          <cell r="H157">
            <v>20.478571428571428</v>
          </cell>
        </row>
        <row r="158">
          <cell r="B158">
            <v>37889</v>
          </cell>
          <cell r="C158">
            <v>23.8</v>
          </cell>
          <cell r="D158">
            <v>22.75</v>
          </cell>
          <cell r="E158">
            <v>26.88</v>
          </cell>
          <cell r="F158">
            <v>0.8</v>
          </cell>
          <cell r="H158">
            <v>21.271428571428572</v>
          </cell>
        </row>
        <row r="159">
          <cell r="B159">
            <v>37890</v>
          </cell>
          <cell r="C159">
            <v>23.6</v>
          </cell>
          <cell r="F159">
            <v>1</v>
          </cell>
          <cell r="H159">
            <v>20.900000000000002</v>
          </cell>
        </row>
        <row r="160">
          <cell r="B160">
            <v>37893</v>
          </cell>
          <cell r="C160">
            <v>23.9</v>
          </cell>
          <cell r="D160">
            <v>22.857142857142858</v>
          </cell>
          <cell r="F160">
            <v>1</v>
          </cell>
          <cell r="H160">
            <v>21.292857142857144</v>
          </cell>
        </row>
        <row r="161">
          <cell r="B161">
            <v>37894</v>
          </cell>
          <cell r="C161">
            <v>24</v>
          </cell>
          <cell r="D161">
            <v>23.071428571428573</v>
          </cell>
          <cell r="F161">
            <v>1</v>
          </cell>
          <cell r="H161">
            <v>21.542857142857144</v>
          </cell>
        </row>
        <row r="162">
          <cell r="B162">
            <v>37895</v>
          </cell>
          <cell r="C162">
            <v>24.2</v>
          </cell>
          <cell r="D162">
            <v>23.428571428571427</v>
          </cell>
          <cell r="E162">
            <v>28.26</v>
          </cell>
          <cell r="F162">
            <v>1</v>
          </cell>
          <cell r="H162">
            <v>21.971428571428572</v>
          </cell>
        </row>
        <row r="163">
          <cell r="B163">
            <v>37896</v>
          </cell>
          <cell r="C163">
            <v>24.5</v>
          </cell>
          <cell r="D163">
            <v>23.821428571428573</v>
          </cell>
          <cell r="F163">
            <v>1.2</v>
          </cell>
          <cell r="H163">
            <v>22.364285714285717</v>
          </cell>
        </row>
        <row r="164">
          <cell r="B164">
            <v>37897</v>
          </cell>
          <cell r="C164">
            <v>24.8</v>
          </cell>
          <cell r="E164">
            <v>28.86</v>
          </cell>
          <cell r="F164">
            <v>1.2</v>
          </cell>
          <cell r="H164">
            <v>22.142857142857142</v>
          </cell>
        </row>
        <row r="165">
          <cell r="B165">
            <v>37900</v>
          </cell>
          <cell r="C165">
            <v>25.1</v>
          </cell>
          <cell r="D165">
            <v>24.428571428571427</v>
          </cell>
          <cell r="E165">
            <v>29.29</v>
          </cell>
          <cell r="F165">
            <v>1.3</v>
          </cell>
          <cell r="H165">
            <v>22.821428571428573</v>
          </cell>
        </row>
        <row r="166">
          <cell r="B166">
            <v>37901</v>
          </cell>
          <cell r="C166">
            <v>24.9</v>
          </cell>
          <cell r="D166">
            <v>24.214285714285715</v>
          </cell>
          <cell r="E166">
            <v>29.5</v>
          </cell>
          <cell r="F166">
            <v>1.3</v>
          </cell>
          <cell r="H166">
            <v>22.357142857142858</v>
          </cell>
        </row>
        <row r="167">
          <cell r="B167">
            <v>37902</v>
          </cell>
          <cell r="C167">
            <v>24.9</v>
          </cell>
          <cell r="D167">
            <v>24.071428571428573</v>
          </cell>
          <cell r="E167">
            <v>29.63</v>
          </cell>
          <cell r="F167">
            <v>1.3</v>
          </cell>
          <cell r="H167">
            <v>22.178571428571427</v>
          </cell>
        </row>
        <row r="168">
          <cell r="B168">
            <v>37903</v>
          </cell>
          <cell r="C168">
            <v>24.7</v>
          </cell>
          <cell r="D168">
            <v>23.535714285714285</v>
          </cell>
          <cell r="E168">
            <v>29.13</v>
          </cell>
          <cell r="F168">
            <v>1.3</v>
          </cell>
          <cell r="H168">
            <v>22.035714285714285</v>
          </cell>
        </row>
        <row r="169">
          <cell r="B169">
            <v>37904</v>
          </cell>
          <cell r="C169">
            <v>25.6</v>
          </cell>
          <cell r="D169">
            <v>24.428571428571427</v>
          </cell>
          <cell r="E169">
            <v>30.41</v>
          </cell>
          <cell r="F169">
            <v>1.3</v>
          </cell>
          <cell r="H169">
            <v>22.650000000000002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000000"/>
      <sheetName val="INPUT"/>
      <sheetName val="PJT검색"/>
      <sheetName val="PJT_LIST"/>
      <sheetName val="사양비교표"/>
      <sheetName val="끝"/>
    </sheetNames>
    <sheetDataSet>
      <sheetData sheetId="0" refreshError="1"/>
      <sheetData sheetId="1" refreshError="1">
        <row r="4">
          <cell r="E4" t="str">
            <v>T01019B</v>
          </cell>
        </row>
        <row r="5">
          <cell r="E5" t="str">
            <v>GE</v>
          </cell>
        </row>
        <row r="6">
          <cell r="E6">
            <v>37117</v>
          </cell>
        </row>
        <row r="7">
          <cell r="E7" t="str">
            <v>GE 7FB</v>
          </cell>
        </row>
        <row r="8">
          <cell r="E8" t="str">
            <v>170MW X 3</v>
          </cell>
        </row>
        <row r="9">
          <cell r="E9" t="str">
            <v>240MW X 1</v>
          </cell>
        </row>
        <row r="10">
          <cell r="E10" t="str">
            <v>HT</v>
          </cell>
        </row>
        <row r="11">
          <cell r="E11" t="str">
            <v>김진일</v>
          </cell>
        </row>
        <row r="12">
          <cell r="E12" t="str">
            <v>NG</v>
          </cell>
          <cell r="G12" t="str">
            <v>NG</v>
          </cell>
        </row>
        <row r="13">
          <cell r="E13">
            <v>452.72</v>
          </cell>
          <cell r="G13">
            <v>3593072.0390400002</v>
          </cell>
        </row>
        <row r="14">
          <cell r="E14">
            <v>626.66999999999996</v>
          </cell>
          <cell r="G14">
            <v>1160.0059999999999</v>
          </cell>
        </row>
        <row r="15">
          <cell r="E15">
            <v>74.44</v>
          </cell>
          <cell r="G15">
            <v>165.99199999999999</v>
          </cell>
        </row>
        <row r="16">
          <cell r="E16">
            <v>15</v>
          </cell>
          <cell r="G16">
            <v>59</v>
          </cell>
        </row>
        <row r="17">
          <cell r="E17">
            <v>42.35</v>
          </cell>
          <cell r="G17">
            <v>17.000560500000002</v>
          </cell>
        </row>
        <row r="18">
          <cell r="E18">
            <v>701.67</v>
          </cell>
          <cell r="G18">
            <v>1295.0059999999999</v>
          </cell>
        </row>
        <row r="19">
          <cell r="E19">
            <v>67.11</v>
          </cell>
          <cell r="G19">
            <v>228.98871539999999</v>
          </cell>
        </row>
        <row r="20">
          <cell r="E20">
            <v>80.86</v>
          </cell>
          <cell r="G20">
            <v>641756.06351999997</v>
          </cell>
        </row>
        <row r="21">
          <cell r="E21">
            <v>566.66999999999996</v>
          </cell>
          <cell r="G21">
            <v>1052.0059999999999</v>
          </cell>
        </row>
        <row r="22">
          <cell r="E22">
            <v>136.22</v>
          </cell>
          <cell r="G22">
            <v>1961.0116660000001</v>
          </cell>
        </row>
        <row r="23">
          <cell r="E23">
            <v>85.27</v>
          </cell>
          <cell r="G23">
            <v>676756.61063999997</v>
          </cell>
        </row>
        <row r="24">
          <cell r="E24">
            <v>566.66999999999996</v>
          </cell>
          <cell r="G24">
            <v>1052.0059999999999</v>
          </cell>
        </row>
        <row r="25">
          <cell r="E25">
            <v>36.450000000000003</v>
          </cell>
          <cell r="G25">
            <v>513.9675400000001</v>
          </cell>
        </row>
        <row r="26">
          <cell r="E26">
            <v>3.89</v>
          </cell>
          <cell r="G26">
            <v>30873.498479999998</v>
          </cell>
        </row>
        <row r="27">
          <cell r="E27">
            <v>332.78</v>
          </cell>
          <cell r="G27">
            <v>631.00400000000002</v>
          </cell>
        </row>
        <row r="28">
          <cell r="E28">
            <v>39.97</v>
          </cell>
          <cell r="G28">
            <v>565.02091599999994</v>
          </cell>
        </row>
        <row r="29">
          <cell r="E29">
            <v>4.8499999999999996</v>
          </cell>
          <cell r="G29">
            <v>38492.665199999996</v>
          </cell>
        </row>
        <row r="30">
          <cell r="E30">
            <v>166.67</v>
          </cell>
          <cell r="G30">
            <v>332.00599999999997</v>
          </cell>
        </row>
        <row r="31">
          <cell r="E31">
            <v>7.36</v>
          </cell>
          <cell r="G31">
            <v>92.051997999999998</v>
          </cell>
        </row>
        <row r="32">
          <cell r="E32">
            <v>50</v>
          </cell>
          <cell r="G32">
            <v>122</v>
          </cell>
        </row>
        <row r="33">
          <cell r="E33">
            <v>38.33</v>
          </cell>
          <cell r="G33">
            <v>100.994</v>
          </cell>
        </row>
        <row r="34">
          <cell r="E34">
            <v>157.38999999999999</v>
          </cell>
          <cell r="G34">
            <v>2268.0571119999995</v>
          </cell>
        </row>
        <row r="35">
          <cell r="E35">
            <v>236.06</v>
          </cell>
          <cell r="G35">
            <v>3409.071058</v>
          </cell>
        </row>
        <row r="36">
          <cell r="E36">
            <v>38.869999999999997</v>
          </cell>
          <cell r="G36">
            <v>549.06673599999999</v>
          </cell>
        </row>
        <row r="37">
          <cell r="E37">
            <v>46.04</v>
          </cell>
          <cell r="G37">
            <v>653.05898200000001</v>
          </cell>
        </row>
        <row r="38">
          <cell r="E38">
            <v>96.71</v>
          </cell>
          <cell r="G38">
            <v>1387.9665279999999</v>
          </cell>
        </row>
        <row r="39">
          <cell r="E39">
            <v>9.36</v>
          </cell>
          <cell r="G39">
            <v>121.05959799999998</v>
          </cell>
        </row>
        <row r="40">
          <cell r="E40">
            <v>37.49</v>
          </cell>
          <cell r="G40">
            <v>529.05149200000005</v>
          </cell>
        </row>
        <row r="41">
          <cell r="E41">
            <v>14</v>
          </cell>
          <cell r="G41">
            <v>14</v>
          </cell>
        </row>
        <row r="42">
          <cell r="E42">
            <v>2</v>
          </cell>
          <cell r="G42">
            <v>2</v>
          </cell>
        </row>
        <row r="43">
          <cell r="E43">
            <v>18.7</v>
          </cell>
          <cell r="G43">
            <v>61.351707999999995</v>
          </cell>
        </row>
        <row r="44">
          <cell r="E44">
            <v>7460</v>
          </cell>
          <cell r="G44">
            <v>24475.0664</v>
          </cell>
        </row>
        <row r="45">
          <cell r="E45">
            <v>28.210999999999999</v>
          </cell>
          <cell r="G45">
            <v>92.555777239999998</v>
          </cell>
        </row>
        <row r="46">
          <cell r="E46">
            <v>84</v>
          </cell>
          <cell r="G46">
            <v>84</v>
          </cell>
        </row>
        <row r="47">
          <cell r="E47">
            <v>89</v>
          </cell>
          <cell r="G47">
            <v>89</v>
          </cell>
        </row>
        <row r="48">
          <cell r="E48">
            <v>7476</v>
          </cell>
          <cell r="G48">
            <v>7476</v>
          </cell>
        </row>
        <row r="49">
          <cell r="E49">
            <v>195036</v>
          </cell>
          <cell r="G49">
            <v>2099349.9507599999</v>
          </cell>
        </row>
        <row r="50">
          <cell r="E50">
            <v>1056000</v>
          </cell>
          <cell r="G50">
            <v>2328078.7200000002</v>
          </cell>
        </row>
        <row r="51">
          <cell r="E51">
            <v>1981</v>
          </cell>
          <cell r="G51">
            <v>77.99212598425197</v>
          </cell>
        </row>
        <row r="52">
          <cell r="E52">
            <v>10209</v>
          </cell>
          <cell r="G52">
            <v>33.494095559999998</v>
          </cell>
        </row>
        <row r="53">
          <cell r="E53" t="str">
            <v>-</v>
          </cell>
          <cell r="G53" t="str">
            <v>-</v>
          </cell>
        </row>
        <row r="54">
          <cell r="E54">
            <v>1549.4</v>
          </cell>
          <cell r="G54">
            <v>61</v>
          </cell>
        </row>
        <row r="55">
          <cell r="E55">
            <v>7000</v>
          </cell>
          <cell r="G55">
            <v>22.965880000000002</v>
          </cell>
        </row>
        <row r="56">
          <cell r="E56">
            <v>5</v>
          </cell>
          <cell r="G56">
            <v>5</v>
          </cell>
        </row>
        <row r="57">
          <cell r="E57">
            <v>2896</v>
          </cell>
          <cell r="G57">
            <v>114.01574803149607</v>
          </cell>
        </row>
        <row r="58">
          <cell r="E58">
            <v>9200</v>
          </cell>
          <cell r="G58">
            <v>30.183727999999999</v>
          </cell>
        </row>
        <row r="59">
          <cell r="E59">
            <v>7</v>
          </cell>
          <cell r="G59">
            <v>7</v>
          </cell>
        </row>
        <row r="60">
          <cell r="E60">
            <v>56.4</v>
          </cell>
          <cell r="G60">
            <v>185.039376</v>
          </cell>
        </row>
        <row r="61">
          <cell r="E61">
            <v>5.6</v>
          </cell>
          <cell r="G61">
            <v>18.372703999999999</v>
          </cell>
        </row>
        <row r="62">
          <cell r="E62" t="str">
            <v>-</v>
          </cell>
          <cell r="G62" t="str">
            <v>-</v>
          </cell>
        </row>
        <row r="63">
          <cell r="E63" t="str">
            <v>X</v>
          </cell>
        </row>
        <row r="64">
          <cell r="E64" t="str">
            <v>O</v>
          </cell>
        </row>
        <row r="65">
          <cell r="E65" t="str">
            <v>X</v>
          </cell>
        </row>
        <row r="66">
          <cell r="E66" t="str">
            <v>X</v>
          </cell>
        </row>
        <row r="67">
          <cell r="E67" t="str">
            <v>X</v>
          </cell>
        </row>
        <row r="68">
          <cell r="E68" t="str">
            <v>O</v>
          </cell>
        </row>
        <row r="69">
          <cell r="E69" t="str">
            <v>X</v>
          </cell>
        </row>
        <row r="70">
          <cell r="E70" t="str">
            <v>X</v>
          </cell>
        </row>
        <row r="71">
          <cell r="E71" t="str">
            <v>X</v>
          </cell>
        </row>
        <row r="72">
          <cell r="E72" t="str">
            <v>X</v>
          </cell>
        </row>
        <row r="73">
          <cell r="E73" t="str">
            <v>X</v>
          </cell>
        </row>
        <row r="74">
          <cell r="E74" t="str">
            <v>O</v>
          </cell>
        </row>
        <row r="75">
          <cell r="E75" t="str">
            <v>O</v>
          </cell>
        </row>
        <row r="76">
          <cell r="E76" t="str">
            <v>X</v>
          </cell>
        </row>
        <row r="77">
          <cell r="E77" t="str">
            <v>X</v>
          </cell>
        </row>
        <row r="78">
          <cell r="E78" t="str">
            <v>X</v>
          </cell>
        </row>
        <row r="79">
          <cell r="E79" t="str">
            <v>X</v>
          </cell>
        </row>
        <row r="80">
          <cell r="E80" t="str">
            <v>O</v>
          </cell>
        </row>
        <row r="81">
          <cell r="E81" t="str">
            <v>X</v>
          </cell>
        </row>
        <row r="82">
          <cell r="E82" t="str">
            <v>X</v>
          </cell>
        </row>
        <row r="83">
          <cell r="E83" t="str">
            <v>X</v>
          </cell>
        </row>
        <row r="84">
          <cell r="E84" t="str">
            <v>X</v>
          </cell>
        </row>
        <row r="85">
          <cell r="E85" t="str">
            <v>O</v>
          </cell>
        </row>
        <row r="86">
          <cell r="E86" t="str">
            <v>X</v>
          </cell>
        </row>
        <row r="87">
          <cell r="E87" t="str">
            <v>X</v>
          </cell>
        </row>
        <row r="88">
          <cell r="E88" t="str">
            <v>X</v>
          </cell>
        </row>
        <row r="89">
          <cell r="E89" t="str">
            <v>X</v>
          </cell>
        </row>
        <row r="90">
          <cell r="E90" t="str">
            <v>X</v>
          </cell>
        </row>
        <row r="91">
          <cell r="E91" t="str">
            <v>X</v>
          </cell>
        </row>
        <row r="92">
          <cell r="E92" t="str">
            <v/>
          </cell>
        </row>
        <row r="93">
          <cell r="E93" t="str">
            <v/>
          </cell>
        </row>
        <row r="94">
          <cell r="E94" t="str">
            <v/>
          </cell>
        </row>
        <row r="95">
          <cell r="E95" t="str">
            <v/>
          </cell>
        </row>
        <row r="96">
          <cell r="E96" t="str">
            <v/>
          </cell>
        </row>
        <row r="97">
          <cell r="E97" t="str">
            <v/>
          </cell>
        </row>
        <row r="98">
          <cell r="E98" t="str">
            <v/>
          </cell>
        </row>
        <row r="99">
          <cell r="E99" t="str">
            <v/>
          </cell>
        </row>
      </sheetData>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2001 02 Est.at Existing Tariff"/>
      <sheetName val="Financial Estimates"/>
      <sheetName val="Sheet1"/>
      <sheetName val="Sheet2"/>
      <sheetName val="Sheet3"/>
      <sheetName val="#REF"/>
    </sheetNames>
    <sheetDataSet>
      <sheetData sheetId="0" refreshError="1"/>
      <sheetData sheetId="1" refreshError="1">
        <row r="8">
          <cell r="A8" t="str">
            <v>AI.</v>
          </cell>
          <cell r="B8" t="str">
            <v>ENERGY DISTRIBUTED(MUS)</v>
          </cell>
        </row>
        <row r="10">
          <cell r="A10">
            <v>1</v>
          </cell>
          <cell r="B10" t="str">
            <v>SALES TO TPC'S CONSUMERS</v>
          </cell>
        </row>
        <row r="11">
          <cell r="B11" t="str">
            <v>TEXTILES</v>
          </cell>
        </row>
        <row r="12">
          <cell r="B12" t="str">
            <v>HT INDUSTRIES</v>
          </cell>
        </row>
        <row r="13">
          <cell r="B13" t="str">
            <v>HT COMMERCIAL</v>
          </cell>
        </row>
        <row r="14">
          <cell r="B14" t="str">
            <v>LT INDUSTRIES (SINGLE PART) (incl.Resi.)</v>
          </cell>
        </row>
        <row r="15">
          <cell r="B15" t="str">
            <v>LT INDUSTRIES (TWO PART)</v>
          </cell>
        </row>
        <row r="16">
          <cell r="B16" t="str">
            <v>LT COMMERCIAL (SINGLE PART)</v>
          </cell>
        </row>
        <row r="17">
          <cell r="B17" t="str">
            <v>LT COMMERCIAL (TWO PART)</v>
          </cell>
        </row>
        <row r="18">
          <cell r="B18" t="str">
            <v>RESIDENTIAL</v>
          </cell>
        </row>
        <row r="19">
          <cell r="B19" t="str">
            <v>RAILWAYS(INCL.INTERCHANGE)</v>
          </cell>
        </row>
        <row r="21">
          <cell r="B21" t="str">
            <v>TOTAL (DIRECT CONSUMERS)</v>
          </cell>
        </row>
        <row r="23">
          <cell r="B23" t="str">
            <v>BEST</v>
          </cell>
        </row>
        <row r="24">
          <cell r="B24" t="str">
            <v>BSES (22 KV/ 33 KV SUPPLY)</v>
          </cell>
        </row>
        <row r="25">
          <cell r="B25" t="str">
            <v>BSES (220 KV INTERCONNECTION)</v>
          </cell>
        </row>
        <row r="26">
          <cell r="B26" t="str">
            <v>BSES (TOTAL)</v>
          </cell>
        </row>
        <row r="28">
          <cell r="B28" t="str">
            <v>BEST &amp; BSES- TOTAL</v>
          </cell>
        </row>
        <row r="30">
          <cell r="B30" t="str">
            <v>TOTAL SALES</v>
          </cell>
        </row>
        <row r="33">
          <cell r="A33">
            <v>2</v>
          </cell>
          <cell r="B33" t="str">
            <v>ENERGY ASSISTANCE TO MSEB</v>
          </cell>
        </row>
        <row r="35">
          <cell r="A35">
            <v>3</v>
          </cell>
          <cell r="B35" t="str">
            <v>SALES TO OTHER STATE UTILITIES</v>
          </cell>
        </row>
        <row r="37">
          <cell r="A37">
            <v>4</v>
          </cell>
          <cell r="B37" t="str">
            <v>TOTAL SALES INCLUDING MSEB AND OTHER STATES</v>
          </cell>
        </row>
        <row r="39">
          <cell r="A39">
            <v>5</v>
          </cell>
          <cell r="B39" t="str">
            <v>22 KV WHEELING FOR MSEB</v>
          </cell>
        </row>
        <row r="41">
          <cell r="A41">
            <v>6</v>
          </cell>
          <cell r="B41" t="str">
            <v xml:space="preserve">TOTAL ENERGY DISTRIBUTED </v>
          </cell>
        </row>
        <row r="43">
          <cell r="A43" t="str">
            <v>AII.</v>
          </cell>
          <cell r="B43" t="str">
            <v>RKVAH (MUs)</v>
          </cell>
        </row>
        <row r="45">
          <cell r="B45" t="str">
            <v>TEXTILES</v>
          </cell>
        </row>
        <row r="46">
          <cell r="B46" t="str">
            <v>HT INDUSTRIES</v>
          </cell>
        </row>
        <row r="47">
          <cell r="B47" t="str">
            <v>HT COMMERCIAL</v>
          </cell>
        </row>
        <row r="48">
          <cell r="B48" t="str">
            <v>LT INDUSTRIES (TWO PART TARIFF)</v>
          </cell>
        </row>
        <row r="49">
          <cell r="B49" t="str">
            <v>LT COMMERCIAL (TWO PART TARIFF)</v>
          </cell>
        </row>
        <row r="50">
          <cell r="B50" t="str">
            <v>RAILWAYS(INCL.INTERCHANGE)</v>
          </cell>
        </row>
        <row r="52">
          <cell r="B52" t="str">
            <v>TOTAL TEX./IND./COMM/RLYS</v>
          </cell>
        </row>
        <row r="54">
          <cell r="B54" t="str">
            <v>BEST</v>
          </cell>
        </row>
        <row r="55">
          <cell r="B55" t="str">
            <v>BSES (22 KV)</v>
          </cell>
        </row>
        <row r="56">
          <cell r="B56" t="str">
            <v>BSES (220 KV)</v>
          </cell>
        </row>
        <row r="58">
          <cell r="B58" t="str">
            <v>TOTAL</v>
          </cell>
        </row>
        <row r="61">
          <cell r="A61" t="str">
            <v>AII.</v>
          </cell>
          <cell r="B61" t="str">
            <v>MAXIMUM DEMAND (MVA)</v>
          </cell>
        </row>
        <row r="63">
          <cell r="B63" t="str">
            <v>TEXTILES</v>
          </cell>
        </row>
        <row r="64">
          <cell r="B64" t="str">
            <v>HT INDUSTRIES</v>
          </cell>
        </row>
        <row r="65">
          <cell r="B65" t="str">
            <v>HT COMMERCIAL</v>
          </cell>
        </row>
        <row r="66">
          <cell r="B66" t="str">
            <v>LT INDUSTRIES (TWO PART TARIFF)</v>
          </cell>
        </row>
        <row r="67">
          <cell r="B67" t="str">
            <v>LT COMMERCIAL (TWO PART TARIFF)</v>
          </cell>
        </row>
        <row r="68">
          <cell r="B68" t="str">
            <v>RAILWAYS(INCL.INTERCHANGE)</v>
          </cell>
        </row>
        <row r="70">
          <cell r="B70" t="str">
            <v>TOTAL (DIRECT CONSUMERS)</v>
          </cell>
        </row>
        <row r="72">
          <cell r="B72" t="str">
            <v>BEST</v>
          </cell>
        </row>
        <row r="73">
          <cell r="B73" t="str">
            <v>BSES (22 KV/ 33 KV SUPPLY)</v>
          </cell>
        </row>
        <row r="75">
          <cell r="B75" t="str">
            <v>TOTAL</v>
          </cell>
        </row>
        <row r="78">
          <cell r="A78" t="str">
            <v>B.</v>
          </cell>
          <cell r="B78" t="str">
            <v>TPC GENERATION(MUS)</v>
          </cell>
        </row>
        <row r="80">
          <cell r="A80">
            <v>1</v>
          </cell>
          <cell r="B80" t="str">
            <v>HYDRO</v>
          </cell>
        </row>
        <row r="81">
          <cell r="B81" t="str">
            <v>FROM NATURAL SOURCE OF WATER</v>
          </cell>
        </row>
        <row r="82">
          <cell r="B82" t="str">
            <v>PEAKING ENERGY FROM PUMPED WATER</v>
          </cell>
        </row>
        <row r="83">
          <cell r="B83" t="str">
            <v>TOTAL</v>
          </cell>
        </row>
        <row r="85">
          <cell r="A85">
            <v>2</v>
          </cell>
          <cell r="B85" t="str">
            <v>THERMAL</v>
          </cell>
        </row>
        <row r="86">
          <cell r="B86" t="str">
            <v>UNIT NO.4</v>
          </cell>
        </row>
        <row r="87">
          <cell r="B87" t="str">
            <v>UNIT NO.5</v>
          </cell>
        </row>
        <row r="88">
          <cell r="B88" t="str">
            <v>UNIT NO.6</v>
          </cell>
        </row>
        <row r="89">
          <cell r="B89" t="str">
            <v>UNIT NOS.7 AS GT</v>
          </cell>
        </row>
        <row r="90">
          <cell r="B90" t="str">
            <v>UNIT NO.7</v>
          </cell>
        </row>
        <row r="92">
          <cell r="B92" t="str">
            <v>TOTAL THERMAL GENERATION</v>
          </cell>
        </row>
        <row r="95">
          <cell r="A95">
            <v>4</v>
          </cell>
          <cell r="B95" t="str">
            <v>TOTAL TPC GENERATION</v>
          </cell>
        </row>
        <row r="97">
          <cell r="A97">
            <v>5</v>
          </cell>
          <cell r="B97" t="str">
            <v>AUXILIARY CONSUMPTION</v>
          </cell>
        </row>
        <row r="98">
          <cell r="A98">
            <v>6</v>
          </cell>
          <cell r="B98" t="str">
            <v>ENERGY REQ.FOR PUMPING</v>
          </cell>
        </row>
        <row r="100">
          <cell r="A100">
            <v>6</v>
          </cell>
          <cell r="B100" t="str">
            <v>NET TPC GENERATION</v>
          </cell>
        </row>
        <row r="102">
          <cell r="A102" t="str">
            <v>C.</v>
          </cell>
          <cell r="B102" t="str">
            <v>PURCHASES FROM MSEB(MUS)</v>
          </cell>
        </row>
        <row r="104">
          <cell r="A104">
            <v>1</v>
          </cell>
          <cell r="B104" t="str">
            <v xml:space="preserve">T&amp;D LOSSES </v>
          </cell>
        </row>
        <row r="105">
          <cell r="A105">
            <v>2</v>
          </cell>
          <cell r="B105" t="str">
            <v>EX BUS REQUIREMENT</v>
          </cell>
        </row>
        <row r="106">
          <cell r="A106">
            <v>3</v>
          </cell>
          <cell r="B106" t="str">
            <v>GROSS PURCHASE</v>
          </cell>
        </row>
        <row r="107">
          <cell r="A107">
            <v>4</v>
          </cell>
          <cell r="B107" t="str">
            <v>22 KV WHEELING FOR MSEB</v>
          </cell>
        </row>
        <row r="108">
          <cell r="A108">
            <v>5</v>
          </cell>
          <cell r="B108" t="str">
            <v>NET PURCHASE</v>
          </cell>
        </row>
        <row r="271">
          <cell r="B271" t="str">
            <v>PURCHASE MVA /MONTH</v>
          </cell>
          <cell r="D271">
            <v>550</v>
          </cell>
        </row>
        <row r="273">
          <cell r="B273" t="str">
            <v>MONTHLY FIXED WLG.CHRGS.RECOVERABLE(Rs.LACS)</v>
          </cell>
          <cell r="D273">
            <v>67.11</v>
          </cell>
        </row>
        <row r="274">
          <cell r="B274" t="str">
            <v>MONTHLY FIXED WLG.CHARGES PAYABLE(Rs.LACS)</v>
          </cell>
          <cell r="D274">
            <v>67.11</v>
          </cell>
        </row>
        <row r="276">
          <cell r="B276" t="str">
            <v>% OF (U#5 + U#6+U#7) POWER WHEELED</v>
          </cell>
          <cell r="D276">
            <v>26</v>
          </cell>
        </row>
        <row r="278">
          <cell r="B278" t="str">
            <v>ENERGY LOSS IN WHEELING MSEB'S POWER (%)</v>
          </cell>
          <cell r="D278">
            <v>3.09</v>
          </cell>
        </row>
        <row r="279">
          <cell r="B279" t="str">
            <v>ENERGY LOSS IN WHEELING TPC'S POWER (%)</v>
          </cell>
          <cell r="D279">
            <v>2</v>
          </cell>
        </row>
        <row r="281">
          <cell r="B281" t="str">
            <v>PURCHASE ENERGY RATE (P/U)</v>
          </cell>
          <cell r="D281">
            <v>290</v>
          </cell>
        </row>
        <row r="282">
          <cell r="B282" t="str">
            <v>PURCHASE FAC RATE (P/U)</v>
          </cell>
          <cell r="D282">
            <v>0</v>
          </cell>
        </row>
        <row r="283">
          <cell r="B283" t="str">
            <v>ENERGY RATE FOR SALE TO MSEB (P/U)</v>
          </cell>
          <cell r="D283">
            <v>125.9</v>
          </cell>
        </row>
        <row r="284">
          <cell r="B284" t="str">
            <v>ENERGY RATE FOR SALE TO INTER STATE  UTILITIES (P/U)</v>
          </cell>
          <cell r="D284">
            <v>125.9</v>
          </cell>
        </row>
        <row r="285">
          <cell r="B285" t="str">
            <v>FAC RATE FOR SALE TO INTER STATE  UTILITIES (P/U)</v>
          </cell>
          <cell r="D285">
            <v>124.1</v>
          </cell>
        </row>
        <row r="286">
          <cell r="B286" t="str">
            <v>FAC RATE FOR SALE TO MSEB (P/U)</v>
          </cell>
          <cell r="D286">
            <v>124.1</v>
          </cell>
        </row>
        <row r="287">
          <cell r="B287" t="str">
            <v>PURCHASE MD RATE (Rs./KVA/MONTH)</v>
          </cell>
          <cell r="D287">
            <v>600</v>
          </cell>
        </row>
        <row r="289">
          <cell r="B289" t="str">
            <v>FUEL COST (Rs./MT) :</v>
          </cell>
        </row>
        <row r="290">
          <cell r="B290" t="str">
            <v>COAL</v>
          </cell>
          <cell r="D290">
            <v>2875</v>
          </cell>
        </row>
        <row r="291">
          <cell r="B291" t="str">
            <v>GAS</v>
          </cell>
          <cell r="D291">
            <v>4200</v>
          </cell>
        </row>
        <row r="292">
          <cell r="B292" t="str">
            <v>LSHS/ LSWR</v>
          </cell>
          <cell r="D292">
            <v>9760</v>
          </cell>
        </row>
        <row r="293">
          <cell r="B293" t="str">
            <v>-</v>
          </cell>
          <cell r="C293" t="str">
            <v>-</v>
          </cell>
          <cell r="D293" t="str">
            <v>-</v>
          </cell>
        </row>
        <row r="295">
          <cell r="B295" t="str">
            <v>Tariff :</v>
          </cell>
        </row>
        <row r="296">
          <cell r="C296" t="str">
            <v>MD</v>
          </cell>
          <cell r="D296" t="str">
            <v>RKVAH</v>
          </cell>
        </row>
        <row r="297">
          <cell r="C297" t="str">
            <v>(Rs./KVA)</v>
          </cell>
          <cell r="D297" t="str">
            <v>(P./RKVAH)</v>
          </cell>
        </row>
        <row r="298">
          <cell r="B298" t="str">
            <v>TEXTILES</v>
          </cell>
          <cell r="C298">
            <v>170</v>
          </cell>
          <cell r="D298">
            <v>0</v>
          </cell>
        </row>
        <row r="299">
          <cell r="B299" t="str">
            <v>HT INDUSTRIES</v>
          </cell>
          <cell r="C299">
            <v>170</v>
          </cell>
          <cell r="D299">
            <v>0</v>
          </cell>
        </row>
        <row r="300">
          <cell r="B300" t="str">
            <v>HT COMMERCIAL</v>
          </cell>
          <cell r="C300">
            <v>170</v>
          </cell>
          <cell r="D300">
            <v>0</v>
          </cell>
        </row>
        <row r="301">
          <cell r="B301" t="str">
            <v>LT INDUSTRIES (TWO PART TARIFF)</v>
          </cell>
          <cell r="C301">
            <v>175</v>
          </cell>
          <cell r="D301">
            <v>0</v>
          </cell>
        </row>
        <row r="302">
          <cell r="B302" t="str">
            <v>LT COMMERCIAL (TWO PART TARIFF)</v>
          </cell>
          <cell r="C302">
            <v>175</v>
          </cell>
          <cell r="D302">
            <v>0</v>
          </cell>
        </row>
        <row r="303">
          <cell r="B303" t="str">
            <v>RAILWAYS</v>
          </cell>
          <cell r="C303">
            <v>170</v>
          </cell>
          <cell r="D303">
            <v>0</v>
          </cell>
        </row>
        <row r="304">
          <cell r="B304" t="str">
            <v>BEST</v>
          </cell>
          <cell r="C304">
            <v>170</v>
          </cell>
          <cell r="D304">
            <v>0</v>
          </cell>
        </row>
        <row r="305">
          <cell r="B305" t="str">
            <v>BSES (22/33 KV)</v>
          </cell>
          <cell r="C305">
            <v>200</v>
          </cell>
          <cell r="D305">
            <v>0</v>
          </cell>
        </row>
        <row r="306">
          <cell r="B306" t="str">
            <v>BSES (220 KV)</v>
          </cell>
          <cell r="D306">
            <v>0</v>
          </cell>
        </row>
        <row r="307">
          <cell r="B307" t="str">
            <v>MSEB 22 KV</v>
          </cell>
          <cell r="D307">
            <v>0</v>
          </cell>
        </row>
        <row r="308">
          <cell r="B308" t="str">
            <v>ENERGY RATE (P/KWH) :</v>
          </cell>
        </row>
        <row r="309">
          <cell r="B309" t="str">
            <v>TEXTILES</v>
          </cell>
          <cell r="C309">
            <v>197</v>
          </cell>
        </row>
        <row r="310">
          <cell r="B310" t="str">
            <v>HT INDUSTRIES</v>
          </cell>
          <cell r="C310">
            <v>197</v>
          </cell>
        </row>
        <row r="311">
          <cell r="B311" t="str">
            <v>HT COMMERCIAL</v>
          </cell>
          <cell r="C311">
            <v>197</v>
          </cell>
        </row>
        <row r="312">
          <cell r="B312" t="str">
            <v>LT INDUSTRIES (SINGLE PART TARIFF)</v>
          </cell>
          <cell r="C312">
            <v>272</v>
          </cell>
        </row>
        <row r="313">
          <cell r="B313" t="str">
            <v>LT INDUSTRIES (TWO PART TARIFF)</v>
          </cell>
          <cell r="C313">
            <v>202</v>
          </cell>
        </row>
        <row r="314">
          <cell r="B314" t="str">
            <v>LT COMMERCIAL (SINGLE PART TARIFF)</v>
          </cell>
          <cell r="C314">
            <v>272</v>
          </cell>
        </row>
        <row r="315">
          <cell r="B315" t="str">
            <v>LT COMMERCIAL (TWO PART TARIFF)</v>
          </cell>
          <cell r="C315">
            <v>202</v>
          </cell>
        </row>
        <row r="316">
          <cell r="B316" t="str">
            <v>RESIDENTIAL</v>
          </cell>
          <cell r="C316">
            <v>212.75</v>
          </cell>
        </row>
        <row r="317">
          <cell r="B317" t="str">
            <v>RAILWAYS</v>
          </cell>
          <cell r="C317">
            <v>197</v>
          </cell>
        </row>
        <row r="318">
          <cell r="B318" t="str">
            <v>BEST</v>
          </cell>
          <cell r="C318">
            <v>177</v>
          </cell>
        </row>
        <row r="319">
          <cell r="B319" t="str">
            <v>BSES</v>
          </cell>
          <cell r="C319">
            <v>177</v>
          </cell>
        </row>
        <row r="320">
          <cell r="B320" t="str">
            <v>BSES 220 KV</v>
          </cell>
          <cell r="C320">
            <v>209</v>
          </cell>
        </row>
        <row r="321">
          <cell r="B321" t="str">
            <v>BASIC COST OF FUEL (Rs./MKCL)</v>
          </cell>
          <cell r="C321">
            <v>325</v>
          </cell>
        </row>
        <row r="322">
          <cell r="B322" t="str">
            <v>-</v>
          </cell>
        </row>
        <row r="323">
          <cell r="B323" t="str">
            <v>CALORIFIC VALUES (MKCL/MT) :</v>
          </cell>
        </row>
        <row r="324">
          <cell r="B324" t="str">
            <v>COAL</v>
          </cell>
          <cell r="C324">
            <v>5.1278223000000001</v>
          </cell>
        </row>
        <row r="325">
          <cell r="B325" t="str">
            <v>GAS</v>
          </cell>
          <cell r="C325">
            <v>13</v>
          </cell>
        </row>
        <row r="326">
          <cell r="B326" t="str">
            <v>LSHS/ LSWR</v>
          </cell>
          <cell r="C326">
            <v>10.5</v>
          </cell>
        </row>
        <row r="328">
          <cell r="B328" t="str">
            <v>HEAT RATES &amp; AUXILIARY CONSUMPTION</v>
          </cell>
          <cell r="C328" t="str">
            <v>HEAT RATE</v>
          </cell>
          <cell r="D328" t="str">
            <v>AUX.CONS.</v>
          </cell>
        </row>
        <row r="329">
          <cell r="C329" t="str">
            <v>MKCL/MU</v>
          </cell>
          <cell r="D329" t="str">
            <v>(%)</v>
          </cell>
        </row>
        <row r="330">
          <cell r="B330" t="str">
            <v>------------------------------------</v>
          </cell>
          <cell r="C330" t="str">
            <v>-</v>
          </cell>
          <cell r="D330" t="str">
            <v>-</v>
          </cell>
        </row>
        <row r="332">
          <cell r="B332" t="str">
            <v>UNIT NO.4</v>
          </cell>
          <cell r="C332">
            <v>2600</v>
          </cell>
          <cell r="D332">
            <v>10</v>
          </cell>
        </row>
        <row r="333">
          <cell r="B333" t="str">
            <v>UNIT NO.5</v>
          </cell>
          <cell r="C333">
            <v>2430</v>
          </cell>
          <cell r="D333">
            <v>5</v>
          </cell>
        </row>
        <row r="334">
          <cell r="B334" t="str">
            <v>UNIT NO.6</v>
          </cell>
          <cell r="C334">
            <v>2380</v>
          </cell>
          <cell r="D334">
            <v>4</v>
          </cell>
        </row>
        <row r="335">
          <cell r="B335" t="str">
            <v>UNIT NO.7 AS GT</v>
          </cell>
          <cell r="C335">
            <v>2850</v>
          </cell>
          <cell r="D335">
            <v>2.1</v>
          </cell>
        </row>
        <row r="336">
          <cell r="B336" t="str">
            <v>UNIT NO.7</v>
          </cell>
          <cell r="C336">
            <v>2000</v>
          </cell>
          <cell r="D336">
            <v>2</v>
          </cell>
        </row>
        <row r="337">
          <cell r="B337" t="str">
            <v>HYDRO</v>
          </cell>
          <cell r="D337">
            <v>0.5</v>
          </cell>
        </row>
        <row r="339">
          <cell r="B339" t="str">
            <v>TAXABLE SALES</v>
          </cell>
          <cell r="C339">
            <v>91</v>
          </cell>
          <cell r="D339" t="str">
            <v>%</v>
          </cell>
        </row>
        <row r="340">
          <cell r="B340" t="str">
            <v xml:space="preserve">TAX ON  SALE RATE </v>
          </cell>
          <cell r="C340">
            <v>15</v>
          </cell>
          <cell r="D340" t="str">
            <v>(P/KWH)</v>
          </cell>
        </row>
        <row r="342">
          <cell r="B342" t="str">
            <v>T T &amp; D LOSSES</v>
          </cell>
          <cell r="C342">
            <v>2.2999999999999998</v>
          </cell>
          <cell r="D342" t="str">
            <v>%</v>
          </cell>
        </row>
      </sheetData>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mpany"/>
      <sheetName val="License Area"/>
      <sheetName val="LA-ARR-PU"/>
      <sheetName val="LA-PU"/>
      <sheetName val="LA-ARR"/>
      <sheetName val="LA-ARR-PU "/>
      <sheetName val="Co. Graphs"/>
      <sheetName val="OB Graphs"/>
      <sheetName val="License_Area"/>
      <sheetName val="LA-ARR-PU_"/>
      <sheetName val="Co__Graphs"/>
      <sheetName val="OB_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Sheet1"/>
      <sheetName val="HLY_-99-00"/>
      <sheetName val="Hydro_Data"/>
      <sheetName val="dpc_cost"/>
      <sheetName val="Plant_Availability"/>
      <sheetName val="Bombaybazar(Remark)"/>
      <sheetName val="Assumptions"/>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Balance Sheet"/>
      <sheetName val="GFA1"/>
      <sheetName val="GFA"/>
      <sheetName val="Accumulated Depreciation1"/>
      <sheetName val="Accumulated Depreciation "/>
      <sheetName val="Investment1"/>
      <sheetName val="Investment"/>
      <sheetName val="Current Asset"/>
      <sheetName val="Loan Details"/>
      <sheetName val="Current Liability"/>
      <sheetName val="ARR"/>
      <sheetName val="O&amp;M"/>
      <sheetName val="CostOfPowerPurchase"/>
      <sheetName val="Interest Charges"/>
      <sheetName val="Interest on working capital"/>
      <sheetName val="ROE"/>
      <sheetName val="Cash Flow Statement"/>
      <sheetName val="DPR (DCEW) "/>
      <sheetName val="DPR(DECO)"/>
      <sheetName val="DPR(DEMR)"/>
      <sheetName val="KLG"/>
      <sheetName val="SCADA"/>
      <sheetName val="SAIDI &amp; SAFI"/>
      <sheetName val="Sheet15"/>
    </sheetNames>
    <sheetDataSet>
      <sheetData sheetId="0"/>
      <sheetData sheetId="1"/>
      <sheetData sheetId="2"/>
      <sheetData sheetId="3"/>
      <sheetData sheetId="4"/>
      <sheetData sheetId="5"/>
      <sheetData sheetId="6"/>
      <sheetData sheetId="7"/>
      <sheetData sheetId="8"/>
      <sheetData sheetId="9"/>
      <sheetData sheetId="10"/>
      <sheetData sheetId="11">
        <row r="45">
          <cell r="J45">
            <v>42.210000000000008</v>
          </cell>
        </row>
        <row r="73">
          <cell r="J73">
            <v>13.77</v>
          </cell>
        </row>
        <row r="115">
          <cell r="J115">
            <v>51.629999999999995</v>
          </cell>
        </row>
      </sheetData>
      <sheetData sheetId="12">
        <row r="47">
          <cell r="O47">
            <v>689.15000000000009</v>
          </cell>
          <cell r="P47">
            <v>698.28</v>
          </cell>
          <cell r="Q47">
            <v>646.39</v>
          </cell>
          <cell r="R47">
            <v>592.66000000000008</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Sheet1A"/>
      <sheetName val="Sheet1"/>
      <sheetName val="Sheet2"/>
      <sheetName val="Sheet3"/>
      <sheetName val="Sheet4"/>
      <sheetName val="Sheet5"/>
      <sheetName val="Sheet6"/>
      <sheetName val="Sheet7"/>
      <sheetName val="Sheet7A"/>
      <sheetName val="Sheet8"/>
      <sheetName val="Sheet9"/>
      <sheetName val="Sheet10"/>
      <sheetName val="Sheet9A"/>
      <sheetName val="Sheet11"/>
      <sheetName val="Sheet12"/>
      <sheetName val="Sheet13"/>
      <sheetName val="Sheet14"/>
      <sheetName val="DPR (DCEW) "/>
      <sheetName val="DPR(DECO)"/>
      <sheetName val="DPR(DEMR)"/>
      <sheetName val="KLG"/>
      <sheetName val="SCADA"/>
      <sheetName val="SAIDI &amp; SAFI"/>
      <sheetName val="Sheet15"/>
    </sheetNames>
    <sheetDataSet>
      <sheetData sheetId="0" refreshError="1"/>
      <sheetData sheetId="1"/>
      <sheetData sheetId="2"/>
      <sheetData sheetId="3"/>
      <sheetData sheetId="4"/>
      <sheetData sheetId="5"/>
      <sheetData sheetId="6"/>
      <sheetData sheetId="7"/>
      <sheetData sheetId="8" refreshError="1"/>
      <sheetData sheetId="9" refreshError="1"/>
      <sheetData sheetId="10"/>
      <sheetData sheetId="11">
        <row r="45">
          <cell r="J45">
            <v>42.210000000000008</v>
          </cell>
        </row>
        <row r="73">
          <cell r="J73">
            <v>13.77</v>
          </cell>
        </row>
        <row r="115">
          <cell r="J115">
            <v>51.629999999999995</v>
          </cell>
        </row>
      </sheetData>
      <sheetData sheetId="12">
        <row r="47">
          <cell r="O47">
            <v>689.15000000000009</v>
          </cell>
          <cell r="P47">
            <v>698.28</v>
          </cell>
          <cell r="Q47">
            <v>646.39</v>
          </cell>
          <cell r="R47">
            <v>592.66000000000008</v>
          </cell>
        </row>
      </sheetData>
      <sheetData sheetId="13"/>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Balance Sheet"/>
      <sheetName val="GFA"/>
      <sheetName val="GFA2"/>
      <sheetName val="DEP"/>
      <sheetName val="DEP2"/>
      <sheetName val="Investments"/>
      <sheetName val="Investments2"/>
      <sheetName val="Current Assets"/>
      <sheetName val="Loans"/>
      <sheetName val="Current Laibilities"/>
      <sheetName val="P&amp;L"/>
      <sheetName val="A&amp;G"/>
      <sheetName val="Power Purchase"/>
      <sheetName val="Interest Loan"/>
      <sheetName val="IOWC"/>
      <sheetName val="RoE"/>
      <sheetName val="Cash Flow"/>
      <sheetName val="DPR (DCEW) "/>
      <sheetName val="DPR(DECO)"/>
      <sheetName val="DPR(DEMR)"/>
      <sheetName val="KLG"/>
      <sheetName val="SCADA"/>
      <sheetName val="SAIDI &amp; SAFI"/>
      <sheetName val="Sheet15"/>
    </sheetNames>
    <sheetDataSet>
      <sheetData sheetId="0"/>
      <sheetData sheetId="1"/>
      <sheetData sheetId="2"/>
      <sheetData sheetId="3"/>
      <sheetData sheetId="4"/>
      <sheetData sheetId="5"/>
      <sheetData sheetId="6"/>
      <sheetData sheetId="7"/>
      <sheetData sheetId="8"/>
      <sheetData sheetId="9"/>
      <sheetData sheetId="10"/>
      <sheetData sheetId="11">
        <row r="45">
          <cell r="J45">
            <v>42.210000000000008</v>
          </cell>
        </row>
        <row r="73">
          <cell r="J73">
            <v>13.77</v>
          </cell>
        </row>
        <row r="115">
          <cell r="J115">
            <v>51.629999999999995</v>
          </cell>
        </row>
      </sheetData>
      <sheetData sheetId="12">
        <row r="47">
          <cell r="O47">
            <v>689.15000000000009</v>
          </cell>
          <cell r="P47">
            <v>698.28</v>
          </cell>
          <cell r="Q47">
            <v>646.39</v>
          </cell>
          <cell r="R47">
            <v>592.66000000000008</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MOB-MAN1"/>
      <sheetName val="Price "/>
      <sheetName val="COMPLEXALL"/>
    </sheetNames>
    <sheetDataSet>
      <sheetData sheetId="0" refreshError="1">
        <row r="40">
          <cell r="D40" t="str">
            <v>96.05.26</v>
          </cell>
          <cell r="H40">
            <v>35172</v>
          </cell>
          <cell r="K40" t="str">
            <v/>
          </cell>
          <cell r="T40" t="str">
            <v>LCL</v>
          </cell>
          <cell r="U40" t="str">
            <v>Mongkol</v>
          </cell>
          <cell r="X40">
            <v>35440</v>
          </cell>
          <cell r="AG40">
            <v>35198</v>
          </cell>
          <cell r="AW40">
            <v>35093</v>
          </cell>
        </row>
        <row r="41">
          <cell r="D41" t="str">
            <v>LCL</v>
          </cell>
          <cell r="E41" t="str">
            <v>Somsak</v>
          </cell>
          <cell r="G41" t="str">
            <v/>
          </cell>
          <cell r="K41" t="str">
            <v/>
          </cell>
          <cell r="P41" t="str">
            <v>Tank / Lining</v>
          </cell>
          <cell r="T41">
            <v>35363</v>
          </cell>
          <cell r="X41" t="str">
            <v>LCL</v>
          </cell>
          <cell r="Y41" t="str">
            <v>Prasit</v>
          </cell>
          <cell r="AG41" t="str">
            <v>TCN</v>
          </cell>
          <cell r="AH41" t="str">
            <v>O. Gomez</v>
          </cell>
          <cell r="AW41" t="str">
            <v>LCL</v>
          </cell>
          <cell r="AX41" t="str">
            <v>Manusak</v>
          </cell>
        </row>
        <row r="42">
          <cell r="D42" t="str">
            <v>95.12.25</v>
          </cell>
          <cell r="G42" t="str">
            <v/>
          </cell>
          <cell r="H42" t="str">
            <v>Q   /   S</v>
          </cell>
          <cell r="K42" t="str">
            <v/>
          </cell>
          <cell r="P42" t="str">
            <v>GJ</v>
          </cell>
          <cell r="Q42" t="str">
            <v>강 민 형</v>
          </cell>
          <cell r="T42" t="str">
            <v>LCL</v>
          </cell>
          <cell r="U42" t="str">
            <v>Nattaphong</v>
          </cell>
          <cell r="X42">
            <v>35440</v>
          </cell>
          <cell r="AG42">
            <v>35183</v>
          </cell>
          <cell r="AW42">
            <v>35268</v>
          </cell>
        </row>
        <row r="43">
          <cell r="D43" t="str">
            <v>LCL</v>
          </cell>
          <cell r="E43" t="str">
            <v>Samart</v>
          </cell>
          <cell r="G43" t="str">
            <v/>
          </cell>
          <cell r="H43" t="str">
            <v>TCN</v>
          </cell>
          <cell r="I43" t="str">
            <v xml:space="preserve">  S. ROWE</v>
          </cell>
          <cell r="K43" t="str">
            <v/>
          </cell>
          <cell r="P43" t="str">
            <v>95.03.08 / 95.09.14</v>
          </cell>
          <cell r="T43">
            <v>35366</v>
          </cell>
          <cell r="X43" t="str">
            <v>LCL</v>
          </cell>
          <cell r="Y43" t="str">
            <v>Chalit</v>
          </cell>
          <cell r="AG43" t="str">
            <v>TCN</v>
          </cell>
          <cell r="AH43" t="str">
            <v>Rozario</v>
          </cell>
          <cell r="AW43" t="str">
            <v>LCL</v>
          </cell>
          <cell r="AX43" t="str">
            <v>Mankiet</v>
          </cell>
        </row>
        <row r="44">
          <cell r="D44" t="str">
            <v>96.02.05</v>
          </cell>
          <cell r="G44" t="str">
            <v/>
          </cell>
          <cell r="H44">
            <v>34895</v>
          </cell>
          <cell r="K44" t="str">
            <v/>
          </cell>
          <cell r="P44" t="str">
            <v>LCL</v>
          </cell>
          <cell r="Q44" t="str">
            <v>Prong</v>
          </cell>
          <cell r="T44" t="str">
            <v>TCN</v>
          </cell>
          <cell r="U44" t="str">
            <v>A. Tiongo</v>
          </cell>
          <cell r="X44">
            <v>35445</v>
          </cell>
          <cell r="AG44">
            <v>35258</v>
          </cell>
          <cell r="AW44">
            <v>35205</v>
          </cell>
        </row>
        <row r="45">
          <cell r="D45" t="str">
            <v>LCL</v>
          </cell>
          <cell r="E45" t="str">
            <v>Sathian</v>
          </cell>
          <cell r="G45" t="str">
            <v/>
          </cell>
          <cell r="K45" t="str">
            <v/>
          </cell>
          <cell r="P45">
            <v>35044</v>
          </cell>
          <cell r="T45">
            <v>35357</v>
          </cell>
          <cell r="X45" t="str">
            <v>LCL</v>
          </cell>
          <cell r="Y45" t="str">
            <v>Kritsada</v>
          </cell>
          <cell r="AG45" t="str">
            <v>TCN</v>
          </cell>
          <cell r="AH45" t="str">
            <v>E. Magadia</v>
          </cell>
          <cell r="AW45" t="str">
            <v>LCL</v>
          </cell>
          <cell r="AX45" t="str">
            <v>Phichet</v>
          </cell>
        </row>
        <row r="46">
          <cell r="D46">
            <v>35328</v>
          </cell>
          <cell r="G46" t="str">
            <v/>
          </cell>
          <cell r="K46" t="str">
            <v/>
          </cell>
          <cell r="P46" t="str">
            <v>LCL</v>
          </cell>
          <cell r="Q46" t="str">
            <v>Swan</v>
          </cell>
          <cell r="T46" t="str">
            <v>LCL</v>
          </cell>
          <cell r="U46" t="str">
            <v>Suchart</v>
          </cell>
          <cell r="X46">
            <v>35450</v>
          </cell>
          <cell r="AG46">
            <v>35469</v>
          </cell>
          <cell r="AW46">
            <v>35115</v>
          </cell>
        </row>
        <row r="47">
          <cell r="G47" t="str">
            <v/>
          </cell>
          <cell r="K47" t="str">
            <v/>
          </cell>
          <cell r="P47">
            <v>35464</v>
          </cell>
          <cell r="T47">
            <v>35450</v>
          </cell>
          <cell r="X47" t="str">
            <v>LCL</v>
          </cell>
          <cell r="Y47" t="str">
            <v>Pasathorn</v>
          </cell>
          <cell r="AG47" t="str">
            <v>TCN</v>
          </cell>
          <cell r="AH47" t="str">
            <v>M. Clay</v>
          </cell>
          <cell r="AW47" t="str">
            <v>LCL</v>
          </cell>
          <cell r="AX47" t="str">
            <v>Watcharin</v>
          </cell>
        </row>
        <row r="48">
          <cell r="D48" t="str">
            <v>業           務</v>
          </cell>
          <cell r="G48" t="str">
            <v/>
          </cell>
          <cell r="K48" t="str">
            <v/>
          </cell>
          <cell r="X48">
            <v>35457</v>
          </cell>
          <cell r="AG48">
            <v>35247</v>
          </cell>
          <cell r="AW48">
            <v>35443</v>
          </cell>
        </row>
        <row r="49">
          <cell r="D49" t="str">
            <v>DR</v>
          </cell>
          <cell r="E49" t="str">
            <v>김 주 범</v>
          </cell>
          <cell r="G49" t="str">
            <v/>
          </cell>
          <cell r="K49" t="str">
            <v/>
          </cell>
          <cell r="P49" t="str">
            <v>保溫 / 途裝</v>
          </cell>
          <cell r="X49" t="str">
            <v>LCL</v>
          </cell>
          <cell r="Y49" t="str">
            <v>Somsak</v>
          </cell>
          <cell r="AW49" t="str">
            <v>LCL</v>
          </cell>
          <cell r="AX49" t="str">
            <v>Thanin</v>
          </cell>
        </row>
      </sheetData>
      <sheetData sheetId="1" refreshError="1"/>
      <sheetData sheetId="2"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breakup to lenders"/>
      <sheetName val="Funding plan"/>
      <sheetName val="rough"/>
      <sheetName val="Monthly"/>
      <sheetName val="IDC"/>
      <sheetName val="IDC model based"/>
      <sheetName val="phasing for IDC"/>
      <sheetName val="phasing"/>
      <sheetName val="IDC phasing based"/>
      <sheetName val="sorting"/>
      <sheetName val="Hedging"/>
      <sheetName val="Payment terms"/>
      <sheetName val="Fin Charg"/>
      <sheetName val="toshiba"/>
      <sheetName val="cashflow-doosan-27.11.07"/>
      <sheetName val="Summary"/>
      <sheetName val="CASH FLW cb"/>
      <sheetName val="gcb"/>
      <sheetName val="hp piping"/>
      <sheetName val="preop"/>
      <sheetName val="Coal oil"/>
      <sheetName val="final"/>
      <sheetName val="Proc sch2511"/>
      <sheetName val="TCE"/>
      <sheetName val="CASH FLW"/>
      <sheetName val="IDC-calcual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TarSUmm jan 05 "/>
      <sheetName val="TarSUmm jan 05  Cat"/>
      <sheetName val="TarSUmm Dec04  (3)"/>
      <sheetName val="TarSUmm Dec04  (2)"/>
      <sheetName val="TarSUmm Nov04  (2)"/>
      <sheetName val="per unit"/>
      <sheetName val="per unit (2)"/>
      <sheetName val="Sales FY05"/>
      <sheetName val="Revenue FY05"/>
      <sheetName val="Sales (FY04)"/>
      <sheetName val="Sheet1"/>
      <sheetName val="Sales (FY04) (2)"/>
      <sheetName val="En Ch FY05"/>
      <sheetName val="MD Ch FY05"/>
      <sheetName val="FAC Ch FY05"/>
      <sheetName val="En Ch FY04"/>
      <sheetName val="MD Ch FY04"/>
      <sheetName val="FAC Ch FY04"/>
      <sheetName val="Revenue(No TOSE &amp; StBy)"/>
      <sheetName val="Tariff (No TOSE &amp; StBy)"/>
      <sheetName val="MonthWise TS FY04"/>
      <sheetName val="Revenue FY04 (No TOSE)"/>
      <sheetName val="Tariff FY0 (No TOSE &amp; StBy)"/>
      <sheetName val="REL FAC 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 3_7"/>
      <sheetName val="form_x0000__x0000__x0000__x0000__x0000__x0000__x0000__x0000__x0000__x0000__x0000__x0000__x0000_"/>
      <sheetName val=""/>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5">
          <cell r="G35">
            <v>64254.226096970044</v>
          </cell>
          <cell r="H35">
            <v>59093.238057586968</v>
          </cell>
          <cell r="I35">
            <v>63490.540060935658</v>
          </cell>
        </row>
        <row r="44">
          <cell r="G44">
            <v>24259.407938726315</v>
          </cell>
          <cell r="H44">
            <v>16526.511773419461</v>
          </cell>
          <cell r="I44">
            <v>17654.636270525258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2001 02 Est.at Existing Tariff"/>
      <sheetName val="Financial Estimates"/>
      <sheetName val="Sheet1"/>
      <sheetName val="Sheet2"/>
      <sheetName val="Sheet3"/>
      <sheetName val="#REF"/>
      <sheetName val="FAC (Running FAC)"/>
      <sheetName val="per unit"/>
      <sheetName val="ins spares"/>
    </sheetNames>
    <sheetDataSet>
      <sheetData sheetId="0" refreshError="1"/>
      <sheetData sheetId="1" refreshError="1">
        <row r="8">
          <cell r="A8" t="str">
            <v>AI.</v>
          </cell>
          <cell r="B8" t="str">
            <v>ENERGY DISTRIBUTED(MUS)</v>
          </cell>
        </row>
        <row r="10">
          <cell r="A10">
            <v>1</v>
          </cell>
          <cell r="B10" t="str">
            <v>SALES TO TPC'S CONSUMERS</v>
          </cell>
        </row>
        <row r="11">
          <cell r="B11" t="str">
            <v>TEXTILES</v>
          </cell>
          <cell r="C11">
            <v>499</v>
          </cell>
          <cell r="D11">
            <v>500</v>
          </cell>
        </row>
        <row r="12">
          <cell r="B12" t="str">
            <v>HT INDUSTRIES</v>
          </cell>
          <cell r="C12">
            <v>769</v>
          </cell>
          <cell r="D12">
            <v>754</v>
          </cell>
        </row>
        <row r="13">
          <cell r="B13" t="str">
            <v>HT COMMERCIAL</v>
          </cell>
          <cell r="C13">
            <v>0</v>
          </cell>
          <cell r="D13">
            <v>0</v>
          </cell>
        </row>
        <row r="14">
          <cell r="B14" t="str">
            <v>LT INDUSTRIES (SINGLE PART) (incl.Resi.)</v>
          </cell>
          <cell r="C14">
            <v>49</v>
          </cell>
          <cell r="D14">
            <v>81</v>
          </cell>
        </row>
        <row r="15">
          <cell r="B15" t="str">
            <v>LT INDUSTRIES (TWO PART)</v>
          </cell>
          <cell r="C15">
            <v>50</v>
          </cell>
          <cell r="D15">
            <v>80</v>
          </cell>
        </row>
        <row r="16">
          <cell r="B16" t="str">
            <v>LT COMMERCIAL (SINGLE PART)</v>
          </cell>
          <cell r="C16">
            <v>0</v>
          </cell>
          <cell r="D16">
            <v>0</v>
          </cell>
        </row>
        <row r="17">
          <cell r="B17" t="str">
            <v>LT COMMERCIAL (TWO PART)</v>
          </cell>
          <cell r="C17">
            <v>0</v>
          </cell>
          <cell r="D17">
            <v>0</v>
          </cell>
        </row>
        <row r="18">
          <cell r="B18" t="str">
            <v>RESIDENTIAL</v>
          </cell>
          <cell r="C18">
            <v>0</v>
          </cell>
          <cell r="D18">
            <v>0</v>
          </cell>
        </row>
        <row r="19">
          <cell r="B19" t="str">
            <v>RAILWAYS(INCL.INTERCHANGE)</v>
          </cell>
          <cell r="C19">
            <v>712</v>
          </cell>
          <cell r="D19">
            <v>720</v>
          </cell>
        </row>
        <row r="20">
          <cell r="C20" t="str">
            <v>----</v>
          </cell>
          <cell r="D20" t="str">
            <v>----</v>
          </cell>
        </row>
        <row r="21">
          <cell r="B21" t="str">
            <v>TOTAL (DIRECT CONSUMERS)</v>
          </cell>
          <cell r="C21">
            <v>2079</v>
          </cell>
          <cell r="D21">
            <v>2135</v>
          </cell>
        </row>
        <row r="22">
          <cell r="C22" t="str">
            <v>----</v>
          </cell>
          <cell r="D22" t="str">
            <v>----</v>
          </cell>
        </row>
        <row r="23">
          <cell r="B23" t="str">
            <v>BEST</v>
          </cell>
          <cell r="C23">
            <v>3608</v>
          </cell>
          <cell r="D23">
            <v>3670</v>
          </cell>
        </row>
        <row r="24">
          <cell r="B24" t="str">
            <v>BSES (22 KV/ 33 KV SUPPLY)</v>
          </cell>
          <cell r="C24">
            <v>2727</v>
          </cell>
          <cell r="D24">
            <v>2865</v>
          </cell>
        </row>
        <row r="25">
          <cell r="B25" t="str">
            <v>BSES (220 KV INTERCONNECTION)</v>
          </cell>
          <cell r="C25">
            <v>252</v>
          </cell>
          <cell r="D25">
            <v>235</v>
          </cell>
        </row>
        <row r="26">
          <cell r="B26" t="str">
            <v>BSES (TOTAL)</v>
          </cell>
          <cell r="C26">
            <v>2979</v>
          </cell>
          <cell r="D26">
            <v>3100</v>
          </cell>
        </row>
        <row r="27">
          <cell r="C27" t="str">
            <v>----</v>
          </cell>
          <cell r="D27" t="str">
            <v>----</v>
          </cell>
        </row>
        <row r="28">
          <cell r="B28" t="str">
            <v>BEST &amp; BSES- TOTAL</v>
          </cell>
          <cell r="C28">
            <v>6587</v>
          </cell>
          <cell r="D28">
            <v>6770</v>
          </cell>
        </row>
        <row r="29">
          <cell r="C29" t="str">
            <v>-----</v>
          </cell>
          <cell r="D29" t="str">
            <v>-----</v>
          </cell>
        </row>
        <row r="30">
          <cell r="B30" t="str">
            <v>TOTAL SALES</v>
          </cell>
          <cell r="C30">
            <v>8666</v>
          </cell>
          <cell r="D30">
            <v>8905</v>
          </cell>
        </row>
        <row r="31">
          <cell r="C31" t="str">
            <v>=====</v>
          </cell>
          <cell r="D31" t="str">
            <v>=====</v>
          </cell>
        </row>
        <row r="33">
          <cell r="A33">
            <v>2</v>
          </cell>
          <cell r="B33" t="str">
            <v>ENERGY ASSISTANCE TO MSEB</v>
          </cell>
          <cell r="C33">
            <v>480</v>
          </cell>
          <cell r="D33">
            <v>340</v>
          </cell>
        </row>
        <row r="35">
          <cell r="A35">
            <v>3</v>
          </cell>
          <cell r="B35" t="str">
            <v>SALES TO OTHER STATE UTILITIES</v>
          </cell>
          <cell r="C35">
            <v>0</v>
          </cell>
          <cell r="D35">
            <v>200</v>
          </cell>
        </row>
        <row r="37">
          <cell r="A37">
            <v>4</v>
          </cell>
          <cell r="B37" t="str">
            <v>TOTAL SALES INCLUDING MSEB AND OTHER STATES</v>
          </cell>
          <cell r="C37">
            <v>9146</v>
          </cell>
          <cell r="D37">
            <v>9445</v>
          </cell>
        </row>
        <row r="39">
          <cell r="A39">
            <v>5</v>
          </cell>
          <cell r="B39" t="str">
            <v>22 KV WHEELING FOR MSEB</v>
          </cell>
          <cell r="C39">
            <v>1530</v>
          </cell>
          <cell r="D39">
            <v>1530</v>
          </cell>
        </row>
        <row r="41">
          <cell r="A41">
            <v>6</v>
          </cell>
          <cell r="B41" t="str">
            <v xml:space="preserve">TOTAL ENERGY DISTRIBUTED </v>
          </cell>
          <cell r="C41">
            <v>10676</v>
          </cell>
          <cell r="D41">
            <v>10975</v>
          </cell>
        </row>
        <row r="43">
          <cell r="A43" t="str">
            <v>AII.</v>
          </cell>
          <cell r="B43" t="str">
            <v>RKVAH (MUs)</v>
          </cell>
        </row>
        <row r="45">
          <cell r="B45" t="str">
            <v>TEXTILES</v>
          </cell>
          <cell r="C45">
            <v>0</v>
          </cell>
          <cell r="D45">
            <v>0</v>
          </cell>
        </row>
        <row r="46">
          <cell r="B46" t="str">
            <v>HT INDUSTRIES</v>
          </cell>
          <cell r="C46">
            <v>0</v>
          </cell>
          <cell r="D46">
            <v>0</v>
          </cell>
        </row>
        <row r="47">
          <cell r="B47" t="str">
            <v>HT COMMERCIAL</v>
          </cell>
          <cell r="C47">
            <v>0</v>
          </cell>
          <cell r="D47">
            <v>0</v>
          </cell>
        </row>
        <row r="48">
          <cell r="B48" t="str">
            <v>LT INDUSTRIES (TWO PART TARIFF)</v>
          </cell>
          <cell r="C48">
            <v>0</v>
          </cell>
          <cell r="D48">
            <v>0</v>
          </cell>
        </row>
        <row r="49">
          <cell r="B49" t="str">
            <v>LT COMMERCIAL (TWO PART TARIFF)</v>
          </cell>
          <cell r="C49">
            <v>0</v>
          </cell>
          <cell r="D49">
            <v>0</v>
          </cell>
        </row>
        <row r="50">
          <cell r="B50" t="str">
            <v>RAILWAYS(INCL.INTERCHANGE)</v>
          </cell>
          <cell r="C50">
            <v>0</v>
          </cell>
          <cell r="D50">
            <v>0</v>
          </cell>
        </row>
        <row r="51">
          <cell r="C51" t="str">
            <v>-----</v>
          </cell>
          <cell r="D51" t="str">
            <v>-----</v>
          </cell>
        </row>
        <row r="52">
          <cell r="B52" t="str">
            <v>TOTAL TEX./IND./COMM/RLYS</v>
          </cell>
          <cell r="C52">
            <v>0</v>
          </cell>
          <cell r="D52">
            <v>0</v>
          </cell>
        </row>
        <row r="54">
          <cell r="B54" t="str">
            <v>BEST</v>
          </cell>
          <cell r="C54">
            <v>0</v>
          </cell>
          <cell r="D54">
            <v>0</v>
          </cell>
        </row>
        <row r="55">
          <cell r="B55" t="str">
            <v>BSES (22 KV)</v>
          </cell>
          <cell r="C55">
            <v>0</v>
          </cell>
          <cell r="D55">
            <v>0</v>
          </cell>
        </row>
        <row r="56">
          <cell r="B56" t="str">
            <v>BSES (220 KV)</v>
          </cell>
          <cell r="C56">
            <v>0</v>
          </cell>
          <cell r="D56">
            <v>0</v>
          </cell>
        </row>
        <row r="57">
          <cell r="C57" t="str">
            <v>-----</v>
          </cell>
          <cell r="D57" t="str">
            <v>-----</v>
          </cell>
        </row>
        <row r="58">
          <cell r="B58" t="str">
            <v>TOTAL</v>
          </cell>
          <cell r="C58">
            <v>0</v>
          </cell>
          <cell r="D58">
            <v>0</v>
          </cell>
        </row>
        <row r="61">
          <cell r="A61" t="str">
            <v>AII.</v>
          </cell>
          <cell r="B61" t="str">
            <v>MAXIMUM DEMAND (MVA)</v>
          </cell>
        </row>
        <row r="63">
          <cell r="B63" t="str">
            <v>TEXTILES</v>
          </cell>
          <cell r="C63">
            <v>989</v>
          </cell>
          <cell r="D63">
            <v>991</v>
          </cell>
        </row>
        <row r="64">
          <cell r="B64" t="str">
            <v>HT INDUSTRIES</v>
          </cell>
          <cell r="C64">
            <v>2368</v>
          </cell>
          <cell r="D64">
            <v>2322</v>
          </cell>
        </row>
        <row r="65">
          <cell r="B65" t="str">
            <v>HT COMMERCIAL</v>
          </cell>
          <cell r="C65">
            <v>0</v>
          </cell>
          <cell r="D65">
            <v>0</v>
          </cell>
        </row>
        <row r="66">
          <cell r="B66" t="str">
            <v>LT INDUSTRIES (TWO PART TARIFF)</v>
          </cell>
          <cell r="C66">
            <v>187</v>
          </cell>
          <cell r="D66">
            <v>299</v>
          </cell>
        </row>
        <row r="67">
          <cell r="B67" t="str">
            <v>LT COMMERCIAL (TWO PART TARIFF)</v>
          </cell>
          <cell r="C67">
            <v>0</v>
          </cell>
          <cell r="D67">
            <v>0</v>
          </cell>
        </row>
        <row r="68">
          <cell r="B68" t="str">
            <v>RAILWAYS(INCL.INTERCHANGE)</v>
          </cell>
          <cell r="C68">
            <v>1895</v>
          </cell>
          <cell r="D68">
            <v>1916</v>
          </cell>
        </row>
        <row r="69">
          <cell r="C69" t="str">
            <v>-----</v>
          </cell>
          <cell r="D69" t="str">
            <v>-----</v>
          </cell>
        </row>
        <row r="70">
          <cell r="B70" t="str">
            <v>TOTAL (DIRECT CONSUMERS)</v>
          </cell>
          <cell r="C70">
            <v>5439</v>
          </cell>
          <cell r="D70">
            <v>5528</v>
          </cell>
        </row>
        <row r="72">
          <cell r="B72" t="str">
            <v>BEST</v>
          </cell>
          <cell r="C72">
            <v>7821</v>
          </cell>
          <cell r="D72">
            <v>7955</v>
          </cell>
        </row>
        <row r="73">
          <cell r="B73" t="str">
            <v>BSES (22 KV/ 33 KV SUPPLY)</v>
          </cell>
          <cell r="C73">
            <v>6552</v>
          </cell>
          <cell r="D73">
            <v>6884</v>
          </cell>
        </row>
        <row r="74">
          <cell r="C74" t="str">
            <v>-----</v>
          </cell>
          <cell r="D74" t="str">
            <v>-----</v>
          </cell>
        </row>
        <row r="75">
          <cell r="B75" t="str">
            <v>TOTAL</v>
          </cell>
          <cell r="C75">
            <v>19812</v>
          </cell>
          <cell r="D75">
            <v>20367</v>
          </cell>
        </row>
        <row r="76">
          <cell r="C76" t="str">
            <v>-----</v>
          </cell>
          <cell r="D76" t="str">
            <v>-----</v>
          </cell>
        </row>
        <row r="78">
          <cell r="A78" t="str">
            <v>B.</v>
          </cell>
          <cell r="B78" t="str">
            <v>TPC GENERATION(MUS)</v>
          </cell>
        </row>
        <row r="80">
          <cell r="A80">
            <v>1</v>
          </cell>
          <cell r="B80" t="str">
            <v>HYDRO</v>
          </cell>
        </row>
        <row r="81">
          <cell r="B81" t="str">
            <v>FROM NATURAL SOURCE OF WATER</v>
          </cell>
          <cell r="C81">
            <v>1300</v>
          </cell>
          <cell r="D81">
            <v>1300</v>
          </cell>
        </row>
        <row r="82">
          <cell r="B82" t="str">
            <v>PEAKING ENERGY FROM PUMPED WATER</v>
          </cell>
          <cell r="C82">
            <v>0</v>
          </cell>
          <cell r="D82">
            <v>0</v>
          </cell>
        </row>
        <row r="83">
          <cell r="B83" t="str">
            <v>TOTAL</v>
          </cell>
          <cell r="C83">
            <v>1300</v>
          </cell>
          <cell r="D83">
            <v>1300</v>
          </cell>
        </row>
        <row r="85">
          <cell r="A85">
            <v>2</v>
          </cell>
          <cell r="B85" t="str">
            <v>THERMAL</v>
          </cell>
        </row>
        <row r="86">
          <cell r="B86" t="str">
            <v>UNIT NO.4</v>
          </cell>
          <cell r="C86">
            <v>814</v>
          </cell>
          <cell r="D86">
            <v>873</v>
          </cell>
        </row>
        <row r="87">
          <cell r="B87" t="str">
            <v>UNIT NO.5</v>
          </cell>
          <cell r="C87">
            <v>3295</v>
          </cell>
          <cell r="D87">
            <v>3941</v>
          </cell>
        </row>
        <row r="88">
          <cell r="B88" t="str">
            <v>UNIT NO.6</v>
          </cell>
          <cell r="C88">
            <v>3117</v>
          </cell>
          <cell r="D88">
            <v>2872</v>
          </cell>
        </row>
        <row r="89">
          <cell r="B89" t="str">
            <v>UNIT NOS.7 AS GT</v>
          </cell>
          <cell r="C89">
            <v>0</v>
          </cell>
          <cell r="D89">
            <v>0</v>
          </cell>
        </row>
        <row r="90">
          <cell r="B90" t="str">
            <v>UNIT NO.7</v>
          </cell>
          <cell r="C90">
            <v>1241</v>
          </cell>
          <cell r="D90">
            <v>1146</v>
          </cell>
        </row>
        <row r="91">
          <cell r="C91" t="str">
            <v>-----</v>
          </cell>
          <cell r="D91" t="str">
            <v>-----</v>
          </cell>
        </row>
        <row r="92">
          <cell r="B92" t="str">
            <v>TOTAL THERMAL GENERATION</v>
          </cell>
          <cell r="C92">
            <v>8467</v>
          </cell>
          <cell r="D92">
            <v>8832</v>
          </cell>
        </row>
        <row r="93">
          <cell r="C93" t="str">
            <v>-----</v>
          </cell>
          <cell r="D93" t="str">
            <v>-----</v>
          </cell>
        </row>
        <row r="95">
          <cell r="A95">
            <v>4</v>
          </cell>
          <cell r="B95" t="str">
            <v>TOTAL TPC GENERATION</v>
          </cell>
          <cell r="C95">
            <v>9767</v>
          </cell>
          <cell r="D95">
            <v>10132</v>
          </cell>
        </row>
        <row r="97">
          <cell r="A97">
            <v>5</v>
          </cell>
          <cell r="B97" t="str">
            <v>AUXILIARY CONSUMPTION</v>
          </cell>
          <cell r="C97">
            <v>397</v>
          </cell>
          <cell r="D97">
            <v>429</v>
          </cell>
        </row>
        <row r="98">
          <cell r="A98">
            <v>6</v>
          </cell>
          <cell r="B98" t="str">
            <v>ENERGY REQ.FOR PUMPING</v>
          </cell>
          <cell r="C98">
            <v>0</v>
          </cell>
          <cell r="D98">
            <v>0</v>
          </cell>
        </row>
        <row r="99">
          <cell r="C99" t="str">
            <v>-----</v>
          </cell>
          <cell r="D99" t="str">
            <v>-----</v>
          </cell>
        </row>
        <row r="100">
          <cell r="A100">
            <v>6</v>
          </cell>
          <cell r="B100" t="str">
            <v>NET TPC GENERATION</v>
          </cell>
          <cell r="C100">
            <v>9370</v>
          </cell>
          <cell r="D100">
            <v>9703</v>
          </cell>
        </row>
        <row r="101">
          <cell r="C101" t="str">
            <v>=====</v>
          </cell>
          <cell r="D101" t="str">
            <v>=====</v>
          </cell>
        </row>
        <row r="102">
          <cell r="A102" t="str">
            <v>C.</v>
          </cell>
          <cell r="B102" t="str">
            <v>PURCHASES FROM MSEB(MUS)</v>
          </cell>
        </row>
        <row r="104">
          <cell r="A104">
            <v>1</v>
          </cell>
          <cell r="B104" t="str">
            <v xml:space="preserve">T&amp;D LOSSES </v>
          </cell>
          <cell r="C104">
            <v>224</v>
          </cell>
          <cell r="D104">
            <v>258</v>
          </cell>
        </row>
        <row r="105">
          <cell r="A105">
            <v>2</v>
          </cell>
          <cell r="B105" t="str">
            <v>EX BUS REQUIREMENT</v>
          </cell>
          <cell r="C105">
            <v>10900</v>
          </cell>
          <cell r="D105">
            <v>11233</v>
          </cell>
        </row>
        <row r="106">
          <cell r="A106">
            <v>3</v>
          </cell>
          <cell r="B106" t="str">
            <v>GROSS PURCHASE</v>
          </cell>
          <cell r="C106">
            <v>1530</v>
          </cell>
          <cell r="D106">
            <v>1530</v>
          </cell>
        </row>
        <row r="107">
          <cell r="A107">
            <v>4</v>
          </cell>
          <cell r="B107" t="str">
            <v>22 KV WHEELING FOR MSEB</v>
          </cell>
          <cell r="C107">
            <v>1530</v>
          </cell>
          <cell r="D107">
            <v>1530</v>
          </cell>
        </row>
        <row r="108">
          <cell r="A108">
            <v>5</v>
          </cell>
          <cell r="B108" t="str">
            <v>NET PURCHASE</v>
          </cell>
          <cell r="C108">
            <v>0</v>
          </cell>
          <cell r="D108">
            <v>0</v>
          </cell>
        </row>
        <row r="110">
          <cell r="A110" t="str">
            <v>D.</v>
          </cell>
          <cell r="B110" t="str">
            <v>REVENUE (Rs.LAKHS)</v>
          </cell>
        </row>
        <row r="112">
          <cell r="A112">
            <v>1</v>
          </cell>
          <cell r="B112" t="str">
            <v>BASIC REVENUE</v>
          </cell>
        </row>
        <row r="113">
          <cell r="B113" t="str">
            <v>A) ENERGY CHARGES</v>
          </cell>
        </row>
        <row r="114">
          <cell r="B114" t="str">
            <v>TEXTILES</v>
          </cell>
          <cell r="C114">
            <v>9823</v>
          </cell>
          <cell r="D114">
            <v>9850</v>
          </cell>
        </row>
        <row r="115">
          <cell r="B115" t="str">
            <v>HT INDUSTRIES</v>
          </cell>
          <cell r="C115">
            <v>14984</v>
          </cell>
          <cell r="D115">
            <v>14854</v>
          </cell>
        </row>
        <row r="116">
          <cell r="B116" t="str">
            <v>HT COMMERCIAL</v>
          </cell>
          <cell r="C116">
            <v>0</v>
          </cell>
          <cell r="D116">
            <v>0</v>
          </cell>
        </row>
        <row r="117">
          <cell r="B117" t="str">
            <v>LT INDUSTRIES (SINGLE PART TARIFF) (incl. Resi.)</v>
          </cell>
          <cell r="C117">
            <v>1280</v>
          </cell>
          <cell r="D117">
            <v>2203</v>
          </cell>
        </row>
        <row r="118">
          <cell r="B118" t="str">
            <v>LT INDUSTRIES (TWO PART TARIFF)</v>
          </cell>
          <cell r="C118">
            <v>1132</v>
          </cell>
          <cell r="D118">
            <v>1616</v>
          </cell>
        </row>
        <row r="119">
          <cell r="B119" t="str">
            <v>LT COMMERCIAL (SINGLE PART TARIFF)</v>
          </cell>
          <cell r="C119">
            <v>0</v>
          </cell>
          <cell r="D119">
            <v>0</v>
          </cell>
        </row>
        <row r="120">
          <cell r="B120" t="str">
            <v>LT COMMERCIAL (TWO PART TARIFF)</v>
          </cell>
          <cell r="C120">
            <v>0</v>
          </cell>
          <cell r="D120">
            <v>0</v>
          </cell>
        </row>
        <row r="121">
          <cell r="B121" t="str">
            <v>RESIDENTIAL</v>
          </cell>
          <cell r="C121">
            <v>0</v>
          </cell>
          <cell r="D121">
            <v>0</v>
          </cell>
        </row>
        <row r="122">
          <cell r="B122" t="str">
            <v>RAILWAYS</v>
          </cell>
          <cell r="C122">
            <v>13996</v>
          </cell>
          <cell r="D122">
            <v>14184</v>
          </cell>
        </row>
        <row r="123">
          <cell r="B123" t="str">
            <v>TOTAL (DIRECT CONSUMERS)</v>
          </cell>
          <cell r="C123">
            <v>41215</v>
          </cell>
          <cell r="D123">
            <v>42707</v>
          </cell>
        </row>
        <row r="124">
          <cell r="B124" t="str">
            <v>BEST</v>
          </cell>
          <cell r="C124">
            <v>63429</v>
          </cell>
          <cell r="D124">
            <v>64959</v>
          </cell>
        </row>
        <row r="125">
          <cell r="B125" t="str">
            <v>BSES (22 KV/ 33 KV)</v>
          </cell>
          <cell r="C125">
            <v>48269</v>
          </cell>
          <cell r="D125">
            <v>50711</v>
          </cell>
        </row>
        <row r="126">
          <cell r="B126" t="str">
            <v>BSES (220 KV)</v>
          </cell>
          <cell r="C126">
            <v>5267</v>
          </cell>
          <cell r="D126">
            <v>4912</v>
          </cell>
        </row>
        <row r="127">
          <cell r="B127" t="str">
            <v>BSES (TOTAL)</v>
          </cell>
          <cell r="C127">
            <v>53536</v>
          </cell>
          <cell r="D127">
            <v>55623</v>
          </cell>
        </row>
        <row r="128">
          <cell r="C128" t="str">
            <v>------</v>
          </cell>
          <cell r="D128" t="str">
            <v>------</v>
          </cell>
        </row>
        <row r="129">
          <cell r="B129" t="str">
            <v>TOTAL</v>
          </cell>
          <cell r="C129">
            <v>157520</v>
          </cell>
          <cell r="D129">
            <v>163289</v>
          </cell>
        </row>
        <row r="131">
          <cell r="B131" t="str">
            <v>B) RKVAH CHARGES</v>
          </cell>
        </row>
        <row r="132">
          <cell r="B132" t="str">
            <v>TEXTILES</v>
          </cell>
          <cell r="C132">
            <v>0</v>
          </cell>
          <cell r="D132">
            <v>0</v>
          </cell>
        </row>
        <row r="133">
          <cell r="B133" t="str">
            <v>HT INDUSTRIES</v>
          </cell>
          <cell r="C133">
            <v>0</v>
          </cell>
          <cell r="D133">
            <v>0</v>
          </cell>
        </row>
        <row r="134">
          <cell r="B134" t="str">
            <v>HT COMMERCIAL</v>
          </cell>
          <cell r="C134">
            <v>0</v>
          </cell>
          <cell r="D134">
            <v>0</v>
          </cell>
        </row>
        <row r="135">
          <cell r="B135" t="str">
            <v>LT INDUSTRIES (TWO PART TARIFF)</v>
          </cell>
          <cell r="C135">
            <v>0</v>
          </cell>
          <cell r="D135">
            <v>0</v>
          </cell>
        </row>
        <row r="136">
          <cell r="B136" t="str">
            <v>LT COMMERCIAL (TWO PART TARIFF)</v>
          </cell>
          <cell r="C136">
            <v>0</v>
          </cell>
          <cell r="D136">
            <v>0</v>
          </cell>
        </row>
        <row r="137">
          <cell r="B137" t="str">
            <v>RAILWAYS</v>
          </cell>
          <cell r="C137">
            <v>0</v>
          </cell>
          <cell r="D137">
            <v>0</v>
          </cell>
        </row>
        <row r="138">
          <cell r="B138" t="str">
            <v>TOTAL (DIRECT CONSUMERS)</v>
          </cell>
          <cell r="C138">
            <v>0</v>
          </cell>
          <cell r="D138">
            <v>0</v>
          </cell>
        </row>
        <row r="139">
          <cell r="B139" t="str">
            <v>BEST</v>
          </cell>
          <cell r="C139">
            <v>0</v>
          </cell>
          <cell r="D139">
            <v>0</v>
          </cell>
        </row>
        <row r="140">
          <cell r="B140" t="str">
            <v>BSES (22 KV/ 33KV)</v>
          </cell>
          <cell r="C140">
            <v>0</v>
          </cell>
          <cell r="D140">
            <v>0</v>
          </cell>
        </row>
        <row r="141">
          <cell r="B141" t="str">
            <v>BSES (220 KV)</v>
          </cell>
          <cell r="C141">
            <v>0</v>
          </cell>
          <cell r="D141">
            <v>0</v>
          </cell>
        </row>
        <row r="142">
          <cell r="C142" t="str">
            <v>-----</v>
          </cell>
          <cell r="D142" t="str">
            <v>-----</v>
          </cell>
        </row>
        <row r="143">
          <cell r="B143" t="str">
            <v>TOTAL</v>
          </cell>
          <cell r="C143">
            <v>0</v>
          </cell>
          <cell r="D143">
            <v>0</v>
          </cell>
        </row>
        <row r="144">
          <cell r="C144" t="str">
            <v>-----</v>
          </cell>
          <cell r="D144" t="str">
            <v>-----</v>
          </cell>
        </row>
        <row r="145">
          <cell r="B145" t="str">
            <v>B) M.D.CHARGES</v>
          </cell>
        </row>
        <row r="146">
          <cell r="B146" t="str">
            <v>TEXTILES</v>
          </cell>
          <cell r="C146">
            <v>1681</v>
          </cell>
          <cell r="D146">
            <v>1685</v>
          </cell>
        </row>
        <row r="147">
          <cell r="B147" t="str">
            <v>HT INDUSTRIES</v>
          </cell>
          <cell r="C147">
            <v>4774</v>
          </cell>
          <cell r="D147">
            <v>3947</v>
          </cell>
        </row>
        <row r="148">
          <cell r="B148" t="str">
            <v>HT COMMERCIAL</v>
          </cell>
          <cell r="C148">
            <v>0</v>
          </cell>
          <cell r="D148">
            <v>0</v>
          </cell>
        </row>
        <row r="149">
          <cell r="B149" t="str">
            <v>LT INDUSTRIES (TWO PART TARIFF)</v>
          </cell>
          <cell r="C149">
            <v>327</v>
          </cell>
          <cell r="D149">
            <v>523</v>
          </cell>
        </row>
        <row r="150">
          <cell r="B150" t="str">
            <v>LT COMMERCIAL (TWO PART TARIFF)</v>
          </cell>
          <cell r="C150">
            <v>0</v>
          </cell>
          <cell r="D150">
            <v>0</v>
          </cell>
        </row>
        <row r="151">
          <cell r="B151" t="str">
            <v>RAILWAYS</v>
          </cell>
          <cell r="C151">
            <v>3211</v>
          </cell>
          <cell r="D151">
            <v>3257</v>
          </cell>
        </row>
        <row r="152">
          <cell r="B152" t="str">
            <v>TOTAL (DIRECT CONSUMERS)</v>
          </cell>
          <cell r="C152">
            <v>9993</v>
          </cell>
          <cell r="D152">
            <v>9412</v>
          </cell>
        </row>
        <row r="153">
          <cell r="B153" t="str">
            <v>BEST</v>
          </cell>
          <cell r="C153">
            <v>13201</v>
          </cell>
          <cell r="D153">
            <v>13524</v>
          </cell>
        </row>
        <row r="154">
          <cell r="B154" t="str">
            <v>BSES (22 KV/ 33KV)</v>
          </cell>
          <cell r="C154">
            <v>13104</v>
          </cell>
          <cell r="D154">
            <v>13768</v>
          </cell>
        </row>
        <row r="155">
          <cell r="C155" t="str">
            <v>-----</v>
          </cell>
          <cell r="D155" t="str">
            <v>-----</v>
          </cell>
        </row>
        <row r="156">
          <cell r="B156" t="str">
            <v>TOTAL</v>
          </cell>
          <cell r="C156">
            <v>36298</v>
          </cell>
          <cell r="D156">
            <v>36704</v>
          </cell>
        </row>
        <row r="157">
          <cell r="C157" t="str">
            <v>-----</v>
          </cell>
          <cell r="D157" t="str">
            <v>-----</v>
          </cell>
        </row>
        <row r="159">
          <cell r="B159" t="str">
            <v>LESS 100 KV REBATE</v>
          </cell>
          <cell r="C159">
            <v>0</v>
          </cell>
          <cell r="D159">
            <v>0</v>
          </cell>
        </row>
        <row r="160">
          <cell r="B160" t="str">
            <v>ADD STANDBY CH. (FROM CAPTIVE UNIT CONSUMERS)</v>
          </cell>
          <cell r="C160">
            <v>0</v>
          </cell>
          <cell r="D160">
            <v>0</v>
          </cell>
        </row>
        <row r="161">
          <cell r="B161" t="str">
            <v>ADD ADDITIONAL MD CHARGES FROM BSES (22/33KV)</v>
          </cell>
          <cell r="C161">
            <v>0</v>
          </cell>
        </row>
        <row r="162">
          <cell r="B162" t="str">
            <v>BASIC REVENUE FROM MSEB FOR ENERGY ASSISTANCE</v>
          </cell>
          <cell r="C162">
            <v>6098</v>
          </cell>
          <cell r="D162">
            <v>4281</v>
          </cell>
        </row>
        <row r="164">
          <cell r="B164" t="str">
            <v>BASIC REVENUE FROM SALE TO OTHER STATE UTILITIES</v>
          </cell>
          <cell r="C164">
            <v>0</v>
          </cell>
          <cell r="D164">
            <v>2518</v>
          </cell>
        </row>
        <row r="166">
          <cell r="B166" t="str">
            <v>TOTAL BASIC REVENUE</v>
          </cell>
          <cell r="C166">
            <v>199916</v>
          </cell>
          <cell r="D166">
            <v>206792</v>
          </cell>
        </row>
        <row r="167">
          <cell r="C167" t="str">
            <v>======</v>
          </cell>
          <cell r="D167" t="str">
            <v>======</v>
          </cell>
        </row>
        <row r="169">
          <cell r="B169" t="str">
            <v>BASIC REVENUE RATE (PAISE/KWH)</v>
          </cell>
          <cell r="C169">
            <v>230.69</v>
          </cell>
          <cell r="D169">
            <v>232.22</v>
          </cell>
        </row>
        <row r="171">
          <cell r="A171">
            <v>2</v>
          </cell>
          <cell r="B171" t="str">
            <v>SURCHARGE (TAX ON SALE OF ELECTRICITY)</v>
          </cell>
          <cell r="C171">
            <v>10999</v>
          </cell>
          <cell r="D171">
            <v>11266</v>
          </cell>
        </row>
        <row r="172">
          <cell r="A172">
            <v>3</v>
          </cell>
          <cell r="B172" t="str">
            <v>BASIC + SURCHARGE</v>
          </cell>
          <cell r="C172">
            <v>210915</v>
          </cell>
          <cell r="D172">
            <v>218058</v>
          </cell>
        </row>
        <row r="174">
          <cell r="A174">
            <v>4</v>
          </cell>
          <cell r="B174" t="str">
            <v>FAC RECOVERABLE [E2+F2-I3]</v>
          </cell>
        </row>
        <row r="175">
          <cell r="B175" t="str">
            <v xml:space="preserve">      FROM TPC's CONSUMERS</v>
          </cell>
          <cell r="C175">
            <v>83289</v>
          </cell>
          <cell r="D175">
            <v>89805</v>
          </cell>
        </row>
        <row r="176">
          <cell r="B176" t="str">
            <v xml:space="preserve">      FROM MSEB FOR ENERGY ASSISTANCE</v>
          </cell>
          <cell r="C176">
            <v>5881</v>
          </cell>
          <cell r="D176">
            <v>4219</v>
          </cell>
        </row>
        <row r="177">
          <cell r="B177" t="str">
            <v xml:space="preserve">      FROM INTER STATE UTILITIES</v>
          </cell>
          <cell r="C177">
            <v>0</v>
          </cell>
          <cell r="D177">
            <v>2482</v>
          </cell>
        </row>
        <row r="178">
          <cell r="B178" t="str">
            <v xml:space="preserve">      TOTAL</v>
          </cell>
          <cell r="C178">
            <v>89170</v>
          </cell>
          <cell r="D178">
            <v>96506</v>
          </cell>
        </row>
        <row r="180">
          <cell r="B180" t="str">
            <v>FAC RATE (PAISE/KWH)</v>
          </cell>
          <cell r="C180">
            <v>118.66</v>
          </cell>
          <cell r="D180">
            <v>124.51299826689775</v>
          </cell>
        </row>
        <row r="181">
          <cell r="C181" t="str">
            <v>-----</v>
          </cell>
          <cell r="D181" t="str">
            <v>-----</v>
          </cell>
        </row>
        <row r="182">
          <cell r="A182">
            <v>5</v>
          </cell>
          <cell r="B182" t="str">
            <v>BASIC + SURCHARGE + FAC</v>
          </cell>
          <cell r="C182">
            <v>300085</v>
          </cell>
          <cell r="D182">
            <v>314564</v>
          </cell>
        </row>
        <row r="184">
          <cell r="A184">
            <v>6</v>
          </cell>
          <cell r="B184" t="str">
            <v>220 KV BSES INTERCONNECTION STANDBY</v>
          </cell>
        </row>
        <row r="185">
          <cell r="B185" t="str">
            <v xml:space="preserve">MD CHARGES </v>
          </cell>
          <cell r="C185">
            <v>19800</v>
          </cell>
          <cell r="D185">
            <v>19800</v>
          </cell>
        </row>
        <row r="187">
          <cell r="A187">
            <v>8</v>
          </cell>
          <cell r="B187" t="str">
            <v>TOTAL REVENUE (SUBJECT TO CASH DISCOUNT)</v>
          </cell>
          <cell r="C187">
            <v>319885</v>
          </cell>
          <cell r="D187">
            <v>334364</v>
          </cell>
        </row>
        <row r="189">
          <cell r="A189">
            <v>9</v>
          </cell>
          <cell r="B189" t="str">
            <v>LESS : CASH DISCOUNT</v>
          </cell>
          <cell r="C189">
            <v>0</v>
          </cell>
          <cell r="D189">
            <v>0</v>
          </cell>
        </row>
        <row r="190">
          <cell r="C190" t="str">
            <v>------</v>
          </cell>
          <cell r="D190" t="str">
            <v>------</v>
          </cell>
        </row>
        <row r="191">
          <cell r="A191">
            <v>10</v>
          </cell>
          <cell r="B191" t="str">
            <v>NET REVENUE</v>
          </cell>
          <cell r="C191">
            <v>319885</v>
          </cell>
          <cell r="D191">
            <v>314564</v>
          </cell>
        </row>
        <row r="193">
          <cell r="A193" t="str">
            <v>E.</v>
          </cell>
          <cell r="B193" t="str">
            <v>COST OF POWER PURCHASES (Rs.LAKHS)</v>
          </cell>
        </row>
        <row r="195">
          <cell r="A195">
            <v>1</v>
          </cell>
          <cell r="B195" t="str">
            <v>ENERGY CHARGES</v>
          </cell>
          <cell r="C195">
            <v>0</v>
          </cell>
          <cell r="D195">
            <v>0</v>
          </cell>
        </row>
        <row r="196">
          <cell r="A196">
            <v>2</v>
          </cell>
          <cell r="B196" t="str">
            <v>MD CHARGES</v>
          </cell>
          <cell r="C196">
            <v>39600</v>
          </cell>
          <cell r="D196">
            <v>39600</v>
          </cell>
        </row>
        <row r="197">
          <cell r="A197">
            <v>3</v>
          </cell>
          <cell r="B197" t="str">
            <v>TOTAL BASIC CHARGES</v>
          </cell>
          <cell r="C197">
            <v>39600</v>
          </cell>
          <cell r="D197">
            <v>39600</v>
          </cell>
        </row>
        <row r="198">
          <cell r="A198">
            <v>4</v>
          </cell>
          <cell r="B198" t="str">
            <v xml:space="preserve">FUEL ADJUSTMENT CHARGES </v>
          </cell>
          <cell r="C198">
            <v>0</v>
          </cell>
          <cell r="D198">
            <v>0</v>
          </cell>
        </row>
        <row r="199">
          <cell r="C199" t="str">
            <v>-----</v>
          </cell>
          <cell r="D199" t="str">
            <v>-----</v>
          </cell>
        </row>
        <row r="200">
          <cell r="A200">
            <v>5</v>
          </cell>
          <cell r="B200" t="str">
            <v>TOTAL</v>
          </cell>
          <cell r="C200">
            <v>39600</v>
          </cell>
          <cell r="D200">
            <v>39600</v>
          </cell>
        </row>
        <row r="201">
          <cell r="C201" t="str">
            <v>=====</v>
          </cell>
          <cell r="D201" t="str">
            <v>=====</v>
          </cell>
        </row>
        <row r="203">
          <cell r="A203" t="str">
            <v>F.</v>
          </cell>
          <cell r="B203" t="str">
            <v>COST OF FUEL (Rs.LAKHS)</v>
          </cell>
        </row>
        <row r="205">
          <cell r="A205">
            <v>1</v>
          </cell>
          <cell r="B205" t="str">
            <v>BASIC FUEL COST @ Rs.325 /MKCL</v>
          </cell>
          <cell r="C205">
            <v>65132</v>
          </cell>
          <cell r="D205">
            <v>68165</v>
          </cell>
        </row>
        <row r="206">
          <cell r="A206">
            <v>2</v>
          </cell>
          <cell r="B206" t="str">
            <v>FUEL ADJUSTMENT CHARGES</v>
          </cell>
          <cell r="C206">
            <v>89170</v>
          </cell>
          <cell r="D206">
            <v>96506</v>
          </cell>
        </row>
        <row r="207">
          <cell r="C207" t="str">
            <v>-----</v>
          </cell>
          <cell r="D207" t="str">
            <v>-----</v>
          </cell>
        </row>
        <row r="208">
          <cell r="A208">
            <v>3</v>
          </cell>
          <cell r="B208" t="str">
            <v>TOTAL FUEL COST</v>
          </cell>
          <cell r="C208">
            <v>154302</v>
          </cell>
          <cell r="D208">
            <v>164671</v>
          </cell>
        </row>
        <row r="209">
          <cell r="C209" t="str">
            <v>=====</v>
          </cell>
          <cell r="D209" t="str">
            <v>=====</v>
          </cell>
        </row>
        <row r="211">
          <cell r="A211" t="str">
            <v>G.</v>
          </cell>
          <cell r="B211" t="str">
            <v>TAX ON SALE OF ELECTRICITY (Rs.LAKHS)</v>
          </cell>
          <cell r="C211">
            <v>11760</v>
          </cell>
          <cell r="D211">
            <v>12061.5</v>
          </cell>
        </row>
        <row r="213">
          <cell r="A213" t="str">
            <v>H.</v>
          </cell>
          <cell r="B213" t="str">
            <v>WHEELING CHARGES RECOVERABLE FROM MSEB FOR WHEELING MSEB's POWER AT 22 KV</v>
          </cell>
          <cell r="C213">
            <v>805</v>
          </cell>
          <cell r="D213">
            <v>805</v>
          </cell>
        </row>
        <row r="215">
          <cell r="A215" t="str">
            <v>I.</v>
          </cell>
          <cell r="B215" t="str">
            <v>WHEELING CHARGES PAYABLE TO MSEB FOR WHEELING TPC's POWER AT 220 KV</v>
          </cell>
          <cell r="C215">
            <v>805</v>
          </cell>
          <cell r="D215">
            <v>805</v>
          </cell>
        </row>
        <row r="217">
          <cell r="A217" t="str">
            <v>L.</v>
          </cell>
          <cell r="B217" t="str">
            <v>THERMAL GENERATION (MUs)</v>
          </cell>
        </row>
        <row r="219">
          <cell r="B219" t="str">
            <v>UNIT NO.4</v>
          </cell>
          <cell r="D219">
            <v>873</v>
          </cell>
        </row>
        <row r="220">
          <cell r="B220" t="str">
            <v>UNIT NO.5</v>
          </cell>
          <cell r="D220">
            <v>3941</v>
          </cell>
        </row>
        <row r="221">
          <cell r="B221" t="str">
            <v>UNIT NO.6</v>
          </cell>
          <cell r="D221">
            <v>2872</v>
          </cell>
        </row>
        <row r="222">
          <cell r="B222" t="str">
            <v>UNIT NOS.7 AS GT</v>
          </cell>
          <cell r="D222">
            <v>0</v>
          </cell>
        </row>
        <row r="223">
          <cell r="B223" t="str">
            <v xml:space="preserve">UNIT NO.7 </v>
          </cell>
          <cell r="D223">
            <v>1146</v>
          </cell>
        </row>
        <row r="224">
          <cell r="D224" t="str">
            <v>-----</v>
          </cell>
        </row>
        <row r="225">
          <cell r="B225" t="str">
            <v>TOTAL THERMAL GENERATION</v>
          </cell>
          <cell r="D225">
            <v>8832</v>
          </cell>
        </row>
        <row r="226">
          <cell r="D226" t="str">
            <v>=====</v>
          </cell>
        </row>
        <row r="228">
          <cell r="A228" t="str">
            <v>M.</v>
          </cell>
          <cell r="B228" t="str">
            <v xml:space="preserve">FUEL CONSUMPTION </v>
          </cell>
        </row>
        <row r="230">
          <cell r="B230" t="str">
            <v xml:space="preserve"> 1) COAL (MTs/ANNUM)</v>
          </cell>
          <cell r="D230">
            <v>961100</v>
          </cell>
        </row>
        <row r="231">
          <cell r="B231" t="str">
            <v xml:space="preserve">        (MTs/DAY)</v>
          </cell>
          <cell r="D231">
            <v>2633</v>
          </cell>
        </row>
        <row r="233">
          <cell r="B233" t="str">
            <v xml:space="preserve"> 2) GAS  (MTs/ANNUM)</v>
          </cell>
          <cell r="D233">
            <v>191625</v>
          </cell>
        </row>
        <row r="234">
          <cell r="B234" t="str">
            <v xml:space="preserve">         (MTs/DAY)</v>
          </cell>
          <cell r="D234">
            <v>525</v>
          </cell>
        </row>
        <row r="236">
          <cell r="B236" t="str">
            <v xml:space="preserve"> 3) LSHS (MTs/ANNUM)</v>
          </cell>
          <cell r="D236">
            <v>1290887</v>
          </cell>
        </row>
        <row r="237">
          <cell r="B237" t="str">
            <v xml:space="preserve">         (MTs/DAY)</v>
          </cell>
          <cell r="D237">
            <v>3537</v>
          </cell>
        </row>
        <row r="239">
          <cell r="A239" t="str">
            <v>N.</v>
          </cell>
          <cell r="B239" t="str">
            <v>CORRESPONDING MKCAL</v>
          </cell>
        </row>
        <row r="241">
          <cell r="B241" t="str">
            <v xml:space="preserve"> 1) COAL</v>
          </cell>
          <cell r="D241">
            <v>4928350</v>
          </cell>
        </row>
        <row r="242">
          <cell r="B242" t="str">
            <v xml:space="preserve"> 2) GAS</v>
          </cell>
          <cell r="D242">
            <v>2491125</v>
          </cell>
        </row>
        <row r="243">
          <cell r="B243" t="str">
            <v xml:space="preserve"> 3) LSHS</v>
          </cell>
          <cell r="D243">
            <v>13554315</v>
          </cell>
        </row>
        <row r="244">
          <cell r="D244" t="str">
            <v>--------</v>
          </cell>
        </row>
        <row r="245">
          <cell r="B245" t="str">
            <v xml:space="preserve">    TOTAL</v>
          </cell>
          <cell r="D245">
            <v>20973790</v>
          </cell>
        </row>
        <row r="246">
          <cell r="D246" t="str">
            <v>========</v>
          </cell>
        </row>
        <row r="248">
          <cell r="A248" t="str">
            <v>O.</v>
          </cell>
          <cell r="B248" t="str">
            <v xml:space="preserve">COST OF FUEL (Rs.LAKHS) </v>
          </cell>
        </row>
        <row r="250">
          <cell r="B250" t="str">
            <v xml:space="preserve"> 1) COAL</v>
          </cell>
          <cell r="D250">
            <v>27632</v>
          </cell>
        </row>
        <row r="251">
          <cell r="B251" t="str">
            <v xml:space="preserve"> 2) GAS</v>
          </cell>
          <cell r="D251">
            <v>8048</v>
          </cell>
        </row>
        <row r="252">
          <cell r="B252" t="str">
            <v xml:space="preserve"> 3) LSHS</v>
          </cell>
          <cell r="D252">
            <v>125991</v>
          </cell>
        </row>
        <row r="253">
          <cell r="B253" t="str">
            <v xml:space="preserve"> 4) MINOR FUEL</v>
          </cell>
          <cell r="D253">
            <v>2592</v>
          </cell>
        </row>
        <row r="254">
          <cell r="B254" t="str">
            <v xml:space="preserve"> 5) HANDLING CHARGES</v>
          </cell>
          <cell r="D254">
            <v>408</v>
          </cell>
        </row>
        <row r="255">
          <cell r="D255" t="str">
            <v>-----</v>
          </cell>
        </row>
        <row r="256">
          <cell r="B256" t="str">
            <v xml:space="preserve">    TOTAL</v>
          </cell>
          <cell r="D256">
            <v>164671</v>
          </cell>
        </row>
        <row r="257">
          <cell r="D257" t="str">
            <v>=====</v>
          </cell>
        </row>
        <row r="259">
          <cell r="A259" t="str">
            <v>P.</v>
          </cell>
          <cell r="B259" t="str">
            <v>MKCAL REQUIREMENT</v>
          </cell>
        </row>
        <row r="261">
          <cell r="B261" t="str">
            <v xml:space="preserve"> 1) UNIT 4</v>
          </cell>
          <cell r="D261">
            <v>2269800</v>
          </cell>
        </row>
        <row r="262">
          <cell r="B262" t="str">
            <v xml:space="preserve"> 2) UNIT 5</v>
          </cell>
          <cell r="D262">
            <v>9576630</v>
          </cell>
        </row>
        <row r="263">
          <cell r="B263" t="str">
            <v xml:space="preserve"> 3) UNIT 6</v>
          </cell>
          <cell r="D263">
            <v>6835360</v>
          </cell>
        </row>
        <row r="264">
          <cell r="B264" t="str">
            <v xml:space="preserve"> 4) UNITS NO.7 AS GT</v>
          </cell>
          <cell r="D264">
            <v>0</v>
          </cell>
        </row>
        <row r="265">
          <cell r="B265" t="str">
            <v xml:space="preserve"> 5) UNIT NO.7</v>
          </cell>
          <cell r="D265">
            <v>2292000</v>
          </cell>
        </row>
        <row r="266">
          <cell r="D266" t="str">
            <v>-------</v>
          </cell>
        </row>
        <row r="267">
          <cell r="B267" t="str">
            <v xml:space="preserve">    TOTAL</v>
          </cell>
          <cell r="D267">
            <v>20973790</v>
          </cell>
        </row>
        <row r="268">
          <cell r="D268" t="str">
            <v>=======</v>
          </cell>
        </row>
        <row r="270">
          <cell r="A270" t="str">
            <v>ASSUMPTIONS :</v>
          </cell>
        </row>
        <row r="271">
          <cell r="B271" t="str">
            <v>PURCHASE MVA /MONTH</v>
          </cell>
          <cell r="D271">
            <v>550</v>
          </cell>
        </row>
        <row r="273">
          <cell r="B273" t="str">
            <v>MONTHLY FIXED WLG.CHRGS.RECOVERABLE(Rs.LACS)</v>
          </cell>
          <cell r="D273">
            <v>67.11</v>
          </cell>
        </row>
        <row r="274">
          <cell r="B274" t="str">
            <v>MONTHLY FIXED WLG.CHARGES PAYABLE(Rs.LACS)</v>
          </cell>
          <cell r="D274">
            <v>67.11</v>
          </cell>
        </row>
        <row r="276">
          <cell r="B276" t="str">
            <v>% OF (U#5 + U#6+U#7) POWER WHEELED</v>
          </cell>
          <cell r="D276">
            <v>26</v>
          </cell>
        </row>
        <row r="278">
          <cell r="B278" t="str">
            <v>ENERGY LOSS IN WHEELING MSEB'S POWER (%)</v>
          </cell>
          <cell r="D278">
            <v>3.09</v>
          </cell>
        </row>
        <row r="279">
          <cell r="B279" t="str">
            <v>ENERGY LOSS IN WHEELING TPC'S POWER (%)</v>
          </cell>
          <cell r="D279">
            <v>2</v>
          </cell>
        </row>
        <row r="281">
          <cell r="B281" t="str">
            <v>PURCHASE ENERGY RATE (P/U)</v>
          </cell>
          <cell r="D281">
            <v>290</v>
          </cell>
        </row>
        <row r="282">
          <cell r="B282" t="str">
            <v>PURCHASE FAC RATE (P/U)</v>
          </cell>
          <cell r="D282">
            <v>0</v>
          </cell>
        </row>
        <row r="283">
          <cell r="B283" t="str">
            <v>ENERGY RATE FOR SALE TO MSEB (P/U)</v>
          </cell>
          <cell r="D283">
            <v>125.9</v>
          </cell>
        </row>
        <row r="284">
          <cell r="B284" t="str">
            <v>ENERGY RATE FOR SALE TO INTER STATE  UTILITIES (P/U)</v>
          </cell>
          <cell r="D284">
            <v>125.9</v>
          </cell>
        </row>
        <row r="285">
          <cell r="B285" t="str">
            <v>FAC RATE FOR SALE TO INTER STATE  UTILITIES (P/U)</v>
          </cell>
          <cell r="D285">
            <v>124.1</v>
          </cell>
        </row>
        <row r="286">
          <cell r="B286" t="str">
            <v>FAC RATE FOR SALE TO MSEB (P/U)</v>
          </cell>
          <cell r="D286">
            <v>124.1</v>
          </cell>
        </row>
        <row r="287">
          <cell r="B287" t="str">
            <v>PURCHASE MD RATE (Rs./KVA/MONTH)</v>
          </cell>
          <cell r="D287">
            <v>600</v>
          </cell>
        </row>
        <row r="289">
          <cell r="B289" t="str">
            <v>FUEL COST (Rs./MT) :</v>
          </cell>
        </row>
        <row r="290">
          <cell r="B290" t="str">
            <v>COAL</v>
          </cell>
          <cell r="D290">
            <v>2875</v>
          </cell>
        </row>
        <row r="291">
          <cell r="B291" t="str">
            <v>GAS</v>
          </cell>
          <cell r="D291">
            <v>4200</v>
          </cell>
        </row>
        <row r="292">
          <cell r="B292" t="str">
            <v>LSHS/ LSWR</v>
          </cell>
          <cell r="D292">
            <v>9760</v>
          </cell>
        </row>
        <row r="293">
          <cell r="B293" t="str">
            <v>-</v>
          </cell>
          <cell r="C293" t="str">
            <v>-</v>
          </cell>
          <cell r="D293" t="str">
            <v>-</v>
          </cell>
        </row>
        <row r="295">
          <cell r="B295" t="str">
            <v>Tariff :</v>
          </cell>
        </row>
        <row r="296">
          <cell r="C296" t="str">
            <v>MD</v>
          </cell>
          <cell r="D296" t="str">
            <v>RKVAH</v>
          </cell>
        </row>
        <row r="297">
          <cell r="C297" t="str">
            <v>(Rs./KVA)</v>
          </cell>
          <cell r="D297" t="str">
            <v>(P./RKVAH)</v>
          </cell>
        </row>
        <row r="298">
          <cell r="B298" t="str">
            <v>TEXTILES</v>
          </cell>
          <cell r="C298">
            <v>170</v>
          </cell>
          <cell r="D298">
            <v>0</v>
          </cell>
        </row>
        <row r="299">
          <cell r="B299" t="str">
            <v>HT INDUSTRIES</v>
          </cell>
          <cell r="C299">
            <v>170</v>
          </cell>
          <cell r="D299">
            <v>0</v>
          </cell>
        </row>
        <row r="300">
          <cell r="B300" t="str">
            <v>HT COMMERCIAL</v>
          </cell>
          <cell r="C300">
            <v>170</v>
          </cell>
          <cell r="D300">
            <v>0</v>
          </cell>
        </row>
        <row r="301">
          <cell r="B301" t="str">
            <v>LT INDUSTRIES (TWO PART TARIFF)</v>
          </cell>
          <cell r="C301">
            <v>175</v>
          </cell>
          <cell r="D301">
            <v>0</v>
          </cell>
        </row>
        <row r="302">
          <cell r="B302" t="str">
            <v>LT COMMERCIAL (TWO PART TARIFF)</v>
          </cell>
          <cell r="C302">
            <v>175</v>
          </cell>
          <cell r="D302">
            <v>0</v>
          </cell>
        </row>
        <row r="303">
          <cell r="B303" t="str">
            <v>RAILWAYS</v>
          </cell>
          <cell r="C303">
            <v>170</v>
          </cell>
          <cell r="D303">
            <v>0</v>
          </cell>
        </row>
        <row r="304">
          <cell r="B304" t="str">
            <v>BEST</v>
          </cell>
          <cell r="C304">
            <v>170</v>
          </cell>
          <cell r="D304">
            <v>0</v>
          </cell>
        </row>
        <row r="305">
          <cell r="B305" t="str">
            <v>BSES (22/33 KV)</v>
          </cell>
          <cell r="C305">
            <v>200</v>
          </cell>
          <cell r="D305">
            <v>0</v>
          </cell>
        </row>
        <row r="306">
          <cell r="B306" t="str">
            <v>BSES (220 KV)</v>
          </cell>
          <cell r="D306">
            <v>0</v>
          </cell>
        </row>
        <row r="307">
          <cell r="B307" t="str">
            <v>MSEB 22 KV</v>
          </cell>
          <cell r="D307">
            <v>0</v>
          </cell>
        </row>
        <row r="308">
          <cell r="B308" t="str">
            <v>ENERGY RATE (P/KWH) :</v>
          </cell>
        </row>
        <row r="309">
          <cell r="B309" t="str">
            <v>TEXTILES</v>
          </cell>
          <cell r="C309">
            <v>197</v>
          </cell>
        </row>
        <row r="310">
          <cell r="B310" t="str">
            <v>HT INDUSTRIES</v>
          </cell>
          <cell r="C310">
            <v>197</v>
          </cell>
        </row>
        <row r="311">
          <cell r="B311" t="str">
            <v>HT COMMERCIAL</v>
          </cell>
          <cell r="C311">
            <v>197</v>
          </cell>
        </row>
        <row r="312">
          <cell r="B312" t="str">
            <v>LT INDUSTRIES (SINGLE PART TARIFF)</v>
          </cell>
          <cell r="C312">
            <v>272</v>
          </cell>
        </row>
        <row r="313">
          <cell r="B313" t="str">
            <v>LT INDUSTRIES (TWO PART TARIFF)</v>
          </cell>
          <cell r="C313">
            <v>202</v>
          </cell>
        </row>
        <row r="314">
          <cell r="B314" t="str">
            <v>LT COMMERCIAL (SINGLE PART TARIFF)</v>
          </cell>
          <cell r="C314">
            <v>272</v>
          </cell>
        </row>
        <row r="315">
          <cell r="B315" t="str">
            <v>LT COMMERCIAL (TWO PART TARIFF)</v>
          </cell>
          <cell r="C315">
            <v>202</v>
          </cell>
        </row>
        <row r="316">
          <cell r="B316" t="str">
            <v>RESIDENTIAL</v>
          </cell>
          <cell r="C316">
            <v>212.75</v>
          </cell>
        </row>
        <row r="317">
          <cell r="B317" t="str">
            <v>RAILWAYS</v>
          </cell>
          <cell r="C317">
            <v>197</v>
          </cell>
        </row>
        <row r="318">
          <cell r="B318" t="str">
            <v>BEST</v>
          </cell>
          <cell r="C318">
            <v>177</v>
          </cell>
        </row>
        <row r="319">
          <cell r="B319" t="str">
            <v>BSES</v>
          </cell>
          <cell r="C319">
            <v>177</v>
          </cell>
        </row>
        <row r="320">
          <cell r="B320" t="str">
            <v>BSES 220 KV</v>
          </cell>
          <cell r="C320">
            <v>209</v>
          </cell>
        </row>
        <row r="321">
          <cell r="B321" t="str">
            <v>BASIC COST OF FUEL (Rs./MKCL)</v>
          </cell>
          <cell r="C321">
            <v>325</v>
          </cell>
        </row>
        <row r="322">
          <cell r="B322" t="str">
            <v>-</v>
          </cell>
        </row>
        <row r="323">
          <cell r="B323" t="str">
            <v>CALORIFIC VALUES (MKCL/MT) :</v>
          </cell>
        </row>
        <row r="324">
          <cell r="B324" t="str">
            <v>COAL</v>
          </cell>
          <cell r="C324">
            <v>5.1278223000000001</v>
          </cell>
        </row>
        <row r="325">
          <cell r="B325" t="str">
            <v>GAS</v>
          </cell>
          <cell r="C325">
            <v>13</v>
          </cell>
        </row>
        <row r="326">
          <cell r="B326" t="str">
            <v>LSHS/ LSWR</v>
          </cell>
          <cell r="C326">
            <v>10.5</v>
          </cell>
        </row>
        <row r="328">
          <cell r="B328" t="str">
            <v>HEAT RATES &amp; AUXILIARY CONSUMPTION</v>
          </cell>
          <cell r="C328" t="str">
            <v>HEAT RATE</v>
          </cell>
          <cell r="D328" t="str">
            <v>AUX.CONS.</v>
          </cell>
        </row>
        <row r="329">
          <cell r="C329" t="str">
            <v>MKCL/MU</v>
          </cell>
          <cell r="D329" t="str">
            <v>(%)</v>
          </cell>
        </row>
        <row r="330">
          <cell r="B330" t="str">
            <v>------------------------------------</v>
          </cell>
          <cell r="C330" t="str">
            <v>-</v>
          </cell>
          <cell r="D330" t="str">
            <v>-</v>
          </cell>
        </row>
        <row r="332">
          <cell r="B332" t="str">
            <v>UNIT NO.4</v>
          </cell>
          <cell r="C332">
            <v>2600</v>
          </cell>
          <cell r="D332">
            <v>10</v>
          </cell>
        </row>
        <row r="333">
          <cell r="B333" t="str">
            <v>UNIT NO.5</v>
          </cell>
          <cell r="C333">
            <v>2430</v>
          </cell>
          <cell r="D333">
            <v>5</v>
          </cell>
        </row>
        <row r="334">
          <cell r="B334" t="str">
            <v>UNIT NO.6</v>
          </cell>
          <cell r="C334">
            <v>2380</v>
          </cell>
          <cell r="D334">
            <v>4</v>
          </cell>
        </row>
        <row r="335">
          <cell r="B335" t="str">
            <v>UNIT NO.7 AS GT</v>
          </cell>
          <cell r="C335">
            <v>2850</v>
          </cell>
          <cell r="D335">
            <v>2.1</v>
          </cell>
        </row>
        <row r="336">
          <cell r="B336" t="str">
            <v>UNIT NO.7</v>
          </cell>
          <cell r="C336">
            <v>2000</v>
          </cell>
          <cell r="D336">
            <v>2</v>
          </cell>
        </row>
        <row r="337">
          <cell r="B337" t="str">
            <v>HYDRO</v>
          </cell>
          <cell r="D337">
            <v>0.5</v>
          </cell>
        </row>
        <row r="339">
          <cell r="B339" t="str">
            <v>TAXABLE SALES</v>
          </cell>
          <cell r="C339">
            <v>91</v>
          </cell>
          <cell r="D339" t="str">
            <v>%</v>
          </cell>
        </row>
        <row r="340">
          <cell r="B340" t="str">
            <v xml:space="preserve">TAX ON  SALE RATE </v>
          </cell>
          <cell r="C340">
            <v>15</v>
          </cell>
          <cell r="D340" t="str">
            <v>(P/KWH)</v>
          </cell>
        </row>
        <row r="342">
          <cell r="B342" t="str">
            <v>T T &amp; D LOSSES</v>
          </cell>
          <cell r="C342">
            <v>2.2999999999999998</v>
          </cell>
          <cell r="D342" t="str">
            <v>%</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5">
          <cell r="G35">
            <v>64254.226096970044</v>
          </cell>
          <cell r="H35">
            <v>59093.238057586968</v>
          </cell>
          <cell r="I35">
            <v>63490.540060935658</v>
          </cell>
        </row>
        <row r="44">
          <cell r="G44">
            <v>24259.407938726315</v>
          </cell>
          <cell r="H44">
            <v>16526.511773419461</v>
          </cell>
          <cell r="I44">
            <v>17654.636270525258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NAV000"/>
      <sheetName val="#1 Misc Pipe"/>
      <sheetName val="당진(기타)"/>
      <sheetName val="당진1Drip Shield"/>
      <sheetName val="당진2Drip Shield "/>
      <sheetName val="DJ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SIV"/>
      <sheetName val="P-LIST"/>
      <sheetName val="운송"/>
      <sheetName val="SIV (2)"/>
      <sheetName val="Sheet1"/>
      <sheetName val="Sheet2"/>
      <sheetName val="Sheet3"/>
      <sheetName val="SIV_(2)"/>
      <sheetName val="현장지지물물량"/>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Input_Sheet"/>
      <sheetName val="EB_MO_FY08"/>
      <sheetName val="Dailysource"/>
    </sheetNames>
    <sheetDataSet>
      <sheetData sheetId="0"/>
      <sheetData sheetId="1" refreshError="1"/>
      <sheetData sheetId="2"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TarSUmm jan 05 "/>
      <sheetName val="TarSUmm jan 05  Cat"/>
      <sheetName val="TarSUmm Dec04  (3)"/>
      <sheetName val="TarSUmm Dec04  (2)"/>
      <sheetName val="TarSUmm Nov04  (2)"/>
      <sheetName val="per unit"/>
      <sheetName val="per unit (2)"/>
      <sheetName val="Sales FY05"/>
      <sheetName val="Revenue FY05"/>
      <sheetName val="Sales (FY04)"/>
      <sheetName val="Sheet1"/>
      <sheetName val="Sales (FY04) (2)"/>
      <sheetName val="En Ch FY05"/>
      <sheetName val="MD Ch FY05"/>
      <sheetName val="FAC Ch FY05"/>
      <sheetName val="En Ch FY04"/>
      <sheetName val="MD Ch FY04"/>
      <sheetName val="FAC Ch FY04"/>
      <sheetName val="Revenue(No TOSE &amp; StBy)"/>
      <sheetName val="Tariff (No TOSE &amp; StBy)"/>
      <sheetName val="MonthWise TS FY04"/>
      <sheetName val="Revenue FY04 (No TOSE)"/>
      <sheetName val="Tariff FY0 (No TOSE &amp; StBy)"/>
      <sheetName val="REL FAC Os"/>
      <sheetName val="Input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Open Access Charges"/>
      <sheetName val="Sheet1"/>
      <sheetName val="Financial Estimates"/>
    </sheetNames>
    <sheetDataSet>
      <sheetData sheetId="0" refreshError="1"/>
      <sheetData sheetId="1" refreshError="1">
        <row r="2">
          <cell r="C2">
            <v>0.8</v>
          </cell>
        </row>
      </sheetData>
      <sheetData sheetId="2"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총괄 (10)"/>
      <sheetName val="내역 (10)"/>
      <sheetName val="총괄 (9)"/>
      <sheetName val="내역 (9)"/>
      <sheetName val="총괄 (8)"/>
      <sheetName val="내역 (8)"/>
      <sheetName val="총괄 (7)"/>
      <sheetName val="내역 (7)"/>
      <sheetName val="총괄 (6)"/>
      <sheetName val="내역 (6)"/>
      <sheetName val="총괄 (5)"/>
      <sheetName val="내역 (5)"/>
      <sheetName val="총괄 (4)"/>
      <sheetName val="내역 (4)"/>
      <sheetName val="총괄 (3)"/>
      <sheetName val="내역 (3)"/>
      <sheetName val="총괄 (2)"/>
      <sheetName val="내역 (2)"/>
      <sheetName val="총괄 (1)"/>
      <sheetName val="내역 (1)"/>
      <sheetName val="내역서 EC07"/>
      <sheetName val="계산서 EC07"/>
      <sheetName val="계산서 EC06"/>
      <sheetName val="내역서 EC06"/>
      <sheetName val="계산서 EC05"/>
      <sheetName val="내역서 EC05"/>
      <sheetName val="계산서 EC04"/>
      <sheetName val="내역서 EC04"/>
      <sheetName val="계산서 EC03"/>
      <sheetName val="내역서 EC03"/>
      <sheetName val="내역서 EC02"/>
      <sheetName val="계산서 EC02"/>
      <sheetName val="내역서 EC01"/>
      <sheetName val="계산서 EC01"/>
      <sheetName val="계측"/>
      <sheetName val="계측총괄"/>
      <sheetName val="00,집계표"/>
      <sheetName val="매크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5">
          <cell r="I35">
            <v>63490.540060935658</v>
          </cell>
        </row>
        <row r="44">
          <cell r="I44">
            <v>17654.636270525258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Sheet2"/>
      <sheetName val="Sheet1"/>
      <sheetName val="ReadMe"/>
      <sheetName val="Input data"/>
      <sheetName val="Memo table"/>
      <sheetName val="MERC Formats"/>
      <sheetName val="FAC (Mth to Mth)"/>
      <sheetName val="Actual Perf"/>
      <sheetName val="FAC (Running FAC)"/>
      <sheetName val="FAC (Mth to Mth Summ)"/>
      <sheetName val="TariffOrder values"/>
      <sheetName val="Disallowances"/>
      <sheetName val="ChangeInCost"/>
      <sheetName val="Approtionment"/>
      <sheetName val="FAC (Running FAC with MSEB)"/>
      <sheetName val="Purch-Dec05"/>
      <sheetName val="Rev@NewTar"/>
      <sheetName val="tmp"/>
      <sheetName val="per unit"/>
    </sheetNames>
    <sheetDataSet>
      <sheetData sheetId="0"/>
      <sheetData sheetId="1"/>
      <sheetData sheetId="2"/>
      <sheetData sheetId="3"/>
      <sheetData sheetId="4"/>
      <sheetData sheetId="5"/>
      <sheetData sheetId="6"/>
      <sheetData sheetId="7"/>
      <sheetData sheetId="8" refreshError="1">
        <row r="21">
          <cell r="B21">
            <v>38443</v>
          </cell>
          <cell r="C21">
            <v>912.35970686999997</v>
          </cell>
          <cell r="D21">
            <v>0</v>
          </cell>
          <cell r="E21">
            <v>8.7531449101420975</v>
          </cell>
          <cell r="F21">
            <v>0</v>
          </cell>
          <cell r="G21">
            <v>0</v>
          </cell>
          <cell r="H21">
            <v>8.7531449101420975</v>
          </cell>
          <cell r="J21">
            <v>-8.5224454624684594</v>
          </cell>
          <cell r="K21">
            <v>-34.275600273057563</v>
          </cell>
          <cell r="L21">
            <v>-42.798045735526024</v>
          </cell>
          <cell r="P21">
            <v>1.5895999999999998E-4</v>
          </cell>
        </row>
        <row r="22">
          <cell r="B22">
            <v>38473</v>
          </cell>
          <cell r="C22">
            <v>921.48856249999994</v>
          </cell>
          <cell r="D22">
            <v>0</v>
          </cell>
          <cell r="E22">
            <v>10.825945055500185</v>
          </cell>
          <cell r="F22">
            <v>0</v>
          </cell>
          <cell r="G22">
            <v>0</v>
          </cell>
          <cell r="H22">
            <v>10.825945055500185</v>
          </cell>
          <cell r="J22">
            <v>-12.965510284044486</v>
          </cell>
          <cell r="K22">
            <v>-6.3025277077675961</v>
          </cell>
          <cell r="L22">
            <v>-19.268037991812083</v>
          </cell>
          <cell r="P22">
            <v>2.283696E-3</v>
          </cell>
        </row>
        <row r="23">
          <cell r="B23">
            <v>38504</v>
          </cell>
          <cell r="C23">
            <v>953.67422450000004</v>
          </cell>
          <cell r="D23">
            <v>0</v>
          </cell>
          <cell r="E23">
            <v>31.765384524745581</v>
          </cell>
          <cell r="F23">
            <v>0</v>
          </cell>
          <cell r="G23">
            <v>0</v>
          </cell>
          <cell r="H23">
            <v>31.765384524745581</v>
          </cell>
          <cell r="I23">
            <v>31.765384524745581</v>
          </cell>
          <cell r="J23">
            <v>8.7531449101420975</v>
          </cell>
          <cell r="K23">
            <v>-42.798204695526024</v>
          </cell>
          <cell r="L23">
            <v>-34.045059785383927</v>
          </cell>
          <cell r="M23">
            <v>-37</v>
          </cell>
          <cell r="N23">
            <v>20.7</v>
          </cell>
          <cell r="O23">
            <v>-37</v>
          </cell>
          <cell r="P23">
            <v>1.6431668999999999E-2</v>
          </cell>
        </row>
        <row r="24">
          <cell r="B24">
            <v>38534</v>
          </cell>
          <cell r="C24">
            <v>857.55908499999998</v>
          </cell>
          <cell r="D24">
            <v>7.6763663608600474</v>
          </cell>
          <cell r="E24">
            <v>27.405350648586118</v>
          </cell>
          <cell r="F24">
            <v>0</v>
          </cell>
          <cell r="H24">
            <v>27.405350648586118</v>
          </cell>
          <cell r="I24">
            <v>59.1707351733317</v>
          </cell>
          <cell r="J24">
            <v>10.825945055500185</v>
          </cell>
          <cell r="K24">
            <v>-19.270321687812082</v>
          </cell>
          <cell r="L24">
            <v>-8.4443766323118972</v>
          </cell>
          <cell r="M24">
            <v>-9</v>
          </cell>
          <cell r="N24">
            <v>20.7</v>
          </cell>
          <cell r="O24">
            <v>-9</v>
          </cell>
          <cell r="P24">
            <v>0</v>
          </cell>
        </row>
        <row r="25">
          <cell r="B25">
            <v>38565</v>
          </cell>
          <cell r="C25">
            <v>858.52010299999995</v>
          </cell>
          <cell r="D25">
            <v>17.978372768207862</v>
          </cell>
          <cell r="E25">
            <v>12.607971445217576</v>
          </cell>
          <cell r="F25">
            <v>0</v>
          </cell>
          <cell r="G25">
            <v>0</v>
          </cell>
          <cell r="H25">
            <v>12.607971445217576</v>
          </cell>
          <cell r="I25">
            <v>71.778706618549279</v>
          </cell>
          <cell r="J25">
            <v>31.765384524745581</v>
          </cell>
          <cell r="K25">
            <v>-34.061491454383926</v>
          </cell>
          <cell r="L25">
            <v>-2.296106929638345</v>
          </cell>
          <cell r="M25">
            <v>-2</v>
          </cell>
          <cell r="N25">
            <v>20.7</v>
          </cell>
          <cell r="O25">
            <v>-2</v>
          </cell>
          <cell r="P25">
            <v>0</v>
          </cell>
        </row>
        <row r="26">
          <cell r="B26">
            <v>38596</v>
          </cell>
          <cell r="C26">
            <v>1007.752671</v>
          </cell>
          <cell r="D26">
            <v>0</v>
          </cell>
          <cell r="E26">
            <v>25.747932457520623</v>
          </cell>
          <cell r="F26">
            <v>0</v>
          </cell>
          <cell r="G26">
            <v>0</v>
          </cell>
          <cell r="H26">
            <v>25.747932457520623</v>
          </cell>
          <cell r="I26">
            <v>97.526639076069898</v>
          </cell>
          <cell r="J26">
            <v>27.405350648586118</v>
          </cell>
          <cell r="K26">
            <v>-8.4443766323118972</v>
          </cell>
          <cell r="L26">
            <v>18.960974016274221</v>
          </cell>
          <cell r="M26">
            <v>22</v>
          </cell>
          <cell r="N26">
            <v>20.7</v>
          </cell>
          <cell r="O26">
            <v>20.7</v>
          </cell>
          <cell r="P26">
            <v>18.349204176000057</v>
          </cell>
        </row>
        <row r="27">
          <cell r="B27">
            <v>38626</v>
          </cell>
          <cell r="C27">
            <v>957.31288700000005</v>
          </cell>
          <cell r="D27">
            <v>0.44518075860396422</v>
          </cell>
          <cell r="E27">
            <v>81.968620405799953</v>
          </cell>
          <cell r="F27">
            <v>0</v>
          </cell>
          <cell r="G27">
            <v>0</v>
          </cell>
          <cell r="H27">
            <v>81.968620405799953</v>
          </cell>
          <cell r="I27">
            <v>179.49525948186985</v>
          </cell>
          <cell r="J27">
            <v>12.607971445217576</v>
          </cell>
          <cell r="K27">
            <v>-2.296106929638345</v>
          </cell>
          <cell r="L27">
            <v>10.311864515579231</v>
          </cell>
          <cell r="M27">
            <v>12</v>
          </cell>
          <cell r="N27">
            <v>20.7</v>
          </cell>
          <cell r="O27">
            <v>12</v>
          </cell>
          <cell r="P27">
            <v>12.038489772000288</v>
          </cell>
        </row>
        <row r="28">
          <cell r="B28">
            <v>38657</v>
          </cell>
          <cell r="C28">
            <v>792.451866</v>
          </cell>
          <cell r="D28">
            <v>0</v>
          </cell>
          <cell r="E28">
            <v>49.253195426011239</v>
          </cell>
          <cell r="F28">
            <v>4.8848783257558802E-3</v>
          </cell>
          <cell r="G28">
            <v>0</v>
          </cell>
          <cell r="H28">
            <v>49.248310547685485</v>
          </cell>
          <cell r="I28">
            <v>228.74357002955534</v>
          </cell>
          <cell r="J28">
            <v>25.747932457520623</v>
          </cell>
          <cell r="K28">
            <v>0.61176984027416381</v>
          </cell>
          <cell r="L28">
            <v>26.359702297794787</v>
          </cell>
          <cell r="M28">
            <v>26</v>
          </cell>
          <cell r="N28">
            <v>20.7</v>
          </cell>
          <cell r="O28">
            <v>20.7</v>
          </cell>
          <cell r="P28">
            <v>19.996818122000033</v>
          </cell>
        </row>
        <row r="29">
          <cell r="B29">
            <v>38687</v>
          </cell>
          <cell r="C29">
            <v>758.07120499999996</v>
          </cell>
          <cell r="D29">
            <v>0.73432430299994778</v>
          </cell>
          <cell r="E29">
            <v>42.676405030408958</v>
          </cell>
          <cell r="F29">
            <v>0</v>
          </cell>
          <cell r="G29">
            <v>0</v>
          </cell>
          <cell r="H29">
            <v>42.676405030408958</v>
          </cell>
          <cell r="I29">
            <v>271.41997505996432</v>
          </cell>
          <cell r="J29">
            <v>81.968620405799953</v>
          </cell>
          <cell r="K29">
            <v>-1.7266252564210571</v>
          </cell>
          <cell r="L29">
            <v>80.241995149378894</v>
          </cell>
          <cell r="M29">
            <v>84</v>
          </cell>
          <cell r="N29">
            <v>20.7</v>
          </cell>
          <cell r="O29">
            <v>20.7</v>
          </cell>
          <cell r="P29">
            <v>16.645479757999851</v>
          </cell>
        </row>
        <row r="30">
          <cell r="B30">
            <v>38718</v>
          </cell>
          <cell r="C30">
            <v>731.51615700000002</v>
          </cell>
          <cell r="D30">
            <v>2.6891918095966076</v>
          </cell>
          <cell r="E30">
            <v>84.40975563211218</v>
          </cell>
          <cell r="F30">
            <v>0</v>
          </cell>
          <cell r="H30">
            <v>84.40975563211218</v>
          </cell>
          <cell r="I30">
            <v>355.82973069207651</v>
          </cell>
          <cell r="J30">
            <v>49.248310547685485</v>
          </cell>
          <cell r="K30">
            <v>6.3628841757947541</v>
          </cell>
          <cell r="L30">
            <v>55.611194723480239</v>
          </cell>
          <cell r="M30">
            <v>70</v>
          </cell>
          <cell r="N30">
            <v>20.7</v>
          </cell>
          <cell r="O30">
            <v>20.7</v>
          </cell>
          <cell r="P30">
            <v>15.982246125000003</v>
          </cell>
        </row>
        <row r="31">
          <cell r="B31">
            <v>38749</v>
          </cell>
          <cell r="C31">
            <v>785.08427300000005</v>
          </cell>
          <cell r="D31">
            <v>0</v>
          </cell>
          <cell r="E31">
            <v>88.798479269009746</v>
          </cell>
          <cell r="F31">
            <v>0</v>
          </cell>
          <cell r="H31">
            <v>88.798479269009746</v>
          </cell>
          <cell r="I31">
            <v>444.62820996108627</v>
          </cell>
          <cell r="J31">
            <v>42.676405030408958</v>
          </cell>
          <cell r="K31">
            <v>63.596515391379043</v>
          </cell>
          <cell r="L31">
            <v>106.272920421788</v>
          </cell>
          <cell r="M31">
            <v>140</v>
          </cell>
          <cell r="N31">
            <v>20.7</v>
          </cell>
          <cell r="O31">
            <v>20.7</v>
          </cell>
          <cell r="P31">
            <v>15.487321558999998</v>
          </cell>
        </row>
        <row r="32">
          <cell r="B32">
            <v>38777</v>
          </cell>
          <cell r="C32">
            <v>885.49503800000002</v>
          </cell>
          <cell r="D32">
            <v>9.1125845310039857</v>
          </cell>
          <cell r="E32">
            <v>41.234682847842151</v>
          </cell>
          <cell r="F32">
            <v>0</v>
          </cell>
          <cell r="H32">
            <v>41.234682847842151</v>
          </cell>
          <cell r="I32">
            <v>485.86289280892845</v>
          </cell>
          <cell r="J32">
            <v>84.40975563211218</v>
          </cell>
          <cell r="K32">
            <v>39.628948598480235</v>
          </cell>
          <cell r="L32">
            <v>124.03870423059242</v>
          </cell>
          <cell r="M32">
            <v>169</v>
          </cell>
          <cell r="N32">
            <v>20.7</v>
          </cell>
          <cell r="O32">
            <v>20.7</v>
          </cell>
          <cell r="P32">
            <v>16.366669048000002</v>
          </cell>
        </row>
        <row r="33">
          <cell r="B33">
            <v>38808</v>
          </cell>
          <cell r="C33">
            <v>927.65004599999997</v>
          </cell>
          <cell r="D33">
            <v>0</v>
          </cell>
          <cell r="E33">
            <v>53.203486007437007</v>
          </cell>
          <cell r="F33">
            <v>0</v>
          </cell>
          <cell r="H33">
            <v>53.203486007437007</v>
          </cell>
          <cell r="J33">
            <v>88.798479269009746</v>
          </cell>
          <cell r="K33">
            <v>90.785598862788007</v>
          </cell>
          <cell r="L33">
            <v>179.58407813179775</v>
          </cell>
          <cell r="M33">
            <v>229</v>
          </cell>
          <cell r="N33">
            <v>20.7</v>
          </cell>
          <cell r="O33">
            <v>20.7</v>
          </cell>
          <cell r="P33">
            <v>18.710808059000005</v>
          </cell>
        </row>
        <row r="34">
          <cell r="B34">
            <v>38838</v>
          </cell>
          <cell r="C34">
            <v>995.59135900000001</v>
          </cell>
          <cell r="D34">
            <v>5.104326032928018</v>
          </cell>
          <cell r="E34">
            <v>110.67401118321864</v>
          </cell>
          <cell r="F34">
            <v>0</v>
          </cell>
          <cell r="H34">
            <v>110.67401118321864</v>
          </cell>
          <cell r="J34">
            <v>41.234682847842151</v>
          </cell>
          <cell r="K34">
            <v>107.67203518259241</v>
          </cell>
          <cell r="L34">
            <v>148.90671803043455</v>
          </cell>
          <cell r="M34">
            <v>166</v>
          </cell>
          <cell r="N34">
            <v>20.7</v>
          </cell>
          <cell r="O34">
            <v>20.7</v>
          </cell>
          <cell r="P34">
            <v>19.372160891999993</v>
          </cell>
        </row>
        <row r="35">
          <cell r="B35">
            <v>38869</v>
          </cell>
          <cell r="C35">
            <v>987.04597200000001</v>
          </cell>
          <cell r="D35">
            <v>0</v>
          </cell>
          <cell r="E35">
            <v>85.684876029405146</v>
          </cell>
          <cell r="F35">
            <v>0</v>
          </cell>
          <cell r="H35">
            <v>85.684876029405146</v>
          </cell>
          <cell r="J35">
            <v>53.203486007437007</v>
          </cell>
          <cell r="K35">
            <v>160.87327007279774</v>
          </cell>
          <cell r="L35">
            <v>214.07675608023476</v>
          </cell>
          <cell r="M35">
            <v>231</v>
          </cell>
          <cell r="N35">
            <v>20.7</v>
          </cell>
          <cell r="O35">
            <v>20.7</v>
          </cell>
          <cell r="P35">
            <v>21.067656329999998</v>
          </cell>
        </row>
        <row r="36">
          <cell r="B36">
            <v>38899</v>
          </cell>
          <cell r="C36">
            <v>916.96296258099994</v>
          </cell>
          <cell r="D36">
            <v>0.59866119785182192</v>
          </cell>
          <cell r="E36">
            <v>92.984247192748811</v>
          </cell>
          <cell r="F36">
            <v>0</v>
          </cell>
          <cell r="H36">
            <v>92.984247192748811</v>
          </cell>
          <cell r="J36">
            <v>110.67401118321864</v>
          </cell>
          <cell r="K36">
            <v>129.53455713843456</v>
          </cell>
          <cell r="L36">
            <v>240.20856832165322</v>
          </cell>
          <cell r="M36">
            <v>240</v>
          </cell>
          <cell r="N36">
            <v>20.7</v>
          </cell>
          <cell r="O36">
            <v>20.7</v>
          </cell>
          <cell r="P36">
            <v>20.609815001999994</v>
          </cell>
        </row>
        <row r="37">
          <cell r="B37">
            <v>38930</v>
          </cell>
          <cell r="C37">
            <v>1023.286157419</v>
          </cell>
          <cell r="D37">
            <v>0</v>
          </cell>
          <cell r="E37">
            <v>32.564436331243357</v>
          </cell>
          <cell r="F37">
            <v>0</v>
          </cell>
          <cell r="H37">
            <v>32.564436331243357</v>
          </cell>
          <cell r="J37">
            <v>85.684876029405146</v>
          </cell>
          <cell r="K37">
            <v>193.00909975023475</v>
          </cell>
          <cell r="L37">
            <v>278.69397577963991</v>
          </cell>
          <cell r="M37">
            <v>282</v>
          </cell>
          <cell r="N37">
            <v>20.7</v>
          </cell>
          <cell r="O37">
            <v>20.7</v>
          </cell>
          <cell r="P37">
            <v>19.405590744000001</v>
          </cell>
        </row>
        <row r="38">
          <cell r="B38">
            <v>38961</v>
          </cell>
          <cell r="C38">
            <v>965.32026099999996</v>
          </cell>
          <cell r="D38">
            <v>0</v>
          </cell>
          <cell r="E38">
            <v>54.808279508052308</v>
          </cell>
          <cell r="F38">
            <v>0</v>
          </cell>
          <cell r="H38">
            <v>54.808279508052308</v>
          </cell>
          <cell r="J38">
            <v>92.984247192748811</v>
          </cell>
          <cell r="K38">
            <v>219.59875331965321</v>
          </cell>
          <cell r="L38">
            <v>312.58300051240201</v>
          </cell>
          <cell r="M38">
            <v>341</v>
          </cell>
          <cell r="N38">
            <v>20.7</v>
          </cell>
          <cell r="O38">
            <v>20.7</v>
          </cell>
          <cell r="P38">
            <v>21.549698222</v>
          </cell>
        </row>
        <row r="39">
          <cell r="B39">
            <v>38991</v>
          </cell>
          <cell r="C39">
            <v>0</v>
          </cell>
          <cell r="D39">
            <v>0</v>
          </cell>
          <cell r="E39">
            <v>0</v>
          </cell>
          <cell r="F39">
            <v>0</v>
          </cell>
          <cell r="H39">
            <v>0</v>
          </cell>
          <cell r="J39">
            <v>32.564436331243357</v>
          </cell>
          <cell r="K39">
            <v>259.28838503563992</v>
          </cell>
          <cell r="L39">
            <v>291.85282136688329</v>
          </cell>
          <cell r="M39">
            <v>285</v>
          </cell>
          <cell r="N39">
            <v>20.7</v>
          </cell>
          <cell r="O39">
            <v>20.7</v>
          </cell>
          <cell r="P39">
            <v>0</v>
          </cell>
        </row>
        <row r="40">
          <cell r="B40">
            <v>39022</v>
          </cell>
          <cell r="C40">
            <v>0</v>
          </cell>
          <cell r="D40">
            <v>0</v>
          </cell>
          <cell r="E40">
            <v>0</v>
          </cell>
          <cell r="F40">
            <v>0</v>
          </cell>
          <cell r="H40">
            <v>0</v>
          </cell>
          <cell r="J40">
            <v>54.808279508052308</v>
          </cell>
          <cell r="K40">
            <v>291.03330229040199</v>
          </cell>
          <cell r="L40">
            <v>345.84158179845429</v>
          </cell>
          <cell r="M40">
            <v>358</v>
          </cell>
          <cell r="N40">
            <v>20.7</v>
          </cell>
          <cell r="O40">
            <v>20.7</v>
          </cell>
          <cell r="P40">
            <v>0</v>
          </cell>
        </row>
        <row r="41">
          <cell r="B41">
            <v>39052</v>
          </cell>
          <cell r="C41">
            <v>0</v>
          </cell>
          <cell r="D41">
            <v>0</v>
          </cell>
          <cell r="E41">
            <v>0</v>
          </cell>
          <cell r="F41">
            <v>0</v>
          </cell>
          <cell r="H41">
            <v>0</v>
          </cell>
          <cell r="J41">
            <v>0</v>
          </cell>
          <cell r="K41">
            <v>291.85282136688329</v>
          </cell>
          <cell r="L41">
            <v>291.85282136688329</v>
          </cell>
          <cell r="M41">
            <v>0</v>
          </cell>
          <cell r="N41">
            <v>20.7</v>
          </cell>
          <cell r="O41">
            <v>0</v>
          </cell>
          <cell r="P41">
            <v>0</v>
          </cell>
        </row>
        <row r="42">
          <cell r="B42">
            <v>39083</v>
          </cell>
          <cell r="C42">
            <v>0</v>
          </cell>
          <cell r="D42">
            <v>0</v>
          </cell>
          <cell r="E42">
            <v>0</v>
          </cell>
          <cell r="F42">
            <v>0</v>
          </cell>
          <cell r="H42">
            <v>0</v>
          </cell>
          <cell r="J42">
            <v>0</v>
          </cell>
          <cell r="K42">
            <v>345.84158179845429</v>
          </cell>
          <cell r="L42">
            <v>345.84158179845429</v>
          </cell>
          <cell r="M42">
            <v>0</v>
          </cell>
          <cell r="N42">
            <v>20.7</v>
          </cell>
          <cell r="O42">
            <v>0</v>
          </cell>
          <cell r="P42">
            <v>0</v>
          </cell>
        </row>
        <row r="43">
          <cell r="B43">
            <v>39114</v>
          </cell>
          <cell r="C43">
            <v>0</v>
          </cell>
          <cell r="D43">
            <v>0</v>
          </cell>
          <cell r="E43">
            <v>0</v>
          </cell>
          <cell r="F43">
            <v>0</v>
          </cell>
          <cell r="H43">
            <v>0</v>
          </cell>
          <cell r="J43">
            <v>0</v>
          </cell>
          <cell r="K43">
            <v>291.85282136688329</v>
          </cell>
          <cell r="L43">
            <v>291.85282136688329</v>
          </cell>
          <cell r="M43">
            <v>0</v>
          </cell>
          <cell r="N43">
            <v>20.7</v>
          </cell>
          <cell r="O43">
            <v>0</v>
          </cell>
          <cell r="P43">
            <v>0</v>
          </cell>
        </row>
        <row r="44">
          <cell r="B44">
            <v>39142</v>
          </cell>
          <cell r="C44">
            <v>0</v>
          </cell>
          <cell r="D44">
            <v>0</v>
          </cell>
          <cell r="E44">
            <v>0</v>
          </cell>
          <cell r="F44">
            <v>0</v>
          </cell>
          <cell r="H44">
            <v>0</v>
          </cell>
          <cell r="J44">
            <v>0</v>
          </cell>
          <cell r="K44">
            <v>345.84158179845429</v>
          </cell>
          <cell r="L44">
            <v>345.84158179845429</v>
          </cell>
          <cell r="M44">
            <v>0</v>
          </cell>
          <cell r="N44">
            <v>20.7</v>
          </cell>
          <cell r="O44">
            <v>0</v>
          </cell>
          <cell r="P44">
            <v>0</v>
          </cell>
        </row>
      </sheetData>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Select"/>
      <sheetName val="Sheet1"/>
      <sheetName val="Input Gen "/>
      <sheetName val="Gen+Fuel Cost(as per TO) Ann-2"/>
      <sheetName val="Gen+Fuel Cost (old TO) Ann-2"/>
      <sheetName val="Gen+Fuel Cost old"/>
      <sheetName val="Gen"/>
      <sheetName val="Gen+FAC"/>
      <sheetName val="Total Annex (2)"/>
      <sheetName val="BEST Bill (Generation+FAC)"/>
      <sheetName val="BEST Bill (Generation+Re FAC)"/>
      <sheetName val="BEST-Annex"/>
      <sheetName val="REL Bill (Generation+FAC)"/>
      <sheetName val="REL Bill (Generation+Re FAC)"/>
      <sheetName val="REL-Annex"/>
      <sheetName val="TPC-D (Generation) "/>
      <sheetName val="TPC-D (Gen)  revised UI rate"/>
      <sheetName val="TPC-D-Annex"/>
      <sheetName val="FAC (TPC-D) (TO Method)"/>
      <sheetName val="Tar Summ"/>
      <sheetName val="BEST Overdue"/>
      <sheetName val="BEST Bill (FAC Under-Recover)"/>
      <sheetName val="REL Bill (FAC Under-Recovery)"/>
      <sheetName val="Capacity Index Incentive"/>
      <sheetName val="Incentive-H1"/>
      <sheetName val="Incentive-H2"/>
      <sheetName val="Metered 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7">
          <cell r="E37">
            <v>16.033550000000005</v>
          </cell>
        </row>
      </sheetData>
      <sheetData sheetId="25" refreshError="1"/>
      <sheetData sheetId="26" refreshError="1">
        <row r="3">
          <cell r="B3" t="str">
            <v>Month</v>
          </cell>
          <cell r="C3" t="str">
            <v>22/33 kV</v>
          </cell>
          <cell r="D3" t="str">
            <v>100 kV</v>
          </cell>
          <cell r="E3" t="str">
            <v>Total</v>
          </cell>
          <cell r="F3" t="str">
            <v>22/33 kV</v>
          </cell>
          <cell r="G3" t="str">
            <v>220 kV (F)</v>
          </cell>
          <cell r="H3" t="str">
            <v>220 kV (R)</v>
          </cell>
          <cell r="I3" t="str">
            <v>Total</v>
          </cell>
          <cell r="K3" t="str">
            <v>Net</v>
          </cell>
          <cell r="L3" t="str">
            <v>Metered</v>
          </cell>
          <cell r="M3">
            <v>53414606.5</v>
          </cell>
          <cell r="N3" t="str">
            <v>Net</v>
          </cell>
        </row>
        <row r="4">
          <cell r="B4">
            <v>39173</v>
          </cell>
          <cell r="C4">
            <v>390593688</v>
          </cell>
          <cell r="E4">
            <v>390593688</v>
          </cell>
          <cell r="F4">
            <v>303126840</v>
          </cell>
          <cell r="G4">
            <v>136444000</v>
          </cell>
          <cell r="H4">
            <v>0</v>
          </cell>
          <cell r="I4">
            <v>439570840</v>
          </cell>
          <cell r="J4">
            <v>212013218.5</v>
          </cell>
          <cell r="K4">
            <v>49688000</v>
          </cell>
          <cell r="L4">
            <v>209041823</v>
          </cell>
          <cell r="M4">
            <v>56386002</v>
          </cell>
          <cell r="N4">
            <v>2971395.5</v>
          </cell>
        </row>
        <row r="5">
          <cell r="B5">
            <v>39203</v>
          </cell>
          <cell r="C5">
            <v>408253848</v>
          </cell>
          <cell r="E5">
            <v>408253848</v>
          </cell>
          <cell r="F5">
            <v>309261997</v>
          </cell>
          <cell r="G5">
            <v>149492000</v>
          </cell>
          <cell r="H5">
            <v>8000</v>
          </cell>
          <cell r="I5">
            <v>458745997</v>
          </cell>
          <cell r="J5">
            <v>213906839</v>
          </cell>
          <cell r="K5">
            <v>0</v>
          </cell>
          <cell r="L5">
            <v>212749175</v>
          </cell>
          <cell r="M5">
            <v>57543666</v>
          </cell>
          <cell r="N5">
            <v>1157664</v>
          </cell>
        </row>
        <row r="6">
          <cell r="B6">
            <v>39234</v>
          </cell>
          <cell r="C6">
            <v>396758784</v>
          </cell>
          <cell r="E6">
            <v>396758784</v>
          </cell>
          <cell r="F6">
            <v>293872603</v>
          </cell>
          <cell r="G6">
            <v>144776000</v>
          </cell>
          <cell r="H6">
            <v>44000</v>
          </cell>
          <cell r="I6">
            <v>438604603</v>
          </cell>
          <cell r="J6">
            <v>236038365</v>
          </cell>
          <cell r="L6">
            <v>231236566.99999997</v>
          </cell>
          <cell r="M6">
            <v>62345464</v>
          </cell>
          <cell r="N6">
            <v>4801798</v>
          </cell>
        </row>
        <row r="7">
          <cell r="B7">
            <v>39264</v>
          </cell>
          <cell r="C7">
            <v>390712344</v>
          </cell>
          <cell r="E7">
            <v>390712344</v>
          </cell>
          <cell r="F7">
            <v>295501054</v>
          </cell>
          <cell r="G7">
            <v>194580000</v>
          </cell>
          <cell r="H7">
            <v>0</v>
          </cell>
          <cell r="I7">
            <v>490081054</v>
          </cell>
          <cell r="J7">
            <v>214521653.5</v>
          </cell>
          <cell r="L7">
            <v>219036002.00000003</v>
          </cell>
          <cell r="M7">
            <v>57831115.5</v>
          </cell>
          <cell r="N7">
            <v>-4514348.5</v>
          </cell>
        </row>
        <row r="8">
          <cell r="B8">
            <v>39295</v>
          </cell>
          <cell r="C8">
            <v>379732416</v>
          </cell>
          <cell r="E8">
            <v>379732416</v>
          </cell>
          <cell r="F8">
            <v>281212696</v>
          </cell>
          <cell r="G8">
            <v>108264000</v>
          </cell>
          <cell r="I8">
            <v>389476696</v>
          </cell>
          <cell r="J8">
            <v>211770451.5</v>
          </cell>
          <cell r="L8">
            <v>214381450</v>
          </cell>
          <cell r="M8">
            <v>55220117</v>
          </cell>
          <cell r="N8">
            <v>-2610998.5</v>
          </cell>
        </row>
        <row r="9">
          <cell r="B9">
            <v>39326</v>
          </cell>
          <cell r="C9">
            <v>370776632</v>
          </cell>
          <cell r="E9">
            <v>370776632</v>
          </cell>
          <cell r="F9">
            <v>302975758</v>
          </cell>
          <cell r="G9">
            <v>108760000</v>
          </cell>
          <cell r="I9">
            <v>411735758</v>
          </cell>
          <cell r="J9">
            <v>205857769</v>
          </cell>
          <cell r="L9">
            <v>207645701</v>
          </cell>
          <cell r="M9">
            <v>53432185</v>
          </cell>
          <cell r="N9">
            <v>-1787932</v>
          </cell>
        </row>
        <row r="10">
          <cell r="B10">
            <v>39356</v>
          </cell>
          <cell r="H10">
            <v>0</v>
          </cell>
          <cell r="I10">
            <v>0</v>
          </cell>
          <cell r="J10">
            <v>-53432185</v>
          </cell>
          <cell r="N10">
            <v>-53432185</v>
          </cell>
        </row>
        <row r="11">
          <cell r="B11">
            <v>39387</v>
          </cell>
          <cell r="H11">
            <v>0</v>
          </cell>
          <cell r="I11">
            <v>0</v>
          </cell>
          <cell r="J11">
            <v>0</v>
          </cell>
          <cell r="N11">
            <v>0</v>
          </cell>
        </row>
        <row r="12">
          <cell r="B12">
            <v>39417</v>
          </cell>
          <cell r="H12">
            <v>0</v>
          </cell>
          <cell r="I12">
            <v>0</v>
          </cell>
          <cell r="J12">
            <v>0</v>
          </cell>
          <cell r="N12">
            <v>0</v>
          </cell>
        </row>
        <row r="13">
          <cell r="B13">
            <v>39448</v>
          </cell>
          <cell r="I13">
            <v>0</v>
          </cell>
          <cell r="J13">
            <v>0</v>
          </cell>
          <cell r="N13">
            <v>0</v>
          </cell>
        </row>
        <row r="14">
          <cell r="B14">
            <v>39479</v>
          </cell>
          <cell r="I14">
            <v>0</v>
          </cell>
          <cell r="J14">
            <v>0</v>
          </cell>
          <cell r="N14">
            <v>0</v>
          </cell>
        </row>
        <row r="15">
          <cell r="B15">
            <v>39508</v>
          </cell>
          <cell r="I15">
            <v>0</v>
          </cell>
          <cell r="J15">
            <v>0</v>
          </cell>
          <cell r="N15">
            <v>0</v>
          </cell>
        </row>
        <row r="16">
          <cell r="B16" t="str">
            <v>Total</v>
          </cell>
          <cell r="C16">
            <v>2336827712</v>
          </cell>
          <cell r="D16">
            <v>0</v>
          </cell>
          <cell r="E16">
            <v>2336827712</v>
          </cell>
          <cell r="F16">
            <v>1785950948</v>
          </cell>
          <cell r="G16">
            <v>842316000</v>
          </cell>
          <cell r="H16">
            <v>52000</v>
          </cell>
          <cell r="I16">
            <v>2628214948</v>
          </cell>
          <cell r="J16">
            <v>1240676111.5</v>
          </cell>
          <cell r="K16">
            <v>49688000</v>
          </cell>
          <cell r="L16">
            <v>1294090718</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2001 02 Est.at Existing Tariff"/>
      <sheetName val="Financial Estimates"/>
      <sheetName val="Sheet1"/>
      <sheetName val="Sheet2"/>
      <sheetName val="Sheet3"/>
      <sheetName val="2001_02_Est_at_Existing_Tariff"/>
      <sheetName val="Financial_Estimates"/>
    </sheetNames>
    <sheetDataSet>
      <sheetData sheetId="0" refreshError="1"/>
      <sheetData sheetId="1" refreshError="1">
        <row r="271">
          <cell r="B271" t="str">
            <v>PURCHASE MVA /MONTH</v>
          </cell>
          <cell r="D271">
            <v>550</v>
          </cell>
        </row>
        <row r="273">
          <cell r="B273" t="str">
            <v>MONTHLY FIXED WLG.CHRGS.RECOVERABLE(Rs.LACS)</v>
          </cell>
          <cell r="D273">
            <v>67.11</v>
          </cell>
        </row>
        <row r="274">
          <cell r="B274" t="str">
            <v>MONTHLY FIXED WLG.CHARGES PAYABLE(Rs.LACS)</v>
          </cell>
          <cell r="D274">
            <v>67.11</v>
          </cell>
        </row>
        <row r="276">
          <cell r="B276" t="str">
            <v>% OF (U#5 + U#6+U#7) POWER WHEELED</v>
          </cell>
          <cell r="D276">
            <v>26</v>
          </cell>
        </row>
        <row r="278">
          <cell r="B278" t="str">
            <v>ENERGY LOSS IN WHEELING MSEB'S POWER (%)</v>
          </cell>
          <cell r="D278">
            <v>3.09</v>
          </cell>
        </row>
        <row r="279">
          <cell r="B279" t="str">
            <v>ENERGY LOSS IN WHEELING TPC'S POWER (%)</v>
          </cell>
          <cell r="D279">
            <v>2</v>
          </cell>
        </row>
        <row r="281">
          <cell r="B281" t="str">
            <v>PURCHASE ENERGY RATE (P/U)</v>
          </cell>
          <cell r="D281">
            <v>290</v>
          </cell>
        </row>
        <row r="282">
          <cell r="B282" t="str">
            <v>PURCHASE FAC RATE (P/U)</v>
          </cell>
          <cell r="D282">
            <v>0</v>
          </cell>
        </row>
        <row r="283">
          <cell r="B283" t="str">
            <v>ENERGY RATE FOR SALE TO MSEB (P/U)</v>
          </cell>
          <cell r="D283">
            <v>125.9</v>
          </cell>
        </row>
        <row r="284">
          <cell r="B284" t="str">
            <v>ENERGY RATE FOR SALE TO INTER STATE  UTILITIES (P/U)</v>
          </cell>
          <cell r="D284">
            <v>125.9</v>
          </cell>
        </row>
        <row r="285">
          <cell r="B285" t="str">
            <v>FAC RATE FOR SALE TO INTER STATE  UTILITIES (P/U)</v>
          </cell>
          <cell r="D285">
            <v>124.1</v>
          </cell>
        </row>
        <row r="286">
          <cell r="B286" t="str">
            <v>FAC RATE FOR SALE TO MSEB (P/U)</v>
          </cell>
          <cell r="D286">
            <v>124.1</v>
          </cell>
        </row>
        <row r="287">
          <cell r="B287" t="str">
            <v>PURCHASE MD RATE (Rs./KVA/MONTH)</v>
          </cell>
          <cell r="D287">
            <v>600</v>
          </cell>
        </row>
        <row r="289">
          <cell r="B289" t="str">
            <v>FUEL COST (Rs./MT) :</v>
          </cell>
        </row>
        <row r="290">
          <cell r="B290" t="str">
            <v>COAL</v>
          </cell>
          <cell r="D290">
            <v>2875</v>
          </cell>
        </row>
        <row r="291">
          <cell r="B291" t="str">
            <v>GAS</v>
          </cell>
          <cell r="D291">
            <v>4200</v>
          </cell>
        </row>
        <row r="292">
          <cell r="B292" t="str">
            <v>LSHS/ LSWR</v>
          </cell>
          <cell r="D292">
            <v>9760</v>
          </cell>
        </row>
        <row r="293">
          <cell r="B293" t="str">
            <v>-</v>
          </cell>
          <cell r="C293" t="str">
            <v>-</v>
          </cell>
          <cell r="D293" t="str">
            <v>-</v>
          </cell>
        </row>
        <row r="295">
          <cell r="B295" t="str">
            <v>Tariff :</v>
          </cell>
        </row>
        <row r="296">
          <cell r="C296" t="str">
            <v>MD</v>
          </cell>
          <cell r="D296" t="str">
            <v>RKVAH</v>
          </cell>
        </row>
        <row r="297">
          <cell r="C297" t="str">
            <v>(Rs./KVA)</v>
          </cell>
          <cell r="D297" t="str">
            <v>(P./RKVAH)</v>
          </cell>
        </row>
        <row r="298">
          <cell r="B298" t="str">
            <v>TEXTILES</v>
          </cell>
          <cell r="C298">
            <v>170</v>
          </cell>
          <cell r="D298">
            <v>0</v>
          </cell>
        </row>
        <row r="299">
          <cell r="B299" t="str">
            <v>HT INDUSTRIES</v>
          </cell>
          <cell r="C299">
            <v>170</v>
          </cell>
          <cell r="D299">
            <v>0</v>
          </cell>
        </row>
        <row r="300">
          <cell r="B300" t="str">
            <v>HT COMMERCIAL</v>
          </cell>
          <cell r="C300">
            <v>170</v>
          </cell>
          <cell r="D300">
            <v>0</v>
          </cell>
        </row>
        <row r="301">
          <cell r="B301" t="str">
            <v>LT INDUSTRIES (TWO PART TARIFF)</v>
          </cell>
          <cell r="C301">
            <v>175</v>
          </cell>
          <cell r="D301">
            <v>0</v>
          </cell>
        </row>
        <row r="302">
          <cell r="B302" t="str">
            <v>LT COMMERCIAL (TWO PART TARIFF)</v>
          </cell>
          <cell r="C302">
            <v>175</v>
          </cell>
          <cell r="D302">
            <v>0</v>
          </cell>
        </row>
        <row r="303">
          <cell r="B303" t="str">
            <v>RAILWAYS</v>
          </cell>
          <cell r="C303">
            <v>170</v>
          </cell>
          <cell r="D303">
            <v>0</v>
          </cell>
        </row>
        <row r="304">
          <cell r="B304" t="str">
            <v>BEST</v>
          </cell>
          <cell r="C304">
            <v>170</v>
          </cell>
          <cell r="D304">
            <v>0</v>
          </cell>
        </row>
        <row r="305">
          <cell r="B305" t="str">
            <v>BSES (22/33 KV)</v>
          </cell>
          <cell r="C305">
            <v>200</v>
          </cell>
          <cell r="D305">
            <v>0</v>
          </cell>
        </row>
        <row r="306">
          <cell r="B306" t="str">
            <v>BSES (220 KV)</v>
          </cell>
          <cell r="D306">
            <v>0</v>
          </cell>
        </row>
        <row r="307">
          <cell r="B307" t="str">
            <v>MSEB 22 KV</v>
          </cell>
          <cell r="D307">
            <v>0</v>
          </cell>
        </row>
        <row r="308">
          <cell r="B308" t="str">
            <v>ENERGY RATE (P/KWH) :</v>
          </cell>
        </row>
        <row r="309">
          <cell r="B309" t="str">
            <v>TEXTILES</v>
          </cell>
          <cell r="C309">
            <v>197</v>
          </cell>
        </row>
        <row r="310">
          <cell r="B310" t="str">
            <v>HT INDUSTRIES</v>
          </cell>
          <cell r="C310">
            <v>197</v>
          </cell>
        </row>
        <row r="311">
          <cell r="B311" t="str">
            <v>HT COMMERCIAL</v>
          </cell>
          <cell r="C311">
            <v>197</v>
          </cell>
        </row>
        <row r="312">
          <cell r="B312" t="str">
            <v>LT INDUSTRIES (SINGLE PART TARIFF)</v>
          </cell>
          <cell r="C312">
            <v>272</v>
          </cell>
        </row>
        <row r="313">
          <cell r="B313" t="str">
            <v>LT INDUSTRIES (TWO PART TARIFF)</v>
          </cell>
          <cell r="C313">
            <v>202</v>
          </cell>
        </row>
        <row r="314">
          <cell r="B314" t="str">
            <v>LT COMMERCIAL (SINGLE PART TARIFF)</v>
          </cell>
          <cell r="C314">
            <v>272</v>
          </cell>
        </row>
        <row r="315">
          <cell r="B315" t="str">
            <v>LT COMMERCIAL (TWO PART TARIFF)</v>
          </cell>
          <cell r="C315">
            <v>202</v>
          </cell>
        </row>
        <row r="316">
          <cell r="B316" t="str">
            <v>RESIDENTIAL</v>
          </cell>
          <cell r="C316">
            <v>212.75</v>
          </cell>
        </row>
        <row r="317">
          <cell r="B317" t="str">
            <v>RAILWAYS</v>
          </cell>
          <cell r="C317">
            <v>197</v>
          </cell>
        </row>
        <row r="318">
          <cell r="B318" t="str">
            <v>BEST</v>
          </cell>
          <cell r="C318">
            <v>177</v>
          </cell>
        </row>
        <row r="319">
          <cell r="B319" t="str">
            <v>BSES</v>
          </cell>
          <cell r="C319">
            <v>177</v>
          </cell>
        </row>
        <row r="320">
          <cell r="B320" t="str">
            <v>BSES 220 KV</v>
          </cell>
          <cell r="C320">
            <v>209</v>
          </cell>
        </row>
        <row r="321">
          <cell r="B321" t="str">
            <v>BASIC COST OF FUEL (Rs./MKCL)</v>
          </cell>
          <cell r="C321">
            <v>325</v>
          </cell>
        </row>
        <row r="322">
          <cell r="B322" t="str">
            <v>-</v>
          </cell>
        </row>
        <row r="323">
          <cell r="B323" t="str">
            <v>CALORIFIC VALUES (MKCL/MT) :</v>
          </cell>
        </row>
        <row r="324">
          <cell r="B324" t="str">
            <v>COAL</v>
          </cell>
          <cell r="C324">
            <v>5.1278223000000001</v>
          </cell>
        </row>
        <row r="325">
          <cell r="B325" t="str">
            <v>GAS</v>
          </cell>
          <cell r="C325">
            <v>13</v>
          </cell>
        </row>
        <row r="326">
          <cell r="B326" t="str">
            <v>LSHS/ LSWR</v>
          </cell>
          <cell r="C326">
            <v>10.5</v>
          </cell>
        </row>
        <row r="328">
          <cell r="B328" t="str">
            <v>HEAT RATES &amp; AUXILIARY CONSUMPTION</v>
          </cell>
          <cell r="C328" t="str">
            <v>HEAT RATE</v>
          </cell>
          <cell r="D328" t="str">
            <v>AUX.CONS.</v>
          </cell>
        </row>
        <row r="329">
          <cell r="C329" t="str">
            <v>MKCL/MU</v>
          </cell>
          <cell r="D329" t="str">
            <v>(%)</v>
          </cell>
        </row>
        <row r="330">
          <cell r="B330" t="str">
            <v>------------------------------------</v>
          </cell>
          <cell r="C330" t="str">
            <v>-</v>
          </cell>
          <cell r="D330" t="str">
            <v>-</v>
          </cell>
        </row>
        <row r="332">
          <cell r="B332" t="str">
            <v>UNIT NO.4</v>
          </cell>
          <cell r="C332">
            <v>2600</v>
          </cell>
          <cell r="D332">
            <v>10</v>
          </cell>
        </row>
        <row r="333">
          <cell r="B333" t="str">
            <v>UNIT NO.5</v>
          </cell>
          <cell r="C333">
            <v>2430</v>
          </cell>
          <cell r="D333">
            <v>5</v>
          </cell>
        </row>
        <row r="334">
          <cell r="B334" t="str">
            <v>UNIT NO.6</v>
          </cell>
          <cell r="C334">
            <v>2380</v>
          </cell>
          <cell r="D334">
            <v>4</v>
          </cell>
        </row>
        <row r="335">
          <cell r="B335" t="str">
            <v>UNIT NO.7 AS GT</v>
          </cell>
          <cell r="C335">
            <v>2850</v>
          </cell>
          <cell r="D335">
            <v>2.1</v>
          </cell>
        </row>
        <row r="336">
          <cell r="B336" t="str">
            <v>UNIT NO.7</v>
          </cell>
          <cell r="C336">
            <v>2000</v>
          </cell>
          <cell r="D336">
            <v>2</v>
          </cell>
        </row>
        <row r="337">
          <cell r="B337" t="str">
            <v>HYDRO</v>
          </cell>
          <cell r="D337">
            <v>0.5</v>
          </cell>
        </row>
        <row r="339">
          <cell r="B339" t="str">
            <v>TAXABLE SALES</v>
          </cell>
          <cell r="C339">
            <v>91</v>
          </cell>
          <cell r="D339" t="str">
            <v>%</v>
          </cell>
        </row>
        <row r="340">
          <cell r="B340" t="str">
            <v xml:space="preserve">TAX ON  SALE RATE </v>
          </cell>
          <cell r="C340">
            <v>15</v>
          </cell>
          <cell r="D340" t="str">
            <v>(P/KWH)</v>
          </cell>
        </row>
        <row r="342">
          <cell r="B342" t="str">
            <v>T T &amp; D LOSSES</v>
          </cell>
          <cell r="C342">
            <v>2.2999999999999998</v>
          </cell>
          <cell r="D342" t="str">
            <v>%</v>
          </cell>
        </row>
      </sheetData>
      <sheetData sheetId="2" refreshError="1"/>
      <sheetData sheetId="3" refreshError="1"/>
      <sheetData sheetId="4" refreshError="1"/>
      <sheetData sheetId="5" refreshError="1"/>
      <sheetData sheetId="6"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Company"/>
      <sheetName val="License Area"/>
      <sheetName val="LA-ARR-PU"/>
      <sheetName val="LA-PU"/>
      <sheetName val="LA-ARR"/>
      <sheetName val="LA-ARR-PU "/>
      <sheetName val="Co. Graphs"/>
      <sheetName val="OB 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설내1"/>
      <sheetName val="설품"/>
      <sheetName val="설산1"/>
      <sheetName val="설산2"/>
      <sheetName val="설산3"/>
      <sheetName val="설비SUPP산출"/>
      <sheetName val="현장지지물물량"/>
      <sheetName val="지지물집계"/>
      <sheetName val="현장집계3"/>
      <sheetName val="License Area"/>
      <sheetName val="FAC (Running FAC)"/>
    </sheetNames>
    <sheetDataSet>
      <sheetData sheetId="0" refreshError="1"/>
      <sheetData sheetId="1" refreshError="1"/>
      <sheetData sheetId="2" refreshError="1"/>
      <sheetData sheetId="3" refreshError="1"/>
      <sheetData sheetId="4" refreshError="1"/>
      <sheetData sheetId="5" refreshError="1"/>
      <sheetData sheetId="6" refreshError="1">
        <row r="9">
          <cell r="A9" t="str">
            <v>85500-001</v>
          </cell>
          <cell r="C9" t="str">
            <v>CHANNEL</v>
          </cell>
          <cell r="D9" t="str">
            <v>C S</v>
          </cell>
          <cell r="E9" t="str">
            <v>ㄷ100x50x5</v>
          </cell>
          <cell r="F9">
            <v>6100</v>
          </cell>
          <cell r="G9" t="str">
            <v>71730-150</v>
          </cell>
          <cell r="H9">
            <v>1</v>
          </cell>
          <cell r="I9" t="str">
            <v>5900/2200</v>
          </cell>
        </row>
        <row r="10">
          <cell r="A10" t="str">
            <v>85500-001</v>
          </cell>
          <cell r="C10" t="str">
            <v>ANGLE</v>
          </cell>
          <cell r="D10" t="str">
            <v>C S</v>
          </cell>
          <cell r="E10" t="str">
            <v>L50X50X6</v>
          </cell>
          <cell r="F10">
            <v>1800</v>
          </cell>
          <cell r="G10" t="str">
            <v>71730-150</v>
          </cell>
          <cell r="H10">
            <v>1</v>
          </cell>
          <cell r="I10" t="str">
            <v>5900/2200</v>
          </cell>
        </row>
        <row r="11">
          <cell r="A11" t="str">
            <v>85500-001</v>
          </cell>
          <cell r="C11" t="str">
            <v>U-BOLT</v>
          </cell>
          <cell r="D11" t="str">
            <v>C S</v>
          </cell>
          <cell r="E11" t="str">
            <v>DN150</v>
          </cell>
          <cell r="G11" t="str">
            <v>71730-150</v>
          </cell>
          <cell r="H11">
            <v>6</v>
          </cell>
          <cell r="I11" t="str">
            <v>5900/2200</v>
          </cell>
        </row>
        <row r="12">
          <cell r="A12" t="str">
            <v>85500-001</v>
          </cell>
          <cell r="C12" t="str">
            <v>ANCHOR BOLT</v>
          </cell>
          <cell r="D12" t="str">
            <v>C S</v>
          </cell>
          <cell r="E12" t="str">
            <v>M10x80L</v>
          </cell>
          <cell r="G12" t="str">
            <v>71730-150</v>
          </cell>
          <cell r="H12">
            <v>12</v>
          </cell>
          <cell r="I12" t="str">
            <v>5900/2200</v>
          </cell>
        </row>
        <row r="13">
          <cell r="A13" t="str">
            <v>85500-001</v>
          </cell>
          <cell r="C13" t="str">
            <v>STEEL PLATE</v>
          </cell>
          <cell r="D13" t="str">
            <v>C S</v>
          </cell>
          <cell r="E13" t="str">
            <v>PL150x150x9</v>
          </cell>
          <cell r="G13" t="str">
            <v>71730-150</v>
          </cell>
          <cell r="H13">
            <v>3</v>
          </cell>
          <cell r="I13" t="str">
            <v>5900/2200</v>
          </cell>
        </row>
        <row r="15">
          <cell r="A15" t="str">
            <v>85500-001</v>
          </cell>
          <cell r="C15" t="str">
            <v>CHANNEL</v>
          </cell>
          <cell r="D15" t="str">
            <v>C S</v>
          </cell>
          <cell r="E15" t="str">
            <v>ㄷ100x50x5</v>
          </cell>
          <cell r="F15">
            <v>2150</v>
          </cell>
          <cell r="G15" t="str">
            <v>71730-150</v>
          </cell>
          <cell r="H15">
            <v>5</v>
          </cell>
          <cell r="I15" t="str">
            <v>3150/2200</v>
          </cell>
        </row>
        <row r="16">
          <cell r="A16" t="str">
            <v>85500-001</v>
          </cell>
          <cell r="C16" t="str">
            <v>U-BOLT</v>
          </cell>
          <cell r="D16" t="str">
            <v>C S</v>
          </cell>
          <cell r="E16" t="str">
            <v>DN150</v>
          </cell>
          <cell r="G16" t="str">
            <v>71730-150</v>
          </cell>
          <cell r="H16">
            <v>10</v>
          </cell>
          <cell r="I16" t="str">
            <v>3150/2200</v>
          </cell>
        </row>
        <row r="17">
          <cell r="A17" t="str">
            <v>85500-001</v>
          </cell>
          <cell r="C17" t="str">
            <v>ANCHOR BOLT</v>
          </cell>
          <cell r="D17" t="str">
            <v>C S</v>
          </cell>
          <cell r="E17" t="str">
            <v>M10x80L</v>
          </cell>
          <cell r="G17" t="str">
            <v>71730-150</v>
          </cell>
          <cell r="H17">
            <v>40</v>
          </cell>
          <cell r="I17" t="str">
            <v>3150/2200</v>
          </cell>
        </row>
        <row r="18">
          <cell r="A18" t="str">
            <v>85500-001</v>
          </cell>
          <cell r="C18" t="str">
            <v>STEEL PLATE</v>
          </cell>
          <cell r="D18" t="str">
            <v>C S</v>
          </cell>
          <cell r="E18" t="str">
            <v>PL150x150x9</v>
          </cell>
          <cell r="G18" t="str">
            <v>71730-150</v>
          </cell>
          <cell r="H18">
            <v>10</v>
          </cell>
          <cell r="I18" t="str">
            <v>3150/2200</v>
          </cell>
        </row>
        <row r="20">
          <cell r="A20" t="str">
            <v>85500-001</v>
          </cell>
          <cell r="C20" t="str">
            <v>CHANNEL</v>
          </cell>
          <cell r="D20" t="str">
            <v>C S</v>
          </cell>
          <cell r="E20" t="str">
            <v>ㄷ100x50x5</v>
          </cell>
          <cell r="F20">
            <v>1900</v>
          </cell>
          <cell r="G20" t="str">
            <v>71730-150</v>
          </cell>
          <cell r="H20">
            <v>3</v>
          </cell>
          <cell r="I20" t="str">
            <v>3150/2200</v>
          </cell>
        </row>
        <row r="21">
          <cell r="A21" t="str">
            <v>85500-001</v>
          </cell>
          <cell r="C21" t="str">
            <v>U-BOLT</v>
          </cell>
          <cell r="D21" t="str">
            <v>C S</v>
          </cell>
          <cell r="E21" t="str">
            <v>DN150</v>
          </cell>
          <cell r="G21" t="str">
            <v>71730-150</v>
          </cell>
          <cell r="H21">
            <v>6</v>
          </cell>
          <cell r="I21" t="str">
            <v>3150/2200</v>
          </cell>
        </row>
        <row r="22">
          <cell r="A22" t="str">
            <v>85500-001</v>
          </cell>
          <cell r="C22" t="str">
            <v>ANCHOR BOLT</v>
          </cell>
          <cell r="D22" t="str">
            <v>C S</v>
          </cell>
          <cell r="E22" t="str">
            <v>M10x80L</v>
          </cell>
          <cell r="G22" t="str">
            <v>71730-150</v>
          </cell>
          <cell r="H22">
            <v>12</v>
          </cell>
          <cell r="I22" t="str">
            <v>3150/2200</v>
          </cell>
        </row>
        <row r="23">
          <cell r="A23" t="str">
            <v>85500-001</v>
          </cell>
          <cell r="C23" t="str">
            <v>STEEL PLATE</v>
          </cell>
          <cell r="D23" t="str">
            <v>C S</v>
          </cell>
          <cell r="E23" t="str">
            <v>PL150x150x9</v>
          </cell>
          <cell r="G23" t="str">
            <v>71730-150</v>
          </cell>
          <cell r="H23">
            <v>3</v>
          </cell>
          <cell r="I23" t="str">
            <v>3150/2200</v>
          </cell>
        </row>
      </sheetData>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Cash-Flow"/>
      <sheetName val="Schedule 1"/>
      <sheetName val="BEST final"/>
      <sheetName val="BEST"/>
      <sheetName val="Sheet1"/>
      <sheetName val="P&amp;L Reconciliation"/>
      <sheetName val=" Bank"/>
      <sheetName val="Notes"/>
      <sheetName val="Stores"/>
      <sheetName val="schedule 3"/>
    </sheetNames>
    <sheetDataSet>
      <sheetData sheetId="0" refreshError="1"/>
      <sheetData sheetId="1">
        <row r="28">
          <cell r="D28">
            <v>392.07000000000005</v>
          </cell>
          <cell r="F28">
            <v>351.48</v>
          </cell>
        </row>
        <row r="103">
          <cell r="D103">
            <v>203253.31</v>
          </cell>
          <cell r="F103">
            <v>169129.5</v>
          </cell>
        </row>
      </sheetData>
      <sheetData sheetId="2">
        <row r="409">
          <cell r="D409">
            <v>0</v>
          </cell>
        </row>
        <row r="444">
          <cell r="G444">
            <v>3888.85</v>
          </cell>
        </row>
        <row r="446">
          <cell r="G446">
            <v>0</v>
          </cell>
        </row>
        <row r="450">
          <cell r="G450">
            <v>23957.82</v>
          </cell>
        </row>
        <row r="455">
          <cell r="G455">
            <v>9625.26</v>
          </cell>
        </row>
        <row r="458">
          <cell r="G458">
            <v>4727.12</v>
          </cell>
        </row>
        <row r="528">
          <cell r="G528">
            <v>26.38</v>
          </cell>
        </row>
      </sheetData>
      <sheetData sheetId="3" refreshError="1">
        <row r="409">
          <cell r="D409">
            <v>0</v>
          </cell>
        </row>
      </sheetData>
      <sheetData sheetId="4"/>
      <sheetData sheetId="5">
        <row r="38">
          <cell r="D38">
            <v>573622213.00999928</v>
          </cell>
        </row>
      </sheetData>
      <sheetData sheetId="6" refreshError="1">
        <row r="38">
          <cell r="D38">
            <v>573622213.00999928</v>
          </cell>
        </row>
        <row r="123">
          <cell r="G123">
            <v>-35487113.169999994</v>
          </cell>
        </row>
        <row r="229">
          <cell r="H229">
            <v>250631523.22849995</v>
          </cell>
          <cell r="K229">
            <v>171183610.85550004</v>
          </cell>
        </row>
      </sheetData>
      <sheetData sheetId="7" refreshError="1"/>
      <sheetData sheetId="8" refreshError="1"/>
      <sheetData sheetId="9">
        <row r="28">
          <cell r="D28">
            <v>392.07000000000005</v>
          </cell>
        </row>
      </sheetData>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REF"/>
      <sheetName val="BDVMPL"/>
      <sheetName val="표지 및 목차"/>
      <sheetName val="목표분석및개선책입안서"/>
      <sheetName val="목표할당표"/>
      <sheetName val="과제분석표 챠트 DATA"/>
      <sheetName val="HIRGIGO매출"/>
      <sheetName val="HIRGIGO매출원가"/>
      <sheetName val="HIRGIGO 기성"/>
      <sheetName val="과제분석서_원가절감"/>
      <sheetName val="품질손실비용"/>
      <sheetName val="시책도출매트릭스"/>
      <sheetName val="부장map card"/>
      <sheetName val="상하MAP조정표"/>
      <sheetName val="관리항목일람표"/>
      <sheetName val="목표종합전개표"/>
      <sheetName val="시책전개표(1)"/>
      <sheetName val="년도map실시계획서(B4)"/>
      <sheetName val="년도map실시계획서(A4)"/>
      <sheetName val="월map실시계획서(B4)"/>
      <sheetName val="월map실시계획서(A4)"/>
      <sheetName val="map실적관리표"/>
      <sheetName val="월map실적보고서"/>
      <sheetName val="중점실천계획총괄표"/>
      <sheetName val="중점실천계획(원가절감)"/>
      <sheetName val="중점실천계획(기타)"/>
      <sheetName val="중점실천계획진도보고서"/>
      <sheetName val="pjt 별map계획서"/>
      <sheetName val="산업담당 A"/>
      <sheetName val="발전담당 B"/>
      <sheetName val="A+B"/>
      <sheetName val="수금종합1"/>
      <sheetName val="PJT매출계획"/>
      <sheetName val="PJT기성계획"/>
      <sheetName val="부서별 원가절감 계획"/>
      <sheetName val="매출2안"/>
      <sheetName val="기성2안"/>
      <sheetName val="map전매출"/>
      <sheetName val="표지_및_목차"/>
      <sheetName val="과제분석표_챠트_DATA"/>
      <sheetName val="HIRGIGO_기성"/>
      <sheetName val="부장map_card"/>
      <sheetName val="pjt_별map계획서"/>
      <sheetName val="산업담당_A"/>
      <sheetName val="발전담당_B"/>
      <sheetName val="부서별_원가절감_계획"/>
      <sheetName val="Financial_Estimates"/>
      <sheetName val="pricespsa"/>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Schedule 1"/>
      <sheetName val="BEST_17102006"/>
      <sheetName val="Cash at Bank"/>
    </sheetNames>
    <sheetDataSet>
      <sheetData sheetId="0"/>
      <sheetData sheetId="1"/>
      <sheetData sheetId="2"/>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INDEX"/>
    </sheetNames>
    <sheetDataSet>
      <sheetData sheetId="0" refreshError="1">
        <row r="1">
          <cell r="B1" t="str">
            <v>SUPPORT No.</v>
          </cell>
          <cell r="C1" t="str">
            <v>No.</v>
          </cell>
        </row>
        <row r="2">
          <cell r="B2" t="str">
            <v>CSH-5102-03</v>
          </cell>
          <cell r="C2" t="str">
            <v>001</v>
          </cell>
        </row>
        <row r="3">
          <cell r="B3" t="str">
            <v>CSH-5102-08</v>
          </cell>
          <cell r="C3" t="str">
            <v>002</v>
          </cell>
        </row>
        <row r="4">
          <cell r="B4" t="str">
            <v>CSH-5102-09</v>
          </cell>
          <cell r="C4" t="str">
            <v>003</v>
          </cell>
        </row>
        <row r="5">
          <cell r="B5" t="str">
            <v>CSH-5102-10</v>
          </cell>
          <cell r="C5" t="str">
            <v>004</v>
          </cell>
        </row>
        <row r="6">
          <cell r="B6" t="str">
            <v>CSH-5104-01</v>
          </cell>
          <cell r="C6" t="str">
            <v>005</v>
          </cell>
        </row>
        <row r="7">
          <cell r="B7" t="str">
            <v>CSH-5104-02</v>
          </cell>
          <cell r="C7" t="str">
            <v>006</v>
          </cell>
        </row>
        <row r="8">
          <cell r="B8" t="str">
            <v>CSH-5104-03</v>
          </cell>
          <cell r="C8" t="str">
            <v>007</v>
          </cell>
        </row>
        <row r="9">
          <cell r="B9" t="str">
            <v>CSH-5104-05</v>
          </cell>
          <cell r="C9" t="str">
            <v>008</v>
          </cell>
        </row>
        <row r="10">
          <cell r="B10" t="str">
            <v>CSH-5104-06</v>
          </cell>
          <cell r="C10" t="str">
            <v>009</v>
          </cell>
        </row>
        <row r="11">
          <cell r="B11" t="str">
            <v>CSH-5104-07</v>
          </cell>
          <cell r="C11" t="str">
            <v>010</v>
          </cell>
        </row>
        <row r="12">
          <cell r="B12" t="str">
            <v>CSH-5104-08</v>
          </cell>
          <cell r="C12" t="str">
            <v>011</v>
          </cell>
        </row>
        <row r="13">
          <cell r="B13" t="str">
            <v>CSH-5105-01</v>
          </cell>
          <cell r="C13" t="str">
            <v>012</v>
          </cell>
        </row>
        <row r="14">
          <cell r="B14" t="str">
            <v>CSH-5105-02</v>
          </cell>
          <cell r="C14" t="str">
            <v>013</v>
          </cell>
        </row>
        <row r="15">
          <cell r="B15" t="str">
            <v>CSH-5110-01</v>
          </cell>
          <cell r="C15" t="str">
            <v>014</v>
          </cell>
        </row>
        <row r="16">
          <cell r="B16" t="str">
            <v>CSH-5110-02</v>
          </cell>
          <cell r="C16" t="str">
            <v>015</v>
          </cell>
        </row>
        <row r="17">
          <cell r="B17" t="str">
            <v>CSH-5110-03</v>
          </cell>
          <cell r="C17" t="str">
            <v>016</v>
          </cell>
        </row>
        <row r="18">
          <cell r="B18" t="str">
            <v>CSH-5110-04</v>
          </cell>
          <cell r="C18" t="str">
            <v>017</v>
          </cell>
        </row>
        <row r="19">
          <cell r="B19" t="str">
            <v>CSH-5110-05</v>
          </cell>
          <cell r="C19" t="str">
            <v>018</v>
          </cell>
        </row>
        <row r="20">
          <cell r="B20" t="str">
            <v>CSH-5110-06</v>
          </cell>
          <cell r="C20" t="str">
            <v>019</v>
          </cell>
        </row>
        <row r="21">
          <cell r="B21" t="str">
            <v>CSH-5110-07</v>
          </cell>
          <cell r="C21" t="str">
            <v>020</v>
          </cell>
        </row>
        <row r="22">
          <cell r="B22" t="str">
            <v>CSH-5110-08</v>
          </cell>
          <cell r="C22" t="str">
            <v>021</v>
          </cell>
        </row>
        <row r="23">
          <cell r="B23" t="str">
            <v>CSH-5110-09</v>
          </cell>
          <cell r="C23" t="str">
            <v>022</v>
          </cell>
        </row>
        <row r="24">
          <cell r="B24" t="str">
            <v>CSH-5110-10</v>
          </cell>
          <cell r="C24" t="str">
            <v>023</v>
          </cell>
        </row>
        <row r="25">
          <cell r="B25" t="str">
            <v>CSH-5110-11</v>
          </cell>
          <cell r="C25" t="str">
            <v>024</v>
          </cell>
        </row>
        <row r="26">
          <cell r="B26" t="str">
            <v>CSH-5110-12</v>
          </cell>
          <cell r="C26" t="str">
            <v>025</v>
          </cell>
        </row>
        <row r="27">
          <cell r="B27" t="str">
            <v>CSH-5110-13</v>
          </cell>
          <cell r="C27" t="str">
            <v>026</v>
          </cell>
        </row>
        <row r="28">
          <cell r="B28" t="str">
            <v>CSH-5110-14</v>
          </cell>
          <cell r="C28" t="str">
            <v>027</v>
          </cell>
        </row>
        <row r="29">
          <cell r="B29" t="str">
            <v>CSH-5110-15</v>
          </cell>
          <cell r="C29" t="str">
            <v>028</v>
          </cell>
        </row>
        <row r="30">
          <cell r="B30" t="str">
            <v>CSH-5110-16</v>
          </cell>
          <cell r="C30" t="str">
            <v>029</v>
          </cell>
        </row>
        <row r="31">
          <cell r="B31" t="str">
            <v>CSH-5110-17</v>
          </cell>
          <cell r="C31" t="str">
            <v>030</v>
          </cell>
        </row>
        <row r="32">
          <cell r="B32" t="str">
            <v>CSH-5110-18</v>
          </cell>
          <cell r="C32" t="str">
            <v>031</v>
          </cell>
        </row>
        <row r="33">
          <cell r="B33" t="str">
            <v>CSH-5110-19</v>
          </cell>
          <cell r="C33" t="str">
            <v>032</v>
          </cell>
        </row>
        <row r="34">
          <cell r="B34" t="str">
            <v>CSH-5110-20</v>
          </cell>
          <cell r="C34" t="str">
            <v>033</v>
          </cell>
        </row>
        <row r="35">
          <cell r="B35" t="str">
            <v>CSH-5110-21</v>
          </cell>
          <cell r="C35" t="str">
            <v>034</v>
          </cell>
        </row>
        <row r="36">
          <cell r="B36" t="str">
            <v>CSH-5110-22</v>
          </cell>
          <cell r="C36" t="str">
            <v>035</v>
          </cell>
        </row>
        <row r="37">
          <cell r="B37" t="str">
            <v>CSH-5110-23</v>
          </cell>
          <cell r="C37" t="str">
            <v>036</v>
          </cell>
        </row>
        <row r="38">
          <cell r="B38" t="str">
            <v>CSH-5111-01</v>
          </cell>
          <cell r="C38" t="str">
            <v>037</v>
          </cell>
        </row>
        <row r="39">
          <cell r="B39" t="str">
            <v>CSH-5111-02</v>
          </cell>
          <cell r="C39" t="str">
            <v>038</v>
          </cell>
        </row>
        <row r="40">
          <cell r="B40" t="str">
            <v>CSH-5111-03</v>
          </cell>
          <cell r="C40" t="str">
            <v>039</v>
          </cell>
        </row>
        <row r="41">
          <cell r="B41" t="str">
            <v>CSH-5111-04</v>
          </cell>
          <cell r="C41" t="str">
            <v>040</v>
          </cell>
        </row>
        <row r="42">
          <cell r="B42" t="str">
            <v>CSH-5111-05</v>
          </cell>
          <cell r="C42" t="str">
            <v>041</v>
          </cell>
        </row>
        <row r="43">
          <cell r="B43" t="str">
            <v>CSH-5111-06</v>
          </cell>
          <cell r="C43" t="str">
            <v>042</v>
          </cell>
        </row>
        <row r="44">
          <cell r="B44" t="str">
            <v>CSH-5111-07</v>
          </cell>
          <cell r="C44" t="str">
            <v>043</v>
          </cell>
        </row>
        <row r="45">
          <cell r="B45" t="str">
            <v>CSH-5111-08</v>
          </cell>
          <cell r="C45" t="str">
            <v>044</v>
          </cell>
        </row>
        <row r="46">
          <cell r="B46" t="str">
            <v>CSH-5112-01</v>
          </cell>
          <cell r="C46" t="str">
            <v>045</v>
          </cell>
        </row>
        <row r="47">
          <cell r="B47" t="str">
            <v>CSH-5112-02</v>
          </cell>
          <cell r="C47" t="str">
            <v>046</v>
          </cell>
        </row>
        <row r="48">
          <cell r="B48" t="str">
            <v>CSH-5112-03</v>
          </cell>
          <cell r="C48" t="str">
            <v>047</v>
          </cell>
        </row>
        <row r="49">
          <cell r="B49" t="str">
            <v>CSH-5127-01</v>
          </cell>
          <cell r="C49" t="str">
            <v>048</v>
          </cell>
        </row>
        <row r="50">
          <cell r="B50" t="str">
            <v>CSH-5135-01</v>
          </cell>
          <cell r="C50" t="str">
            <v>049</v>
          </cell>
        </row>
        <row r="51">
          <cell r="B51" t="str">
            <v>VSH-5102-25</v>
          </cell>
          <cell r="C51" t="str">
            <v>050</v>
          </cell>
        </row>
        <row r="52">
          <cell r="B52" t="str">
            <v>VSH-5102-39</v>
          </cell>
          <cell r="C52" t="str">
            <v>051</v>
          </cell>
        </row>
        <row r="53">
          <cell r="B53" t="str">
            <v>VSH-5103-01</v>
          </cell>
          <cell r="C53" t="str">
            <v>052</v>
          </cell>
        </row>
        <row r="54">
          <cell r="B54" t="str">
            <v>VSH-5103-02</v>
          </cell>
          <cell r="C54" t="str">
            <v>053</v>
          </cell>
        </row>
        <row r="55">
          <cell r="B55" t="str">
            <v>VSH-5103-03</v>
          </cell>
          <cell r="C55" t="str">
            <v>054</v>
          </cell>
        </row>
        <row r="56">
          <cell r="B56" t="str">
            <v>VSH-5103-04</v>
          </cell>
          <cell r="C56" t="str">
            <v>055</v>
          </cell>
        </row>
        <row r="57">
          <cell r="B57" t="str">
            <v>VSH-5103-05</v>
          </cell>
          <cell r="C57" t="str">
            <v>056</v>
          </cell>
        </row>
        <row r="58">
          <cell r="B58" t="str">
            <v>VSH-5103-06</v>
          </cell>
          <cell r="C58" t="str">
            <v>057</v>
          </cell>
        </row>
        <row r="59">
          <cell r="B59" t="str">
            <v>VSH-5103-07</v>
          </cell>
          <cell r="C59" t="str">
            <v>058</v>
          </cell>
        </row>
        <row r="60">
          <cell r="B60" t="str">
            <v>VSH-5103-08</v>
          </cell>
          <cell r="C60" t="str">
            <v>059</v>
          </cell>
        </row>
        <row r="61">
          <cell r="B61" t="str">
            <v>VSH-5103-09</v>
          </cell>
          <cell r="C61" t="str">
            <v>060</v>
          </cell>
        </row>
        <row r="62">
          <cell r="B62" t="str">
            <v>VSH-5103-10</v>
          </cell>
          <cell r="C62" t="str">
            <v>061</v>
          </cell>
        </row>
        <row r="63">
          <cell r="B63" t="str">
            <v>VSH-5103-11</v>
          </cell>
          <cell r="C63" t="str">
            <v>062</v>
          </cell>
        </row>
        <row r="64">
          <cell r="B64" t="str">
            <v>VSH-5104-01</v>
          </cell>
          <cell r="C64" t="str">
            <v>063</v>
          </cell>
        </row>
        <row r="65">
          <cell r="B65" t="str">
            <v>VSH-5104-02</v>
          </cell>
          <cell r="C65" t="str">
            <v>064</v>
          </cell>
        </row>
        <row r="66">
          <cell r="B66" t="str">
            <v>VSH-5104-03</v>
          </cell>
          <cell r="C66" t="str">
            <v>065</v>
          </cell>
        </row>
        <row r="67">
          <cell r="B67" t="str">
            <v>VSH-5104-04</v>
          </cell>
          <cell r="C67" t="str">
            <v>066</v>
          </cell>
        </row>
        <row r="68">
          <cell r="B68" t="str">
            <v>VSH-5104-05</v>
          </cell>
          <cell r="C68" t="str">
            <v>067</v>
          </cell>
        </row>
        <row r="69">
          <cell r="B69" t="str">
            <v>VSH-5104-06</v>
          </cell>
          <cell r="C69" t="str">
            <v>068</v>
          </cell>
        </row>
        <row r="70">
          <cell r="B70" t="str">
            <v>VSH-5104-07</v>
          </cell>
          <cell r="C70" t="str">
            <v>069</v>
          </cell>
        </row>
        <row r="71">
          <cell r="B71" t="str">
            <v>VSH-5105-01</v>
          </cell>
          <cell r="C71" t="str">
            <v>070</v>
          </cell>
        </row>
        <row r="72">
          <cell r="B72" t="str">
            <v>VSH-5106-01</v>
          </cell>
          <cell r="C72" t="str">
            <v>071</v>
          </cell>
        </row>
        <row r="73">
          <cell r="B73" t="str">
            <v>VSH-5106-02</v>
          </cell>
          <cell r="C73" t="str">
            <v>072</v>
          </cell>
        </row>
        <row r="74">
          <cell r="B74" t="str">
            <v>VSH-5106-03</v>
          </cell>
          <cell r="C74" t="str">
            <v>073</v>
          </cell>
        </row>
        <row r="75">
          <cell r="B75" t="str">
            <v>VSH-5106-04</v>
          </cell>
          <cell r="C75" t="str">
            <v>074</v>
          </cell>
        </row>
        <row r="76">
          <cell r="B76" t="str">
            <v>VSH-5106-05</v>
          </cell>
          <cell r="C76" t="str">
            <v>075</v>
          </cell>
        </row>
        <row r="77">
          <cell r="B77" t="str">
            <v>VSH-5106-06</v>
          </cell>
          <cell r="C77" t="str">
            <v>076</v>
          </cell>
        </row>
        <row r="78">
          <cell r="B78" t="str">
            <v>VSH-5106-09</v>
          </cell>
          <cell r="C78" t="str">
            <v>077</v>
          </cell>
        </row>
        <row r="79">
          <cell r="B79" t="str">
            <v>VSH-5107-01</v>
          </cell>
          <cell r="C79" t="str">
            <v>078</v>
          </cell>
        </row>
        <row r="80">
          <cell r="B80" t="str">
            <v>VSH-5107-02</v>
          </cell>
          <cell r="C80" t="str">
            <v>079</v>
          </cell>
        </row>
        <row r="81">
          <cell r="B81" t="str">
            <v>VSH-5107-03</v>
          </cell>
          <cell r="C81" t="str">
            <v>080</v>
          </cell>
        </row>
        <row r="82">
          <cell r="B82" t="str">
            <v>VSH-5107-04</v>
          </cell>
          <cell r="C82" t="str">
            <v>081</v>
          </cell>
        </row>
        <row r="83">
          <cell r="B83" t="str">
            <v>VSH-5107-05</v>
          </cell>
          <cell r="C83" t="str">
            <v>082</v>
          </cell>
        </row>
        <row r="84">
          <cell r="B84" t="str">
            <v>VSH-5108-01</v>
          </cell>
          <cell r="C84" t="str">
            <v>083</v>
          </cell>
        </row>
        <row r="85">
          <cell r="B85" t="str">
            <v>VSH-5110-01</v>
          </cell>
          <cell r="C85" t="str">
            <v>084</v>
          </cell>
        </row>
        <row r="86">
          <cell r="B86" t="str">
            <v>VSH-5110-02</v>
          </cell>
          <cell r="C86" t="str">
            <v>085</v>
          </cell>
        </row>
        <row r="87">
          <cell r="B87" t="str">
            <v>VSH-5111-01</v>
          </cell>
          <cell r="C87" t="str">
            <v>086</v>
          </cell>
        </row>
        <row r="88">
          <cell r="B88" t="str">
            <v>VSH-5111-02</v>
          </cell>
          <cell r="C88" t="str">
            <v>087</v>
          </cell>
        </row>
        <row r="89">
          <cell r="B89" t="str">
            <v>VSH-5111-03</v>
          </cell>
          <cell r="C89" t="str">
            <v>088</v>
          </cell>
        </row>
        <row r="90">
          <cell r="B90" t="str">
            <v>VSH-5111-04A</v>
          </cell>
          <cell r="C90" t="str">
            <v>089</v>
          </cell>
        </row>
        <row r="91">
          <cell r="B91" t="str">
            <v>VSH-5111-04B</v>
          </cell>
          <cell r="C91" t="str">
            <v>090</v>
          </cell>
        </row>
        <row r="92">
          <cell r="B92" t="str">
            <v>VSH-5111-05</v>
          </cell>
          <cell r="C92" t="str">
            <v>091</v>
          </cell>
        </row>
        <row r="93">
          <cell r="B93" t="str">
            <v>VSH-5112-01</v>
          </cell>
          <cell r="C93" t="str">
            <v>092</v>
          </cell>
        </row>
        <row r="94">
          <cell r="B94" t="str">
            <v>VSH-5112-02</v>
          </cell>
          <cell r="C94" t="str">
            <v>093</v>
          </cell>
        </row>
        <row r="95">
          <cell r="B95" t="str">
            <v>VSH-5112-03</v>
          </cell>
          <cell r="C95" t="str">
            <v>094</v>
          </cell>
        </row>
        <row r="96">
          <cell r="B96" t="str">
            <v>VSH-5112-04</v>
          </cell>
          <cell r="C96" t="str">
            <v>095</v>
          </cell>
        </row>
        <row r="97">
          <cell r="B97" t="str">
            <v>VSH-5112-05</v>
          </cell>
          <cell r="C97" t="str">
            <v>096</v>
          </cell>
        </row>
        <row r="98">
          <cell r="B98" t="str">
            <v>VSH-5112-06</v>
          </cell>
          <cell r="C98" t="str">
            <v>097</v>
          </cell>
        </row>
        <row r="99">
          <cell r="B99" t="str">
            <v>VSH-5112-07</v>
          </cell>
          <cell r="C99" t="str">
            <v>098</v>
          </cell>
        </row>
        <row r="100">
          <cell r="B100" t="str">
            <v>VSH-5112-08</v>
          </cell>
          <cell r="C100" t="str">
            <v>099</v>
          </cell>
        </row>
        <row r="101">
          <cell r="B101" t="str">
            <v>VSH-5112-09</v>
          </cell>
          <cell r="C101" t="str">
            <v>100</v>
          </cell>
        </row>
        <row r="102">
          <cell r="B102" t="str">
            <v>VSH-5113-02</v>
          </cell>
          <cell r="C102" t="str">
            <v>101</v>
          </cell>
        </row>
        <row r="103">
          <cell r="B103" t="str">
            <v>VSH-5113-03</v>
          </cell>
          <cell r="C103" t="str">
            <v>102</v>
          </cell>
        </row>
        <row r="104">
          <cell r="B104" t="str">
            <v>VSH-5113-04</v>
          </cell>
          <cell r="C104" t="str">
            <v>103</v>
          </cell>
        </row>
        <row r="105">
          <cell r="B105" t="str">
            <v>VSH-5113-05</v>
          </cell>
          <cell r="C105" t="str">
            <v>104</v>
          </cell>
        </row>
        <row r="106">
          <cell r="B106" t="str">
            <v>VSH-5113-06</v>
          </cell>
          <cell r="C106" t="str">
            <v>105</v>
          </cell>
        </row>
        <row r="107">
          <cell r="B107" t="str">
            <v>VSH-5113-07</v>
          </cell>
          <cell r="C107" t="str">
            <v>106</v>
          </cell>
        </row>
        <row r="108">
          <cell r="B108" t="str">
            <v>VSH-5113-08</v>
          </cell>
          <cell r="C108" t="str">
            <v>107</v>
          </cell>
        </row>
        <row r="109">
          <cell r="B109" t="str">
            <v>VSH-5113-09</v>
          </cell>
          <cell r="C109" t="str">
            <v>108</v>
          </cell>
        </row>
        <row r="110">
          <cell r="B110" t="str">
            <v>VSH-5113-10</v>
          </cell>
          <cell r="C110" t="str">
            <v>109</v>
          </cell>
        </row>
        <row r="111">
          <cell r="B111" t="str">
            <v>VSH-5113-11</v>
          </cell>
          <cell r="C111" t="str">
            <v>110</v>
          </cell>
        </row>
        <row r="112">
          <cell r="B112" t="str">
            <v>VSH-5132-01</v>
          </cell>
          <cell r="C112" t="str">
            <v>111</v>
          </cell>
        </row>
        <row r="113">
          <cell r="B113" t="str">
            <v>VSH-5132-02</v>
          </cell>
          <cell r="C113" t="str">
            <v>112</v>
          </cell>
        </row>
        <row r="114">
          <cell r="B114" t="str">
            <v>VSH-5135-06</v>
          </cell>
          <cell r="C114" t="str">
            <v>113</v>
          </cell>
        </row>
        <row r="115">
          <cell r="B115" t="str">
            <v>VSH-5101-35</v>
          </cell>
          <cell r="C115" t="str">
            <v>114</v>
          </cell>
        </row>
        <row r="116">
          <cell r="B116" t="str">
            <v>VSH-5101-36</v>
          </cell>
          <cell r="C116" t="str">
            <v>115</v>
          </cell>
        </row>
        <row r="117">
          <cell r="B117" t="str">
            <v>VSH-5102-03</v>
          </cell>
          <cell r="C117" t="str">
            <v>116</v>
          </cell>
        </row>
        <row r="118">
          <cell r="B118" t="str">
            <v>VSH-5102-04</v>
          </cell>
          <cell r="C118" t="str">
            <v>117</v>
          </cell>
        </row>
        <row r="119">
          <cell r="B119" t="str">
            <v>VSH-5102-05</v>
          </cell>
          <cell r="C119" t="str">
            <v>118</v>
          </cell>
        </row>
        <row r="120">
          <cell r="B120" t="str">
            <v>VSH-5102-06</v>
          </cell>
          <cell r="C120" t="str">
            <v>119</v>
          </cell>
        </row>
        <row r="121">
          <cell r="B121" t="str">
            <v>VSH-5102-07</v>
          </cell>
          <cell r="C121" t="str">
            <v>120</v>
          </cell>
        </row>
        <row r="122">
          <cell r="B122" t="str">
            <v>VSH-5102-08</v>
          </cell>
          <cell r="C122" t="str">
            <v>121</v>
          </cell>
        </row>
      </sheetData>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Base Data FY05"/>
      <sheetName val="Base Data AOP FY06"/>
      <sheetName val="Apr 05"/>
      <sheetName val="May 05"/>
      <sheetName val="Jun 05 unaudited"/>
      <sheetName val="June 05"/>
      <sheetName val="July 05"/>
      <sheetName val="Aug 05"/>
      <sheetName val="Sep 05"/>
      <sheetName val="Oct 05"/>
      <sheetName val="Nov 05"/>
      <sheetName val="Sheet1"/>
      <sheetName val="Base Data Actuals"/>
      <sheetName val="MIS (old) "/>
      <sheetName val="Supply"/>
      <sheetName val="S Q1"/>
      <sheetName val="S July 05"/>
      <sheetName val="S Aug 05"/>
      <sheetName val="S Act H1"/>
      <sheetName val="S Oct 05"/>
      <sheetName val="S Nov 05"/>
      <sheetName val="Sheet2"/>
      <sheetName val="Division wise (Aug)"/>
      <sheetName val="Division wise (H1)"/>
      <sheetName val="Analysis"/>
      <sheetName val="not used"/>
      <sheetName val="DETAIL SHEET"/>
    </sheetNames>
    <sheetDataSet>
      <sheetData sheetId="0" refreshError="1"/>
      <sheetData sheetId="1" refreshError="1"/>
      <sheetData sheetId="2" refreshError="1"/>
      <sheetData sheetId="3" refreshError="1">
        <row r="1">
          <cell r="A1" t="str">
            <v>BA</v>
          </cell>
        </row>
        <row r="2">
          <cell r="A2" t="str">
            <v>B100</v>
          </cell>
          <cell r="B2">
            <v>3100180100</v>
          </cell>
          <cell r="C2" t="str">
            <v>REV PS-EN CH-CHT</v>
          </cell>
          <cell r="D2">
            <v>-12101123</v>
          </cell>
        </row>
        <row r="3">
          <cell r="A3" t="str">
            <v>B100</v>
          </cell>
          <cell r="B3">
            <v>3100180101</v>
          </cell>
          <cell r="C3" t="str">
            <v>REV PS-RES -01</v>
          </cell>
          <cell r="D3">
            <v>-37777030.520000003</v>
          </cell>
        </row>
        <row r="4">
          <cell r="A4" t="str">
            <v>B100</v>
          </cell>
          <cell r="B4">
            <v>3100180102</v>
          </cell>
          <cell r="C4" t="str">
            <v>REV PS-HT2-Comm -02</v>
          </cell>
          <cell r="D4">
            <v>-70513425.480000004</v>
          </cell>
        </row>
        <row r="5">
          <cell r="A5" t="str">
            <v>B100</v>
          </cell>
          <cell r="B5">
            <v>3100180104</v>
          </cell>
          <cell r="C5" t="str">
            <v>REV PS-HT2-IND-04</v>
          </cell>
          <cell r="D5">
            <v>-469863705.63999999</v>
          </cell>
        </row>
        <row r="6">
          <cell r="A6" t="str">
            <v>B100</v>
          </cell>
          <cell r="B6">
            <v>3100180106</v>
          </cell>
          <cell r="C6" t="str">
            <v>REV PS - Rly -06</v>
          </cell>
          <cell r="D6">
            <v>-453261289.80000001</v>
          </cell>
        </row>
        <row r="7">
          <cell r="A7" t="str">
            <v>B100</v>
          </cell>
          <cell r="B7">
            <v>3100180107</v>
          </cell>
          <cell r="C7" t="str">
            <v>REV PS - MSEB - 07</v>
          </cell>
          <cell r="D7">
            <v>-252757946</v>
          </cell>
        </row>
        <row r="8">
          <cell r="A8" t="str">
            <v>B100</v>
          </cell>
          <cell r="B8">
            <v>3100180108</v>
          </cell>
          <cell r="C8" t="str">
            <v>REV PS-Textiles-08</v>
          </cell>
          <cell r="D8">
            <v>-179467964.38</v>
          </cell>
        </row>
        <row r="9">
          <cell r="A9" t="str">
            <v>B100</v>
          </cell>
          <cell r="B9">
            <v>3100180109</v>
          </cell>
          <cell r="C9" t="str">
            <v>REV PS-LT1 IND -09</v>
          </cell>
          <cell r="D9">
            <v>-34113635.350000001</v>
          </cell>
        </row>
        <row r="10">
          <cell r="A10" t="str">
            <v>B100</v>
          </cell>
          <cell r="B10">
            <v>3100180110</v>
          </cell>
          <cell r="C10" t="str">
            <v>REV PS-LT1-Comm -10</v>
          </cell>
          <cell r="D10">
            <v>-60173435.539999999</v>
          </cell>
        </row>
        <row r="11">
          <cell r="A11" t="str">
            <v>B100</v>
          </cell>
          <cell r="B11">
            <v>3100180111</v>
          </cell>
          <cell r="C11" t="str">
            <v>REV PS-LT2-IND-11</v>
          </cell>
          <cell r="D11">
            <v>-34652703.350000001</v>
          </cell>
        </row>
        <row r="12">
          <cell r="A12" t="str">
            <v>B100</v>
          </cell>
          <cell r="B12">
            <v>3100180112</v>
          </cell>
          <cell r="C12" t="str">
            <v>REV PS-LT2-Comm -12</v>
          </cell>
          <cell r="D12">
            <v>-153720501.16</v>
          </cell>
        </row>
        <row r="13">
          <cell r="A13" t="str">
            <v>B100</v>
          </cell>
          <cell r="B13">
            <v>3100180120</v>
          </cell>
          <cell r="C13" t="str">
            <v>REV POWER SUP-BEST</v>
          </cell>
          <cell r="D13">
            <v>-1888995870.0999999</v>
          </cell>
        </row>
        <row r="14">
          <cell r="A14" t="str">
            <v>B100</v>
          </cell>
          <cell r="B14">
            <v>3100180130</v>
          </cell>
          <cell r="C14" t="str">
            <v>REV POWER SUP-BSES</v>
          </cell>
          <cell r="D14">
            <v>-1804088770.55</v>
          </cell>
        </row>
        <row r="15">
          <cell r="A15" t="str">
            <v>B100</v>
          </cell>
          <cell r="B15">
            <v>3100180200</v>
          </cell>
          <cell r="C15" t="str">
            <v>CASH DISCOUNT</v>
          </cell>
          <cell r="D15">
            <v>36185225.899999999</v>
          </cell>
        </row>
        <row r="16">
          <cell r="A16" t="str">
            <v>B100</v>
          </cell>
          <cell r="B16">
            <v>3100181600</v>
          </cell>
          <cell r="C16" t="str">
            <v>FUEL ADJ CHG RECOVER</v>
          </cell>
          <cell r="D16">
            <v>-24426.560000000001</v>
          </cell>
        </row>
        <row r="17">
          <cell r="A17" t="str">
            <v>B100</v>
          </cell>
          <cell r="B17">
            <v>3100181610</v>
          </cell>
          <cell r="C17" t="str">
            <v>FUEL ADJ CHG-EXCESS/</v>
          </cell>
          <cell r="D17">
            <v>-220500000</v>
          </cell>
        </row>
        <row r="18">
          <cell r="A18" t="str">
            <v>B100</v>
          </cell>
          <cell r="B18">
            <v>3100181620</v>
          </cell>
          <cell r="C18" t="str">
            <v>FAC - MSEB</v>
          </cell>
          <cell r="D18">
            <v>-221304518</v>
          </cell>
        </row>
        <row r="19">
          <cell r="A19" t="str">
            <v>B100</v>
          </cell>
          <cell r="B19">
            <v>3100183300</v>
          </cell>
          <cell r="C19" t="str">
            <v>WHEELING CHG RECOVER</v>
          </cell>
          <cell r="D19">
            <v>-39061723</v>
          </cell>
        </row>
        <row r="20">
          <cell r="A20" t="str">
            <v>B100</v>
          </cell>
          <cell r="B20">
            <v>3100183310</v>
          </cell>
          <cell r="C20" t="str">
            <v>FACWHEELCHARREC'BLE</v>
          </cell>
          <cell r="D20">
            <v>-1579101</v>
          </cell>
        </row>
        <row r="21">
          <cell r="A21" t="str">
            <v>B100</v>
          </cell>
          <cell r="B21">
            <v>3100380700</v>
          </cell>
          <cell r="C21" t="str">
            <v>RT BUILDING- STAFF</v>
          </cell>
          <cell r="D21">
            <v>-1000</v>
          </cell>
        </row>
        <row r="22">
          <cell r="A22" t="str">
            <v>B100</v>
          </cell>
          <cell r="B22">
            <v>3100481200</v>
          </cell>
          <cell r="C22" t="str">
            <v>INT - LN &amp; ADV-STAFF</v>
          </cell>
          <cell r="D22">
            <v>-15538.02</v>
          </cell>
        </row>
        <row r="23">
          <cell r="A23" t="str">
            <v>B100</v>
          </cell>
          <cell r="B23">
            <v>3100481310</v>
          </cell>
          <cell r="C23" t="str">
            <v>INT - DP RE: EPS</v>
          </cell>
          <cell r="D23">
            <v>-200727.63</v>
          </cell>
        </row>
        <row r="24">
          <cell r="A24" t="str">
            <v>B100</v>
          </cell>
          <cell r="B24">
            <v>3101180110</v>
          </cell>
          <cell r="C24" t="str">
            <v>DELAYED PAYMENT CHG</v>
          </cell>
          <cell r="D24">
            <v>-415681.21</v>
          </cell>
        </row>
        <row r="25">
          <cell r="A25" t="str">
            <v>B100</v>
          </cell>
          <cell r="B25">
            <v>3102283505</v>
          </cell>
          <cell r="C25" t="str">
            <v>INC: MISC SER CHGS</v>
          </cell>
          <cell r="D25">
            <v>-1460000</v>
          </cell>
        </row>
        <row r="26">
          <cell r="A26" t="str">
            <v>B100</v>
          </cell>
          <cell r="B26">
            <v>4110184100</v>
          </cell>
          <cell r="C26" t="str">
            <v>COST POWER PURCHASED</v>
          </cell>
          <cell r="D26">
            <v>-8811954</v>
          </cell>
        </row>
        <row r="27">
          <cell r="A27" t="str">
            <v>B100</v>
          </cell>
          <cell r="B27">
            <v>4110184110</v>
          </cell>
          <cell r="C27" t="str">
            <v>Cost Pow.Pur-Standby</v>
          </cell>
          <cell r="D27">
            <v>660000000</v>
          </cell>
        </row>
        <row r="28">
          <cell r="A28" t="str">
            <v>B100</v>
          </cell>
          <cell r="B28">
            <v>4110184112</v>
          </cell>
          <cell r="C28" t="str">
            <v>Purchase/Transfer of</v>
          </cell>
          <cell r="D28">
            <v>15818968</v>
          </cell>
        </row>
        <row r="29">
          <cell r="A29" t="str">
            <v>B100</v>
          </cell>
          <cell r="B29">
            <v>4110184500</v>
          </cell>
          <cell r="C29" t="str">
            <v>FAC-POWER PUR</v>
          </cell>
          <cell r="D29">
            <v>175612</v>
          </cell>
        </row>
        <row r="30">
          <cell r="A30" t="str">
            <v>B100</v>
          </cell>
          <cell r="B30">
            <v>4110184510</v>
          </cell>
          <cell r="C30" t="str">
            <v>Wind Energy Banked w</v>
          </cell>
          <cell r="D30">
            <v>0</v>
          </cell>
        </row>
        <row r="31">
          <cell r="A31" t="str">
            <v>B100</v>
          </cell>
          <cell r="B31">
            <v>4110284200</v>
          </cell>
          <cell r="C31" t="str">
            <v>TAXSALEOFELECTRICITY</v>
          </cell>
          <cell r="D31">
            <v>41202083</v>
          </cell>
        </row>
        <row r="32">
          <cell r="A32" t="str">
            <v>B100</v>
          </cell>
          <cell r="B32">
            <v>4110384050</v>
          </cell>
          <cell r="C32" t="str">
            <v>DEP-P&amp;M</v>
          </cell>
          <cell r="D32">
            <v>2167622.7000000002</v>
          </cell>
        </row>
        <row r="33">
          <cell r="A33" t="str">
            <v>B100</v>
          </cell>
          <cell r="B33">
            <v>4110384070</v>
          </cell>
          <cell r="C33" t="str">
            <v>DEP-FURNITURE&amp;FIXTUR</v>
          </cell>
          <cell r="D33">
            <v>3972.82</v>
          </cell>
        </row>
        <row r="34">
          <cell r="A34" t="str">
            <v>B100</v>
          </cell>
          <cell r="B34">
            <v>4110384080</v>
          </cell>
          <cell r="C34" t="str">
            <v>DEP-MOTOR VEHICLE</v>
          </cell>
          <cell r="D34">
            <v>42589.34</v>
          </cell>
        </row>
        <row r="35">
          <cell r="A35" t="str">
            <v>B100</v>
          </cell>
          <cell r="B35">
            <v>4110485700</v>
          </cell>
          <cell r="C35" t="str">
            <v>INTSECURITYDEPOSITS</v>
          </cell>
          <cell r="D35">
            <v>2260000</v>
          </cell>
        </row>
        <row r="36">
          <cell r="A36" t="str">
            <v>B100</v>
          </cell>
          <cell r="B36">
            <v>4110485800</v>
          </cell>
          <cell r="C36" t="str">
            <v>OTHER INT&amp;COMMITMENT</v>
          </cell>
          <cell r="D36">
            <v>-1397544</v>
          </cell>
        </row>
        <row r="37">
          <cell r="A37" t="str">
            <v>B100</v>
          </cell>
          <cell r="B37">
            <v>4110886200</v>
          </cell>
          <cell r="C37" t="str">
            <v>COMM : BG</v>
          </cell>
          <cell r="D37">
            <v>2627500</v>
          </cell>
        </row>
        <row r="38">
          <cell r="A38" t="str">
            <v>B100</v>
          </cell>
          <cell r="B38">
            <v>4111288700</v>
          </cell>
          <cell r="C38" t="str">
            <v>C-SULTANT'S FEES</v>
          </cell>
          <cell r="D38">
            <v>77000</v>
          </cell>
        </row>
        <row r="39">
          <cell r="A39" t="str">
            <v>B100</v>
          </cell>
          <cell r="B39">
            <v>4111289210</v>
          </cell>
          <cell r="C39" t="str">
            <v>COMPUTER OP EXP</v>
          </cell>
          <cell r="D39">
            <v>22464</v>
          </cell>
        </row>
        <row r="40">
          <cell r="A40" t="str">
            <v>B100</v>
          </cell>
          <cell r="B40">
            <v>4111289950</v>
          </cell>
          <cell r="C40" t="str">
            <v>TATA BRAND EQUITY</v>
          </cell>
          <cell r="D40">
            <v>35380</v>
          </cell>
        </row>
        <row r="41">
          <cell r="A41" t="str">
            <v>B100</v>
          </cell>
          <cell r="B41">
            <v>4111290065</v>
          </cell>
          <cell r="C41" t="str">
            <v>DPC - MSEB BILLS</v>
          </cell>
          <cell r="D41">
            <v>-39266414</v>
          </cell>
        </row>
        <row r="42">
          <cell r="A42" t="str">
            <v>B100</v>
          </cell>
          <cell r="B42">
            <v>4111484800</v>
          </cell>
          <cell r="C42" t="str">
            <v>TAXATION (PROVISION)</v>
          </cell>
          <cell r="D42">
            <v>1068028000</v>
          </cell>
        </row>
        <row r="43">
          <cell r="A43" t="str">
            <v>B100</v>
          </cell>
          <cell r="B43">
            <v>4111988500</v>
          </cell>
          <cell r="C43" t="str">
            <v>COST OF SERVICES</v>
          </cell>
          <cell r="D43">
            <v>800608.39</v>
          </cell>
        </row>
        <row r="44">
          <cell r="A44" t="str">
            <v>B100</v>
          </cell>
          <cell r="B44">
            <v>4111988510</v>
          </cell>
          <cell r="C44" t="str">
            <v>PUR/TRANOFSERVICES</v>
          </cell>
          <cell r="D44">
            <v>382049</v>
          </cell>
        </row>
        <row r="45">
          <cell r="A45" t="str">
            <v>B100</v>
          </cell>
          <cell r="B45">
            <v>4111988520</v>
          </cell>
          <cell r="C45" t="str">
            <v>COST SERVICES-TCE</v>
          </cell>
          <cell r="D45">
            <v>91285</v>
          </cell>
        </row>
        <row r="46">
          <cell r="A46" t="str">
            <v>B100</v>
          </cell>
          <cell r="B46">
            <v>4112584300</v>
          </cell>
          <cell r="C46" t="str">
            <v>WHEELINGCHARGESPAID</v>
          </cell>
          <cell r="D46">
            <v>36894841</v>
          </cell>
        </row>
        <row r="47">
          <cell r="A47" t="str">
            <v>B100</v>
          </cell>
          <cell r="B47">
            <v>4112584310</v>
          </cell>
          <cell r="C47" t="str">
            <v>FACWHEELCHGSP'BLE</v>
          </cell>
          <cell r="D47">
            <v>1403489</v>
          </cell>
        </row>
        <row r="48">
          <cell r="A48" t="str">
            <v>B100</v>
          </cell>
          <cell r="B48">
            <v>4113784950</v>
          </cell>
          <cell r="C48" t="str">
            <v>DEFERRED TAX (PROVIS</v>
          </cell>
          <cell r="D48">
            <v>-6108000</v>
          </cell>
        </row>
        <row r="49">
          <cell r="A49" t="str">
            <v>B100</v>
          </cell>
          <cell r="B49">
            <v>4120190100</v>
          </cell>
          <cell r="C49" t="str">
            <v>CONFIDENTIAL SALARY&amp;</v>
          </cell>
          <cell r="D49">
            <v>206500</v>
          </cell>
        </row>
        <row r="50">
          <cell r="A50" t="str">
            <v>B100</v>
          </cell>
          <cell r="B50">
            <v>4120190200</v>
          </cell>
          <cell r="C50" t="str">
            <v>STAFF SALARY&amp;D.A.</v>
          </cell>
          <cell r="D50">
            <v>80170</v>
          </cell>
        </row>
        <row r="51">
          <cell r="A51" t="str">
            <v>B100</v>
          </cell>
          <cell r="B51">
            <v>4120190510</v>
          </cell>
          <cell r="C51" t="str">
            <v>Dearness Allowance</v>
          </cell>
          <cell r="D51">
            <v>305427</v>
          </cell>
        </row>
        <row r="52">
          <cell r="A52" t="str">
            <v>B100</v>
          </cell>
          <cell r="B52">
            <v>4120190600</v>
          </cell>
          <cell r="C52" t="str">
            <v>OVERTIME</v>
          </cell>
          <cell r="D52">
            <v>97931.15</v>
          </cell>
        </row>
        <row r="53">
          <cell r="A53" t="str">
            <v>B100</v>
          </cell>
          <cell r="B53">
            <v>4120190900</v>
          </cell>
          <cell r="C53" t="str">
            <v>EDUCATIONAL BENEFIT</v>
          </cell>
          <cell r="D53">
            <v>15600</v>
          </cell>
        </row>
        <row r="54">
          <cell r="A54" t="str">
            <v>B100</v>
          </cell>
          <cell r="B54">
            <v>4120191400</v>
          </cell>
          <cell r="C54" t="str">
            <v>HOUSE REP/MNTC ALLW</v>
          </cell>
          <cell r="D54">
            <v>116330</v>
          </cell>
        </row>
        <row r="55">
          <cell r="A55" t="str">
            <v>B100</v>
          </cell>
          <cell r="B55">
            <v>4120192800</v>
          </cell>
          <cell r="C55" t="str">
            <v>SPECIAL ALLW</v>
          </cell>
          <cell r="D55">
            <v>15820</v>
          </cell>
        </row>
        <row r="56">
          <cell r="A56" t="str">
            <v>B100</v>
          </cell>
          <cell r="B56">
            <v>4120192820</v>
          </cell>
          <cell r="C56" t="str">
            <v>CONVEYANCE ALLW</v>
          </cell>
          <cell r="D56">
            <v>48500</v>
          </cell>
        </row>
        <row r="57">
          <cell r="A57" t="str">
            <v>B100</v>
          </cell>
          <cell r="B57">
            <v>4120192830</v>
          </cell>
          <cell r="C57" t="str">
            <v>COMP ALLW</v>
          </cell>
          <cell r="D57">
            <v>58900</v>
          </cell>
        </row>
        <row r="58">
          <cell r="A58" t="str">
            <v>B100</v>
          </cell>
          <cell r="B58">
            <v>4120192835</v>
          </cell>
          <cell r="C58" t="str">
            <v>Telephone Allowance</v>
          </cell>
          <cell r="D58">
            <v>6000</v>
          </cell>
        </row>
        <row r="59">
          <cell r="A59" t="str">
            <v>B100</v>
          </cell>
          <cell r="B59">
            <v>4120193100</v>
          </cell>
          <cell r="C59" t="str">
            <v>INT SUBSIDY</v>
          </cell>
          <cell r="D59">
            <v>3223</v>
          </cell>
        </row>
        <row r="60">
          <cell r="A60" t="str">
            <v>B100</v>
          </cell>
          <cell r="B60">
            <v>4120193110</v>
          </cell>
          <cell r="C60" t="str">
            <v>Other Allowances</v>
          </cell>
          <cell r="D60">
            <v>24200</v>
          </cell>
        </row>
        <row r="61">
          <cell r="A61" t="str">
            <v>B100</v>
          </cell>
          <cell r="B61">
            <v>4120291000</v>
          </cell>
          <cell r="C61" t="str">
            <v>LEAVE TRAVEL ASSISTA</v>
          </cell>
          <cell r="D61">
            <v>12050</v>
          </cell>
        </row>
        <row r="62">
          <cell r="A62" t="str">
            <v>B100</v>
          </cell>
          <cell r="B62">
            <v>4120291100</v>
          </cell>
          <cell r="C62" t="str">
            <v>MEDICAL EXP</v>
          </cell>
          <cell r="D62">
            <v>57738</v>
          </cell>
        </row>
        <row r="63">
          <cell r="A63" t="str">
            <v>B100</v>
          </cell>
          <cell r="B63">
            <v>4120292000</v>
          </cell>
          <cell r="C63" t="str">
            <v>SUNDRY WELFARE EXP</v>
          </cell>
          <cell r="D63">
            <v>27720</v>
          </cell>
        </row>
        <row r="64">
          <cell r="A64" t="str">
            <v>B100</v>
          </cell>
          <cell r="B64">
            <v>4120392100</v>
          </cell>
          <cell r="C64" t="str">
            <v>CO'S CONT PROVIDENT</v>
          </cell>
          <cell r="D64">
            <v>71052</v>
          </cell>
        </row>
        <row r="65">
          <cell r="A65" t="str">
            <v>B100</v>
          </cell>
          <cell r="B65">
            <v>4130294685</v>
          </cell>
          <cell r="C65" t="str">
            <v>UNCODED MATERIL 2910</v>
          </cell>
          <cell r="D65">
            <v>0</v>
          </cell>
        </row>
        <row r="66">
          <cell r="A66" t="str">
            <v>B100</v>
          </cell>
          <cell r="B66">
            <v>4130294700</v>
          </cell>
          <cell r="C66" t="str">
            <v>PETROL/DSL CONS 1400</v>
          </cell>
          <cell r="D66">
            <v>34110.31</v>
          </cell>
        </row>
        <row r="67">
          <cell r="A67" t="str">
            <v>B100</v>
          </cell>
          <cell r="B67">
            <v>4130294715</v>
          </cell>
          <cell r="C67" t="str">
            <v>SERV-UNCODED/ONE TM</v>
          </cell>
          <cell r="D67">
            <v>0</v>
          </cell>
        </row>
        <row r="68">
          <cell r="A68" t="str">
            <v>B100</v>
          </cell>
          <cell r="B68">
            <v>4130595800</v>
          </cell>
          <cell r="C68" t="str">
            <v>TRANSP VEH-REPAIRS</v>
          </cell>
          <cell r="D68">
            <v>11942</v>
          </cell>
        </row>
        <row r="69">
          <cell r="A69" t="str">
            <v>B100</v>
          </cell>
          <cell r="B69">
            <v>4130796400</v>
          </cell>
          <cell r="C69" t="str">
            <v>RT BUILDINGS</v>
          </cell>
          <cell r="D69">
            <v>967212</v>
          </cell>
        </row>
        <row r="70">
          <cell r="A70" t="str">
            <v>B100</v>
          </cell>
          <cell r="B70">
            <v>4131097600</v>
          </cell>
          <cell r="C70" t="str">
            <v>ELECTRICITY CONSUMED</v>
          </cell>
          <cell r="D70">
            <v>8376.7800000000007</v>
          </cell>
        </row>
        <row r="71">
          <cell r="A71" t="str">
            <v>B100</v>
          </cell>
          <cell r="B71">
            <v>4131097800</v>
          </cell>
          <cell r="C71" t="str">
            <v>OTHER FEES</v>
          </cell>
          <cell r="D71">
            <v>0</v>
          </cell>
        </row>
        <row r="72">
          <cell r="A72" t="str">
            <v>B100</v>
          </cell>
          <cell r="B72">
            <v>4131097900</v>
          </cell>
          <cell r="C72" t="str">
            <v>TELEPHONE CHG</v>
          </cell>
          <cell r="D72">
            <v>59993</v>
          </cell>
        </row>
        <row r="73">
          <cell r="A73" t="str">
            <v>B100</v>
          </cell>
          <cell r="B73">
            <v>4131098000</v>
          </cell>
          <cell r="C73" t="str">
            <v>STAMPS AND TELEGRAMS</v>
          </cell>
          <cell r="D73">
            <v>7067.51</v>
          </cell>
        </row>
        <row r="74">
          <cell r="A74" t="str">
            <v>B100</v>
          </cell>
          <cell r="B74">
            <v>4131098100</v>
          </cell>
          <cell r="C74" t="str">
            <v>PRINTING AND STN.</v>
          </cell>
          <cell r="D74">
            <v>102425.2</v>
          </cell>
        </row>
        <row r="75">
          <cell r="A75" t="str">
            <v>B100</v>
          </cell>
          <cell r="B75">
            <v>4131098200</v>
          </cell>
          <cell r="C75" t="str">
            <v>BOOKS AND PERIODICAL</v>
          </cell>
          <cell r="D75">
            <v>1881</v>
          </cell>
        </row>
        <row r="76">
          <cell r="A76" t="str">
            <v>B100</v>
          </cell>
          <cell r="B76">
            <v>4131098400</v>
          </cell>
          <cell r="C76" t="str">
            <v>ENTERTAINMENT</v>
          </cell>
          <cell r="D76">
            <v>1020</v>
          </cell>
        </row>
        <row r="77">
          <cell r="A77" t="str">
            <v>B100</v>
          </cell>
          <cell r="B77">
            <v>4131098600</v>
          </cell>
          <cell r="C77" t="str">
            <v>MISCELLANEOUS</v>
          </cell>
          <cell r="D77">
            <v>76487.77</v>
          </cell>
        </row>
        <row r="78">
          <cell r="A78" t="str">
            <v>B100</v>
          </cell>
          <cell r="B78">
            <v>4131098605</v>
          </cell>
          <cell r="C78" t="str">
            <v>Rounding Diff ExpA/C</v>
          </cell>
          <cell r="D78">
            <v>496.6</v>
          </cell>
        </row>
        <row r="79">
          <cell r="A79" t="str">
            <v>B100</v>
          </cell>
          <cell r="B79">
            <v>4131098610</v>
          </cell>
          <cell r="C79" t="str">
            <v>FOOD&amp;CONVEYANCE</v>
          </cell>
          <cell r="D79">
            <v>6400</v>
          </cell>
        </row>
        <row r="80">
          <cell r="A80" t="str">
            <v>B100</v>
          </cell>
          <cell r="B80">
            <v>4131098700</v>
          </cell>
          <cell r="C80" t="str">
            <v>BANK CHG</v>
          </cell>
          <cell r="D80">
            <v>4222</v>
          </cell>
        </row>
        <row r="81">
          <cell r="A81" t="str">
            <v>B100</v>
          </cell>
          <cell r="B81">
            <v>4131099100</v>
          </cell>
          <cell r="C81" t="str">
            <v>TRAVELLING EXP-INLAN</v>
          </cell>
          <cell r="D81">
            <v>9551</v>
          </cell>
        </row>
        <row r="82">
          <cell r="A82" t="str">
            <v>B100</v>
          </cell>
          <cell r="B82">
            <v>4131099300</v>
          </cell>
          <cell r="C82" t="str">
            <v>CONVEYANCE CHG</v>
          </cell>
          <cell r="D82">
            <v>27277</v>
          </cell>
        </row>
        <row r="83">
          <cell r="A83" t="str">
            <v>B100</v>
          </cell>
          <cell r="B83">
            <v>4131099520</v>
          </cell>
          <cell r="C83" t="str">
            <v>TRANSPORT CHARGES</v>
          </cell>
          <cell r="D83">
            <v>-1258</v>
          </cell>
        </row>
        <row r="84">
          <cell r="A84" t="str">
            <v>B100</v>
          </cell>
          <cell r="B84">
            <v>4131099700</v>
          </cell>
          <cell r="C84" t="str">
            <v>FURN/TLS &lt;.500) W/O</v>
          </cell>
          <cell r="D84">
            <v>4800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depnrates"/>
      <sheetName val="Sheet1"/>
      <sheetName val="INDEX"/>
      <sheetName val="May 05"/>
      <sheetName val="FAC (Running FAC)"/>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2001 02 Est.at Existing Tariff"/>
      <sheetName val="Financial Estimates"/>
      <sheetName val="Sheet1"/>
      <sheetName val="Sheet2"/>
      <sheetName val="Sheet3"/>
      <sheetName val="2001_02_Est_at_Existing_Tariff"/>
      <sheetName val="Financial_Estimates"/>
    </sheetNames>
    <sheetDataSet>
      <sheetData sheetId="0" refreshError="1"/>
      <sheetData sheetId="1" refreshError="1">
        <row r="271">
          <cell r="B271" t="str">
            <v>PURCHASE MVA /MONTH</v>
          </cell>
          <cell r="D271">
            <v>550</v>
          </cell>
        </row>
        <row r="273">
          <cell r="B273" t="str">
            <v>MONTHLY FIXED WLG.CHRGS.RECOVERABLE(Rs.LACS)</v>
          </cell>
          <cell r="D273">
            <v>67.11</v>
          </cell>
        </row>
        <row r="274">
          <cell r="B274" t="str">
            <v>MONTHLY FIXED WLG.CHARGES PAYABLE(Rs.LACS)</v>
          </cell>
          <cell r="D274">
            <v>67.11</v>
          </cell>
        </row>
        <row r="276">
          <cell r="B276" t="str">
            <v>% OF (U#5 + U#6+U#7) POWER WHEELED</v>
          </cell>
          <cell r="D276">
            <v>26</v>
          </cell>
        </row>
        <row r="278">
          <cell r="B278" t="str">
            <v>ENERGY LOSS IN WHEELING MSEB'S POWER (%)</v>
          </cell>
          <cell r="D278">
            <v>3.09</v>
          </cell>
        </row>
        <row r="279">
          <cell r="B279" t="str">
            <v>ENERGY LOSS IN WHEELING TPC'S POWER (%)</v>
          </cell>
          <cell r="D279">
            <v>2</v>
          </cell>
        </row>
        <row r="281">
          <cell r="B281" t="str">
            <v>PURCHASE ENERGY RATE (P/U)</v>
          </cell>
          <cell r="D281">
            <v>290</v>
          </cell>
        </row>
        <row r="282">
          <cell r="B282" t="str">
            <v>PURCHASE FAC RATE (P/U)</v>
          </cell>
          <cell r="D282">
            <v>0</v>
          </cell>
        </row>
        <row r="283">
          <cell r="B283" t="str">
            <v>ENERGY RATE FOR SALE TO MSEB (P/U)</v>
          </cell>
          <cell r="D283">
            <v>125.9</v>
          </cell>
        </row>
        <row r="284">
          <cell r="B284" t="str">
            <v>ENERGY RATE FOR SALE TO INTER STATE  UTILITIES (P/U)</v>
          </cell>
          <cell r="D284">
            <v>125.9</v>
          </cell>
        </row>
        <row r="285">
          <cell r="B285" t="str">
            <v>FAC RATE FOR SALE TO INTER STATE  UTILITIES (P/U)</v>
          </cell>
          <cell r="D285">
            <v>124.1</v>
          </cell>
        </row>
        <row r="286">
          <cell r="B286" t="str">
            <v>FAC RATE FOR SALE TO MSEB (P/U)</v>
          </cell>
          <cell r="D286">
            <v>124.1</v>
          </cell>
        </row>
        <row r="287">
          <cell r="B287" t="str">
            <v>PURCHASE MD RATE (Rs./KVA/MONTH)</v>
          </cell>
          <cell r="D287">
            <v>600</v>
          </cell>
        </row>
        <row r="289">
          <cell r="B289" t="str">
            <v>FUEL COST (Rs./MT) :</v>
          </cell>
        </row>
        <row r="290">
          <cell r="B290" t="str">
            <v>COAL</v>
          </cell>
          <cell r="D290">
            <v>2875</v>
          </cell>
        </row>
        <row r="291">
          <cell r="B291" t="str">
            <v>GAS</v>
          </cell>
          <cell r="D291">
            <v>4200</v>
          </cell>
        </row>
        <row r="292">
          <cell r="B292" t="str">
            <v>LSHS/ LSWR</v>
          </cell>
          <cell r="D292">
            <v>9760</v>
          </cell>
        </row>
        <row r="293">
          <cell r="B293" t="str">
            <v>-</v>
          </cell>
          <cell r="C293" t="str">
            <v>-</v>
          </cell>
          <cell r="D293" t="str">
            <v>-</v>
          </cell>
        </row>
        <row r="295">
          <cell r="B295" t="str">
            <v>Tariff :</v>
          </cell>
        </row>
        <row r="296">
          <cell r="C296" t="str">
            <v>MD</v>
          </cell>
          <cell r="D296" t="str">
            <v>RKVAH</v>
          </cell>
        </row>
        <row r="297">
          <cell r="C297" t="str">
            <v>(Rs./KVA)</v>
          </cell>
          <cell r="D297" t="str">
            <v>(P./RKVAH)</v>
          </cell>
        </row>
        <row r="298">
          <cell r="B298" t="str">
            <v>TEXTILES</v>
          </cell>
          <cell r="C298">
            <v>170</v>
          </cell>
          <cell r="D298">
            <v>0</v>
          </cell>
        </row>
        <row r="299">
          <cell r="B299" t="str">
            <v>HT INDUSTRIES</v>
          </cell>
          <cell r="C299">
            <v>170</v>
          </cell>
          <cell r="D299">
            <v>0</v>
          </cell>
        </row>
        <row r="300">
          <cell r="B300" t="str">
            <v>HT COMMERCIAL</v>
          </cell>
          <cell r="C300">
            <v>170</v>
          </cell>
          <cell r="D300">
            <v>0</v>
          </cell>
        </row>
        <row r="301">
          <cell r="B301" t="str">
            <v>LT INDUSTRIES (TWO PART TARIFF)</v>
          </cell>
          <cell r="C301">
            <v>175</v>
          </cell>
          <cell r="D301">
            <v>0</v>
          </cell>
        </row>
        <row r="302">
          <cell r="B302" t="str">
            <v>LT COMMERCIAL (TWO PART TARIFF)</v>
          </cell>
          <cell r="C302">
            <v>175</v>
          </cell>
          <cell r="D302">
            <v>0</v>
          </cell>
        </row>
        <row r="303">
          <cell r="B303" t="str">
            <v>RAILWAYS</v>
          </cell>
          <cell r="C303">
            <v>170</v>
          </cell>
          <cell r="D303">
            <v>0</v>
          </cell>
        </row>
        <row r="304">
          <cell r="B304" t="str">
            <v>BEST</v>
          </cell>
          <cell r="C304">
            <v>170</v>
          </cell>
          <cell r="D304">
            <v>0</v>
          </cell>
        </row>
        <row r="305">
          <cell r="B305" t="str">
            <v>BSES (22/33 KV)</v>
          </cell>
          <cell r="C305">
            <v>200</v>
          </cell>
          <cell r="D305">
            <v>0</v>
          </cell>
        </row>
        <row r="306">
          <cell r="B306" t="str">
            <v>BSES (220 KV)</v>
          </cell>
          <cell r="D306">
            <v>0</v>
          </cell>
        </row>
        <row r="307">
          <cell r="B307" t="str">
            <v>MSEB 22 KV</v>
          </cell>
          <cell r="D307">
            <v>0</v>
          </cell>
        </row>
        <row r="308">
          <cell r="B308" t="str">
            <v>ENERGY RATE (P/KWH) :</v>
          </cell>
        </row>
        <row r="309">
          <cell r="B309" t="str">
            <v>TEXTILES</v>
          </cell>
          <cell r="C309">
            <v>197</v>
          </cell>
        </row>
        <row r="310">
          <cell r="B310" t="str">
            <v>HT INDUSTRIES</v>
          </cell>
          <cell r="C310">
            <v>197</v>
          </cell>
        </row>
        <row r="311">
          <cell r="B311" t="str">
            <v>HT COMMERCIAL</v>
          </cell>
          <cell r="C311">
            <v>197</v>
          </cell>
        </row>
        <row r="312">
          <cell r="B312" t="str">
            <v>LT INDUSTRIES (SINGLE PART TARIFF)</v>
          </cell>
          <cell r="C312">
            <v>272</v>
          </cell>
        </row>
        <row r="313">
          <cell r="B313" t="str">
            <v>LT INDUSTRIES (TWO PART TARIFF)</v>
          </cell>
          <cell r="C313">
            <v>202</v>
          </cell>
        </row>
        <row r="314">
          <cell r="B314" t="str">
            <v>LT COMMERCIAL (SINGLE PART TARIFF)</v>
          </cell>
          <cell r="C314">
            <v>272</v>
          </cell>
        </row>
        <row r="315">
          <cell r="B315" t="str">
            <v>LT COMMERCIAL (TWO PART TARIFF)</v>
          </cell>
          <cell r="C315">
            <v>202</v>
          </cell>
        </row>
        <row r="316">
          <cell r="B316" t="str">
            <v>RESIDENTIAL</v>
          </cell>
          <cell r="C316">
            <v>212.75</v>
          </cell>
        </row>
        <row r="317">
          <cell r="B317" t="str">
            <v>RAILWAYS</v>
          </cell>
          <cell r="C317">
            <v>197</v>
          </cell>
        </row>
        <row r="318">
          <cell r="B318" t="str">
            <v>BEST</v>
          </cell>
          <cell r="C318">
            <v>177</v>
          </cell>
        </row>
        <row r="319">
          <cell r="B319" t="str">
            <v>BSES</v>
          </cell>
          <cell r="C319">
            <v>177</v>
          </cell>
        </row>
        <row r="320">
          <cell r="B320" t="str">
            <v>BSES 220 KV</v>
          </cell>
          <cell r="C320">
            <v>209</v>
          </cell>
        </row>
        <row r="321">
          <cell r="B321" t="str">
            <v>BASIC COST OF FUEL (Rs./MKCL)</v>
          </cell>
          <cell r="C321">
            <v>325</v>
          </cell>
        </row>
        <row r="322">
          <cell r="B322" t="str">
            <v>-</v>
          </cell>
        </row>
        <row r="323">
          <cell r="B323" t="str">
            <v>CALORIFIC VALUES (MKCL/MT) :</v>
          </cell>
        </row>
        <row r="324">
          <cell r="B324" t="str">
            <v>COAL</v>
          </cell>
          <cell r="C324">
            <v>5.1278223000000001</v>
          </cell>
        </row>
        <row r="325">
          <cell r="B325" t="str">
            <v>GAS</v>
          </cell>
          <cell r="C325">
            <v>13</v>
          </cell>
        </row>
        <row r="326">
          <cell r="B326" t="str">
            <v>LSHS/ LSWR</v>
          </cell>
          <cell r="C326">
            <v>10.5</v>
          </cell>
        </row>
        <row r="328">
          <cell r="B328" t="str">
            <v>HEAT RATES &amp; AUXILIARY CONSUMPTION</v>
          </cell>
          <cell r="C328" t="str">
            <v>HEAT RATE</v>
          </cell>
          <cell r="D328" t="str">
            <v>AUX.CONS.</v>
          </cell>
        </row>
        <row r="329">
          <cell r="C329" t="str">
            <v>MKCL/MU</v>
          </cell>
          <cell r="D329" t="str">
            <v>(%)</v>
          </cell>
        </row>
        <row r="330">
          <cell r="B330" t="str">
            <v>------------------------------------</v>
          </cell>
          <cell r="C330" t="str">
            <v>-</v>
          </cell>
          <cell r="D330" t="str">
            <v>-</v>
          </cell>
        </row>
        <row r="332">
          <cell r="B332" t="str">
            <v>UNIT NO.4</v>
          </cell>
          <cell r="C332">
            <v>2600</v>
          </cell>
          <cell r="D332">
            <v>10</v>
          </cell>
        </row>
        <row r="333">
          <cell r="B333" t="str">
            <v>UNIT NO.5</v>
          </cell>
          <cell r="C333">
            <v>2430</v>
          </cell>
          <cell r="D333">
            <v>5</v>
          </cell>
        </row>
        <row r="334">
          <cell r="B334" t="str">
            <v>UNIT NO.6</v>
          </cell>
          <cell r="C334">
            <v>2380</v>
          </cell>
          <cell r="D334">
            <v>4</v>
          </cell>
        </row>
        <row r="335">
          <cell r="B335" t="str">
            <v>UNIT NO.7 AS GT</v>
          </cell>
          <cell r="C335">
            <v>2850</v>
          </cell>
          <cell r="D335">
            <v>2.1</v>
          </cell>
        </row>
        <row r="336">
          <cell r="B336" t="str">
            <v>UNIT NO.7</v>
          </cell>
          <cell r="C336">
            <v>2000</v>
          </cell>
          <cell r="D336">
            <v>2</v>
          </cell>
        </row>
        <row r="337">
          <cell r="B337" t="str">
            <v>HYDRO</v>
          </cell>
          <cell r="D337">
            <v>0.5</v>
          </cell>
        </row>
        <row r="339">
          <cell r="B339" t="str">
            <v>TAXABLE SALES</v>
          </cell>
          <cell r="C339">
            <v>91</v>
          </cell>
          <cell r="D339" t="str">
            <v>%</v>
          </cell>
        </row>
        <row r="340">
          <cell r="B340" t="str">
            <v xml:space="preserve">TAX ON  SALE RATE </v>
          </cell>
          <cell r="C340">
            <v>15</v>
          </cell>
          <cell r="D340" t="str">
            <v>(P/KWH)</v>
          </cell>
        </row>
        <row r="342">
          <cell r="B342" t="str">
            <v>T T &amp; D LOSSES</v>
          </cell>
          <cell r="C342">
            <v>2.2999999999999998</v>
          </cell>
          <cell r="D342" t="str">
            <v>%</v>
          </cell>
        </row>
      </sheetData>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공통데이터"/>
      <sheetName val="자재리스트"/>
      <sheetName val="제작데이터"/>
      <sheetName val="타부서집계표"/>
      <sheetName val="개요"/>
      <sheetName val="결재"/>
      <sheetName val="대비"/>
      <sheetName val="변동"/>
      <sheetName val="적용내역데이터"/>
      <sheetName val="세부내역"/>
      <sheetName val="1"/>
      <sheetName val="집계표"/>
      <sheetName val="생산목표"/>
      <sheetName val="제품별부문원가"/>
      <sheetName val="제품별제조원가"/>
      <sheetName val="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3">
          <cell r="D23">
            <v>699.42</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sheetData>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LA-ARR-PU"/>
      <sheetName val="Company-Base"/>
      <sheetName val="License Area"/>
      <sheetName val="LA-PU"/>
      <sheetName val="LA-PU (AJE)"/>
      <sheetName val="LA-Revenue"/>
      <sheetName val="ABP Input"/>
      <sheetName val="financial data"/>
      <sheetName val="Notional Int"/>
      <sheetName val="LA-ARR"/>
      <sheetName val="LA-ARR FY07"/>
      <sheetName val="LA-ARR-PU FY07"/>
      <sheetName val="LA-ARR-PU "/>
      <sheetName val="Co. Graphs"/>
      <sheetName val="OB Graphs"/>
      <sheetName val="License_Area"/>
      <sheetName val="LA-PU_(AJE)"/>
      <sheetName val="ABP_Input"/>
      <sheetName val="financial_data"/>
      <sheetName val="Notional_Int"/>
      <sheetName val="LA-ARR_FY07"/>
      <sheetName val="LA-ARR-PU_FY07"/>
      <sheetName val="LA-ARR-PU_"/>
      <sheetName val="Co__Graphs"/>
      <sheetName val="OB_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MASTER"/>
      <sheetName val="Sheet1"/>
      <sheetName val="WOrking"/>
    </sheetNames>
    <sheetDataSet>
      <sheetData sheetId="0" refreshError="1"/>
      <sheetData sheetId="1" refreshError="1"/>
      <sheetData sheetId="2"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Final Tax Sheet"/>
      <sheetName val="Movement"/>
      <sheetName val="FX Gain"/>
      <sheetName val="PBT Movement"/>
      <sheetName val="Scope of Work"/>
      <sheetName val="MIS Comparison"/>
      <sheetName val="Effective Tax Rate"/>
      <sheetName val="Tax Computation"/>
      <sheetName val="New Projects"/>
      <sheetName val="IT Depreciation"/>
      <sheetName val="fcgain"/>
      <sheetName val="FX Gain (2)"/>
      <sheetName val="Exempt Income"/>
      <sheetName val="Depreciation workings"/>
      <sheetName val="LA-80IA"/>
      <sheetName val="MAT (March 07)"/>
      <sheetName val="MAT Credit"/>
      <sheetName val="CAPEX Details"/>
      <sheetName val="XREF"/>
      <sheetName val="Tickmarks"/>
      <sheetName val="Depr_Mar"/>
      <sheetName val="Capitalisation"/>
      <sheetName val="PBT"/>
      <sheetName val="Foreign Exch Gain"/>
      <sheetName val="FBT"/>
      <sheetName val="def tax 08"/>
      <sheetName val="Actual Tax Depreciation Wkg."/>
      <sheetName val="CAPEX Summary"/>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sheetData sheetId="11" refreshError="1"/>
      <sheetData sheetId="12"/>
      <sheetData sheetId="13"/>
      <sheetData sheetId="14" refreshError="1"/>
      <sheetData sheetId="15" refreshError="1"/>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견적서(제출용)"/>
      <sheetName val="견적원가"/>
      <sheetName val="견적기준"/>
      <sheetName val="RATE"/>
      <sheetName val="견적서"/>
      <sheetName val="Sep WorkSheet"/>
    </sheetNames>
    <sheetDataSet>
      <sheetData sheetId="0"/>
      <sheetData sheetId="1"/>
      <sheetData sheetId="2"/>
      <sheetData sheetId="3"/>
      <sheetData sheetId="4"/>
      <sheetData sheetId="5"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규격"/>
      <sheetName val="표준"/>
      <sheetName val="재료조서DB"/>
      <sheetName val="재료조서"/>
      <sheetName val="자동필터(토탈)"/>
      <sheetName val="자동필터(앵글)"/>
      <sheetName val="자동필터(볼트,플레이트)"/>
      <sheetName val="200 X 20"/>
      <sheetName val="Sheet3"/>
      <sheetName val="피벗"/>
      <sheetName val="200_X_20"/>
      <sheetName val="견적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기준표"/>
      <sheetName val="44-UBOLT"/>
      <sheetName val="44-STRAP"/>
      <sheetName val="46TYPE"/>
      <sheetName val="EYE-PLATE"/>
    </sheetNames>
    <sheetDataSet>
      <sheetData sheetId="0" refreshError="1">
        <row r="1">
          <cell r="A1" t="str">
            <v>구분</v>
          </cell>
          <cell r="B1" t="str">
            <v>단가</v>
          </cell>
          <cell r="C1" t="str">
            <v>단가 기준</v>
          </cell>
        </row>
        <row r="2">
          <cell r="A2" t="str">
            <v>A36</v>
          </cell>
          <cell r="B2">
            <v>450</v>
          </cell>
          <cell r="C2" t="str">
            <v>KG당 단가</v>
          </cell>
        </row>
        <row r="3">
          <cell r="A3" t="str">
            <v>A387-11</v>
          </cell>
          <cell r="B3">
            <v>2200</v>
          </cell>
          <cell r="C3" t="str">
            <v>KG당 단가</v>
          </cell>
        </row>
        <row r="4">
          <cell r="A4" t="str">
            <v>A387-22</v>
          </cell>
          <cell r="B4">
            <v>2200</v>
          </cell>
          <cell r="C4" t="str">
            <v>KG당 단가</v>
          </cell>
        </row>
        <row r="5">
          <cell r="A5" t="str">
            <v>A516-70</v>
          </cell>
          <cell r="B5">
            <v>550</v>
          </cell>
          <cell r="C5" t="str">
            <v>KG당 단가</v>
          </cell>
        </row>
      </sheetData>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laroux"/>
      <sheetName val="FURNACE현설내역"/>
      <sheetName val=" FURNACE현설"/>
      <sheetName val="furnace-equip."/>
    </sheetNames>
    <sheetDataSet>
      <sheetData sheetId="0" refreshError="1"/>
      <sheetData sheetId="1" refreshError="1"/>
      <sheetData sheetId="2" refreshError="1">
        <row r="1">
          <cell r="B1" t="str">
            <v>COST BREAKDOWN SHEET</v>
          </cell>
        </row>
        <row r="2">
          <cell r="A2" t="str">
            <v>AREA: FURNACE AREA</v>
          </cell>
        </row>
        <row r="3">
          <cell r="A3" t="str">
            <v>DESCRIPTION</v>
          </cell>
          <cell r="B3" t="str">
            <v>UNIT</v>
          </cell>
          <cell r="C3" t="str">
            <v>Q'TY</v>
          </cell>
          <cell r="D3" t="str">
            <v xml:space="preserve">     MAT'L COST</v>
          </cell>
          <cell r="F3" t="str">
            <v xml:space="preserve">  LABOR COST</v>
          </cell>
          <cell r="H3" t="str">
            <v xml:space="preserve">     C/EQUIP COST</v>
          </cell>
          <cell r="J3" t="str">
            <v xml:space="preserve">    TOTAL</v>
          </cell>
          <cell r="K3" t="str">
            <v/>
          </cell>
        </row>
        <row r="4">
          <cell r="D4" t="str">
            <v>U/PRICE</v>
          </cell>
          <cell r="E4" t="str">
            <v>AMOUNT</v>
          </cell>
          <cell r="F4" t="str">
            <v>U/PRICE</v>
          </cell>
          <cell r="G4" t="str">
            <v>AMOUNT</v>
          </cell>
          <cell r="H4" t="str">
            <v>U/PRICE</v>
          </cell>
          <cell r="I4" t="str">
            <v>AMOUNT</v>
          </cell>
          <cell r="J4" t="str">
            <v>U/PRICE</v>
          </cell>
          <cell r="K4" t="str">
            <v>AMOUNT</v>
          </cell>
        </row>
        <row r="5">
          <cell r="A5" t="str">
            <v>A. EQUIPMENT STRUCTURE</v>
          </cell>
        </row>
        <row r="6">
          <cell r="A6" t="str">
            <v xml:space="preserve"> 1)MAIN STRUCTURE</v>
          </cell>
          <cell r="B6" t="str">
            <v>TON</v>
          </cell>
          <cell r="C6">
            <v>41</v>
          </cell>
        </row>
        <row r="7">
          <cell r="A7" t="str">
            <v xml:space="preserve"> 2)PLATFORM &amp; STAIR (C/S)</v>
          </cell>
          <cell r="B7" t="str">
            <v>TON</v>
          </cell>
          <cell r="C7">
            <v>2</v>
          </cell>
          <cell r="H7" t="str">
            <v/>
          </cell>
          <cell r="I7" t="str">
            <v/>
          </cell>
        </row>
        <row r="8">
          <cell r="A8" t="str">
            <v xml:space="preserve"> 3)PLATFORM &amp; STAIR (SUS)</v>
          </cell>
          <cell r="B8" t="str">
            <v>TON</v>
          </cell>
          <cell r="C8">
            <v>2</v>
          </cell>
          <cell r="F8" t="str">
            <v/>
          </cell>
          <cell r="H8" t="str">
            <v/>
          </cell>
          <cell r="I8" t="str">
            <v/>
          </cell>
        </row>
        <row r="9">
          <cell r="A9" t="str">
            <v xml:space="preserve"> 4)Handrail &amp; ladder fab.&amp;install.</v>
          </cell>
          <cell r="B9" t="str">
            <v>TON</v>
          </cell>
          <cell r="C9">
            <v>3</v>
          </cell>
        </row>
        <row r="10">
          <cell r="A10" t="str">
            <v xml:space="preserve"> 5)Grating install.</v>
          </cell>
          <cell r="B10" t="str">
            <v>TON</v>
          </cell>
          <cell r="C10">
            <v>5</v>
          </cell>
        </row>
        <row r="11">
          <cell r="A11" t="str">
            <v xml:space="preserve"> 6)H.T bolt,nut &amp; machine bolt,nut</v>
          </cell>
          <cell r="B11" t="str">
            <v>TON</v>
          </cell>
          <cell r="C11">
            <v>53</v>
          </cell>
        </row>
        <row r="12">
          <cell r="A12" t="str">
            <v>Sub-total</v>
          </cell>
          <cell r="C12">
            <v>53</v>
          </cell>
          <cell r="F12" t="str">
            <v/>
          </cell>
          <cell r="H12" t="str">
            <v/>
          </cell>
          <cell r="I12" t="str">
            <v/>
          </cell>
        </row>
        <row r="13">
          <cell r="F13" t="str">
            <v/>
          </cell>
          <cell r="H13" t="str">
            <v/>
          </cell>
          <cell r="I13" t="str">
            <v/>
          </cell>
        </row>
        <row r="14">
          <cell r="F14" t="str">
            <v/>
          </cell>
          <cell r="H14" t="str">
            <v/>
          </cell>
          <cell r="I14" t="str">
            <v/>
          </cell>
        </row>
        <row r="15">
          <cell r="A15" t="str">
            <v>B.PLATFORM &amp; LADDER FOR TOWER(SUS)</v>
          </cell>
          <cell r="F15" t="str">
            <v/>
          </cell>
          <cell r="H15" t="str">
            <v/>
          </cell>
          <cell r="I15" t="str">
            <v/>
          </cell>
        </row>
        <row r="16">
          <cell r="A16" t="str">
            <v xml:space="preserve"> 1)PLATFORM &amp; STAIR</v>
          </cell>
          <cell r="B16" t="str">
            <v>TON</v>
          </cell>
          <cell r="C16">
            <v>3</v>
          </cell>
          <cell r="F16" t="str">
            <v/>
          </cell>
          <cell r="H16" t="str">
            <v/>
          </cell>
          <cell r="I16" t="str">
            <v/>
          </cell>
        </row>
        <row r="17">
          <cell r="A17" t="str">
            <v xml:space="preserve"> 2)HANDRAIL &amp; LADDER</v>
          </cell>
          <cell r="B17" t="str">
            <v>TON</v>
          </cell>
          <cell r="C17">
            <v>3</v>
          </cell>
          <cell r="F17" t="str">
            <v/>
          </cell>
          <cell r="H17" t="str">
            <v/>
          </cell>
          <cell r="I17" t="str">
            <v/>
          </cell>
        </row>
        <row r="18">
          <cell r="A18" t="str">
            <v xml:space="preserve"> 3)H.T bolt,nut &amp; machine bolt,nut</v>
          </cell>
          <cell r="B18" t="str">
            <v>TON</v>
          </cell>
          <cell r="C18">
            <v>6</v>
          </cell>
        </row>
        <row r="19">
          <cell r="A19" t="str">
            <v>Sub-total</v>
          </cell>
          <cell r="C19">
            <v>6</v>
          </cell>
          <cell r="F19" t="str">
            <v/>
          </cell>
          <cell r="H19" t="str">
            <v/>
          </cell>
          <cell r="I19" t="str">
            <v/>
          </cell>
        </row>
        <row r="20">
          <cell r="F20" t="str">
            <v/>
          </cell>
          <cell r="H20" t="str">
            <v/>
          </cell>
          <cell r="I20" t="str">
            <v/>
          </cell>
        </row>
        <row r="21">
          <cell r="H21" t="str">
            <v/>
          </cell>
          <cell r="I21" t="str">
            <v/>
          </cell>
        </row>
        <row r="22">
          <cell r="A22" t="str">
            <v>GRAND TOTAL</v>
          </cell>
          <cell r="C22">
            <v>59</v>
          </cell>
          <cell r="H22" t="str">
            <v/>
          </cell>
          <cell r="I22" t="str">
            <v/>
          </cell>
        </row>
      </sheetData>
      <sheetData sheetId="3"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예제"/>
      <sheetName val="Sheet2"/>
      <sheetName val="Sheet3"/>
      <sheetName val=" FURNACE현설"/>
    </sheetNames>
    <sheetDataSet>
      <sheetData sheetId="0" refreshError="1">
        <row r="1">
          <cell r="C1" t="str">
            <v>농산물</v>
          </cell>
        </row>
        <row r="15">
          <cell r="A15">
            <v>3</v>
          </cell>
        </row>
      </sheetData>
      <sheetData sheetId="1" refreshError="1"/>
      <sheetData sheetId="2" refreshError="1"/>
      <sheetData sheetId="3"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MOB-MAN1"/>
    </sheetNames>
    <sheetDataSet>
      <sheetData sheetId="0" refreshError="1">
        <row r="40">
          <cell r="D40" t="str">
            <v>96.05.26</v>
          </cell>
          <cell r="H40">
            <v>35172</v>
          </cell>
          <cell r="K40" t="str">
            <v xml:space="preserve"> </v>
          </cell>
          <cell r="T40" t="str">
            <v>LCL</v>
          </cell>
          <cell r="U40" t="str">
            <v>Mongkol</v>
          </cell>
          <cell r="X40">
            <v>35440</v>
          </cell>
          <cell r="AG40">
            <v>35198</v>
          </cell>
          <cell r="AW40">
            <v>35093</v>
          </cell>
        </row>
        <row r="41">
          <cell r="D41" t="str">
            <v>LCL</v>
          </cell>
          <cell r="E41" t="str">
            <v>Somsak</v>
          </cell>
          <cell r="G41" t="str">
            <v xml:space="preserve"> </v>
          </cell>
          <cell r="K41" t="str">
            <v xml:space="preserve"> </v>
          </cell>
          <cell r="P41" t="str">
            <v>Tank / Lining</v>
          </cell>
          <cell r="T41">
            <v>35363</v>
          </cell>
          <cell r="X41" t="str">
            <v>LCL</v>
          </cell>
          <cell r="Y41" t="str">
            <v>Prasit</v>
          </cell>
          <cell r="AG41" t="str">
            <v>TCN</v>
          </cell>
          <cell r="AH41" t="str">
            <v>O. Gomez</v>
          </cell>
          <cell r="AW41" t="str">
            <v>LCL</v>
          </cell>
          <cell r="AX41" t="str">
            <v>Manusak</v>
          </cell>
        </row>
        <row r="42">
          <cell r="D42" t="str">
            <v>95.12.25</v>
          </cell>
          <cell r="G42" t="str">
            <v xml:space="preserve"> </v>
          </cell>
          <cell r="H42" t="str">
            <v>Q   /   S</v>
          </cell>
          <cell r="K42" t="str">
            <v xml:space="preserve"> </v>
          </cell>
          <cell r="P42" t="str">
            <v>GJ</v>
          </cell>
          <cell r="Q42" t="str">
            <v>강 민 형</v>
          </cell>
          <cell r="T42" t="str">
            <v>LCL</v>
          </cell>
          <cell r="U42" t="str">
            <v>Nattaphong</v>
          </cell>
          <cell r="X42">
            <v>35440</v>
          </cell>
          <cell r="AG42">
            <v>35183</v>
          </cell>
          <cell r="AW42">
            <v>35268</v>
          </cell>
        </row>
        <row r="43">
          <cell r="D43" t="str">
            <v>LCL</v>
          </cell>
          <cell r="E43" t="str">
            <v>Samart</v>
          </cell>
          <cell r="G43" t="str">
            <v xml:space="preserve"> </v>
          </cell>
          <cell r="H43" t="str">
            <v>TCN</v>
          </cell>
          <cell r="I43" t="str">
            <v xml:space="preserve">  S. ROWE</v>
          </cell>
          <cell r="K43" t="str">
            <v xml:space="preserve"> </v>
          </cell>
          <cell r="P43" t="str">
            <v>95.03.08 / 95.09.14</v>
          </cell>
          <cell r="T43">
            <v>35366</v>
          </cell>
          <cell r="X43" t="str">
            <v>LCL</v>
          </cell>
          <cell r="Y43" t="str">
            <v>Chalit</v>
          </cell>
          <cell r="AG43" t="str">
            <v>TCN</v>
          </cell>
          <cell r="AH43" t="str">
            <v>Rozario</v>
          </cell>
          <cell r="AW43" t="str">
            <v>LCL</v>
          </cell>
          <cell r="AX43" t="str">
            <v>Mankiet</v>
          </cell>
        </row>
        <row r="44">
          <cell r="D44" t="str">
            <v>96.02.05</v>
          </cell>
          <cell r="G44" t="str">
            <v xml:space="preserve"> </v>
          </cell>
          <cell r="H44">
            <v>34895</v>
          </cell>
          <cell r="K44" t="str">
            <v xml:space="preserve"> </v>
          </cell>
          <cell r="P44" t="str">
            <v>LCL</v>
          </cell>
          <cell r="Q44" t="str">
            <v>Prong</v>
          </cell>
          <cell r="T44" t="str">
            <v>TCN</v>
          </cell>
          <cell r="U44" t="str">
            <v>A. Tiongo</v>
          </cell>
          <cell r="X44">
            <v>35445</v>
          </cell>
          <cell r="AG44">
            <v>35258</v>
          </cell>
          <cell r="AW44">
            <v>35205</v>
          </cell>
        </row>
        <row r="45">
          <cell r="D45" t="str">
            <v>LCL</v>
          </cell>
          <cell r="E45" t="str">
            <v>Sathian</v>
          </cell>
          <cell r="G45" t="str">
            <v xml:space="preserve"> </v>
          </cell>
          <cell r="K45" t="str">
            <v xml:space="preserve"> </v>
          </cell>
          <cell r="P45">
            <v>35044</v>
          </cell>
          <cell r="T45">
            <v>35357</v>
          </cell>
          <cell r="X45" t="str">
            <v>LCL</v>
          </cell>
          <cell r="Y45" t="str">
            <v>Kritsada</v>
          </cell>
          <cell r="AG45" t="str">
            <v>TCN</v>
          </cell>
          <cell r="AH45" t="str">
            <v>E. Magadia</v>
          </cell>
          <cell r="AW45" t="str">
            <v>LCL</v>
          </cell>
          <cell r="AX45" t="str">
            <v>Phichet</v>
          </cell>
        </row>
        <row r="46">
          <cell r="D46">
            <v>35328</v>
          </cell>
          <cell r="G46" t="str">
            <v xml:space="preserve"> </v>
          </cell>
          <cell r="K46" t="str">
            <v xml:space="preserve"> </v>
          </cell>
          <cell r="P46" t="str">
            <v>LCL</v>
          </cell>
          <cell r="Q46" t="str">
            <v>Swan</v>
          </cell>
          <cell r="T46" t="str">
            <v>LCL</v>
          </cell>
          <cell r="U46" t="str">
            <v>Suchart</v>
          </cell>
          <cell r="X46">
            <v>35450</v>
          </cell>
          <cell r="AG46">
            <v>35469</v>
          </cell>
          <cell r="AW46">
            <v>35115</v>
          </cell>
        </row>
        <row r="47">
          <cell r="G47" t="str">
            <v xml:space="preserve"> </v>
          </cell>
          <cell r="K47" t="str">
            <v xml:space="preserve"> </v>
          </cell>
          <cell r="P47">
            <v>35464</v>
          </cell>
          <cell r="T47">
            <v>35450</v>
          </cell>
          <cell r="X47" t="str">
            <v>LCL</v>
          </cell>
          <cell r="Y47" t="str">
            <v>Pasathorn</v>
          </cell>
          <cell r="AG47" t="str">
            <v>TCN</v>
          </cell>
          <cell r="AH47" t="str">
            <v>M. Clay</v>
          </cell>
          <cell r="AW47" t="str">
            <v>LCL</v>
          </cell>
          <cell r="AX47" t="str">
            <v>Watcharin</v>
          </cell>
        </row>
        <row r="48">
          <cell r="D48" t="str">
            <v>業           務</v>
          </cell>
          <cell r="G48" t="str">
            <v xml:space="preserve"> </v>
          </cell>
          <cell r="K48" t="str">
            <v xml:space="preserve"> </v>
          </cell>
          <cell r="X48">
            <v>35457</v>
          </cell>
          <cell r="AG48">
            <v>35247</v>
          </cell>
          <cell r="AW48">
            <v>35443</v>
          </cell>
        </row>
        <row r="49">
          <cell r="D49" t="str">
            <v>DR</v>
          </cell>
          <cell r="E49" t="str">
            <v>김 주 범</v>
          </cell>
          <cell r="G49" t="str">
            <v xml:space="preserve"> </v>
          </cell>
          <cell r="K49" t="str">
            <v xml:space="preserve"> </v>
          </cell>
          <cell r="P49" t="str">
            <v>保溫 / 途裝</v>
          </cell>
          <cell r="X49" t="str">
            <v>LCL</v>
          </cell>
          <cell r="Y49" t="str">
            <v>Somsak</v>
          </cell>
          <cell r="AW49" t="str">
            <v>LCL</v>
          </cell>
          <cell r="AX49" t="str">
            <v>Thanin</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ndex"/>
      <sheetName val="Flash"/>
      <sheetName val="MIS - License Area"/>
      <sheetName val="Tariffs"/>
      <sheetName val="Assumption Sheet"/>
      <sheetName val="Sales Growth Assumptions"/>
      <sheetName val="Rev Analysis"/>
      <sheetName val="Annual Sales"/>
      <sheetName val="Monthly Sales FY06 07 08"/>
      <sheetName val="ABP FY06 Summary (No TOSE)"/>
      <sheetName val="ABP FY07 Summary (No TOSE)"/>
      <sheetName val="ABP FY08 Summary (No TOSE)"/>
      <sheetName val="Monthly-Revenue (No TOSE)"/>
      <sheetName val="ABP FY06 Summary (TOSE)"/>
      <sheetName val="Summary-Tariffs"/>
      <sheetName val="Gen FY06"/>
      <sheetName val="FAC Computation-FY06"/>
      <sheetName val="FAC Computation-FY06 (No VAT)"/>
      <sheetName val="FB-FY06"/>
      <sheetName val="VAT_Excise"/>
      <sheetName val="PP FY06"/>
      <sheetName val="PRICE &amp; CV"/>
      <sheetName val="Monthly-Sales"/>
      <sheetName val="Monthly-En Ch"/>
      <sheetName val="Monthly-MD Ch"/>
      <sheetName val="Monthly-FAC Ch"/>
      <sheetName val="Monthly-TOSE Ch"/>
      <sheetName val="Monthly-Revenue (TOSE)"/>
      <sheetName val="Gen FY07"/>
      <sheetName val="FAC Computation-FY07"/>
      <sheetName val="FB-FY07"/>
      <sheetName val="PP FY07"/>
      <sheetName val="FAC Computation-FY08"/>
      <sheetName val="Gen FY08"/>
      <sheetName val="FB-FY08"/>
      <sheetName val="PP FY08"/>
      <sheetName val="Annual - MVA"/>
      <sheetName val="Sum S&amp;R(FY04)"/>
      <sheetName val="Sum S&amp;R (FY05-H1 &amp; H2)"/>
      <sheetName val="Monthly-MVA"/>
      <sheetName val="ED Computation"/>
      <sheetName val="Sum S&amp;R (FY06)"/>
      <sheetName val="Sum-S&amp;R"/>
      <sheetName val="Old Fuel Budget"/>
      <sheetName val="GEN"/>
      <sheetName val="Annual Summary"/>
      <sheetName val="New Cust-CDD"/>
      <sheetName val="MSEB"/>
      <sheetName val="B22"/>
      <sheetName val="B100"/>
      <sheetName val="BE_d"/>
      <sheetName val="REL"/>
      <sheetName val="REL Steps"/>
      <sheetName val="Rl22"/>
      <sheetName val="Rl100"/>
      <sheetName val="RT"/>
      <sheetName val="HT-I"/>
      <sheetName val="HT-C"/>
      <sheetName val="P22"/>
      <sheetName val="P100"/>
      <sheetName val="CPP"/>
      <sheetName val="T"/>
      <sheetName val="Sales FY05"/>
      <sheetName val="En Ch FY05"/>
      <sheetName val="MD Ch FY05"/>
      <sheetName val="FAC Ch FY05"/>
      <sheetName val="REL Steps (2)"/>
      <sheetName val="2PI"/>
      <sheetName val="2PC"/>
      <sheetName val="1PI"/>
      <sheetName val="1PC"/>
      <sheetName val="R"/>
      <sheetName val="Commercial"/>
      <sheetName val="Public"/>
      <sheetName val="HT+CPP"/>
      <sheetName val="Sheet1"/>
      <sheetName val="Licencees"/>
      <sheetName val="Sheet2"/>
      <sheetName val="HT Public-cust"/>
      <sheetName val="BEST-100kV"/>
      <sheetName val="Sheet4"/>
      <sheetName val="MD-9899"/>
      <sheetName val="99-00"/>
      <sheetName val="00-01"/>
      <sheetName val="01-02"/>
      <sheetName val="02-03"/>
      <sheetName val="03-04"/>
      <sheetName val="04-05"/>
      <sheetName val="Gen Sch (Revi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소화실적"/>
      <sheetName val="MOB-MAN1"/>
    </sheetNames>
    <sheetDataSet>
      <sheetData sheetId="0"/>
      <sheetData sheetId="1"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제작_분석"/>
      <sheetName val="예량가_분석"/>
      <sheetName val="Bestpro입력"/>
      <sheetName val="보고용"/>
      <sheetName val="임율 Data"/>
      <sheetName val="Sandhill"/>
      <sheetName val="신임율적용_검토안"/>
      <sheetName val="Ship &amp; Lifting"/>
      <sheetName val="Harp_견적기준"/>
      <sheetName val="Harp_Att"/>
      <sheetName val="Harp_적용"/>
      <sheetName val="Header_견적기준"/>
      <sheetName val="Header_Att"/>
      <sheetName val="Header_적용"/>
    </sheetNames>
    <sheetDataSet>
      <sheetData sheetId="0" refreshError="1"/>
      <sheetData sheetId="1" refreshError="1"/>
      <sheetData sheetId="2" refreshError="1"/>
      <sheetData sheetId="3" refreshError="1"/>
      <sheetData sheetId="4" refreshError="1">
        <row r="1">
          <cell r="B1" t="str">
            <v>검사</v>
          </cell>
          <cell r="C1" t="str">
            <v>공정간간접비</v>
          </cell>
          <cell r="D1" t="str">
            <v>신촌공장외주</v>
          </cell>
        </row>
        <row r="2">
          <cell r="A2">
            <v>2001</v>
          </cell>
          <cell r="B2">
            <v>44165</v>
          </cell>
          <cell r="C2">
            <v>90747</v>
          </cell>
          <cell r="D2">
            <v>13468</v>
          </cell>
        </row>
        <row r="3">
          <cell r="A3">
            <v>2002</v>
          </cell>
          <cell r="B3">
            <v>45050</v>
          </cell>
          <cell r="C3">
            <v>92213</v>
          </cell>
          <cell r="D3">
            <v>13903</v>
          </cell>
        </row>
        <row r="4">
          <cell r="A4">
            <v>2003</v>
          </cell>
          <cell r="B4">
            <v>47137</v>
          </cell>
          <cell r="C4">
            <v>95793</v>
          </cell>
          <cell r="D4">
            <v>14497</v>
          </cell>
        </row>
        <row r="5">
          <cell r="A5">
            <v>2004</v>
          </cell>
          <cell r="B5">
            <v>49328</v>
          </cell>
          <cell r="C5">
            <v>99550</v>
          </cell>
          <cell r="D5">
            <v>15123</v>
          </cell>
        </row>
        <row r="6">
          <cell r="A6">
            <v>2005</v>
          </cell>
          <cell r="B6">
            <v>51627</v>
          </cell>
          <cell r="C6">
            <v>103494</v>
          </cell>
          <cell r="D6">
            <v>15777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M-EQPT-Z"/>
      <sheetName val="임율 Data"/>
    </sheetNames>
    <sheetDataSet>
      <sheetData sheetId="0"/>
      <sheetData sheetId="1"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Cover Sheet"/>
      <sheetName val="Content"/>
      <sheetName val="Project Outline"/>
      <sheetName val="주요공사"/>
      <sheetName val="Contractual Amount"/>
      <sheetName val="시헹예산"/>
      <sheetName val="TENDER vs BUDGET"/>
      <sheetName val="직영 vs 하청 - 2"/>
      <sheetName val="96 당초Schedule"/>
      <sheetName val="96 Performance"/>
      <sheetName val="소화-투입 분석표"/>
      <sheetName val="STF ORG(K)"/>
      <sheetName val="Staff Org. Chart"/>
      <sheetName val="Scope of Work"/>
      <sheetName val="Design Status"/>
      <sheetName val="DWG Status"/>
      <sheetName val="MAT'L Status"/>
      <sheetName val="장비동원"/>
      <sheetName val="근로자동원"/>
      <sheetName val="Install Status"/>
      <sheetName val="Staff Mob. Plan"/>
      <sheetName val="M.P Mob. Plan"/>
      <sheetName val="Eq. Mobilization"/>
      <sheetName val="Cover_Sheet"/>
      <sheetName val="Project_Outline"/>
      <sheetName val="Contractual_Amount"/>
      <sheetName val="TENDER_vs_BUDGET"/>
      <sheetName val="직영_vs_하청_-_2"/>
      <sheetName val="96_당초Schedule"/>
      <sheetName val="96_Performance"/>
      <sheetName val="소화-투입_분석표"/>
      <sheetName val="STF_ORG(K)"/>
      <sheetName val="Staff_Org__Chart"/>
      <sheetName val="Scope_of_Work"/>
      <sheetName val="Design_Status"/>
      <sheetName val="DWG_Status"/>
      <sheetName val="MAT'L_Status"/>
      <sheetName val="Install_Status"/>
      <sheetName val="Staff_Mob__Plan"/>
      <sheetName val="M_P_Mob__Plan"/>
      <sheetName val="Eq__Mobilization"/>
      <sheetName val="M-EQPT-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표지"/>
      <sheetName val="Ⅰ"/>
      <sheetName val="Ⅱ"/>
      <sheetName val="Ⅲ,Ⅳ"/>
      <sheetName val="Ⅴ,Ⅵ"/>
      <sheetName val="1"/>
      <sheetName val="2"/>
      <sheetName val="3"/>
      <sheetName val="4"/>
      <sheetName val="5"/>
      <sheetName val="6"/>
      <sheetName val="7"/>
      <sheetName val="8"/>
      <sheetName val="9"/>
      <sheetName val="10"/>
      <sheetName val="11"/>
      <sheetName val="12"/>
      <sheetName val="13,14"/>
      <sheetName val="15,16"/>
      <sheetName val="17,18"/>
      <sheetName val="19,20"/>
      <sheetName val="21"/>
      <sheetName val="22,23"/>
      <sheetName val="24"/>
      <sheetName val="25"/>
      <sheetName val="26"/>
      <sheetName val="27,28"/>
      <sheetName val="29"/>
      <sheetName val="30"/>
      <sheetName val="31"/>
      <sheetName val="32_34"/>
      <sheetName val="35"/>
      <sheetName val="36,37"/>
      <sheetName val="38"/>
      <sheetName val="39,40"/>
      <sheetName val="41"/>
      <sheetName val="42,43"/>
      <sheetName val="44"/>
      <sheetName val="45,46"/>
      <sheetName val="47,48"/>
      <sheetName val="49"/>
      <sheetName val="50,51"/>
      <sheetName val="52 "/>
      <sheetName val="53,54"/>
      <sheetName val="55,56"/>
      <sheetName val="57"/>
      <sheetName val="58"/>
      <sheetName val="59"/>
      <sheetName val="60"/>
      <sheetName val="61,62"/>
      <sheetName val="63"/>
      <sheetName val="64"/>
      <sheetName val="65"/>
      <sheetName val="66"/>
      <sheetName val="67(B4)   "/>
      <sheetName val="67(A4)"/>
      <sheetName val="68"/>
      <sheetName val="69"/>
      <sheetName val="70"/>
      <sheetName val="71"/>
      <sheetName val="72"/>
      <sheetName val="73"/>
      <sheetName val="74(A4)"/>
      <sheetName val="74(B4) "/>
      <sheetName val="75"/>
      <sheetName val="76"/>
      <sheetName val="77"/>
      <sheetName val="78"/>
      <sheetName val="79"/>
      <sheetName val="80"/>
      <sheetName val="81"/>
      <sheetName val="82"/>
      <sheetName val="83"/>
      <sheetName val="84(B4)"/>
      <sheetName val="85"/>
      <sheetName val="86"/>
      <sheetName val="87"/>
      <sheetName val="88"/>
      <sheetName val="89"/>
      <sheetName val="90"/>
      <sheetName val="91"/>
      <sheetName val="92"/>
      <sheetName val="93"/>
      <sheetName val="94"/>
      <sheetName val="95"/>
      <sheetName val="96"/>
      <sheetName val="97"/>
      <sheetName val="laroux"/>
      <sheetName val="북경"/>
      <sheetName val="대만"/>
      <sheetName val="싱가포르"/>
      <sheetName val="자카르타"/>
      <sheetName val="하노이"/>
      <sheetName val="뭄바이"/>
      <sheetName val="두바이"/>
      <sheetName val="리야드"/>
      <sheetName val="프랑크푸르트"/>
      <sheetName val="토론토"/>
      <sheetName val="동경"/>
      <sheetName val="뉴저지"/>
      <sheetName val="inkor"/>
      <sheetName val="말련"/>
      <sheetName val="52_"/>
      <sheetName val="67(B4)___"/>
      <sheetName val="74(B4)_"/>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F17"/>
      <sheetName val="SalesProjection Workings"/>
      <sheetName val="Power Purchase Projections"/>
      <sheetName val="Monthwise sales"/>
      <sheetName val="F18"/>
      <sheetName val="F18 incl FAC"/>
      <sheetName val="F19"/>
      <sheetName val="Sheet1"/>
      <sheetName val="LF and Energy Balance Realistic"/>
      <sheetName val="Generation stn details"/>
    </sheetNames>
    <sheetDataSet>
      <sheetData sheetId="0">
        <row r="12">
          <cell r="H12">
            <v>0.12930929365617203</v>
          </cell>
        </row>
      </sheetData>
      <sheetData sheetId="1"/>
      <sheetData sheetId="2" refreshError="1"/>
      <sheetData sheetId="3">
        <row r="85">
          <cell r="P85">
            <v>77565.81476725456</v>
          </cell>
        </row>
      </sheetData>
      <sheetData sheetId="4">
        <row r="37">
          <cell r="S37">
            <v>4391.2974512871297</v>
          </cell>
        </row>
      </sheetData>
      <sheetData sheetId="5" refreshError="1"/>
      <sheetData sheetId="6">
        <row r="37">
          <cell r="S37">
            <v>4920.4272985752923</v>
          </cell>
        </row>
      </sheetData>
      <sheetData sheetId="7">
        <row r="4">
          <cell r="C4">
            <v>2.2089539999999999</v>
          </cell>
          <cell r="D4">
            <v>2.173794</v>
          </cell>
          <cell r="E4">
            <v>2.1605159999999999</v>
          </cell>
          <cell r="F4">
            <v>2.0636269999999999</v>
          </cell>
          <cell r="G4">
            <v>0.100692</v>
          </cell>
        </row>
        <row r="5">
          <cell r="C5">
            <v>615.23797000000002</v>
          </cell>
          <cell r="D5">
            <v>625.55239300000005</v>
          </cell>
          <cell r="E5">
            <v>637.09137699999997</v>
          </cell>
          <cell r="F5">
            <v>653.03952300000003</v>
          </cell>
          <cell r="G5">
            <v>680.54231700000003</v>
          </cell>
        </row>
        <row r="6">
          <cell r="C6">
            <v>430.92152800000002</v>
          </cell>
          <cell r="D6">
            <v>443.74741</v>
          </cell>
          <cell r="E6">
            <v>463.74657999999999</v>
          </cell>
          <cell r="F6">
            <v>491.81796800000001</v>
          </cell>
          <cell r="G6">
            <v>516.35361999999998</v>
          </cell>
        </row>
        <row r="7">
          <cell r="C7">
            <v>114.260295</v>
          </cell>
          <cell r="D7">
            <v>119.265083</v>
          </cell>
          <cell r="E7">
            <v>124.904428</v>
          </cell>
          <cell r="F7">
            <v>131.89353500000001</v>
          </cell>
          <cell r="G7">
            <v>145.29060200000001</v>
          </cell>
        </row>
        <row r="8">
          <cell r="C8">
            <v>277.33552800000001</v>
          </cell>
          <cell r="D8">
            <v>294.39641799999998</v>
          </cell>
          <cell r="E8">
            <v>292.68136099999998</v>
          </cell>
          <cell r="F8">
            <v>302.708349</v>
          </cell>
          <cell r="G8">
            <v>328.37197500000002</v>
          </cell>
        </row>
        <row r="9">
          <cell r="C9">
            <v>350.29661599999997</v>
          </cell>
          <cell r="D9">
            <v>366.04189600000001</v>
          </cell>
          <cell r="E9">
            <v>368.41328099999998</v>
          </cell>
          <cell r="F9">
            <v>390.16152199999999</v>
          </cell>
          <cell r="G9">
            <v>406.32246700000002</v>
          </cell>
        </row>
        <row r="10">
          <cell r="C10">
            <v>88.660968999999994</v>
          </cell>
          <cell r="D10">
            <v>96.045080999999996</v>
          </cell>
          <cell r="E10">
            <v>93.899517000000003</v>
          </cell>
          <cell r="F10">
            <v>104.212791</v>
          </cell>
          <cell r="G10">
            <v>108.393721</v>
          </cell>
        </row>
        <row r="11">
          <cell r="C11">
            <v>115.219191</v>
          </cell>
          <cell r="D11">
            <v>128.92195799999999</v>
          </cell>
          <cell r="E11">
            <v>120.134828</v>
          </cell>
          <cell r="F11">
            <v>139.32525899999999</v>
          </cell>
          <cell r="G11">
            <v>139.64120600000001</v>
          </cell>
        </row>
        <row r="12">
          <cell r="C12">
            <v>313.877746</v>
          </cell>
          <cell r="D12">
            <v>483.51473299999998</v>
          </cell>
          <cell r="E12">
            <v>329.234467</v>
          </cell>
          <cell r="F12">
            <v>522.93667200000004</v>
          </cell>
          <cell r="G12">
            <v>299.06880699999999</v>
          </cell>
        </row>
        <row r="13">
          <cell r="C13">
            <v>105.421773</v>
          </cell>
          <cell r="D13">
            <v>61.589270999999997</v>
          </cell>
          <cell r="E13">
            <v>135.27439799999999</v>
          </cell>
          <cell r="F13">
            <v>74.011482000000001</v>
          </cell>
          <cell r="G13">
            <v>154.30764400000001</v>
          </cell>
        </row>
        <row r="14">
          <cell r="C14">
            <v>317.39538900000002</v>
          </cell>
          <cell r="D14">
            <v>216.714977</v>
          </cell>
          <cell r="E14">
            <v>357.67898500000001</v>
          </cell>
          <cell r="F14">
            <v>251.92868999999999</v>
          </cell>
          <cell r="G14">
            <v>490.94629900000001</v>
          </cell>
        </row>
        <row r="15">
          <cell r="C15">
            <v>24.950966999999999</v>
          </cell>
          <cell r="D15">
            <v>24.767327000000002</v>
          </cell>
          <cell r="E15">
            <v>24.214894000000001</v>
          </cell>
          <cell r="F15">
            <v>22.922784</v>
          </cell>
          <cell r="G15">
            <v>25.037391</v>
          </cell>
        </row>
        <row r="16">
          <cell r="C16">
            <v>8.0850749999999998</v>
          </cell>
          <cell r="D16">
            <v>8.2239979999999999</v>
          </cell>
          <cell r="E16">
            <v>8.2120289999999994</v>
          </cell>
          <cell r="F16">
            <v>7.7385840000000004</v>
          </cell>
          <cell r="G16">
            <v>9.3184199999999997</v>
          </cell>
        </row>
        <row r="17">
          <cell r="C17">
            <v>10.498155000000001</v>
          </cell>
          <cell r="D17">
            <v>10.892339</v>
          </cell>
          <cell r="E17">
            <v>11.049632000000001</v>
          </cell>
          <cell r="F17">
            <v>10.344161</v>
          </cell>
          <cell r="G17">
            <v>14.177880999999999</v>
          </cell>
        </row>
        <row r="18">
          <cell r="C18">
            <v>10.319823</v>
          </cell>
          <cell r="D18">
            <v>11.250494</v>
          </cell>
          <cell r="E18">
            <v>11.636535</v>
          </cell>
          <cell r="F18">
            <v>10.576791</v>
          </cell>
          <cell r="G18">
            <v>28.695876999999999</v>
          </cell>
        </row>
        <row r="19">
          <cell r="C19">
            <v>103.653194</v>
          </cell>
          <cell r="D19">
            <v>107.829779</v>
          </cell>
          <cell r="E19">
            <v>109.271647</v>
          </cell>
          <cell r="F19">
            <v>117.25644699999999</v>
          </cell>
          <cell r="G19">
            <v>57.196356999999999</v>
          </cell>
        </row>
        <row r="20">
          <cell r="C20">
            <v>8.1519080000000006</v>
          </cell>
          <cell r="D20">
            <v>7.308236</v>
          </cell>
          <cell r="E20">
            <v>6.4702599999999997</v>
          </cell>
          <cell r="F20">
            <v>6.6429520000000002</v>
          </cell>
          <cell r="G20">
            <v>44.358232999999998</v>
          </cell>
        </row>
        <row r="21">
          <cell r="C21">
            <v>1.9545090000000001</v>
          </cell>
          <cell r="D21">
            <v>4.1120369999999999</v>
          </cell>
          <cell r="E21">
            <v>1.7437819999999999</v>
          </cell>
          <cell r="F21">
            <v>1.554108</v>
          </cell>
          <cell r="G21">
            <v>2.2752530000000002</v>
          </cell>
        </row>
        <row r="22">
          <cell r="C22">
            <v>37.280609069999997</v>
          </cell>
          <cell r="D22">
            <v>36.62601248</v>
          </cell>
          <cell r="E22">
            <v>36.58062408</v>
          </cell>
          <cell r="F22">
            <v>38.802232529999998</v>
          </cell>
          <cell r="G22">
            <v>29.661125300000002</v>
          </cell>
        </row>
        <row r="23">
          <cell r="C23">
            <v>0.79368499999999997</v>
          </cell>
          <cell r="D23">
            <v>0.52722500000000005</v>
          </cell>
          <cell r="E23">
            <v>0.50577899999999998</v>
          </cell>
          <cell r="F23">
            <v>0.496058</v>
          </cell>
          <cell r="G23">
            <v>6.6976999999999995E-2</v>
          </cell>
        </row>
        <row r="24">
          <cell r="C24">
            <v>21.537126000000001</v>
          </cell>
          <cell r="D24">
            <v>21.614858999999999</v>
          </cell>
          <cell r="E24">
            <v>22.793856000000002</v>
          </cell>
          <cell r="F24">
            <v>30.725097999999999</v>
          </cell>
          <cell r="G24">
            <v>21.483319000000002</v>
          </cell>
        </row>
        <row r="25">
          <cell r="C25">
            <v>1.3795040000000001</v>
          </cell>
          <cell r="D25">
            <v>1.1460170000000001</v>
          </cell>
          <cell r="E25">
            <v>1.06751</v>
          </cell>
          <cell r="F25">
            <v>1.2408699999999999</v>
          </cell>
          <cell r="G25">
            <v>1.0486930000000001</v>
          </cell>
        </row>
        <row r="30">
          <cell r="C30">
            <v>163.47353000000001</v>
          </cell>
          <cell r="D30">
            <v>157.99561199999999</v>
          </cell>
          <cell r="E30">
            <v>151.98055199999999</v>
          </cell>
          <cell r="F30">
            <v>137.38670200000001</v>
          </cell>
          <cell r="G30">
            <v>182.80743200000001</v>
          </cell>
        </row>
        <row r="31">
          <cell r="C31">
            <v>260.63417199999998</v>
          </cell>
          <cell r="D31">
            <v>262.291358</v>
          </cell>
          <cell r="E31">
            <v>290.10925099999997</v>
          </cell>
          <cell r="F31">
            <v>308.43113699999998</v>
          </cell>
          <cell r="G31">
            <v>299.30791299999999</v>
          </cell>
        </row>
        <row r="32">
          <cell r="C32">
            <v>27.046063</v>
          </cell>
          <cell r="D32">
            <v>31.699414999999998</v>
          </cell>
          <cell r="E32">
            <v>32.516657000000002</v>
          </cell>
          <cell r="F32">
            <v>31.263776</v>
          </cell>
          <cell r="G32">
            <v>35.007112999999997</v>
          </cell>
        </row>
        <row r="33">
          <cell r="C33">
            <v>0</v>
          </cell>
          <cell r="D33">
            <v>0</v>
          </cell>
          <cell r="E33">
            <v>0</v>
          </cell>
          <cell r="F33">
            <v>0</v>
          </cell>
          <cell r="G33">
            <v>0</v>
          </cell>
        </row>
      </sheetData>
      <sheetData sheetId="8" refreshError="1"/>
      <sheetData sheetId="9"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Issues for discussion"/>
      <sheetName val="Assumptions"/>
      <sheetName val="Index "/>
      <sheetName val="F1"/>
      <sheetName val="May12"/>
      <sheetName val="June12"/>
      <sheetName val="July12"/>
      <sheetName val="Aug12"/>
      <sheetName val="Sep12"/>
      <sheetName val="Oct12"/>
      <sheetName val="Nov12"/>
      <sheetName val="Dec12"/>
      <sheetName val="Jan13"/>
      <sheetName val="Feb13"/>
      <sheetName val="Mar13"/>
      <sheetName val="Past Recoveries"/>
      <sheetName val="F2"/>
      <sheetName val="PP FY 2013-14 "/>
      <sheetName val="PP FY 2012-13"/>
      <sheetName val="F3"/>
      <sheetName val="F3.1"/>
      <sheetName val="F3.2"/>
      <sheetName val="F3.3"/>
      <sheetName val="O&amp;MCalculation_Normative "/>
      <sheetName val="F4"/>
      <sheetName val="F5 "/>
      <sheetName val="F5.4 "/>
      <sheetName val="F6"/>
      <sheetName val="F7"/>
      <sheetName val="F8"/>
      <sheetName val="F9 "/>
      <sheetName val="F 10 "/>
      <sheetName val="F11"/>
      <sheetName val="F12"/>
      <sheetName val="Energy Balance"/>
      <sheetName val="F13"/>
      <sheetName val="F14"/>
      <sheetName val="F15"/>
      <sheetName val="SBI PLR Details"/>
      <sheetName val="SBI PLR"/>
      <sheetName val="Reconcilation 2012-13"/>
      <sheetName val="Reconcilation _2013-14"/>
      <sheetName val="Appendex_DepDetals"/>
      <sheetName val="IDC13-14"/>
      <sheetName val="LDetail 2012-13"/>
      <sheetName val="LDetails 2013-14"/>
      <sheetName val="LoanDetails 2012-13"/>
      <sheetName val="LoanDetails2013-14"/>
      <sheetName val="Interest Charges_2012-13"/>
      <sheetName val="CurrentLiabilities 2012-13"/>
      <sheetName val="Working Capital 2013-14"/>
      <sheetName val="WC12-13"/>
      <sheetName val="WC FY 2013-14"/>
      <sheetName val="E5-2011 (2)"/>
      <sheetName val="CD FY 2013-14"/>
      <sheetName val="LD"/>
      <sheetName val="BadDebt13-14"/>
      <sheetName val="ARR"/>
      <sheetName val="ROE13-14"/>
      <sheetName val="ROE"/>
      <sheetName val="Other Expenses13-14"/>
      <sheetName val="Non Tariff Income_12-13"/>
      <sheetName val="NTI13-14"/>
      <sheetName val="ROIF13-14"/>
      <sheetName val="Revenue ApprovedActual"/>
      <sheetName val="Revenue 2013-14"/>
      <sheetName val="Revenue 2012-13"/>
      <sheetName val="E13_2013-14"/>
      <sheetName val="E3"/>
      <sheetName val="E2"/>
      <sheetName val="E13_H1-2012-13"/>
      <sheetName val="E13_H2-2012-13"/>
      <sheetName val="E2_2013-14"/>
      <sheetName val="E13_H1F-2013-14"/>
      <sheetName val="E13_H2F-2013-14"/>
      <sheetName val="Reconciliation "/>
      <sheetName val="E6 Summury_2013-14"/>
      <sheetName val="E-6 SUPPLYWISE GRUP"/>
      <sheetName val="P&amp;L"/>
      <sheetName val="GFA1"/>
      <sheetName val="CapExCapi2013-14"/>
      <sheetName val="E5-2011"/>
      <sheetName val="DPR"/>
      <sheetName val="Interest on working capital"/>
      <sheetName val="E9-2001"/>
      <sheetName val="P&amp;L Reconciliation"/>
      <sheetName val="ApprovedTariff"/>
      <sheetName val="ARR2013-14"/>
      <sheetName val="E1"/>
      <sheetName val="idc"/>
      <sheetName val="E13_Q1-2012-13"/>
      <sheetName val="E13_Q2-2012-13"/>
      <sheetName val="E13_Q3-2012-13"/>
      <sheetName val="E13_Q4-2012-13"/>
      <sheetName val="E13_F.Y.2012-13"/>
      <sheetName val="BEST final"/>
      <sheetName val="schedule 3"/>
      <sheetName val="Schedule 1"/>
      <sheetName val="Annexture B"/>
      <sheetName val="WC_2012-13"/>
      <sheetName val="AnnexureB_2013-14"/>
      <sheetName val="MonthWise Unit Sold"/>
      <sheetName val="Net Capitalisation"/>
      <sheetName val="PowerPurchaseComparison"/>
      <sheetName val="SalesProjection"/>
      <sheetName val="CostOfPowerPurchase"/>
      <sheetName val="O&amp;M Expenses 2012-13"/>
      <sheetName val="O&amp;M Expenses 2013-14"/>
      <sheetName val="AD_Compiled"/>
      <sheetName val="E6-2011-12"/>
      <sheetName val="E6 -2012-13"/>
      <sheetName val="E6-2013-14"/>
      <sheetName val="Depreciation 2012-13"/>
      <sheetName val="Depreciation 2013-14"/>
      <sheetName val="GFA2"/>
      <sheetName val="Accumulated Depreciation "/>
      <sheetName val="Capitalisation 2013-14"/>
      <sheetName val="GFA Reconciliation"/>
      <sheetName val="YrMnthWise _Unt Sld"/>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9">
          <cell r="F9">
            <v>385601</v>
          </cell>
        </row>
        <row r="10">
          <cell r="F10">
            <v>687856900</v>
          </cell>
        </row>
        <row r="11">
          <cell r="F11">
            <v>584313924</v>
          </cell>
        </row>
        <row r="12">
          <cell r="F12">
            <v>178530881</v>
          </cell>
        </row>
        <row r="13">
          <cell r="F13">
            <v>349569401</v>
          </cell>
        </row>
        <row r="14">
          <cell r="F14">
            <v>96083548</v>
          </cell>
        </row>
        <row r="15">
          <cell r="F15">
            <v>29730263</v>
          </cell>
        </row>
        <row r="16">
          <cell r="F16">
            <v>38124027</v>
          </cell>
        </row>
        <row r="17">
          <cell r="F17">
            <v>55968089</v>
          </cell>
        </row>
        <row r="18">
          <cell r="F18">
            <v>417556740</v>
          </cell>
        </row>
        <row r="19">
          <cell r="F19">
            <v>285398931</v>
          </cell>
        </row>
        <row r="20">
          <cell r="F20">
            <v>260893489</v>
          </cell>
        </row>
        <row r="21">
          <cell r="F21">
            <v>516416123</v>
          </cell>
        </row>
        <row r="22">
          <cell r="F22">
            <v>3630035</v>
          </cell>
        </row>
        <row r="23">
          <cell r="F23">
            <v>1593908</v>
          </cell>
        </row>
        <row r="24">
          <cell r="F24">
            <v>2437464</v>
          </cell>
        </row>
        <row r="25">
          <cell r="F25">
            <v>3662265</v>
          </cell>
        </row>
        <row r="26">
          <cell r="F26">
            <v>17218254</v>
          </cell>
        </row>
        <row r="27">
          <cell r="F27">
            <v>19709469</v>
          </cell>
        </row>
        <row r="28">
          <cell r="F28">
            <v>54278986</v>
          </cell>
        </row>
        <row r="29">
          <cell r="F29">
            <v>49505124</v>
          </cell>
        </row>
        <row r="30">
          <cell r="F30">
            <v>2660995</v>
          </cell>
        </row>
        <row r="31">
          <cell r="F31">
            <v>26162059.810000002</v>
          </cell>
        </row>
        <row r="32">
          <cell r="F32">
            <v>4003987</v>
          </cell>
        </row>
        <row r="33">
          <cell r="F33">
            <v>1595906</v>
          </cell>
        </row>
        <row r="34">
          <cell r="F34">
            <v>36605784</v>
          </cell>
        </row>
        <row r="35">
          <cell r="F35">
            <v>1242072</v>
          </cell>
        </row>
        <row r="36">
          <cell r="F36">
            <v>10640935</v>
          </cell>
        </row>
        <row r="37">
          <cell r="F37">
            <v>35800285</v>
          </cell>
        </row>
        <row r="38">
          <cell r="F38">
            <v>169395381</v>
          </cell>
        </row>
        <row r="39">
          <cell r="F39">
            <v>381589541</v>
          </cell>
        </row>
        <row r="40">
          <cell r="F40">
            <v>32271809</v>
          </cell>
        </row>
        <row r="41">
          <cell r="F41">
            <v>4007172</v>
          </cell>
        </row>
        <row r="42">
          <cell r="F42">
            <v>34105733</v>
          </cell>
        </row>
        <row r="70">
          <cell r="F70">
            <v>70471</v>
          </cell>
        </row>
        <row r="71">
          <cell r="F71">
            <v>698579592</v>
          </cell>
        </row>
        <row r="72">
          <cell r="F72">
            <v>588584362</v>
          </cell>
        </row>
        <row r="73">
          <cell r="F73">
            <v>173430725</v>
          </cell>
        </row>
        <row r="74">
          <cell r="F74">
            <v>335332809</v>
          </cell>
        </row>
        <row r="75">
          <cell r="F75">
            <v>539935336</v>
          </cell>
        </row>
        <row r="76">
          <cell r="F76">
            <v>353348100</v>
          </cell>
        </row>
        <row r="77">
          <cell r="F77">
            <v>240952635</v>
          </cell>
        </row>
        <row r="78">
          <cell r="F78">
            <v>470698744</v>
          </cell>
        </row>
        <row r="79">
          <cell r="F79">
            <v>21275452</v>
          </cell>
        </row>
        <row r="80">
          <cell r="F80">
            <v>23912690</v>
          </cell>
        </row>
        <row r="81">
          <cell r="F81">
            <v>51947009</v>
          </cell>
        </row>
        <row r="82">
          <cell r="F82">
            <v>48009043</v>
          </cell>
        </row>
        <row r="83">
          <cell r="F83">
            <v>1808761</v>
          </cell>
        </row>
        <row r="84">
          <cell r="F84">
            <v>26723141.589999996</v>
          </cell>
        </row>
        <row r="85">
          <cell r="F85">
            <v>4271475</v>
          </cell>
        </row>
        <row r="86">
          <cell r="F86">
            <v>4058550</v>
          </cell>
        </row>
        <row r="87">
          <cell r="F87">
            <v>36974119</v>
          </cell>
        </row>
        <row r="88">
          <cell r="F88">
            <v>1413963</v>
          </cell>
        </row>
        <row r="89">
          <cell r="F89">
            <v>11682083</v>
          </cell>
        </row>
        <row r="90">
          <cell r="F90">
            <v>66403325</v>
          </cell>
        </row>
        <row r="91">
          <cell r="F91">
            <v>178774663</v>
          </cell>
        </row>
        <row r="92">
          <cell r="F92">
            <v>350523313</v>
          </cell>
        </row>
        <row r="93">
          <cell r="F93">
            <v>32819764</v>
          </cell>
        </row>
        <row r="94">
          <cell r="F94">
            <v>7838175</v>
          </cell>
        </row>
        <row r="95">
          <cell r="F95">
            <v>82152869</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Assumptions"/>
      <sheetName val="Index "/>
      <sheetName val="F1"/>
      <sheetName val="May12"/>
      <sheetName val="June12"/>
      <sheetName val="July12"/>
      <sheetName val="Aug12"/>
      <sheetName val="Sep12"/>
      <sheetName val="Oct12"/>
      <sheetName val="Nov12"/>
      <sheetName val="Dec12"/>
      <sheetName val="Jan13"/>
      <sheetName val="Feb13"/>
      <sheetName val="Mar13"/>
      <sheetName val="F1.1"/>
      <sheetName val="F1.2"/>
      <sheetName val="Tariff Structure"/>
      <sheetName val="Sales and ABR"/>
      <sheetName val="Tariff as per MYT Order"/>
      <sheetName val="F2"/>
      <sheetName val="PP FY 2012-13"/>
      <sheetName val="PP FY 2013-14 "/>
      <sheetName val="Power Purchase Projections"/>
      <sheetName val="TPC G"/>
      <sheetName val="F3"/>
      <sheetName val="F3.1"/>
      <sheetName val="F3.2"/>
      <sheetName val="F3.3"/>
      <sheetName val="O&amp;MCalculation_Normative "/>
      <sheetName val="F4"/>
      <sheetName val="F4.1"/>
      <sheetName val="F5 "/>
      <sheetName val="F5.4 "/>
      <sheetName val="Capitalisation revised"/>
      <sheetName val="F6"/>
      <sheetName val="F7"/>
      <sheetName val="F8"/>
      <sheetName val="F9 "/>
      <sheetName val="F10 "/>
      <sheetName val="F10.1_sale of scrap"/>
      <sheetName val="F11"/>
      <sheetName val="F12"/>
      <sheetName val="Energy Balance"/>
      <sheetName val="F13"/>
      <sheetName val="F14"/>
      <sheetName val="F15"/>
      <sheetName val="F16"/>
      <sheetName val="Reconcilation 2012-13"/>
      <sheetName val="Reconcilation _2013-14"/>
      <sheetName val="F17"/>
      <sheetName val="SalesProjection Workings"/>
      <sheetName val="Monthwise sales"/>
      <sheetName val="F18"/>
      <sheetName val="F19"/>
      <sheetName val="F19.1"/>
      <sheetName val="F20"/>
      <sheetName val="SBI PLR"/>
      <sheetName val="IDC13-14"/>
      <sheetName val="E2 2012-13"/>
      <sheetName val="E2_2013-14"/>
      <sheetName val="LDetail 2012-13"/>
      <sheetName val="LDetails 2013-14"/>
      <sheetName val="LoanDetails 2012-13"/>
      <sheetName val="LoanDetails2013-14"/>
      <sheetName val="Interest Charges_2012-13"/>
      <sheetName val="CurrentLiabilities 2012-13"/>
      <sheetName val="Working Capital 2013-14"/>
      <sheetName val="WC12-13"/>
      <sheetName val="WC FY 2013-14"/>
      <sheetName val="E5-2011 (2)"/>
      <sheetName val="CD FY 2013-14"/>
      <sheetName val="LD"/>
      <sheetName val="BadDebt13-14"/>
      <sheetName val="ARR"/>
      <sheetName val="ROE13-14"/>
      <sheetName val="ROE"/>
      <sheetName val="Other Expenses13-14"/>
      <sheetName val="Non Tariff Income_12-13"/>
      <sheetName val="NTI13-14"/>
      <sheetName val="ROIF13-14"/>
      <sheetName val="Revenue ApprovedActual"/>
      <sheetName val="MonthWise Unit Sold"/>
      <sheetName val="Revenue 2013-14"/>
      <sheetName val="Revenue 2012-13"/>
      <sheetName val="E13_2013-14"/>
      <sheetName val="E3"/>
      <sheetName val="E13_H1-2012-13"/>
      <sheetName val="E13_H2-2012-13"/>
      <sheetName val="E13_H1F-2013-14"/>
      <sheetName val="E13_H2F-2013-14"/>
      <sheetName val="Reconciliation "/>
      <sheetName val="E6 Summury_2013-14"/>
      <sheetName val="E-6 SUPPLYWISE GRUP"/>
      <sheetName val="P&amp;L"/>
      <sheetName val="GFA1"/>
      <sheetName val="CapExCapi2013-14"/>
      <sheetName val="E5-2011"/>
      <sheetName val="DPR"/>
      <sheetName val="Interest on working capital"/>
      <sheetName val="E9-2001"/>
      <sheetName val="P&amp;L Reconciliation"/>
      <sheetName val="ApprovedTariff"/>
      <sheetName val="ARR2013-14"/>
      <sheetName val="E1"/>
      <sheetName val="idc"/>
      <sheetName val="E13_Q1-2012-13"/>
      <sheetName val="E13_Q2-2012-13"/>
      <sheetName val="E13_Q3-2012-13"/>
      <sheetName val="E13_Q4-2012-13"/>
      <sheetName val="E13_F.Y.2012-13"/>
      <sheetName val="BEST final"/>
      <sheetName val="schedule 3"/>
      <sheetName val="Schedule 1"/>
      <sheetName val="Annexture B"/>
      <sheetName val="WC_2012-13"/>
      <sheetName val="AnnexureB_2013-14"/>
      <sheetName val="SBI PLR Details"/>
      <sheetName val="URIM P&amp;L 12-13"/>
      <sheetName val="Net Capitalisation"/>
      <sheetName val="PowerPurchaseComparison"/>
      <sheetName val="CostOfPowerPurchase"/>
      <sheetName val="O&amp;M Expenses 2012-13"/>
      <sheetName val="O&amp;M Expenses 2013-14"/>
      <sheetName val="AD_Compiled"/>
      <sheetName val="E6-2011-12"/>
      <sheetName val="E6 -2012-13"/>
      <sheetName val="E6-2013-14"/>
      <sheetName val="Depreciation 2012-13"/>
      <sheetName val="Depreciation 2013-14"/>
      <sheetName val="GFA2"/>
      <sheetName val="Accumulated Depreciation "/>
      <sheetName val="Capitalisation 2013-14"/>
      <sheetName val="GF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65">
          <cell r="Q65">
            <v>0.8621865514097653</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PP FY 2014-15"/>
      <sheetName val="PP FY2014-15 (As on 21-05-2015)"/>
      <sheetName val="External Power Pur. FY2014-15"/>
      <sheetName val="RPS Data"/>
      <sheetName val="MSLDC InSTS Grid Loss"/>
    </sheetNames>
    <sheetDataSet>
      <sheetData sheetId="0"/>
      <sheetData sheetId="1">
        <row r="14">
          <cell r="E14">
            <v>1813.2842393459</v>
          </cell>
        </row>
        <row r="43">
          <cell r="B43">
            <v>4727.6258991899995</v>
          </cell>
        </row>
      </sheetData>
      <sheetData sheetId="2">
        <row r="21">
          <cell r="L21">
            <v>20.693750000000001</v>
          </cell>
        </row>
      </sheetData>
      <sheetData sheetId="3">
        <row r="13">
          <cell r="C13">
            <v>4.7751256699999995</v>
          </cell>
        </row>
      </sheetData>
      <sheetData sheetId="4"/>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PP FY 2012-13"/>
      <sheetName val="Source-wise PP-FY 2012-13"/>
      <sheetName val="TPC-G"/>
      <sheetName val="External Purchase"/>
      <sheetName val="Tr._SLDC_Stdby_Ch"/>
      <sheetName val="Energy Balance"/>
    </sheetNames>
    <sheetDataSet>
      <sheetData sheetId="0" refreshError="1"/>
      <sheetData sheetId="1" refreshError="1">
        <row r="24">
          <cell r="N24">
            <v>10.1829017</v>
          </cell>
        </row>
        <row r="30">
          <cell r="C30">
            <v>5083.9657485950302</v>
          </cell>
          <cell r="D30">
            <v>-2.1992430000000001</v>
          </cell>
          <cell r="F30">
            <v>76.435563418749993</v>
          </cell>
          <cell r="G30">
            <v>7.8897770000000005</v>
          </cell>
          <cell r="H30">
            <v>104.65574487950001</v>
          </cell>
        </row>
      </sheetData>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B_FY05"/>
      <sheetName val="CB_FY06"/>
      <sheetName val="RR_FY05"/>
      <sheetName val="RR_FY06"/>
      <sheetName val="ROE"/>
      <sheetName val="tax_fy06"/>
      <sheetName val="ins spares"/>
      <sheetName val="VRS"/>
      <sheetName val="Allo_Basis_FY06"/>
      <sheetName val="Allo_Basis_FY05"/>
      <sheetName val="Stat_inv"/>
      <sheetName val="Base Data"/>
      <sheetName val="Inputs_CB_06"/>
      <sheetName val="Input_GFA"/>
      <sheetName val="tax_fy06_old"/>
      <sheetName val="ins_spares"/>
      <sheetName val="Base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Summary PP FY 2012-13"/>
      <sheetName val="Sourcwise PP FY 2012-13"/>
      <sheetName val="TPC-G"/>
      <sheetName val="External Purchase"/>
      <sheetName val="Trans_SLDC_Stdby Charges"/>
      <sheetName val="Energy Balance FY 2012-13"/>
      <sheetName val="MSLDC_InSTS Grid Loss"/>
      <sheetName val="PP Shhet FY 2012-13"/>
    </sheetNames>
    <sheetDataSet>
      <sheetData sheetId="0">
        <row r="11">
          <cell r="G11">
            <v>2739.2086402614177</v>
          </cell>
        </row>
        <row r="14">
          <cell r="G14">
            <v>56.086640411674992</v>
          </cell>
        </row>
        <row r="15">
          <cell r="G15">
            <v>66.783466099999998</v>
          </cell>
        </row>
        <row r="16">
          <cell r="G16">
            <v>33.694781027559991</v>
          </cell>
        </row>
        <row r="17">
          <cell r="G17">
            <v>-1.1324955999999999</v>
          </cell>
        </row>
        <row r="18">
          <cell r="G18">
            <v>-315.43438640000005</v>
          </cell>
        </row>
        <row r="19">
          <cell r="G19">
            <v>3.1995670999999999</v>
          </cell>
        </row>
        <row r="20">
          <cell r="G20">
            <v>193.20680140000005</v>
          </cell>
        </row>
        <row r="21">
          <cell r="G21">
            <v>0.74599999999999989</v>
          </cell>
        </row>
        <row r="22">
          <cell r="G22">
            <v>107.84999999999998</v>
          </cell>
        </row>
        <row r="23">
          <cell r="G23">
            <v>0</v>
          </cell>
        </row>
        <row r="24">
          <cell r="G24">
            <v>-1.7924480000000003</v>
          </cell>
        </row>
        <row r="25">
          <cell r="G25">
            <v>45.871239699999997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Summary of PP FY 2013-14"/>
      <sheetName val="Sourcwise PP FY 2013-14"/>
      <sheetName val="TPC-G"/>
      <sheetName val="External Purchase"/>
      <sheetName val="Tr_SLDC_Stdby Charges"/>
      <sheetName val="Energy Balance FY 2013-14"/>
      <sheetName val="MSLDC_InSTS Grid Loss"/>
      <sheetName val="PP Sheet FY 2013-14"/>
    </sheetNames>
    <sheetDataSet>
      <sheetData sheetId="0">
        <row r="10">
          <cell r="F10">
            <v>4058.8107822154993</v>
          </cell>
          <cell r="G10">
            <v>1870.8965876420827</v>
          </cell>
        </row>
        <row r="11">
          <cell r="F11">
            <v>0</v>
          </cell>
          <cell r="G11">
            <v>0</v>
          </cell>
        </row>
        <row r="12">
          <cell r="F12">
            <v>24.60066011</v>
          </cell>
          <cell r="G12">
            <v>19.9803511</v>
          </cell>
        </row>
        <row r="13">
          <cell r="F13">
            <v>198.93562900000001</v>
          </cell>
          <cell r="G13">
            <v>116.02709489999999</v>
          </cell>
        </row>
        <row r="14">
          <cell r="G14">
            <v>33</v>
          </cell>
        </row>
        <row r="15">
          <cell r="F15">
            <v>254.49054600000005</v>
          </cell>
        </row>
        <row r="16">
          <cell r="F16">
            <v>0</v>
          </cell>
          <cell r="G16">
            <v>0</v>
          </cell>
        </row>
        <row r="17">
          <cell r="G17">
            <v>29.213327200000002</v>
          </cell>
        </row>
        <row r="19">
          <cell r="G19">
            <v>341.52</v>
          </cell>
        </row>
        <row r="20">
          <cell r="G20">
            <v>1.2721999999999998</v>
          </cell>
        </row>
        <row r="21">
          <cell r="G21">
            <v>113.27043519999999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Summary of PP FY 2013-14"/>
      <sheetName val="Sourcwise PP FY 2013-14"/>
      <sheetName val="TPC-G"/>
      <sheetName val="External Purchase"/>
      <sheetName val="Tr_SLDC_Stdby Charges"/>
      <sheetName val="Energy Balance FY 2013-14"/>
      <sheetName val="MSLDC_InSTS Grid Loss"/>
      <sheetName val="PP Sheet FY 2013-14"/>
    </sheetNames>
    <sheetDataSet>
      <sheetData sheetId="0">
        <row r="16">
          <cell r="G16">
            <v>78.592800001000001</v>
          </cell>
        </row>
        <row r="18">
          <cell r="F18">
            <v>280.24979518964409</v>
          </cell>
        </row>
        <row r="19">
          <cell r="F19">
            <v>4.9512499999999999</v>
          </cell>
          <cell r="G19">
            <v>2.5205480299999996</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Form F2"/>
      <sheetName val="PP FY2014-15 (As on 26-05-2015)"/>
      <sheetName val="External Power Pur. FY2014-15"/>
      <sheetName val="RPS Data"/>
      <sheetName val="MSLDC InSTS Grid Loss"/>
    </sheetNames>
    <sheetDataSet>
      <sheetData sheetId="0" refreshError="1"/>
      <sheetData sheetId="1">
        <row r="10">
          <cell r="E10">
            <v>310.05963601000002</v>
          </cell>
          <cell r="J10">
            <v>119.81468000000001</v>
          </cell>
          <cell r="M10">
            <v>-20.085584506246732</v>
          </cell>
          <cell r="V10">
            <v>41.990382751000006</v>
          </cell>
          <cell r="W10">
            <v>-1.7854108</v>
          </cell>
          <cell r="AB10">
            <v>9.1108695999999991</v>
          </cell>
          <cell r="AC10">
            <v>25.95</v>
          </cell>
          <cell r="AD10">
            <v>0.31359999999999999</v>
          </cell>
          <cell r="AO10">
            <v>2.5355178</v>
          </cell>
        </row>
        <row r="11">
          <cell r="J11">
            <v>122.187955</v>
          </cell>
          <cell r="M11">
            <v>4.8425527279414382</v>
          </cell>
          <cell r="V11">
            <v>41.378302998999999</v>
          </cell>
          <cell r="W11">
            <v>4.7970607000000003</v>
          </cell>
          <cell r="AB11">
            <v>9.1108695999999991</v>
          </cell>
          <cell r="AC11">
            <v>25.95</v>
          </cell>
          <cell r="AD11">
            <v>9.9900000000000003E-2</v>
          </cell>
          <cell r="AO11">
            <v>3.7295273</v>
          </cell>
        </row>
        <row r="12">
          <cell r="E12">
            <v>315.42976723999999</v>
          </cell>
          <cell r="J12">
            <v>126.732062</v>
          </cell>
          <cell r="M12">
            <v>13.028160686933006</v>
          </cell>
          <cell r="O12">
            <v>73.640778531932696</v>
          </cell>
          <cell r="P12">
            <v>-8.75265537705795</v>
          </cell>
          <cell r="Q12">
            <v>45.825511939000002</v>
          </cell>
          <cell r="R12">
            <v>0</v>
          </cell>
          <cell r="S12">
            <v>0</v>
          </cell>
          <cell r="T12">
            <v>9.5463627039999999</v>
          </cell>
          <cell r="V12">
            <v>43.662131098000003</v>
          </cell>
          <cell r="W12">
            <v>7.3793825000000002</v>
          </cell>
          <cell r="X12">
            <v>38.945060583</v>
          </cell>
          <cell r="Y12">
            <v>6.5599939999999997</v>
          </cell>
          <cell r="Z12">
            <v>9.3723333330000003</v>
          </cell>
          <cell r="AA12">
            <v>0.36093910000000001</v>
          </cell>
          <cell r="AB12">
            <v>9.1108695999999991</v>
          </cell>
          <cell r="AC12">
            <v>26</v>
          </cell>
          <cell r="AD12">
            <v>9.9900000000000003E-2</v>
          </cell>
          <cell r="AO12">
            <v>6.4249904999999998</v>
          </cell>
        </row>
        <row r="13">
          <cell r="E13">
            <v>274.62605263</v>
          </cell>
          <cell r="J13">
            <v>89.131196000000003</v>
          </cell>
          <cell r="M13">
            <v>40.461008293139741</v>
          </cell>
          <cell r="O13">
            <v>72.81529854962001</v>
          </cell>
          <cell r="P13">
            <v>-1.8260889918400001</v>
          </cell>
          <cell r="Q13">
            <v>12.995497157000001</v>
          </cell>
          <cell r="R13">
            <v>0</v>
          </cell>
          <cell r="S13">
            <v>0</v>
          </cell>
          <cell r="T13">
            <v>8.1522803140000004</v>
          </cell>
          <cell r="V13">
            <v>29.570075711000001</v>
          </cell>
          <cell r="W13">
            <v>12.0791898</v>
          </cell>
          <cell r="X13">
            <v>38.945060583</v>
          </cell>
          <cell r="Y13">
            <v>6.5599939999999997</v>
          </cell>
          <cell r="Z13">
            <v>9.3723333330000003</v>
          </cell>
          <cell r="AA13">
            <v>-5.0713300000000003E-2</v>
          </cell>
          <cell r="AB13">
            <v>9.1108695999999991</v>
          </cell>
          <cell r="AC13">
            <v>25.95</v>
          </cell>
          <cell r="AD13">
            <v>9.9900000000000003E-2</v>
          </cell>
          <cell r="AO13">
            <v>4.9507753000000001</v>
          </cell>
        </row>
        <row r="14">
          <cell r="E14">
            <v>300.62456213590002</v>
          </cell>
          <cell r="J14">
            <v>57.690742999999998</v>
          </cell>
          <cell r="M14">
            <v>34.170333725665273</v>
          </cell>
          <cell r="O14">
            <v>76.853588971693227</v>
          </cell>
          <cell r="P14">
            <v>-8.4253934559078125</v>
          </cell>
          <cell r="Q14">
            <v>0</v>
          </cell>
          <cell r="R14">
            <v>0</v>
          </cell>
          <cell r="S14">
            <v>0</v>
          </cell>
          <cell r="T14">
            <v>9.9374126920000005</v>
          </cell>
          <cell r="V14">
            <v>19.625289371000001</v>
          </cell>
          <cell r="W14">
            <v>10.0484426</v>
          </cell>
          <cell r="X14">
            <v>38.945060583</v>
          </cell>
          <cell r="Y14">
            <v>6.5599939999999997</v>
          </cell>
          <cell r="Z14">
            <v>9.3723333330000003</v>
          </cell>
          <cell r="AA14">
            <v>0.45662750000000002</v>
          </cell>
          <cell r="AB14">
            <v>9.1108695999999991</v>
          </cell>
          <cell r="AC14">
            <v>25.95</v>
          </cell>
          <cell r="AD14">
            <v>9.9900000000000003E-2</v>
          </cell>
          <cell r="AO14">
            <v>2.8813244</v>
          </cell>
        </row>
        <row r="15">
          <cell r="E15">
            <v>290.09088903000003</v>
          </cell>
          <cell r="J15">
            <v>53.150458</v>
          </cell>
          <cell r="M15">
            <v>54.90576440072806</v>
          </cell>
          <cell r="O15">
            <v>68.709931749834979</v>
          </cell>
          <cell r="P15">
            <v>-6.2321334558686896</v>
          </cell>
          <cell r="Q15">
            <v>19.032982354000001</v>
          </cell>
          <cell r="R15">
            <v>0</v>
          </cell>
          <cell r="S15">
            <v>0</v>
          </cell>
          <cell r="T15">
            <v>9.1950733709999994</v>
          </cell>
          <cell r="V15">
            <v>17.532618031999998</v>
          </cell>
          <cell r="W15">
            <v>10.856745800000001</v>
          </cell>
          <cell r="X15">
            <v>38.945060583</v>
          </cell>
          <cell r="Y15">
            <v>6.5599939999999997</v>
          </cell>
          <cell r="Z15">
            <v>9.3723333330000003</v>
          </cell>
          <cell r="AA15">
            <v>3.2171857999999998E-2</v>
          </cell>
          <cell r="AB15">
            <v>9.1108695999999991</v>
          </cell>
          <cell r="AC15">
            <v>28.24</v>
          </cell>
          <cell r="AD15">
            <v>9.9900000000000003E-2</v>
          </cell>
          <cell r="AO15">
            <v>3.3439019999999999</v>
          </cell>
        </row>
        <row r="18">
          <cell r="E18">
            <v>314.55044937000002</v>
          </cell>
          <cell r="J18">
            <v>87.888857999999999</v>
          </cell>
          <cell r="M18">
            <v>21.327395493455583</v>
          </cell>
          <cell r="O18">
            <v>79.16809811078646</v>
          </cell>
          <cell r="P18">
            <v>-12.565658678671285</v>
          </cell>
          <cell r="Q18">
            <v>37.418595072000002</v>
          </cell>
          <cell r="R18">
            <v>0</v>
          </cell>
          <cell r="S18">
            <v>0</v>
          </cell>
          <cell r="T18">
            <v>6.9031690670000003</v>
          </cell>
          <cell r="V18">
            <v>28.212442803000002</v>
          </cell>
          <cell r="X18">
            <v>38.945060583</v>
          </cell>
          <cell r="Y18">
            <v>6.5599939999999997</v>
          </cell>
          <cell r="Z18">
            <v>9.3723333330000003</v>
          </cell>
          <cell r="AA18">
            <v>0.59750249600000005</v>
          </cell>
          <cell r="AB18">
            <v>9.1108695999999991</v>
          </cell>
          <cell r="AC18">
            <v>28.24</v>
          </cell>
          <cell r="AD18">
            <v>0.31359999999999999</v>
          </cell>
          <cell r="AO18">
            <v>5.2223758</v>
          </cell>
        </row>
        <row r="19">
          <cell r="E19">
            <v>292.25533359999997</v>
          </cell>
          <cell r="J19">
            <v>53.271433000000002</v>
          </cell>
          <cell r="M19">
            <v>47.6694090112195</v>
          </cell>
          <cell r="O19">
            <v>68.135594230882802</v>
          </cell>
          <cell r="P19">
            <v>-9.6720545427407991</v>
          </cell>
          <cell r="Q19">
            <v>26.407238202999999</v>
          </cell>
          <cell r="R19">
            <v>8.0775379300000001</v>
          </cell>
          <cell r="S19">
            <v>-2.0105726229400003</v>
          </cell>
          <cell r="T19">
            <v>5.3057164290000003</v>
          </cell>
          <cell r="V19">
            <v>17.083568013000001</v>
          </cell>
          <cell r="X19">
            <v>38.945060583</v>
          </cell>
          <cell r="Y19">
            <v>6.5599939999999997</v>
          </cell>
          <cell r="Z19">
            <v>9.3723333330000003</v>
          </cell>
          <cell r="AA19">
            <v>-7.9434999999999992E-3</v>
          </cell>
          <cell r="AB19">
            <v>9.1108695999999991</v>
          </cell>
          <cell r="AC19">
            <v>28.24</v>
          </cell>
          <cell r="AD19">
            <v>9.9900000000000003E-2</v>
          </cell>
          <cell r="AO19">
            <v>3.4230242999999998</v>
          </cell>
        </row>
        <row r="20">
          <cell r="E20">
            <v>277.71656239999999</v>
          </cell>
          <cell r="J20">
            <v>26.911628</v>
          </cell>
          <cell r="M20">
            <v>33.181432792784278</v>
          </cell>
          <cell r="O20">
            <v>54.574860259091487</v>
          </cell>
          <cell r="P20">
            <v>-5.9184365224489408</v>
          </cell>
          <cell r="Q20">
            <v>0</v>
          </cell>
          <cell r="R20">
            <v>23.200946846000001</v>
          </cell>
          <cell r="S20">
            <v>-5.5838954149360003</v>
          </cell>
          <cell r="T20">
            <v>4.8158743849999999</v>
          </cell>
          <cell r="V20">
            <v>8.6552268410000011</v>
          </cell>
          <cell r="X20">
            <v>38.945060583</v>
          </cell>
          <cell r="Y20">
            <v>6.5599939999999997</v>
          </cell>
          <cell r="Z20">
            <v>9.3723333330000003</v>
          </cell>
          <cell r="AA20">
            <v>-1.1569644459999999</v>
          </cell>
          <cell r="AB20">
            <v>9.1108695999999991</v>
          </cell>
          <cell r="AC20">
            <v>28.24</v>
          </cell>
          <cell r="AD20">
            <v>9.9900000000000003E-2</v>
          </cell>
          <cell r="AO20">
            <v>1.6124240999999999</v>
          </cell>
        </row>
        <row r="21">
          <cell r="E21">
            <v>193.02750713</v>
          </cell>
          <cell r="J21">
            <v>61.168858</v>
          </cell>
          <cell r="M21">
            <v>43.950323159140339</v>
          </cell>
          <cell r="O21">
            <v>19.437072217708639</v>
          </cell>
          <cell r="P21">
            <v>9.2718984702088001</v>
          </cell>
          <cell r="Q21">
            <v>0</v>
          </cell>
          <cell r="R21">
            <v>24.686987248000001</v>
          </cell>
          <cell r="S21">
            <v>-6.1403270100479999</v>
          </cell>
          <cell r="T21">
            <v>6.1276105830000001</v>
          </cell>
          <cell r="V21">
            <v>21.666249399999998</v>
          </cell>
          <cell r="X21">
            <v>38.945060583</v>
          </cell>
          <cell r="Y21">
            <v>6.5599939999999997</v>
          </cell>
          <cell r="Z21">
            <v>9.3723333330000003</v>
          </cell>
          <cell r="AA21">
            <v>-1.152294288</v>
          </cell>
          <cell r="AB21">
            <v>9.1108695999999991</v>
          </cell>
          <cell r="AC21">
            <v>28.24</v>
          </cell>
          <cell r="AD21">
            <v>9.9900000000000003E-2</v>
          </cell>
          <cell r="AO21">
            <v>1.0710833</v>
          </cell>
        </row>
        <row r="22">
          <cell r="E22">
            <v>205.06979440000001</v>
          </cell>
          <cell r="J22">
            <v>30.588395000000002</v>
          </cell>
          <cell r="M22">
            <v>64.70807231078436</v>
          </cell>
          <cell r="O22">
            <v>30.177149705097122</v>
          </cell>
          <cell r="P22">
            <v>5.2814920433774404</v>
          </cell>
          <cell r="Q22">
            <v>0</v>
          </cell>
          <cell r="R22">
            <v>22.606025133999999</v>
          </cell>
          <cell r="S22">
            <v>-5.9850185504120006</v>
          </cell>
          <cell r="T22">
            <v>4.667645469</v>
          </cell>
          <cell r="V22">
            <v>9.8701030809999999</v>
          </cell>
          <cell r="X22">
            <v>38.945060583</v>
          </cell>
          <cell r="Y22">
            <v>6.5599939999999997</v>
          </cell>
          <cell r="Z22">
            <v>9.3723333330000003</v>
          </cell>
          <cell r="AA22">
            <v>0</v>
          </cell>
          <cell r="AB22">
            <v>9.1108695999999991</v>
          </cell>
          <cell r="AC22">
            <v>28.24</v>
          </cell>
          <cell r="AD22">
            <v>9.9900000000000003E-2</v>
          </cell>
        </row>
        <row r="23">
          <cell r="E23">
            <v>315.11472176000001</v>
          </cell>
          <cell r="J23">
            <v>30.991099999999999</v>
          </cell>
          <cell r="M23">
            <v>17.233963298895105</v>
          </cell>
          <cell r="O23">
            <v>67.08847970858001</v>
          </cell>
          <cell r="P23">
            <v>-6.7199586198900008</v>
          </cell>
          <cell r="Q23">
            <v>7.4454147449999999</v>
          </cell>
          <cell r="R23">
            <v>24.695675311999999</v>
          </cell>
          <cell r="S23">
            <v>-5.9397909971200002</v>
          </cell>
          <cell r="T23">
            <v>3.5742924129999998</v>
          </cell>
          <cell r="V23">
            <v>10.011047099999999</v>
          </cell>
          <cell r="X23">
            <v>38.945060583</v>
          </cell>
          <cell r="Y23">
            <v>6.5599939999999997</v>
          </cell>
          <cell r="Z23">
            <v>9.3723333330000003</v>
          </cell>
          <cell r="AA23">
            <v>0</v>
          </cell>
          <cell r="AB23">
            <v>9.1108695999999991</v>
          </cell>
          <cell r="AC23">
            <v>28.24</v>
          </cell>
          <cell r="AD23">
            <v>9.9900000000000003E-2</v>
          </cell>
        </row>
        <row r="26">
          <cell r="W26">
            <v>8.5995071999999997</v>
          </cell>
        </row>
        <row r="28">
          <cell r="W28">
            <v>-5.5849145</v>
          </cell>
        </row>
        <row r="29">
          <cell r="W29">
            <v>1.1620438</v>
          </cell>
        </row>
        <row r="30">
          <cell r="W30">
            <v>5.0312716999999996</v>
          </cell>
        </row>
        <row r="31">
          <cell r="W31">
            <v>2.7309931999999999</v>
          </cell>
        </row>
        <row r="32">
          <cell r="W32">
            <v>-0.55911909999999998</v>
          </cell>
        </row>
        <row r="33">
          <cell r="W33">
            <v>-0.2643701</v>
          </cell>
        </row>
        <row r="35">
          <cell r="U35">
            <v>6</v>
          </cell>
        </row>
        <row r="36">
          <cell r="U36">
            <v>6</v>
          </cell>
        </row>
        <row r="37">
          <cell r="U37">
            <v>6</v>
          </cell>
        </row>
        <row r="38">
          <cell r="U38">
            <v>6</v>
          </cell>
        </row>
        <row r="39">
          <cell r="U39">
            <v>1.5</v>
          </cell>
        </row>
        <row r="40">
          <cell r="U40">
            <v>0.9</v>
          </cell>
        </row>
        <row r="41">
          <cell r="W41">
            <v>8.2279263999999994</v>
          </cell>
        </row>
        <row r="42">
          <cell r="W42">
            <v>2.3144307999999998</v>
          </cell>
        </row>
        <row r="43">
          <cell r="W43">
            <v>1.0744141</v>
          </cell>
          <cell r="AO43">
            <v>3.3024999999999999E-3</v>
          </cell>
        </row>
        <row r="111">
          <cell r="B111">
            <v>-0.26047121509999999</v>
          </cell>
          <cell r="C111">
            <v>-0.82596466099999999</v>
          </cell>
        </row>
        <row r="112">
          <cell r="B112">
            <v>-0.26798250000000001</v>
          </cell>
          <cell r="C112">
            <v>-0.78751779700000002</v>
          </cell>
        </row>
        <row r="113">
          <cell r="B113">
            <v>-0.25510959999999999</v>
          </cell>
          <cell r="C113">
            <v>-0.78425486</v>
          </cell>
        </row>
        <row r="114">
          <cell r="B114">
            <v>-0.25507930000000001</v>
          </cell>
          <cell r="C114">
            <v>-0.31286249999999999</v>
          </cell>
        </row>
        <row r="115">
          <cell r="B115">
            <v>-0.27113890000000002</v>
          </cell>
          <cell r="C115">
            <v>-0.25201679999999999</v>
          </cell>
        </row>
        <row r="116">
          <cell r="B116">
            <v>-0.24650459999999999</v>
          </cell>
          <cell r="C116">
            <v>-0.28997060000000002</v>
          </cell>
        </row>
        <row r="117">
          <cell r="B117">
            <v>-0.26071889999999998</v>
          </cell>
          <cell r="C117">
            <v>-0.55765140700000004</v>
          </cell>
        </row>
        <row r="118">
          <cell r="B118">
            <v>-0.27033049999999997</v>
          </cell>
          <cell r="C118">
            <v>-0.32895217999999998</v>
          </cell>
        </row>
        <row r="119">
          <cell r="B119">
            <v>-0.32191180000000003</v>
          </cell>
          <cell r="C119">
            <v>-0.16432079999999999</v>
          </cell>
        </row>
        <row r="120">
          <cell r="B120">
            <v>-0.42053869999999999</v>
          </cell>
          <cell r="C120">
            <v>-0.42736216999999999</v>
          </cell>
        </row>
        <row r="121">
          <cell r="B121">
            <v>-0.33342889999999997</v>
          </cell>
          <cell r="C121">
            <v>-0.14925047799999999</v>
          </cell>
        </row>
        <row r="122">
          <cell r="B122">
            <v>-0.45476070000000002</v>
          </cell>
          <cell r="C122">
            <v>-0.199822</v>
          </cell>
        </row>
      </sheetData>
      <sheetData sheetId="2">
        <row r="9">
          <cell r="L9">
            <v>0.67174999999999996</v>
          </cell>
          <cell r="M9">
            <v>0.65445450000000005</v>
          </cell>
        </row>
        <row r="10">
          <cell r="L10">
            <v>2.59375</v>
          </cell>
          <cell r="M10">
            <v>1.13608361</v>
          </cell>
        </row>
        <row r="11">
          <cell r="L11">
            <v>2.1305000000000001</v>
          </cell>
          <cell r="M11">
            <v>1.25502</v>
          </cell>
        </row>
        <row r="12">
          <cell r="L12">
            <v>7.5010000000000003</v>
          </cell>
          <cell r="M12">
            <v>4.0751622999999997</v>
          </cell>
        </row>
        <row r="13">
          <cell r="L13">
            <v>7.7967500000000003</v>
          </cell>
          <cell r="M13">
            <v>4.2648636</v>
          </cell>
        </row>
      </sheetData>
      <sheetData sheetId="3">
        <row r="13">
          <cell r="C13">
            <v>4.7751256699999995</v>
          </cell>
          <cell r="D13">
            <v>3.9490387502300002</v>
          </cell>
          <cell r="F13">
            <v>4.9400600700000004</v>
          </cell>
          <cell r="G13">
            <v>4.0833039738300005</v>
          </cell>
          <cell r="I13">
            <v>4.36839069</v>
          </cell>
          <cell r="J13">
            <v>3.6029864006099999</v>
          </cell>
          <cell r="L13">
            <v>3.49582909</v>
          </cell>
          <cell r="M13">
            <v>2.8810236702100003</v>
          </cell>
          <cell r="O13">
            <v>3.8394963999999998</v>
          </cell>
          <cell r="P13">
            <v>3.1691244315999998</v>
          </cell>
          <cell r="R13">
            <v>4.0804059400000003</v>
          </cell>
          <cell r="S13">
            <v>3.3720187678599998</v>
          </cell>
          <cell r="U13">
            <v>4.6353376399999995</v>
          </cell>
          <cell r="V13">
            <v>3.8263028351599999</v>
          </cell>
          <cell r="X13">
            <v>4.2778998699999997</v>
          </cell>
          <cell r="Y13">
            <v>3.53110042003</v>
          </cell>
          <cell r="AA13">
            <v>4.44915577</v>
          </cell>
          <cell r="AB13">
            <v>3.6661117771300002</v>
          </cell>
          <cell r="AD13">
            <v>4.5402650099999997</v>
          </cell>
          <cell r="AE13">
            <v>3.7366898226899998</v>
          </cell>
          <cell r="AG13">
            <v>4.6275617099999993</v>
          </cell>
          <cell r="AH13">
            <v>3.7270060749899998</v>
          </cell>
          <cell r="AJ13">
            <v>4.9934690000000002</v>
          </cell>
          <cell r="AK13">
            <v>3.8399779999999999</v>
          </cell>
        </row>
        <row r="14">
          <cell r="C14">
            <v>16.580703268000001</v>
          </cell>
          <cell r="D14">
            <v>10.725297142800001</v>
          </cell>
          <cell r="F14">
            <v>17.021400094999997</v>
          </cell>
          <cell r="G14">
            <v>11.029329965500001</v>
          </cell>
          <cell r="I14">
            <v>16.452255082000001</v>
          </cell>
          <cell r="J14">
            <v>10.6696167524</v>
          </cell>
          <cell r="L14">
            <v>17.110860217399999</v>
          </cell>
          <cell r="M14">
            <v>11.11362166804</v>
          </cell>
          <cell r="O14">
            <v>18.144879846000002</v>
          </cell>
          <cell r="P14">
            <v>11.732528375599999</v>
          </cell>
          <cell r="R14">
            <v>15.995972910299999</v>
          </cell>
          <cell r="S14">
            <v>10.352048977380001</v>
          </cell>
          <cell r="U14">
            <v>16.654090572000001</v>
          </cell>
          <cell r="V14">
            <v>10.746815031200001</v>
          </cell>
          <cell r="X14">
            <v>17.697963375499999</v>
          </cell>
          <cell r="Y14">
            <v>11.46923787105</v>
          </cell>
          <cell r="AA14">
            <v>21.482460814500001</v>
          </cell>
          <cell r="AB14">
            <v>13.973749965950001</v>
          </cell>
          <cell r="AD14">
            <v>29.127464958000001</v>
          </cell>
          <cell r="AE14">
            <v>18.870759325799998</v>
          </cell>
          <cell r="AG14">
            <v>22.337254081999998</v>
          </cell>
          <cell r="AH14">
            <v>14.443717701199999</v>
          </cell>
          <cell r="AJ14">
            <v>32.109056000000002</v>
          </cell>
          <cell r="AK14">
            <v>20.757942500000002</v>
          </cell>
        </row>
      </sheetData>
      <sheetData sheetId="4"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Assumptions"/>
      <sheetName val="Index "/>
      <sheetName val="ARR Summary"/>
      <sheetName val="May12"/>
      <sheetName val="June12"/>
      <sheetName val="July12"/>
      <sheetName val="Aug12"/>
      <sheetName val="Sep12"/>
      <sheetName val="Oct12"/>
      <sheetName val="Nov12"/>
      <sheetName val="Dec12"/>
      <sheetName val="Jan13"/>
      <sheetName val="Feb13"/>
      <sheetName val="Mar13"/>
      <sheetName val="F1"/>
      <sheetName val="F1.1"/>
      <sheetName val="SalesProjection Workings"/>
      <sheetName val="Monthwise sales"/>
      <sheetName val="F1.2"/>
      <sheetName val="F1.3"/>
      <sheetName val="F 1(a)"/>
      <sheetName val="Tariff Structure"/>
      <sheetName val="Sales and ABR"/>
      <sheetName val="Transport deficit"/>
      <sheetName val="Tariff as per MYT Order"/>
      <sheetName val="F2"/>
      <sheetName val="PP FY 2012-13"/>
      <sheetName val="PP FY 2013-14 "/>
      <sheetName val="Power Purchase Projections"/>
      <sheetName val="TPC G"/>
      <sheetName val="F2.1"/>
      <sheetName val="F3"/>
      <sheetName val="F3.1"/>
      <sheetName val="3.2"/>
      <sheetName val="F3.3"/>
      <sheetName val="F3.4"/>
      <sheetName val="F3.5"/>
      <sheetName val="F4"/>
      <sheetName val="F5"/>
      <sheetName val="F5.1"/>
      <sheetName val="F6"/>
      <sheetName val="F5.2"/>
      <sheetName val="F6 .1"/>
      <sheetName val="F7 "/>
      <sheetName val="F8"/>
      <sheetName val="F9"/>
      <sheetName val="F10 "/>
      <sheetName val="F10.1_sale of scrap"/>
      <sheetName val="F 11"/>
      <sheetName val="F12"/>
      <sheetName val="F13"/>
      <sheetName val="F14"/>
      <sheetName val="F14.1"/>
      <sheetName val="F14.2"/>
      <sheetName val="F15"/>
      <sheetName val="F16"/>
      <sheetName val="Reconcilation 2012-13"/>
      <sheetName val="Reconcilation _2013-14"/>
      <sheetName val="F17"/>
      <sheetName val="F18"/>
      <sheetName val="F19.1"/>
      <sheetName val="F19"/>
      <sheetName val="F22"/>
      <sheetName val="SBI PLR"/>
      <sheetName val="IDC13-14"/>
      <sheetName val="E2 2012-13"/>
      <sheetName val="E2_2013-14"/>
      <sheetName val="LDetail 2012-13"/>
      <sheetName val="LDetails 2013-14"/>
      <sheetName val="LoanDetails 2012-13"/>
      <sheetName val="LoanDetails2013-14"/>
      <sheetName val="Interest Charges_2012-13"/>
      <sheetName val="CurrentLiabilities 2012-13"/>
      <sheetName val="Working Capital 2013-14"/>
      <sheetName val="WC12-13"/>
      <sheetName val="WC FY 2013-14"/>
      <sheetName val="E5-2011 (2)"/>
      <sheetName val="CD FY 2013-14"/>
      <sheetName val="LD"/>
      <sheetName val="BadDebt13-14"/>
      <sheetName val="ARR"/>
      <sheetName val="ROE13-14"/>
      <sheetName val="ROE"/>
      <sheetName val="Other Expenses13-14"/>
      <sheetName val="Non Tariff Income_12-13"/>
      <sheetName val="NTI13-14"/>
      <sheetName val="ROIF13-14"/>
      <sheetName val="Revenue ApprovedActual"/>
      <sheetName val="MonthWise Unit Sold"/>
      <sheetName val="Revenue 2013-14"/>
      <sheetName val="Revenue 2012-13"/>
      <sheetName val="E13_2013-14"/>
      <sheetName val="E3"/>
      <sheetName val="E13_H1-2012-13"/>
      <sheetName val="E13_H2-2012-13"/>
      <sheetName val="E13_H1F-2013-14"/>
      <sheetName val="E13_H2F-2013-14"/>
      <sheetName val="Reconciliation "/>
      <sheetName val="E6 Summury_2013-14"/>
      <sheetName val="E-6 SUPPLYWISE GRUP"/>
      <sheetName val="P&amp;L"/>
      <sheetName val="GFA1"/>
      <sheetName val="CapExCapi2013-14"/>
      <sheetName val="E5-2011"/>
      <sheetName val="DPR"/>
      <sheetName val="Interest on working capital"/>
      <sheetName val="E9-2001"/>
      <sheetName val="P&amp;L Reconciliation"/>
      <sheetName val="ApprovedTariff"/>
      <sheetName val="ARR2013-14"/>
      <sheetName val="E1"/>
      <sheetName val="idc"/>
      <sheetName val="E13_Q1-2012-13"/>
      <sheetName val="E13_Q2-2012-13"/>
      <sheetName val="E13_Q3-2012-13"/>
      <sheetName val="E13_Q4-2012-13"/>
      <sheetName val="E13_F.Y.2012-13"/>
      <sheetName val="BEST final"/>
      <sheetName val="schedule 3"/>
      <sheetName val="Schedule 1"/>
      <sheetName val="Annexture B"/>
      <sheetName val="WC_2012-13"/>
      <sheetName val="AnnexureB_2013-14"/>
      <sheetName val="SBI PLR Details"/>
      <sheetName val="URIM P&amp;L 12-13"/>
      <sheetName val="Net Capitalisation"/>
      <sheetName val="PowerPurchaseComparison"/>
      <sheetName val="CostOfPowerPurchase"/>
      <sheetName val="O&amp;M Expenses 2012-13"/>
      <sheetName val="O&amp;M Expenses 2013-14"/>
      <sheetName val="AD_Compiled"/>
      <sheetName val="E6-2011-12"/>
      <sheetName val="E6 -2012-13"/>
      <sheetName val="E6-2013-14"/>
      <sheetName val="Depreciation 2012-13"/>
      <sheetName val="Depreciation 2013-14"/>
      <sheetName val="GFA2"/>
      <sheetName val="Accumulated Depreciation "/>
      <sheetName val="Capitalisation 2013-14"/>
      <sheetName val="GFA Reconciliation"/>
    </sheetNames>
    <sheetDataSet>
      <sheetData sheetId="0" refreshError="1">
        <row r="89">
          <cell r="H89">
            <v>372.12</v>
          </cell>
        </row>
        <row r="90">
          <cell r="H90">
            <v>1.6256999999999999</v>
          </cell>
        </row>
        <row r="91">
          <cell r="H91">
            <v>113.27043519999999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6">
          <cell r="F26">
            <v>3751.4848810000003</v>
          </cell>
          <cell r="G26">
            <v>1831.2797269415432</v>
          </cell>
        </row>
        <row r="27">
          <cell r="F27">
            <v>32.920000000000009</v>
          </cell>
          <cell r="G27">
            <v>28.179520000000007</v>
          </cell>
        </row>
        <row r="28">
          <cell r="F28">
            <v>0</v>
          </cell>
          <cell r="G28">
            <v>0</v>
          </cell>
        </row>
        <row r="29">
          <cell r="F29">
            <v>443.11147217976242</v>
          </cell>
          <cell r="G29">
            <v>293.78290605518248</v>
          </cell>
        </row>
        <row r="30">
          <cell r="F30">
            <v>4.3500000000000005</v>
          </cell>
          <cell r="G30">
            <v>3.3451500000000003</v>
          </cell>
        </row>
        <row r="31">
          <cell r="F31">
            <v>981.20979011155953</v>
          </cell>
          <cell r="G31">
            <v>325.85985096834389</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U-4 to U-8"/>
      <sheetName val="Unit-6"/>
      <sheetName val="Table 85_Total TPC-G FY 2014-15"/>
    </sheetNames>
    <sheetDataSet>
      <sheetData sheetId="0" refreshError="1"/>
      <sheetData sheetId="1" refreshError="1"/>
      <sheetData sheetId="2" refreshError="1">
        <row r="6">
          <cell r="D6">
            <v>-1.3231874215000001</v>
          </cell>
        </row>
        <row r="7">
          <cell r="D7">
            <v>1600.4260556452</v>
          </cell>
        </row>
        <row r="8">
          <cell r="D8">
            <v>252.73752852405551</v>
          </cell>
        </row>
        <row r="9">
          <cell r="D9">
            <v>572.73279798069996</v>
          </cell>
        </row>
        <row r="10">
          <cell r="D10">
            <v>268.22642200000001</v>
          </cell>
        </row>
        <row r="11">
          <cell r="D11">
            <v>718.21889424320011</v>
          </cell>
        </row>
      </sheetData>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Mid Term Review Data"/>
    </sheetNames>
    <sheetDataSet>
      <sheetData sheetId="0">
        <row r="21">
          <cell r="G21">
            <v>34.284469999999999</v>
          </cell>
          <cell r="H21">
            <v>18.738520000000001</v>
          </cell>
        </row>
      </sheetData>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53">
          <cell r="E53">
            <v>942.89745044460005</v>
          </cell>
          <cell r="G53">
            <v>370.86341257070006</v>
          </cell>
        </row>
      </sheetData>
      <sheetData sheetId="1"/>
      <sheetData sheetId="2"/>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As on 10.10.2014"/>
      <sheetName val="Actual H1 2014-15"/>
    </sheetNames>
    <sheetDataSet>
      <sheetData sheetId="0" refreshError="1"/>
      <sheetData sheetId="1">
        <row r="2">
          <cell r="B2" t="str">
            <v>Source</v>
          </cell>
          <cell r="C2" t="str">
            <v>MU</v>
          </cell>
          <cell r="D2" t="str">
            <v>Energy Charges</v>
          </cell>
          <cell r="E2" t="str">
            <v>Per unit charges</v>
          </cell>
          <cell r="F2" t="str">
            <v>FAC Charges</v>
          </cell>
        </row>
        <row r="3">
          <cell r="B3" t="str">
            <v>TPC-G unit 4 to 7</v>
          </cell>
          <cell r="C3">
            <v>1313.7610990039002</v>
          </cell>
          <cell r="D3">
            <v>444.23517801717878</v>
          </cell>
          <cell r="E3">
            <v>3.3814000000000002</v>
          </cell>
          <cell r="F3">
            <v>-48.078483758000694</v>
          </cell>
        </row>
        <row r="4">
          <cell r="B4" t="str">
            <v xml:space="preserve">TPC-G Unit 8  </v>
          </cell>
          <cell r="C4">
            <v>0</v>
          </cell>
          <cell r="D4">
            <v>0</v>
          </cell>
          <cell r="E4">
            <v>0</v>
          </cell>
        </row>
        <row r="5">
          <cell r="B5" t="str">
            <v>TPC-G Unit-6</v>
          </cell>
          <cell r="C5">
            <v>113.08313724000001</v>
          </cell>
          <cell r="D5">
            <v>151.18879949261529</v>
          </cell>
          <cell r="E5">
            <v>13.369703315865953</v>
          </cell>
        </row>
        <row r="6">
          <cell r="B6" t="str">
            <v>TPC Thermal</v>
          </cell>
          <cell r="C6">
            <v>1426.8442362439002</v>
          </cell>
          <cell r="D6">
            <v>595.4239775097941</v>
          </cell>
          <cell r="E6">
            <v>4.1730131599873825</v>
          </cell>
        </row>
        <row r="7">
          <cell r="B7" t="str">
            <v>TPC-G Hydro</v>
          </cell>
          <cell r="C7">
            <v>386.44000192570002</v>
          </cell>
          <cell r="D7">
            <v>53.813888734000003</v>
          </cell>
          <cell r="E7">
            <v>1.3925548200454332</v>
          </cell>
        </row>
        <row r="8">
          <cell r="B8" t="str">
            <v>External  Pow. Pur. From    IEX/ PXIL/stn.by/bilateral</v>
          </cell>
          <cell r="C8">
            <v>548.01334399999996</v>
          </cell>
          <cell r="D8">
            <v>181.99527604000002</v>
          </cell>
          <cell r="E8">
            <v>3.3210008119802286</v>
          </cell>
        </row>
        <row r="9">
          <cell r="B9" t="str">
            <v xml:space="preserve">RPS </v>
          </cell>
          <cell r="C9">
            <v>115.95228300000002</v>
          </cell>
          <cell r="D9">
            <v>78.568341200000006</v>
          </cell>
          <cell r="E9">
            <v>6.7759201601921015</v>
          </cell>
        </row>
        <row r="10">
          <cell r="B10" t="str">
            <v xml:space="preserve">Total power Purchased by BEST </v>
          </cell>
          <cell r="C10">
            <v>2477.2498651696001</v>
          </cell>
          <cell r="D10">
            <v>909.80148348379407</v>
          </cell>
          <cell r="E10">
            <v>3.6726270380541779</v>
          </cell>
        </row>
        <row r="11">
          <cell r="B11" t="str">
            <v>MSLDC Pool Imbal.  Power</v>
          </cell>
          <cell r="C11">
            <v>164.01770717040012</v>
          </cell>
          <cell r="D11">
            <v>0.94844119999999976</v>
          </cell>
          <cell r="E11">
            <v>5.7825537032696842E-2</v>
          </cell>
        </row>
        <row r="12">
          <cell r="B12" t="str">
            <v xml:space="preserve">Net Requirement Grosseded up power  </v>
          </cell>
          <cell r="C12">
            <v>2641.2675723400002</v>
          </cell>
          <cell r="D12">
            <v>910.74992468379412</v>
          </cell>
          <cell r="E12">
            <v>3.4481547201858302</v>
          </cell>
        </row>
      </sheetData>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Assumptions"/>
      <sheetName val="Index "/>
      <sheetName val="F1"/>
      <sheetName val="May12"/>
      <sheetName val="June12"/>
      <sheetName val="July12"/>
      <sheetName val="Aug12"/>
      <sheetName val="Sep12"/>
      <sheetName val="Oct12"/>
      <sheetName val="Nov12"/>
      <sheetName val="Dec12"/>
      <sheetName val="Jan13"/>
      <sheetName val="Feb13"/>
      <sheetName val="Mar13"/>
      <sheetName val="F1.1"/>
      <sheetName val="F1.2"/>
      <sheetName val="Tariff Structure"/>
      <sheetName val="Sales and ABR"/>
      <sheetName val="Tariff as per MYT Order"/>
      <sheetName val="F2"/>
      <sheetName val="PP FY 2013-14 "/>
      <sheetName val="PP FY 2012-13"/>
      <sheetName val="Power Purchase Projections"/>
      <sheetName val="TPC G"/>
      <sheetName val="F3"/>
      <sheetName val="F3.1"/>
      <sheetName val="F3.2"/>
      <sheetName val="F3.3"/>
      <sheetName val="O&amp;MCalculation_Normative "/>
      <sheetName val="F4"/>
      <sheetName val="F4.1"/>
      <sheetName val="F5 "/>
      <sheetName val="F5.4 "/>
      <sheetName val="Capitalisation revised"/>
      <sheetName val="F6"/>
      <sheetName val="F7"/>
      <sheetName val="F8"/>
      <sheetName val="F9 "/>
      <sheetName val="F10 "/>
      <sheetName val="F11"/>
      <sheetName val="F12"/>
      <sheetName val="Energy Balance"/>
      <sheetName val="F13"/>
      <sheetName val="F14"/>
      <sheetName val="F15"/>
      <sheetName val="F16"/>
      <sheetName val="Reconcilation 2012-13"/>
      <sheetName val="Reconcilation _2013-14"/>
      <sheetName val="F17"/>
      <sheetName val="SalesProjection Workings"/>
      <sheetName val="Monthwise sales"/>
      <sheetName val="F18"/>
      <sheetName val="F19"/>
      <sheetName val="F19.1"/>
      <sheetName val="F20"/>
      <sheetName val="SBI PLR"/>
      <sheetName val="IDC13-14"/>
      <sheetName val="E2 2012-13"/>
      <sheetName val="E2_2013-14"/>
      <sheetName val="LDetail 2012-13"/>
      <sheetName val="LDetails 2013-14"/>
      <sheetName val="LoanDetails 2012-13"/>
      <sheetName val="LoanDetails2013-14"/>
      <sheetName val="Interest Charges_2012-13"/>
      <sheetName val="CurrentLiabilities 2012-13"/>
      <sheetName val="Working Capital 2013-14"/>
      <sheetName val="WC12-13"/>
      <sheetName val="WC FY 2013-14"/>
      <sheetName val="E5-2011 (2)"/>
      <sheetName val="CD FY 2013-14"/>
      <sheetName val="LD"/>
      <sheetName val="BadDebt13-14"/>
      <sheetName val="ARR"/>
      <sheetName val="ROE13-14"/>
      <sheetName val="ROE"/>
      <sheetName val="Other Expenses13-14"/>
      <sheetName val="Non Tariff Income_12-13"/>
      <sheetName val="NTI13-14"/>
      <sheetName val="ROIF13-14"/>
      <sheetName val="Revenue ApprovedActual"/>
      <sheetName val="MonthWise Unit Sold"/>
      <sheetName val="Revenue 2013-14"/>
      <sheetName val="Revenue 2012-13"/>
      <sheetName val="E13_2013-14"/>
      <sheetName val="E3"/>
      <sheetName val="E13_H1-2012-13"/>
      <sheetName val="E13_H2-2012-13"/>
      <sheetName val="E13_H1F-2013-14"/>
      <sheetName val="E13_H2F-2013-14"/>
      <sheetName val="Reconciliation "/>
      <sheetName val="E6 Summury_2013-14"/>
      <sheetName val="E-6 SUPPLYWISE GRUP"/>
      <sheetName val="P&amp;L"/>
      <sheetName val="GFA1"/>
      <sheetName val="CapExCapi2013-14"/>
      <sheetName val="E5-2011"/>
      <sheetName val="DPR"/>
      <sheetName val="Interest on working capital"/>
      <sheetName val="E9-2001"/>
      <sheetName val="P&amp;L Reconciliation"/>
      <sheetName val="ApprovedTariff"/>
      <sheetName val="ARR2013-14"/>
      <sheetName val="E1"/>
      <sheetName val="idc"/>
      <sheetName val="E13_Q1-2012-13"/>
      <sheetName val="E13_Q2-2012-13"/>
      <sheetName val="E13_Q3-2012-13"/>
      <sheetName val="E13_Q4-2012-13"/>
      <sheetName val="E13_F.Y.2012-13"/>
      <sheetName val="BEST final"/>
      <sheetName val="schedule 3"/>
      <sheetName val="Schedule 1"/>
      <sheetName val="Annexture B"/>
      <sheetName val="WC_2012-13"/>
      <sheetName val="AnnexureB_2013-14"/>
      <sheetName val="SBI PLR Details"/>
      <sheetName val="URIM P&amp;L 12-13"/>
      <sheetName val="Net Capitalisation"/>
      <sheetName val="PowerPurchaseComparison"/>
      <sheetName val="CostOfPowerPurchase"/>
      <sheetName val="O&amp;M Expenses 2012-13"/>
      <sheetName val="O&amp;M Expenses 2013-14"/>
      <sheetName val="AD_Compiled"/>
      <sheetName val="E6-2011-12"/>
      <sheetName val="E6 -2012-13"/>
      <sheetName val="E6-2013-14"/>
      <sheetName val="Depreciation 2012-13"/>
      <sheetName val="Depreciation 2013-14"/>
      <sheetName val="GFA2"/>
      <sheetName val="Accumulated Depreciation "/>
      <sheetName val="Capitalisation 2013-14"/>
      <sheetName val="GFA Reconciliation"/>
    </sheetNames>
    <sheetDataSet>
      <sheetData sheetId="0" refreshError="1">
        <row r="78">
          <cell r="E78">
            <v>4.1270000000000001E-2</v>
          </cell>
          <cell r="F78">
            <v>4.1011687999270068E-2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111.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115.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118.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121.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sheetPr codeName="Sheet1"/>
  <dimension ref="C1:M150"/>
  <sheetViews>
    <sheetView showGridLines="0" view="pageBreakPreview" zoomScale="70" zoomScaleSheetLayoutView="70" workbookViewId="0">
      <pane xSplit="3" ySplit="4" topLeftCell="D5" activePane="bottomRight" state="frozen"/>
      <selection pane="topRight" activeCell="D1" sqref="D1"/>
      <selection pane="bottomLeft" activeCell="A5" sqref="A5"/>
      <selection pane="bottomRight" activeCell="F8" sqref="F8"/>
    </sheetView>
  </sheetViews>
  <sheetFormatPr defaultRowHeight="15.75"/>
  <cols>
    <col min="1" max="1" width="0.5703125" style="254" customWidth="1"/>
    <col min="2" max="2" width="0" style="254" hidden="1" customWidth="1"/>
    <col min="3" max="3" width="87.42578125" style="3576" customWidth="1"/>
    <col min="4" max="4" width="19.28515625" style="254" customWidth="1"/>
    <col min="5" max="5" width="16.5703125" style="254" customWidth="1"/>
    <col min="6" max="6" width="16.28515625" style="254" customWidth="1"/>
    <col min="7" max="7" width="15.140625" style="254" hidden="1" customWidth="1"/>
    <col min="8" max="8" width="18.85546875" style="254" hidden="1" customWidth="1"/>
    <col min="9" max="9" width="15.85546875" style="254" customWidth="1"/>
    <col min="10" max="10" width="15" style="254" customWidth="1"/>
    <col min="11" max="11" width="14" style="254" customWidth="1"/>
    <col min="12" max="16384" width="9.140625" style="254"/>
  </cols>
  <sheetData>
    <row r="1" spans="3:9" ht="16.5" thickBot="1"/>
    <row r="2" spans="3:9" ht="21" customHeight="1" thickBot="1">
      <c r="C2" s="5377" t="s">
        <v>2325</v>
      </c>
      <c r="D2" s="5378"/>
      <c r="E2" s="5378"/>
      <c r="F2" s="5378"/>
      <c r="G2" s="5320"/>
      <c r="H2" s="5321"/>
    </row>
    <row r="4" spans="3:9" ht="21" customHeight="1">
      <c r="C4" s="5073" t="s">
        <v>81</v>
      </c>
      <c r="D4" s="5075" t="s">
        <v>85</v>
      </c>
      <c r="E4" s="5075" t="s">
        <v>82</v>
      </c>
      <c r="F4" s="5075" t="s">
        <v>1845</v>
      </c>
      <c r="G4" s="4102" t="s">
        <v>2442</v>
      </c>
      <c r="H4" s="5075" t="s">
        <v>2443</v>
      </c>
      <c r="I4" s="3357"/>
    </row>
    <row r="5" spans="3:9" s="1042" customFormat="1">
      <c r="C5" s="4296" t="s">
        <v>2123</v>
      </c>
      <c r="D5" s="3519"/>
      <c r="E5" s="3519"/>
      <c r="F5" s="3519"/>
      <c r="G5" s="3520"/>
      <c r="H5" s="3519"/>
      <c r="I5" s="3521"/>
    </row>
    <row r="6" spans="3:9" s="1042" customFormat="1">
      <c r="C6" s="852" t="s">
        <v>2123</v>
      </c>
      <c r="D6" s="3392" t="s">
        <v>151</v>
      </c>
      <c r="E6" s="3522">
        <f>'F4'!$K$53</f>
        <v>126.25000000000001</v>
      </c>
      <c r="F6" s="3522">
        <f>'F4'!$K$103</f>
        <v>99.952000000000012</v>
      </c>
      <c r="G6" s="5071">
        <f>'F4'!$K$156</f>
        <v>151.17500000000001</v>
      </c>
      <c r="H6" s="3522">
        <f>'F4'!$K$207</f>
        <v>189.56</v>
      </c>
      <c r="I6" s="3521"/>
    </row>
    <row r="7" spans="3:9" s="1042" customFormat="1">
      <c r="C7" s="852" t="s">
        <v>717</v>
      </c>
      <c r="D7" s="3392" t="s">
        <v>151</v>
      </c>
      <c r="E7" s="296">
        <v>0.83</v>
      </c>
      <c r="F7" s="3522">
        <f>'IDC13-14'!$I$21</f>
        <v>1.3140050000000001</v>
      </c>
      <c r="G7" s="3652">
        <v>1.35</v>
      </c>
      <c r="H7" s="296">
        <v>0</v>
      </c>
      <c r="I7" s="3521"/>
    </row>
    <row r="8" spans="3:9" ht="18.75">
      <c r="C8" s="5324" t="s">
        <v>2876</v>
      </c>
      <c r="D8" s="3392" t="s">
        <v>151</v>
      </c>
      <c r="E8" s="3399">
        <f>SUM(E6:E7)</f>
        <v>127.08000000000001</v>
      </c>
      <c r="F8" s="3399">
        <f>SUM(F6:F7)</f>
        <v>101.26600500000001</v>
      </c>
      <c r="G8" s="3399">
        <f t="shared" ref="G8:H8" si="0">SUM(G6:G7)</f>
        <v>152.52500000000001</v>
      </c>
      <c r="H8" s="3399">
        <f t="shared" si="0"/>
        <v>189.56</v>
      </c>
    </row>
    <row r="9" spans="3:9">
      <c r="C9" s="3700"/>
      <c r="D9" s="3392"/>
      <c r="E9" s="3399"/>
      <c r="F9" s="3399"/>
      <c r="G9" s="3390"/>
      <c r="H9" s="3390"/>
    </row>
    <row r="10" spans="3:9">
      <c r="C10" s="4297" t="s">
        <v>2863</v>
      </c>
      <c r="D10" s="3392"/>
      <c r="E10" s="3399"/>
      <c r="F10" s="3399"/>
      <c r="G10" s="3390"/>
      <c r="H10" s="3390"/>
    </row>
    <row r="11" spans="3:9">
      <c r="C11" s="3700" t="s">
        <v>3000</v>
      </c>
      <c r="D11" s="3392" t="s">
        <v>151</v>
      </c>
      <c r="E11" s="3399">
        <v>8.3699999999999992</v>
      </c>
      <c r="F11" s="3399">
        <v>8.24</v>
      </c>
      <c r="G11" s="3390">
        <v>9.8000000000000007</v>
      </c>
      <c r="H11" s="3390">
        <v>9.8000000000000007</v>
      </c>
    </row>
    <row r="12" spans="3:9">
      <c r="C12" s="3700" t="s">
        <v>3001</v>
      </c>
      <c r="D12" s="3392" t="s">
        <v>151</v>
      </c>
      <c r="E12" s="3399">
        <v>12</v>
      </c>
      <c r="F12" s="3399">
        <v>12</v>
      </c>
      <c r="G12" s="3390">
        <v>7.85</v>
      </c>
      <c r="H12" s="3390">
        <v>7.85</v>
      </c>
    </row>
    <row r="13" spans="3:9">
      <c r="C13" s="3700" t="s">
        <v>2816</v>
      </c>
      <c r="D13" s="3392" t="s">
        <v>151</v>
      </c>
      <c r="E13" s="3399">
        <v>0</v>
      </c>
      <c r="F13" s="3399">
        <v>0</v>
      </c>
      <c r="G13" s="3390">
        <v>0</v>
      </c>
      <c r="H13" s="3390">
        <v>0</v>
      </c>
    </row>
    <row r="14" spans="3:9">
      <c r="C14" s="3701" t="s">
        <v>2812</v>
      </c>
      <c r="D14" s="3389" t="s">
        <v>2190</v>
      </c>
      <c r="E14" s="3389">
        <f>E8-E11-E13</f>
        <v>118.71000000000001</v>
      </c>
      <c r="F14" s="3389">
        <f>F8-F11-F13</f>
        <v>93.026005000000012</v>
      </c>
      <c r="G14" s="3389">
        <f>G8-G11-G13</f>
        <v>142.72499999999999</v>
      </c>
      <c r="H14" s="3389">
        <f>H8-H11-H13</f>
        <v>179.76</v>
      </c>
      <c r="I14" s="3387"/>
    </row>
    <row r="15" spans="3:9">
      <c r="C15" s="3702" t="s">
        <v>221</v>
      </c>
      <c r="D15" s="3392" t="s">
        <v>89</v>
      </c>
      <c r="E15" s="3393">
        <v>0.7</v>
      </c>
      <c r="F15" s="3393">
        <v>0.7</v>
      </c>
      <c r="G15" s="3393">
        <v>0.7</v>
      </c>
      <c r="H15" s="3393">
        <v>0.7</v>
      </c>
      <c r="I15" s="3387"/>
    </row>
    <row r="16" spans="3:9">
      <c r="C16" s="3702" t="s">
        <v>607</v>
      </c>
      <c r="D16" s="3392" t="s">
        <v>89</v>
      </c>
      <c r="E16" s="3393">
        <v>0.3</v>
      </c>
      <c r="F16" s="3393">
        <v>0.3</v>
      </c>
      <c r="G16" s="3393">
        <v>0.3</v>
      </c>
      <c r="H16" s="3393">
        <v>0.3</v>
      </c>
      <c r="I16" s="1503"/>
    </row>
    <row r="17" spans="3:9">
      <c r="C17" s="3702" t="s">
        <v>2408</v>
      </c>
      <c r="D17" s="3389" t="s">
        <v>2190</v>
      </c>
      <c r="E17" s="3389">
        <f t="shared" ref="E17:F18" si="1">E15*E$14</f>
        <v>83.096999999999994</v>
      </c>
      <c r="F17" s="3389">
        <f t="shared" si="1"/>
        <v>65.118203500000007</v>
      </c>
      <c r="G17" s="3389">
        <f>G15*G$14</f>
        <v>99.907499999999985</v>
      </c>
      <c r="H17" s="3389">
        <f>H15*H$14</f>
        <v>125.83199999999998</v>
      </c>
      <c r="I17" s="1503"/>
    </row>
    <row r="18" spans="3:9">
      <c r="C18" s="3702" t="s">
        <v>2426</v>
      </c>
      <c r="D18" s="3389" t="s">
        <v>2190</v>
      </c>
      <c r="E18" s="3389">
        <f t="shared" si="1"/>
        <v>35.613</v>
      </c>
      <c r="F18" s="3389">
        <f>F16*F$14</f>
        <v>27.907801500000001</v>
      </c>
      <c r="G18" s="3389">
        <f>G16*G$14</f>
        <v>42.817499999999995</v>
      </c>
      <c r="H18" s="3389">
        <f>H16*H$14</f>
        <v>53.927999999999997</v>
      </c>
      <c r="I18" s="1503"/>
    </row>
    <row r="19" spans="3:9">
      <c r="C19" s="3702"/>
      <c r="D19" s="3389"/>
      <c r="E19" s="3389"/>
      <c r="F19" s="3389"/>
      <c r="G19" s="3390"/>
      <c r="H19" s="3391"/>
      <c r="I19" s="1503"/>
    </row>
    <row r="20" spans="3:9">
      <c r="C20" s="4298" t="s">
        <v>2864</v>
      </c>
      <c r="D20" s="3389"/>
      <c r="E20" s="3389"/>
      <c r="F20" s="3389"/>
      <c r="G20" s="3390"/>
      <c r="H20" s="3391"/>
      <c r="I20" s="1503"/>
    </row>
    <row r="21" spans="3:9">
      <c r="C21" s="3447" t="s">
        <v>2811</v>
      </c>
      <c r="D21" s="3392" t="s">
        <v>151</v>
      </c>
      <c r="E21" s="3433">
        <v>1838.84</v>
      </c>
      <c r="F21" s="3433">
        <v>2058.44</v>
      </c>
      <c r="G21" s="3431">
        <v>2327.87</v>
      </c>
      <c r="H21" s="3431">
        <v>2612.7199999999998</v>
      </c>
    </row>
    <row r="22" spans="3:9">
      <c r="C22" s="3447" t="s">
        <v>2998</v>
      </c>
      <c r="D22" s="3392" t="s">
        <v>151</v>
      </c>
      <c r="E22" s="3524">
        <v>94.43</v>
      </c>
      <c r="F22" s="3524">
        <v>105.61</v>
      </c>
      <c r="G22" s="3524">
        <v>119.33</v>
      </c>
      <c r="H22" s="3524">
        <v>133.69</v>
      </c>
    </row>
    <row r="23" spans="3:9">
      <c r="C23" s="3447"/>
      <c r="D23" s="3392"/>
      <c r="E23" s="3658"/>
      <c r="F23" s="3658"/>
      <c r="G23" s="3657"/>
      <c r="H23" s="3657"/>
    </row>
    <row r="24" spans="3:9">
      <c r="C24" s="3663" t="s">
        <v>2923</v>
      </c>
      <c r="D24" s="3392"/>
      <c r="E24" s="3510"/>
      <c r="F24" s="3510"/>
      <c r="G24" s="3508"/>
      <c r="H24" s="3508"/>
    </row>
    <row r="25" spans="3:9">
      <c r="C25" s="3447" t="s">
        <v>2867</v>
      </c>
      <c r="D25" s="3392" t="s">
        <v>151</v>
      </c>
      <c r="E25" s="3510">
        <f>F5.1!$H$23</f>
        <v>1851.3757147000001</v>
      </c>
      <c r="F25" s="3510">
        <f>F5.1!$M$23</f>
        <v>1961.6681170500003</v>
      </c>
      <c r="G25" s="3792">
        <f>F5.1!$Q$23</f>
        <v>2037.2327527999998</v>
      </c>
      <c r="H25" s="3508"/>
    </row>
    <row r="26" spans="3:9">
      <c r="C26" s="3447" t="s">
        <v>2866</v>
      </c>
      <c r="D26" s="3392" t="s">
        <v>151</v>
      </c>
      <c r="E26" s="3474">
        <f>F5.1!$I$50</f>
        <v>91.160447745359988</v>
      </c>
      <c r="F26" s="3474">
        <f>F5.1!$M$50</f>
        <v>96.526377634059628</v>
      </c>
      <c r="G26" s="5099">
        <v>98.01</v>
      </c>
      <c r="H26" s="258"/>
    </row>
    <row r="27" spans="3:9">
      <c r="C27" s="3701" t="s">
        <v>2194</v>
      </c>
      <c r="D27" s="3389" t="s">
        <v>89</v>
      </c>
      <c r="E27" s="3394">
        <f>E26/E25</f>
        <v>4.9239301899415791E-2</v>
      </c>
      <c r="F27" s="3394">
        <f>F26/F25</f>
        <v>4.9206273372693704E-2</v>
      </c>
      <c r="G27" s="3394">
        <f>G26/G25</f>
        <v>4.8109377716067915E-2</v>
      </c>
      <c r="H27" s="3662">
        <f>G27</f>
        <v>4.8109377716067915E-2</v>
      </c>
      <c r="I27" s="1503"/>
    </row>
    <row r="28" spans="3:9">
      <c r="C28" s="3701"/>
      <c r="D28" s="3389"/>
      <c r="E28" s="3394"/>
      <c r="F28" s="3394"/>
      <c r="G28" s="3390"/>
      <c r="H28" s="3391"/>
      <c r="I28" s="1503"/>
    </row>
    <row r="29" spans="3:9">
      <c r="C29" s="3703" t="s">
        <v>2882</v>
      </c>
      <c r="D29" s="3389"/>
      <c r="E29" s="3394"/>
      <c r="F29" s="3394"/>
      <c r="G29" s="3390"/>
      <c r="H29" s="3391"/>
      <c r="I29" s="1503"/>
    </row>
    <row r="30" spans="3:9">
      <c r="C30" s="3447" t="s">
        <v>2865</v>
      </c>
      <c r="D30" s="3392" t="s">
        <v>151</v>
      </c>
      <c r="E30" s="3510">
        <f>E21</f>
        <v>1838.84</v>
      </c>
      <c r="F30" s="3510">
        <f>E34</f>
        <v>1953.5328436684999</v>
      </c>
      <c r="G30" s="3658">
        <f>F34*0+G25</f>
        <v>2037.2327527999998</v>
      </c>
      <c r="H30" s="3658">
        <f t="shared" ref="H30" si="2">G34</f>
        <v>2176.9277527999998</v>
      </c>
    </row>
    <row r="31" spans="3:9">
      <c r="C31" s="3447" t="s">
        <v>3009</v>
      </c>
      <c r="D31" s="3392" t="s">
        <v>151</v>
      </c>
      <c r="E31" s="3658">
        <f>E8</f>
        <v>127.08000000000001</v>
      </c>
      <c r="F31" s="3658">
        <f t="shared" ref="F31:H31" si="3">F8</f>
        <v>101.26600500000001</v>
      </c>
      <c r="G31" s="3658">
        <f>G8</f>
        <v>152.52500000000001</v>
      </c>
      <c r="H31" s="3658">
        <f t="shared" si="3"/>
        <v>189.56</v>
      </c>
    </row>
    <row r="32" spans="3:9">
      <c r="C32" s="3701" t="s">
        <v>2191</v>
      </c>
      <c r="D32" s="3389" t="s">
        <v>2190</v>
      </c>
      <c r="E32" s="3510">
        <f>F5.1!$J$23</f>
        <v>12.387156331500002</v>
      </c>
      <c r="F32" s="3510">
        <f>F5.1!$O$23</f>
        <v>15.203106049999999</v>
      </c>
      <c r="G32" s="3757">
        <v>12.83</v>
      </c>
      <c r="H32" s="3653">
        <f>SUMPRODUCT(E30:F30,E33:F33)/SUM(E30:F30)*H30</f>
        <v>15.837579890278143</v>
      </c>
      <c r="I32" s="1503"/>
    </row>
    <row r="33" spans="3:9">
      <c r="C33" s="3701" t="s">
        <v>2983</v>
      </c>
      <c r="D33" s="3389"/>
      <c r="E33" s="1680">
        <f>E32/E30</f>
        <v>6.7363970391659976E-3</v>
      </c>
      <c r="F33" s="1680">
        <f>F32/F30</f>
        <v>7.7823652155498916E-3</v>
      </c>
      <c r="G33" s="3758">
        <f>G32/G30</f>
        <v>6.2977585562407033E-3</v>
      </c>
      <c r="H33" s="3758">
        <f>H32/H30</f>
        <v>7.2751977505489517E-3</v>
      </c>
      <c r="I33" s="1503"/>
    </row>
    <row r="34" spans="3:9">
      <c r="C34" s="3701" t="s">
        <v>2489</v>
      </c>
      <c r="D34" s="3389" t="s">
        <v>2190</v>
      </c>
      <c r="E34" s="3658">
        <f>E30+E31-E32</f>
        <v>1953.5328436684999</v>
      </c>
      <c r="F34" s="3658">
        <f>F30+F31-F32</f>
        <v>2039.5957426184998</v>
      </c>
      <c r="G34" s="3658">
        <f>G30+G31-G32</f>
        <v>2176.9277527999998</v>
      </c>
      <c r="H34" s="3658">
        <f>H30+H31-H32</f>
        <v>2350.6501729097217</v>
      </c>
      <c r="I34" s="1503"/>
    </row>
    <row r="35" spans="3:9">
      <c r="C35" s="4299" t="s">
        <v>2999</v>
      </c>
      <c r="D35" s="3809" t="s">
        <v>151</v>
      </c>
      <c r="E35" s="3751">
        <f>E27*E30</f>
        <v>90.543197904721723</v>
      </c>
      <c r="F35" s="3751">
        <f t="shared" ref="F35" si="4">F27*F30</f>
        <v>96.126071148087917</v>
      </c>
      <c r="G35" s="3751">
        <f>G27*G30</f>
        <v>98.01</v>
      </c>
      <c r="H35" s="3751">
        <f>H27*H30</f>
        <v>104.73063952004611</v>
      </c>
    </row>
    <row r="36" spans="3:9">
      <c r="C36" s="3701" t="s">
        <v>2892</v>
      </c>
      <c r="D36" s="3389" t="s">
        <v>2190</v>
      </c>
      <c r="E36" s="3580">
        <v>0</v>
      </c>
      <c r="F36" s="3671">
        <v>12.674523499999999</v>
      </c>
      <c r="G36" s="3390"/>
      <c r="H36" s="3391"/>
      <c r="I36" s="1503"/>
    </row>
    <row r="37" spans="3:9">
      <c r="C37" s="3701"/>
      <c r="D37" s="3389"/>
      <c r="E37" s="3389"/>
      <c r="F37" s="3389"/>
      <c r="G37" s="3390"/>
      <c r="H37" s="3391"/>
      <c r="I37" s="1503"/>
    </row>
    <row r="38" spans="3:9">
      <c r="C38" s="4300" t="s">
        <v>2868</v>
      </c>
      <c r="D38" s="3389"/>
      <c r="E38" s="3389"/>
      <c r="F38" s="3389"/>
      <c r="G38" s="3390"/>
      <c r="H38" s="3391"/>
      <c r="I38" s="1503"/>
    </row>
    <row r="39" spans="3:9">
      <c r="C39" s="3701" t="s">
        <v>2192</v>
      </c>
      <c r="D39" s="3389" t="s">
        <v>2190</v>
      </c>
      <c r="E39" s="3389">
        <f>'F6'!$E$85</f>
        <v>94.454583299999996</v>
      </c>
      <c r="F39" s="3389">
        <f>'F6'!$G$85</f>
        <v>81.11</v>
      </c>
      <c r="G39" s="3390"/>
      <c r="H39" s="3391"/>
      <c r="I39" s="1503"/>
    </row>
    <row r="40" spans="3:9">
      <c r="C40" s="3701" t="s">
        <v>2886</v>
      </c>
      <c r="D40" s="3389" t="s">
        <v>89</v>
      </c>
      <c r="E40" s="3394">
        <f>'F6'!F120</f>
        <v>0.10579555425563031</v>
      </c>
      <c r="F40" s="3394">
        <f>'F6'!F132</f>
        <v>0.10797913157402209</v>
      </c>
      <c r="G40" s="4071">
        <f>'F6'!$F$145</f>
        <v>8.70460183577276E-2</v>
      </c>
      <c r="H40" s="4071">
        <f>'F6'!$F$158</f>
        <v>9.4520324850169368E-2</v>
      </c>
      <c r="I40" s="1503"/>
    </row>
    <row r="41" spans="3:9">
      <c r="C41" s="3702" t="s">
        <v>2193</v>
      </c>
      <c r="D41" s="3392" t="s">
        <v>89</v>
      </c>
      <c r="E41" s="3698">
        <v>0.14449999999999999</v>
      </c>
      <c r="F41" s="3698">
        <v>0.14449999999999999</v>
      </c>
      <c r="G41" s="3698">
        <f>'SBI PLR'!$E$65</f>
        <v>0.14749999999999999</v>
      </c>
      <c r="H41" s="3698">
        <f>'SBI PLR'!$E$65</f>
        <v>0.14749999999999999</v>
      </c>
      <c r="I41" s="1503"/>
    </row>
    <row r="42" spans="3:9">
      <c r="C42" s="3702" t="s">
        <v>2924</v>
      </c>
      <c r="D42" s="3392" t="s">
        <v>89</v>
      </c>
      <c r="E42" s="3698">
        <f>'SBI PLR'!$E$51</f>
        <v>0.14614931506849316</v>
      </c>
      <c r="F42" s="3698">
        <f>'SBI PLR'!$E$58</f>
        <v>0.14582602739726028</v>
      </c>
      <c r="G42" s="3698">
        <f>'SBI PLR'!$E$65</f>
        <v>0.14749999999999999</v>
      </c>
      <c r="H42" s="3698">
        <f>'SBI PLR'!$E$65</f>
        <v>0.14749999999999999</v>
      </c>
      <c r="I42" s="1503"/>
    </row>
    <row r="43" spans="3:9">
      <c r="C43" s="3702"/>
      <c r="D43" s="3392"/>
      <c r="E43" s="3698"/>
      <c r="F43" s="3698"/>
      <c r="G43" s="3698"/>
      <c r="H43" s="3699"/>
      <c r="I43" s="1503"/>
    </row>
    <row r="44" spans="3:9">
      <c r="C44" s="3772" t="s">
        <v>2897</v>
      </c>
      <c r="D44" s="3392"/>
      <c r="E44" s="3698"/>
      <c r="F44" s="3698"/>
      <c r="G44" s="3698"/>
      <c r="H44" s="3699"/>
      <c r="I44" s="1503"/>
    </row>
    <row r="45" spans="3:9">
      <c r="C45" s="3702" t="s">
        <v>2987</v>
      </c>
      <c r="D45" s="3389" t="s">
        <v>2190</v>
      </c>
      <c r="E45" s="3505">
        <v>97.82</v>
      </c>
      <c r="F45" s="3773">
        <v>168.32999999999998</v>
      </c>
      <c r="G45" s="1028">
        <f>F48</f>
        <v>265.31999999999994</v>
      </c>
      <c r="H45" s="1028">
        <f>G48</f>
        <v>360.08</v>
      </c>
      <c r="I45" s="1503"/>
    </row>
    <row r="46" spans="3:9">
      <c r="C46" s="3702" t="s">
        <v>2985</v>
      </c>
      <c r="D46" s="3389" t="s">
        <v>2190</v>
      </c>
      <c r="E46" s="3505">
        <v>164.94</v>
      </c>
      <c r="F46" s="3505">
        <v>202.6</v>
      </c>
      <c r="G46" s="3506">
        <v>214.09</v>
      </c>
      <c r="H46" s="3766">
        <v>210.07</v>
      </c>
      <c r="I46" s="1503"/>
    </row>
    <row r="47" spans="3:9">
      <c r="C47" s="3702" t="s">
        <v>2141</v>
      </c>
      <c r="D47" s="3389" t="s">
        <v>2190</v>
      </c>
      <c r="E47" s="3506">
        <f>E22</f>
        <v>94.43</v>
      </c>
      <c r="F47" s="3506">
        <f t="shared" ref="F47" si="5">F22</f>
        <v>105.61</v>
      </c>
      <c r="G47" s="3506">
        <f>G22</f>
        <v>119.33</v>
      </c>
      <c r="H47" s="3506">
        <f>H22</f>
        <v>133.69</v>
      </c>
      <c r="I47" s="1503"/>
    </row>
    <row r="48" spans="3:9">
      <c r="C48" s="3702" t="s">
        <v>2986</v>
      </c>
      <c r="D48" s="3389" t="s">
        <v>2190</v>
      </c>
      <c r="E48" s="3773">
        <f>E45+E46-E47</f>
        <v>168.32999999999998</v>
      </c>
      <c r="F48" s="3773">
        <f>F45+F46-F47</f>
        <v>265.31999999999994</v>
      </c>
      <c r="G48" s="3773">
        <f>G45+G46-G47</f>
        <v>360.08</v>
      </c>
      <c r="H48" s="3773">
        <f>H45+H46-H47</f>
        <v>436.46</v>
      </c>
      <c r="I48" s="1503"/>
    </row>
    <row r="49" spans="3:9">
      <c r="C49" s="3702"/>
      <c r="D49" s="3392"/>
      <c r="E49" s="3394"/>
      <c r="F49" s="3394"/>
      <c r="G49" s="3390"/>
      <c r="H49" s="3391"/>
      <c r="I49" s="1503"/>
    </row>
    <row r="50" spans="3:9">
      <c r="C50" s="4298" t="s">
        <v>2869</v>
      </c>
      <c r="D50" s="3392"/>
      <c r="E50" s="3394"/>
      <c r="F50" s="3394"/>
      <c r="G50" s="3390"/>
      <c r="H50" s="3391"/>
      <c r="I50" s="1503"/>
    </row>
    <row r="51" spans="3:9">
      <c r="C51" s="3704" t="s">
        <v>2870</v>
      </c>
      <c r="D51" s="3395" t="s">
        <v>89</v>
      </c>
      <c r="E51" s="3697">
        <v>0.87170000000000003</v>
      </c>
      <c r="F51" s="3697">
        <v>0.87549999999999994</v>
      </c>
      <c r="G51" s="3697">
        <v>0.87549999999999994</v>
      </c>
      <c r="H51" s="3697">
        <v>0.87549999999999994</v>
      </c>
      <c r="I51" s="1503"/>
    </row>
    <row r="52" spans="3:9">
      <c r="C52" s="3704" t="s">
        <v>2871</v>
      </c>
      <c r="D52" s="3395" t="s">
        <v>89</v>
      </c>
      <c r="E52" s="3396">
        <v>0.155</v>
      </c>
      <c r="F52" s="3396">
        <v>0.155</v>
      </c>
      <c r="G52" s="3396">
        <v>0.155</v>
      </c>
      <c r="H52" s="3396">
        <v>0.155</v>
      </c>
      <c r="I52" s="1503"/>
    </row>
    <row r="53" spans="3:9">
      <c r="C53" s="3704" t="s">
        <v>2872</v>
      </c>
      <c r="D53" s="3395" t="s">
        <v>89</v>
      </c>
      <c r="E53" s="3697">
        <v>0.1283</v>
      </c>
      <c r="F53" s="3697">
        <v>0.1245</v>
      </c>
      <c r="G53" s="3697">
        <v>0.1245</v>
      </c>
      <c r="H53" s="3697">
        <v>0.1245</v>
      </c>
      <c r="I53" s="1503"/>
    </row>
    <row r="54" spans="3:9">
      <c r="C54" s="3704" t="s">
        <v>2873</v>
      </c>
      <c r="D54" s="3395" t="s">
        <v>89</v>
      </c>
      <c r="E54" s="3396">
        <v>0.17499999999999999</v>
      </c>
      <c r="F54" s="3396">
        <v>0.17499999999999999</v>
      </c>
      <c r="G54" s="3396">
        <v>0.17499999999999999</v>
      </c>
      <c r="H54" s="3396">
        <v>0.17499999999999999</v>
      </c>
      <c r="I54" s="1503"/>
    </row>
    <row r="55" spans="3:9">
      <c r="C55" s="3706" t="s">
        <v>2875</v>
      </c>
      <c r="D55" s="3810" t="s">
        <v>89</v>
      </c>
      <c r="E55" s="3811">
        <f>(E51*E52)+(E53*E54)</f>
        <v>0.15756599999999998</v>
      </c>
      <c r="F55" s="3811">
        <f>(F51*F52)+(F53*F54)</f>
        <v>0.15748999999999999</v>
      </c>
      <c r="G55" s="3811">
        <f>(G51*G52)+(G53*G54)</f>
        <v>0.15748999999999999</v>
      </c>
      <c r="H55" s="3811">
        <f>(H51*H52)+(H53*H54)</f>
        <v>0.15748999999999999</v>
      </c>
      <c r="I55" s="1503"/>
    </row>
    <row r="56" spans="3:9">
      <c r="C56" s="3705" t="s">
        <v>2993</v>
      </c>
      <c r="D56" s="3392" t="s">
        <v>151</v>
      </c>
      <c r="E56" s="3481">
        <f>'F9'!F22</f>
        <v>124.74790559782062</v>
      </c>
      <c r="F56" s="3481">
        <f>'F9'!H22</f>
        <v>129.03790194815093</v>
      </c>
      <c r="G56" s="3481">
        <f>'F9'!J22</f>
        <v>133.94492573399629</v>
      </c>
      <c r="H56" s="3481">
        <f>'F9'!L22</f>
        <v>140.88592155795828</v>
      </c>
      <c r="I56" s="1503"/>
    </row>
    <row r="57" spans="3:9">
      <c r="C57" s="3705"/>
      <c r="D57" s="3395"/>
      <c r="E57" s="3396"/>
      <c r="F57" s="3396"/>
      <c r="G57" s="3396"/>
      <c r="H57" s="3396"/>
      <c r="I57" s="1503"/>
    </row>
    <row r="58" spans="3:9" hidden="1">
      <c r="C58" s="3705"/>
      <c r="D58" s="3392"/>
      <c r="E58" s="3481"/>
      <c r="F58" s="3481"/>
      <c r="G58" s="3481"/>
      <c r="H58" s="3481"/>
      <c r="I58" s="1503"/>
    </row>
    <row r="59" spans="3:9">
      <c r="C59" s="3700" t="s">
        <v>2874</v>
      </c>
      <c r="D59" s="3392" t="s">
        <v>89</v>
      </c>
      <c r="E59" s="3397">
        <v>0.06</v>
      </c>
      <c r="F59" s="3397">
        <v>0.06</v>
      </c>
      <c r="G59" s="3397">
        <v>0.06</v>
      </c>
      <c r="H59" s="3397">
        <v>0.06</v>
      </c>
      <c r="I59" s="1503"/>
    </row>
    <row r="60" spans="3:9">
      <c r="C60" s="3705" t="s">
        <v>2860</v>
      </c>
      <c r="D60" s="3392" t="s">
        <v>151</v>
      </c>
      <c r="E60" s="3481">
        <f>'F13'!F18</f>
        <v>5.2793999999999999</v>
      </c>
      <c r="F60" s="3481">
        <f>'F13'!H18</f>
        <v>5.2793999999999999</v>
      </c>
      <c r="G60" s="3481">
        <f>'F13'!I18</f>
        <v>5.2793999999999999</v>
      </c>
      <c r="H60" s="3481">
        <f>'F13'!J18</f>
        <v>5.2793999999999999</v>
      </c>
      <c r="I60" s="1503"/>
    </row>
    <row r="61" spans="3:9">
      <c r="C61" s="3705"/>
      <c r="D61" s="3392"/>
      <c r="E61" s="3481"/>
      <c r="F61" s="3481"/>
      <c r="G61" s="3390"/>
      <c r="H61" s="3391"/>
      <c r="I61" s="1503"/>
    </row>
    <row r="62" spans="3:9">
      <c r="C62" s="4301" t="s">
        <v>2916</v>
      </c>
      <c r="D62" s="3392"/>
      <c r="E62" s="3481"/>
      <c r="F62" s="3481"/>
      <c r="G62" s="3390"/>
      <c r="H62" s="3391"/>
      <c r="I62" s="1503"/>
    </row>
    <row r="63" spans="3:9">
      <c r="C63" s="3705" t="s">
        <v>2918</v>
      </c>
      <c r="D63" s="3395" t="s">
        <v>89</v>
      </c>
      <c r="E63" s="3396">
        <f>'F12'!D11-'F12'!C11</f>
        <v>4.9746917808219271E-2</v>
      </c>
      <c r="F63" s="3396">
        <f>'F12'!F11-'F12'!E11</f>
        <v>4.9712500000000048E-2</v>
      </c>
      <c r="G63" s="3661"/>
      <c r="H63" s="3662"/>
      <c r="I63" s="1503"/>
    </row>
    <row r="64" spans="3:9">
      <c r="C64" s="3705" t="s">
        <v>2937</v>
      </c>
      <c r="D64" s="3395" t="s">
        <v>89</v>
      </c>
      <c r="E64" s="3396">
        <f>E52+(0.1*E63/1)</f>
        <v>0.15997469178082194</v>
      </c>
      <c r="F64" s="3396">
        <f>F52+(0.1*F63/1)</f>
        <v>0.15997125000000001</v>
      </c>
      <c r="G64" s="3396"/>
      <c r="H64" s="3396"/>
      <c r="I64" s="1503"/>
    </row>
    <row r="65" spans="3:12">
      <c r="C65" s="3705" t="s">
        <v>2917</v>
      </c>
      <c r="D65" s="3395" t="s">
        <v>89</v>
      </c>
      <c r="E65" s="3396">
        <f>'F12'!D13-'F12'!C13</f>
        <v>6.7911909703443518E-2</v>
      </c>
      <c r="F65" s="3396">
        <f>'F12'!F13-'F12'!E13</f>
        <v>8.5672135391303694E-2</v>
      </c>
      <c r="G65" s="3396"/>
      <c r="H65" s="3396"/>
      <c r="I65" s="1503"/>
    </row>
    <row r="66" spans="3:12">
      <c r="C66" s="3705" t="s">
        <v>2938</v>
      </c>
      <c r="D66" s="3395" t="s">
        <v>89</v>
      </c>
      <c r="E66" s="3396">
        <f>E54+(0.1*E65/1)</f>
        <v>0.18179119097034435</v>
      </c>
      <c r="F66" s="3396">
        <f>F54+(0.1*F65/1)</f>
        <v>0.18356721353913036</v>
      </c>
      <c r="G66" s="3396"/>
      <c r="H66" s="3396"/>
      <c r="I66" s="1503"/>
      <c r="J66" s="4380">
        <f>(122291.334-117289.131)/122291.334</f>
        <v>4.0903985886686041E-2</v>
      </c>
      <c r="K66" s="254">
        <v>117289.13099999999</v>
      </c>
      <c r="L66" s="4379"/>
    </row>
    <row r="67" spans="3:12">
      <c r="C67" s="3705" t="s">
        <v>2925</v>
      </c>
      <c r="D67" s="3395" t="s">
        <v>89</v>
      </c>
      <c r="E67" s="3396">
        <f>(E51*E64)+(E53*E66)</f>
        <v>0.16277374862683766</v>
      </c>
      <c r="F67" s="3396">
        <f>(F51*F64)+(F53*F66)</f>
        <v>0.16290894746062173</v>
      </c>
      <c r="G67" s="3396"/>
      <c r="H67" s="3396"/>
      <c r="I67" s="1503"/>
    </row>
    <row r="68" spans="3:12">
      <c r="C68" s="3705"/>
      <c r="D68" s="3392"/>
      <c r="E68" s="3481"/>
      <c r="F68" s="3481"/>
      <c r="G68" s="3390"/>
      <c r="H68" s="3391"/>
      <c r="I68" s="1503"/>
    </row>
    <row r="69" spans="3:12">
      <c r="C69" s="4298" t="s">
        <v>2877</v>
      </c>
      <c r="D69" s="3392"/>
      <c r="E69" s="3397"/>
      <c r="F69" s="3397"/>
      <c r="G69" s="3397"/>
      <c r="H69" s="3397"/>
      <c r="I69" s="1503"/>
    </row>
    <row r="70" spans="3:12">
      <c r="C70" s="3702" t="s">
        <v>2878</v>
      </c>
      <c r="D70" s="3392" t="s">
        <v>83</v>
      </c>
      <c r="E70" s="3523">
        <v>4392.95</v>
      </c>
      <c r="F70" s="3523">
        <v>4758.37</v>
      </c>
      <c r="G70" s="3523">
        <v>5216.16</v>
      </c>
      <c r="H70" s="3523">
        <v>5734.66</v>
      </c>
      <c r="I70" s="1503"/>
    </row>
    <row r="71" spans="3:12">
      <c r="C71" s="3702" t="s">
        <v>2879</v>
      </c>
      <c r="D71" s="3392" t="s">
        <v>83</v>
      </c>
      <c r="E71" s="3509">
        <f>'F14'!$F$45/1000000</f>
        <v>4392.9450818099995</v>
      </c>
      <c r="F71" s="3510">
        <f>'F14'!$F$98/10^6</f>
        <v>4351.5211695899998</v>
      </c>
      <c r="G71" s="3523">
        <f>'F1'!$G$40</f>
        <v>4418.8313277799989</v>
      </c>
      <c r="H71" s="3523">
        <f>'F1'!$I$40</f>
        <v>4593.6293562891042</v>
      </c>
      <c r="I71" s="1503"/>
    </row>
    <row r="72" spans="3:12">
      <c r="C72" s="3702" t="s">
        <v>3010</v>
      </c>
      <c r="D72" s="3392" t="s">
        <v>3011</v>
      </c>
      <c r="E72" s="3814">
        <f>SUM('F14'!$D$45:$E$45)</f>
        <v>1024369</v>
      </c>
      <c r="F72" s="3814">
        <f>SUM('F14'!$D$98:$E$98)</f>
        <v>1020353</v>
      </c>
      <c r="G72" s="4064">
        <f>'F1'!$I$74</f>
        <v>1036713.5550141128</v>
      </c>
      <c r="H72" s="4064">
        <f>'F1'!$O$74</f>
        <v>1053424.4072895027</v>
      </c>
      <c r="I72" s="1503"/>
    </row>
    <row r="73" spans="3:12">
      <c r="C73" s="3702"/>
      <c r="D73" s="3392"/>
      <c r="E73" s="3804"/>
      <c r="F73" s="3803"/>
      <c r="G73" s="3523"/>
      <c r="H73" s="3523"/>
      <c r="I73" s="1503"/>
    </row>
    <row r="74" spans="3:12">
      <c r="C74" s="3700" t="s">
        <v>2893</v>
      </c>
      <c r="D74" s="3392" t="s">
        <v>89</v>
      </c>
      <c r="E74" s="3398">
        <v>7.4999999999999997E-2</v>
      </c>
      <c r="F74" s="3398">
        <v>7.0000000000000007E-2</v>
      </c>
      <c r="G74" s="3397">
        <v>6.7500000000000004E-2</v>
      </c>
      <c r="H74" s="3397">
        <v>6.4955550000000001E-2</v>
      </c>
    </row>
    <row r="75" spans="3:12">
      <c r="C75" s="3700" t="s">
        <v>3180</v>
      </c>
      <c r="D75" s="3392" t="s">
        <v>89</v>
      </c>
      <c r="E75" s="3398">
        <f>F1.2!I9</f>
        <v>6.606239334346517E-2</v>
      </c>
      <c r="F75" s="3398">
        <f>F1.2!K9</f>
        <v>5.8984652685068917E-2</v>
      </c>
      <c r="G75" s="3397">
        <f>G74</f>
        <v>6.7500000000000004E-2</v>
      </c>
      <c r="H75" s="3397">
        <f>H74</f>
        <v>6.4955550000000001E-2</v>
      </c>
    </row>
    <row r="76" spans="3:12">
      <c r="C76" s="3700"/>
      <c r="D76" s="3392"/>
      <c r="E76" s="3398"/>
      <c r="F76" s="3398"/>
      <c r="G76" s="3397"/>
      <c r="H76" s="3397"/>
    </row>
    <row r="77" spans="3:12">
      <c r="C77" s="3700" t="s">
        <v>2922</v>
      </c>
      <c r="D77" s="3392" t="s">
        <v>89</v>
      </c>
      <c r="E77" s="3398">
        <f>F1.2!$H$11</f>
        <v>4.1999552308662889E-2</v>
      </c>
      <c r="F77" s="3398">
        <f>F1.2!$J$11</f>
        <v>4.1999552308662889E-2</v>
      </c>
      <c r="G77" s="3397">
        <f>F77</f>
        <v>4.1999552308662889E-2</v>
      </c>
      <c r="H77" s="3397">
        <f>G77</f>
        <v>4.1999552308662889E-2</v>
      </c>
    </row>
    <row r="78" spans="3:12">
      <c r="C78" s="3700" t="s">
        <v>2894</v>
      </c>
      <c r="D78" s="3392" t="s">
        <v>89</v>
      </c>
      <c r="E78" s="3398">
        <v>4.1270000000000001E-2</v>
      </c>
      <c r="F78" s="4381">
        <f>(4822.04-4624.28)/4822.04</f>
        <v>4.1011687999270068E-2</v>
      </c>
      <c r="G78" s="3398">
        <v>4.0800000000000003E-2</v>
      </c>
      <c r="H78" s="3398">
        <v>4.0800000000000003E-2</v>
      </c>
    </row>
    <row r="79" spans="3:12">
      <c r="C79" s="3700"/>
      <c r="D79" s="3392"/>
      <c r="E79" s="3398"/>
      <c r="F79" s="3398"/>
      <c r="G79" s="3397"/>
      <c r="H79" s="3397"/>
    </row>
    <row r="80" spans="3:12">
      <c r="C80" s="3707" t="s">
        <v>2195</v>
      </c>
      <c r="D80" s="3392" t="s">
        <v>89</v>
      </c>
      <c r="E80" s="3394">
        <v>2.5000000000000001E-3</v>
      </c>
      <c r="F80" s="3394">
        <v>2.5000000000000001E-3</v>
      </c>
      <c r="G80" s="3394">
        <v>2.5000000000000001E-3</v>
      </c>
      <c r="H80" s="3394">
        <v>2.5000000000000001E-3</v>
      </c>
      <c r="I80" s="1503"/>
    </row>
    <row r="81" spans="3:13">
      <c r="C81" s="3707" t="s">
        <v>3003</v>
      </c>
      <c r="D81" s="3392" t="s">
        <v>89</v>
      </c>
      <c r="E81" s="3394">
        <v>0.03</v>
      </c>
      <c r="F81" s="3394">
        <v>0.03</v>
      </c>
      <c r="G81" s="3394">
        <v>0.03</v>
      </c>
      <c r="H81" s="3394">
        <v>0.03</v>
      </c>
      <c r="I81" s="1503"/>
    </row>
    <row r="82" spans="3:13">
      <c r="C82" s="3707" t="s">
        <v>3004</v>
      </c>
      <c r="D82" s="3392" t="s">
        <v>89</v>
      </c>
      <c r="E82" s="3394">
        <v>0.09</v>
      </c>
      <c r="F82" s="3394">
        <v>0.09</v>
      </c>
      <c r="G82" s="3394">
        <v>0.09</v>
      </c>
      <c r="H82" s="3394">
        <v>0.09</v>
      </c>
      <c r="I82" s="1503"/>
    </row>
    <row r="83" spans="3:13">
      <c r="C83" s="3707"/>
      <c r="D83" s="3392"/>
      <c r="E83" s="3394"/>
      <c r="F83" s="3394"/>
      <c r="G83" s="3394"/>
      <c r="H83" s="3394"/>
      <c r="I83" s="1503"/>
    </row>
    <row r="84" spans="3:13">
      <c r="C84" s="3447" t="s">
        <v>3005</v>
      </c>
      <c r="D84" s="1384" t="s">
        <v>151</v>
      </c>
      <c r="E84" s="3745">
        <v>237.94</v>
      </c>
      <c r="F84" s="3518">
        <f>E84*(1+F81)</f>
        <v>245.07820000000001</v>
      </c>
      <c r="G84" s="3745">
        <f t="shared" ref="G84:H84" si="6">F84*(1+G81)</f>
        <v>252.43054600000002</v>
      </c>
      <c r="H84" s="3745">
        <f t="shared" si="6"/>
        <v>260.00346238000003</v>
      </c>
    </row>
    <row r="85" spans="3:13" s="1503" customFormat="1">
      <c r="C85" s="3769" t="s">
        <v>2984</v>
      </c>
      <c r="D85" s="1384" t="s">
        <v>151</v>
      </c>
      <c r="E85" s="3770">
        <v>259.76</v>
      </c>
      <c r="F85" s="3770">
        <v>252.52</v>
      </c>
      <c r="G85" s="3770">
        <f>F85*(1+G81)</f>
        <v>260.09559999999999</v>
      </c>
      <c r="H85" s="3770">
        <f>G85*(1+H81)</f>
        <v>267.89846799999998</v>
      </c>
    </row>
    <row r="86" spans="3:13">
      <c r="C86" s="3769"/>
      <c r="D86" s="3750"/>
      <c r="E86" s="871"/>
      <c r="F86" s="1352"/>
      <c r="G86" s="258"/>
      <c r="H86" s="258"/>
    </row>
    <row r="87" spans="3:13">
      <c r="C87" s="3780" t="s">
        <v>2988</v>
      </c>
      <c r="D87" s="1384" t="s">
        <v>151</v>
      </c>
      <c r="E87" s="871">
        <f>'F8'!G15</f>
        <v>5.69</v>
      </c>
      <c r="F87" s="871">
        <f>'F8'!I15</f>
        <v>6.5</v>
      </c>
      <c r="G87" s="1924">
        <f>F87</f>
        <v>6.5</v>
      </c>
      <c r="H87" s="1924">
        <f>G87</f>
        <v>6.5</v>
      </c>
    </row>
    <row r="88" spans="3:13">
      <c r="C88" s="3769"/>
      <c r="D88" s="3750"/>
      <c r="E88" s="871"/>
      <c r="F88" s="1352"/>
      <c r="G88" s="258"/>
      <c r="H88" s="258"/>
    </row>
    <row r="89" spans="3:13">
      <c r="C89" s="3769" t="s">
        <v>618</v>
      </c>
      <c r="D89" s="1384" t="s">
        <v>151</v>
      </c>
      <c r="E89" s="871">
        <f>'F2'!G22</f>
        <v>193.08</v>
      </c>
      <c r="F89" s="871">
        <f>'F2'!P22</f>
        <v>341.52</v>
      </c>
      <c r="G89" s="871">
        <v>338.85</v>
      </c>
      <c r="H89" s="871">
        <v>372.12</v>
      </c>
    </row>
    <row r="90" spans="3:13">
      <c r="C90" s="3769" t="s">
        <v>2989</v>
      </c>
      <c r="D90" s="1384" t="s">
        <v>151</v>
      </c>
      <c r="E90" s="871">
        <f>'F2'!J23</f>
        <v>0.74599999999999989</v>
      </c>
      <c r="F90" s="871">
        <f>'F2'!P23</f>
        <v>1.2721999999999998</v>
      </c>
      <c r="G90" s="871">
        <v>1.6256999999999999</v>
      </c>
      <c r="H90" s="871">
        <v>1.6256999999999999</v>
      </c>
    </row>
    <row r="91" spans="3:13">
      <c r="C91" s="3769" t="s">
        <v>746</v>
      </c>
      <c r="D91" s="1384" t="s">
        <v>151</v>
      </c>
      <c r="E91" s="871">
        <f>'F2'!J24</f>
        <v>107.84999999999998</v>
      </c>
      <c r="F91" s="784">
        <f>'F2'!P24</f>
        <v>113.27043519999999</v>
      </c>
      <c r="G91" s="3870">
        <f>F91</f>
        <v>113.27043519999999</v>
      </c>
      <c r="H91" s="3870">
        <f>G91</f>
        <v>113.27043519999999</v>
      </c>
    </row>
    <row r="92" spans="3:13">
      <c r="C92" s="3769"/>
      <c r="D92" s="3750"/>
      <c r="E92" s="871"/>
      <c r="F92" s="1352"/>
      <c r="G92" s="258"/>
      <c r="H92" s="258"/>
    </row>
    <row r="93" spans="3:13">
      <c r="C93" s="4302" t="s">
        <v>3299</v>
      </c>
      <c r="D93" s="3750"/>
      <c r="E93" s="871"/>
      <c r="F93" s="1352"/>
      <c r="G93" s="258"/>
      <c r="H93" s="258"/>
    </row>
    <row r="94" spans="3:13">
      <c r="C94" s="3769" t="s">
        <v>3300</v>
      </c>
      <c r="E94" s="3825"/>
      <c r="F94" s="4304"/>
      <c r="G94" s="3715"/>
      <c r="H94" s="3715"/>
    </row>
    <row r="95" spans="3:13">
      <c r="C95" s="3769"/>
      <c r="D95" s="4242" t="s">
        <v>89</v>
      </c>
      <c r="E95" s="3825">
        <v>0.1144</v>
      </c>
      <c r="F95" s="3825">
        <v>6.7000000000000004E-2</v>
      </c>
      <c r="G95" s="3825">
        <v>6.7500000000000004E-2</v>
      </c>
      <c r="H95" s="3825"/>
      <c r="L95" s="254" t="s">
        <v>3303</v>
      </c>
    </row>
    <row r="96" spans="3:13">
      <c r="C96" s="3769" t="s">
        <v>3301</v>
      </c>
      <c r="D96" s="258"/>
      <c r="E96" s="4243">
        <v>167.62</v>
      </c>
      <c r="F96" s="4243">
        <v>177.64</v>
      </c>
      <c r="G96" s="4243">
        <v>192.21</v>
      </c>
      <c r="H96" s="4243">
        <v>204.86</v>
      </c>
      <c r="L96" s="254">
        <v>116.63</v>
      </c>
      <c r="M96" s="254" t="e">
        <f>(L96-L83)/L83%</f>
        <v>#DIV/0!</v>
      </c>
    </row>
    <row r="97" spans="3:13">
      <c r="C97" s="3769"/>
      <c r="D97" s="4242" t="s">
        <v>89</v>
      </c>
      <c r="E97" s="3825">
        <v>7.3599999999999999E-2</v>
      </c>
      <c r="F97" s="3825">
        <f>(F96-E96)/E96</f>
        <v>5.9778069442787143E-2</v>
      </c>
      <c r="G97" s="3825">
        <f t="shared" ref="G97:H97" si="7">(G96-F96)/F96</f>
        <v>8.2019815356901726E-2</v>
      </c>
      <c r="H97" s="3825">
        <f t="shared" si="7"/>
        <v>6.5813433224077858E-2</v>
      </c>
      <c r="L97" s="1503">
        <v>126.02</v>
      </c>
      <c r="M97" s="264">
        <f t="shared" ref="M97:M102" si="8">(L97-L96)/L96%</f>
        <v>8.0511017748435236</v>
      </c>
    </row>
    <row r="98" spans="3:13">
      <c r="C98" s="3769" t="s">
        <v>3302</v>
      </c>
      <c r="D98" s="4242" t="s">
        <v>89</v>
      </c>
      <c r="E98" s="3825"/>
      <c r="F98" s="4304"/>
      <c r="G98" s="3715"/>
      <c r="H98" s="3715"/>
      <c r="L98" s="254">
        <v>143.32</v>
      </c>
      <c r="M98" s="264">
        <f t="shared" si="8"/>
        <v>13.727979685764163</v>
      </c>
    </row>
    <row r="99" spans="3:13">
      <c r="C99" s="3769"/>
      <c r="D99" s="3750"/>
      <c r="E99" s="871"/>
      <c r="F99" s="1352"/>
      <c r="G99" s="258"/>
      <c r="H99" s="258"/>
      <c r="L99" s="254">
        <v>156.13</v>
      </c>
      <c r="M99" s="264">
        <f t="shared" si="8"/>
        <v>8.938040747976558</v>
      </c>
    </row>
    <row r="100" spans="3:13">
      <c r="C100" s="4302" t="s">
        <v>2990</v>
      </c>
      <c r="D100" s="3750"/>
      <c r="E100" s="784"/>
      <c r="F100" s="1352"/>
      <c r="G100" s="258"/>
      <c r="H100" s="258"/>
      <c r="L100" s="254">
        <v>167.62</v>
      </c>
      <c r="M100" s="264">
        <f t="shared" si="8"/>
        <v>7.3592519054634025</v>
      </c>
    </row>
    <row r="101" spans="3:13">
      <c r="C101" s="3784" t="s">
        <v>2991</v>
      </c>
      <c r="D101" s="3785"/>
      <c r="E101" s="871"/>
      <c r="F101" s="1352"/>
      <c r="G101" s="258"/>
      <c r="H101" s="258"/>
      <c r="L101" s="254">
        <v>177.64</v>
      </c>
      <c r="M101" s="264">
        <f t="shared" si="8"/>
        <v>5.9778069442787141</v>
      </c>
    </row>
    <row r="102" spans="3:13">
      <c r="C102" s="3784" t="s">
        <v>3012</v>
      </c>
      <c r="D102" s="3785"/>
      <c r="E102" s="3825">
        <f>('F3'!H17-'F3'!E15)/'F3'!E15</f>
        <v>0.14361390774994182</v>
      </c>
      <c r="F102" s="3825">
        <f>('F3'!K17-'F3'!H17)/'F3'!H17</f>
        <v>0.18786948176583515</v>
      </c>
      <c r="G102" s="3826">
        <f>('F3'!M17-'F3'!K17)/'F3'!K17</f>
        <v>-4.4617856530821773E-2</v>
      </c>
      <c r="H102" s="3826">
        <f>('F3'!P17-'F3'!M17)/'F3'!M17</f>
        <v>6.9055944587121443E-2</v>
      </c>
      <c r="L102" s="254">
        <v>192.20599999999999</v>
      </c>
      <c r="M102" s="264">
        <f t="shared" si="8"/>
        <v>8.1997297905877087</v>
      </c>
    </row>
    <row r="103" spans="3:13">
      <c r="C103" s="3781" t="s">
        <v>625</v>
      </c>
      <c r="D103" s="1384" t="s">
        <v>151</v>
      </c>
      <c r="E103" s="871">
        <v>11.49</v>
      </c>
      <c r="F103" s="871">
        <v>14.3</v>
      </c>
      <c r="G103" s="1924">
        <f t="shared" ref="G103:H108" si="9">F103*(1+G$102)</f>
        <v>13.661964651609249</v>
      </c>
      <c r="H103" s="1924">
        <f t="shared" si="9"/>
        <v>14.60540452554199</v>
      </c>
      <c r="L103" s="1503">
        <v>204.86199999999999</v>
      </c>
      <c r="M103" s="264">
        <f t="shared" ref="M103:M105" si="10">(L103-L102)/L102%</f>
        <v>6.5846019375045559</v>
      </c>
    </row>
    <row r="104" spans="3:13">
      <c r="C104" s="3781" t="s">
        <v>626</v>
      </c>
      <c r="D104" s="1384" t="s">
        <v>151</v>
      </c>
      <c r="E104" s="871">
        <v>66.430000000000007</v>
      </c>
      <c r="F104" s="871">
        <v>74.97</v>
      </c>
      <c r="G104" s="1924">
        <f t="shared" si="9"/>
        <v>71.624999295884294</v>
      </c>
      <c r="H104" s="1924">
        <f t="shared" si="9"/>
        <v>76.571131278313501</v>
      </c>
      <c r="L104" s="254">
        <v>217.518</v>
      </c>
      <c r="M104" s="264">
        <f t="shared" si="10"/>
        <v>6.1778172623522201</v>
      </c>
    </row>
    <row r="105" spans="3:13">
      <c r="C105" s="3781" t="s">
        <v>627</v>
      </c>
      <c r="D105" s="1384" t="s">
        <v>151</v>
      </c>
      <c r="E105" s="871">
        <v>0.36</v>
      </c>
      <c r="F105" s="871">
        <v>0.39</v>
      </c>
      <c r="G105" s="1924">
        <f t="shared" si="9"/>
        <v>0.37259903595297955</v>
      </c>
      <c r="H105" s="1924">
        <f t="shared" si="9"/>
        <v>0.39832921433296342</v>
      </c>
      <c r="L105" s="254">
        <v>230.17400000000001</v>
      </c>
      <c r="M105" s="264">
        <f t="shared" si="10"/>
        <v>5.8183690545150313</v>
      </c>
    </row>
    <row r="106" spans="3:13">
      <c r="C106" s="3781" t="s">
        <v>628</v>
      </c>
      <c r="D106" s="1384" t="s">
        <v>151</v>
      </c>
      <c r="E106" s="871">
        <v>0.1</v>
      </c>
      <c r="F106" s="871">
        <v>0.55000000000000004</v>
      </c>
      <c r="G106" s="1924">
        <f t="shared" si="9"/>
        <v>0.52546017890804808</v>
      </c>
      <c r="H106" s="1924">
        <f t="shared" si="9"/>
        <v>0.5617463279054612</v>
      </c>
    </row>
    <row r="107" spans="3:13">
      <c r="C107" s="3781" t="s">
        <v>629</v>
      </c>
      <c r="D107" s="1384" t="s">
        <v>151</v>
      </c>
      <c r="E107" s="871">
        <v>0</v>
      </c>
      <c r="F107" s="871">
        <v>0</v>
      </c>
      <c r="G107" s="1924">
        <f t="shared" si="9"/>
        <v>0</v>
      </c>
      <c r="H107" s="1924">
        <f t="shared" si="9"/>
        <v>0</v>
      </c>
    </row>
    <row r="108" spans="3:13">
      <c r="C108" s="3781" t="s">
        <v>232</v>
      </c>
      <c r="D108" s="1384" t="s">
        <v>151</v>
      </c>
      <c r="E108" s="871">
        <v>0</v>
      </c>
      <c r="F108" s="871">
        <v>0</v>
      </c>
      <c r="G108" s="1924">
        <f t="shared" si="9"/>
        <v>0</v>
      </c>
      <c r="H108" s="1924">
        <f t="shared" si="9"/>
        <v>0</v>
      </c>
    </row>
    <row r="109" spans="3:13">
      <c r="C109" s="3781" t="s">
        <v>47</v>
      </c>
      <c r="D109" s="1384" t="s">
        <v>151</v>
      </c>
      <c r="E109" s="871">
        <f>SUM(E103:E108)</f>
        <v>78.38</v>
      </c>
      <c r="F109" s="871">
        <f t="shared" ref="F109:G109" si="11">SUM(F103:F108)</f>
        <v>90.21</v>
      </c>
      <c r="G109" s="871">
        <f t="shared" si="11"/>
        <v>86.185023162354568</v>
      </c>
      <c r="H109" s="871">
        <f>SUM(H103:H108)</f>
        <v>92.136611346093915</v>
      </c>
    </row>
    <row r="110" spans="3:13">
      <c r="C110" s="481"/>
      <c r="D110" s="258"/>
      <c r="E110" s="258"/>
      <c r="F110" s="258"/>
      <c r="G110" s="258"/>
      <c r="H110" s="258"/>
    </row>
    <row r="111" spans="3:13">
      <c r="C111" s="4303" t="s">
        <v>2992</v>
      </c>
      <c r="D111" s="258"/>
      <c r="E111" s="258"/>
      <c r="F111" s="258"/>
      <c r="G111" s="258"/>
      <c r="H111" s="258"/>
    </row>
    <row r="112" spans="3:13">
      <c r="C112" s="481" t="s">
        <v>3006</v>
      </c>
      <c r="D112" s="3392" t="s">
        <v>89</v>
      </c>
      <c r="E112" s="1382">
        <v>0.1</v>
      </c>
      <c r="F112" s="1382">
        <v>0.1</v>
      </c>
      <c r="G112" s="1382">
        <v>0.1</v>
      </c>
      <c r="H112" s="1382">
        <v>0.1</v>
      </c>
    </row>
    <row r="113" spans="3:9">
      <c r="C113" s="1303" t="s">
        <v>3007</v>
      </c>
      <c r="D113" s="3392" t="s">
        <v>89</v>
      </c>
      <c r="E113" s="840">
        <v>9.3600000000000003E-2</v>
      </c>
      <c r="F113" s="840">
        <v>9.3600000000000003E-2</v>
      </c>
      <c r="G113" s="840">
        <v>9.3600000000000003E-2</v>
      </c>
      <c r="H113" s="840">
        <v>9.3600000000000003E-2</v>
      </c>
    </row>
    <row r="114" spans="3:9">
      <c r="C114" s="481"/>
      <c r="D114" s="258"/>
      <c r="E114" s="258"/>
      <c r="F114" s="258"/>
      <c r="G114" s="258"/>
      <c r="H114" s="258"/>
    </row>
    <row r="115" spans="3:9">
      <c r="C115" s="4303" t="s">
        <v>3008</v>
      </c>
      <c r="D115" s="258"/>
      <c r="E115" s="258"/>
      <c r="F115" s="258"/>
      <c r="G115" s="258"/>
      <c r="H115" s="258"/>
    </row>
    <row r="116" spans="3:9">
      <c r="C116" s="3813" t="s">
        <v>2897</v>
      </c>
      <c r="E116" s="258"/>
      <c r="F116" s="258"/>
      <c r="G116" s="258"/>
      <c r="H116" s="258"/>
    </row>
    <row r="117" spans="3:9">
      <c r="C117" s="481" t="s">
        <v>2995</v>
      </c>
      <c r="D117" s="1384" t="s">
        <v>151</v>
      </c>
      <c r="E117" s="3749">
        <v>406.71</v>
      </c>
      <c r="F117" s="3749">
        <v>405.89</v>
      </c>
      <c r="G117" s="3749">
        <v>387.44</v>
      </c>
      <c r="H117" s="3749">
        <v>152.16</v>
      </c>
    </row>
    <row r="118" spans="3:9">
      <c r="C118" s="481" t="s">
        <v>2020</v>
      </c>
      <c r="D118" s="1384" t="s">
        <v>151</v>
      </c>
      <c r="E118" s="3749">
        <v>132.91</v>
      </c>
      <c r="F118" s="3749">
        <v>144.91999999999999</v>
      </c>
      <c r="G118" s="3749">
        <v>158.58000000000001</v>
      </c>
      <c r="H118" s="3749">
        <v>172.5</v>
      </c>
    </row>
    <row r="119" spans="3:9">
      <c r="C119" s="481" t="s">
        <v>2994</v>
      </c>
      <c r="D119" s="1384" t="s">
        <v>151</v>
      </c>
      <c r="E119" s="3749">
        <v>273.8</v>
      </c>
      <c r="F119" s="3749">
        <v>260.98</v>
      </c>
      <c r="G119" s="3749">
        <v>228.85</v>
      </c>
      <c r="H119" s="3786">
        <v>-20.34</v>
      </c>
    </row>
    <row r="120" spans="3:9">
      <c r="C120" s="481"/>
      <c r="D120" s="1384"/>
      <c r="E120" s="258"/>
      <c r="F120" s="258"/>
      <c r="G120" s="258"/>
      <c r="H120" s="258"/>
    </row>
    <row r="121" spans="3:9">
      <c r="C121" s="3813" t="s">
        <v>2882</v>
      </c>
      <c r="D121" s="1384"/>
      <c r="E121" s="258"/>
      <c r="F121" s="258"/>
      <c r="G121" s="258"/>
      <c r="H121" s="258"/>
    </row>
    <row r="122" spans="3:9">
      <c r="C122" s="481" t="s">
        <v>2019</v>
      </c>
      <c r="D122" s="1384" t="s">
        <v>151</v>
      </c>
      <c r="E122" s="1924">
        <v>633.50417189999996</v>
      </c>
      <c r="F122" s="1924">
        <v>767.73888309999995</v>
      </c>
      <c r="G122" s="1924">
        <f>387.44*0+896.74</f>
        <v>896.74</v>
      </c>
      <c r="H122" s="1924">
        <f>152.16*0+777.91</f>
        <v>777.91</v>
      </c>
    </row>
    <row r="123" spans="3:9">
      <c r="C123" s="481" t="s">
        <v>2020</v>
      </c>
      <c r="D123" s="1384" t="s">
        <v>151</v>
      </c>
      <c r="E123" s="1924">
        <v>130.051057150617</v>
      </c>
      <c r="F123" s="1924">
        <v>134.40405746107299</v>
      </c>
      <c r="G123" s="1924">
        <v>143.12298837175388</v>
      </c>
      <c r="H123" s="1924">
        <v>155.06249043128906</v>
      </c>
    </row>
    <row r="124" spans="3:9">
      <c r="C124" s="481" t="s">
        <v>2994</v>
      </c>
      <c r="D124" s="1384" t="s">
        <v>151</v>
      </c>
      <c r="E124" s="1924">
        <v>503.45311474938302</v>
      </c>
      <c r="F124" s="1924">
        <v>633.33482563892699</v>
      </c>
      <c r="G124" s="1924">
        <v>244.31701162824612</v>
      </c>
      <c r="H124" s="3786">
        <v>-2.9024904312890669</v>
      </c>
    </row>
    <row r="125" spans="3:9">
      <c r="C125" s="481"/>
      <c r="D125" s="258"/>
      <c r="E125" s="258"/>
      <c r="F125" s="258"/>
      <c r="G125" s="258"/>
      <c r="H125" s="258"/>
    </row>
    <row r="126" spans="3:9">
      <c r="C126" s="481" t="s">
        <v>2996</v>
      </c>
      <c r="D126" s="1384" t="s">
        <v>151</v>
      </c>
      <c r="E126" s="817">
        <v>58.35</v>
      </c>
      <c r="F126" s="821">
        <v>54.284439999999996</v>
      </c>
      <c r="G126" s="821">
        <v>54.284439999999996</v>
      </c>
      <c r="H126" s="821">
        <v>54.284439999999996</v>
      </c>
      <c r="I126" s="264">
        <f>SUM(F126:H126)</f>
        <v>162.85332</v>
      </c>
    </row>
    <row r="127" spans="3:9">
      <c r="C127" s="481" t="s">
        <v>2997</v>
      </c>
      <c r="D127" s="1384" t="s">
        <v>151</v>
      </c>
      <c r="E127" s="1924">
        <f>F3.3!$K$28</f>
        <v>57.83</v>
      </c>
      <c r="F127" s="1924">
        <f>F3.3!$L$28</f>
        <v>77.699999999999989</v>
      </c>
      <c r="G127" s="821">
        <f>($I$126-$F$127)/2</f>
        <v>42.576660000000004</v>
      </c>
      <c r="H127" s="821">
        <f>($I$126-$F$127)/2</f>
        <v>42.576660000000004</v>
      </c>
    </row>
    <row r="130" spans="3:4">
      <c r="C130" s="258" t="s">
        <v>3218</v>
      </c>
      <c r="D130" s="5087" t="s">
        <v>3220</v>
      </c>
    </row>
    <row r="149" spans="3:3">
      <c r="C149" s="3576" t="s">
        <v>3219</v>
      </c>
    </row>
    <row r="150" spans="3:3">
      <c r="C150" s="3576" t="s">
        <v>3220</v>
      </c>
    </row>
  </sheetData>
  <mergeCells count="1">
    <mergeCell ref="C2:F2"/>
  </mergeCells>
  <dataValidations count="1">
    <dataValidation type="list" allowBlank="1" showInputMessage="1" showErrorMessage="1" sqref="D130">
      <formula1>$C$149:$C$150</formula1>
    </dataValidation>
  </dataValidations>
  <pageMargins left="0.2" right="0.2" top="0.35" bottom="0.39" header="0.3" footer="0.3"/>
  <pageSetup paperSize="9" scale="70" orientation="portrait" r:id="rId1"/>
  <legacyDrawing r:id="rId2"/>
</worksheet>
</file>

<file path=xl/worksheets/sheet10.xml><?xml version="1.0" encoding="utf-8"?>
<worksheet xmlns="http://schemas.openxmlformats.org/spreadsheetml/2006/main" xmlns:r="http://schemas.openxmlformats.org/officeDocument/2006/relationships">
  <sheetPr codeName="Sheet10"/>
  <dimension ref="B1:K56"/>
  <sheetViews>
    <sheetView topLeftCell="A33" workbookViewId="0">
      <selection activeCell="M53" sqref="M53"/>
    </sheetView>
  </sheetViews>
  <sheetFormatPr defaultRowHeight="15"/>
  <cols>
    <col min="5" max="5" width="12.85546875" customWidth="1"/>
    <col min="6" max="6" width="13.28515625" customWidth="1"/>
    <col min="7" max="7" width="14" customWidth="1"/>
    <col min="8" max="8" width="12.5703125" customWidth="1"/>
    <col min="9" max="9" width="11.85546875" customWidth="1"/>
    <col min="10" max="11" width="13.28515625" customWidth="1"/>
  </cols>
  <sheetData>
    <row r="1" spans="2:11" ht="15.75" thickBot="1"/>
    <row r="2" spans="2:11">
      <c r="B2" s="5402" t="s">
        <v>76</v>
      </c>
      <c r="C2" s="5403"/>
      <c r="D2" s="5403"/>
      <c r="E2" s="5403"/>
      <c r="F2" s="5403"/>
      <c r="G2" s="5404"/>
    </row>
    <row r="3" spans="2:11" ht="42" customHeight="1">
      <c r="B3" s="7" t="s">
        <v>1</v>
      </c>
      <c r="C3" s="7" t="s">
        <v>2</v>
      </c>
      <c r="D3" s="7" t="s">
        <v>62</v>
      </c>
      <c r="E3" s="7"/>
      <c r="F3" s="7" t="s">
        <v>4</v>
      </c>
      <c r="G3" s="7" t="s">
        <v>5</v>
      </c>
      <c r="H3" s="7" t="s">
        <v>6</v>
      </c>
      <c r="I3" s="7" t="s">
        <v>7</v>
      </c>
      <c r="J3" s="7" t="s">
        <v>8</v>
      </c>
      <c r="K3" s="7" t="s">
        <v>63</v>
      </c>
    </row>
    <row r="4" spans="2:11">
      <c r="B4" s="1"/>
      <c r="C4" s="1"/>
      <c r="D4" s="1" t="s">
        <v>12</v>
      </c>
      <c r="E4" s="1" t="s">
        <v>13</v>
      </c>
      <c r="F4" s="1"/>
      <c r="G4" s="1"/>
      <c r="H4" s="1"/>
      <c r="I4" s="1"/>
      <c r="J4" s="1"/>
      <c r="K4" s="1"/>
    </row>
    <row r="5" spans="2:11">
      <c r="B5" s="1" t="s">
        <v>14</v>
      </c>
      <c r="C5" s="1" t="s">
        <v>15</v>
      </c>
      <c r="D5" s="1">
        <v>583</v>
      </c>
      <c r="E5" s="1">
        <v>0</v>
      </c>
      <c r="F5" s="1">
        <v>57350</v>
      </c>
      <c r="G5" s="1">
        <v>25234</v>
      </c>
      <c r="H5" s="1">
        <v>1400.6</v>
      </c>
      <c r="I5" s="1">
        <v>6882</v>
      </c>
      <c r="J5" s="1">
        <v>33516.6</v>
      </c>
      <c r="K5" s="1">
        <v>0.58442197035745425</v>
      </c>
    </row>
    <row r="6" spans="2:11">
      <c r="B6" s="1" t="s">
        <v>16</v>
      </c>
      <c r="C6" s="1" t="s">
        <v>17</v>
      </c>
      <c r="D6" s="1">
        <v>234525</v>
      </c>
      <c r="E6" s="1">
        <v>13687</v>
      </c>
      <c r="F6" s="1">
        <v>58785361</v>
      </c>
      <c r="G6" s="1">
        <v>121112807.06</v>
      </c>
      <c r="H6" s="5399">
        <v>62964088.57</v>
      </c>
      <c r="I6" s="1">
        <v>32348085.550000004</v>
      </c>
      <c r="J6" s="5399">
        <v>924715873.71000004</v>
      </c>
      <c r="K6" s="1">
        <v>5.4621596070927589</v>
      </c>
    </row>
    <row r="7" spans="2:11">
      <c r="B7" s="1"/>
      <c r="C7" s="1" t="s">
        <v>18</v>
      </c>
      <c r="D7" s="1">
        <v>354517</v>
      </c>
      <c r="E7" s="1">
        <v>19205</v>
      </c>
      <c r="F7" s="1">
        <v>56598688</v>
      </c>
      <c r="G7" s="1">
        <v>215652611.94</v>
      </c>
      <c r="H7" s="5400"/>
      <c r="I7" s="1">
        <v>58320097.620000005</v>
      </c>
      <c r="J7" s="5400"/>
      <c r="K7" s="1"/>
    </row>
    <row r="8" spans="2:11">
      <c r="B8" s="1"/>
      <c r="C8" s="1" t="s">
        <v>19</v>
      </c>
      <c r="D8" s="1">
        <v>58501</v>
      </c>
      <c r="E8" s="1">
        <v>17262</v>
      </c>
      <c r="F8" s="1">
        <v>18478747</v>
      </c>
      <c r="G8" s="1">
        <v>99046556.900000006</v>
      </c>
      <c r="H8" s="5400"/>
      <c r="I8" s="1">
        <v>26620747.199999999</v>
      </c>
      <c r="J8" s="5400"/>
      <c r="K8" s="1"/>
    </row>
    <row r="9" spans="2:11">
      <c r="B9" s="1"/>
      <c r="C9" s="1" t="s">
        <v>20</v>
      </c>
      <c r="D9" s="1">
        <v>19321</v>
      </c>
      <c r="E9" s="1">
        <v>32941</v>
      </c>
      <c r="F9" s="1">
        <v>35432124</v>
      </c>
      <c r="G9" s="1">
        <v>243065535.42000002</v>
      </c>
      <c r="H9" s="5401"/>
      <c r="I9" s="1">
        <v>65585343.450000003</v>
      </c>
      <c r="J9" s="5401"/>
      <c r="K9" s="1"/>
    </row>
    <row r="10" spans="2:11">
      <c r="B10" s="1" t="s">
        <v>21</v>
      </c>
      <c r="C10" s="1" t="s">
        <v>22</v>
      </c>
      <c r="D10" s="1">
        <v>177119</v>
      </c>
      <c r="E10" s="1">
        <v>14044</v>
      </c>
      <c r="F10" s="1">
        <v>-17141</v>
      </c>
      <c r="G10" s="1">
        <v>-68564</v>
      </c>
      <c r="H10" s="5399">
        <v>63015834.140000001</v>
      </c>
      <c r="I10" s="1"/>
      <c r="J10" s="5399">
        <v>777176778.06000006</v>
      </c>
      <c r="K10" s="1">
        <v>9.1758028932836879</v>
      </c>
    </row>
    <row r="11" spans="2:11">
      <c r="B11" s="1"/>
      <c r="C11" s="1" t="s">
        <v>19</v>
      </c>
      <c r="D11" s="1">
        <v>23201</v>
      </c>
      <c r="E11" s="1">
        <v>5234</v>
      </c>
      <c r="F11" s="1">
        <v>-5376</v>
      </c>
      <c r="G11" s="1">
        <v>-32256</v>
      </c>
      <c r="H11" s="5400"/>
      <c r="I11" s="1"/>
      <c r="J11" s="5400"/>
      <c r="K11" s="1"/>
    </row>
    <row r="12" spans="2:11">
      <c r="B12" s="1"/>
      <c r="C12" s="1" t="s">
        <v>23</v>
      </c>
      <c r="D12" s="1">
        <v>15051</v>
      </c>
      <c r="E12" s="1">
        <v>9699</v>
      </c>
      <c r="F12" s="1">
        <v>-5535</v>
      </c>
      <c r="G12" s="1">
        <v>-38191.5</v>
      </c>
      <c r="H12" s="5400"/>
      <c r="I12" s="1"/>
      <c r="J12" s="5400"/>
      <c r="K12" s="1"/>
    </row>
    <row r="13" spans="2:11">
      <c r="B13" s="1"/>
      <c r="C13" s="1" t="s">
        <v>24</v>
      </c>
      <c r="D13" s="1">
        <v>3307</v>
      </c>
      <c r="E13" s="1">
        <v>14120</v>
      </c>
      <c r="F13" s="1">
        <v>-11571</v>
      </c>
      <c r="G13" s="1">
        <v>-87939.599999999991</v>
      </c>
      <c r="H13" s="5400"/>
      <c r="I13" s="1"/>
      <c r="J13" s="5400"/>
      <c r="K13" s="1"/>
    </row>
    <row r="14" spans="2:11">
      <c r="B14" s="1"/>
      <c r="C14" s="1" t="s">
        <v>25</v>
      </c>
      <c r="D14" s="1">
        <v>200320</v>
      </c>
      <c r="E14" s="1">
        <v>19278</v>
      </c>
      <c r="F14" s="1">
        <v>48372515</v>
      </c>
      <c r="G14" s="1">
        <v>266048832.5</v>
      </c>
      <c r="H14" s="5400"/>
      <c r="I14" s="1">
        <v>71591322.200000003</v>
      </c>
      <c r="J14" s="5400"/>
      <c r="K14" s="1"/>
    </row>
    <row r="15" spans="2:11">
      <c r="B15" s="1"/>
      <c r="C15" s="1" t="s">
        <v>26</v>
      </c>
      <c r="D15" s="1">
        <v>18358</v>
      </c>
      <c r="E15" s="1">
        <v>23819</v>
      </c>
      <c r="F15" s="1">
        <v>36365612</v>
      </c>
      <c r="G15" s="1">
        <v>296743393.92000002</v>
      </c>
      <c r="H15" s="5401"/>
      <c r="I15" s="1">
        <v>80004346.400000006</v>
      </c>
      <c r="J15" s="5401"/>
      <c r="K15" s="1"/>
    </row>
    <row r="16" spans="2:11">
      <c r="B16" s="1" t="s">
        <v>27</v>
      </c>
      <c r="C16" s="1" t="s">
        <v>28</v>
      </c>
      <c r="D16" s="1">
        <v>61</v>
      </c>
      <c r="E16" s="1">
        <v>5945</v>
      </c>
      <c r="F16" s="1">
        <v>22682792</v>
      </c>
      <c r="G16" s="1">
        <v>181462336</v>
      </c>
      <c r="H16" s="1">
        <v>22214692.899999999</v>
      </c>
      <c r="I16" s="1">
        <v>48768002.799999997</v>
      </c>
      <c r="J16" s="1">
        <v>252445031.69999999</v>
      </c>
      <c r="K16" s="1">
        <v>11.129363250344136</v>
      </c>
    </row>
    <row r="17" spans="2:11">
      <c r="B17" s="1" t="s">
        <v>29</v>
      </c>
      <c r="C17" s="1" t="s">
        <v>28</v>
      </c>
      <c r="D17" s="1">
        <v>5</v>
      </c>
      <c r="E17" s="1">
        <v>2638</v>
      </c>
      <c r="F17" s="1">
        <v>43951634</v>
      </c>
      <c r="G17" s="1">
        <v>355568719.06</v>
      </c>
      <c r="H17" s="1">
        <v>35680036.399999999</v>
      </c>
      <c r="I17" s="1">
        <v>95814562.120000005</v>
      </c>
      <c r="J17" s="1">
        <v>487063317.57999998</v>
      </c>
      <c r="K17" s="1">
        <v>11.081802273380781</v>
      </c>
    </row>
    <row r="18" spans="2:11">
      <c r="B18" s="1" t="s">
        <v>30</v>
      </c>
      <c r="C18" s="1" t="s">
        <v>22</v>
      </c>
      <c r="D18" s="1">
        <v>2536</v>
      </c>
      <c r="E18" s="1">
        <v>2920</v>
      </c>
      <c r="F18" s="1">
        <v>-347</v>
      </c>
      <c r="G18" s="1">
        <v>-1283.9000000000001</v>
      </c>
      <c r="H18" s="5399">
        <v>3029366.27</v>
      </c>
      <c r="I18" s="1"/>
      <c r="J18" s="5399">
        <v>37839053.669999994</v>
      </c>
      <c r="K18" s="1">
        <v>8.7709988085607442</v>
      </c>
    </row>
    <row r="19" spans="2:11">
      <c r="B19" s="1"/>
      <c r="C19" s="1" t="s">
        <v>19</v>
      </c>
      <c r="D19" s="1">
        <v>206</v>
      </c>
      <c r="E19" s="1">
        <v>746</v>
      </c>
      <c r="F19" s="1">
        <v>-6</v>
      </c>
      <c r="G19" s="1">
        <v>-33</v>
      </c>
      <c r="H19" s="5400"/>
      <c r="I19" s="1"/>
      <c r="J19" s="5400"/>
      <c r="K19" s="1"/>
    </row>
    <row r="20" spans="2:11">
      <c r="B20" s="1"/>
      <c r="C20" s="1" t="s">
        <v>23</v>
      </c>
      <c r="D20" s="1">
        <v>119</v>
      </c>
      <c r="E20" s="1">
        <v>1125</v>
      </c>
      <c r="F20" s="1">
        <v>0</v>
      </c>
      <c r="G20" s="1">
        <v>0</v>
      </c>
      <c r="H20" s="5400"/>
      <c r="I20" s="1"/>
      <c r="J20" s="5400"/>
      <c r="K20" s="1"/>
    </row>
    <row r="21" spans="2:11">
      <c r="B21" s="1"/>
      <c r="C21" s="1" t="s">
        <v>24</v>
      </c>
      <c r="D21" s="1">
        <v>34</v>
      </c>
      <c r="E21" s="1">
        <v>1206</v>
      </c>
      <c r="F21" s="1">
        <v>0</v>
      </c>
      <c r="G21" s="1">
        <v>0</v>
      </c>
      <c r="H21" s="5400"/>
      <c r="I21" s="1"/>
      <c r="J21" s="5400"/>
      <c r="K21" s="1"/>
    </row>
    <row r="22" spans="2:11">
      <c r="B22" s="1"/>
      <c r="C22" s="1" t="s">
        <v>25</v>
      </c>
      <c r="D22" s="1">
        <v>2742</v>
      </c>
      <c r="E22" s="1">
        <v>3666</v>
      </c>
      <c r="F22" s="1">
        <v>1921914</v>
      </c>
      <c r="G22" s="1">
        <v>10013171.939999999</v>
      </c>
      <c r="H22" s="5400"/>
      <c r="I22" s="1">
        <v>2690679.5999999996</v>
      </c>
      <c r="J22" s="5400"/>
      <c r="K22" s="1"/>
    </row>
    <row r="23" spans="2:11">
      <c r="B23" s="1"/>
      <c r="C23" s="1" t="s">
        <v>26</v>
      </c>
      <c r="D23" s="1">
        <v>153</v>
      </c>
      <c r="E23" s="1">
        <v>2331</v>
      </c>
      <c r="F23" s="1">
        <v>2392549</v>
      </c>
      <c r="G23" s="1">
        <v>17417756.719999999</v>
      </c>
      <c r="H23" s="5401"/>
      <c r="I23" s="1">
        <v>4689396.04</v>
      </c>
      <c r="J23" s="5401"/>
      <c r="K23" s="1"/>
    </row>
    <row r="24" spans="2:11">
      <c r="B24" s="1" t="s">
        <v>31</v>
      </c>
      <c r="C24" s="1" t="s">
        <v>28</v>
      </c>
      <c r="D24" s="1">
        <v>9</v>
      </c>
      <c r="E24" s="1">
        <v>1219</v>
      </c>
      <c r="F24" s="1">
        <v>4798708</v>
      </c>
      <c r="G24" s="1">
        <v>31287576.159999996</v>
      </c>
      <c r="H24" s="1">
        <v>5255422.2699999996</v>
      </c>
      <c r="I24" s="1">
        <v>8397739</v>
      </c>
      <c r="J24" s="1">
        <v>44940737.429999992</v>
      </c>
      <c r="K24" s="1">
        <v>9.3651744240324675</v>
      </c>
    </row>
    <row r="25" spans="2:11">
      <c r="B25" s="1" t="s">
        <v>32</v>
      </c>
      <c r="C25" s="1" t="s">
        <v>28</v>
      </c>
      <c r="D25" s="1">
        <v>2</v>
      </c>
      <c r="E25" s="1">
        <v>126</v>
      </c>
      <c r="F25" s="1">
        <v>4375436</v>
      </c>
      <c r="G25" s="1">
        <v>27959036.039999999</v>
      </c>
      <c r="H25" s="1">
        <v>2727655.31</v>
      </c>
      <c r="I25" s="1">
        <v>7525749.9199999999</v>
      </c>
      <c r="J25" s="1">
        <v>38212441.269999996</v>
      </c>
      <c r="K25" s="1">
        <v>8.7334019444005122</v>
      </c>
    </row>
    <row r="26" spans="2:11">
      <c r="B26" s="1" t="s">
        <v>33</v>
      </c>
      <c r="C26" s="1" t="s">
        <v>28</v>
      </c>
      <c r="D26" s="1">
        <v>886</v>
      </c>
      <c r="E26" s="1">
        <v>152</v>
      </c>
      <c r="F26" s="1">
        <v>181430</v>
      </c>
      <c r="G26" s="1">
        <v>2132370.2000000002</v>
      </c>
      <c r="H26" s="1">
        <v>318973.36</v>
      </c>
      <c r="I26" s="1">
        <v>578444.32000000007</v>
      </c>
      <c r="J26" s="1">
        <v>3029787.88</v>
      </c>
      <c r="K26" s="1">
        <v>16.699486744198865</v>
      </c>
    </row>
    <row r="27" spans="2:11">
      <c r="B27" s="1" t="s">
        <v>34</v>
      </c>
      <c r="C27" s="1" t="s">
        <v>28</v>
      </c>
      <c r="D27" s="1"/>
      <c r="E27" s="1"/>
      <c r="F27" s="1">
        <v>2263135.4</v>
      </c>
      <c r="G27" s="1">
        <v>12809346.364</v>
      </c>
      <c r="H27" s="1">
        <v>1789862.54</v>
      </c>
      <c r="I27" s="1">
        <v>3439965.8079999997</v>
      </c>
      <c r="J27" s="1">
        <v>18039174.711999997</v>
      </c>
      <c r="K27" s="1">
        <v>7.9708773553716661</v>
      </c>
    </row>
    <row r="28" spans="2:11">
      <c r="B28" s="1" t="s">
        <v>35</v>
      </c>
      <c r="C28" s="1" t="s">
        <v>28</v>
      </c>
      <c r="D28" s="1">
        <v>556</v>
      </c>
      <c r="E28" s="1">
        <v>125</v>
      </c>
      <c r="F28" s="1">
        <v>341799</v>
      </c>
      <c r="G28" s="1">
        <v>1934582.34</v>
      </c>
      <c r="H28" s="1">
        <v>212400.92</v>
      </c>
      <c r="I28" s="1">
        <v>519534.48</v>
      </c>
      <c r="J28" s="1">
        <v>2666517.7400000002</v>
      </c>
      <c r="K28" s="1">
        <v>7.8014205424825711</v>
      </c>
    </row>
    <row r="29" spans="2:11">
      <c r="B29" s="1" t="s">
        <v>36</v>
      </c>
      <c r="C29" s="1" t="s">
        <v>28</v>
      </c>
      <c r="D29" s="1">
        <v>1</v>
      </c>
      <c r="E29" s="1">
        <v>3</v>
      </c>
      <c r="F29" s="1">
        <v>1028188</v>
      </c>
      <c r="G29" s="1">
        <v>3321047.2399999998</v>
      </c>
      <c r="H29" s="1">
        <v>200466.67</v>
      </c>
      <c r="I29" s="1">
        <v>894523.55999999994</v>
      </c>
      <c r="J29" s="1">
        <v>4416037.47</v>
      </c>
      <c r="K29" s="1">
        <v>4.2949708321824414</v>
      </c>
    </row>
    <row r="30" spans="2:11">
      <c r="B30" s="1" t="s">
        <v>37</v>
      </c>
      <c r="C30" s="1" t="s">
        <v>28</v>
      </c>
      <c r="D30" s="1">
        <v>130</v>
      </c>
      <c r="E30" s="1">
        <v>1457</v>
      </c>
      <c r="F30" s="1">
        <v>3147769</v>
      </c>
      <c r="G30" s="1">
        <v>29557550.91</v>
      </c>
      <c r="H30" s="1">
        <v>1844119.98</v>
      </c>
      <c r="I30" s="1">
        <v>7963855.5699999994</v>
      </c>
      <c r="J30" s="1">
        <v>39365526.460000001</v>
      </c>
      <c r="K30" s="1">
        <v>12.50584984476307</v>
      </c>
    </row>
    <row r="31" spans="2:11">
      <c r="B31" s="1" t="s">
        <v>38</v>
      </c>
      <c r="C31" s="1" t="s">
        <v>28</v>
      </c>
      <c r="D31" s="1">
        <v>7</v>
      </c>
      <c r="E31" s="1">
        <v>15</v>
      </c>
      <c r="F31" s="1">
        <v>128169</v>
      </c>
      <c r="G31" s="1">
        <v>397323.9</v>
      </c>
      <c r="H31" s="1">
        <v>3450</v>
      </c>
      <c r="I31" s="1">
        <v>106380.26999999999</v>
      </c>
      <c r="J31" s="1">
        <v>507154.17000000004</v>
      </c>
      <c r="K31" s="1">
        <v>3.9569175853755594</v>
      </c>
    </row>
    <row r="32" spans="2:11">
      <c r="B32" s="1" t="s">
        <v>39</v>
      </c>
      <c r="C32" s="1" t="s">
        <v>28</v>
      </c>
      <c r="D32" s="1">
        <v>1417</v>
      </c>
      <c r="E32" s="1">
        <v>537</v>
      </c>
      <c r="F32" s="1">
        <v>1496162</v>
      </c>
      <c r="G32" s="1">
        <v>10173901.6</v>
      </c>
      <c r="H32" s="1">
        <v>475183.32</v>
      </c>
      <c r="I32" s="1">
        <v>2737976.46</v>
      </c>
      <c r="J32" s="1">
        <v>13387061.379999999</v>
      </c>
      <c r="K32" s="1">
        <v>8.9476015164133287</v>
      </c>
    </row>
    <row r="33" spans="2:11">
      <c r="B33" s="1" t="s">
        <v>40</v>
      </c>
      <c r="C33" s="1" t="s">
        <v>28</v>
      </c>
      <c r="D33" s="1">
        <v>3</v>
      </c>
      <c r="E33" s="1">
        <v>367</v>
      </c>
      <c r="F33" s="1">
        <v>4888756</v>
      </c>
      <c r="G33" s="1">
        <v>33243540.800000001</v>
      </c>
      <c r="H33" s="1">
        <v>3768924.73</v>
      </c>
      <c r="I33" s="1">
        <v>8946423.4800000004</v>
      </c>
      <c r="J33" s="1">
        <v>45958889.010000005</v>
      </c>
      <c r="K33" s="1">
        <v>9.4009373775250804</v>
      </c>
    </row>
    <row r="34" spans="2:11">
      <c r="B34" s="1" t="s">
        <v>41</v>
      </c>
      <c r="C34" s="1" t="s">
        <v>28</v>
      </c>
      <c r="D34" s="1">
        <v>0</v>
      </c>
      <c r="E34" s="1">
        <v>39</v>
      </c>
      <c r="F34" s="1">
        <v>14514774</v>
      </c>
      <c r="G34" s="1">
        <v>85637166.600000009</v>
      </c>
      <c r="H34" s="1">
        <v>9043472.5</v>
      </c>
      <c r="I34" s="1">
        <v>23078490.66</v>
      </c>
      <c r="J34" s="1">
        <v>117759129.76000001</v>
      </c>
      <c r="K34" s="1">
        <v>8.1130529321365952</v>
      </c>
    </row>
    <row r="35" spans="2:11">
      <c r="B35" s="1" t="s">
        <v>42</v>
      </c>
      <c r="C35" s="1" t="s">
        <v>28</v>
      </c>
      <c r="D35" s="1">
        <v>2</v>
      </c>
      <c r="E35" s="1">
        <v>102</v>
      </c>
      <c r="F35" s="1">
        <v>32254763</v>
      </c>
      <c r="G35" s="1">
        <v>204817745.04999998</v>
      </c>
      <c r="H35" s="1">
        <v>18023790.079999998</v>
      </c>
      <c r="I35" s="1">
        <v>55155644.729999997</v>
      </c>
      <c r="J35" s="1">
        <v>277997179.86000001</v>
      </c>
      <c r="K35" s="1">
        <v>8.6187946834394662</v>
      </c>
    </row>
    <row r="36" spans="2:11">
      <c r="B36" s="1" t="s">
        <v>43</v>
      </c>
      <c r="C36" s="1" t="s">
        <v>28</v>
      </c>
      <c r="D36" s="1">
        <v>0</v>
      </c>
      <c r="E36" s="1">
        <v>10</v>
      </c>
      <c r="F36" s="1">
        <v>2951805</v>
      </c>
      <c r="G36" s="1">
        <v>10036137</v>
      </c>
      <c r="H36" s="1">
        <v>1530669.8</v>
      </c>
      <c r="I36" s="1">
        <v>2686142.5500000003</v>
      </c>
      <c r="J36" s="1">
        <v>14252949.350000001</v>
      </c>
      <c r="K36" s="1">
        <v>4.8285538340100382</v>
      </c>
    </row>
    <row r="37" spans="2:11">
      <c r="B37" s="1" t="s">
        <v>44</v>
      </c>
      <c r="C37" s="1" t="s">
        <v>28</v>
      </c>
      <c r="D37" s="1">
        <v>0</v>
      </c>
      <c r="E37" s="1">
        <v>4</v>
      </c>
      <c r="F37" s="1">
        <v>480602</v>
      </c>
      <c r="G37" s="1">
        <v>4157207.3000000003</v>
      </c>
      <c r="H37" s="1">
        <v>1250</v>
      </c>
      <c r="I37" s="1">
        <v>1119802.6600000001</v>
      </c>
      <c r="J37" s="1">
        <v>5278259.9600000009</v>
      </c>
      <c r="K37" s="1">
        <v>10.982600904698693</v>
      </c>
    </row>
    <row r="38" spans="2:11">
      <c r="B38" s="1" t="s">
        <v>45</v>
      </c>
      <c r="C38" s="1" t="s">
        <v>28</v>
      </c>
      <c r="D38" s="1">
        <v>0</v>
      </c>
      <c r="E38" s="1">
        <v>9</v>
      </c>
      <c r="F38" s="1">
        <v>4248164</v>
      </c>
      <c r="G38" s="1">
        <v>23789718.399999999</v>
      </c>
      <c r="H38" s="1">
        <v>1757832</v>
      </c>
      <c r="I38" s="1">
        <v>6414727.6399999997</v>
      </c>
      <c r="J38" s="1">
        <v>31962278.039999999</v>
      </c>
      <c r="K38" s="1">
        <v>7.5237862850869224</v>
      </c>
    </row>
    <row r="39" spans="2:11">
      <c r="B39" s="1" t="s">
        <v>46</v>
      </c>
      <c r="C39" s="1"/>
      <c r="D39" s="1"/>
      <c r="E39" s="1"/>
      <c r="F39" s="1"/>
      <c r="G39" s="1">
        <v>-1000.29</v>
      </c>
      <c r="H39" s="1">
        <v>0</v>
      </c>
      <c r="I39" s="1">
        <v>0</v>
      </c>
      <c r="J39" s="1">
        <v>-1000.29</v>
      </c>
      <c r="K39" s="1"/>
    </row>
    <row r="40" spans="2:11">
      <c r="B40" s="1" t="s">
        <v>47</v>
      </c>
      <c r="C40" s="1"/>
      <c r="D40" s="1">
        <v>892099</v>
      </c>
      <c r="E40" s="1">
        <v>144937</v>
      </c>
      <c r="F40" s="1">
        <v>402098970.39999998</v>
      </c>
      <c r="G40" s="1">
        <v>2287181937.0740004</v>
      </c>
      <c r="H40" s="1">
        <v>233858892.36000001</v>
      </c>
      <c r="I40" s="1">
        <v>616004866.08800006</v>
      </c>
      <c r="J40" s="1">
        <v>3137045695.5220003</v>
      </c>
      <c r="K40" s="1">
        <v>7.8016755238177566</v>
      </c>
    </row>
    <row r="41" spans="2:11">
      <c r="B41" s="1"/>
      <c r="C41" s="1"/>
      <c r="D41" s="1"/>
      <c r="E41" s="1"/>
      <c r="F41" s="1"/>
      <c r="G41" s="1"/>
      <c r="H41" s="1"/>
      <c r="I41" s="1" t="s">
        <v>48</v>
      </c>
      <c r="J41" s="1">
        <v>12072689.310000001</v>
      </c>
      <c r="K41" s="1"/>
    </row>
    <row r="42" spans="2:11">
      <c r="B42" s="1"/>
      <c r="C42" s="1"/>
      <c r="D42" s="1"/>
      <c r="E42" s="1"/>
      <c r="F42" s="1"/>
      <c r="G42" s="1"/>
      <c r="H42" s="1"/>
      <c r="I42" s="1" t="s">
        <v>49</v>
      </c>
      <c r="J42" s="1">
        <v>366371287.95999998</v>
      </c>
      <c r="K42" s="1"/>
    </row>
    <row r="43" spans="2:11">
      <c r="B43" s="1"/>
      <c r="C43" s="1"/>
      <c r="D43" s="1"/>
      <c r="E43" s="1"/>
      <c r="F43" s="1"/>
      <c r="G43" s="1"/>
      <c r="H43" s="1"/>
      <c r="I43" s="1" t="s">
        <v>50</v>
      </c>
      <c r="J43" s="1">
        <v>0</v>
      </c>
      <c r="K43" s="1"/>
    </row>
    <row r="44" spans="2:11">
      <c r="B44" s="1"/>
      <c r="C44" s="1"/>
      <c r="D44" s="1"/>
      <c r="E44" s="1"/>
      <c r="F44" s="1"/>
      <c r="G44" s="1"/>
      <c r="H44" s="1"/>
      <c r="I44" s="1" t="s">
        <v>51</v>
      </c>
      <c r="J44" s="1">
        <v>14177428.75</v>
      </c>
      <c r="K44" s="1"/>
    </row>
    <row r="45" spans="2:11">
      <c r="B45" s="1"/>
      <c r="C45" s="1"/>
      <c r="D45" s="1"/>
      <c r="E45" s="1"/>
      <c r="F45" s="1"/>
      <c r="G45" s="1"/>
      <c r="H45" s="1"/>
      <c r="I45" s="1" t="s">
        <v>52</v>
      </c>
      <c r="J45" s="1">
        <v>8350407.8600000003</v>
      </c>
      <c r="K45" s="1"/>
    </row>
    <row r="46" spans="2:11">
      <c r="B46" s="1"/>
      <c r="C46" s="1"/>
      <c r="D46" s="1"/>
      <c r="E46" s="1"/>
      <c r="F46" s="1"/>
      <c r="G46" s="1"/>
      <c r="H46" s="1"/>
      <c r="I46" s="1" t="s">
        <v>47</v>
      </c>
      <c r="J46" s="1">
        <v>3538017509.4020004</v>
      </c>
      <c r="K46" s="1"/>
    </row>
    <row r="47" spans="2:11">
      <c r="B47" s="1"/>
      <c r="C47" s="1"/>
      <c r="D47" s="1"/>
      <c r="E47" s="1"/>
      <c r="F47" s="1"/>
      <c r="G47" s="1"/>
      <c r="H47" s="1"/>
      <c r="I47" s="1" t="s">
        <v>53</v>
      </c>
      <c r="J47" s="1">
        <v>-9725066.6799999997</v>
      </c>
      <c r="K47" s="1"/>
    </row>
    <row r="48" spans="2:11">
      <c r="B48" s="1"/>
      <c r="C48" s="1"/>
      <c r="D48" s="1"/>
      <c r="E48" s="1"/>
      <c r="F48" s="1"/>
      <c r="G48" s="1"/>
      <c r="H48" s="1"/>
      <c r="I48" s="1" t="s">
        <v>54</v>
      </c>
      <c r="J48" s="1">
        <v>-63485728.399999999</v>
      </c>
      <c r="K48" s="1"/>
    </row>
    <row r="49" spans="2:11">
      <c r="B49" s="1"/>
      <c r="C49" s="1"/>
      <c r="D49" s="1"/>
      <c r="E49" s="1"/>
      <c r="F49" s="1"/>
      <c r="G49" s="1"/>
      <c r="H49" s="1"/>
      <c r="I49" s="1" t="s">
        <v>55</v>
      </c>
      <c r="J49" s="1">
        <v>-306832.90999999997</v>
      </c>
      <c r="K49" s="1"/>
    </row>
    <row r="50" spans="2:11">
      <c r="B50" s="1"/>
      <c r="C50" s="1"/>
      <c r="D50" s="1"/>
      <c r="E50" s="1"/>
      <c r="F50" s="1"/>
      <c r="G50" s="1"/>
      <c r="H50" s="1"/>
      <c r="I50" s="1" t="s">
        <v>56</v>
      </c>
      <c r="J50" s="1">
        <v>0</v>
      </c>
      <c r="K50" s="1"/>
    </row>
    <row r="51" spans="2:11">
      <c r="B51" s="1"/>
      <c r="C51" s="1"/>
      <c r="D51" s="1"/>
      <c r="E51" s="1"/>
      <c r="F51" s="1"/>
      <c r="G51" s="1"/>
      <c r="H51" s="1"/>
      <c r="I51" s="1" t="s">
        <v>57</v>
      </c>
      <c r="J51" s="1">
        <v>3464499881.4120007</v>
      </c>
      <c r="K51" s="1"/>
    </row>
    <row r="52" spans="2:11">
      <c r="B52" s="1"/>
      <c r="C52" s="1"/>
      <c r="D52" s="1"/>
      <c r="E52" s="1"/>
      <c r="F52" s="1"/>
      <c r="G52" s="1"/>
      <c r="H52" s="1"/>
      <c r="I52" s="1" t="s">
        <v>58</v>
      </c>
      <c r="J52" s="1">
        <v>8.7988723420068737</v>
      </c>
      <c r="K52" s="1"/>
    </row>
    <row r="53" spans="2:11">
      <c r="B53" s="1"/>
      <c r="C53" s="1"/>
      <c r="D53" s="1"/>
      <c r="E53" s="1"/>
      <c r="F53" s="1"/>
      <c r="G53" s="1"/>
      <c r="H53" s="1"/>
      <c r="I53" s="1" t="s">
        <v>59</v>
      </c>
      <c r="J53" s="1">
        <v>52823575.649999999</v>
      </c>
      <c r="K53" s="1"/>
    </row>
    <row r="54" spans="2:11">
      <c r="B54" s="1"/>
      <c r="C54" s="1"/>
      <c r="D54" s="1"/>
      <c r="E54" s="1"/>
      <c r="F54" s="1"/>
      <c r="G54" s="1"/>
      <c r="H54" s="1"/>
      <c r="I54" s="1" t="s">
        <v>60</v>
      </c>
      <c r="J54" s="1">
        <v>3590841085.0520005</v>
      </c>
      <c r="K54" s="1"/>
    </row>
    <row r="55" spans="2:11">
      <c r="B55" s="1"/>
      <c r="C55" s="1"/>
      <c r="D55" s="1"/>
      <c r="E55" s="1"/>
      <c r="F55" s="1"/>
      <c r="G55" s="1"/>
      <c r="H55" s="1"/>
      <c r="I55" s="1" t="s">
        <v>58</v>
      </c>
      <c r="J55" s="1"/>
      <c r="K55" s="1"/>
    </row>
    <row r="56" spans="2:11">
      <c r="B56" s="1"/>
      <c r="C56" s="1"/>
      <c r="D56" s="1"/>
      <c r="E56" s="1"/>
      <c r="F56" s="1"/>
      <c r="G56" s="1"/>
      <c r="H56" s="1"/>
      <c r="I56" s="1"/>
      <c r="J56" s="1">
        <v>8.9302419289457617</v>
      </c>
      <c r="K56" s="1"/>
    </row>
  </sheetData>
  <mergeCells count="7">
    <mergeCell ref="H18:H23"/>
    <mergeCell ref="J18:J23"/>
    <mergeCell ref="B2:G2"/>
    <mergeCell ref="H6:H9"/>
    <mergeCell ref="J6:J9"/>
    <mergeCell ref="H10:H15"/>
    <mergeCell ref="J10:J15"/>
  </mergeCells>
  <pageMargins left="0.7" right="0.7" top="0.75" bottom="0.75" header="0.3" footer="0.3"/>
</worksheet>
</file>

<file path=xl/worksheets/sheet100.xml><?xml version="1.0" encoding="utf-8"?>
<worksheet xmlns="http://schemas.openxmlformats.org/spreadsheetml/2006/main" xmlns:r="http://schemas.openxmlformats.org/officeDocument/2006/relationships">
  <sheetPr codeName="Sheet79"/>
  <dimension ref="B1:M58"/>
  <sheetViews>
    <sheetView showGridLines="0" topLeftCell="A25" workbookViewId="0">
      <selection activeCell="E8" sqref="E8:E9"/>
    </sheetView>
  </sheetViews>
  <sheetFormatPr defaultRowHeight="15"/>
  <cols>
    <col min="1" max="1" width="3.140625" style="545" customWidth="1"/>
    <col min="2" max="2" width="12.42578125" style="545" customWidth="1"/>
    <col min="3" max="3" width="11.5703125" style="545" bestFit="1" customWidth="1"/>
    <col min="4" max="4" width="13" style="545" customWidth="1"/>
    <col min="5" max="5" width="12.5703125" style="545" customWidth="1"/>
    <col min="6" max="6" width="18.7109375" style="549" bestFit="1" customWidth="1"/>
    <col min="7" max="7" width="18.7109375" style="547" bestFit="1" customWidth="1"/>
    <col min="8" max="8" width="22.7109375" style="547" bestFit="1" customWidth="1"/>
    <col min="9" max="9" width="21.28515625" style="547" bestFit="1" customWidth="1"/>
    <col min="10" max="10" width="18.7109375" style="547" bestFit="1" customWidth="1"/>
    <col min="11" max="11" width="14.42578125" style="547" hidden="1" customWidth="1"/>
    <col min="12" max="12" width="19.5703125" style="545" hidden="1" customWidth="1"/>
    <col min="13" max="13" width="0" style="545" hidden="1" customWidth="1"/>
    <col min="14" max="256" width="9.140625" style="545"/>
    <col min="257" max="257" width="3.140625" style="545" customWidth="1"/>
    <col min="258" max="258" width="12.42578125" style="545" customWidth="1"/>
    <col min="259" max="259" width="11.5703125" style="545" bestFit="1" customWidth="1"/>
    <col min="260" max="260" width="13" style="545" customWidth="1"/>
    <col min="261" max="261" width="12.5703125" style="545" customWidth="1"/>
    <col min="262" max="263" width="18.7109375" style="545" bestFit="1" customWidth="1"/>
    <col min="264" max="264" width="22.7109375" style="545" bestFit="1" customWidth="1"/>
    <col min="265" max="265" width="21.28515625" style="545" bestFit="1" customWidth="1"/>
    <col min="266" max="266" width="18.7109375" style="545" bestFit="1" customWidth="1"/>
    <col min="267" max="269" width="0" style="545" hidden="1" customWidth="1"/>
    <col min="270" max="512" width="9.140625" style="545"/>
    <col min="513" max="513" width="3.140625" style="545" customWidth="1"/>
    <col min="514" max="514" width="12.42578125" style="545" customWidth="1"/>
    <col min="515" max="515" width="11.5703125" style="545" bestFit="1" customWidth="1"/>
    <col min="516" max="516" width="13" style="545" customWidth="1"/>
    <col min="517" max="517" width="12.5703125" style="545" customWidth="1"/>
    <col min="518" max="519" width="18.7109375" style="545" bestFit="1" customWidth="1"/>
    <col min="520" max="520" width="22.7109375" style="545" bestFit="1" customWidth="1"/>
    <col min="521" max="521" width="21.28515625" style="545" bestFit="1" customWidth="1"/>
    <col min="522" max="522" width="18.7109375" style="545" bestFit="1" customWidth="1"/>
    <col min="523" max="525" width="0" style="545" hidden="1" customWidth="1"/>
    <col min="526" max="768" width="9.140625" style="545"/>
    <col min="769" max="769" width="3.140625" style="545" customWidth="1"/>
    <col min="770" max="770" width="12.42578125" style="545" customWidth="1"/>
    <col min="771" max="771" width="11.5703125" style="545" bestFit="1" customWidth="1"/>
    <col min="772" max="772" width="13" style="545" customWidth="1"/>
    <col min="773" max="773" width="12.5703125" style="545" customWidth="1"/>
    <col min="774" max="775" width="18.7109375" style="545" bestFit="1" customWidth="1"/>
    <col min="776" max="776" width="22.7109375" style="545" bestFit="1" customWidth="1"/>
    <col min="777" max="777" width="21.28515625" style="545" bestFit="1" customWidth="1"/>
    <col min="778" max="778" width="18.7109375" style="545" bestFit="1" customWidth="1"/>
    <col min="779" max="781" width="0" style="545" hidden="1" customWidth="1"/>
    <col min="782" max="1024" width="9.140625" style="545"/>
    <col min="1025" max="1025" width="3.140625" style="545" customWidth="1"/>
    <col min="1026" max="1026" width="12.42578125" style="545" customWidth="1"/>
    <col min="1027" max="1027" width="11.5703125" style="545" bestFit="1" customWidth="1"/>
    <col min="1028" max="1028" width="13" style="545" customWidth="1"/>
    <col min="1029" max="1029" width="12.5703125" style="545" customWidth="1"/>
    <col min="1030" max="1031" width="18.7109375" style="545" bestFit="1" customWidth="1"/>
    <col min="1032" max="1032" width="22.7109375" style="545" bestFit="1" customWidth="1"/>
    <col min="1033" max="1033" width="21.28515625" style="545" bestFit="1" customWidth="1"/>
    <col min="1034" max="1034" width="18.7109375" style="545" bestFit="1" customWidth="1"/>
    <col min="1035" max="1037" width="0" style="545" hidden="1" customWidth="1"/>
    <col min="1038" max="1280" width="9.140625" style="545"/>
    <col min="1281" max="1281" width="3.140625" style="545" customWidth="1"/>
    <col min="1282" max="1282" width="12.42578125" style="545" customWidth="1"/>
    <col min="1283" max="1283" width="11.5703125" style="545" bestFit="1" customWidth="1"/>
    <col min="1284" max="1284" width="13" style="545" customWidth="1"/>
    <col min="1285" max="1285" width="12.5703125" style="545" customWidth="1"/>
    <col min="1286" max="1287" width="18.7109375" style="545" bestFit="1" customWidth="1"/>
    <col min="1288" max="1288" width="22.7109375" style="545" bestFit="1" customWidth="1"/>
    <col min="1289" max="1289" width="21.28515625" style="545" bestFit="1" customWidth="1"/>
    <col min="1290" max="1290" width="18.7109375" style="545" bestFit="1" customWidth="1"/>
    <col min="1291" max="1293" width="0" style="545" hidden="1" customWidth="1"/>
    <col min="1294" max="1536" width="9.140625" style="545"/>
    <col min="1537" max="1537" width="3.140625" style="545" customWidth="1"/>
    <col min="1538" max="1538" width="12.42578125" style="545" customWidth="1"/>
    <col min="1539" max="1539" width="11.5703125" style="545" bestFit="1" customWidth="1"/>
    <col min="1540" max="1540" width="13" style="545" customWidth="1"/>
    <col min="1541" max="1541" width="12.5703125" style="545" customWidth="1"/>
    <col min="1542" max="1543" width="18.7109375" style="545" bestFit="1" customWidth="1"/>
    <col min="1544" max="1544" width="22.7109375" style="545" bestFit="1" customWidth="1"/>
    <col min="1545" max="1545" width="21.28515625" style="545" bestFit="1" customWidth="1"/>
    <col min="1546" max="1546" width="18.7109375" style="545" bestFit="1" customWidth="1"/>
    <col min="1547" max="1549" width="0" style="545" hidden="1" customWidth="1"/>
    <col min="1550" max="1792" width="9.140625" style="545"/>
    <col min="1793" max="1793" width="3.140625" style="545" customWidth="1"/>
    <col min="1794" max="1794" width="12.42578125" style="545" customWidth="1"/>
    <col min="1795" max="1795" width="11.5703125" style="545" bestFit="1" customWidth="1"/>
    <col min="1796" max="1796" width="13" style="545" customWidth="1"/>
    <col min="1797" max="1797" width="12.5703125" style="545" customWidth="1"/>
    <col min="1798" max="1799" width="18.7109375" style="545" bestFit="1" customWidth="1"/>
    <col min="1800" max="1800" width="22.7109375" style="545" bestFit="1" customWidth="1"/>
    <col min="1801" max="1801" width="21.28515625" style="545" bestFit="1" customWidth="1"/>
    <col min="1802" max="1802" width="18.7109375" style="545" bestFit="1" customWidth="1"/>
    <col min="1803" max="1805" width="0" style="545" hidden="1" customWidth="1"/>
    <col min="1806" max="2048" width="9.140625" style="545"/>
    <col min="2049" max="2049" width="3.140625" style="545" customWidth="1"/>
    <col min="2050" max="2050" width="12.42578125" style="545" customWidth="1"/>
    <col min="2051" max="2051" width="11.5703125" style="545" bestFit="1" customWidth="1"/>
    <col min="2052" max="2052" width="13" style="545" customWidth="1"/>
    <col min="2053" max="2053" width="12.5703125" style="545" customWidth="1"/>
    <col min="2054" max="2055" width="18.7109375" style="545" bestFit="1" customWidth="1"/>
    <col min="2056" max="2056" width="22.7109375" style="545" bestFit="1" customWidth="1"/>
    <col min="2057" max="2057" width="21.28515625" style="545" bestFit="1" customWidth="1"/>
    <col min="2058" max="2058" width="18.7109375" style="545" bestFit="1" customWidth="1"/>
    <col min="2059" max="2061" width="0" style="545" hidden="1" customWidth="1"/>
    <col min="2062" max="2304" width="9.140625" style="545"/>
    <col min="2305" max="2305" width="3.140625" style="545" customWidth="1"/>
    <col min="2306" max="2306" width="12.42578125" style="545" customWidth="1"/>
    <col min="2307" max="2307" width="11.5703125" style="545" bestFit="1" customWidth="1"/>
    <col min="2308" max="2308" width="13" style="545" customWidth="1"/>
    <col min="2309" max="2309" width="12.5703125" style="545" customWidth="1"/>
    <col min="2310" max="2311" width="18.7109375" style="545" bestFit="1" customWidth="1"/>
    <col min="2312" max="2312" width="22.7109375" style="545" bestFit="1" customWidth="1"/>
    <col min="2313" max="2313" width="21.28515625" style="545" bestFit="1" customWidth="1"/>
    <col min="2314" max="2314" width="18.7109375" style="545" bestFit="1" customWidth="1"/>
    <col min="2315" max="2317" width="0" style="545" hidden="1" customWidth="1"/>
    <col min="2318" max="2560" width="9.140625" style="545"/>
    <col min="2561" max="2561" width="3.140625" style="545" customWidth="1"/>
    <col min="2562" max="2562" width="12.42578125" style="545" customWidth="1"/>
    <col min="2563" max="2563" width="11.5703125" style="545" bestFit="1" customWidth="1"/>
    <col min="2564" max="2564" width="13" style="545" customWidth="1"/>
    <col min="2565" max="2565" width="12.5703125" style="545" customWidth="1"/>
    <col min="2566" max="2567" width="18.7109375" style="545" bestFit="1" customWidth="1"/>
    <col min="2568" max="2568" width="22.7109375" style="545" bestFit="1" customWidth="1"/>
    <col min="2569" max="2569" width="21.28515625" style="545" bestFit="1" customWidth="1"/>
    <col min="2570" max="2570" width="18.7109375" style="545" bestFit="1" customWidth="1"/>
    <col min="2571" max="2573" width="0" style="545" hidden="1" customWidth="1"/>
    <col min="2574" max="2816" width="9.140625" style="545"/>
    <col min="2817" max="2817" width="3.140625" style="545" customWidth="1"/>
    <col min="2818" max="2818" width="12.42578125" style="545" customWidth="1"/>
    <col min="2819" max="2819" width="11.5703125" style="545" bestFit="1" customWidth="1"/>
    <col min="2820" max="2820" width="13" style="545" customWidth="1"/>
    <col min="2821" max="2821" width="12.5703125" style="545" customWidth="1"/>
    <col min="2822" max="2823" width="18.7109375" style="545" bestFit="1" customWidth="1"/>
    <col min="2824" max="2824" width="22.7109375" style="545" bestFit="1" customWidth="1"/>
    <col min="2825" max="2825" width="21.28515625" style="545" bestFit="1" customWidth="1"/>
    <col min="2826" max="2826" width="18.7109375" style="545" bestFit="1" customWidth="1"/>
    <col min="2827" max="2829" width="0" style="545" hidden="1" customWidth="1"/>
    <col min="2830" max="3072" width="9.140625" style="545"/>
    <col min="3073" max="3073" width="3.140625" style="545" customWidth="1"/>
    <col min="3074" max="3074" width="12.42578125" style="545" customWidth="1"/>
    <col min="3075" max="3075" width="11.5703125" style="545" bestFit="1" customWidth="1"/>
    <col min="3076" max="3076" width="13" style="545" customWidth="1"/>
    <col min="3077" max="3077" width="12.5703125" style="545" customWidth="1"/>
    <col min="3078" max="3079" width="18.7109375" style="545" bestFit="1" customWidth="1"/>
    <col min="3080" max="3080" width="22.7109375" style="545" bestFit="1" customWidth="1"/>
    <col min="3081" max="3081" width="21.28515625" style="545" bestFit="1" customWidth="1"/>
    <col min="3082" max="3082" width="18.7109375" style="545" bestFit="1" customWidth="1"/>
    <col min="3083" max="3085" width="0" style="545" hidden="1" customWidth="1"/>
    <col min="3086" max="3328" width="9.140625" style="545"/>
    <col min="3329" max="3329" width="3.140625" style="545" customWidth="1"/>
    <col min="3330" max="3330" width="12.42578125" style="545" customWidth="1"/>
    <col min="3331" max="3331" width="11.5703125" style="545" bestFit="1" customWidth="1"/>
    <col min="3332" max="3332" width="13" style="545" customWidth="1"/>
    <col min="3333" max="3333" width="12.5703125" style="545" customWidth="1"/>
    <col min="3334" max="3335" width="18.7109375" style="545" bestFit="1" customWidth="1"/>
    <col min="3336" max="3336" width="22.7109375" style="545" bestFit="1" customWidth="1"/>
    <col min="3337" max="3337" width="21.28515625" style="545" bestFit="1" customWidth="1"/>
    <col min="3338" max="3338" width="18.7109375" style="545" bestFit="1" customWidth="1"/>
    <col min="3339" max="3341" width="0" style="545" hidden="1" customWidth="1"/>
    <col min="3342" max="3584" width="9.140625" style="545"/>
    <col min="3585" max="3585" width="3.140625" style="545" customWidth="1"/>
    <col min="3586" max="3586" width="12.42578125" style="545" customWidth="1"/>
    <col min="3587" max="3587" width="11.5703125" style="545" bestFit="1" customWidth="1"/>
    <col min="3588" max="3588" width="13" style="545" customWidth="1"/>
    <col min="3589" max="3589" width="12.5703125" style="545" customWidth="1"/>
    <col min="3590" max="3591" width="18.7109375" style="545" bestFit="1" customWidth="1"/>
    <col min="3592" max="3592" width="22.7109375" style="545" bestFit="1" customWidth="1"/>
    <col min="3593" max="3593" width="21.28515625" style="545" bestFit="1" customWidth="1"/>
    <col min="3594" max="3594" width="18.7109375" style="545" bestFit="1" customWidth="1"/>
    <col min="3595" max="3597" width="0" style="545" hidden="1" customWidth="1"/>
    <col min="3598" max="3840" width="9.140625" style="545"/>
    <col min="3841" max="3841" width="3.140625" style="545" customWidth="1"/>
    <col min="3842" max="3842" width="12.42578125" style="545" customWidth="1"/>
    <col min="3843" max="3843" width="11.5703125" style="545" bestFit="1" customWidth="1"/>
    <col min="3844" max="3844" width="13" style="545" customWidth="1"/>
    <col min="3845" max="3845" width="12.5703125" style="545" customWidth="1"/>
    <col min="3846" max="3847" width="18.7109375" style="545" bestFit="1" customWidth="1"/>
    <col min="3848" max="3848" width="22.7109375" style="545" bestFit="1" customWidth="1"/>
    <col min="3849" max="3849" width="21.28515625" style="545" bestFit="1" customWidth="1"/>
    <col min="3850" max="3850" width="18.7109375" style="545" bestFit="1" customWidth="1"/>
    <col min="3851" max="3853" width="0" style="545" hidden="1" customWidth="1"/>
    <col min="3854" max="4096" width="9.140625" style="545"/>
    <col min="4097" max="4097" width="3.140625" style="545" customWidth="1"/>
    <col min="4098" max="4098" width="12.42578125" style="545" customWidth="1"/>
    <col min="4099" max="4099" width="11.5703125" style="545" bestFit="1" customWidth="1"/>
    <col min="4100" max="4100" width="13" style="545" customWidth="1"/>
    <col min="4101" max="4101" width="12.5703125" style="545" customWidth="1"/>
    <col min="4102" max="4103" width="18.7109375" style="545" bestFit="1" customWidth="1"/>
    <col min="4104" max="4104" width="22.7109375" style="545" bestFit="1" customWidth="1"/>
    <col min="4105" max="4105" width="21.28515625" style="545" bestFit="1" customWidth="1"/>
    <col min="4106" max="4106" width="18.7109375" style="545" bestFit="1" customWidth="1"/>
    <col min="4107" max="4109" width="0" style="545" hidden="1" customWidth="1"/>
    <col min="4110" max="4352" width="9.140625" style="545"/>
    <col min="4353" max="4353" width="3.140625" style="545" customWidth="1"/>
    <col min="4354" max="4354" width="12.42578125" style="545" customWidth="1"/>
    <col min="4355" max="4355" width="11.5703125" style="545" bestFit="1" customWidth="1"/>
    <col min="4356" max="4356" width="13" style="545" customWidth="1"/>
    <col min="4357" max="4357" width="12.5703125" style="545" customWidth="1"/>
    <col min="4358" max="4359" width="18.7109375" style="545" bestFit="1" customWidth="1"/>
    <col min="4360" max="4360" width="22.7109375" style="545" bestFit="1" customWidth="1"/>
    <col min="4361" max="4361" width="21.28515625" style="545" bestFit="1" customWidth="1"/>
    <col min="4362" max="4362" width="18.7109375" style="545" bestFit="1" customWidth="1"/>
    <col min="4363" max="4365" width="0" style="545" hidden="1" customWidth="1"/>
    <col min="4366" max="4608" width="9.140625" style="545"/>
    <col min="4609" max="4609" width="3.140625" style="545" customWidth="1"/>
    <col min="4610" max="4610" width="12.42578125" style="545" customWidth="1"/>
    <col min="4611" max="4611" width="11.5703125" style="545" bestFit="1" customWidth="1"/>
    <col min="4612" max="4612" width="13" style="545" customWidth="1"/>
    <col min="4613" max="4613" width="12.5703125" style="545" customWidth="1"/>
    <col min="4614" max="4615" width="18.7109375" style="545" bestFit="1" customWidth="1"/>
    <col min="4616" max="4616" width="22.7109375" style="545" bestFit="1" customWidth="1"/>
    <col min="4617" max="4617" width="21.28515625" style="545" bestFit="1" customWidth="1"/>
    <col min="4618" max="4618" width="18.7109375" style="545" bestFit="1" customWidth="1"/>
    <col min="4619" max="4621" width="0" style="545" hidden="1" customWidth="1"/>
    <col min="4622" max="4864" width="9.140625" style="545"/>
    <col min="4865" max="4865" width="3.140625" style="545" customWidth="1"/>
    <col min="4866" max="4866" width="12.42578125" style="545" customWidth="1"/>
    <col min="4867" max="4867" width="11.5703125" style="545" bestFit="1" customWidth="1"/>
    <col min="4868" max="4868" width="13" style="545" customWidth="1"/>
    <col min="4869" max="4869" width="12.5703125" style="545" customWidth="1"/>
    <col min="4870" max="4871" width="18.7109375" style="545" bestFit="1" customWidth="1"/>
    <col min="4872" max="4872" width="22.7109375" style="545" bestFit="1" customWidth="1"/>
    <col min="4873" max="4873" width="21.28515625" style="545" bestFit="1" customWidth="1"/>
    <col min="4874" max="4874" width="18.7109375" style="545" bestFit="1" customWidth="1"/>
    <col min="4875" max="4877" width="0" style="545" hidden="1" customWidth="1"/>
    <col min="4878" max="5120" width="9.140625" style="545"/>
    <col min="5121" max="5121" width="3.140625" style="545" customWidth="1"/>
    <col min="5122" max="5122" width="12.42578125" style="545" customWidth="1"/>
    <col min="5123" max="5123" width="11.5703125" style="545" bestFit="1" customWidth="1"/>
    <col min="5124" max="5124" width="13" style="545" customWidth="1"/>
    <col min="5125" max="5125" width="12.5703125" style="545" customWidth="1"/>
    <col min="5126" max="5127" width="18.7109375" style="545" bestFit="1" customWidth="1"/>
    <col min="5128" max="5128" width="22.7109375" style="545" bestFit="1" customWidth="1"/>
    <col min="5129" max="5129" width="21.28515625" style="545" bestFit="1" customWidth="1"/>
    <col min="5130" max="5130" width="18.7109375" style="545" bestFit="1" customWidth="1"/>
    <col min="5131" max="5133" width="0" style="545" hidden="1" customWidth="1"/>
    <col min="5134" max="5376" width="9.140625" style="545"/>
    <col min="5377" max="5377" width="3.140625" style="545" customWidth="1"/>
    <col min="5378" max="5378" width="12.42578125" style="545" customWidth="1"/>
    <col min="5379" max="5379" width="11.5703125" style="545" bestFit="1" customWidth="1"/>
    <col min="5380" max="5380" width="13" style="545" customWidth="1"/>
    <col min="5381" max="5381" width="12.5703125" style="545" customWidth="1"/>
    <col min="5382" max="5383" width="18.7109375" style="545" bestFit="1" customWidth="1"/>
    <col min="5384" max="5384" width="22.7109375" style="545" bestFit="1" customWidth="1"/>
    <col min="5385" max="5385" width="21.28515625" style="545" bestFit="1" customWidth="1"/>
    <col min="5386" max="5386" width="18.7109375" style="545" bestFit="1" customWidth="1"/>
    <col min="5387" max="5389" width="0" style="545" hidden="1" customWidth="1"/>
    <col min="5390" max="5632" width="9.140625" style="545"/>
    <col min="5633" max="5633" width="3.140625" style="545" customWidth="1"/>
    <col min="5634" max="5634" width="12.42578125" style="545" customWidth="1"/>
    <col min="5635" max="5635" width="11.5703125" style="545" bestFit="1" customWidth="1"/>
    <col min="5636" max="5636" width="13" style="545" customWidth="1"/>
    <col min="5637" max="5637" width="12.5703125" style="545" customWidth="1"/>
    <col min="5638" max="5639" width="18.7109375" style="545" bestFit="1" customWidth="1"/>
    <col min="5640" max="5640" width="22.7109375" style="545" bestFit="1" customWidth="1"/>
    <col min="5641" max="5641" width="21.28515625" style="545" bestFit="1" customWidth="1"/>
    <col min="5642" max="5642" width="18.7109375" style="545" bestFit="1" customWidth="1"/>
    <col min="5643" max="5645" width="0" style="545" hidden="1" customWidth="1"/>
    <col min="5646" max="5888" width="9.140625" style="545"/>
    <col min="5889" max="5889" width="3.140625" style="545" customWidth="1"/>
    <col min="5890" max="5890" width="12.42578125" style="545" customWidth="1"/>
    <col min="5891" max="5891" width="11.5703125" style="545" bestFit="1" customWidth="1"/>
    <col min="5892" max="5892" width="13" style="545" customWidth="1"/>
    <col min="5893" max="5893" width="12.5703125" style="545" customWidth="1"/>
    <col min="5894" max="5895" width="18.7109375" style="545" bestFit="1" customWidth="1"/>
    <col min="5896" max="5896" width="22.7109375" style="545" bestFit="1" customWidth="1"/>
    <col min="5897" max="5897" width="21.28515625" style="545" bestFit="1" customWidth="1"/>
    <col min="5898" max="5898" width="18.7109375" style="545" bestFit="1" customWidth="1"/>
    <col min="5899" max="5901" width="0" style="545" hidden="1" customWidth="1"/>
    <col min="5902" max="6144" width="9.140625" style="545"/>
    <col min="6145" max="6145" width="3.140625" style="545" customWidth="1"/>
    <col min="6146" max="6146" width="12.42578125" style="545" customWidth="1"/>
    <col min="6147" max="6147" width="11.5703125" style="545" bestFit="1" customWidth="1"/>
    <col min="6148" max="6148" width="13" style="545" customWidth="1"/>
    <col min="6149" max="6149" width="12.5703125" style="545" customWidth="1"/>
    <col min="6150" max="6151" width="18.7109375" style="545" bestFit="1" customWidth="1"/>
    <col min="6152" max="6152" width="22.7109375" style="545" bestFit="1" customWidth="1"/>
    <col min="6153" max="6153" width="21.28515625" style="545" bestFit="1" customWidth="1"/>
    <col min="6154" max="6154" width="18.7109375" style="545" bestFit="1" customWidth="1"/>
    <col min="6155" max="6157" width="0" style="545" hidden="1" customWidth="1"/>
    <col min="6158" max="6400" width="9.140625" style="545"/>
    <col min="6401" max="6401" width="3.140625" style="545" customWidth="1"/>
    <col min="6402" max="6402" width="12.42578125" style="545" customWidth="1"/>
    <col min="6403" max="6403" width="11.5703125" style="545" bestFit="1" customWidth="1"/>
    <col min="6404" max="6404" width="13" style="545" customWidth="1"/>
    <col min="6405" max="6405" width="12.5703125" style="545" customWidth="1"/>
    <col min="6406" max="6407" width="18.7109375" style="545" bestFit="1" customWidth="1"/>
    <col min="6408" max="6408" width="22.7109375" style="545" bestFit="1" customWidth="1"/>
    <col min="6409" max="6409" width="21.28515625" style="545" bestFit="1" customWidth="1"/>
    <col min="6410" max="6410" width="18.7109375" style="545" bestFit="1" customWidth="1"/>
    <col min="6411" max="6413" width="0" style="545" hidden="1" customWidth="1"/>
    <col min="6414" max="6656" width="9.140625" style="545"/>
    <col min="6657" max="6657" width="3.140625" style="545" customWidth="1"/>
    <col min="6658" max="6658" width="12.42578125" style="545" customWidth="1"/>
    <col min="6659" max="6659" width="11.5703125" style="545" bestFit="1" customWidth="1"/>
    <col min="6660" max="6660" width="13" style="545" customWidth="1"/>
    <col min="6661" max="6661" width="12.5703125" style="545" customWidth="1"/>
    <col min="6662" max="6663" width="18.7109375" style="545" bestFit="1" customWidth="1"/>
    <col min="6664" max="6664" width="22.7109375" style="545" bestFit="1" customWidth="1"/>
    <col min="6665" max="6665" width="21.28515625" style="545" bestFit="1" customWidth="1"/>
    <col min="6666" max="6666" width="18.7109375" style="545" bestFit="1" customWidth="1"/>
    <col min="6667" max="6669" width="0" style="545" hidden="1" customWidth="1"/>
    <col min="6670" max="6912" width="9.140625" style="545"/>
    <col min="6913" max="6913" width="3.140625" style="545" customWidth="1"/>
    <col min="6914" max="6914" width="12.42578125" style="545" customWidth="1"/>
    <col min="6915" max="6915" width="11.5703125" style="545" bestFit="1" customWidth="1"/>
    <col min="6916" max="6916" width="13" style="545" customWidth="1"/>
    <col min="6917" max="6917" width="12.5703125" style="545" customWidth="1"/>
    <col min="6918" max="6919" width="18.7109375" style="545" bestFit="1" customWidth="1"/>
    <col min="6920" max="6920" width="22.7109375" style="545" bestFit="1" customWidth="1"/>
    <col min="6921" max="6921" width="21.28515625" style="545" bestFit="1" customWidth="1"/>
    <col min="6922" max="6922" width="18.7109375" style="545" bestFit="1" customWidth="1"/>
    <col min="6923" max="6925" width="0" style="545" hidden="1" customWidth="1"/>
    <col min="6926" max="7168" width="9.140625" style="545"/>
    <col min="7169" max="7169" width="3.140625" style="545" customWidth="1"/>
    <col min="7170" max="7170" width="12.42578125" style="545" customWidth="1"/>
    <col min="7171" max="7171" width="11.5703125" style="545" bestFit="1" customWidth="1"/>
    <col min="7172" max="7172" width="13" style="545" customWidth="1"/>
    <col min="7173" max="7173" width="12.5703125" style="545" customWidth="1"/>
    <col min="7174" max="7175" width="18.7109375" style="545" bestFit="1" customWidth="1"/>
    <col min="7176" max="7176" width="22.7109375" style="545" bestFit="1" customWidth="1"/>
    <col min="7177" max="7177" width="21.28515625" style="545" bestFit="1" customWidth="1"/>
    <col min="7178" max="7178" width="18.7109375" style="545" bestFit="1" customWidth="1"/>
    <col min="7179" max="7181" width="0" style="545" hidden="1" customWidth="1"/>
    <col min="7182" max="7424" width="9.140625" style="545"/>
    <col min="7425" max="7425" width="3.140625" style="545" customWidth="1"/>
    <col min="7426" max="7426" width="12.42578125" style="545" customWidth="1"/>
    <col min="7427" max="7427" width="11.5703125" style="545" bestFit="1" customWidth="1"/>
    <col min="7428" max="7428" width="13" style="545" customWidth="1"/>
    <col min="7429" max="7429" width="12.5703125" style="545" customWidth="1"/>
    <col min="7430" max="7431" width="18.7109375" style="545" bestFit="1" customWidth="1"/>
    <col min="7432" max="7432" width="22.7109375" style="545" bestFit="1" customWidth="1"/>
    <col min="7433" max="7433" width="21.28515625" style="545" bestFit="1" customWidth="1"/>
    <col min="7434" max="7434" width="18.7109375" style="545" bestFit="1" customWidth="1"/>
    <col min="7435" max="7437" width="0" style="545" hidden="1" customWidth="1"/>
    <col min="7438" max="7680" width="9.140625" style="545"/>
    <col min="7681" max="7681" width="3.140625" style="545" customWidth="1"/>
    <col min="7682" max="7682" width="12.42578125" style="545" customWidth="1"/>
    <col min="7683" max="7683" width="11.5703125" style="545" bestFit="1" customWidth="1"/>
    <col min="7684" max="7684" width="13" style="545" customWidth="1"/>
    <col min="7685" max="7685" width="12.5703125" style="545" customWidth="1"/>
    <col min="7686" max="7687" width="18.7109375" style="545" bestFit="1" customWidth="1"/>
    <col min="7688" max="7688" width="22.7109375" style="545" bestFit="1" customWidth="1"/>
    <col min="7689" max="7689" width="21.28515625" style="545" bestFit="1" customWidth="1"/>
    <col min="7690" max="7690" width="18.7109375" style="545" bestFit="1" customWidth="1"/>
    <col min="7691" max="7693" width="0" style="545" hidden="1" customWidth="1"/>
    <col min="7694" max="7936" width="9.140625" style="545"/>
    <col min="7937" max="7937" width="3.140625" style="545" customWidth="1"/>
    <col min="7938" max="7938" width="12.42578125" style="545" customWidth="1"/>
    <col min="7939" max="7939" width="11.5703125" style="545" bestFit="1" customWidth="1"/>
    <col min="7940" max="7940" width="13" style="545" customWidth="1"/>
    <col min="7941" max="7941" width="12.5703125" style="545" customWidth="1"/>
    <col min="7942" max="7943" width="18.7109375" style="545" bestFit="1" customWidth="1"/>
    <col min="7944" max="7944" width="22.7109375" style="545" bestFit="1" customWidth="1"/>
    <col min="7945" max="7945" width="21.28515625" style="545" bestFit="1" customWidth="1"/>
    <col min="7946" max="7946" width="18.7109375" style="545" bestFit="1" customWidth="1"/>
    <col min="7947" max="7949" width="0" style="545" hidden="1" customWidth="1"/>
    <col min="7950" max="8192" width="9.140625" style="545"/>
    <col min="8193" max="8193" width="3.140625" style="545" customWidth="1"/>
    <col min="8194" max="8194" width="12.42578125" style="545" customWidth="1"/>
    <col min="8195" max="8195" width="11.5703125" style="545" bestFit="1" customWidth="1"/>
    <col min="8196" max="8196" width="13" style="545" customWidth="1"/>
    <col min="8197" max="8197" width="12.5703125" style="545" customWidth="1"/>
    <col min="8198" max="8199" width="18.7109375" style="545" bestFit="1" customWidth="1"/>
    <col min="8200" max="8200" width="22.7109375" style="545" bestFit="1" customWidth="1"/>
    <col min="8201" max="8201" width="21.28515625" style="545" bestFit="1" customWidth="1"/>
    <col min="8202" max="8202" width="18.7109375" style="545" bestFit="1" customWidth="1"/>
    <col min="8203" max="8205" width="0" style="545" hidden="1" customWidth="1"/>
    <col min="8206" max="8448" width="9.140625" style="545"/>
    <col min="8449" max="8449" width="3.140625" style="545" customWidth="1"/>
    <col min="8450" max="8450" width="12.42578125" style="545" customWidth="1"/>
    <col min="8451" max="8451" width="11.5703125" style="545" bestFit="1" customWidth="1"/>
    <col min="8452" max="8452" width="13" style="545" customWidth="1"/>
    <col min="8453" max="8453" width="12.5703125" style="545" customWidth="1"/>
    <col min="8454" max="8455" width="18.7109375" style="545" bestFit="1" customWidth="1"/>
    <col min="8456" max="8456" width="22.7109375" style="545" bestFit="1" customWidth="1"/>
    <col min="8457" max="8457" width="21.28515625" style="545" bestFit="1" customWidth="1"/>
    <col min="8458" max="8458" width="18.7109375" style="545" bestFit="1" customWidth="1"/>
    <col min="8459" max="8461" width="0" style="545" hidden="1" customWidth="1"/>
    <col min="8462" max="8704" width="9.140625" style="545"/>
    <col min="8705" max="8705" width="3.140625" style="545" customWidth="1"/>
    <col min="8706" max="8706" width="12.42578125" style="545" customWidth="1"/>
    <col min="8707" max="8707" width="11.5703125" style="545" bestFit="1" customWidth="1"/>
    <col min="8708" max="8708" width="13" style="545" customWidth="1"/>
    <col min="8709" max="8709" width="12.5703125" style="545" customWidth="1"/>
    <col min="8710" max="8711" width="18.7109375" style="545" bestFit="1" customWidth="1"/>
    <col min="8712" max="8712" width="22.7109375" style="545" bestFit="1" customWidth="1"/>
    <col min="8713" max="8713" width="21.28515625" style="545" bestFit="1" customWidth="1"/>
    <col min="8714" max="8714" width="18.7109375" style="545" bestFit="1" customWidth="1"/>
    <col min="8715" max="8717" width="0" style="545" hidden="1" customWidth="1"/>
    <col min="8718" max="8960" width="9.140625" style="545"/>
    <col min="8961" max="8961" width="3.140625" style="545" customWidth="1"/>
    <col min="8962" max="8962" width="12.42578125" style="545" customWidth="1"/>
    <col min="8963" max="8963" width="11.5703125" style="545" bestFit="1" customWidth="1"/>
    <col min="8964" max="8964" width="13" style="545" customWidth="1"/>
    <col min="8965" max="8965" width="12.5703125" style="545" customWidth="1"/>
    <col min="8966" max="8967" width="18.7109375" style="545" bestFit="1" customWidth="1"/>
    <col min="8968" max="8968" width="22.7109375" style="545" bestFit="1" customWidth="1"/>
    <col min="8969" max="8969" width="21.28515625" style="545" bestFit="1" customWidth="1"/>
    <col min="8970" max="8970" width="18.7109375" style="545" bestFit="1" customWidth="1"/>
    <col min="8971" max="8973" width="0" style="545" hidden="1" customWidth="1"/>
    <col min="8974" max="9216" width="9.140625" style="545"/>
    <col min="9217" max="9217" width="3.140625" style="545" customWidth="1"/>
    <col min="9218" max="9218" width="12.42578125" style="545" customWidth="1"/>
    <col min="9219" max="9219" width="11.5703125" style="545" bestFit="1" customWidth="1"/>
    <col min="9220" max="9220" width="13" style="545" customWidth="1"/>
    <col min="9221" max="9221" width="12.5703125" style="545" customWidth="1"/>
    <col min="9222" max="9223" width="18.7109375" style="545" bestFit="1" customWidth="1"/>
    <col min="9224" max="9224" width="22.7109375" style="545" bestFit="1" customWidth="1"/>
    <col min="9225" max="9225" width="21.28515625" style="545" bestFit="1" customWidth="1"/>
    <col min="9226" max="9226" width="18.7109375" style="545" bestFit="1" customWidth="1"/>
    <col min="9227" max="9229" width="0" style="545" hidden="1" customWidth="1"/>
    <col min="9230" max="9472" width="9.140625" style="545"/>
    <col min="9473" max="9473" width="3.140625" style="545" customWidth="1"/>
    <col min="9474" max="9474" width="12.42578125" style="545" customWidth="1"/>
    <col min="9475" max="9475" width="11.5703125" style="545" bestFit="1" customWidth="1"/>
    <col min="9476" max="9476" width="13" style="545" customWidth="1"/>
    <col min="9477" max="9477" width="12.5703125" style="545" customWidth="1"/>
    <col min="9478" max="9479" width="18.7109375" style="545" bestFit="1" customWidth="1"/>
    <col min="9480" max="9480" width="22.7109375" style="545" bestFit="1" customWidth="1"/>
    <col min="9481" max="9481" width="21.28515625" style="545" bestFit="1" customWidth="1"/>
    <col min="9482" max="9482" width="18.7109375" style="545" bestFit="1" customWidth="1"/>
    <col min="9483" max="9485" width="0" style="545" hidden="1" customWidth="1"/>
    <col min="9486" max="9728" width="9.140625" style="545"/>
    <col min="9729" max="9729" width="3.140625" style="545" customWidth="1"/>
    <col min="9730" max="9730" width="12.42578125" style="545" customWidth="1"/>
    <col min="9731" max="9731" width="11.5703125" style="545" bestFit="1" customWidth="1"/>
    <col min="9732" max="9732" width="13" style="545" customWidth="1"/>
    <col min="9733" max="9733" width="12.5703125" style="545" customWidth="1"/>
    <col min="9734" max="9735" width="18.7109375" style="545" bestFit="1" customWidth="1"/>
    <col min="9736" max="9736" width="22.7109375" style="545" bestFit="1" customWidth="1"/>
    <col min="9737" max="9737" width="21.28515625" style="545" bestFit="1" customWidth="1"/>
    <col min="9738" max="9738" width="18.7109375" style="545" bestFit="1" customWidth="1"/>
    <col min="9739" max="9741" width="0" style="545" hidden="1" customWidth="1"/>
    <col min="9742" max="9984" width="9.140625" style="545"/>
    <col min="9985" max="9985" width="3.140625" style="545" customWidth="1"/>
    <col min="9986" max="9986" width="12.42578125" style="545" customWidth="1"/>
    <col min="9987" max="9987" width="11.5703125" style="545" bestFit="1" customWidth="1"/>
    <col min="9988" max="9988" width="13" style="545" customWidth="1"/>
    <col min="9989" max="9989" width="12.5703125" style="545" customWidth="1"/>
    <col min="9990" max="9991" width="18.7109375" style="545" bestFit="1" customWidth="1"/>
    <col min="9992" max="9992" width="22.7109375" style="545" bestFit="1" customWidth="1"/>
    <col min="9993" max="9993" width="21.28515625" style="545" bestFit="1" customWidth="1"/>
    <col min="9994" max="9994" width="18.7109375" style="545" bestFit="1" customWidth="1"/>
    <col min="9995" max="9997" width="0" style="545" hidden="1" customWidth="1"/>
    <col min="9998" max="10240" width="9.140625" style="545"/>
    <col min="10241" max="10241" width="3.140625" style="545" customWidth="1"/>
    <col min="10242" max="10242" width="12.42578125" style="545" customWidth="1"/>
    <col min="10243" max="10243" width="11.5703125" style="545" bestFit="1" customWidth="1"/>
    <col min="10244" max="10244" width="13" style="545" customWidth="1"/>
    <col min="10245" max="10245" width="12.5703125" style="545" customWidth="1"/>
    <col min="10246" max="10247" width="18.7109375" style="545" bestFit="1" customWidth="1"/>
    <col min="10248" max="10248" width="22.7109375" style="545" bestFit="1" customWidth="1"/>
    <col min="10249" max="10249" width="21.28515625" style="545" bestFit="1" customWidth="1"/>
    <col min="10250" max="10250" width="18.7109375" style="545" bestFit="1" customWidth="1"/>
    <col min="10251" max="10253" width="0" style="545" hidden="1" customWidth="1"/>
    <col min="10254" max="10496" width="9.140625" style="545"/>
    <col min="10497" max="10497" width="3.140625" style="545" customWidth="1"/>
    <col min="10498" max="10498" width="12.42578125" style="545" customWidth="1"/>
    <col min="10499" max="10499" width="11.5703125" style="545" bestFit="1" customWidth="1"/>
    <col min="10500" max="10500" width="13" style="545" customWidth="1"/>
    <col min="10501" max="10501" width="12.5703125" style="545" customWidth="1"/>
    <col min="10502" max="10503" width="18.7109375" style="545" bestFit="1" customWidth="1"/>
    <col min="10504" max="10504" width="22.7109375" style="545" bestFit="1" customWidth="1"/>
    <col min="10505" max="10505" width="21.28515625" style="545" bestFit="1" customWidth="1"/>
    <col min="10506" max="10506" width="18.7109375" style="545" bestFit="1" customWidth="1"/>
    <col min="10507" max="10509" width="0" style="545" hidden="1" customWidth="1"/>
    <col min="10510" max="10752" width="9.140625" style="545"/>
    <col min="10753" max="10753" width="3.140625" style="545" customWidth="1"/>
    <col min="10754" max="10754" width="12.42578125" style="545" customWidth="1"/>
    <col min="10755" max="10755" width="11.5703125" style="545" bestFit="1" customWidth="1"/>
    <col min="10756" max="10756" width="13" style="545" customWidth="1"/>
    <col min="10757" max="10757" width="12.5703125" style="545" customWidth="1"/>
    <col min="10758" max="10759" width="18.7109375" style="545" bestFit="1" customWidth="1"/>
    <col min="10760" max="10760" width="22.7109375" style="545" bestFit="1" customWidth="1"/>
    <col min="10761" max="10761" width="21.28515625" style="545" bestFit="1" customWidth="1"/>
    <col min="10762" max="10762" width="18.7109375" style="545" bestFit="1" customWidth="1"/>
    <col min="10763" max="10765" width="0" style="545" hidden="1" customWidth="1"/>
    <col min="10766" max="11008" width="9.140625" style="545"/>
    <col min="11009" max="11009" width="3.140625" style="545" customWidth="1"/>
    <col min="11010" max="11010" width="12.42578125" style="545" customWidth="1"/>
    <col min="11011" max="11011" width="11.5703125" style="545" bestFit="1" customWidth="1"/>
    <col min="11012" max="11012" width="13" style="545" customWidth="1"/>
    <col min="11013" max="11013" width="12.5703125" style="545" customWidth="1"/>
    <col min="11014" max="11015" width="18.7109375" style="545" bestFit="1" customWidth="1"/>
    <col min="11016" max="11016" width="22.7109375" style="545" bestFit="1" customWidth="1"/>
    <col min="11017" max="11017" width="21.28515625" style="545" bestFit="1" customWidth="1"/>
    <col min="11018" max="11018" width="18.7109375" style="545" bestFit="1" customWidth="1"/>
    <col min="11019" max="11021" width="0" style="545" hidden="1" customWidth="1"/>
    <col min="11022" max="11264" width="9.140625" style="545"/>
    <col min="11265" max="11265" width="3.140625" style="545" customWidth="1"/>
    <col min="11266" max="11266" width="12.42578125" style="545" customWidth="1"/>
    <col min="11267" max="11267" width="11.5703125" style="545" bestFit="1" customWidth="1"/>
    <col min="11268" max="11268" width="13" style="545" customWidth="1"/>
    <col min="11269" max="11269" width="12.5703125" style="545" customWidth="1"/>
    <col min="11270" max="11271" width="18.7109375" style="545" bestFit="1" customWidth="1"/>
    <col min="11272" max="11272" width="22.7109375" style="545" bestFit="1" customWidth="1"/>
    <col min="11273" max="11273" width="21.28515625" style="545" bestFit="1" customWidth="1"/>
    <col min="11274" max="11274" width="18.7109375" style="545" bestFit="1" customWidth="1"/>
    <col min="11275" max="11277" width="0" style="545" hidden="1" customWidth="1"/>
    <col min="11278" max="11520" width="9.140625" style="545"/>
    <col min="11521" max="11521" width="3.140625" style="545" customWidth="1"/>
    <col min="11522" max="11522" width="12.42578125" style="545" customWidth="1"/>
    <col min="11523" max="11523" width="11.5703125" style="545" bestFit="1" customWidth="1"/>
    <col min="11524" max="11524" width="13" style="545" customWidth="1"/>
    <col min="11525" max="11525" width="12.5703125" style="545" customWidth="1"/>
    <col min="11526" max="11527" width="18.7109375" style="545" bestFit="1" customWidth="1"/>
    <col min="11528" max="11528" width="22.7109375" style="545" bestFit="1" customWidth="1"/>
    <col min="11529" max="11529" width="21.28515625" style="545" bestFit="1" customWidth="1"/>
    <col min="11530" max="11530" width="18.7109375" style="545" bestFit="1" customWidth="1"/>
    <col min="11531" max="11533" width="0" style="545" hidden="1" customWidth="1"/>
    <col min="11534" max="11776" width="9.140625" style="545"/>
    <col min="11777" max="11777" width="3.140625" style="545" customWidth="1"/>
    <col min="11778" max="11778" width="12.42578125" style="545" customWidth="1"/>
    <col min="11779" max="11779" width="11.5703125" style="545" bestFit="1" customWidth="1"/>
    <col min="11780" max="11780" width="13" style="545" customWidth="1"/>
    <col min="11781" max="11781" width="12.5703125" style="545" customWidth="1"/>
    <col min="11782" max="11783" width="18.7109375" style="545" bestFit="1" customWidth="1"/>
    <col min="11784" max="11784" width="22.7109375" style="545" bestFit="1" customWidth="1"/>
    <col min="11785" max="11785" width="21.28515625" style="545" bestFit="1" customWidth="1"/>
    <col min="11786" max="11786" width="18.7109375" style="545" bestFit="1" customWidth="1"/>
    <col min="11787" max="11789" width="0" style="545" hidden="1" customWidth="1"/>
    <col min="11790" max="12032" width="9.140625" style="545"/>
    <col min="12033" max="12033" width="3.140625" style="545" customWidth="1"/>
    <col min="12034" max="12034" width="12.42578125" style="545" customWidth="1"/>
    <col min="12035" max="12035" width="11.5703125" style="545" bestFit="1" customWidth="1"/>
    <col min="12036" max="12036" width="13" style="545" customWidth="1"/>
    <col min="12037" max="12037" width="12.5703125" style="545" customWidth="1"/>
    <col min="12038" max="12039" width="18.7109375" style="545" bestFit="1" customWidth="1"/>
    <col min="12040" max="12040" width="22.7109375" style="545" bestFit="1" customWidth="1"/>
    <col min="12041" max="12041" width="21.28515625" style="545" bestFit="1" customWidth="1"/>
    <col min="12042" max="12042" width="18.7109375" style="545" bestFit="1" customWidth="1"/>
    <col min="12043" max="12045" width="0" style="545" hidden="1" customWidth="1"/>
    <col min="12046" max="12288" width="9.140625" style="545"/>
    <col min="12289" max="12289" width="3.140625" style="545" customWidth="1"/>
    <col min="12290" max="12290" width="12.42578125" style="545" customWidth="1"/>
    <col min="12291" max="12291" width="11.5703125" style="545" bestFit="1" customWidth="1"/>
    <col min="12292" max="12292" width="13" style="545" customWidth="1"/>
    <col min="12293" max="12293" width="12.5703125" style="545" customWidth="1"/>
    <col min="12294" max="12295" width="18.7109375" style="545" bestFit="1" customWidth="1"/>
    <col min="12296" max="12296" width="22.7109375" style="545" bestFit="1" customWidth="1"/>
    <col min="12297" max="12297" width="21.28515625" style="545" bestFit="1" customWidth="1"/>
    <col min="12298" max="12298" width="18.7109375" style="545" bestFit="1" customWidth="1"/>
    <col min="12299" max="12301" width="0" style="545" hidden="1" customWidth="1"/>
    <col min="12302" max="12544" width="9.140625" style="545"/>
    <col min="12545" max="12545" width="3.140625" style="545" customWidth="1"/>
    <col min="12546" max="12546" width="12.42578125" style="545" customWidth="1"/>
    <col min="12547" max="12547" width="11.5703125" style="545" bestFit="1" customWidth="1"/>
    <col min="12548" max="12548" width="13" style="545" customWidth="1"/>
    <col min="12549" max="12549" width="12.5703125" style="545" customWidth="1"/>
    <col min="12550" max="12551" width="18.7109375" style="545" bestFit="1" customWidth="1"/>
    <col min="12552" max="12552" width="22.7109375" style="545" bestFit="1" customWidth="1"/>
    <col min="12553" max="12553" width="21.28515625" style="545" bestFit="1" customWidth="1"/>
    <col min="12554" max="12554" width="18.7109375" style="545" bestFit="1" customWidth="1"/>
    <col min="12555" max="12557" width="0" style="545" hidden="1" customWidth="1"/>
    <col min="12558" max="12800" width="9.140625" style="545"/>
    <col min="12801" max="12801" width="3.140625" style="545" customWidth="1"/>
    <col min="12802" max="12802" width="12.42578125" style="545" customWidth="1"/>
    <col min="12803" max="12803" width="11.5703125" style="545" bestFit="1" customWidth="1"/>
    <col min="12804" max="12804" width="13" style="545" customWidth="1"/>
    <col min="12805" max="12805" width="12.5703125" style="545" customWidth="1"/>
    <col min="12806" max="12807" width="18.7109375" style="545" bestFit="1" customWidth="1"/>
    <col min="12808" max="12808" width="22.7109375" style="545" bestFit="1" customWidth="1"/>
    <col min="12809" max="12809" width="21.28515625" style="545" bestFit="1" customWidth="1"/>
    <col min="12810" max="12810" width="18.7109375" style="545" bestFit="1" customWidth="1"/>
    <col min="12811" max="12813" width="0" style="545" hidden="1" customWidth="1"/>
    <col min="12814" max="13056" width="9.140625" style="545"/>
    <col min="13057" max="13057" width="3.140625" style="545" customWidth="1"/>
    <col min="13058" max="13058" width="12.42578125" style="545" customWidth="1"/>
    <col min="13059" max="13059" width="11.5703125" style="545" bestFit="1" customWidth="1"/>
    <col min="13060" max="13060" width="13" style="545" customWidth="1"/>
    <col min="13061" max="13061" width="12.5703125" style="545" customWidth="1"/>
    <col min="13062" max="13063" width="18.7109375" style="545" bestFit="1" customWidth="1"/>
    <col min="13064" max="13064" width="22.7109375" style="545" bestFit="1" customWidth="1"/>
    <col min="13065" max="13065" width="21.28515625" style="545" bestFit="1" customWidth="1"/>
    <col min="13066" max="13066" width="18.7109375" style="545" bestFit="1" customWidth="1"/>
    <col min="13067" max="13069" width="0" style="545" hidden="1" customWidth="1"/>
    <col min="13070" max="13312" width="9.140625" style="545"/>
    <col min="13313" max="13313" width="3.140625" style="545" customWidth="1"/>
    <col min="13314" max="13314" width="12.42578125" style="545" customWidth="1"/>
    <col min="13315" max="13315" width="11.5703125" style="545" bestFit="1" customWidth="1"/>
    <col min="13316" max="13316" width="13" style="545" customWidth="1"/>
    <col min="13317" max="13317" width="12.5703125" style="545" customWidth="1"/>
    <col min="13318" max="13319" width="18.7109375" style="545" bestFit="1" customWidth="1"/>
    <col min="13320" max="13320" width="22.7109375" style="545" bestFit="1" customWidth="1"/>
    <col min="13321" max="13321" width="21.28515625" style="545" bestFit="1" customWidth="1"/>
    <col min="13322" max="13322" width="18.7109375" style="545" bestFit="1" customWidth="1"/>
    <col min="13323" max="13325" width="0" style="545" hidden="1" customWidth="1"/>
    <col min="13326" max="13568" width="9.140625" style="545"/>
    <col min="13569" max="13569" width="3.140625" style="545" customWidth="1"/>
    <col min="13570" max="13570" width="12.42578125" style="545" customWidth="1"/>
    <col min="13571" max="13571" width="11.5703125" style="545" bestFit="1" customWidth="1"/>
    <col min="13572" max="13572" width="13" style="545" customWidth="1"/>
    <col min="13573" max="13573" width="12.5703125" style="545" customWidth="1"/>
    <col min="13574" max="13575" width="18.7109375" style="545" bestFit="1" customWidth="1"/>
    <col min="13576" max="13576" width="22.7109375" style="545" bestFit="1" customWidth="1"/>
    <col min="13577" max="13577" width="21.28515625" style="545" bestFit="1" customWidth="1"/>
    <col min="13578" max="13578" width="18.7109375" style="545" bestFit="1" customWidth="1"/>
    <col min="13579" max="13581" width="0" style="545" hidden="1" customWidth="1"/>
    <col min="13582" max="13824" width="9.140625" style="545"/>
    <col min="13825" max="13825" width="3.140625" style="545" customWidth="1"/>
    <col min="13826" max="13826" width="12.42578125" style="545" customWidth="1"/>
    <col min="13827" max="13827" width="11.5703125" style="545" bestFit="1" customWidth="1"/>
    <col min="13828" max="13828" width="13" style="545" customWidth="1"/>
    <col min="13829" max="13829" width="12.5703125" style="545" customWidth="1"/>
    <col min="13830" max="13831" width="18.7109375" style="545" bestFit="1" customWidth="1"/>
    <col min="13832" max="13832" width="22.7109375" style="545" bestFit="1" customWidth="1"/>
    <col min="13833" max="13833" width="21.28515625" style="545" bestFit="1" customWidth="1"/>
    <col min="13834" max="13834" width="18.7109375" style="545" bestFit="1" customWidth="1"/>
    <col min="13835" max="13837" width="0" style="545" hidden="1" customWidth="1"/>
    <col min="13838" max="14080" width="9.140625" style="545"/>
    <col min="14081" max="14081" width="3.140625" style="545" customWidth="1"/>
    <col min="14082" max="14082" width="12.42578125" style="545" customWidth="1"/>
    <col min="14083" max="14083" width="11.5703125" style="545" bestFit="1" customWidth="1"/>
    <col min="14084" max="14084" width="13" style="545" customWidth="1"/>
    <col min="14085" max="14085" width="12.5703125" style="545" customWidth="1"/>
    <col min="14086" max="14087" width="18.7109375" style="545" bestFit="1" customWidth="1"/>
    <col min="14088" max="14088" width="22.7109375" style="545" bestFit="1" customWidth="1"/>
    <col min="14089" max="14089" width="21.28515625" style="545" bestFit="1" customWidth="1"/>
    <col min="14090" max="14090" width="18.7109375" style="545" bestFit="1" customWidth="1"/>
    <col min="14091" max="14093" width="0" style="545" hidden="1" customWidth="1"/>
    <col min="14094" max="14336" width="9.140625" style="545"/>
    <col min="14337" max="14337" width="3.140625" style="545" customWidth="1"/>
    <col min="14338" max="14338" width="12.42578125" style="545" customWidth="1"/>
    <col min="14339" max="14339" width="11.5703125" style="545" bestFit="1" customWidth="1"/>
    <col min="14340" max="14340" width="13" style="545" customWidth="1"/>
    <col min="14341" max="14341" width="12.5703125" style="545" customWidth="1"/>
    <col min="14342" max="14343" width="18.7109375" style="545" bestFit="1" customWidth="1"/>
    <col min="14344" max="14344" width="22.7109375" style="545" bestFit="1" customWidth="1"/>
    <col min="14345" max="14345" width="21.28515625" style="545" bestFit="1" customWidth="1"/>
    <col min="14346" max="14346" width="18.7109375" style="545" bestFit="1" customWidth="1"/>
    <col min="14347" max="14349" width="0" style="545" hidden="1" customWidth="1"/>
    <col min="14350" max="14592" width="9.140625" style="545"/>
    <col min="14593" max="14593" width="3.140625" style="545" customWidth="1"/>
    <col min="14594" max="14594" width="12.42578125" style="545" customWidth="1"/>
    <col min="14595" max="14595" width="11.5703125" style="545" bestFit="1" customWidth="1"/>
    <col min="14596" max="14596" width="13" style="545" customWidth="1"/>
    <col min="14597" max="14597" width="12.5703125" style="545" customWidth="1"/>
    <col min="14598" max="14599" width="18.7109375" style="545" bestFit="1" customWidth="1"/>
    <col min="14600" max="14600" width="22.7109375" style="545" bestFit="1" customWidth="1"/>
    <col min="14601" max="14601" width="21.28515625" style="545" bestFit="1" customWidth="1"/>
    <col min="14602" max="14602" width="18.7109375" style="545" bestFit="1" customWidth="1"/>
    <col min="14603" max="14605" width="0" style="545" hidden="1" customWidth="1"/>
    <col min="14606" max="14848" width="9.140625" style="545"/>
    <col min="14849" max="14849" width="3.140625" style="545" customWidth="1"/>
    <col min="14850" max="14850" width="12.42578125" style="545" customWidth="1"/>
    <col min="14851" max="14851" width="11.5703125" style="545" bestFit="1" customWidth="1"/>
    <col min="14852" max="14852" width="13" style="545" customWidth="1"/>
    <col min="14853" max="14853" width="12.5703125" style="545" customWidth="1"/>
    <col min="14854" max="14855" width="18.7109375" style="545" bestFit="1" customWidth="1"/>
    <col min="14856" max="14856" width="22.7109375" style="545" bestFit="1" customWidth="1"/>
    <col min="14857" max="14857" width="21.28515625" style="545" bestFit="1" customWidth="1"/>
    <col min="14858" max="14858" width="18.7109375" style="545" bestFit="1" customWidth="1"/>
    <col min="14859" max="14861" width="0" style="545" hidden="1" customWidth="1"/>
    <col min="14862" max="15104" width="9.140625" style="545"/>
    <col min="15105" max="15105" width="3.140625" style="545" customWidth="1"/>
    <col min="15106" max="15106" width="12.42578125" style="545" customWidth="1"/>
    <col min="15107" max="15107" width="11.5703125" style="545" bestFit="1" customWidth="1"/>
    <col min="15108" max="15108" width="13" style="545" customWidth="1"/>
    <col min="15109" max="15109" width="12.5703125" style="545" customWidth="1"/>
    <col min="15110" max="15111" width="18.7109375" style="545" bestFit="1" customWidth="1"/>
    <col min="15112" max="15112" width="22.7109375" style="545" bestFit="1" customWidth="1"/>
    <col min="15113" max="15113" width="21.28515625" style="545" bestFit="1" customWidth="1"/>
    <col min="15114" max="15114" width="18.7109375" style="545" bestFit="1" customWidth="1"/>
    <col min="15115" max="15117" width="0" style="545" hidden="1" customWidth="1"/>
    <col min="15118" max="15360" width="9.140625" style="545"/>
    <col min="15361" max="15361" width="3.140625" style="545" customWidth="1"/>
    <col min="15362" max="15362" width="12.42578125" style="545" customWidth="1"/>
    <col min="15363" max="15363" width="11.5703125" style="545" bestFit="1" customWidth="1"/>
    <col min="15364" max="15364" width="13" style="545" customWidth="1"/>
    <col min="15365" max="15365" width="12.5703125" style="545" customWidth="1"/>
    <col min="15366" max="15367" width="18.7109375" style="545" bestFit="1" customWidth="1"/>
    <col min="15368" max="15368" width="22.7109375" style="545" bestFit="1" customWidth="1"/>
    <col min="15369" max="15369" width="21.28515625" style="545" bestFit="1" customWidth="1"/>
    <col min="15370" max="15370" width="18.7109375" style="545" bestFit="1" customWidth="1"/>
    <col min="15371" max="15373" width="0" style="545" hidden="1" customWidth="1"/>
    <col min="15374" max="15616" width="9.140625" style="545"/>
    <col min="15617" max="15617" width="3.140625" style="545" customWidth="1"/>
    <col min="15618" max="15618" width="12.42578125" style="545" customWidth="1"/>
    <col min="15619" max="15619" width="11.5703125" style="545" bestFit="1" customWidth="1"/>
    <col min="15620" max="15620" width="13" style="545" customWidth="1"/>
    <col min="15621" max="15621" width="12.5703125" style="545" customWidth="1"/>
    <col min="15622" max="15623" width="18.7109375" style="545" bestFit="1" customWidth="1"/>
    <col min="15624" max="15624" width="22.7109375" style="545" bestFit="1" customWidth="1"/>
    <col min="15625" max="15625" width="21.28515625" style="545" bestFit="1" customWidth="1"/>
    <col min="15626" max="15626" width="18.7109375" style="545" bestFit="1" customWidth="1"/>
    <col min="15627" max="15629" width="0" style="545" hidden="1" customWidth="1"/>
    <col min="15630" max="15872" width="9.140625" style="545"/>
    <col min="15873" max="15873" width="3.140625" style="545" customWidth="1"/>
    <col min="15874" max="15874" width="12.42578125" style="545" customWidth="1"/>
    <col min="15875" max="15875" width="11.5703125" style="545" bestFit="1" customWidth="1"/>
    <col min="15876" max="15876" width="13" style="545" customWidth="1"/>
    <col min="15877" max="15877" width="12.5703125" style="545" customWidth="1"/>
    <col min="15878" max="15879" width="18.7109375" style="545" bestFit="1" customWidth="1"/>
    <col min="15880" max="15880" width="22.7109375" style="545" bestFit="1" customWidth="1"/>
    <col min="15881" max="15881" width="21.28515625" style="545" bestFit="1" customWidth="1"/>
    <col min="15882" max="15882" width="18.7109375" style="545" bestFit="1" customWidth="1"/>
    <col min="15883" max="15885" width="0" style="545" hidden="1" customWidth="1"/>
    <col min="15886" max="16128" width="9.140625" style="545"/>
    <col min="16129" max="16129" width="3.140625" style="545" customWidth="1"/>
    <col min="16130" max="16130" width="12.42578125" style="545" customWidth="1"/>
    <col min="16131" max="16131" width="11.5703125" style="545" bestFit="1" customWidth="1"/>
    <col min="16132" max="16132" width="13" style="545" customWidth="1"/>
    <col min="16133" max="16133" width="12.5703125" style="545" customWidth="1"/>
    <col min="16134" max="16135" width="18.7109375" style="545" bestFit="1" customWidth="1"/>
    <col min="16136" max="16136" width="22.7109375" style="545" bestFit="1" customWidth="1"/>
    <col min="16137" max="16137" width="21.28515625" style="545" bestFit="1" customWidth="1"/>
    <col min="16138" max="16138" width="18.7109375" style="545" bestFit="1" customWidth="1"/>
    <col min="16139" max="16141" width="0" style="545" hidden="1" customWidth="1"/>
    <col min="16142" max="16384" width="9.140625" style="545"/>
  </cols>
  <sheetData>
    <row r="1" spans="2:13">
      <c r="F1" s="546"/>
    </row>
    <row r="2" spans="2:13" ht="15.75">
      <c r="B2" s="548" t="s">
        <v>0</v>
      </c>
    </row>
    <row r="3" spans="2:13" ht="60">
      <c r="B3" s="550" t="s">
        <v>1</v>
      </c>
      <c r="C3" s="551" t="s">
        <v>2</v>
      </c>
      <c r="D3" s="6149" t="s">
        <v>3</v>
      </c>
      <c r="E3" s="6150"/>
      <c r="F3" s="552" t="s">
        <v>4</v>
      </c>
      <c r="G3" s="553" t="s">
        <v>5</v>
      </c>
      <c r="H3" s="553" t="s">
        <v>6</v>
      </c>
      <c r="I3" s="553" t="s">
        <v>7</v>
      </c>
      <c r="J3" s="553" t="s">
        <v>8</v>
      </c>
      <c r="K3" s="554" t="s">
        <v>9</v>
      </c>
      <c r="L3" s="555" t="s">
        <v>10</v>
      </c>
      <c r="M3" s="554" t="s">
        <v>11</v>
      </c>
    </row>
    <row r="4" spans="2:13" ht="15.75" thickBot="1">
      <c r="B4" s="556"/>
      <c r="C4" s="557"/>
      <c r="D4" s="558" t="s">
        <v>12</v>
      </c>
      <c r="E4" s="558" t="s">
        <v>13</v>
      </c>
      <c r="F4" s="559"/>
      <c r="G4" s="560"/>
      <c r="H4" s="560"/>
      <c r="I4" s="560"/>
      <c r="J4" s="560"/>
      <c r="K4" s="561"/>
    </row>
    <row r="5" spans="2:13" ht="15.75" thickBot="1">
      <c r="B5" s="562" t="s">
        <v>14</v>
      </c>
      <c r="C5" s="563" t="s">
        <v>15</v>
      </c>
      <c r="D5" s="563">
        <f>+'[109]Mar 13'!D5</f>
        <v>202</v>
      </c>
      <c r="E5" s="563">
        <f>+'[109]Mar 13'!E5</f>
        <v>0</v>
      </c>
      <c r="F5" s="564">
        <f>+'[109]Apr 12'!F5+'[109]May 12'!F5+'[109]Jun 12'!F5+'[109]Jul 12'!F5+'[109]Aug 12'!F5+'[109]Sep 12'!F5+'[109]Oct 12'!F5+'[109]Nov 12'!F5+'[109]Dec 12'!F5+'[109]Jan 13'!F5+'[109]Feb 13'!F5+'[109]Mar 13'!F5</f>
        <v>385601</v>
      </c>
      <c r="G5" s="565">
        <f>+'[109]Apr 12'!G5+'[109]May 12'!G5+'[109]Jun 12'!G5+'[109]Jul 12'!G5+'[109]Aug 12'!G5+'[109]Sep 12'!G5+'[109]Oct 12'!G5+'[109]Nov 12'!G5+'[109]Dec 12'!G5+'[109]Jan 13'!G5+'[109]Feb 13'!G5+'[109]Mar 13'!G5</f>
        <v>165026.84</v>
      </c>
      <c r="H5" s="566">
        <f>+'[109]Apr 12'!H5+'[109]May 12'!H5+'[109]Jun 12'!H5+'[109]Jul 12'!H5+'[109]Aug 12'!H5+'[109]Sep 12'!H5+'[109]Oct 12'!H5+'[109]Nov 12'!H5+'[109]Dec 12'!H5+'[109]Jan 13'!H5+'[109]Feb 13'!H5+'[109]Mar 13'!H5</f>
        <v>16378</v>
      </c>
      <c r="I5" s="565">
        <f>+'[109]Apr 12'!I5+'[109]May 12'!I5+'[109]Jun 12'!I5+'[109]Jul 12'!I5+'[109]Aug 12'!I5+'[109]Sep 12'!I5+'[109]Oct 12'!I5+'[109]Nov 12'!I5+'[109]Dec 12'!I5+'[109]Jan 13'!I5+'[109]Feb 13'!I5+'[109]Mar 13'!I5</f>
        <v>32359.319999999992</v>
      </c>
      <c r="J5" s="565">
        <f>SUM(G5:I5)</f>
        <v>213764.15999999997</v>
      </c>
      <c r="K5" s="567">
        <f>+J5/F5</f>
        <v>0.55436619718309854</v>
      </c>
    </row>
    <row r="6" spans="2:13">
      <c r="B6" s="568" t="s">
        <v>16</v>
      </c>
      <c r="C6" s="569" t="s">
        <v>17</v>
      </c>
      <c r="D6" s="569">
        <f>+'[109]Mar 13'!D6</f>
        <v>289424</v>
      </c>
      <c r="E6" s="569">
        <f>+'[109]Mar 13'!E6</f>
        <v>14416</v>
      </c>
      <c r="F6" s="564">
        <f>+'[109]Apr 12'!F6+'[109]May 12'!F6+'[109]Jun 12'!F6+'[109]Jul 12'!F6+'[109]Aug 12'!F6+'[109]Sep 12'!F6+'[109]Oct 12'!F6+'[109]Nov 12'!F6+'[109]Dec 12'!F6+'[109]Jan 13'!F6+'[109]Feb 13'!F6+'[109]Mar 13'!F6</f>
        <v>687856900</v>
      </c>
      <c r="G6" s="565">
        <f>+'[109]Apr 12'!G6+'[109]May 12'!G6+'[109]Jun 12'!G6+'[109]Jul 12'!G6+'[109]Aug 12'!G6+'[109]Sep 12'!G6+'[109]Oct 12'!G6+'[109]Nov 12'!G6+'[109]Dec 12'!G6+'[109]Jan 13'!G6+'[109]Feb 13'!G6+'[109]Mar 13'!G6</f>
        <v>1338109134.2000003</v>
      </c>
      <c r="H6" s="6146">
        <f>+'[109]Apr 12'!H6+'[109]May 12'!H6+'[109]Jun 12'!H6+'[109]Jul 12'!H6+'[109]Aug 12'!H6+'[109]Sep 12'!H6+'[109]Oct 12'!H6+'[109]Nov 12'!H6+'[109]Dec 12'!H6+'[109]Jan 13'!H6+'[109]Feb 13'!H6+'[109]Mar 13'!H6</f>
        <v>685586750.87</v>
      </c>
      <c r="I6" s="565">
        <f>+'[109]Apr 12'!I6+'[109]May 12'!I6+'[109]Jun 12'!I6+'[109]Jul 12'!I6+'[109]Aug 12'!I6+'[109]Sep 12'!I6+'[109]Oct 12'!I6+'[109]Nov 12'!I6+'[109]Dec 12'!I6+'[109]Jan 13'!I6+'[109]Feb 13'!I6+'[109]Mar 13'!I6</f>
        <v>293258856.00000006</v>
      </c>
      <c r="J6" s="6151">
        <f>SUM(G6:I9)</f>
        <v>8952812688.8500004</v>
      </c>
      <c r="K6" s="6153">
        <f>+J6/SUM(F6:F9)</f>
        <v>4.973035816112243</v>
      </c>
    </row>
    <row r="7" spans="2:13" ht="15.75" customHeight="1">
      <c r="B7" s="570"/>
      <c r="C7" s="571" t="s">
        <v>18</v>
      </c>
      <c r="D7" s="571">
        <f>+'[109]Mar 13'!D7</f>
        <v>323091</v>
      </c>
      <c r="E7" s="571">
        <f>+'[109]Mar 13'!E7</f>
        <v>24645</v>
      </c>
      <c r="F7" s="572">
        <f>+'[109]Apr 12'!F7+'[109]May 12'!F7+'[109]Jun 12'!F7+'[109]Jul 12'!F7+'[109]Aug 12'!F7+'[109]Sep 12'!F7+'[109]Oct 12'!F7+'[109]Nov 12'!F7+'[109]Dec 12'!F7+'[109]Jan 13'!F7+'[109]Feb 13'!F7+'[109]Mar 13'!F7</f>
        <v>584313924</v>
      </c>
      <c r="G7" s="573">
        <f>+'[109]Apr 12'!G7+'[109]May 12'!G7+'[109]Jun 12'!G7+'[109]Jul 12'!G7+'[109]Aug 12'!G7+'[109]Sep 12'!G7+'[109]Oct 12'!G7+'[109]Nov 12'!G7+'[109]Dec 12'!G7+'[109]Jan 13'!G7+'[109]Feb 13'!G7+'[109]Mar 13'!G7</f>
        <v>2156567116.4099998</v>
      </c>
      <c r="H7" s="6147">
        <f>+'[109]Apr 12'!H7+'[109]May 12'!H7+'[109]Jun 12'!H7+'[109]Jul 12'!H7+'[109]Aug 12'!H7+'[109]Sep 12'!H7+'[109]Oct 12'!H7+'[109]Nov 12'!H7+'[109]Dec 12'!H7+'[109]Jan 13'!H7+'[109]Feb 13'!H7+'[109]Mar 13'!H7</f>
        <v>0</v>
      </c>
      <c r="I7" s="573">
        <f>+'[109]Apr 12'!I7+'[109]May 12'!I7+'[109]Jun 12'!I7+'[109]Jul 12'!I7+'[109]Aug 12'!I7+'[109]Sep 12'!I7+'[109]Oct 12'!I7+'[109]Nov 12'!I7+'[109]Dec 12'!I7+'[109]Jan 13'!I7+'[109]Feb 13'!I7+'[109]Mar 13'!I7</f>
        <v>461139416.12999994</v>
      </c>
      <c r="J7" s="6152"/>
      <c r="K7" s="6154"/>
    </row>
    <row r="8" spans="2:13" ht="15.75" customHeight="1">
      <c r="B8" s="570"/>
      <c r="C8" s="571" t="s">
        <v>19</v>
      </c>
      <c r="D8" s="571">
        <f>+'[109]Mar 13'!D8</f>
        <v>37732</v>
      </c>
      <c r="E8" s="571">
        <f>+'[109]Mar 13'!E8</f>
        <v>18529</v>
      </c>
      <c r="F8" s="572">
        <f>+'[109]Apr 12'!F8+'[109]May 12'!F8+'[109]Jun 12'!F8+'[109]Jul 12'!F8+'[109]Aug 12'!F8+'[109]Sep 12'!F8+'[109]Oct 12'!F8+'[109]Nov 12'!F8+'[109]Dec 12'!F8+'[109]Jan 13'!F8+'[109]Feb 13'!F8+'[109]Mar 13'!F8</f>
        <v>178530881</v>
      </c>
      <c r="G8" s="573">
        <f>+'[109]Apr 12'!G8+'[109]May 12'!G8+'[109]Jun 12'!G8+'[109]Jul 12'!G8+'[109]Aug 12'!G8+'[109]Sep 12'!G8+'[109]Oct 12'!G8+'[109]Nov 12'!G8+'[109]Dec 12'!G8+'[109]Jan 13'!G8+'[109]Feb 13'!G8+'[109]Mar 13'!G8</f>
        <v>954161442.10000002</v>
      </c>
      <c r="H8" s="6147">
        <f>+'[109]Apr 12'!H8+'[109]May 12'!H8+'[109]Jun 12'!H8+'[109]Jul 12'!H8+'[109]Aug 12'!H8+'[109]Sep 12'!H8+'[109]Oct 12'!H8+'[109]Nov 12'!H8+'[109]Dec 12'!H8+'[109]Jan 13'!H8+'[109]Feb 13'!H8+'[109]Mar 13'!H8</f>
        <v>0</v>
      </c>
      <c r="I8" s="573">
        <f>+'[109]Apr 12'!I8+'[109]May 12'!I8+'[109]Jun 12'!I8+'[109]Jul 12'!I8+'[109]Aug 12'!I8+'[109]Sep 12'!I8+'[109]Oct 12'!I8+'[109]Nov 12'!I8+'[109]Dec 12'!I8+'[109]Jan 13'!I8+'[109]Feb 13'!I8+'[109]Mar 13'!I8</f>
        <v>190746547.19999999</v>
      </c>
      <c r="J8" s="6152"/>
      <c r="K8" s="6154"/>
    </row>
    <row r="9" spans="2:13" ht="16.5" customHeight="1" thickBot="1">
      <c r="B9" s="570"/>
      <c r="C9" s="571" t="s">
        <v>20</v>
      </c>
      <c r="D9" s="574">
        <f>+'[109]Mar 13'!D9</f>
        <v>9729</v>
      </c>
      <c r="E9" s="574">
        <f>+'[109]Mar 13'!E9</f>
        <v>25164</v>
      </c>
      <c r="F9" s="575">
        <f>+'[109]Apr 12'!F9+'[109]May 12'!F9+'[109]Jun 12'!F9+'[109]Jul 12'!F9+'[109]Aug 12'!F9+'[109]Sep 12'!F9+'[109]Oct 12'!F9+'[109]Nov 12'!F9+'[109]Dec 12'!F9+'[109]Jan 13'!F9+'[109]Feb 13'!F9+'[109]Mar 13'!F9</f>
        <v>349569401</v>
      </c>
      <c r="G9" s="576">
        <f>+'[109]Apr 12'!G9+'[109]May 12'!G9+'[109]Jun 12'!G9+'[109]Jul 12'!G9+'[109]Aug 12'!G9+'[109]Sep 12'!G9+'[109]Oct 12'!G9+'[109]Nov 12'!G9+'[109]Dec 12'!G9+'[109]Jan 13'!G9+'[109]Feb 13'!G9+'[109]Mar 13'!G9</f>
        <v>2392658466.0400004</v>
      </c>
      <c r="H9" s="6148">
        <f>+'[109]Apr 12'!H9+'[109]May 12'!H9+'[109]Jun 12'!H9+'[109]Jul 12'!H9+'[109]Aug 12'!H9+'[109]Sep 12'!H9+'[109]Oct 12'!H9+'[109]Nov 12'!H9+'[109]Dec 12'!H9+'[109]Jan 13'!H9+'[109]Feb 13'!H9+'[109]Mar 13'!H9</f>
        <v>0</v>
      </c>
      <c r="I9" s="576">
        <f>+'[109]Apr 12'!I9+'[109]May 12'!I9+'[109]Jun 12'!I9+'[109]Jul 12'!I9+'[109]Aug 12'!I9+'[109]Sep 12'!I9+'[109]Oct 12'!I9+'[109]Nov 12'!I9+'[109]Dec 12'!I9+'[109]Jan 13'!I9+'[109]Feb 13'!I9+'[109]Mar 13'!I9</f>
        <v>480584959.90000004</v>
      </c>
      <c r="J9" s="6152"/>
      <c r="K9" s="6154"/>
    </row>
    <row r="10" spans="2:13">
      <c r="B10" s="568" t="s">
        <v>21</v>
      </c>
      <c r="C10" s="569" t="s">
        <v>22</v>
      </c>
      <c r="D10" s="569"/>
      <c r="E10" s="569"/>
      <c r="F10" s="564">
        <f>+'[109]Apr 12'!F10+'[109]May 12'!F10+'[109]Jun 12'!F10+'[109]Jul 12'!F10+'[109]Aug 12'!F10+'[109]Sep 12'!F10+'[109]Oct 12'!F10+'[109]Nov 12'!F10+'[109]Dec 12'!F10+'[109]Jan 13'!F10+'[109]Feb 13'!F10+'[109]Mar 13'!F10</f>
        <v>96083548</v>
      </c>
      <c r="G10" s="565">
        <f>+'[109]Apr 12'!G10+'[109]May 12'!G10+'[109]Jun 12'!G10+'[109]Jul 12'!G10+'[109]Aug 12'!G10+'[109]Sep 12'!G10+'[109]Oct 12'!G10+'[109]Nov 12'!G10+'[109]Dec 12'!G10+'[109]Jan 13'!G10+'[109]Feb 13'!G10+'[109]Mar 13'!G10</f>
        <v>384334192</v>
      </c>
      <c r="H10" s="6146">
        <f>+'[109]Apr 12'!H10+'[109]May 12'!H10+'[109]Jun 12'!H10+'[109]Jul 12'!H10+'[109]Aug 12'!H10+'[109]Sep 12'!H10+'[109]Oct 12'!H10+'[109]Nov 12'!H10+'[109]Dec 12'!H10+'[109]Jan 13'!H10+'[109]Feb 13'!H10+'[109]Mar 13'!H10</f>
        <v>723046724.69999993</v>
      </c>
      <c r="I10" s="565">
        <f>+'[109]Apr 12'!I10+'[109]May 12'!I10+'[109]Jun 12'!I10+'[109]Jul 12'!I10+'[109]Aug 12'!I10+'[109]Sep 12'!I10+'[109]Oct 12'!I10+'[109]Nov 12'!I10+'[109]Dec 12'!I10+'[109]Jan 13'!I10+'[109]Feb 13'!I10+'[109]Mar 13'!I10</f>
        <v>0</v>
      </c>
      <c r="J10" s="6155">
        <f>SUM(G10:I15)</f>
        <v>7845454727.7599993</v>
      </c>
      <c r="K10" s="6146">
        <f>+J10/SUM(F10:F15)</f>
        <v>8.5012256927392471</v>
      </c>
    </row>
    <row r="11" spans="2:13" ht="15.75" customHeight="1">
      <c r="B11" s="570"/>
      <c r="C11" s="571" t="s">
        <v>19</v>
      </c>
      <c r="D11" s="571"/>
      <c r="E11" s="571"/>
      <c r="F11" s="572">
        <f>+'[109]Apr 12'!F11+'[109]May 12'!F11+'[109]Jun 12'!F11+'[109]Jul 12'!F11+'[109]Aug 12'!F11+'[109]Sep 12'!F11+'[109]Oct 12'!F11+'[109]Nov 12'!F11+'[109]Dec 12'!F11+'[109]Jan 13'!F11+'[109]Feb 13'!F11+'[109]Mar 13'!F11</f>
        <v>29730263</v>
      </c>
      <c r="G11" s="573">
        <f>+'[109]Apr 12'!G11+'[109]May 12'!G11+'[109]Jun 12'!G11+'[109]Jul 12'!G11+'[109]Aug 12'!G11+'[109]Sep 12'!G11+'[109]Oct 12'!G11+'[109]Nov 12'!G11+'[109]Dec 12'!G11+'[109]Jan 13'!G11+'[109]Feb 13'!G11+'[109]Mar 13'!G11</f>
        <v>178381578</v>
      </c>
      <c r="H11" s="6147">
        <f>+'[109]Apr 12'!H11+'[109]May 12'!H11+'[109]Jun 12'!H11+'[109]Jul 12'!H11+'[109]Aug 12'!H11+'[109]Sep 12'!H11+'[109]Oct 12'!H11+'[109]Nov 12'!H11+'[109]Dec 12'!H11+'[109]Jan 13'!H11+'[109]Feb 13'!H11+'[109]Mar 13'!H11</f>
        <v>0</v>
      </c>
      <c r="I11" s="573">
        <f>+'[109]Apr 12'!I11+'[109]May 12'!I11+'[109]Jun 12'!I11+'[109]Jul 12'!I11+'[109]Aug 12'!I11+'[109]Sep 12'!I11+'[109]Oct 12'!I11+'[109]Nov 12'!I11+'[109]Dec 12'!I11+'[109]Jan 13'!I11+'[109]Feb 13'!I11+'[109]Mar 13'!I11</f>
        <v>0</v>
      </c>
      <c r="J11" s="6156"/>
      <c r="K11" s="6147"/>
    </row>
    <row r="12" spans="2:13" ht="15.75" customHeight="1">
      <c r="B12" s="570"/>
      <c r="C12" s="571" t="s">
        <v>23</v>
      </c>
      <c r="D12" s="571"/>
      <c r="E12" s="571"/>
      <c r="F12" s="572">
        <f>+'[109]Apr 12'!F12+'[109]May 12'!F12+'[109]Jun 12'!F12+'[109]Jul 12'!F12+'[109]Aug 12'!F12+'[109]Sep 12'!F12+'[109]Oct 12'!F12+'[109]Nov 12'!F12+'[109]Dec 12'!F12+'[109]Jan 13'!F12+'[109]Feb 13'!F12+'[109]Mar 13'!F12</f>
        <v>38124027</v>
      </c>
      <c r="G12" s="573">
        <f>+'[109]Apr 12'!G12+'[109]May 12'!G12+'[109]Jun 12'!G12+'[109]Jul 12'!G12+'[109]Aug 12'!G12+'[109]Sep 12'!G12+'[109]Oct 12'!G12+'[109]Nov 12'!G12+'[109]Dec 12'!G12+'[109]Jan 13'!G12+'[109]Feb 13'!G12+'[109]Mar 13'!G12</f>
        <v>263055786.30000001</v>
      </c>
      <c r="H12" s="6147">
        <f>+'[109]Apr 12'!H12+'[109]May 12'!H12+'[109]Jun 12'!H12+'[109]Jul 12'!H12+'[109]Aug 12'!H12+'[109]Sep 12'!H12+'[109]Oct 12'!H12+'[109]Nov 12'!H12+'[109]Dec 12'!H12+'[109]Jan 13'!H12+'[109]Feb 13'!H12+'[109]Mar 13'!H12</f>
        <v>0</v>
      </c>
      <c r="I12" s="573">
        <f>+'[109]Apr 12'!I12+'[109]May 12'!I12+'[109]Jun 12'!I12+'[109]Jul 12'!I12+'[109]Aug 12'!I12+'[109]Sep 12'!I12+'[109]Oct 12'!I12+'[109]Nov 12'!I12+'[109]Dec 12'!I12+'[109]Jan 13'!I12+'[109]Feb 13'!I12+'[109]Mar 13'!I12</f>
        <v>0</v>
      </c>
      <c r="J12" s="6156"/>
      <c r="K12" s="6147"/>
    </row>
    <row r="13" spans="2:13" ht="15.75" customHeight="1">
      <c r="B13" s="570"/>
      <c r="C13" s="571" t="s">
        <v>24</v>
      </c>
      <c r="D13" s="571"/>
      <c r="E13" s="571"/>
      <c r="F13" s="572">
        <f>+'[109]Apr 12'!F13+'[109]May 12'!F13+'[109]Jun 12'!F13+'[109]Jul 12'!F13+'[109]Aug 12'!F13+'[109]Sep 12'!F13+'[109]Oct 12'!F13+'[109]Nov 12'!F13+'[109]Dec 12'!F13+'[109]Jan 13'!F13+'[109]Feb 13'!F13+'[109]Mar 13'!F13</f>
        <v>55968089</v>
      </c>
      <c r="G13" s="573">
        <f>+'[109]Apr 12'!G13+'[109]May 12'!G13+'[109]Jun 12'!G13+'[109]Jul 12'!G13+'[109]Aug 12'!G13+'[109]Sep 12'!G13+'[109]Oct 12'!G13+'[109]Nov 12'!G13+'[109]Dec 12'!G13+'[109]Jan 13'!G13+'[109]Feb 13'!G13+'[109]Mar 13'!G13</f>
        <v>425357476.39999998</v>
      </c>
      <c r="H13" s="6147">
        <f>+'[109]Apr 12'!H13+'[109]May 12'!H13+'[109]Jun 12'!H13+'[109]Jul 12'!H13+'[109]Aug 12'!H13+'[109]Sep 12'!H13+'[109]Oct 12'!H13+'[109]Nov 12'!H13+'[109]Dec 12'!H13+'[109]Jan 13'!H13+'[109]Feb 13'!H13+'[109]Mar 13'!H13</f>
        <v>0</v>
      </c>
      <c r="I13" s="573">
        <f>+'[109]Apr 12'!I13+'[109]May 12'!I13+'[109]Jun 12'!I13+'[109]Jul 12'!I13+'[109]Aug 12'!I13+'[109]Sep 12'!I13+'[109]Oct 12'!I13+'[109]Nov 12'!I13+'[109]Dec 12'!I13+'[109]Jan 13'!I13+'[109]Feb 13'!I13+'[109]Mar 13'!I13</f>
        <v>0</v>
      </c>
      <c r="J13" s="6156"/>
      <c r="K13" s="6147"/>
    </row>
    <row r="14" spans="2:13" ht="15.75" customHeight="1">
      <c r="B14" s="577"/>
      <c r="C14" s="578" t="s">
        <v>25</v>
      </c>
      <c r="D14" s="578">
        <f>+'[109]Mar 13'!D14</f>
        <v>200760</v>
      </c>
      <c r="E14" s="578">
        <f>+'[109]Mar 13'!E14</f>
        <v>21142</v>
      </c>
      <c r="F14" s="579">
        <f>+'[109]Apr 12'!F14+'[109]May 12'!F14+'[109]Jun 12'!F14+'[109]Jul 12'!F14+'[109]Aug 12'!F14+'[109]Sep 12'!F14+'[109]Oct 12'!F14+'[109]Nov 12'!F14+'[109]Dec 12'!F14+'[109]Jan 13'!F14+'[109]Feb 13'!F14+'[109]Mar 13'!F14</f>
        <v>417556740</v>
      </c>
      <c r="G14" s="580">
        <f>+'[109]Apr 12'!G14+'[109]May 12'!G14+'[109]Jun 12'!G14+'[109]Jul 12'!G14+'[109]Aug 12'!G14+'[109]Sep 12'!G14+'[109]Oct 12'!G14+'[109]Nov 12'!G14+'[109]Dec 12'!G14+'[109]Jan 13'!G14+'[109]Feb 13'!G14+'[109]Mar 13'!G14</f>
        <v>2296562070</v>
      </c>
      <c r="H14" s="6147">
        <f>+'[109]Apr 12'!H14+'[109]May 12'!H14+'[109]Jun 12'!H14+'[109]Jul 12'!H14+'[109]Aug 12'!H14+'[109]Sep 12'!H14+'[109]Oct 12'!H14+'[109]Nov 12'!H14+'[109]Dec 12'!H14+'[109]Jan 13'!H14+'[109]Feb 13'!H14+'[109]Mar 13'!H14</f>
        <v>0</v>
      </c>
      <c r="I14" s="580">
        <f>+'[109]Apr 12'!I14+'[109]May 12'!I14+'[109]Jun 12'!I14+'[109]Jul 12'!I14+'[109]Aug 12'!I14+'[109]Sep 12'!I14+'[109]Oct 12'!I14+'[109]Nov 12'!I14+'[109]Dec 12'!I14+'[109]Jan 13'!I14+'[109]Feb 13'!I14+'[109]Mar 13'!I14</f>
        <v>617983975.20000005</v>
      </c>
      <c r="J14" s="6156"/>
      <c r="K14" s="6147"/>
    </row>
    <row r="15" spans="2:13" ht="16.5" customHeight="1" thickBot="1">
      <c r="B15" s="570"/>
      <c r="C15" s="571" t="s">
        <v>26</v>
      </c>
      <c r="D15" s="574">
        <f>+'[109]Mar 13'!D15</f>
        <v>13757</v>
      </c>
      <c r="E15" s="574">
        <f>+'[109]Mar 13'!E15</f>
        <v>21500</v>
      </c>
      <c r="F15" s="579">
        <f>+'[109]Apr 12'!F15+'[109]May 12'!F15+'[109]Jun 12'!F15+'[109]Jul 12'!F15+'[109]Aug 12'!F15+'[109]Sep 12'!F15+'[109]Oct 12'!F15+'[109]Nov 12'!F15+'[109]Dec 12'!F15+'[109]Jan 13'!F15+'[109]Feb 13'!F15+'[109]Mar 13'!F15</f>
        <v>285398931</v>
      </c>
      <c r="G15" s="580">
        <f>+'[109]Apr 12'!G15+'[109]May 12'!G15+'[109]Jun 12'!G15+'[109]Jul 12'!G15+'[109]Aug 12'!G15+'[109]Sep 12'!G15+'[109]Oct 12'!G15+'[109]Nov 12'!G15+'[109]Dec 12'!G15+'[109]Jan 13'!G15+'[109]Feb 13'!G15+'[109]Mar 13'!G15</f>
        <v>2328855276.96</v>
      </c>
      <c r="H15" s="6148">
        <f>+'[109]Apr 12'!H15+'[109]May 12'!H15+'[109]Jun 12'!H15+'[109]Jul 12'!H15+'[109]Aug 12'!H15+'[109]Sep 12'!H15+'[109]Oct 12'!H15+'[109]Nov 12'!H15+'[109]Dec 12'!H15+'[109]Jan 13'!H15+'[109]Feb 13'!H15+'[109]Mar 13'!H15</f>
        <v>0</v>
      </c>
      <c r="I15" s="580">
        <f>+'[109]Apr 12'!I15+'[109]May 12'!I15+'[109]Jun 12'!I15+'[109]Jul 12'!I15+'[109]Aug 12'!I15+'[109]Sep 12'!I15+'[109]Oct 12'!I15+'[109]Nov 12'!I15+'[109]Dec 12'!I15+'[109]Jan 13'!I15+'[109]Feb 13'!I15+'[109]Mar 13'!I15</f>
        <v>627877648.19999993</v>
      </c>
      <c r="J15" s="6157"/>
      <c r="K15" s="6148"/>
    </row>
    <row r="16" spans="2:13" ht="15.75" thickBot="1">
      <c r="B16" s="581" t="s">
        <v>27</v>
      </c>
      <c r="C16" s="582" t="s">
        <v>28</v>
      </c>
      <c r="D16" s="582">
        <f>+'[109]Mar 13'!D16</f>
        <v>64</v>
      </c>
      <c r="E16" s="582">
        <f>+'[109]Mar 13'!E16</f>
        <v>5926</v>
      </c>
      <c r="F16" s="564">
        <f>+'[109]Apr 12'!F16+'[109]May 12'!F16+'[109]Jun 12'!F16+'[109]Jul 12'!F16+'[109]Aug 12'!F16+'[109]Sep 12'!F16+'[109]Oct 12'!F16+'[109]Nov 12'!F16+'[109]Dec 12'!F16+'[109]Jan 13'!F16+'[109]Feb 13'!F16+'[109]Mar 13'!F16</f>
        <v>260893489</v>
      </c>
      <c r="G16" s="565">
        <f>+'[109]Apr 12'!G16+'[109]May 12'!G16+'[109]Jun 12'!G16+'[109]Jul 12'!G16+'[109]Aug 12'!G16+'[109]Sep 12'!G16+'[109]Oct 12'!G16+'[109]Nov 12'!G16+'[109]Dec 12'!G16+'[109]Jan 13'!G16+'[109]Feb 13'!G16+'[109]Mar 13'!G16</f>
        <v>2037288908.3999999</v>
      </c>
      <c r="H16" s="566">
        <f>+'[109]Apr 12'!H16+'[109]May 12'!H16+'[109]Jun 12'!H16+'[109]Jul 12'!H16+'[109]Aug 12'!H16+'[109]Sep 12'!H16+'[109]Oct 12'!H16+'[109]Nov 12'!H16+'[109]Dec 12'!H16+'[109]Jan 13'!H16+'[109]Feb 13'!H16+'[109]Mar 13'!H16</f>
        <v>247218674.77000004</v>
      </c>
      <c r="I16" s="565">
        <f>+'[109]Apr 12'!I16+'[109]May 12'!I16+'[109]Jun 12'!I16+'[109]Jul 12'!I16+'[109]Aug 12'!I16+'[109]Sep 12'!I16+'[109]Oct 12'!I16+'[109]Nov 12'!I16+'[109]Dec 12'!I16+'[109]Jan 13'!I16+'[109]Feb 13'!I16+'[109]Mar 13'!I16</f>
        <v>407782633.15000004</v>
      </c>
      <c r="J16" s="566">
        <f>SUM(G16:I16)</f>
        <v>2692290216.3200002</v>
      </c>
      <c r="K16" s="566">
        <f>+J16/F16</f>
        <v>10.319499450290996</v>
      </c>
    </row>
    <row r="17" spans="2:11" ht="15.75" thickBot="1">
      <c r="B17" s="581" t="s">
        <v>29</v>
      </c>
      <c r="C17" s="582" t="s">
        <v>28</v>
      </c>
      <c r="D17" s="582">
        <f>+'[109]Mar 13'!D17</f>
        <v>2</v>
      </c>
      <c r="E17" s="582">
        <f>+'[109]Mar 13'!E17</f>
        <v>2614</v>
      </c>
      <c r="F17" s="564">
        <f>+'[109]Apr 12'!F17+'[109]May 12'!F17+'[109]Jun 12'!F17+'[109]Jul 12'!F17+'[109]Aug 12'!F17+'[109]Sep 12'!F17+'[109]Oct 12'!F17+'[109]Nov 12'!F17+'[109]Dec 12'!F17+'[109]Jan 13'!F17+'[109]Feb 13'!F17+'[109]Mar 13'!F17</f>
        <v>516416123</v>
      </c>
      <c r="G17" s="565">
        <f>+'[109]Apr 12'!G17+'[109]May 12'!G17+'[109]Jun 12'!G17+'[109]Jul 12'!G17+'[109]Aug 12'!G17+'[109]Sep 12'!G17+'[109]Oct 12'!G17+'[109]Nov 12'!G17+'[109]Dec 12'!G17+'[109]Jan 13'!G17+'[109]Feb 13'!G17+'[109]Mar 13'!G17</f>
        <v>4098253954.21</v>
      </c>
      <c r="H17" s="566">
        <f>+'[109]Apr 12'!H17+'[109]May 12'!H17+'[109]Jun 12'!H17+'[109]Jul 12'!H17+'[109]Aug 12'!H17+'[109]Sep 12'!H17+'[109]Oct 12'!H17+'[109]Nov 12'!H17+'[109]Dec 12'!H17+'[109]Jan 13'!H17+'[109]Feb 13'!H17+'[109]Mar 13'!H17</f>
        <v>403310723.71000004</v>
      </c>
      <c r="I17" s="565">
        <f>+'[109]Apr 12'!I17+'[109]May 12'!I17+'[109]Jun 12'!I17+'[109]Jul 12'!I17+'[109]Aug 12'!I17+'[109]Sep 12'!I17+'[109]Oct 12'!I17+'[109]Nov 12'!I17+'[109]Dec 12'!I17+'[109]Jan 13'!I17+'[109]Feb 13'!I17+'[109]Mar 13'!I17</f>
        <v>804630836.5200001</v>
      </c>
      <c r="J17" s="566">
        <f>SUM(G17:I17)</f>
        <v>5306195514.4400005</v>
      </c>
      <c r="K17" s="566">
        <f>+J17/F17</f>
        <v>10.275038439185217</v>
      </c>
    </row>
    <row r="18" spans="2:11">
      <c r="B18" s="581" t="s">
        <v>30</v>
      </c>
      <c r="C18" s="569" t="s">
        <v>22</v>
      </c>
      <c r="D18" s="569"/>
      <c r="E18" s="569"/>
      <c r="F18" s="564">
        <f>+'[109]Apr 12'!F18+'[109]May 12'!F18+'[109]Jun 12'!F18+'[109]Jul 12'!F18+'[109]Aug 12'!F18+'[109]Sep 12'!F18+'[109]Oct 12'!F18+'[109]Nov 12'!F18+'[109]Dec 12'!F18+'[109]Jan 13'!F18+'[109]Feb 13'!F18+'[109]Mar 13'!F18</f>
        <v>3630035</v>
      </c>
      <c r="G18" s="565">
        <f>+'[109]Apr 12'!G18+'[109]May 12'!G18+'[109]Jun 12'!G18+'[109]Jul 12'!G18+'[109]Aug 12'!G18+'[109]Sep 12'!G18+'[109]Oct 12'!G18+'[109]Nov 12'!G18+'[109]Dec 12'!G18+'[109]Jan 13'!G18+'[109]Feb 13'!G18+'[109]Mar 13'!G18</f>
        <v>13431129.5</v>
      </c>
      <c r="H18" s="6146">
        <f>+'[109]Apr 12'!H18+'[109]May 12'!H18+'[109]Jun 12'!H18+'[109]Jul 12'!H18+'[109]Aug 12'!H18+'[109]Sep 12'!H18+'[109]Oct 12'!H18+'[109]Nov 12'!H18+'[109]Dec 12'!H18+'[109]Jan 13'!H18+'[109]Feb 13'!H18+'[109]Mar 13'!H18</f>
        <v>34739843.719999999</v>
      </c>
      <c r="I18" s="565">
        <f>+'[109]Apr 12'!I18+'[109]May 12'!I18+'[109]Jun 12'!I18+'[109]Jul 12'!I18+'[109]Aug 12'!I18+'[109]Sep 12'!I18+'[109]Oct 12'!I18+'[109]Nov 12'!I18+'[109]Dec 12'!I18+'[109]Jan 13'!I18+'[109]Feb 13'!I18+'[109]Mar 13'!I18</f>
        <v>0</v>
      </c>
      <c r="J18" s="6146">
        <f>SUM(G18:I23)</f>
        <v>390807026.51999998</v>
      </c>
      <c r="K18" s="6146">
        <f>+J18/SUM(F18:F23)</f>
        <v>8.0993933236541658</v>
      </c>
    </row>
    <row r="19" spans="2:11" ht="15.75" customHeight="1">
      <c r="B19" s="583"/>
      <c r="C19" s="571" t="s">
        <v>19</v>
      </c>
      <c r="D19" s="571"/>
      <c r="E19" s="571"/>
      <c r="F19" s="572">
        <f>+'[109]Apr 12'!F19+'[109]May 12'!F19+'[109]Jun 12'!F19+'[109]Jul 12'!F19+'[109]Aug 12'!F19+'[109]Sep 12'!F19+'[109]Oct 12'!F19+'[109]Nov 12'!F19+'[109]Dec 12'!F19+'[109]Jan 13'!F19+'[109]Feb 13'!F19+'[109]Mar 13'!F19</f>
        <v>1593908</v>
      </c>
      <c r="G19" s="573">
        <f>+'[109]Apr 12'!G19+'[109]May 12'!G19+'[109]Jun 12'!G19+'[109]Jul 12'!G19+'[109]Aug 12'!G19+'[109]Sep 12'!G19+'[109]Oct 12'!G19+'[109]Nov 12'!G19+'[109]Dec 12'!G19+'[109]Jan 13'!G19+'[109]Feb 13'!G19+'[109]Mar 13'!G19</f>
        <v>8766494</v>
      </c>
      <c r="H19" s="6147">
        <f>+'[109]Apr 12'!H19+'[109]May 12'!H19+'[109]Jun 12'!H19+'[109]Jul 12'!H19+'[109]Aug 12'!H19+'[109]Sep 12'!H19+'[109]Oct 12'!H19+'[109]Nov 12'!H19+'[109]Dec 12'!H19+'[109]Jan 13'!H19+'[109]Feb 13'!H19+'[109]Mar 13'!H19</f>
        <v>0</v>
      </c>
      <c r="I19" s="573">
        <f>+'[109]Apr 12'!I19+'[109]May 12'!I19+'[109]Jun 12'!I19+'[109]Jul 12'!I19+'[109]Aug 12'!I19+'[109]Sep 12'!I19+'[109]Oct 12'!I19+'[109]Nov 12'!I19+'[109]Dec 12'!I19+'[109]Jan 13'!I19+'[109]Feb 13'!I19+'[109]Mar 13'!I19</f>
        <v>0</v>
      </c>
      <c r="J19" s="6147"/>
      <c r="K19" s="6147"/>
    </row>
    <row r="20" spans="2:11" ht="15.75" customHeight="1">
      <c r="B20" s="583"/>
      <c r="C20" s="571" t="s">
        <v>23</v>
      </c>
      <c r="D20" s="571"/>
      <c r="E20" s="571"/>
      <c r="F20" s="572">
        <f>+'[109]Apr 12'!F20+'[109]May 12'!F20+'[109]Jun 12'!F20+'[109]Jul 12'!F20+'[109]Aug 12'!F20+'[109]Sep 12'!F20+'[109]Oct 12'!F20+'[109]Nov 12'!F20+'[109]Dec 12'!F20+'[109]Jan 13'!F20+'[109]Feb 13'!F20+'[109]Mar 13'!F20</f>
        <v>2437464</v>
      </c>
      <c r="G20" s="573">
        <f>+'[109]Apr 12'!G20+'[109]May 12'!G20+'[109]Jun 12'!G20+'[109]Jul 12'!G20+'[109]Aug 12'!G20+'[109]Sep 12'!G20+'[109]Oct 12'!G20+'[109]Nov 12'!G20+'[109]Dec 12'!G20+'[109]Jan 13'!G20+'[109]Feb 13'!G20+'[109]Mar 13'!G20</f>
        <v>14502910.800000003</v>
      </c>
      <c r="H20" s="6147">
        <f>+'[109]Apr 12'!H20+'[109]May 12'!H20+'[109]Jun 12'!H20+'[109]Jul 12'!H20+'[109]Aug 12'!H20+'[109]Sep 12'!H20+'[109]Oct 12'!H20+'[109]Nov 12'!H20+'[109]Dec 12'!H20+'[109]Jan 13'!H20+'[109]Feb 13'!H20+'[109]Mar 13'!H20</f>
        <v>0</v>
      </c>
      <c r="I20" s="573">
        <f>+'[109]Apr 12'!I20+'[109]May 12'!I20+'[109]Jun 12'!I20+'[109]Jul 12'!I20+'[109]Aug 12'!I20+'[109]Sep 12'!I20+'[109]Oct 12'!I20+'[109]Nov 12'!I20+'[109]Dec 12'!I20+'[109]Jan 13'!I20+'[109]Feb 13'!I20+'[109]Mar 13'!I20</f>
        <v>0</v>
      </c>
      <c r="J20" s="6147"/>
      <c r="K20" s="6147"/>
    </row>
    <row r="21" spans="2:11" ht="15.75" customHeight="1">
      <c r="B21" s="583"/>
      <c r="C21" s="571" t="s">
        <v>24</v>
      </c>
      <c r="D21" s="571"/>
      <c r="E21" s="571"/>
      <c r="F21" s="572">
        <f>+'[109]Apr 12'!F21+'[109]May 12'!F21+'[109]Jun 12'!F21+'[109]Jul 12'!F21+'[109]Aug 12'!F21+'[109]Sep 12'!F21+'[109]Oct 12'!F21+'[109]Nov 12'!F21+'[109]Dec 12'!F21+'[109]Jan 13'!F21+'[109]Feb 13'!F21+'[109]Mar 13'!F21</f>
        <v>3662265</v>
      </c>
      <c r="G21" s="573">
        <f>+'[109]Apr 12'!G21+'[109]May 12'!G21+'[109]Jun 12'!G21+'[109]Jul 12'!G21+'[109]Aug 12'!G21+'[109]Sep 12'!G21+'[109]Oct 12'!G21+'[109]Nov 12'!G21+'[109]Dec 12'!G21+'[109]Jan 13'!G21+'[109]Feb 13'!G21+'[109]Mar 13'!G21</f>
        <v>23438495.999999996</v>
      </c>
      <c r="H21" s="6147">
        <f>+'[109]Apr 12'!H21+'[109]May 12'!H21+'[109]Jun 12'!H21+'[109]Jul 12'!H21+'[109]Aug 12'!H21+'[109]Sep 12'!H21+'[109]Oct 12'!H21+'[109]Nov 12'!H21+'[109]Dec 12'!H21+'[109]Jan 13'!H21+'[109]Feb 13'!H21+'[109]Mar 13'!H21</f>
        <v>0</v>
      </c>
      <c r="I21" s="573">
        <f>+'[109]Apr 12'!I21+'[109]May 12'!I21+'[109]Jun 12'!I21+'[109]Jul 12'!I21+'[109]Aug 12'!I21+'[109]Sep 12'!I21+'[109]Oct 12'!I21+'[109]Nov 12'!I21+'[109]Dec 12'!I21+'[109]Jan 13'!I21+'[109]Feb 13'!I21+'[109]Mar 13'!I21</f>
        <v>0</v>
      </c>
      <c r="J21" s="6147"/>
      <c r="K21" s="6147"/>
    </row>
    <row r="22" spans="2:11" ht="15.75" customHeight="1">
      <c r="B22" s="584"/>
      <c r="C22" s="578" t="s">
        <v>25</v>
      </c>
      <c r="D22" s="578">
        <f>+'[109]Mar 13'!D22</f>
        <v>2635</v>
      </c>
      <c r="E22" s="578">
        <f>+'[109]Mar 13'!E22</f>
        <v>3680</v>
      </c>
      <c r="F22" s="579">
        <f>+'[109]Apr 12'!F22+'[109]May 12'!F22+'[109]Jun 12'!F22+'[109]Jul 12'!F22+'[109]Aug 12'!F22+'[109]Sep 12'!F22+'[109]Oct 12'!F22+'[109]Nov 12'!F22+'[109]Dec 12'!F22+'[109]Jan 13'!F22+'[109]Feb 13'!F22+'[109]Mar 13'!F22</f>
        <v>17218254</v>
      </c>
      <c r="G22" s="580">
        <f>+'[109]Apr 12'!G22+'[109]May 12'!G22+'[109]Jun 12'!G22+'[109]Jul 12'!G22+'[109]Aug 12'!G22+'[109]Sep 12'!G22+'[109]Oct 12'!G22+'[109]Nov 12'!G22+'[109]Dec 12'!G22+'[109]Jan 13'!G22+'[109]Feb 13'!G22+'[109]Mar 13'!G22</f>
        <v>89707103.340000004</v>
      </c>
      <c r="H22" s="6147">
        <f>+'[109]Apr 12'!H22+'[109]May 12'!H22+'[109]Jun 12'!H22+'[109]Jul 12'!H22+'[109]Aug 12'!H22+'[109]Sep 12'!H22+'[109]Oct 12'!H22+'[109]Nov 12'!H22+'[109]Dec 12'!H22+'[109]Jan 13'!H22+'[109]Feb 13'!H22+'[109]Mar 13'!H22</f>
        <v>0</v>
      </c>
      <c r="I22" s="573">
        <f>+'[109]Apr 12'!I22+'[109]May 12'!I22+'[109]Jun 12'!I22+'[109]Jul 12'!I22+'[109]Aug 12'!I22+'[109]Sep 12'!I22+'[109]Oct 12'!I22+'[109]Nov 12'!I22+'[109]Dec 12'!I22+'[109]Jan 13'!I22+'[109]Feb 13'!I22+'[109]Mar 13'!I22</f>
        <v>24105555.599999998</v>
      </c>
      <c r="J22" s="6147"/>
      <c r="K22" s="6147"/>
    </row>
    <row r="23" spans="2:11" ht="16.5" customHeight="1" thickBot="1">
      <c r="B23" s="585"/>
      <c r="C23" s="586" t="s">
        <v>26</v>
      </c>
      <c r="D23" s="587">
        <f>+'[109]Mar 13'!D23</f>
        <v>120</v>
      </c>
      <c r="E23" s="587">
        <f>+'[109]Mar 13'!E23</f>
        <v>2123</v>
      </c>
      <c r="F23" s="579">
        <f>+'[109]Apr 12'!F23+'[109]May 12'!F23+'[109]Jun 12'!F23+'[109]Jul 12'!F23+'[109]Aug 12'!F23+'[109]Sep 12'!F23+'[109]Oct 12'!F23+'[109]Nov 12'!F23+'[109]Dec 12'!F23+'[109]Jan 13'!F23+'[109]Feb 13'!F23+'[109]Mar 13'!F23</f>
        <v>19709469</v>
      </c>
      <c r="G23" s="580">
        <f>+'[109]Apr 12'!G23+'[109]May 12'!G23+'[109]Jun 12'!G23+'[109]Jul 12'!G23+'[109]Aug 12'!G23+'[109]Sep 12'!G23+'[109]Oct 12'!G23+'[109]Nov 12'!G23+'[109]Dec 12'!G23+'[109]Jan 13'!G23+'[109]Feb 13'!G23+'[109]Mar 13'!G23</f>
        <v>143484934.31999996</v>
      </c>
      <c r="H23" s="6148">
        <f>+'[109]Apr 12'!H23+'[109]May 12'!H23+'[109]Jun 12'!H23+'[109]Jul 12'!H23+'[109]Aug 12'!H23+'[109]Sep 12'!H23+'[109]Oct 12'!H23+'[109]Nov 12'!H23+'[109]Dec 12'!H23+'[109]Jan 13'!H23+'[109]Feb 13'!H23+'[109]Mar 13'!H23</f>
        <v>0</v>
      </c>
      <c r="I23" s="588">
        <f>+'[109]Apr 12'!I23+'[109]May 12'!I23+'[109]Jun 12'!I23+'[109]Jul 12'!I23+'[109]Aug 12'!I23+'[109]Sep 12'!I23+'[109]Oct 12'!I23+'[109]Nov 12'!I23+'[109]Dec 12'!I23+'[109]Jan 13'!I23+'[109]Feb 13'!I23+'[109]Mar 13'!I23</f>
        <v>38630559.239999995</v>
      </c>
      <c r="J23" s="6148"/>
      <c r="K23" s="6148"/>
    </row>
    <row r="24" spans="2:11" ht="15.75" thickBot="1">
      <c r="B24" s="581" t="s">
        <v>31</v>
      </c>
      <c r="C24" s="582" t="s">
        <v>28</v>
      </c>
      <c r="D24" s="582">
        <f>+'[109]Mar 13'!D24</f>
        <v>11</v>
      </c>
      <c r="E24" s="582">
        <f>+'[109]Mar 13'!E24</f>
        <v>1201</v>
      </c>
      <c r="F24" s="564">
        <f>+'[109]Apr 12'!F24+'[109]May 12'!F24+'[109]Jun 12'!F24+'[109]Jul 12'!F24+'[109]Aug 12'!F24+'[109]Sep 12'!F24+'[109]Oct 12'!F24+'[109]Nov 12'!F24+'[109]Dec 12'!F24+'[109]Jan 13'!F24+'[109]Feb 13'!F24+'[109]Mar 13'!F24</f>
        <v>54278986</v>
      </c>
      <c r="G24" s="565">
        <f>+'[109]Apr 12'!G24+'[109]May 12'!G24+'[109]Jun 12'!G24+'[109]Jul 12'!G24+'[109]Aug 12'!G24+'[109]Sep 12'!G24+'[109]Oct 12'!G24+'[109]Nov 12'!G24+'[109]Dec 12'!G24+'[109]Jan 13'!G24+'[109]Feb 13'!G24+'[109]Mar 13'!G24</f>
        <v>338618222.79999995</v>
      </c>
      <c r="H24" s="566">
        <f>+'[109]Apr 12'!H24+'[109]May 12'!H24+'[109]Jun 12'!H24+'[109]Jul 12'!H24+'[109]Aug 12'!H24+'[109]Sep 12'!H24+'[109]Oct 12'!H24+'[109]Nov 12'!H24+'[109]Dec 12'!H24+'[109]Jan 13'!H24+'[109]Feb 13'!H24+'[109]Mar 13'!H24</f>
        <v>59104896.82</v>
      </c>
      <c r="I24" s="565">
        <f>+'[109]Apr 12'!I24+'[109]May 12'!I24+'[109]Jun 12'!I24+'[109]Jul 12'!I24+'[109]Aug 12'!I24+'[109]Sep 12'!I24+'[109]Oct 12'!I24+'[109]Nov 12'!I24+'[109]Dec 12'!I24+'[109]Jan 13'!I24+'[109]Feb 13'!I24+'[109]Mar 13'!I24</f>
        <v>71112028.75</v>
      </c>
      <c r="J24" s="566">
        <f t="shared" ref="J24:J39" si="0">SUM(G24:I24)</f>
        <v>468835148.36999995</v>
      </c>
      <c r="K24" s="566">
        <f t="shared" ref="K24:K38" si="1">+J24/F24</f>
        <v>8.6375074945209906</v>
      </c>
    </row>
    <row r="25" spans="2:11" ht="15.75" thickBot="1">
      <c r="B25" s="581" t="s">
        <v>32</v>
      </c>
      <c r="C25" s="582" t="s">
        <v>28</v>
      </c>
      <c r="D25" s="582">
        <f>+'[109]Mar 13'!D25</f>
        <v>1</v>
      </c>
      <c r="E25" s="582">
        <f>+'[109]Mar 13'!E25</f>
        <v>125</v>
      </c>
      <c r="F25" s="564">
        <f>+'[109]Apr 12'!F25+'[109]May 12'!F25+'[109]Jun 12'!F25+'[109]Jul 12'!F25+'[109]Aug 12'!F25+'[109]Sep 12'!F25+'[109]Oct 12'!F25+'[109]Nov 12'!F25+'[109]Dec 12'!F25+'[109]Jan 13'!F25+'[109]Feb 13'!F25+'[109]Mar 13'!F25</f>
        <v>49505124</v>
      </c>
      <c r="G25" s="565">
        <f>+'[109]Apr 12'!G25+'[109]May 12'!G25+'[109]Jun 12'!G25+'[109]Jul 12'!G25+'[109]Aug 12'!G25+'[109]Sep 12'!G25+'[109]Oct 12'!G25+'[109]Nov 12'!G25+'[109]Dec 12'!G25+'[109]Jan 13'!G25+'[109]Feb 13'!G25+'[109]Mar 13'!G25</f>
        <v>302578341.00000006</v>
      </c>
      <c r="H25" s="566">
        <f>+'[109]Apr 12'!H25+'[109]May 12'!H25+'[109]Jun 12'!H25+'[109]Jul 12'!H25+'[109]Aug 12'!H25+'[109]Sep 12'!H25+'[109]Oct 12'!H25+'[109]Nov 12'!H25+'[109]Dec 12'!H25+'[109]Jan 13'!H25+'[109]Feb 13'!H25+'[109]Mar 13'!H25</f>
        <v>30624407.84</v>
      </c>
      <c r="I25" s="565">
        <f>+'[109]Apr 12'!I25+'[109]May 12'!I25+'[109]Jun 12'!I25+'[109]Jul 12'!I25+'[109]Aug 12'!I25+'[109]Sep 12'!I25+'[109]Oct 12'!I25+'[109]Nov 12'!I25+'[109]Dec 12'!I25+'[109]Jan 13'!I25+'[109]Feb 13'!I25+'[109]Mar 13'!I25</f>
        <v>63436730.399999999</v>
      </c>
      <c r="J25" s="566">
        <f t="shared" si="0"/>
        <v>396639479.24000001</v>
      </c>
      <c r="K25" s="566">
        <f t="shared" si="1"/>
        <v>8.0120893998770715</v>
      </c>
    </row>
    <row r="26" spans="2:11" ht="15.75" thickBot="1">
      <c r="B26" s="581" t="s">
        <v>33</v>
      </c>
      <c r="C26" s="582" t="s">
        <v>28</v>
      </c>
      <c r="D26" s="582">
        <f>+'[109]Mar 13'!D26</f>
        <v>785</v>
      </c>
      <c r="E26" s="582">
        <f>+'[109]Mar 13'!E26</f>
        <v>141</v>
      </c>
      <c r="F26" s="564">
        <f>+'[109]Apr 12'!F26+'[109]May 12'!F26+'[109]Jun 12'!F26+'[109]Jul 12'!F26+'[109]Aug 12'!F26+'[109]Sep 12'!F26+'[109]Oct 12'!F26+'[109]Nov 12'!F26+'[109]Dec 12'!F26+'[109]Jan 13'!F26+'[109]Feb 13'!F26+'[109]Mar 13'!F26</f>
        <v>2660995</v>
      </c>
      <c r="G26" s="565">
        <f>+'[109]Apr 12'!G26+'[109]May 12'!G26+'[109]Jun 12'!G26+'[109]Jul 12'!G26+'[109]Aug 12'!G26+'[109]Sep 12'!G26+'[109]Oct 12'!G26+'[109]Nov 12'!G26+'[109]Dec 12'!G26+'[109]Jan 13'!G26+'[109]Feb 13'!G26+'[109]Mar 13'!G26</f>
        <v>30950165.600000001</v>
      </c>
      <c r="H26" s="566">
        <f>+'[109]Apr 12'!H26+'[109]May 12'!H26+'[109]Jun 12'!H26+'[109]Jul 12'!H26+'[109]Aug 12'!H26+'[109]Sep 12'!H26+'[109]Oct 12'!H26+'[109]Nov 12'!H26+'[109]Dec 12'!H26+'[109]Jan 13'!H26+'[109]Feb 13'!H26+'[109]Mar 13'!H26</f>
        <v>6628031.4600000018</v>
      </c>
      <c r="I26" s="565">
        <f>+'[109]Apr 12'!I26+'[109]May 12'!I26+'[109]Jun 12'!I26+'[109]Jul 12'!I26+'[109]Aug 12'!I26+'[109]Sep 12'!I26+'[109]Oct 12'!I26+'[109]Nov 12'!I26+'[109]Dec 12'!I26+'[109]Jan 13'!I26+'[109]Feb 13'!I26+'[109]Mar 13'!I26</f>
        <v>5550969.7600000007</v>
      </c>
      <c r="J26" s="566">
        <f t="shared" si="0"/>
        <v>43129166.82</v>
      </c>
      <c r="K26" s="567">
        <f t="shared" si="1"/>
        <v>16.20790975556136</v>
      </c>
    </row>
    <row r="27" spans="2:11" ht="15.75" thickBot="1">
      <c r="B27" s="581" t="s">
        <v>34</v>
      </c>
      <c r="C27" s="582" t="s">
        <v>28</v>
      </c>
      <c r="D27" s="582"/>
      <c r="E27" s="582"/>
      <c r="F27" s="565">
        <f>+'[109]Apr 12'!F27+'[109]May 12'!F27+'[109]Jun 12'!F27+'[109]Jul 12'!F27+'[109]Aug 12'!F27+'[109]Sep 12'!F27+'[109]Oct 12'!F27+'[109]Nov 12'!F27+'[109]Dec 12'!F27+'[109]Jan 13'!F27+'[109]Feb 13'!F27+'[109]Mar 13'!F27</f>
        <v>26162059.810000002</v>
      </c>
      <c r="G27" s="565">
        <f>+'[109]Apr 12'!G27+'[109]May 12'!G27+'[109]Jun 12'!G27+'[109]Jul 12'!G27+'[109]Aug 12'!G27+'[109]Sep 12'!G27+'[109]Oct 12'!G27+'[109]Nov 12'!G27+'[109]Dec 12'!G27+'[109]Jan 13'!G27+'[109]Feb 13'!G27+'[109]Mar 13'!G27</f>
        <v>145766289.03620002</v>
      </c>
      <c r="H27" s="566">
        <f>+'[109]Apr 12'!H27+'[109]May 12'!H27+'[109]Jun 12'!H27+'[109]Jul 12'!H27+'[109]Aug 12'!H27+'[109]Sep 12'!H27+'[109]Oct 12'!H27+'[109]Nov 12'!H27+'[109]Dec 12'!H27+'[109]Jan 13'!H27+'[109]Feb 13'!H27+'[109]Mar 13'!H27</f>
        <v>20193373.880000003</v>
      </c>
      <c r="I27" s="565">
        <f>+'[109]Apr 12'!I27+'[109]May 12'!I27+'[109]Jun 12'!I27+'[109]Jul 12'!I27+'[109]Aug 12'!I27+'[109]Sep 12'!I27+'[109]Oct 12'!I27+'[109]Nov 12'!I27+'[109]Dec 12'!I27+'[109]Jan 13'!I27+'[109]Feb 13'!I27+'[109]Mar 13'!I27</f>
        <v>30008904.182399999</v>
      </c>
      <c r="J27" s="566">
        <f t="shared" si="0"/>
        <v>195968567.0986</v>
      </c>
      <c r="K27" s="567">
        <f t="shared" si="1"/>
        <v>7.4905633777235821</v>
      </c>
    </row>
    <row r="28" spans="2:11" ht="15.75" thickBot="1">
      <c r="B28" s="585" t="s">
        <v>35</v>
      </c>
      <c r="C28" s="589" t="s">
        <v>28</v>
      </c>
      <c r="D28" s="589">
        <f>+'[109]Mar 13'!D28</f>
        <v>559</v>
      </c>
      <c r="E28" s="589">
        <f>+'[109]Mar 13'!E28</f>
        <v>127</v>
      </c>
      <c r="F28" s="575">
        <f>+'[109]Apr 12'!F28+'[109]May 12'!F28+'[109]Jun 12'!F28+'[109]Jul 12'!F28+'[109]Aug 12'!F28+'[109]Sep 12'!F28+'[109]Oct 12'!F28+'[109]Nov 12'!F28+'[109]Dec 12'!F28+'[109]Jan 13'!F28+'[109]Feb 13'!F28+'[109]Mar 13'!F28</f>
        <v>4003987</v>
      </c>
      <c r="G28" s="580">
        <f>+'[109]Apr 12'!G28+'[109]May 12'!G28+'[109]Jun 12'!G28+'[109]Jul 12'!G28+'[109]Aug 12'!G28+'[109]Sep 12'!G28+'[109]Oct 12'!G28+'[109]Nov 12'!G28+'[109]Dec 12'!G28+'[109]Jan 13'!G28+'[109]Feb 13'!G28+'[109]Mar 13'!G28</f>
        <v>22354277.18</v>
      </c>
      <c r="H28" s="590">
        <f>+'[109]Apr 12'!H28+'[109]May 12'!H28+'[109]Jun 12'!H28+'[109]Jul 12'!H28+'[109]Aug 12'!H28+'[109]Sep 12'!H28+'[109]Oct 12'!H28+'[109]Nov 12'!H28+'[109]Dec 12'!H28+'[109]Jan 13'!H28+'[109]Feb 13'!H28+'[109]Mar 13'!H28</f>
        <v>2448067.0799999996</v>
      </c>
      <c r="I28" s="565">
        <f>+'[109]Apr 12'!I28+'[109]May 12'!I28+'[109]Jun 12'!I28+'[109]Jul 12'!I28+'[109]Aug 12'!I28+'[109]Sep 12'!I28+'[109]Oct 12'!I28+'[109]Nov 12'!I28+'[109]Dec 12'!I28+'[109]Jan 13'!I28+'[109]Feb 13'!I28+'[109]Mar 13'!I28</f>
        <v>4784394.5600000005</v>
      </c>
      <c r="J28" s="591">
        <f t="shared" si="0"/>
        <v>29586738.82</v>
      </c>
      <c r="K28" s="592">
        <f t="shared" si="1"/>
        <v>7.3893194008871657</v>
      </c>
    </row>
    <row r="29" spans="2:11" ht="15.75" thickBot="1">
      <c r="B29" s="581" t="s">
        <v>36</v>
      </c>
      <c r="C29" s="582" t="s">
        <v>28</v>
      </c>
      <c r="D29" s="582">
        <f>+'[109]Mar 13'!D29</f>
        <v>1</v>
      </c>
      <c r="E29" s="582">
        <f>+'[109]Mar 13'!E29</f>
        <v>3</v>
      </c>
      <c r="F29" s="564">
        <f>+'[109]Apr 12'!F29+'[109]May 12'!F29+'[109]Jun 12'!F29+'[109]Jul 12'!F29+'[109]Aug 12'!F29+'[109]Sep 12'!F29+'[109]Oct 12'!F29+'[109]Nov 12'!F29+'[109]Dec 12'!F29+'[109]Jan 13'!F29+'[109]Feb 13'!F29+'[109]Mar 13'!F29</f>
        <v>1595906</v>
      </c>
      <c r="G29" s="565">
        <f>+'[109]Apr 12'!G29+'[109]May 12'!G29+'[109]Jun 12'!G29+'[109]Jul 12'!G29+'[109]Aug 12'!G29+'[109]Sep 12'!G29+'[109]Oct 12'!G29+'[109]Nov 12'!G29+'[109]Dec 12'!G29+'[109]Jan 13'!G29+'[109]Feb 13'!G29+'[109]Mar 13'!G29</f>
        <v>5139857.2</v>
      </c>
      <c r="H29" s="566">
        <f>+'[109]Apr 12'!H29+'[109]May 12'!H29+'[109]Jun 12'!H29+'[109]Jul 12'!H29+'[109]Aug 12'!H29+'[109]Sep 12'!H29+'[109]Oct 12'!H29+'[109]Nov 12'!H29+'[109]Dec 12'!H29+'[109]Jan 13'!H29+'[109]Feb 13'!H29+'[109]Mar 13'!H29</f>
        <v>356985.98000000004</v>
      </c>
      <c r="I29" s="565">
        <f>+'[109]Apr 12'!I29+'[109]May 12'!I29+'[109]Jun 12'!I29+'[109]Jul 12'!I29+'[109]Aug 12'!I29+'[109]Sep 12'!I29+'[109]Oct 12'!I29+'[109]Nov 12'!I29+'[109]Dec 12'!I29+'[109]Jan 13'!I29+'[109]Feb 13'!I29+'[109]Mar 13'!I29</f>
        <v>1354281.15</v>
      </c>
      <c r="J29" s="566">
        <f t="shared" si="0"/>
        <v>6851124.3300000001</v>
      </c>
      <c r="K29" s="567">
        <f t="shared" si="1"/>
        <v>4.2929372594626498</v>
      </c>
    </row>
    <row r="30" spans="2:11" ht="15.75" thickBot="1">
      <c r="B30" s="581" t="s">
        <v>37</v>
      </c>
      <c r="C30" s="582" t="s">
        <v>28</v>
      </c>
      <c r="D30" s="582">
        <f>+'[109]Mar 13'!D30</f>
        <v>115</v>
      </c>
      <c r="E30" s="582">
        <f>+'[109]Mar 13'!E30</f>
        <v>1416</v>
      </c>
      <c r="F30" s="564">
        <f>+'[109]Apr 12'!F30+'[109]May 12'!F30+'[109]Jun 12'!F30+'[109]Jul 12'!F30+'[109]Aug 12'!F30+'[109]Sep 12'!F30+'[109]Oct 12'!F30+'[109]Nov 12'!F30+'[109]Dec 12'!F30+'[109]Jan 13'!F30+'[109]Feb 13'!F30+'[109]Mar 13'!F30</f>
        <v>36605784</v>
      </c>
      <c r="G30" s="564">
        <f>+'[109]Apr 12'!G30+'[109]May 12'!G30+'[109]Jun 12'!G30+'[109]Jul 12'!G30+'[109]Aug 12'!G30+'[109]Sep 12'!G30+'[109]Oct 12'!G30+'[109]Nov 12'!G30+'[109]Dec 12'!G30+'[109]Jan 13'!G30+'[109]Feb 13'!G30+'[109]Mar 13'!G30</f>
        <v>337422250.31999999</v>
      </c>
      <c r="H30" s="566">
        <f>+'[109]Apr 12'!H30+'[109]May 12'!H30+'[109]Jun 12'!H30+'[109]Jul 12'!H30+'[109]Aug 12'!H30+'[109]Sep 12'!H30+'[109]Oct 12'!H30+'[109]Nov 12'!H30+'[109]Dec 12'!H30+'[109]Jan 13'!H30+'[109]Feb 13'!H30+'[109]Mar 13'!H30</f>
        <v>21554416.649999999</v>
      </c>
      <c r="I30" s="565">
        <f>+'[109]Apr 12'!I30+'[109]May 12'!I30+'[109]Jun 12'!I30+'[109]Jul 12'!I30+'[109]Aug 12'!I30+'[109]Sep 12'!I30+'[109]Oct 12'!I30+'[109]Nov 12'!I30+'[109]Dec 12'!I30+'[109]Jan 13'!I30+'[109]Feb 13'!I30+'[109]Mar 13'!I30</f>
        <v>67683984.390000001</v>
      </c>
      <c r="J30" s="566">
        <f t="shared" si="0"/>
        <v>426660651.35999995</v>
      </c>
      <c r="K30" s="567">
        <f t="shared" si="1"/>
        <v>11.655552886396313</v>
      </c>
    </row>
    <row r="31" spans="2:11" ht="15.75" thickBot="1">
      <c r="B31" s="581" t="s">
        <v>38</v>
      </c>
      <c r="C31" s="582" t="s">
        <v>28</v>
      </c>
      <c r="D31" s="582">
        <f>+'[109]Mar 13'!D31</f>
        <v>8</v>
      </c>
      <c r="E31" s="582">
        <f>+'[109]Mar 13'!E31</f>
        <v>15</v>
      </c>
      <c r="F31" s="564">
        <f>+'[109]Apr 12'!F31+'[109]May 12'!F31+'[109]Jun 12'!F31+'[109]Jul 12'!F31+'[109]Aug 12'!F31+'[109]Sep 12'!F31+'[109]Oct 12'!F31+'[109]Nov 12'!F31+'[109]Dec 12'!F31+'[109]Jan 13'!F31+'[109]Feb 13'!F31+'[109]Mar 13'!F31</f>
        <v>1242072</v>
      </c>
      <c r="G31" s="564">
        <f>+'[109]Apr 12'!G31+'[109]May 12'!G31+'[109]Jun 12'!G31+'[109]Jul 12'!G31+'[109]Aug 12'!G31+'[109]Sep 12'!G31+'[109]Oct 12'!G31+'[109]Nov 12'!G31+'[109]Dec 12'!G31+'[109]Jan 13'!G31+'[109]Feb 13'!G31+'[109]Mar 13'!G31</f>
        <v>3719353.5000000005</v>
      </c>
      <c r="H31" s="566">
        <f>+'[109]Apr 12'!H31+'[109]May 12'!H31+'[109]Jun 12'!H31+'[109]Jul 12'!H31+'[109]Aug 12'!H31+'[109]Sep 12'!H31+'[109]Oct 12'!H31+'[109]Nov 12'!H31+'[109]Dec 12'!H31+'[109]Jan 13'!H31+'[109]Feb 13'!H31+'[109]Mar 13'!H31</f>
        <v>37163.47</v>
      </c>
      <c r="I31" s="565">
        <f>+'[109]Apr 12'!I31+'[109]May 12'!I31+'[109]Jun 12'!I31+'[109]Jul 12'!I31+'[109]Aug 12'!I31+'[109]Sep 12'!I31+'[109]Oct 12'!I31+'[109]Nov 12'!I31+'[109]Dec 12'!I31+'[109]Jan 13'!I31+'[109]Feb 13'!I31+'[109]Mar 13'!I31</f>
        <v>789168.9800000001</v>
      </c>
      <c r="J31" s="566">
        <f t="shared" si="0"/>
        <v>4545685.9500000011</v>
      </c>
      <c r="K31" s="567">
        <f t="shared" si="1"/>
        <v>3.6597604245164539</v>
      </c>
    </row>
    <row r="32" spans="2:11">
      <c r="B32" s="581" t="s">
        <v>39</v>
      </c>
      <c r="C32" s="582" t="s">
        <v>28</v>
      </c>
      <c r="D32" s="582">
        <f>+'[109]Mar 13'!D32</f>
        <v>1427</v>
      </c>
      <c r="E32" s="582">
        <f>+'[109]Mar 13'!E32</f>
        <v>609</v>
      </c>
      <c r="F32" s="564">
        <f>+'[109]Apr 12'!F32+'[109]May 12'!F32+'[109]Jun 12'!F32+'[109]Jul 12'!F32+'[109]Aug 12'!F32+'[109]Sep 12'!F32+'[109]Oct 12'!F32+'[109]Nov 12'!F32+'[109]Dec 12'!F32+'[109]Jan 13'!F32+'[109]Feb 13'!F32+'[109]Mar 13'!F32</f>
        <v>10640935</v>
      </c>
      <c r="G32" s="565">
        <f>+'[109]Apr 12'!G32+'[109]May 12'!G32+'[109]Jun 12'!G32+'[109]Jul 12'!G32+'[109]Aug 12'!G32+'[109]Sep 12'!G32+'[109]Oct 12'!G32+'[109]Nov 12'!G32+'[109]Dec 12'!G32+'[109]Jan 13'!G32+'[109]Feb 13'!G32+'[109]Mar 13'!G32</f>
        <v>72358358</v>
      </c>
      <c r="H32" s="566">
        <f>+'[109]Apr 12'!H32+'[109]May 12'!H32+'[109]Jun 12'!H32+'[109]Jul 12'!H32+'[109]Aug 12'!H32+'[109]Sep 12'!H32+'[109]Oct 12'!H32+'[109]Nov 12'!H32+'[109]Dec 12'!H32+'[109]Jan 13'!H32+'[109]Feb 13'!H32+'[109]Mar 13'!H32</f>
        <v>3901158.12</v>
      </c>
      <c r="I32" s="565">
        <f>+'[109]Apr 12'!I32+'[109]May 12'!I32+'[109]Jun 12'!I32+'[109]Jul 12'!I32+'[109]Aug 12'!I32+'[109]Sep 12'!I32+'[109]Oct 12'!I32+'[109]Nov 12'!I32+'[109]Dec 12'!I32+'[109]Jan 13'!I32+'[109]Feb 13'!I32+'[109]Mar 13'!I32</f>
        <v>19472911.050000001</v>
      </c>
      <c r="J32" s="566">
        <f t="shared" si="0"/>
        <v>95732427.170000002</v>
      </c>
      <c r="K32" s="567">
        <f t="shared" si="1"/>
        <v>8.9966179823483561</v>
      </c>
    </row>
    <row r="33" spans="2:11" ht="15.75" thickBot="1">
      <c r="B33" s="585" t="s">
        <v>40</v>
      </c>
      <c r="C33" s="589" t="s">
        <v>28</v>
      </c>
      <c r="D33" s="589">
        <f>+'[109]Mar 13'!D33</f>
        <v>3</v>
      </c>
      <c r="E33" s="589">
        <f>+'[109]Mar 13'!E33</f>
        <v>397</v>
      </c>
      <c r="F33" s="579">
        <f>+'[109]Apr 12'!F33+'[109]May 12'!F33+'[109]Jun 12'!F33+'[109]Jul 12'!F33+'[109]Aug 12'!F33+'[109]Sep 12'!F33+'[109]Oct 12'!F33+'[109]Nov 12'!F33+'[109]Dec 12'!F33+'[109]Jan 13'!F33+'[109]Feb 13'!F33+'[109]Mar 13'!F33</f>
        <v>35800285</v>
      </c>
      <c r="G33" s="580">
        <f>+'[109]Apr 12'!G33+'[109]May 12'!G33+'[109]Jun 12'!G33+'[109]Jul 12'!G33+'[109]Aug 12'!G33+'[109]Sep 12'!G33+'[109]Oct 12'!G33+'[109]Nov 12'!G33+'[109]Dec 12'!G33+'[109]Jan 13'!G33+'[109]Feb 13'!G33+'[109]Mar 13'!G33</f>
        <v>243441937.99999997</v>
      </c>
      <c r="H33" s="591">
        <f>+'[109]Apr 12'!H33+'[109]May 12'!H33+'[109]Jun 12'!H33+'[109]Jul 12'!H33+'[109]Aug 12'!H33+'[109]Sep 12'!H33+'[109]Oct 12'!H33+'[109]Nov 12'!H33+'[109]Dec 12'!H33+'[109]Jan 13'!H33+'[109]Feb 13'!H33+'[109]Mar 13'!H33</f>
        <v>29919376.490000002</v>
      </c>
      <c r="I33" s="576">
        <f>+'[109]Apr 12'!I33+'[109]May 12'!I33+'[109]Jun 12'!I33+'[109]Jul 12'!I33+'[109]Aug 12'!I33+'[109]Sep 12'!I33+'[109]Oct 12'!I33+'[109]Nov 12'!I33+'[109]Dec 12'!I33+'[109]Jan 13'!I33+'[109]Feb 13'!I33+'[109]Mar 13'!I33</f>
        <v>65514521.550000004</v>
      </c>
      <c r="J33" s="591">
        <f t="shared" si="0"/>
        <v>338875836.03999996</v>
      </c>
      <c r="K33" s="592">
        <f t="shared" si="1"/>
        <v>9.4657301203049062</v>
      </c>
    </row>
    <row r="34" spans="2:11" ht="15.75" thickBot="1">
      <c r="B34" s="593" t="s">
        <v>41</v>
      </c>
      <c r="C34" s="582" t="s">
        <v>28</v>
      </c>
      <c r="D34" s="582"/>
      <c r="E34" s="582">
        <f>+'[109]Mar 13'!E34</f>
        <v>41</v>
      </c>
      <c r="F34" s="564">
        <f>+'[109]Apr 12'!F34+'[109]May 12'!F34+'[109]Jun 12'!F34+'[109]Jul 12'!F34+'[109]Aug 12'!F34+'[109]Sep 12'!F34+'[109]Oct 12'!F34+'[109]Nov 12'!F34+'[109]Dec 12'!F34+'[109]Jan 13'!F34+'[109]Feb 13'!F34+'[109]Mar 13'!F34</f>
        <v>169395381</v>
      </c>
      <c r="G34" s="565">
        <f>+'[109]Apr 12'!G34+'[109]May 12'!G34+'[109]Jun 12'!G34+'[109]Jul 12'!G34+'[109]Aug 12'!G34+'[109]Sep 12'!G34+'[109]Oct 12'!G34+'[109]Nov 12'!G34+'[109]Dec 12'!G34+'[109]Jan 13'!G34+'[109]Feb 13'!G34+'[109]Mar 13'!G34</f>
        <v>963021810.45000017</v>
      </c>
      <c r="H34" s="566">
        <f>+'[109]Apr 12'!H34+'[109]May 12'!H34+'[109]Jun 12'!H34+'[109]Jul 12'!H34+'[109]Aug 12'!H34+'[109]Sep 12'!H34+'[109]Oct 12'!H34+'[109]Nov 12'!H34+'[109]Dec 12'!H34+'[109]Jan 13'!H34+'[109]Feb 13'!H34+'[109]Mar 13'!H34</f>
        <v>97891740.730000004</v>
      </c>
      <c r="I34" s="565">
        <f>+'[109]Apr 12'!I34+'[109]May 12'!I34+'[109]Jun 12'!I34+'[109]Jul 12'!I34+'[109]Aug 12'!I34+'[109]Sep 12'!I34+'[109]Oct 12'!I34+'[109]Nov 12'!I34+'[109]Dec 12'!I34+'[109]Jan 13'!I34+'[109]Feb 13'!I34+'[109]Mar 13'!I34</f>
        <v>201228784.56</v>
      </c>
      <c r="J34" s="566">
        <f t="shared" si="0"/>
        <v>1262142335.7400002</v>
      </c>
      <c r="K34" s="567">
        <f t="shared" si="1"/>
        <v>7.450866300421735</v>
      </c>
    </row>
    <row r="35" spans="2:11" ht="15.75" thickBot="1">
      <c r="B35" s="593" t="s">
        <v>42</v>
      </c>
      <c r="C35" s="582" t="s">
        <v>28</v>
      </c>
      <c r="D35" s="582"/>
      <c r="E35" s="582">
        <f>+'[109]Mar 13'!E35</f>
        <v>101</v>
      </c>
      <c r="F35" s="564">
        <f>+'[109]Apr 12'!F35+'[109]May 12'!F35+'[109]Jun 12'!F35+'[109]Jul 12'!F35+'[109]Aug 12'!F35+'[109]Sep 12'!F35+'[109]Oct 12'!F35+'[109]Nov 12'!F35+'[109]Dec 12'!F35+'[109]Jan 13'!F35+'[109]Feb 13'!F35+'[109]Mar 13'!F35</f>
        <v>381589541</v>
      </c>
      <c r="G35" s="565">
        <f>+'[109]Apr 12'!G35+'[109]May 12'!G35+'[109]Jun 12'!G35+'[109]Jul 12'!G35+'[109]Aug 12'!G35+'[109]Sep 12'!G35+'[109]Oct 12'!G35+'[109]Nov 12'!G35+'[109]Dec 12'!G35+'[109]Jan 13'!G35+'[109]Feb 13'!G35+'[109]Mar 13'!G35</f>
        <v>2317018520.3499994</v>
      </c>
      <c r="H35" s="566">
        <f>+'[109]Apr 12'!H35+'[109]May 12'!H35+'[109]Jun 12'!H35+'[109]Jul 12'!H35+'[109]Aug 12'!H35+'[109]Sep 12'!H35+'[109]Oct 12'!H35+'[109]Nov 12'!H35+'[109]Dec 12'!H35+'[109]Jan 13'!H35+'[109]Feb 13'!H35+'[109]Mar 13'!H35</f>
        <v>205420184.75999996</v>
      </c>
      <c r="I35" s="565">
        <f>+'[109]Apr 12'!I35+'[109]May 12'!I35+'[109]Jun 12'!I35+'[109]Jul 12'!I35+'[109]Aug 12'!I35+'[109]Sep 12'!I35+'[109]Oct 12'!I35+'[109]Nov 12'!I35+'[109]Dec 12'!I35+'[109]Jan 13'!I35+'[109]Feb 13'!I35+'[109]Mar 13'!I35</f>
        <v>471129753.96000004</v>
      </c>
      <c r="J35" s="566">
        <f t="shared" si="0"/>
        <v>2993568459.0699992</v>
      </c>
      <c r="K35" s="567">
        <f t="shared" si="1"/>
        <v>7.8449960950842703</v>
      </c>
    </row>
    <row r="36" spans="2:11" ht="15.75" thickBot="1">
      <c r="B36" s="593" t="s">
        <v>43</v>
      </c>
      <c r="C36" s="582" t="s">
        <v>28</v>
      </c>
      <c r="D36" s="582"/>
      <c r="E36" s="582">
        <f>+'[109]Mar 13'!E36</f>
        <v>10</v>
      </c>
      <c r="F36" s="564">
        <f>+'[109]Apr 12'!F36+'[109]May 12'!F36+'[109]Jun 12'!F36+'[109]Jul 12'!F36+'[109]Aug 12'!F36+'[109]Sep 12'!F36+'[109]Oct 12'!F36+'[109]Nov 12'!F36+'[109]Dec 12'!F36+'[109]Jan 13'!F36+'[109]Feb 13'!F36+'[109]Mar 13'!F36</f>
        <v>32271809</v>
      </c>
      <c r="G36" s="565">
        <f>+'[109]Apr 12'!G36+'[109]May 12'!G36+'[109]Jun 12'!G36+'[109]Jul 12'!G36+'[109]Aug 12'!G36+'[109]Sep 12'!G36+'[109]Oct 12'!G36+'[109]Nov 12'!G36+'[109]Dec 12'!G36+'[109]Jan 13'!G36+'[109]Feb 13'!G36+'[109]Mar 13'!G36</f>
        <v>106433487</v>
      </c>
      <c r="H36" s="566">
        <f>+'[109]Apr 12'!H36+'[109]May 12'!H36+'[109]Jun 12'!H36+'[109]Jul 12'!H36+'[109]Aug 12'!H36+'[109]Sep 12'!H36+'[109]Oct 12'!H36+'[109]Nov 12'!H36+'[109]Dec 12'!H36+'[109]Jan 13'!H36+'[109]Feb 13'!H36+'[109]Mar 13'!H36</f>
        <v>15920492.640000001</v>
      </c>
      <c r="I36" s="565">
        <f>+'[109]Apr 12'!I36+'[109]May 12'!I36+'[109]Jun 12'!I36+'[109]Jul 12'!I36+'[109]Aug 12'!I36+'[109]Sep 12'!I36+'[109]Oct 12'!I36+'[109]Nov 12'!I36+'[109]Dec 12'!I36+'[109]Jan 13'!I36+'[109]Feb 13'!I36+'[109]Mar 13'!I36</f>
        <v>21881086.5</v>
      </c>
      <c r="J36" s="566">
        <f t="shared" si="0"/>
        <v>144235066.13999999</v>
      </c>
      <c r="K36" s="567">
        <f t="shared" si="1"/>
        <v>4.469382740211433</v>
      </c>
    </row>
    <row r="37" spans="2:11" ht="15.75" thickBot="1">
      <c r="B37" s="593" t="s">
        <v>44</v>
      </c>
      <c r="C37" s="582" t="s">
        <v>28</v>
      </c>
      <c r="D37" s="582"/>
      <c r="E37" s="582">
        <f>+'[109]Mar 13'!E37</f>
        <v>3</v>
      </c>
      <c r="F37" s="564">
        <f>+'[109]Apr 12'!F37+'[109]May 12'!F37+'[109]Jun 12'!F37+'[109]Jul 12'!F37+'[109]Aug 12'!F37+'[109]Sep 12'!F37+'[109]Oct 12'!F37+'[109]Nov 12'!F37+'[109]Dec 12'!F37+'[109]Jan 13'!F37+'[109]Feb 13'!F37+'[109]Mar 13'!F37</f>
        <v>4007172</v>
      </c>
      <c r="G37" s="564">
        <f>+'[109]Apr 12'!G37+'[109]May 12'!G37+'[109]Jun 12'!G37+'[109]Jul 12'!G37+'[109]Aug 12'!G37+'[109]Sep 12'!G37+'[109]Oct 12'!G37+'[109]Nov 12'!G37+'[109]Dec 12'!G37+'[109]Jan 13'!G37+'[109]Feb 13'!G37+'[109]Mar 13'!G37</f>
        <v>34310875.799999997</v>
      </c>
      <c r="H37" s="566">
        <f>+'[109]Apr 12'!H37+'[109]May 12'!H37+'[109]Jun 12'!H37+'[109]Jul 12'!H37+'[109]Aug 12'!H37+'[109]Sep 12'!H37+'[109]Oct 12'!H37+'[109]Nov 12'!H37+'[109]Dec 12'!H37+'[109]Jan 13'!H37+'[109]Feb 13'!H37+'[109]Mar 13'!H37</f>
        <v>10058.34</v>
      </c>
      <c r="I37" s="565">
        <f>+'[109]Apr 12'!I37+'[109]May 12'!I37+'[109]Jun 12'!I37+'[109]Jul 12'!I37+'[109]Aug 12'!I37+'[109]Sep 12'!I37+'[109]Oct 12'!I37+'[109]Nov 12'!I37+'[109]Dec 12'!I37+'[109]Jan 13'!I37+'[109]Feb 13'!I37+'[109]Mar 13'!I37</f>
        <v>7518471.96</v>
      </c>
      <c r="J37" s="566">
        <f t="shared" si="0"/>
        <v>41839406.100000001</v>
      </c>
      <c r="K37" s="567">
        <f t="shared" si="1"/>
        <v>10.441130577873873</v>
      </c>
    </row>
    <row r="38" spans="2:11" ht="15.75" thickBot="1">
      <c r="B38" s="594" t="s">
        <v>45</v>
      </c>
      <c r="C38" s="595" t="s">
        <v>28</v>
      </c>
      <c r="D38" s="595"/>
      <c r="E38" s="595">
        <f>+'[109]Mar 13'!E38</f>
        <v>15</v>
      </c>
      <c r="F38" s="596">
        <f>+'[109]Apr 12'!F38+'[109]May 12'!F38+'[109]Jun 12'!F38+'[109]Jul 12'!F38+'[109]Aug 12'!F38+'[109]Sep 12'!F38+'[109]Oct 12'!F38+'[109]Nov 12'!F38+'[109]Dec 12'!F38+'[109]Jan 13'!F38+'[109]Feb 13'!F38+'[109]Mar 13'!F38</f>
        <v>34105733</v>
      </c>
      <c r="G38" s="597">
        <f>+'[109]Apr 12'!G38+'[109]May 12'!G38+'[109]Jun 12'!G38+'[109]Jul 12'!G38+'[109]Aug 12'!G38+'[109]Sep 12'!G38+'[109]Oct 12'!G38+'[109]Nov 12'!G38+'[109]Dec 12'!G38+'[109]Jan 13'!G38+'[109]Feb 13'!G38+'[109]Mar 13'!G38</f>
        <v>190992104.80000001</v>
      </c>
      <c r="H38" s="598">
        <f>+'[109]Apr 12'!H38+'[109]May 12'!H38+'[109]Jun 12'!H38+'[109]Jul 12'!H38+'[109]Aug 12'!H38+'[109]Sep 12'!H38+'[109]Oct 12'!H38+'[109]Nov 12'!H38+'[109]Dec 12'!H38+'[109]Jan 13'!H38+'[109]Feb 13'!H38+'[109]Mar 13'!H38</f>
        <v>14737429.08</v>
      </c>
      <c r="I38" s="597">
        <f>+'[109]Apr 12'!I38+'[109]May 12'!I38+'[109]Jun 12'!I38+'[109]Jul 12'!I38+'[109]Aug 12'!I38+'[109]Sep 12'!I38+'[109]Oct 12'!I38+'[109]Nov 12'!I38+'[109]Dec 12'!I38+'[109]Jan 13'!I38+'[109]Feb 13'!I38+'[109]Mar 13'!I38</f>
        <v>51499656.829999998</v>
      </c>
      <c r="J38" s="598">
        <f t="shared" si="0"/>
        <v>257229190.71000004</v>
      </c>
      <c r="K38" s="599">
        <f t="shared" si="1"/>
        <v>7.5421100232620724</v>
      </c>
    </row>
    <row r="39" spans="2:11" ht="15.75" thickBot="1">
      <c r="B39" s="594" t="s">
        <v>46</v>
      </c>
      <c r="C39" s="595"/>
      <c r="D39" s="595"/>
      <c r="E39" s="595"/>
      <c r="F39" s="596">
        <f>+'[109]Apr 12'!F39+'[109]May 12'!F39+'[109]Jun 12'!F39+'[109]Jul 12'!F39+'[109]Aug 12'!F39+'[109]Sep 12'!F39+'[109]Oct 12'!F39+'[109]Nov 12'!F39+'[109]Dec 12'!F39+'[109]Jan 13'!F39+'[109]Feb 13'!F39+'[109]Mar 13'!F39</f>
        <v>0</v>
      </c>
      <c r="G39" s="597">
        <f>+'[109]Apr 12'!G39+'[109]May 12'!G39+'[109]Jun 12'!G39+'[109]Jul 12'!G39+'[109]Aug 12'!G39+'[109]Sep 12'!G39+'[109]Oct 12'!G39+'[109]Nov 12'!G39+'[109]Dec 12'!G39+'[109]Jan 13'!G39+'[109]Feb 13'!G39+'[109]Mar 13'!G39</f>
        <v>30252576.530000001</v>
      </c>
      <c r="H39" s="598">
        <f>+'[109]Apr 12'!H39+'[109]May 12'!H39+'[109]Jun 12'!H39+'[109]Jul 12'!H39+'[109]Aug 12'!H39+'[109]Sep 12'!H39+'[109]Oct 12'!H39+'[109]Nov 12'!H39+'[109]Dec 12'!H39+'[109]Jan 13'!H39+'[109]Feb 13'!H39+'[109]Mar 13'!H39</f>
        <v>-4760782.6900000013</v>
      </c>
      <c r="I39" s="597">
        <f>+'[109]Apr 12'!I39+'[109]May 12'!I39+'[109]Jun 12'!I39+'[109]Jul 12'!I39+'[109]Aug 12'!I39+'[109]Sep 12'!I39+'[109]Oct 12'!I39+'[109]Nov 12'!I39+'[109]Dec 12'!I39+'[109]Jan 13'!I39+'[109]Feb 13'!I39+'[109]Mar 13'!I39</f>
        <v>-5707327.6299999999</v>
      </c>
      <c r="J39" s="598">
        <f t="shared" si="0"/>
        <v>19784466.210000001</v>
      </c>
      <c r="K39" s="599"/>
    </row>
    <row r="40" spans="2:11" ht="15.75">
      <c r="B40" s="600" t="s">
        <v>47</v>
      </c>
      <c r="C40" s="601"/>
      <c r="D40" s="578">
        <f t="shared" ref="D40:J40" si="2">SUM(D5:D39)</f>
        <v>880426</v>
      </c>
      <c r="E40" s="578">
        <f t="shared" si="2"/>
        <v>143943</v>
      </c>
      <c r="F40" s="602">
        <f t="shared" si="2"/>
        <v>4392945081.8099995</v>
      </c>
      <c r="G40" s="580">
        <f t="shared" si="2"/>
        <v>24291459923.386196</v>
      </c>
      <c r="H40" s="580">
        <f t="shared" si="2"/>
        <v>2597906096.4199996</v>
      </c>
      <c r="I40" s="580">
        <f t="shared" si="2"/>
        <v>5024031667.4124012</v>
      </c>
      <c r="J40" s="580">
        <f t="shared" si="2"/>
        <v>31913397687.218597</v>
      </c>
      <c r="K40" s="603">
        <f>+J40/F40</f>
        <v>7.2646930687486551</v>
      </c>
    </row>
    <row r="41" spans="2:11">
      <c r="F41" s="547"/>
      <c r="I41" s="573" t="s">
        <v>48</v>
      </c>
      <c r="J41" s="573">
        <f>+'[109]Apr 12'!J41+'[109]May 12'!J41+'[109]Jun 12'!J41+'[109]Jul 12'!J41+'[109]Aug 12'!J41+'[109]Sep 12'!J41+'[109]Oct 12'!J41+'[109]Nov 12'!J41+'[109]Dec 12'!J41+'[109]Jan 13'!J41+'[109]Feb 13'!J41+'[109]Mar 13'!J41</f>
        <v>145901336.67000002</v>
      </c>
    </row>
    <row r="42" spans="2:11">
      <c r="F42" s="604"/>
      <c r="H42" s="545"/>
      <c r="I42" s="573" t="s">
        <v>49</v>
      </c>
      <c r="J42" s="573">
        <f>+'[109]Apr 12'!J42+'[109]May 12'!J42+'[109]Jun 12'!J42+'[109]Jul 12'!J42+'[109]Aug 12'!J42+'[109]Sep 12'!J42+'[109]Oct 12'!J42+'[109]Nov 12'!J42+'[109]Dec 12'!J42+'[109]Jan 13'!J42+'[109]Feb 13'!J42+'[109]Mar 13'!J42</f>
        <v>3795939673.2200003</v>
      </c>
    </row>
    <row r="43" spans="2:11">
      <c r="H43" s="545"/>
      <c r="I43" s="573" t="s">
        <v>50</v>
      </c>
      <c r="J43" s="573">
        <f>+'[109]Apr 12'!J43+'[109]May 12'!J43+'[109]Jun 12'!J43+'[109]Jul 12'!J43+'[109]Aug 12'!J43+'[109]Sep 12'!J43+'[109]Oct 12'!J43+'[109]Nov 12'!J43+'[109]Dec 12'!J43+'[109]Jan 13'!J43+'[109]Feb 13'!J43+'[109]Mar 13'!J43</f>
        <v>-2260067.69</v>
      </c>
    </row>
    <row r="44" spans="2:11">
      <c r="H44" s="545"/>
      <c r="I44" s="573" t="s">
        <v>51</v>
      </c>
      <c r="J44" s="573">
        <f>+'[109]Apr 12'!J44+'[109]May 12'!J44+'[109]Jun 12'!J44+'[109]Jul 12'!J44+'[109]Aug 12'!J44+'[109]Sep 12'!J44+'[109]Oct 12'!J44+'[109]Nov 12'!J44+'[109]Dec 12'!J44+'[109]Jan 13'!J44+'[109]Feb 13'!J44+'[109]Mar 13'!J44</f>
        <v>154928406.25</v>
      </c>
    </row>
    <row r="45" spans="2:11">
      <c r="H45" s="545"/>
      <c r="I45" s="573" t="s">
        <v>52</v>
      </c>
      <c r="J45" s="573">
        <f>+'[109]Apr 12'!J45+'[109]May 12'!J45+'[109]Jun 12'!J45+'[109]Jul 12'!J45+'[109]Aug 12'!J45+'[109]Sep 12'!J45+'[109]Oct 12'!J45+'[109]Nov 12'!J45+'[109]Dec 12'!J45+'[109]Jan 13'!J45+'[109]Feb 13'!J45+'[109]Mar 13'!J45</f>
        <v>99352017.049999997</v>
      </c>
    </row>
    <row r="46" spans="2:11" ht="15.75">
      <c r="H46" s="545"/>
      <c r="I46" s="573" t="s">
        <v>47</v>
      </c>
      <c r="J46" s="605">
        <f>SUM(J40:J45)</f>
        <v>36107259052.718597</v>
      </c>
    </row>
    <row r="47" spans="2:11" ht="15.75" hidden="1">
      <c r="H47" s="545"/>
      <c r="I47" s="606" t="s">
        <v>53</v>
      </c>
      <c r="J47" s="607">
        <f>+'[109]Apr 12'!J47+'[109]May 12'!J47+'[109]Jun 12'!J47+'[109]Jul 12'!J47+'[109]Aug 12'!J47+'[109]Sep 12'!J47+'[109]Oct 12'!J47+'[109]Nov 12'!J47+'[109]Dec 12'!J47+'[109]Jan 13'!J47+'[109]Feb 13'!J47+'[109]Mar 13'!J47</f>
        <v>-114883127.54000001</v>
      </c>
    </row>
    <row r="48" spans="2:11" ht="15.75" hidden="1">
      <c r="H48" s="545"/>
      <c r="I48" s="606" t="s">
        <v>54</v>
      </c>
      <c r="J48" s="607">
        <f>+'[109]Apr 12'!J48+'[109]May 12'!J48+'[109]Jun 12'!J48+'[109]Jul 12'!J48+'[109]Aug 12'!J48+'[109]Sep 12'!J48+'[109]Oct 12'!J48+'[109]Nov 12'!J48+'[109]Dec 12'!J48+'[109]Jan 13'!J48+'[109]Feb 13'!J48+'[109]Mar 13'!J48</f>
        <v>-664335330.51999998</v>
      </c>
    </row>
    <row r="49" spans="2:10" ht="15.75" hidden="1">
      <c r="H49" s="545"/>
      <c r="I49" s="606" t="s">
        <v>55</v>
      </c>
      <c r="J49" s="607">
        <f>+'[109]Apr 12'!J49+'[109]May 12'!J49+'[109]Jun 12'!J49+'[109]Jul 12'!J49+'[109]Aug 12'!J49+'[109]Sep 12'!J49+'[109]Oct 12'!J49+'[109]Nov 12'!J49+'[109]Dec 12'!J49+'[109]Jan 13'!J49+'[109]Feb 13'!J49+'[109]Mar 13'!J49</f>
        <v>-3535451.8200000003</v>
      </c>
    </row>
    <row r="50" spans="2:10" ht="15.75" hidden="1">
      <c r="H50" s="545"/>
      <c r="I50" s="606" t="s">
        <v>56</v>
      </c>
      <c r="J50" s="607">
        <f>+'[109]Apr 12'!J50+'[109]May 12'!J50+'[109]Jun 12'!J50+'[109]Jul 12'!J50+'[109]Aug 12'!J50+'[109]Sep 12'!J50+'[109]Oct 12'!J50+'[109]Nov 12'!J50+'[109]Dec 12'!J50+'[109]Jan 13'!J50+'[109]Feb 13'!J50+'[109]Mar 13'!J50</f>
        <v>-1009446.76</v>
      </c>
    </row>
    <row r="51" spans="2:10" hidden="1">
      <c r="H51" s="545"/>
      <c r="I51" s="573" t="s">
        <v>57</v>
      </c>
      <c r="J51" s="573">
        <f>SUM(J46:J50)</f>
        <v>35323495696.078598</v>
      </c>
    </row>
    <row r="52" spans="2:10" ht="15.75" hidden="1">
      <c r="H52" s="545"/>
      <c r="I52" s="547" t="s">
        <v>58</v>
      </c>
      <c r="J52" s="608">
        <f>+J46/F40</f>
        <v>8.2193741055924008</v>
      </c>
    </row>
    <row r="53" spans="2:10" hidden="1">
      <c r="H53" s="545"/>
      <c r="I53" s="547" t="s">
        <v>59</v>
      </c>
      <c r="J53" s="547">
        <f>+'[109]Apr 12'!J53+'[109]May 12'!J53+'[109]Jun 12'!J53+'[109]Jul 12'!J53+'[109]Aug 12'!J53+'[109]Sep 12'!J53+'[109]Oct 12'!J53+'[109]Nov 12'!J53+'[109]Dec 12'!J53+'[109]Jan 13'!J53+'[109]Feb 13'!J53+'[109]Mar 13'!J53</f>
        <v>510747363.81999993</v>
      </c>
    </row>
    <row r="54" spans="2:10" ht="15.75" hidden="1">
      <c r="H54" s="545"/>
      <c r="I54" s="547" t="s">
        <v>60</v>
      </c>
      <c r="J54" s="609">
        <f>+J46+J53</f>
        <v>36618006416.538597</v>
      </c>
    </row>
    <row r="55" spans="2:10" hidden="1">
      <c r="B55" s="610"/>
      <c r="F55" s="611"/>
      <c r="H55" s="545"/>
      <c r="I55" s="547" t="s">
        <v>58</v>
      </c>
    </row>
    <row r="56" spans="2:10" ht="15.75" hidden="1">
      <c r="J56" s="608">
        <f>+J54/F40</f>
        <v>8.3356394706967496</v>
      </c>
    </row>
    <row r="58" spans="2:10">
      <c r="F58" s="547"/>
    </row>
  </sheetData>
  <sheetProtection password="C77D" sheet="1" objects="1" scenarios="1"/>
  <mergeCells count="10">
    <mergeCell ref="H18:H23"/>
    <mergeCell ref="J18:J23"/>
    <mergeCell ref="K18:K23"/>
    <mergeCell ref="D3:E3"/>
    <mergeCell ref="H6:H9"/>
    <mergeCell ref="J6:J9"/>
    <mergeCell ref="K6:K9"/>
    <mergeCell ref="H10:H15"/>
    <mergeCell ref="J10:J15"/>
    <mergeCell ref="K10:K15"/>
  </mergeCells>
  <printOptions horizontalCentered="1" verticalCentered="1"/>
  <pageMargins left="0.5" right="0.5" top="0.5" bottom="0.5" header="0.5" footer="1.23"/>
  <pageSetup paperSize="9" scale="70" orientation="landscape" r:id="rId1"/>
  <headerFooter alignWithMargins="0">
    <oddFooter>&amp;LData compiled from monthly revenue statements received from CC departments</oddFooter>
  </headerFooter>
</worksheet>
</file>

<file path=xl/worksheets/sheet101.xml><?xml version="1.0" encoding="utf-8"?>
<worksheet xmlns="http://schemas.openxmlformats.org/spreadsheetml/2006/main" xmlns:r="http://schemas.openxmlformats.org/officeDocument/2006/relationships">
  <sheetPr codeName="Sheet80">
    <pageSetUpPr fitToPage="1"/>
  </sheetPr>
  <dimension ref="B1:O39"/>
  <sheetViews>
    <sheetView showGridLines="0" workbookViewId="0">
      <selection activeCell="E8" sqref="E8"/>
    </sheetView>
  </sheetViews>
  <sheetFormatPr defaultRowHeight="15"/>
  <cols>
    <col min="1" max="1" width="4.28515625" style="2707" customWidth="1"/>
    <col min="2" max="2" width="14.5703125" style="2706" customWidth="1"/>
    <col min="3" max="3" width="4.85546875" style="2707" customWidth="1"/>
    <col min="4" max="4" width="36.28515625" style="2707" customWidth="1"/>
    <col min="5" max="5" width="15.42578125" style="2707" bestFit="1" customWidth="1"/>
    <col min="6" max="6" width="15.42578125" style="2707" customWidth="1"/>
    <col min="7" max="7" width="13.5703125" style="2707" customWidth="1"/>
    <col min="8" max="8" width="4.5703125" style="2707" customWidth="1"/>
    <col min="9" max="9" width="34.5703125" style="2707" customWidth="1"/>
    <col min="10" max="10" width="15.28515625" style="2707" customWidth="1"/>
    <col min="11" max="11" width="16.5703125" style="2707" customWidth="1"/>
    <col min="12" max="12" width="2.42578125" style="2707" customWidth="1"/>
    <col min="13" max="13" width="4.140625" style="2707" customWidth="1"/>
    <col min="14" max="14" width="3.85546875" style="2707" customWidth="1"/>
    <col min="15" max="15" width="14" style="2707" customWidth="1"/>
    <col min="16" max="256" width="9.140625" style="2707"/>
    <col min="257" max="257" width="4.28515625" style="2707" customWidth="1"/>
    <col min="258" max="258" width="14.5703125" style="2707" customWidth="1"/>
    <col min="259" max="259" width="4.85546875" style="2707" customWidth="1"/>
    <col min="260" max="260" width="36.28515625" style="2707" customWidth="1"/>
    <col min="261" max="261" width="15.42578125" style="2707" bestFit="1" customWidth="1"/>
    <col min="262" max="262" width="15.42578125" style="2707" customWidth="1"/>
    <col min="263" max="263" width="13.5703125" style="2707" customWidth="1"/>
    <col min="264" max="264" width="4.5703125" style="2707" customWidth="1"/>
    <col min="265" max="265" width="34.5703125" style="2707" customWidth="1"/>
    <col min="266" max="266" width="15.28515625" style="2707" customWidth="1"/>
    <col min="267" max="267" width="16.5703125" style="2707" customWidth="1"/>
    <col min="268" max="268" width="2.42578125" style="2707" customWidth="1"/>
    <col min="269" max="269" width="4.140625" style="2707" customWidth="1"/>
    <col min="270" max="270" width="3.85546875" style="2707" customWidth="1"/>
    <col min="271" max="271" width="14" style="2707" customWidth="1"/>
    <col min="272" max="512" width="9.140625" style="2707"/>
    <col min="513" max="513" width="4.28515625" style="2707" customWidth="1"/>
    <col min="514" max="514" width="14.5703125" style="2707" customWidth="1"/>
    <col min="515" max="515" width="4.85546875" style="2707" customWidth="1"/>
    <col min="516" max="516" width="36.28515625" style="2707" customWidth="1"/>
    <col min="517" max="517" width="15.42578125" style="2707" bestFit="1" customWidth="1"/>
    <col min="518" max="518" width="15.42578125" style="2707" customWidth="1"/>
    <col min="519" max="519" width="13.5703125" style="2707" customWidth="1"/>
    <col min="520" max="520" width="4.5703125" style="2707" customWidth="1"/>
    <col min="521" max="521" width="34.5703125" style="2707" customWidth="1"/>
    <col min="522" max="522" width="15.28515625" style="2707" customWidth="1"/>
    <col min="523" max="523" width="16.5703125" style="2707" customWidth="1"/>
    <col min="524" max="524" width="2.42578125" style="2707" customWidth="1"/>
    <col min="525" max="525" width="4.140625" style="2707" customWidth="1"/>
    <col min="526" max="526" width="3.85546875" style="2707" customWidth="1"/>
    <col min="527" max="527" width="14" style="2707" customWidth="1"/>
    <col min="528" max="768" width="9.140625" style="2707"/>
    <col min="769" max="769" width="4.28515625" style="2707" customWidth="1"/>
    <col min="770" max="770" width="14.5703125" style="2707" customWidth="1"/>
    <col min="771" max="771" width="4.85546875" style="2707" customWidth="1"/>
    <col min="772" max="772" width="36.28515625" style="2707" customWidth="1"/>
    <col min="773" max="773" width="15.42578125" style="2707" bestFit="1" customWidth="1"/>
    <col min="774" max="774" width="15.42578125" style="2707" customWidth="1"/>
    <col min="775" max="775" width="13.5703125" style="2707" customWidth="1"/>
    <col min="776" max="776" width="4.5703125" style="2707" customWidth="1"/>
    <col min="777" max="777" width="34.5703125" style="2707" customWidth="1"/>
    <col min="778" max="778" width="15.28515625" style="2707" customWidth="1"/>
    <col min="779" max="779" width="16.5703125" style="2707" customWidth="1"/>
    <col min="780" max="780" width="2.42578125" style="2707" customWidth="1"/>
    <col min="781" max="781" width="4.140625" style="2707" customWidth="1"/>
    <col min="782" max="782" width="3.85546875" style="2707" customWidth="1"/>
    <col min="783" max="783" width="14" style="2707" customWidth="1"/>
    <col min="784" max="1024" width="9.140625" style="2707"/>
    <col min="1025" max="1025" width="4.28515625" style="2707" customWidth="1"/>
    <col min="1026" max="1026" width="14.5703125" style="2707" customWidth="1"/>
    <col min="1027" max="1027" width="4.85546875" style="2707" customWidth="1"/>
    <col min="1028" max="1028" width="36.28515625" style="2707" customWidth="1"/>
    <col min="1029" max="1029" width="15.42578125" style="2707" bestFit="1" customWidth="1"/>
    <col min="1030" max="1030" width="15.42578125" style="2707" customWidth="1"/>
    <col min="1031" max="1031" width="13.5703125" style="2707" customWidth="1"/>
    <col min="1032" max="1032" width="4.5703125" style="2707" customWidth="1"/>
    <col min="1033" max="1033" width="34.5703125" style="2707" customWidth="1"/>
    <col min="1034" max="1034" width="15.28515625" style="2707" customWidth="1"/>
    <col min="1035" max="1035" width="16.5703125" style="2707" customWidth="1"/>
    <col min="1036" max="1036" width="2.42578125" style="2707" customWidth="1"/>
    <col min="1037" max="1037" width="4.140625" style="2707" customWidth="1"/>
    <col min="1038" max="1038" width="3.85546875" style="2707" customWidth="1"/>
    <col min="1039" max="1039" width="14" style="2707" customWidth="1"/>
    <col min="1040" max="1280" width="9.140625" style="2707"/>
    <col min="1281" max="1281" width="4.28515625" style="2707" customWidth="1"/>
    <col min="1282" max="1282" width="14.5703125" style="2707" customWidth="1"/>
    <col min="1283" max="1283" width="4.85546875" style="2707" customWidth="1"/>
    <col min="1284" max="1284" width="36.28515625" style="2707" customWidth="1"/>
    <col min="1285" max="1285" width="15.42578125" style="2707" bestFit="1" customWidth="1"/>
    <col min="1286" max="1286" width="15.42578125" style="2707" customWidth="1"/>
    <col min="1287" max="1287" width="13.5703125" style="2707" customWidth="1"/>
    <col min="1288" max="1288" width="4.5703125" style="2707" customWidth="1"/>
    <col min="1289" max="1289" width="34.5703125" style="2707" customWidth="1"/>
    <col min="1290" max="1290" width="15.28515625" style="2707" customWidth="1"/>
    <col min="1291" max="1291" width="16.5703125" style="2707" customWidth="1"/>
    <col min="1292" max="1292" width="2.42578125" style="2707" customWidth="1"/>
    <col min="1293" max="1293" width="4.140625" style="2707" customWidth="1"/>
    <col min="1294" max="1294" width="3.85546875" style="2707" customWidth="1"/>
    <col min="1295" max="1295" width="14" style="2707" customWidth="1"/>
    <col min="1296" max="1536" width="9.140625" style="2707"/>
    <col min="1537" max="1537" width="4.28515625" style="2707" customWidth="1"/>
    <col min="1538" max="1538" width="14.5703125" style="2707" customWidth="1"/>
    <col min="1539" max="1539" width="4.85546875" style="2707" customWidth="1"/>
    <col min="1540" max="1540" width="36.28515625" style="2707" customWidth="1"/>
    <col min="1541" max="1541" width="15.42578125" style="2707" bestFit="1" customWidth="1"/>
    <col min="1542" max="1542" width="15.42578125" style="2707" customWidth="1"/>
    <col min="1543" max="1543" width="13.5703125" style="2707" customWidth="1"/>
    <col min="1544" max="1544" width="4.5703125" style="2707" customWidth="1"/>
    <col min="1545" max="1545" width="34.5703125" style="2707" customWidth="1"/>
    <col min="1546" max="1546" width="15.28515625" style="2707" customWidth="1"/>
    <col min="1547" max="1547" width="16.5703125" style="2707" customWidth="1"/>
    <col min="1548" max="1548" width="2.42578125" style="2707" customWidth="1"/>
    <col min="1549" max="1549" width="4.140625" style="2707" customWidth="1"/>
    <col min="1550" max="1550" width="3.85546875" style="2707" customWidth="1"/>
    <col min="1551" max="1551" width="14" style="2707" customWidth="1"/>
    <col min="1552" max="1792" width="9.140625" style="2707"/>
    <col min="1793" max="1793" width="4.28515625" style="2707" customWidth="1"/>
    <col min="1794" max="1794" width="14.5703125" style="2707" customWidth="1"/>
    <col min="1795" max="1795" width="4.85546875" style="2707" customWidth="1"/>
    <col min="1796" max="1796" width="36.28515625" style="2707" customWidth="1"/>
    <col min="1797" max="1797" width="15.42578125" style="2707" bestFit="1" customWidth="1"/>
    <col min="1798" max="1798" width="15.42578125" style="2707" customWidth="1"/>
    <col min="1799" max="1799" width="13.5703125" style="2707" customWidth="1"/>
    <col min="1800" max="1800" width="4.5703125" style="2707" customWidth="1"/>
    <col min="1801" max="1801" width="34.5703125" style="2707" customWidth="1"/>
    <col min="1802" max="1802" width="15.28515625" style="2707" customWidth="1"/>
    <col min="1803" max="1803" width="16.5703125" style="2707" customWidth="1"/>
    <col min="1804" max="1804" width="2.42578125" style="2707" customWidth="1"/>
    <col min="1805" max="1805" width="4.140625" style="2707" customWidth="1"/>
    <col min="1806" max="1806" width="3.85546875" style="2707" customWidth="1"/>
    <col min="1807" max="1807" width="14" style="2707" customWidth="1"/>
    <col min="1808" max="2048" width="9.140625" style="2707"/>
    <col min="2049" max="2049" width="4.28515625" style="2707" customWidth="1"/>
    <col min="2050" max="2050" width="14.5703125" style="2707" customWidth="1"/>
    <col min="2051" max="2051" width="4.85546875" style="2707" customWidth="1"/>
    <col min="2052" max="2052" width="36.28515625" style="2707" customWidth="1"/>
    <col min="2053" max="2053" width="15.42578125" style="2707" bestFit="1" customWidth="1"/>
    <col min="2054" max="2054" width="15.42578125" style="2707" customWidth="1"/>
    <col min="2055" max="2055" width="13.5703125" style="2707" customWidth="1"/>
    <col min="2056" max="2056" width="4.5703125" style="2707" customWidth="1"/>
    <col min="2057" max="2057" width="34.5703125" style="2707" customWidth="1"/>
    <col min="2058" max="2058" width="15.28515625" style="2707" customWidth="1"/>
    <col min="2059" max="2059" width="16.5703125" style="2707" customWidth="1"/>
    <col min="2060" max="2060" width="2.42578125" style="2707" customWidth="1"/>
    <col min="2061" max="2061" width="4.140625" style="2707" customWidth="1"/>
    <col min="2062" max="2062" width="3.85546875" style="2707" customWidth="1"/>
    <col min="2063" max="2063" width="14" style="2707" customWidth="1"/>
    <col min="2064" max="2304" width="9.140625" style="2707"/>
    <col min="2305" max="2305" width="4.28515625" style="2707" customWidth="1"/>
    <col min="2306" max="2306" width="14.5703125" style="2707" customWidth="1"/>
    <col min="2307" max="2307" width="4.85546875" style="2707" customWidth="1"/>
    <col min="2308" max="2308" width="36.28515625" style="2707" customWidth="1"/>
    <col min="2309" max="2309" width="15.42578125" style="2707" bestFit="1" customWidth="1"/>
    <col min="2310" max="2310" width="15.42578125" style="2707" customWidth="1"/>
    <col min="2311" max="2311" width="13.5703125" style="2707" customWidth="1"/>
    <col min="2312" max="2312" width="4.5703125" style="2707" customWidth="1"/>
    <col min="2313" max="2313" width="34.5703125" style="2707" customWidth="1"/>
    <col min="2314" max="2314" width="15.28515625" style="2707" customWidth="1"/>
    <col min="2315" max="2315" width="16.5703125" style="2707" customWidth="1"/>
    <col min="2316" max="2316" width="2.42578125" style="2707" customWidth="1"/>
    <col min="2317" max="2317" width="4.140625" style="2707" customWidth="1"/>
    <col min="2318" max="2318" width="3.85546875" style="2707" customWidth="1"/>
    <col min="2319" max="2319" width="14" style="2707" customWidth="1"/>
    <col min="2320" max="2560" width="9.140625" style="2707"/>
    <col min="2561" max="2561" width="4.28515625" style="2707" customWidth="1"/>
    <col min="2562" max="2562" width="14.5703125" style="2707" customWidth="1"/>
    <col min="2563" max="2563" width="4.85546875" style="2707" customWidth="1"/>
    <col min="2564" max="2564" width="36.28515625" style="2707" customWidth="1"/>
    <col min="2565" max="2565" width="15.42578125" style="2707" bestFit="1" customWidth="1"/>
    <col min="2566" max="2566" width="15.42578125" style="2707" customWidth="1"/>
    <col min="2567" max="2567" width="13.5703125" style="2707" customWidth="1"/>
    <col min="2568" max="2568" width="4.5703125" style="2707" customWidth="1"/>
    <col min="2569" max="2569" width="34.5703125" style="2707" customWidth="1"/>
    <col min="2570" max="2570" width="15.28515625" style="2707" customWidth="1"/>
    <col min="2571" max="2571" width="16.5703125" style="2707" customWidth="1"/>
    <col min="2572" max="2572" width="2.42578125" style="2707" customWidth="1"/>
    <col min="2573" max="2573" width="4.140625" style="2707" customWidth="1"/>
    <col min="2574" max="2574" width="3.85546875" style="2707" customWidth="1"/>
    <col min="2575" max="2575" width="14" style="2707" customWidth="1"/>
    <col min="2576" max="2816" width="9.140625" style="2707"/>
    <col min="2817" max="2817" width="4.28515625" style="2707" customWidth="1"/>
    <col min="2818" max="2818" width="14.5703125" style="2707" customWidth="1"/>
    <col min="2819" max="2819" width="4.85546875" style="2707" customWidth="1"/>
    <col min="2820" max="2820" width="36.28515625" style="2707" customWidth="1"/>
    <col min="2821" max="2821" width="15.42578125" style="2707" bestFit="1" customWidth="1"/>
    <col min="2822" max="2822" width="15.42578125" style="2707" customWidth="1"/>
    <col min="2823" max="2823" width="13.5703125" style="2707" customWidth="1"/>
    <col min="2824" max="2824" width="4.5703125" style="2707" customWidth="1"/>
    <col min="2825" max="2825" width="34.5703125" style="2707" customWidth="1"/>
    <col min="2826" max="2826" width="15.28515625" style="2707" customWidth="1"/>
    <col min="2827" max="2827" width="16.5703125" style="2707" customWidth="1"/>
    <col min="2828" max="2828" width="2.42578125" style="2707" customWidth="1"/>
    <col min="2829" max="2829" width="4.140625" style="2707" customWidth="1"/>
    <col min="2830" max="2830" width="3.85546875" style="2707" customWidth="1"/>
    <col min="2831" max="2831" width="14" style="2707" customWidth="1"/>
    <col min="2832" max="3072" width="9.140625" style="2707"/>
    <col min="3073" max="3073" width="4.28515625" style="2707" customWidth="1"/>
    <col min="3074" max="3074" width="14.5703125" style="2707" customWidth="1"/>
    <col min="3075" max="3075" width="4.85546875" style="2707" customWidth="1"/>
    <col min="3076" max="3076" width="36.28515625" style="2707" customWidth="1"/>
    <col min="3077" max="3077" width="15.42578125" style="2707" bestFit="1" customWidth="1"/>
    <col min="3078" max="3078" width="15.42578125" style="2707" customWidth="1"/>
    <col min="3079" max="3079" width="13.5703125" style="2707" customWidth="1"/>
    <col min="3080" max="3080" width="4.5703125" style="2707" customWidth="1"/>
    <col min="3081" max="3081" width="34.5703125" style="2707" customWidth="1"/>
    <col min="3082" max="3082" width="15.28515625" style="2707" customWidth="1"/>
    <col min="3083" max="3083" width="16.5703125" style="2707" customWidth="1"/>
    <col min="3084" max="3084" width="2.42578125" style="2707" customWidth="1"/>
    <col min="3085" max="3085" width="4.140625" style="2707" customWidth="1"/>
    <col min="3086" max="3086" width="3.85546875" style="2707" customWidth="1"/>
    <col min="3087" max="3087" width="14" style="2707" customWidth="1"/>
    <col min="3088" max="3328" width="9.140625" style="2707"/>
    <col min="3329" max="3329" width="4.28515625" style="2707" customWidth="1"/>
    <col min="3330" max="3330" width="14.5703125" style="2707" customWidth="1"/>
    <col min="3331" max="3331" width="4.85546875" style="2707" customWidth="1"/>
    <col min="3332" max="3332" width="36.28515625" style="2707" customWidth="1"/>
    <col min="3333" max="3333" width="15.42578125" style="2707" bestFit="1" customWidth="1"/>
    <col min="3334" max="3334" width="15.42578125" style="2707" customWidth="1"/>
    <col min="3335" max="3335" width="13.5703125" style="2707" customWidth="1"/>
    <col min="3336" max="3336" width="4.5703125" style="2707" customWidth="1"/>
    <col min="3337" max="3337" width="34.5703125" style="2707" customWidth="1"/>
    <col min="3338" max="3338" width="15.28515625" style="2707" customWidth="1"/>
    <col min="3339" max="3339" width="16.5703125" style="2707" customWidth="1"/>
    <col min="3340" max="3340" width="2.42578125" style="2707" customWidth="1"/>
    <col min="3341" max="3341" width="4.140625" style="2707" customWidth="1"/>
    <col min="3342" max="3342" width="3.85546875" style="2707" customWidth="1"/>
    <col min="3343" max="3343" width="14" style="2707" customWidth="1"/>
    <col min="3344" max="3584" width="9.140625" style="2707"/>
    <col min="3585" max="3585" width="4.28515625" style="2707" customWidth="1"/>
    <col min="3586" max="3586" width="14.5703125" style="2707" customWidth="1"/>
    <col min="3587" max="3587" width="4.85546875" style="2707" customWidth="1"/>
    <col min="3588" max="3588" width="36.28515625" style="2707" customWidth="1"/>
    <col min="3589" max="3589" width="15.42578125" style="2707" bestFit="1" customWidth="1"/>
    <col min="3590" max="3590" width="15.42578125" style="2707" customWidth="1"/>
    <col min="3591" max="3591" width="13.5703125" style="2707" customWidth="1"/>
    <col min="3592" max="3592" width="4.5703125" style="2707" customWidth="1"/>
    <col min="3593" max="3593" width="34.5703125" style="2707" customWidth="1"/>
    <col min="3594" max="3594" width="15.28515625" style="2707" customWidth="1"/>
    <col min="3595" max="3595" width="16.5703125" style="2707" customWidth="1"/>
    <col min="3596" max="3596" width="2.42578125" style="2707" customWidth="1"/>
    <col min="3597" max="3597" width="4.140625" style="2707" customWidth="1"/>
    <col min="3598" max="3598" width="3.85546875" style="2707" customWidth="1"/>
    <col min="3599" max="3599" width="14" style="2707" customWidth="1"/>
    <col min="3600" max="3840" width="9.140625" style="2707"/>
    <col min="3841" max="3841" width="4.28515625" style="2707" customWidth="1"/>
    <col min="3842" max="3842" width="14.5703125" style="2707" customWidth="1"/>
    <col min="3843" max="3843" width="4.85546875" style="2707" customWidth="1"/>
    <col min="3844" max="3844" width="36.28515625" style="2707" customWidth="1"/>
    <col min="3845" max="3845" width="15.42578125" style="2707" bestFit="1" customWidth="1"/>
    <col min="3846" max="3846" width="15.42578125" style="2707" customWidth="1"/>
    <col min="3847" max="3847" width="13.5703125" style="2707" customWidth="1"/>
    <col min="3848" max="3848" width="4.5703125" style="2707" customWidth="1"/>
    <col min="3849" max="3849" width="34.5703125" style="2707" customWidth="1"/>
    <col min="3850" max="3850" width="15.28515625" style="2707" customWidth="1"/>
    <col min="3851" max="3851" width="16.5703125" style="2707" customWidth="1"/>
    <col min="3852" max="3852" width="2.42578125" style="2707" customWidth="1"/>
    <col min="3853" max="3853" width="4.140625" style="2707" customWidth="1"/>
    <col min="3854" max="3854" width="3.85546875" style="2707" customWidth="1"/>
    <col min="3855" max="3855" width="14" style="2707" customWidth="1"/>
    <col min="3856" max="4096" width="9.140625" style="2707"/>
    <col min="4097" max="4097" width="4.28515625" style="2707" customWidth="1"/>
    <col min="4098" max="4098" width="14.5703125" style="2707" customWidth="1"/>
    <col min="4099" max="4099" width="4.85546875" style="2707" customWidth="1"/>
    <col min="4100" max="4100" width="36.28515625" style="2707" customWidth="1"/>
    <col min="4101" max="4101" width="15.42578125" style="2707" bestFit="1" customWidth="1"/>
    <col min="4102" max="4102" width="15.42578125" style="2707" customWidth="1"/>
    <col min="4103" max="4103" width="13.5703125" style="2707" customWidth="1"/>
    <col min="4104" max="4104" width="4.5703125" style="2707" customWidth="1"/>
    <col min="4105" max="4105" width="34.5703125" style="2707" customWidth="1"/>
    <col min="4106" max="4106" width="15.28515625" style="2707" customWidth="1"/>
    <col min="4107" max="4107" width="16.5703125" style="2707" customWidth="1"/>
    <col min="4108" max="4108" width="2.42578125" style="2707" customWidth="1"/>
    <col min="4109" max="4109" width="4.140625" style="2707" customWidth="1"/>
    <col min="4110" max="4110" width="3.85546875" style="2707" customWidth="1"/>
    <col min="4111" max="4111" width="14" style="2707" customWidth="1"/>
    <col min="4112" max="4352" width="9.140625" style="2707"/>
    <col min="4353" max="4353" width="4.28515625" style="2707" customWidth="1"/>
    <col min="4354" max="4354" width="14.5703125" style="2707" customWidth="1"/>
    <col min="4355" max="4355" width="4.85546875" style="2707" customWidth="1"/>
    <col min="4356" max="4356" width="36.28515625" style="2707" customWidth="1"/>
    <col min="4357" max="4357" width="15.42578125" style="2707" bestFit="1" customWidth="1"/>
    <col min="4358" max="4358" width="15.42578125" style="2707" customWidth="1"/>
    <col min="4359" max="4359" width="13.5703125" style="2707" customWidth="1"/>
    <col min="4360" max="4360" width="4.5703125" style="2707" customWidth="1"/>
    <col min="4361" max="4361" width="34.5703125" style="2707" customWidth="1"/>
    <col min="4362" max="4362" width="15.28515625" style="2707" customWidth="1"/>
    <col min="4363" max="4363" width="16.5703125" style="2707" customWidth="1"/>
    <col min="4364" max="4364" width="2.42578125" style="2707" customWidth="1"/>
    <col min="4365" max="4365" width="4.140625" style="2707" customWidth="1"/>
    <col min="4366" max="4366" width="3.85546875" style="2707" customWidth="1"/>
    <col min="4367" max="4367" width="14" style="2707" customWidth="1"/>
    <col min="4368" max="4608" width="9.140625" style="2707"/>
    <col min="4609" max="4609" width="4.28515625" style="2707" customWidth="1"/>
    <col min="4610" max="4610" width="14.5703125" style="2707" customWidth="1"/>
    <col min="4611" max="4611" width="4.85546875" style="2707" customWidth="1"/>
    <col min="4612" max="4612" width="36.28515625" style="2707" customWidth="1"/>
    <col min="4613" max="4613" width="15.42578125" style="2707" bestFit="1" customWidth="1"/>
    <col min="4614" max="4614" width="15.42578125" style="2707" customWidth="1"/>
    <col min="4615" max="4615" width="13.5703125" style="2707" customWidth="1"/>
    <col min="4616" max="4616" width="4.5703125" style="2707" customWidth="1"/>
    <col min="4617" max="4617" width="34.5703125" style="2707" customWidth="1"/>
    <col min="4618" max="4618" width="15.28515625" style="2707" customWidth="1"/>
    <col min="4619" max="4619" width="16.5703125" style="2707" customWidth="1"/>
    <col min="4620" max="4620" width="2.42578125" style="2707" customWidth="1"/>
    <col min="4621" max="4621" width="4.140625" style="2707" customWidth="1"/>
    <col min="4622" max="4622" width="3.85546875" style="2707" customWidth="1"/>
    <col min="4623" max="4623" width="14" style="2707" customWidth="1"/>
    <col min="4624" max="4864" width="9.140625" style="2707"/>
    <col min="4865" max="4865" width="4.28515625" style="2707" customWidth="1"/>
    <col min="4866" max="4866" width="14.5703125" style="2707" customWidth="1"/>
    <col min="4867" max="4867" width="4.85546875" style="2707" customWidth="1"/>
    <col min="4868" max="4868" width="36.28515625" style="2707" customWidth="1"/>
    <col min="4869" max="4869" width="15.42578125" style="2707" bestFit="1" customWidth="1"/>
    <col min="4870" max="4870" width="15.42578125" style="2707" customWidth="1"/>
    <col min="4871" max="4871" width="13.5703125" style="2707" customWidth="1"/>
    <col min="4872" max="4872" width="4.5703125" style="2707" customWidth="1"/>
    <col min="4873" max="4873" width="34.5703125" style="2707" customWidth="1"/>
    <col min="4874" max="4874" width="15.28515625" style="2707" customWidth="1"/>
    <col min="4875" max="4875" width="16.5703125" style="2707" customWidth="1"/>
    <col min="4876" max="4876" width="2.42578125" style="2707" customWidth="1"/>
    <col min="4877" max="4877" width="4.140625" style="2707" customWidth="1"/>
    <col min="4878" max="4878" width="3.85546875" style="2707" customWidth="1"/>
    <col min="4879" max="4879" width="14" style="2707" customWidth="1"/>
    <col min="4880" max="5120" width="9.140625" style="2707"/>
    <col min="5121" max="5121" width="4.28515625" style="2707" customWidth="1"/>
    <col min="5122" max="5122" width="14.5703125" style="2707" customWidth="1"/>
    <col min="5123" max="5123" width="4.85546875" style="2707" customWidth="1"/>
    <col min="5124" max="5124" width="36.28515625" style="2707" customWidth="1"/>
    <col min="5125" max="5125" width="15.42578125" style="2707" bestFit="1" customWidth="1"/>
    <col min="5126" max="5126" width="15.42578125" style="2707" customWidth="1"/>
    <col min="5127" max="5127" width="13.5703125" style="2707" customWidth="1"/>
    <col min="5128" max="5128" width="4.5703125" style="2707" customWidth="1"/>
    <col min="5129" max="5129" width="34.5703125" style="2707" customWidth="1"/>
    <col min="5130" max="5130" width="15.28515625" style="2707" customWidth="1"/>
    <col min="5131" max="5131" width="16.5703125" style="2707" customWidth="1"/>
    <col min="5132" max="5132" width="2.42578125" style="2707" customWidth="1"/>
    <col min="5133" max="5133" width="4.140625" style="2707" customWidth="1"/>
    <col min="5134" max="5134" width="3.85546875" style="2707" customWidth="1"/>
    <col min="5135" max="5135" width="14" style="2707" customWidth="1"/>
    <col min="5136" max="5376" width="9.140625" style="2707"/>
    <col min="5377" max="5377" width="4.28515625" style="2707" customWidth="1"/>
    <col min="5378" max="5378" width="14.5703125" style="2707" customWidth="1"/>
    <col min="5379" max="5379" width="4.85546875" style="2707" customWidth="1"/>
    <col min="5380" max="5380" width="36.28515625" style="2707" customWidth="1"/>
    <col min="5381" max="5381" width="15.42578125" style="2707" bestFit="1" customWidth="1"/>
    <col min="5382" max="5382" width="15.42578125" style="2707" customWidth="1"/>
    <col min="5383" max="5383" width="13.5703125" style="2707" customWidth="1"/>
    <col min="5384" max="5384" width="4.5703125" style="2707" customWidth="1"/>
    <col min="5385" max="5385" width="34.5703125" style="2707" customWidth="1"/>
    <col min="5386" max="5386" width="15.28515625" style="2707" customWidth="1"/>
    <col min="5387" max="5387" width="16.5703125" style="2707" customWidth="1"/>
    <col min="5388" max="5388" width="2.42578125" style="2707" customWidth="1"/>
    <col min="5389" max="5389" width="4.140625" style="2707" customWidth="1"/>
    <col min="5390" max="5390" width="3.85546875" style="2707" customWidth="1"/>
    <col min="5391" max="5391" width="14" style="2707" customWidth="1"/>
    <col min="5392" max="5632" width="9.140625" style="2707"/>
    <col min="5633" max="5633" width="4.28515625" style="2707" customWidth="1"/>
    <col min="5634" max="5634" width="14.5703125" style="2707" customWidth="1"/>
    <col min="5635" max="5635" width="4.85546875" style="2707" customWidth="1"/>
    <col min="5636" max="5636" width="36.28515625" style="2707" customWidth="1"/>
    <col min="5637" max="5637" width="15.42578125" style="2707" bestFit="1" customWidth="1"/>
    <col min="5638" max="5638" width="15.42578125" style="2707" customWidth="1"/>
    <col min="5639" max="5639" width="13.5703125" style="2707" customWidth="1"/>
    <col min="5640" max="5640" width="4.5703125" style="2707" customWidth="1"/>
    <col min="5641" max="5641" width="34.5703125" style="2707" customWidth="1"/>
    <col min="5642" max="5642" width="15.28515625" style="2707" customWidth="1"/>
    <col min="5643" max="5643" width="16.5703125" style="2707" customWidth="1"/>
    <col min="5644" max="5644" width="2.42578125" style="2707" customWidth="1"/>
    <col min="5645" max="5645" width="4.140625" style="2707" customWidth="1"/>
    <col min="5646" max="5646" width="3.85546875" style="2707" customWidth="1"/>
    <col min="5647" max="5647" width="14" style="2707" customWidth="1"/>
    <col min="5648" max="5888" width="9.140625" style="2707"/>
    <col min="5889" max="5889" width="4.28515625" style="2707" customWidth="1"/>
    <col min="5890" max="5890" width="14.5703125" style="2707" customWidth="1"/>
    <col min="5891" max="5891" width="4.85546875" style="2707" customWidth="1"/>
    <col min="5892" max="5892" width="36.28515625" style="2707" customWidth="1"/>
    <col min="5893" max="5893" width="15.42578125" style="2707" bestFit="1" customWidth="1"/>
    <col min="5894" max="5894" width="15.42578125" style="2707" customWidth="1"/>
    <col min="5895" max="5895" width="13.5703125" style="2707" customWidth="1"/>
    <col min="5896" max="5896" width="4.5703125" style="2707" customWidth="1"/>
    <col min="5897" max="5897" width="34.5703125" style="2707" customWidth="1"/>
    <col min="5898" max="5898" width="15.28515625" style="2707" customWidth="1"/>
    <col min="5899" max="5899" width="16.5703125" style="2707" customWidth="1"/>
    <col min="5900" max="5900" width="2.42578125" style="2707" customWidth="1"/>
    <col min="5901" max="5901" width="4.140625" style="2707" customWidth="1"/>
    <col min="5902" max="5902" width="3.85546875" style="2707" customWidth="1"/>
    <col min="5903" max="5903" width="14" style="2707" customWidth="1"/>
    <col min="5904" max="6144" width="9.140625" style="2707"/>
    <col min="6145" max="6145" width="4.28515625" style="2707" customWidth="1"/>
    <col min="6146" max="6146" width="14.5703125" style="2707" customWidth="1"/>
    <col min="6147" max="6147" width="4.85546875" style="2707" customWidth="1"/>
    <col min="6148" max="6148" width="36.28515625" style="2707" customWidth="1"/>
    <col min="6149" max="6149" width="15.42578125" style="2707" bestFit="1" customWidth="1"/>
    <col min="6150" max="6150" width="15.42578125" style="2707" customWidth="1"/>
    <col min="6151" max="6151" width="13.5703125" style="2707" customWidth="1"/>
    <col min="6152" max="6152" width="4.5703125" style="2707" customWidth="1"/>
    <col min="6153" max="6153" width="34.5703125" style="2707" customWidth="1"/>
    <col min="6154" max="6154" width="15.28515625" style="2707" customWidth="1"/>
    <col min="6155" max="6155" width="16.5703125" style="2707" customWidth="1"/>
    <col min="6156" max="6156" width="2.42578125" style="2707" customWidth="1"/>
    <col min="6157" max="6157" width="4.140625" style="2707" customWidth="1"/>
    <col min="6158" max="6158" width="3.85546875" style="2707" customWidth="1"/>
    <col min="6159" max="6159" width="14" style="2707" customWidth="1"/>
    <col min="6160" max="6400" width="9.140625" style="2707"/>
    <col min="6401" max="6401" width="4.28515625" style="2707" customWidth="1"/>
    <col min="6402" max="6402" width="14.5703125" style="2707" customWidth="1"/>
    <col min="6403" max="6403" width="4.85546875" style="2707" customWidth="1"/>
    <col min="6404" max="6404" width="36.28515625" style="2707" customWidth="1"/>
    <col min="6405" max="6405" width="15.42578125" style="2707" bestFit="1" customWidth="1"/>
    <col min="6406" max="6406" width="15.42578125" style="2707" customWidth="1"/>
    <col min="6407" max="6407" width="13.5703125" style="2707" customWidth="1"/>
    <col min="6408" max="6408" width="4.5703125" style="2707" customWidth="1"/>
    <col min="6409" max="6409" width="34.5703125" style="2707" customWidth="1"/>
    <col min="6410" max="6410" width="15.28515625" style="2707" customWidth="1"/>
    <col min="6411" max="6411" width="16.5703125" style="2707" customWidth="1"/>
    <col min="6412" max="6412" width="2.42578125" style="2707" customWidth="1"/>
    <col min="6413" max="6413" width="4.140625" style="2707" customWidth="1"/>
    <col min="6414" max="6414" width="3.85546875" style="2707" customWidth="1"/>
    <col min="6415" max="6415" width="14" style="2707" customWidth="1"/>
    <col min="6416" max="6656" width="9.140625" style="2707"/>
    <col min="6657" max="6657" width="4.28515625" style="2707" customWidth="1"/>
    <col min="6658" max="6658" width="14.5703125" style="2707" customWidth="1"/>
    <col min="6659" max="6659" width="4.85546875" style="2707" customWidth="1"/>
    <col min="6660" max="6660" width="36.28515625" style="2707" customWidth="1"/>
    <col min="6661" max="6661" width="15.42578125" style="2707" bestFit="1" customWidth="1"/>
    <col min="6662" max="6662" width="15.42578125" style="2707" customWidth="1"/>
    <col min="6663" max="6663" width="13.5703125" style="2707" customWidth="1"/>
    <col min="6664" max="6664" width="4.5703125" style="2707" customWidth="1"/>
    <col min="6665" max="6665" width="34.5703125" style="2707" customWidth="1"/>
    <col min="6666" max="6666" width="15.28515625" style="2707" customWidth="1"/>
    <col min="6667" max="6667" width="16.5703125" style="2707" customWidth="1"/>
    <col min="6668" max="6668" width="2.42578125" style="2707" customWidth="1"/>
    <col min="6669" max="6669" width="4.140625" style="2707" customWidth="1"/>
    <col min="6670" max="6670" width="3.85546875" style="2707" customWidth="1"/>
    <col min="6671" max="6671" width="14" style="2707" customWidth="1"/>
    <col min="6672" max="6912" width="9.140625" style="2707"/>
    <col min="6913" max="6913" width="4.28515625" style="2707" customWidth="1"/>
    <col min="6914" max="6914" width="14.5703125" style="2707" customWidth="1"/>
    <col min="6915" max="6915" width="4.85546875" style="2707" customWidth="1"/>
    <col min="6916" max="6916" width="36.28515625" style="2707" customWidth="1"/>
    <col min="6917" max="6917" width="15.42578125" style="2707" bestFit="1" customWidth="1"/>
    <col min="6918" max="6918" width="15.42578125" style="2707" customWidth="1"/>
    <col min="6919" max="6919" width="13.5703125" style="2707" customWidth="1"/>
    <col min="6920" max="6920" width="4.5703125" style="2707" customWidth="1"/>
    <col min="6921" max="6921" width="34.5703125" style="2707" customWidth="1"/>
    <col min="6922" max="6922" width="15.28515625" style="2707" customWidth="1"/>
    <col min="6923" max="6923" width="16.5703125" style="2707" customWidth="1"/>
    <col min="6924" max="6924" width="2.42578125" style="2707" customWidth="1"/>
    <col min="6925" max="6925" width="4.140625" style="2707" customWidth="1"/>
    <col min="6926" max="6926" width="3.85546875" style="2707" customWidth="1"/>
    <col min="6927" max="6927" width="14" style="2707" customWidth="1"/>
    <col min="6928" max="7168" width="9.140625" style="2707"/>
    <col min="7169" max="7169" width="4.28515625" style="2707" customWidth="1"/>
    <col min="7170" max="7170" width="14.5703125" style="2707" customWidth="1"/>
    <col min="7171" max="7171" width="4.85546875" style="2707" customWidth="1"/>
    <col min="7172" max="7172" width="36.28515625" style="2707" customWidth="1"/>
    <col min="7173" max="7173" width="15.42578125" style="2707" bestFit="1" customWidth="1"/>
    <col min="7174" max="7174" width="15.42578125" style="2707" customWidth="1"/>
    <col min="7175" max="7175" width="13.5703125" style="2707" customWidth="1"/>
    <col min="7176" max="7176" width="4.5703125" style="2707" customWidth="1"/>
    <col min="7177" max="7177" width="34.5703125" style="2707" customWidth="1"/>
    <col min="7178" max="7178" width="15.28515625" style="2707" customWidth="1"/>
    <col min="7179" max="7179" width="16.5703125" style="2707" customWidth="1"/>
    <col min="7180" max="7180" width="2.42578125" style="2707" customWidth="1"/>
    <col min="7181" max="7181" width="4.140625" style="2707" customWidth="1"/>
    <col min="7182" max="7182" width="3.85546875" style="2707" customWidth="1"/>
    <col min="7183" max="7183" width="14" style="2707" customWidth="1"/>
    <col min="7184" max="7424" width="9.140625" style="2707"/>
    <col min="7425" max="7425" width="4.28515625" style="2707" customWidth="1"/>
    <col min="7426" max="7426" width="14.5703125" style="2707" customWidth="1"/>
    <col min="7427" max="7427" width="4.85546875" style="2707" customWidth="1"/>
    <col min="7428" max="7428" width="36.28515625" style="2707" customWidth="1"/>
    <col min="7429" max="7429" width="15.42578125" style="2707" bestFit="1" customWidth="1"/>
    <col min="7430" max="7430" width="15.42578125" style="2707" customWidth="1"/>
    <col min="7431" max="7431" width="13.5703125" style="2707" customWidth="1"/>
    <col min="7432" max="7432" width="4.5703125" style="2707" customWidth="1"/>
    <col min="7433" max="7433" width="34.5703125" style="2707" customWidth="1"/>
    <col min="7434" max="7434" width="15.28515625" style="2707" customWidth="1"/>
    <col min="7435" max="7435" width="16.5703125" style="2707" customWidth="1"/>
    <col min="7436" max="7436" width="2.42578125" style="2707" customWidth="1"/>
    <col min="7437" max="7437" width="4.140625" style="2707" customWidth="1"/>
    <col min="7438" max="7438" width="3.85546875" style="2707" customWidth="1"/>
    <col min="7439" max="7439" width="14" style="2707" customWidth="1"/>
    <col min="7440" max="7680" width="9.140625" style="2707"/>
    <col min="7681" max="7681" width="4.28515625" style="2707" customWidth="1"/>
    <col min="7682" max="7682" width="14.5703125" style="2707" customWidth="1"/>
    <col min="7683" max="7683" width="4.85546875" style="2707" customWidth="1"/>
    <col min="7684" max="7684" width="36.28515625" style="2707" customWidth="1"/>
    <col min="7685" max="7685" width="15.42578125" style="2707" bestFit="1" customWidth="1"/>
    <col min="7686" max="7686" width="15.42578125" style="2707" customWidth="1"/>
    <col min="7687" max="7687" width="13.5703125" style="2707" customWidth="1"/>
    <col min="7688" max="7688" width="4.5703125" style="2707" customWidth="1"/>
    <col min="7689" max="7689" width="34.5703125" style="2707" customWidth="1"/>
    <col min="7690" max="7690" width="15.28515625" style="2707" customWidth="1"/>
    <col min="7691" max="7691" width="16.5703125" style="2707" customWidth="1"/>
    <col min="7692" max="7692" width="2.42578125" style="2707" customWidth="1"/>
    <col min="7693" max="7693" width="4.140625" style="2707" customWidth="1"/>
    <col min="7694" max="7694" width="3.85546875" style="2707" customWidth="1"/>
    <col min="7695" max="7695" width="14" style="2707" customWidth="1"/>
    <col min="7696" max="7936" width="9.140625" style="2707"/>
    <col min="7937" max="7937" width="4.28515625" style="2707" customWidth="1"/>
    <col min="7938" max="7938" width="14.5703125" style="2707" customWidth="1"/>
    <col min="7939" max="7939" width="4.85546875" style="2707" customWidth="1"/>
    <col min="7940" max="7940" width="36.28515625" style="2707" customWidth="1"/>
    <col min="7941" max="7941" width="15.42578125" style="2707" bestFit="1" customWidth="1"/>
    <col min="7942" max="7942" width="15.42578125" style="2707" customWidth="1"/>
    <col min="7943" max="7943" width="13.5703125" style="2707" customWidth="1"/>
    <col min="7944" max="7944" width="4.5703125" style="2707" customWidth="1"/>
    <col min="7945" max="7945" width="34.5703125" style="2707" customWidth="1"/>
    <col min="7946" max="7946" width="15.28515625" style="2707" customWidth="1"/>
    <col min="7947" max="7947" width="16.5703125" style="2707" customWidth="1"/>
    <col min="7948" max="7948" width="2.42578125" style="2707" customWidth="1"/>
    <col min="7949" max="7949" width="4.140625" style="2707" customWidth="1"/>
    <col min="7950" max="7950" width="3.85546875" style="2707" customWidth="1"/>
    <col min="7951" max="7951" width="14" style="2707" customWidth="1"/>
    <col min="7952" max="8192" width="9.140625" style="2707"/>
    <col min="8193" max="8193" width="4.28515625" style="2707" customWidth="1"/>
    <col min="8194" max="8194" width="14.5703125" style="2707" customWidth="1"/>
    <col min="8195" max="8195" width="4.85546875" style="2707" customWidth="1"/>
    <col min="8196" max="8196" width="36.28515625" style="2707" customWidth="1"/>
    <col min="8197" max="8197" width="15.42578125" style="2707" bestFit="1" customWidth="1"/>
    <col min="8198" max="8198" width="15.42578125" style="2707" customWidth="1"/>
    <col min="8199" max="8199" width="13.5703125" style="2707" customWidth="1"/>
    <col min="8200" max="8200" width="4.5703125" style="2707" customWidth="1"/>
    <col min="8201" max="8201" width="34.5703125" style="2707" customWidth="1"/>
    <col min="8202" max="8202" width="15.28515625" style="2707" customWidth="1"/>
    <col min="8203" max="8203" width="16.5703125" style="2707" customWidth="1"/>
    <col min="8204" max="8204" width="2.42578125" style="2707" customWidth="1"/>
    <col min="8205" max="8205" width="4.140625" style="2707" customWidth="1"/>
    <col min="8206" max="8206" width="3.85546875" style="2707" customWidth="1"/>
    <col min="8207" max="8207" width="14" style="2707" customWidth="1"/>
    <col min="8208" max="8448" width="9.140625" style="2707"/>
    <col min="8449" max="8449" width="4.28515625" style="2707" customWidth="1"/>
    <col min="8450" max="8450" width="14.5703125" style="2707" customWidth="1"/>
    <col min="8451" max="8451" width="4.85546875" style="2707" customWidth="1"/>
    <col min="8452" max="8452" width="36.28515625" style="2707" customWidth="1"/>
    <col min="8453" max="8453" width="15.42578125" style="2707" bestFit="1" customWidth="1"/>
    <col min="8454" max="8454" width="15.42578125" style="2707" customWidth="1"/>
    <col min="8455" max="8455" width="13.5703125" style="2707" customWidth="1"/>
    <col min="8456" max="8456" width="4.5703125" style="2707" customWidth="1"/>
    <col min="8457" max="8457" width="34.5703125" style="2707" customWidth="1"/>
    <col min="8458" max="8458" width="15.28515625" style="2707" customWidth="1"/>
    <col min="8459" max="8459" width="16.5703125" style="2707" customWidth="1"/>
    <col min="8460" max="8460" width="2.42578125" style="2707" customWidth="1"/>
    <col min="8461" max="8461" width="4.140625" style="2707" customWidth="1"/>
    <col min="8462" max="8462" width="3.85546875" style="2707" customWidth="1"/>
    <col min="8463" max="8463" width="14" style="2707" customWidth="1"/>
    <col min="8464" max="8704" width="9.140625" style="2707"/>
    <col min="8705" max="8705" width="4.28515625" style="2707" customWidth="1"/>
    <col min="8706" max="8706" width="14.5703125" style="2707" customWidth="1"/>
    <col min="8707" max="8707" width="4.85546875" style="2707" customWidth="1"/>
    <col min="8708" max="8708" width="36.28515625" style="2707" customWidth="1"/>
    <col min="8709" max="8709" width="15.42578125" style="2707" bestFit="1" customWidth="1"/>
    <col min="8710" max="8710" width="15.42578125" style="2707" customWidth="1"/>
    <col min="8711" max="8711" width="13.5703125" style="2707" customWidth="1"/>
    <col min="8712" max="8712" width="4.5703125" style="2707" customWidth="1"/>
    <col min="8713" max="8713" width="34.5703125" style="2707" customWidth="1"/>
    <col min="8714" max="8714" width="15.28515625" style="2707" customWidth="1"/>
    <col min="8715" max="8715" width="16.5703125" style="2707" customWidth="1"/>
    <col min="8716" max="8716" width="2.42578125" style="2707" customWidth="1"/>
    <col min="8717" max="8717" width="4.140625" style="2707" customWidth="1"/>
    <col min="8718" max="8718" width="3.85546875" style="2707" customWidth="1"/>
    <col min="8719" max="8719" width="14" style="2707" customWidth="1"/>
    <col min="8720" max="8960" width="9.140625" style="2707"/>
    <col min="8961" max="8961" width="4.28515625" style="2707" customWidth="1"/>
    <col min="8962" max="8962" width="14.5703125" style="2707" customWidth="1"/>
    <col min="8963" max="8963" width="4.85546875" style="2707" customWidth="1"/>
    <col min="8964" max="8964" width="36.28515625" style="2707" customWidth="1"/>
    <col min="8965" max="8965" width="15.42578125" style="2707" bestFit="1" customWidth="1"/>
    <col min="8966" max="8966" width="15.42578125" style="2707" customWidth="1"/>
    <col min="8967" max="8967" width="13.5703125" style="2707" customWidth="1"/>
    <col min="8968" max="8968" width="4.5703125" style="2707" customWidth="1"/>
    <col min="8969" max="8969" width="34.5703125" style="2707" customWidth="1"/>
    <col min="8970" max="8970" width="15.28515625" style="2707" customWidth="1"/>
    <col min="8971" max="8971" width="16.5703125" style="2707" customWidth="1"/>
    <col min="8972" max="8972" width="2.42578125" style="2707" customWidth="1"/>
    <col min="8973" max="8973" width="4.140625" style="2707" customWidth="1"/>
    <col min="8974" max="8974" width="3.85546875" style="2707" customWidth="1"/>
    <col min="8975" max="8975" width="14" style="2707" customWidth="1"/>
    <col min="8976" max="9216" width="9.140625" style="2707"/>
    <col min="9217" max="9217" width="4.28515625" style="2707" customWidth="1"/>
    <col min="9218" max="9218" width="14.5703125" style="2707" customWidth="1"/>
    <col min="9219" max="9219" width="4.85546875" style="2707" customWidth="1"/>
    <col min="9220" max="9220" width="36.28515625" style="2707" customWidth="1"/>
    <col min="9221" max="9221" width="15.42578125" style="2707" bestFit="1" customWidth="1"/>
    <col min="9222" max="9222" width="15.42578125" style="2707" customWidth="1"/>
    <col min="9223" max="9223" width="13.5703125" style="2707" customWidth="1"/>
    <col min="9224" max="9224" width="4.5703125" style="2707" customWidth="1"/>
    <col min="9225" max="9225" width="34.5703125" style="2707" customWidth="1"/>
    <col min="9226" max="9226" width="15.28515625" style="2707" customWidth="1"/>
    <col min="9227" max="9227" width="16.5703125" style="2707" customWidth="1"/>
    <col min="9228" max="9228" width="2.42578125" style="2707" customWidth="1"/>
    <col min="9229" max="9229" width="4.140625" style="2707" customWidth="1"/>
    <col min="9230" max="9230" width="3.85546875" style="2707" customWidth="1"/>
    <col min="9231" max="9231" width="14" style="2707" customWidth="1"/>
    <col min="9232" max="9472" width="9.140625" style="2707"/>
    <col min="9473" max="9473" width="4.28515625" style="2707" customWidth="1"/>
    <col min="9474" max="9474" width="14.5703125" style="2707" customWidth="1"/>
    <col min="9475" max="9475" width="4.85546875" style="2707" customWidth="1"/>
    <col min="9476" max="9476" width="36.28515625" style="2707" customWidth="1"/>
    <col min="9477" max="9477" width="15.42578125" style="2707" bestFit="1" customWidth="1"/>
    <col min="9478" max="9478" width="15.42578125" style="2707" customWidth="1"/>
    <col min="9479" max="9479" width="13.5703125" style="2707" customWidth="1"/>
    <col min="9480" max="9480" width="4.5703125" style="2707" customWidth="1"/>
    <col min="9481" max="9481" width="34.5703125" style="2707" customWidth="1"/>
    <col min="9482" max="9482" width="15.28515625" style="2707" customWidth="1"/>
    <col min="9483" max="9483" width="16.5703125" style="2707" customWidth="1"/>
    <col min="9484" max="9484" width="2.42578125" style="2707" customWidth="1"/>
    <col min="9485" max="9485" width="4.140625" style="2707" customWidth="1"/>
    <col min="9486" max="9486" width="3.85546875" style="2707" customWidth="1"/>
    <col min="9487" max="9487" width="14" style="2707" customWidth="1"/>
    <col min="9488" max="9728" width="9.140625" style="2707"/>
    <col min="9729" max="9729" width="4.28515625" style="2707" customWidth="1"/>
    <col min="9730" max="9730" width="14.5703125" style="2707" customWidth="1"/>
    <col min="9731" max="9731" width="4.85546875" style="2707" customWidth="1"/>
    <col min="9732" max="9732" width="36.28515625" style="2707" customWidth="1"/>
    <col min="9733" max="9733" width="15.42578125" style="2707" bestFit="1" customWidth="1"/>
    <col min="9734" max="9734" width="15.42578125" style="2707" customWidth="1"/>
    <col min="9735" max="9735" width="13.5703125" style="2707" customWidth="1"/>
    <col min="9736" max="9736" width="4.5703125" style="2707" customWidth="1"/>
    <col min="9737" max="9737" width="34.5703125" style="2707" customWidth="1"/>
    <col min="9738" max="9738" width="15.28515625" style="2707" customWidth="1"/>
    <col min="9739" max="9739" width="16.5703125" style="2707" customWidth="1"/>
    <col min="9740" max="9740" width="2.42578125" style="2707" customWidth="1"/>
    <col min="9741" max="9741" width="4.140625" style="2707" customWidth="1"/>
    <col min="9742" max="9742" width="3.85546875" style="2707" customWidth="1"/>
    <col min="9743" max="9743" width="14" style="2707" customWidth="1"/>
    <col min="9744" max="9984" width="9.140625" style="2707"/>
    <col min="9985" max="9985" width="4.28515625" style="2707" customWidth="1"/>
    <col min="9986" max="9986" width="14.5703125" style="2707" customWidth="1"/>
    <col min="9987" max="9987" width="4.85546875" style="2707" customWidth="1"/>
    <col min="9988" max="9988" width="36.28515625" style="2707" customWidth="1"/>
    <col min="9989" max="9989" width="15.42578125" style="2707" bestFit="1" customWidth="1"/>
    <col min="9990" max="9990" width="15.42578125" style="2707" customWidth="1"/>
    <col min="9991" max="9991" width="13.5703125" style="2707" customWidth="1"/>
    <col min="9992" max="9992" width="4.5703125" style="2707" customWidth="1"/>
    <col min="9993" max="9993" width="34.5703125" style="2707" customWidth="1"/>
    <col min="9994" max="9994" width="15.28515625" style="2707" customWidth="1"/>
    <col min="9995" max="9995" width="16.5703125" style="2707" customWidth="1"/>
    <col min="9996" max="9996" width="2.42578125" style="2707" customWidth="1"/>
    <col min="9997" max="9997" width="4.140625" style="2707" customWidth="1"/>
    <col min="9998" max="9998" width="3.85546875" style="2707" customWidth="1"/>
    <col min="9999" max="9999" width="14" style="2707" customWidth="1"/>
    <col min="10000" max="10240" width="9.140625" style="2707"/>
    <col min="10241" max="10241" width="4.28515625" style="2707" customWidth="1"/>
    <col min="10242" max="10242" width="14.5703125" style="2707" customWidth="1"/>
    <col min="10243" max="10243" width="4.85546875" style="2707" customWidth="1"/>
    <col min="10244" max="10244" width="36.28515625" style="2707" customWidth="1"/>
    <col min="10245" max="10245" width="15.42578125" style="2707" bestFit="1" customWidth="1"/>
    <col min="10246" max="10246" width="15.42578125" style="2707" customWidth="1"/>
    <col min="10247" max="10247" width="13.5703125" style="2707" customWidth="1"/>
    <col min="10248" max="10248" width="4.5703125" style="2707" customWidth="1"/>
    <col min="10249" max="10249" width="34.5703125" style="2707" customWidth="1"/>
    <col min="10250" max="10250" width="15.28515625" style="2707" customWidth="1"/>
    <col min="10251" max="10251" width="16.5703125" style="2707" customWidth="1"/>
    <col min="10252" max="10252" width="2.42578125" style="2707" customWidth="1"/>
    <col min="10253" max="10253" width="4.140625" style="2707" customWidth="1"/>
    <col min="10254" max="10254" width="3.85546875" style="2707" customWidth="1"/>
    <col min="10255" max="10255" width="14" style="2707" customWidth="1"/>
    <col min="10256" max="10496" width="9.140625" style="2707"/>
    <col min="10497" max="10497" width="4.28515625" style="2707" customWidth="1"/>
    <col min="10498" max="10498" width="14.5703125" style="2707" customWidth="1"/>
    <col min="10499" max="10499" width="4.85546875" style="2707" customWidth="1"/>
    <col min="10500" max="10500" width="36.28515625" style="2707" customWidth="1"/>
    <col min="10501" max="10501" width="15.42578125" style="2707" bestFit="1" customWidth="1"/>
    <col min="10502" max="10502" width="15.42578125" style="2707" customWidth="1"/>
    <col min="10503" max="10503" width="13.5703125" style="2707" customWidth="1"/>
    <col min="10504" max="10504" width="4.5703125" style="2707" customWidth="1"/>
    <col min="10505" max="10505" width="34.5703125" style="2707" customWidth="1"/>
    <col min="10506" max="10506" width="15.28515625" style="2707" customWidth="1"/>
    <col min="10507" max="10507" width="16.5703125" style="2707" customWidth="1"/>
    <col min="10508" max="10508" width="2.42578125" style="2707" customWidth="1"/>
    <col min="10509" max="10509" width="4.140625" style="2707" customWidth="1"/>
    <col min="10510" max="10510" width="3.85546875" style="2707" customWidth="1"/>
    <col min="10511" max="10511" width="14" style="2707" customWidth="1"/>
    <col min="10512" max="10752" width="9.140625" style="2707"/>
    <col min="10753" max="10753" width="4.28515625" style="2707" customWidth="1"/>
    <col min="10754" max="10754" width="14.5703125" style="2707" customWidth="1"/>
    <col min="10755" max="10755" width="4.85546875" style="2707" customWidth="1"/>
    <col min="10756" max="10756" width="36.28515625" style="2707" customWidth="1"/>
    <col min="10757" max="10757" width="15.42578125" style="2707" bestFit="1" customWidth="1"/>
    <col min="10758" max="10758" width="15.42578125" style="2707" customWidth="1"/>
    <col min="10759" max="10759" width="13.5703125" style="2707" customWidth="1"/>
    <col min="10760" max="10760" width="4.5703125" style="2707" customWidth="1"/>
    <col min="10761" max="10761" width="34.5703125" style="2707" customWidth="1"/>
    <col min="10762" max="10762" width="15.28515625" style="2707" customWidth="1"/>
    <col min="10763" max="10763" width="16.5703125" style="2707" customWidth="1"/>
    <col min="10764" max="10764" width="2.42578125" style="2707" customWidth="1"/>
    <col min="10765" max="10765" width="4.140625" style="2707" customWidth="1"/>
    <col min="10766" max="10766" width="3.85546875" style="2707" customWidth="1"/>
    <col min="10767" max="10767" width="14" style="2707" customWidth="1"/>
    <col min="10768" max="11008" width="9.140625" style="2707"/>
    <col min="11009" max="11009" width="4.28515625" style="2707" customWidth="1"/>
    <col min="11010" max="11010" width="14.5703125" style="2707" customWidth="1"/>
    <col min="11011" max="11011" width="4.85546875" style="2707" customWidth="1"/>
    <col min="11012" max="11012" width="36.28515625" style="2707" customWidth="1"/>
    <col min="11013" max="11013" width="15.42578125" style="2707" bestFit="1" customWidth="1"/>
    <col min="11014" max="11014" width="15.42578125" style="2707" customWidth="1"/>
    <col min="11015" max="11015" width="13.5703125" style="2707" customWidth="1"/>
    <col min="11016" max="11016" width="4.5703125" style="2707" customWidth="1"/>
    <col min="11017" max="11017" width="34.5703125" style="2707" customWidth="1"/>
    <col min="11018" max="11018" width="15.28515625" style="2707" customWidth="1"/>
    <col min="11019" max="11019" width="16.5703125" style="2707" customWidth="1"/>
    <col min="11020" max="11020" width="2.42578125" style="2707" customWidth="1"/>
    <col min="11021" max="11021" width="4.140625" style="2707" customWidth="1"/>
    <col min="11022" max="11022" width="3.85546875" style="2707" customWidth="1"/>
    <col min="11023" max="11023" width="14" style="2707" customWidth="1"/>
    <col min="11024" max="11264" width="9.140625" style="2707"/>
    <col min="11265" max="11265" width="4.28515625" style="2707" customWidth="1"/>
    <col min="11266" max="11266" width="14.5703125" style="2707" customWidth="1"/>
    <col min="11267" max="11267" width="4.85546875" style="2707" customWidth="1"/>
    <col min="11268" max="11268" width="36.28515625" style="2707" customWidth="1"/>
    <col min="11269" max="11269" width="15.42578125" style="2707" bestFit="1" customWidth="1"/>
    <col min="11270" max="11270" width="15.42578125" style="2707" customWidth="1"/>
    <col min="11271" max="11271" width="13.5703125" style="2707" customWidth="1"/>
    <col min="11272" max="11272" width="4.5703125" style="2707" customWidth="1"/>
    <col min="11273" max="11273" width="34.5703125" style="2707" customWidth="1"/>
    <col min="11274" max="11274" width="15.28515625" style="2707" customWidth="1"/>
    <col min="11275" max="11275" width="16.5703125" style="2707" customWidth="1"/>
    <col min="11276" max="11276" width="2.42578125" style="2707" customWidth="1"/>
    <col min="11277" max="11277" width="4.140625" style="2707" customWidth="1"/>
    <col min="11278" max="11278" width="3.85546875" style="2707" customWidth="1"/>
    <col min="11279" max="11279" width="14" style="2707" customWidth="1"/>
    <col min="11280" max="11520" width="9.140625" style="2707"/>
    <col min="11521" max="11521" width="4.28515625" style="2707" customWidth="1"/>
    <col min="11522" max="11522" width="14.5703125" style="2707" customWidth="1"/>
    <col min="11523" max="11523" width="4.85546875" style="2707" customWidth="1"/>
    <col min="11524" max="11524" width="36.28515625" style="2707" customWidth="1"/>
    <col min="11525" max="11525" width="15.42578125" style="2707" bestFit="1" customWidth="1"/>
    <col min="11526" max="11526" width="15.42578125" style="2707" customWidth="1"/>
    <col min="11527" max="11527" width="13.5703125" style="2707" customWidth="1"/>
    <col min="11528" max="11528" width="4.5703125" style="2707" customWidth="1"/>
    <col min="11529" max="11529" width="34.5703125" style="2707" customWidth="1"/>
    <col min="11530" max="11530" width="15.28515625" style="2707" customWidth="1"/>
    <col min="11531" max="11531" width="16.5703125" style="2707" customWidth="1"/>
    <col min="11532" max="11532" width="2.42578125" style="2707" customWidth="1"/>
    <col min="11533" max="11533" width="4.140625" style="2707" customWidth="1"/>
    <col min="11534" max="11534" width="3.85546875" style="2707" customWidth="1"/>
    <col min="11535" max="11535" width="14" style="2707" customWidth="1"/>
    <col min="11536" max="11776" width="9.140625" style="2707"/>
    <col min="11777" max="11777" width="4.28515625" style="2707" customWidth="1"/>
    <col min="11778" max="11778" width="14.5703125" style="2707" customWidth="1"/>
    <col min="11779" max="11779" width="4.85546875" style="2707" customWidth="1"/>
    <col min="11780" max="11780" width="36.28515625" style="2707" customWidth="1"/>
    <col min="11781" max="11781" width="15.42578125" style="2707" bestFit="1" customWidth="1"/>
    <col min="11782" max="11782" width="15.42578125" style="2707" customWidth="1"/>
    <col min="11783" max="11783" width="13.5703125" style="2707" customWidth="1"/>
    <col min="11784" max="11784" width="4.5703125" style="2707" customWidth="1"/>
    <col min="11785" max="11785" width="34.5703125" style="2707" customWidth="1"/>
    <col min="11786" max="11786" width="15.28515625" style="2707" customWidth="1"/>
    <col min="11787" max="11787" width="16.5703125" style="2707" customWidth="1"/>
    <col min="11788" max="11788" width="2.42578125" style="2707" customWidth="1"/>
    <col min="11789" max="11789" width="4.140625" style="2707" customWidth="1"/>
    <col min="11790" max="11790" width="3.85546875" style="2707" customWidth="1"/>
    <col min="11791" max="11791" width="14" style="2707" customWidth="1"/>
    <col min="11792" max="12032" width="9.140625" style="2707"/>
    <col min="12033" max="12033" width="4.28515625" style="2707" customWidth="1"/>
    <col min="12034" max="12034" width="14.5703125" style="2707" customWidth="1"/>
    <col min="12035" max="12035" width="4.85546875" style="2707" customWidth="1"/>
    <col min="12036" max="12036" width="36.28515625" style="2707" customWidth="1"/>
    <col min="12037" max="12037" width="15.42578125" style="2707" bestFit="1" customWidth="1"/>
    <col min="12038" max="12038" width="15.42578125" style="2707" customWidth="1"/>
    <col min="12039" max="12039" width="13.5703125" style="2707" customWidth="1"/>
    <col min="12040" max="12040" width="4.5703125" style="2707" customWidth="1"/>
    <col min="12041" max="12041" width="34.5703125" style="2707" customWidth="1"/>
    <col min="12042" max="12042" width="15.28515625" style="2707" customWidth="1"/>
    <col min="12043" max="12043" width="16.5703125" style="2707" customWidth="1"/>
    <col min="12044" max="12044" width="2.42578125" style="2707" customWidth="1"/>
    <col min="12045" max="12045" width="4.140625" style="2707" customWidth="1"/>
    <col min="12046" max="12046" width="3.85546875" style="2707" customWidth="1"/>
    <col min="12047" max="12047" width="14" style="2707" customWidth="1"/>
    <col min="12048" max="12288" width="9.140625" style="2707"/>
    <col min="12289" max="12289" width="4.28515625" style="2707" customWidth="1"/>
    <col min="12290" max="12290" width="14.5703125" style="2707" customWidth="1"/>
    <col min="12291" max="12291" width="4.85546875" style="2707" customWidth="1"/>
    <col min="12292" max="12292" width="36.28515625" style="2707" customWidth="1"/>
    <col min="12293" max="12293" width="15.42578125" style="2707" bestFit="1" customWidth="1"/>
    <col min="12294" max="12294" width="15.42578125" style="2707" customWidth="1"/>
    <col min="12295" max="12295" width="13.5703125" style="2707" customWidth="1"/>
    <col min="12296" max="12296" width="4.5703125" style="2707" customWidth="1"/>
    <col min="12297" max="12297" width="34.5703125" style="2707" customWidth="1"/>
    <col min="12298" max="12298" width="15.28515625" style="2707" customWidth="1"/>
    <col min="12299" max="12299" width="16.5703125" style="2707" customWidth="1"/>
    <col min="12300" max="12300" width="2.42578125" style="2707" customWidth="1"/>
    <col min="12301" max="12301" width="4.140625" style="2707" customWidth="1"/>
    <col min="12302" max="12302" width="3.85546875" style="2707" customWidth="1"/>
    <col min="12303" max="12303" width="14" style="2707" customWidth="1"/>
    <col min="12304" max="12544" width="9.140625" style="2707"/>
    <col min="12545" max="12545" width="4.28515625" style="2707" customWidth="1"/>
    <col min="12546" max="12546" width="14.5703125" style="2707" customWidth="1"/>
    <col min="12547" max="12547" width="4.85546875" style="2707" customWidth="1"/>
    <col min="12548" max="12548" width="36.28515625" style="2707" customWidth="1"/>
    <col min="12549" max="12549" width="15.42578125" style="2707" bestFit="1" customWidth="1"/>
    <col min="12550" max="12550" width="15.42578125" style="2707" customWidth="1"/>
    <col min="12551" max="12551" width="13.5703125" style="2707" customWidth="1"/>
    <col min="12552" max="12552" width="4.5703125" style="2707" customWidth="1"/>
    <col min="12553" max="12553" width="34.5703125" style="2707" customWidth="1"/>
    <col min="12554" max="12554" width="15.28515625" style="2707" customWidth="1"/>
    <col min="12555" max="12555" width="16.5703125" style="2707" customWidth="1"/>
    <col min="12556" max="12556" width="2.42578125" style="2707" customWidth="1"/>
    <col min="12557" max="12557" width="4.140625" style="2707" customWidth="1"/>
    <col min="12558" max="12558" width="3.85546875" style="2707" customWidth="1"/>
    <col min="12559" max="12559" width="14" style="2707" customWidth="1"/>
    <col min="12560" max="12800" width="9.140625" style="2707"/>
    <col min="12801" max="12801" width="4.28515625" style="2707" customWidth="1"/>
    <col min="12802" max="12802" width="14.5703125" style="2707" customWidth="1"/>
    <col min="12803" max="12803" width="4.85546875" style="2707" customWidth="1"/>
    <col min="12804" max="12804" width="36.28515625" style="2707" customWidth="1"/>
    <col min="12805" max="12805" width="15.42578125" style="2707" bestFit="1" customWidth="1"/>
    <col min="12806" max="12806" width="15.42578125" style="2707" customWidth="1"/>
    <col min="12807" max="12807" width="13.5703125" style="2707" customWidth="1"/>
    <col min="12808" max="12808" width="4.5703125" style="2707" customWidth="1"/>
    <col min="12809" max="12809" width="34.5703125" style="2707" customWidth="1"/>
    <col min="12810" max="12810" width="15.28515625" style="2707" customWidth="1"/>
    <col min="12811" max="12811" width="16.5703125" style="2707" customWidth="1"/>
    <col min="12812" max="12812" width="2.42578125" style="2707" customWidth="1"/>
    <col min="12813" max="12813" width="4.140625" style="2707" customWidth="1"/>
    <col min="12814" max="12814" width="3.85546875" style="2707" customWidth="1"/>
    <col min="12815" max="12815" width="14" style="2707" customWidth="1"/>
    <col min="12816" max="13056" width="9.140625" style="2707"/>
    <col min="13057" max="13057" width="4.28515625" style="2707" customWidth="1"/>
    <col min="13058" max="13058" width="14.5703125" style="2707" customWidth="1"/>
    <col min="13059" max="13059" width="4.85546875" style="2707" customWidth="1"/>
    <col min="13060" max="13060" width="36.28515625" style="2707" customWidth="1"/>
    <col min="13061" max="13061" width="15.42578125" style="2707" bestFit="1" customWidth="1"/>
    <col min="13062" max="13062" width="15.42578125" style="2707" customWidth="1"/>
    <col min="13063" max="13063" width="13.5703125" style="2707" customWidth="1"/>
    <col min="13064" max="13064" width="4.5703125" style="2707" customWidth="1"/>
    <col min="13065" max="13065" width="34.5703125" style="2707" customWidth="1"/>
    <col min="13066" max="13066" width="15.28515625" style="2707" customWidth="1"/>
    <col min="13067" max="13067" width="16.5703125" style="2707" customWidth="1"/>
    <col min="13068" max="13068" width="2.42578125" style="2707" customWidth="1"/>
    <col min="13069" max="13069" width="4.140625" style="2707" customWidth="1"/>
    <col min="13070" max="13070" width="3.85546875" style="2707" customWidth="1"/>
    <col min="13071" max="13071" width="14" style="2707" customWidth="1"/>
    <col min="13072" max="13312" width="9.140625" style="2707"/>
    <col min="13313" max="13313" width="4.28515625" style="2707" customWidth="1"/>
    <col min="13314" max="13314" width="14.5703125" style="2707" customWidth="1"/>
    <col min="13315" max="13315" width="4.85546875" style="2707" customWidth="1"/>
    <col min="13316" max="13316" width="36.28515625" style="2707" customWidth="1"/>
    <col min="13317" max="13317" width="15.42578125" style="2707" bestFit="1" customWidth="1"/>
    <col min="13318" max="13318" width="15.42578125" style="2707" customWidth="1"/>
    <col min="13319" max="13319" width="13.5703125" style="2707" customWidth="1"/>
    <col min="13320" max="13320" width="4.5703125" style="2707" customWidth="1"/>
    <col min="13321" max="13321" width="34.5703125" style="2707" customWidth="1"/>
    <col min="13322" max="13322" width="15.28515625" style="2707" customWidth="1"/>
    <col min="13323" max="13323" width="16.5703125" style="2707" customWidth="1"/>
    <col min="13324" max="13324" width="2.42578125" style="2707" customWidth="1"/>
    <col min="13325" max="13325" width="4.140625" style="2707" customWidth="1"/>
    <col min="13326" max="13326" width="3.85546875" style="2707" customWidth="1"/>
    <col min="13327" max="13327" width="14" style="2707" customWidth="1"/>
    <col min="13328" max="13568" width="9.140625" style="2707"/>
    <col min="13569" max="13569" width="4.28515625" style="2707" customWidth="1"/>
    <col min="13570" max="13570" width="14.5703125" style="2707" customWidth="1"/>
    <col min="13571" max="13571" width="4.85546875" style="2707" customWidth="1"/>
    <col min="13572" max="13572" width="36.28515625" style="2707" customWidth="1"/>
    <col min="13573" max="13573" width="15.42578125" style="2707" bestFit="1" customWidth="1"/>
    <col min="13574" max="13574" width="15.42578125" style="2707" customWidth="1"/>
    <col min="13575" max="13575" width="13.5703125" style="2707" customWidth="1"/>
    <col min="13576" max="13576" width="4.5703125" style="2707" customWidth="1"/>
    <col min="13577" max="13577" width="34.5703125" style="2707" customWidth="1"/>
    <col min="13578" max="13578" width="15.28515625" style="2707" customWidth="1"/>
    <col min="13579" max="13579" width="16.5703125" style="2707" customWidth="1"/>
    <col min="13580" max="13580" width="2.42578125" style="2707" customWidth="1"/>
    <col min="13581" max="13581" width="4.140625" style="2707" customWidth="1"/>
    <col min="13582" max="13582" width="3.85546875" style="2707" customWidth="1"/>
    <col min="13583" max="13583" width="14" style="2707" customWidth="1"/>
    <col min="13584" max="13824" width="9.140625" style="2707"/>
    <col min="13825" max="13825" width="4.28515625" style="2707" customWidth="1"/>
    <col min="13826" max="13826" width="14.5703125" style="2707" customWidth="1"/>
    <col min="13827" max="13827" width="4.85546875" style="2707" customWidth="1"/>
    <col min="13828" max="13828" width="36.28515625" style="2707" customWidth="1"/>
    <col min="13829" max="13829" width="15.42578125" style="2707" bestFit="1" customWidth="1"/>
    <col min="13830" max="13830" width="15.42578125" style="2707" customWidth="1"/>
    <col min="13831" max="13831" width="13.5703125" style="2707" customWidth="1"/>
    <col min="13832" max="13832" width="4.5703125" style="2707" customWidth="1"/>
    <col min="13833" max="13833" width="34.5703125" style="2707" customWidth="1"/>
    <col min="13834" max="13834" width="15.28515625" style="2707" customWidth="1"/>
    <col min="13835" max="13835" width="16.5703125" style="2707" customWidth="1"/>
    <col min="13836" max="13836" width="2.42578125" style="2707" customWidth="1"/>
    <col min="13837" max="13837" width="4.140625" style="2707" customWidth="1"/>
    <col min="13838" max="13838" width="3.85546875" style="2707" customWidth="1"/>
    <col min="13839" max="13839" width="14" style="2707" customWidth="1"/>
    <col min="13840" max="14080" width="9.140625" style="2707"/>
    <col min="14081" max="14081" width="4.28515625" style="2707" customWidth="1"/>
    <col min="14082" max="14082" width="14.5703125" style="2707" customWidth="1"/>
    <col min="14083" max="14083" width="4.85546875" style="2707" customWidth="1"/>
    <col min="14084" max="14084" width="36.28515625" style="2707" customWidth="1"/>
    <col min="14085" max="14085" width="15.42578125" style="2707" bestFit="1" customWidth="1"/>
    <col min="14086" max="14086" width="15.42578125" style="2707" customWidth="1"/>
    <col min="14087" max="14087" width="13.5703125" style="2707" customWidth="1"/>
    <col min="14088" max="14088" width="4.5703125" style="2707" customWidth="1"/>
    <col min="14089" max="14089" width="34.5703125" style="2707" customWidth="1"/>
    <col min="14090" max="14090" width="15.28515625" style="2707" customWidth="1"/>
    <col min="14091" max="14091" width="16.5703125" style="2707" customWidth="1"/>
    <col min="14092" max="14092" width="2.42578125" style="2707" customWidth="1"/>
    <col min="14093" max="14093" width="4.140625" style="2707" customWidth="1"/>
    <col min="14094" max="14094" width="3.85546875" style="2707" customWidth="1"/>
    <col min="14095" max="14095" width="14" style="2707" customWidth="1"/>
    <col min="14096" max="14336" width="9.140625" style="2707"/>
    <col min="14337" max="14337" width="4.28515625" style="2707" customWidth="1"/>
    <col min="14338" max="14338" width="14.5703125" style="2707" customWidth="1"/>
    <col min="14339" max="14339" width="4.85546875" style="2707" customWidth="1"/>
    <col min="14340" max="14340" width="36.28515625" style="2707" customWidth="1"/>
    <col min="14341" max="14341" width="15.42578125" style="2707" bestFit="1" customWidth="1"/>
    <col min="14342" max="14342" width="15.42578125" style="2707" customWidth="1"/>
    <col min="14343" max="14343" width="13.5703125" style="2707" customWidth="1"/>
    <col min="14344" max="14344" width="4.5703125" style="2707" customWidth="1"/>
    <col min="14345" max="14345" width="34.5703125" style="2707" customWidth="1"/>
    <col min="14346" max="14346" width="15.28515625" style="2707" customWidth="1"/>
    <col min="14347" max="14347" width="16.5703125" style="2707" customWidth="1"/>
    <col min="14348" max="14348" width="2.42578125" style="2707" customWidth="1"/>
    <col min="14349" max="14349" width="4.140625" style="2707" customWidth="1"/>
    <col min="14350" max="14350" width="3.85546875" style="2707" customWidth="1"/>
    <col min="14351" max="14351" width="14" style="2707" customWidth="1"/>
    <col min="14352" max="14592" width="9.140625" style="2707"/>
    <col min="14593" max="14593" width="4.28515625" style="2707" customWidth="1"/>
    <col min="14594" max="14594" width="14.5703125" style="2707" customWidth="1"/>
    <col min="14595" max="14595" width="4.85546875" style="2707" customWidth="1"/>
    <col min="14596" max="14596" width="36.28515625" style="2707" customWidth="1"/>
    <col min="14597" max="14597" width="15.42578125" style="2707" bestFit="1" customWidth="1"/>
    <col min="14598" max="14598" width="15.42578125" style="2707" customWidth="1"/>
    <col min="14599" max="14599" width="13.5703125" style="2707" customWidth="1"/>
    <col min="14600" max="14600" width="4.5703125" style="2707" customWidth="1"/>
    <col min="14601" max="14601" width="34.5703125" style="2707" customWidth="1"/>
    <col min="14602" max="14602" width="15.28515625" style="2707" customWidth="1"/>
    <col min="14603" max="14603" width="16.5703125" style="2707" customWidth="1"/>
    <col min="14604" max="14604" width="2.42578125" style="2707" customWidth="1"/>
    <col min="14605" max="14605" width="4.140625" style="2707" customWidth="1"/>
    <col min="14606" max="14606" width="3.85546875" style="2707" customWidth="1"/>
    <col min="14607" max="14607" width="14" style="2707" customWidth="1"/>
    <col min="14608" max="14848" width="9.140625" style="2707"/>
    <col min="14849" max="14849" width="4.28515625" style="2707" customWidth="1"/>
    <col min="14850" max="14850" width="14.5703125" style="2707" customWidth="1"/>
    <col min="14851" max="14851" width="4.85546875" style="2707" customWidth="1"/>
    <col min="14852" max="14852" width="36.28515625" style="2707" customWidth="1"/>
    <col min="14853" max="14853" width="15.42578125" style="2707" bestFit="1" customWidth="1"/>
    <col min="14854" max="14854" width="15.42578125" style="2707" customWidth="1"/>
    <col min="14855" max="14855" width="13.5703125" style="2707" customWidth="1"/>
    <col min="14856" max="14856" width="4.5703125" style="2707" customWidth="1"/>
    <col min="14857" max="14857" width="34.5703125" style="2707" customWidth="1"/>
    <col min="14858" max="14858" width="15.28515625" style="2707" customWidth="1"/>
    <col min="14859" max="14859" width="16.5703125" style="2707" customWidth="1"/>
    <col min="14860" max="14860" width="2.42578125" style="2707" customWidth="1"/>
    <col min="14861" max="14861" width="4.140625" style="2707" customWidth="1"/>
    <col min="14862" max="14862" width="3.85546875" style="2707" customWidth="1"/>
    <col min="14863" max="14863" width="14" style="2707" customWidth="1"/>
    <col min="14864" max="15104" width="9.140625" style="2707"/>
    <col min="15105" max="15105" width="4.28515625" style="2707" customWidth="1"/>
    <col min="15106" max="15106" width="14.5703125" style="2707" customWidth="1"/>
    <col min="15107" max="15107" width="4.85546875" style="2707" customWidth="1"/>
    <col min="15108" max="15108" width="36.28515625" style="2707" customWidth="1"/>
    <col min="15109" max="15109" width="15.42578125" style="2707" bestFit="1" customWidth="1"/>
    <col min="15110" max="15110" width="15.42578125" style="2707" customWidth="1"/>
    <col min="15111" max="15111" width="13.5703125" style="2707" customWidth="1"/>
    <col min="15112" max="15112" width="4.5703125" style="2707" customWidth="1"/>
    <col min="15113" max="15113" width="34.5703125" style="2707" customWidth="1"/>
    <col min="15114" max="15114" width="15.28515625" style="2707" customWidth="1"/>
    <col min="15115" max="15115" width="16.5703125" style="2707" customWidth="1"/>
    <col min="15116" max="15116" width="2.42578125" style="2707" customWidth="1"/>
    <col min="15117" max="15117" width="4.140625" style="2707" customWidth="1"/>
    <col min="15118" max="15118" width="3.85546875" style="2707" customWidth="1"/>
    <col min="15119" max="15119" width="14" style="2707" customWidth="1"/>
    <col min="15120" max="15360" width="9.140625" style="2707"/>
    <col min="15361" max="15361" width="4.28515625" style="2707" customWidth="1"/>
    <col min="15362" max="15362" width="14.5703125" style="2707" customWidth="1"/>
    <col min="15363" max="15363" width="4.85546875" style="2707" customWidth="1"/>
    <col min="15364" max="15364" width="36.28515625" style="2707" customWidth="1"/>
    <col min="15365" max="15365" width="15.42578125" style="2707" bestFit="1" customWidth="1"/>
    <col min="15366" max="15366" width="15.42578125" style="2707" customWidth="1"/>
    <col min="15367" max="15367" width="13.5703125" style="2707" customWidth="1"/>
    <col min="15368" max="15368" width="4.5703125" style="2707" customWidth="1"/>
    <col min="15369" max="15369" width="34.5703125" style="2707" customWidth="1"/>
    <col min="15370" max="15370" width="15.28515625" style="2707" customWidth="1"/>
    <col min="15371" max="15371" width="16.5703125" style="2707" customWidth="1"/>
    <col min="15372" max="15372" width="2.42578125" style="2707" customWidth="1"/>
    <col min="15373" max="15373" width="4.140625" style="2707" customWidth="1"/>
    <col min="15374" max="15374" width="3.85546875" style="2707" customWidth="1"/>
    <col min="15375" max="15375" width="14" style="2707" customWidth="1"/>
    <col min="15376" max="15616" width="9.140625" style="2707"/>
    <col min="15617" max="15617" width="4.28515625" style="2707" customWidth="1"/>
    <col min="15618" max="15618" width="14.5703125" style="2707" customWidth="1"/>
    <col min="15619" max="15619" width="4.85546875" style="2707" customWidth="1"/>
    <col min="15620" max="15620" width="36.28515625" style="2707" customWidth="1"/>
    <col min="15621" max="15621" width="15.42578125" style="2707" bestFit="1" customWidth="1"/>
    <col min="15622" max="15622" width="15.42578125" style="2707" customWidth="1"/>
    <col min="15623" max="15623" width="13.5703125" style="2707" customWidth="1"/>
    <col min="15624" max="15624" width="4.5703125" style="2707" customWidth="1"/>
    <col min="15625" max="15625" width="34.5703125" style="2707" customWidth="1"/>
    <col min="15626" max="15626" width="15.28515625" style="2707" customWidth="1"/>
    <col min="15627" max="15627" width="16.5703125" style="2707" customWidth="1"/>
    <col min="15628" max="15628" width="2.42578125" style="2707" customWidth="1"/>
    <col min="15629" max="15629" width="4.140625" style="2707" customWidth="1"/>
    <col min="15630" max="15630" width="3.85546875" style="2707" customWidth="1"/>
    <col min="15631" max="15631" width="14" style="2707" customWidth="1"/>
    <col min="15632" max="15872" width="9.140625" style="2707"/>
    <col min="15873" max="15873" width="4.28515625" style="2707" customWidth="1"/>
    <col min="15874" max="15874" width="14.5703125" style="2707" customWidth="1"/>
    <col min="15875" max="15875" width="4.85546875" style="2707" customWidth="1"/>
    <col min="15876" max="15876" width="36.28515625" style="2707" customWidth="1"/>
    <col min="15877" max="15877" width="15.42578125" style="2707" bestFit="1" customWidth="1"/>
    <col min="15878" max="15878" width="15.42578125" style="2707" customWidth="1"/>
    <col min="15879" max="15879" width="13.5703125" style="2707" customWidth="1"/>
    <col min="15880" max="15880" width="4.5703125" style="2707" customWidth="1"/>
    <col min="15881" max="15881" width="34.5703125" style="2707" customWidth="1"/>
    <col min="15882" max="15882" width="15.28515625" style="2707" customWidth="1"/>
    <col min="15883" max="15883" width="16.5703125" style="2707" customWidth="1"/>
    <col min="15884" max="15884" width="2.42578125" style="2707" customWidth="1"/>
    <col min="15885" max="15885" width="4.140625" style="2707" customWidth="1"/>
    <col min="15886" max="15886" width="3.85546875" style="2707" customWidth="1"/>
    <col min="15887" max="15887" width="14" style="2707" customWidth="1"/>
    <col min="15888" max="16128" width="9.140625" style="2707"/>
    <col min="16129" max="16129" width="4.28515625" style="2707" customWidth="1"/>
    <col min="16130" max="16130" width="14.5703125" style="2707" customWidth="1"/>
    <col min="16131" max="16131" width="4.85546875" style="2707" customWidth="1"/>
    <col min="16132" max="16132" width="36.28515625" style="2707" customWidth="1"/>
    <col min="16133" max="16133" width="15.42578125" style="2707" bestFit="1" customWidth="1"/>
    <col min="16134" max="16134" width="15.42578125" style="2707" customWidth="1"/>
    <col min="16135" max="16135" width="13.5703125" style="2707" customWidth="1"/>
    <col min="16136" max="16136" width="4.5703125" style="2707" customWidth="1"/>
    <col min="16137" max="16137" width="34.5703125" style="2707" customWidth="1"/>
    <col min="16138" max="16138" width="15.28515625" style="2707" customWidth="1"/>
    <col min="16139" max="16139" width="16.5703125" style="2707" customWidth="1"/>
    <col min="16140" max="16140" width="2.42578125" style="2707" customWidth="1"/>
    <col min="16141" max="16141" width="4.140625" style="2707" customWidth="1"/>
    <col min="16142" max="16142" width="3.85546875" style="2707" customWidth="1"/>
    <col min="16143" max="16143" width="14" style="2707" customWidth="1"/>
    <col min="16144" max="16384" width="9.140625" style="2707"/>
  </cols>
  <sheetData>
    <row r="1" spans="2:15" ht="23.25">
      <c r="F1" s="3364" t="s">
        <v>2783</v>
      </c>
    </row>
    <row r="2" spans="2:15" ht="19.5" thickBot="1">
      <c r="F2" s="2717"/>
    </row>
    <row r="3" spans="2:15" ht="23.25">
      <c r="D3" s="3369" t="s">
        <v>2784</v>
      </c>
      <c r="E3" s="3370"/>
      <c r="F3" s="3371"/>
      <c r="G3" s="3371"/>
      <c r="H3" s="3371"/>
      <c r="I3" s="3371"/>
      <c r="J3" s="3372"/>
    </row>
    <row r="4" spans="2:15" ht="24" thickBot="1">
      <c r="D4" s="3373"/>
      <c r="E4" s="3374"/>
      <c r="F4" s="3375" t="s">
        <v>2580</v>
      </c>
      <c r="G4" s="3376"/>
      <c r="H4" s="3376"/>
      <c r="I4" s="3376"/>
      <c r="J4" s="3377"/>
    </row>
    <row r="5" spans="2:15" ht="19.5" thickBot="1">
      <c r="D5" s="2716"/>
      <c r="E5" s="2716"/>
      <c r="F5" s="2717"/>
    </row>
    <row r="6" spans="2:15" ht="16.5" thickBot="1">
      <c r="B6" s="3380" t="s">
        <v>810</v>
      </c>
      <c r="C6" s="3381"/>
      <c r="D6" s="3382" t="s">
        <v>2581</v>
      </c>
      <c r="E6" s="3383" t="s">
        <v>94</v>
      </c>
      <c r="F6" s="3384" t="s">
        <v>2494</v>
      </c>
      <c r="G6" s="3384" t="s">
        <v>810</v>
      </c>
      <c r="H6" s="3381"/>
      <c r="I6" s="3382" t="s">
        <v>768</v>
      </c>
      <c r="J6" s="3383"/>
      <c r="K6" s="3385" t="s">
        <v>2494</v>
      </c>
    </row>
    <row r="7" spans="2:15">
      <c r="B7" s="2727"/>
      <c r="C7" s="3378"/>
      <c r="D7" s="2729"/>
      <c r="E7" s="2730"/>
      <c r="F7" s="2730"/>
      <c r="G7" s="2730"/>
      <c r="H7" s="3379"/>
      <c r="I7" s="2729"/>
      <c r="J7" s="2730"/>
      <c r="K7" s="2730"/>
    </row>
    <row r="8" spans="2:15">
      <c r="B8" s="2733"/>
      <c r="C8" s="2734"/>
      <c r="D8" s="2735" t="s">
        <v>851</v>
      </c>
      <c r="E8" s="2736" t="s">
        <v>94</v>
      </c>
      <c r="F8" s="2737"/>
      <c r="G8" s="2737"/>
      <c r="H8" s="2734"/>
      <c r="I8" s="2738" t="s">
        <v>2582</v>
      </c>
      <c r="J8" s="2737"/>
      <c r="K8" s="2733"/>
    </row>
    <row r="9" spans="2:15">
      <c r="B9" s="191">
        <v>2200263801</v>
      </c>
      <c r="C9" s="2734"/>
      <c r="D9" s="2729" t="s">
        <v>2583</v>
      </c>
      <c r="E9" s="191">
        <v>2434131883</v>
      </c>
      <c r="F9" s="194"/>
      <c r="G9" s="198">
        <v>10297173984</v>
      </c>
      <c r="H9" s="2734"/>
      <c r="I9" s="2729" t="s">
        <v>2584</v>
      </c>
      <c r="J9" s="198">
        <f>31947654+10439709426</f>
        <v>10471657080</v>
      </c>
      <c r="K9" s="2740" t="s">
        <v>94</v>
      </c>
      <c r="O9" s="2707" t="s">
        <v>94</v>
      </c>
    </row>
    <row r="10" spans="2:15">
      <c r="B10" s="198">
        <v>1643001863</v>
      </c>
      <c r="C10" s="2734"/>
      <c r="D10" s="2729" t="s">
        <v>2585</v>
      </c>
      <c r="E10" s="198">
        <v>1857442568</v>
      </c>
      <c r="F10" s="194" t="s">
        <v>94</v>
      </c>
      <c r="G10" s="198">
        <v>2662764092</v>
      </c>
      <c r="H10" s="2734"/>
      <c r="I10" s="2741" t="s">
        <v>2586</v>
      </c>
      <c r="J10" s="198">
        <v>2695719418</v>
      </c>
      <c r="K10" s="2740"/>
      <c r="O10" s="2707" t="s">
        <v>94</v>
      </c>
    </row>
    <row r="11" spans="2:15">
      <c r="B11" s="198">
        <v>101547103</v>
      </c>
      <c r="C11" s="2734"/>
      <c r="D11" s="2729" t="s">
        <v>2587</v>
      </c>
      <c r="E11" s="198">
        <v>94345055</v>
      </c>
      <c r="F11" s="194" t="s">
        <v>94</v>
      </c>
      <c r="G11" s="198">
        <v>20185331</v>
      </c>
      <c r="H11" s="2734"/>
      <c r="I11" s="2729" t="s">
        <v>2588</v>
      </c>
      <c r="J11" s="198">
        <v>13763991</v>
      </c>
      <c r="K11" s="2740"/>
      <c r="O11" s="2707" t="s">
        <v>94</v>
      </c>
    </row>
    <row r="12" spans="2:15">
      <c r="B12" s="198">
        <v>262756009</v>
      </c>
      <c r="C12" s="2734"/>
      <c r="D12" s="2729" t="s">
        <v>2589</v>
      </c>
      <c r="E12" s="198">
        <v>261555851</v>
      </c>
      <c r="F12" s="194" t="s">
        <v>94</v>
      </c>
      <c r="G12" s="2742"/>
      <c r="H12" s="2734"/>
      <c r="I12" s="2729" t="s">
        <v>2590</v>
      </c>
      <c r="J12" s="2742" t="s">
        <v>94</v>
      </c>
      <c r="K12" s="2740" t="s">
        <v>94</v>
      </c>
      <c r="O12" s="2707" t="s">
        <v>94</v>
      </c>
    </row>
    <row r="13" spans="2:15">
      <c r="B13" s="2744">
        <v>101575958</v>
      </c>
      <c r="C13" s="2743"/>
      <c r="D13" s="2729" t="s">
        <v>2591</v>
      </c>
      <c r="E13" s="2744">
        <v>93959731</v>
      </c>
      <c r="F13" s="191">
        <f>SUM(E9:E13)</f>
        <v>4741435088</v>
      </c>
      <c r="G13" s="2744">
        <v>89774970</v>
      </c>
      <c r="H13" s="2734"/>
      <c r="I13" s="2745" t="s">
        <v>2592</v>
      </c>
      <c r="J13" s="2744">
        <v>99238839</v>
      </c>
      <c r="K13" s="198">
        <f>SUM(J9:J13)</f>
        <v>13280379328</v>
      </c>
      <c r="O13" s="2707" t="s">
        <v>94</v>
      </c>
    </row>
    <row r="14" spans="2:15" ht="15.75" thickBot="1">
      <c r="B14" s="3365">
        <f>SUM(B9:B13)</f>
        <v>4309144734</v>
      </c>
      <c r="C14" s="2734"/>
      <c r="E14" s="194"/>
      <c r="F14" s="191" t="s">
        <v>94</v>
      </c>
      <c r="G14" s="3366">
        <f>+G13+G11+G10+G9</f>
        <v>13069898377</v>
      </c>
      <c r="H14" s="2734"/>
      <c r="J14" s="2736"/>
      <c r="K14" s="2740" t="s">
        <v>94</v>
      </c>
      <c r="O14" s="2707" t="s">
        <v>94</v>
      </c>
    </row>
    <row r="15" spans="2:15">
      <c r="B15" s="198">
        <v>11346841201</v>
      </c>
      <c r="C15" s="2734"/>
      <c r="D15" s="2729" t="s">
        <v>2593</v>
      </c>
      <c r="E15" s="194"/>
      <c r="F15" s="198">
        <v>13131265305</v>
      </c>
      <c r="G15" s="191" t="s">
        <v>94</v>
      </c>
      <c r="H15" s="2734"/>
      <c r="I15" s="2729"/>
      <c r="J15" s="2736"/>
      <c r="K15" s="2740" t="s">
        <v>94</v>
      </c>
    </row>
    <row r="16" spans="2:15">
      <c r="B16" s="198">
        <v>619884071</v>
      </c>
      <c r="C16" s="2734"/>
      <c r="D16" s="2729" t="s">
        <v>2594</v>
      </c>
      <c r="E16" s="194"/>
      <c r="F16" s="198">
        <v>718808549</v>
      </c>
      <c r="G16" s="198">
        <v>568348816</v>
      </c>
      <c r="H16" s="2734"/>
      <c r="I16" s="2729" t="s">
        <v>637</v>
      </c>
      <c r="J16" s="2736"/>
      <c r="K16" s="198">
        <v>839911392</v>
      </c>
      <c r="O16" s="2707" t="s">
        <v>94</v>
      </c>
    </row>
    <row r="17" spans="2:15">
      <c r="B17" s="191"/>
      <c r="C17" s="2734"/>
      <c r="D17" s="2729"/>
      <c r="E17" s="194" t="s">
        <v>94</v>
      </c>
      <c r="F17" s="191"/>
      <c r="G17" s="191" t="s">
        <v>277</v>
      </c>
      <c r="H17" s="2734"/>
      <c r="J17" s="2736"/>
      <c r="K17" s="191" t="s">
        <v>277</v>
      </c>
      <c r="O17" s="2707" t="s">
        <v>94</v>
      </c>
    </row>
    <row r="18" spans="2:15">
      <c r="B18" s="191">
        <v>455041406</v>
      </c>
      <c r="C18" s="2734"/>
      <c r="D18" s="2729" t="s">
        <v>2595</v>
      </c>
      <c r="E18" s="194"/>
      <c r="F18" s="191">
        <v>608978388</v>
      </c>
      <c r="G18" s="191">
        <v>0</v>
      </c>
      <c r="H18" s="2734"/>
      <c r="I18" s="2729" t="s">
        <v>2596</v>
      </c>
      <c r="J18" s="2736"/>
      <c r="K18" s="191">
        <v>0</v>
      </c>
      <c r="O18" s="2707" t="s">
        <v>94</v>
      </c>
    </row>
    <row r="19" spans="2:15" ht="15" customHeight="1">
      <c r="B19" s="198">
        <v>60206978</v>
      </c>
      <c r="C19" s="2734"/>
      <c r="D19" s="2729" t="s">
        <v>2597</v>
      </c>
      <c r="E19" s="194"/>
      <c r="F19" s="198">
        <v>61303170</v>
      </c>
      <c r="G19" s="191"/>
      <c r="H19" s="2734"/>
      <c r="I19" s="2729" t="s">
        <v>94</v>
      </c>
      <c r="J19" s="2736"/>
      <c r="K19" s="191"/>
      <c r="M19" s="2746"/>
      <c r="O19" s="2707" t="s">
        <v>94</v>
      </c>
    </row>
    <row r="20" spans="2:15">
      <c r="B20" s="191"/>
      <c r="C20" s="2734"/>
      <c r="D20" s="2729"/>
      <c r="E20" s="194"/>
      <c r="F20" s="191"/>
      <c r="G20" s="198">
        <v>154196257</v>
      </c>
      <c r="H20" s="2734"/>
      <c r="I20" s="2729" t="s">
        <v>818</v>
      </c>
      <c r="J20" s="2736"/>
      <c r="K20" s="198">
        <v>150082290</v>
      </c>
      <c r="O20" s="2707" t="s">
        <v>94</v>
      </c>
    </row>
    <row r="21" spans="2:15">
      <c r="B21" s="198">
        <v>948273033</v>
      </c>
      <c r="C21" s="2734"/>
      <c r="D21" s="2729" t="s">
        <v>2598</v>
      </c>
      <c r="E21" s="194"/>
      <c r="F21" s="198">
        <v>999356680</v>
      </c>
      <c r="G21" s="191" t="s">
        <v>94</v>
      </c>
      <c r="H21" s="2734"/>
      <c r="I21" s="2729"/>
      <c r="J21" s="2736"/>
      <c r="K21" s="191" t="s">
        <v>94</v>
      </c>
      <c r="O21" s="2707" t="s">
        <v>94</v>
      </c>
    </row>
    <row r="22" spans="2:15">
      <c r="B22" s="198">
        <v>49642902</v>
      </c>
      <c r="C22" s="2734"/>
      <c r="D22" s="2729" t="s">
        <v>2599</v>
      </c>
      <c r="E22" s="194"/>
      <c r="F22" s="198">
        <v>60666378</v>
      </c>
      <c r="G22" s="198">
        <v>25091434</v>
      </c>
      <c r="H22" s="2734"/>
      <c r="I22" s="2729" t="s">
        <v>2600</v>
      </c>
      <c r="J22" s="2736"/>
      <c r="K22" s="198">
        <v>34273442</v>
      </c>
      <c r="O22" s="2707" t="s">
        <v>94</v>
      </c>
    </row>
    <row r="23" spans="2:15">
      <c r="B23" s="191" t="s">
        <v>94</v>
      </c>
      <c r="C23" s="2734"/>
      <c r="D23" s="2729"/>
      <c r="E23" s="194"/>
      <c r="F23" s="191" t="s">
        <v>94</v>
      </c>
      <c r="G23" s="191" t="s">
        <v>94</v>
      </c>
      <c r="H23" s="2734"/>
      <c r="I23" s="2729"/>
      <c r="J23" s="2736"/>
      <c r="K23" s="191" t="s">
        <v>94</v>
      </c>
      <c r="O23" s="2707" t="s">
        <v>94</v>
      </c>
    </row>
    <row r="24" spans="2:15">
      <c r="B24" s="198">
        <v>218431896</v>
      </c>
      <c r="C24" s="2734"/>
      <c r="D24" s="2729" t="s">
        <v>2601</v>
      </c>
      <c r="E24" s="194"/>
      <c r="F24" s="198">
        <v>166876685</v>
      </c>
      <c r="G24" s="198">
        <v>63335434</v>
      </c>
      <c r="H24" s="2734"/>
      <c r="I24" s="2729" t="s">
        <v>2602</v>
      </c>
      <c r="J24" s="2736"/>
      <c r="K24" s="198">
        <v>37992799</v>
      </c>
      <c r="O24" s="2707" t="s">
        <v>94</v>
      </c>
    </row>
    <row r="25" spans="2:15">
      <c r="B25" s="198">
        <v>87404765</v>
      </c>
      <c r="C25" s="2734"/>
      <c r="D25" s="2729" t="s">
        <v>2603</v>
      </c>
      <c r="E25" s="194"/>
      <c r="F25" s="198">
        <v>87020299</v>
      </c>
      <c r="G25" s="191" t="s">
        <v>94</v>
      </c>
      <c r="H25" s="2734"/>
      <c r="I25" s="2729"/>
      <c r="J25" s="2736"/>
      <c r="K25" s="191" t="s">
        <v>94</v>
      </c>
      <c r="O25" s="2707" t="s">
        <v>94</v>
      </c>
    </row>
    <row r="26" spans="2:15">
      <c r="B26" s="191" t="s">
        <v>94</v>
      </c>
      <c r="C26" s="2734"/>
      <c r="D26" s="2729"/>
      <c r="E26" s="194"/>
      <c r="F26" s="191" t="s">
        <v>94</v>
      </c>
      <c r="G26" s="198">
        <v>105525242</v>
      </c>
      <c r="H26" s="2747"/>
      <c r="I26" s="2729" t="s">
        <v>2604</v>
      </c>
      <c r="J26" s="2736" t="s">
        <v>94</v>
      </c>
      <c r="K26" s="198">
        <v>130894415</v>
      </c>
      <c r="O26" s="2707" t="s">
        <v>94</v>
      </c>
    </row>
    <row r="27" spans="2:15" ht="15.75">
      <c r="B27" s="198">
        <v>553047656</v>
      </c>
      <c r="C27" s="2734"/>
      <c r="D27" s="2729" t="s">
        <v>2605</v>
      </c>
      <c r="E27" s="194"/>
      <c r="F27" s="198">
        <v>358534905</v>
      </c>
      <c r="G27" s="204">
        <f>SUM(G14:G26)</f>
        <v>13986395560</v>
      </c>
      <c r="H27" s="2748"/>
      <c r="I27" s="2749" t="s">
        <v>47</v>
      </c>
      <c r="J27" s="2750"/>
      <c r="K27" s="204">
        <f>SUM(K9:K26)</f>
        <v>14473533666</v>
      </c>
      <c r="L27" s="2734"/>
      <c r="O27" s="2707" t="s">
        <v>94</v>
      </c>
    </row>
    <row r="28" spans="2:15">
      <c r="B28" s="198">
        <v>18510939</v>
      </c>
      <c r="C28" s="2734"/>
      <c r="D28" s="2729" t="s">
        <v>2606</v>
      </c>
      <c r="E28" s="194"/>
      <c r="F28" s="198">
        <v>15141490</v>
      </c>
      <c r="G28" s="191"/>
      <c r="H28" s="2743"/>
      <c r="J28" s="2751"/>
      <c r="K28" s="2740"/>
      <c r="L28" s="2734"/>
      <c r="O28" s="2707" t="s">
        <v>94</v>
      </c>
    </row>
    <row r="29" spans="2:15">
      <c r="B29" s="191" t="s">
        <v>94</v>
      </c>
      <c r="C29" s="2734"/>
      <c r="D29" s="2729"/>
      <c r="E29" s="194"/>
      <c r="F29" s="191" t="s">
        <v>94</v>
      </c>
      <c r="G29" s="196">
        <v>-6335041719</v>
      </c>
      <c r="H29" s="2734"/>
      <c r="I29" s="2745" t="s">
        <v>2607</v>
      </c>
      <c r="J29" s="2736"/>
      <c r="K29" s="196">
        <f>+K27-F35</f>
        <v>-7677388831</v>
      </c>
    </row>
    <row r="30" spans="2:15">
      <c r="B30" s="198">
        <v>1655007698</v>
      </c>
      <c r="C30" s="2734"/>
      <c r="D30" s="2729" t="s">
        <v>2608</v>
      </c>
      <c r="E30" s="194"/>
      <c r="F30" s="198">
        <v>1201535560</v>
      </c>
      <c r="G30" s="2733"/>
      <c r="H30" s="2734"/>
      <c r="I30" s="2729"/>
      <c r="J30" s="2737"/>
      <c r="K30" s="2733"/>
    </row>
    <row r="31" spans="2:15">
      <c r="B31" s="191">
        <v>0</v>
      </c>
      <c r="C31" s="2734"/>
      <c r="D31" s="2729" t="s">
        <v>2609</v>
      </c>
      <c r="E31" s="194"/>
      <c r="F31" s="191">
        <v>0</v>
      </c>
      <c r="G31" s="2733"/>
      <c r="H31" s="2734"/>
      <c r="I31" s="2729"/>
      <c r="J31" s="2737"/>
      <c r="K31" s="2733"/>
    </row>
    <row r="32" spans="2:15">
      <c r="B32" s="191" t="s">
        <v>94</v>
      </c>
      <c r="C32" s="2734"/>
      <c r="D32" s="2729"/>
      <c r="E32" s="194"/>
      <c r="F32" s="191" t="s">
        <v>94</v>
      </c>
      <c r="G32" s="2733"/>
      <c r="H32" s="2734"/>
      <c r="I32" s="2729"/>
      <c r="J32" s="2737"/>
      <c r="K32" s="2733"/>
    </row>
    <row r="33" spans="2:12">
      <c r="B33" s="191" t="s">
        <v>94</v>
      </c>
      <c r="C33" s="2734"/>
      <c r="D33" s="2729" t="s">
        <v>94</v>
      </c>
      <c r="E33" s="194"/>
      <c r="F33" s="191" t="s">
        <v>94</v>
      </c>
      <c r="G33" s="2733"/>
      <c r="H33" s="2734"/>
      <c r="I33" s="2729"/>
      <c r="J33" s="2737"/>
      <c r="K33" s="2733"/>
    </row>
    <row r="34" spans="2:12">
      <c r="B34" s="221" t="s">
        <v>94</v>
      </c>
      <c r="C34" s="2747"/>
      <c r="D34" s="2752" t="s">
        <v>94</v>
      </c>
      <c r="E34" s="2753"/>
      <c r="F34" s="221" t="s">
        <v>94</v>
      </c>
      <c r="G34" s="2754"/>
      <c r="H34" s="2747"/>
      <c r="I34" s="2752"/>
      <c r="J34" s="2755"/>
      <c r="K34" s="2754"/>
    </row>
    <row r="35" spans="2:12" ht="15.75">
      <c r="B35" s="228">
        <f>SUM(B14:B31)</f>
        <v>20321437279</v>
      </c>
      <c r="C35" s="2756"/>
      <c r="D35" s="2757" t="s">
        <v>47</v>
      </c>
      <c r="E35" s="228" t="s">
        <v>801</v>
      </c>
      <c r="F35" s="228">
        <f>SUM(F9:F31)</f>
        <v>22150922497</v>
      </c>
      <c r="G35" s="222">
        <f>G27-G29</f>
        <v>20321437279</v>
      </c>
      <c r="H35" s="2756"/>
      <c r="I35" s="2749" t="s">
        <v>47</v>
      </c>
      <c r="J35" s="2758"/>
      <c r="K35" s="222">
        <f>SUM(K27-K29)</f>
        <v>22150922497</v>
      </c>
    </row>
    <row r="36" spans="2:12">
      <c r="B36" s="2706" t="s">
        <v>94</v>
      </c>
      <c r="C36" s="2743" t="s">
        <v>94</v>
      </c>
      <c r="D36" s="2743" t="s">
        <v>94</v>
      </c>
      <c r="E36" s="2707" t="s">
        <v>94</v>
      </c>
      <c r="F36" s="2743" t="s">
        <v>94</v>
      </c>
      <c r="G36" s="2707" t="s">
        <v>277</v>
      </c>
      <c r="H36" s="2743" t="s">
        <v>94</v>
      </c>
      <c r="I36" s="3367" t="s">
        <v>277</v>
      </c>
      <c r="J36" s="2743" t="s">
        <v>94</v>
      </c>
      <c r="K36" s="2743"/>
      <c r="L36" s="2743"/>
    </row>
    <row r="37" spans="2:12">
      <c r="D37" s="3368" t="s">
        <v>2785</v>
      </c>
    </row>
    <row r="38" spans="2:12">
      <c r="E38" s="2707" t="s">
        <v>94</v>
      </c>
    </row>
    <row r="39" spans="2:12">
      <c r="I39" s="2743"/>
    </row>
  </sheetData>
  <printOptions horizontalCentered="1" verticalCentered="1"/>
  <pageMargins left="0.25" right="0.25" top="0.25" bottom="0.25" header="0.3" footer="0.3"/>
  <pageSetup paperSize="9" scale="80" orientation="landscape" r:id="rId1"/>
</worksheet>
</file>

<file path=xl/worksheets/sheet102.xml><?xml version="1.0" encoding="utf-8"?>
<worksheet xmlns="http://schemas.openxmlformats.org/spreadsheetml/2006/main" xmlns:r="http://schemas.openxmlformats.org/officeDocument/2006/relationships">
  <sheetPr codeName="Sheet81">
    <pageSetUpPr fitToPage="1"/>
  </sheetPr>
  <dimension ref="B3:M45"/>
  <sheetViews>
    <sheetView showGridLines="0" topLeftCell="A11" zoomScale="70" zoomScaleNormal="70" workbookViewId="0">
      <selection activeCell="K42" sqref="K42"/>
    </sheetView>
  </sheetViews>
  <sheetFormatPr defaultRowHeight="15"/>
  <cols>
    <col min="1" max="1" width="4.28515625" style="2707" customWidth="1"/>
    <col min="2" max="2" width="14.5703125" style="2706" customWidth="1"/>
    <col min="3" max="3" width="4.85546875" style="2707" customWidth="1"/>
    <col min="4" max="4" width="36.28515625" style="2707" customWidth="1"/>
    <col min="5" max="5" width="15.42578125" style="2707" bestFit="1" customWidth="1"/>
    <col min="6" max="6" width="15.42578125" style="2707" customWidth="1"/>
    <col min="7" max="7" width="13.5703125" style="2707" customWidth="1"/>
    <col min="8" max="8" width="4.5703125" style="2707" customWidth="1"/>
    <col min="9" max="9" width="34.5703125" style="2707" customWidth="1"/>
    <col min="10" max="10" width="15.28515625" style="2707" customWidth="1"/>
    <col min="11" max="11" width="16.5703125" style="2707" customWidth="1"/>
    <col min="12" max="12" width="2.42578125" style="2707" customWidth="1"/>
    <col min="13" max="13" width="4.140625" style="2707" customWidth="1"/>
    <col min="14" max="14" width="3.85546875" style="2707" customWidth="1"/>
    <col min="15" max="15" width="14" style="2707" customWidth="1"/>
    <col min="16" max="256" width="9.140625" style="2707"/>
    <col min="257" max="257" width="4.28515625" style="2707" customWidth="1"/>
    <col min="258" max="258" width="14.5703125" style="2707" customWidth="1"/>
    <col min="259" max="259" width="4.85546875" style="2707" customWidth="1"/>
    <col min="260" max="260" width="36.28515625" style="2707" customWidth="1"/>
    <col min="261" max="261" width="15.42578125" style="2707" bestFit="1" customWidth="1"/>
    <col min="262" max="262" width="15.42578125" style="2707" customWidth="1"/>
    <col min="263" max="263" width="13.5703125" style="2707" customWidth="1"/>
    <col min="264" max="264" width="4.5703125" style="2707" customWidth="1"/>
    <col min="265" max="265" width="34.5703125" style="2707" customWidth="1"/>
    <col min="266" max="266" width="15.28515625" style="2707" customWidth="1"/>
    <col min="267" max="267" width="16.5703125" style="2707" customWidth="1"/>
    <col min="268" max="268" width="2.42578125" style="2707" customWidth="1"/>
    <col min="269" max="269" width="4.140625" style="2707" customWidth="1"/>
    <col min="270" max="270" width="3.85546875" style="2707" customWidth="1"/>
    <col min="271" max="271" width="14" style="2707" customWidth="1"/>
    <col min="272" max="512" width="9.140625" style="2707"/>
    <col min="513" max="513" width="4.28515625" style="2707" customWidth="1"/>
    <col min="514" max="514" width="14.5703125" style="2707" customWidth="1"/>
    <col min="515" max="515" width="4.85546875" style="2707" customWidth="1"/>
    <col min="516" max="516" width="36.28515625" style="2707" customWidth="1"/>
    <col min="517" max="517" width="15.42578125" style="2707" bestFit="1" customWidth="1"/>
    <col min="518" max="518" width="15.42578125" style="2707" customWidth="1"/>
    <col min="519" max="519" width="13.5703125" style="2707" customWidth="1"/>
    <col min="520" max="520" width="4.5703125" style="2707" customWidth="1"/>
    <col min="521" max="521" width="34.5703125" style="2707" customWidth="1"/>
    <col min="522" max="522" width="15.28515625" style="2707" customWidth="1"/>
    <col min="523" max="523" width="16.5703125" style="2707" customWidth="1"/>
    <col min="524" max="524" width="2.42578125" style="2707" customWidth="1"/>
    <col min="525" max="525" width="4.140625" style="2707" customWidth="1"/>
    <col min="526" max="526" width="3.85546875" style="2707" customWidth="1"/>
    <col min="527" max="527" width="14" style="2707" customWidth="1"/>
    <col min="528" max="768" width="9.140625" style="2707"/>
    <col min="769" max="769" width="4.28515625" style="2707" customWidth="1"/>
    <col min="770" max="770" width="14.5703125" style="2707" customWidth="1"/>
    <col min="771" max="771" width="4.85546875" style="2707" customWidth="1"/>
    <col min="772" max="772" width="36.28515625" style="2707" customWidth="1"/>
    <col min="773" max="773" width="15.42578125" style="2707" bestFit="1" customWidth="1"/>
    <col min="774" max="774" width="15.42578125" style="2707" customWidth="1"/>
    <col min="775" max="775" width="13.5703125" style="2707" customWidth="1"/>
    <col min="776" max="776" width="4.5703125" style="2707" customWidth="1"/>
    <col min="777" max="777" width="34.5703125" style="2707" customWidth="1"/>
    <col min="778" max="778" width="15.28515625" style="2707" customWidth="1"/>
    <col min="779" max="779" width="16.5703125" style="2707" customWidth="1"/>
    <col min="780" max="780" width="2.42578125" style="2707" customWidth="1"/>
    <col min="781" max="781" width="4.140625" style="2707" customWidth="1"/>
    <col min="782" max="782" width="3.85546875" style="2707" customWidth="1"/>
    <col min="783" max="783" width="14" style="2707" customWidth="1"/>
    <col min="784" max="1024" width="9.140625" style="2707"/>
    <col min="1025" max="1025" width="4.28515625" style="2707" customWidth="1"/>
    <col min="1026" max="1026" width="14.5703125" style="2707" customWidth="1"/>
    <col min="1027" max="1027" width="4.85546875" style="2707" customWidth="1"/>
    <col min="1028" max="1028" width="36.28515625" style="2707" customWidth="1"/>
    <col min="1029" max="1029" width="15.42578125" style="2707" bestFit="1" customWidth="1"/>
    <col min="1030" max="1030" width="15.42578125" style="2707" customWidth="1"/>
    <col min="1031" max="1031" width="13.5703125" style="2707" customWidth="1"/>
    <col min="1032" max="1032" width="4.5703125" style="2707" customWidth="1"/>
    <col min="1033" max="1033" width="34.5703125" style="2707" customWidth="1"/>
    <col min="1034" max="1034" width="15.28515625" style="2707" customWidth="1"/>
    <col min="1035" max="1035" width="16.5703125" style="2707" customWidth="1"/>
    <col min="1036" max="1036" width="2.42578125" style="2707" customWidth="1"/>
    <col min="1037" max="1037" width="4.140625" style="2707" customWidth="1"/>
    <col min="1038" max="1038" width="3.85546875" style="2707" customWidth="1"/>
    <col min="1039" max="1039" width="14" style="2707" customWidth="1"/>
    <col min="1040" max="1280" width="9.140625" style="2707"/>
    <col min="1281" max="1281" width="4.28515625" style="2707" customWidth="1"/>
    <col min="1282" max="1282" width="14.5703125" style="2707" customWidth="1"/>
    <col min="1283" max="1283" width="4.85546875" style="2707" customWidth="1"/>
    <col min="1284" max="1284" width="36.28515625" style="2707" customWidth="1"/>
    <col min="1285" max="1285" width="15.42578125" style="2707" bestFit="1" customWidth="1"/>
    <col min="1286" max="1286" width="15.42578125" style="2707" customWidth="1"/>
    <col min="1287" max="1287" width="13.5703125" style="2707" customWidth="1"/>
    <col min="1288" max="1288" width="4.5703125" style="2707" customWidth="1"/>
    <col min="1289" max="1289" width="34.5703125" style="2707" customWidth="1"/>
    <col min="1290" max="1290" width="15.28515625" style="2707" customWidth="1"/>
    <col min="1291" max="1291" width="16.5703125" style="2707" customWidth="1"/>
    <col min="1292" max="1292" width="2.42578125" style="2707" customWidth="1"/>
    <col min="1293" max="1293" width="4.140625" style="2707" customWidth="1"/>
    <col min="1294" max="1294" width="3.85546875" style="2707" customWidth="1"/>
    <col min="1295" max="1295" width="14" style="2707" customWidth="1"/>
    <col min="1296" max="1536" width="9.140625" style="2707"/>
    <col min="1537" max="1537" width="4.28515625" style="2707" customWidth="1"/>
    <col min="1538" max="1538" width="14.5703125" style="2707" customWidth="1"/>
    <col min="1539" max="1539" width="4.85546875" style="2707" customWidth="1"/>
    <col min="1540" max="1540" width="36.28515625" style="2707" customWidth="1"/>
    <col min="1541" max="1541" width="15.42578125" style="2707" bestFit="1" customWidth="1"/>
    <col min="1542" max="1542" width="15.42578125" style="2707" customWidth="1"/>
    <col min="1543" max="1543" width="13.5703125" style="2707" customWidth="1"/>
    <col min="1544" max="1544" width="4.5703125" style="2707" customWidth="1"/>
    <col min="1545" max="1545" width="34.5703125" style="2707" customWidth="1"/>
    <col min="1546" max="1546" width="15.28515625" style="2707" customWidth="1"/>
    <col min="1547" max="1547" width="16.5703125" style="2707" customWidth="1"/>
    <col min="1548" max="1548" width="2.42578125" style="2707" customWidth="1"/>
    <col min="1549" max="1549" width="4.140625" style="2707" customWidth="1"/>
    <col min="1550" max="1550" width="3.85546875" style="2707" customWidth="1"/>
    <col min="1551" max="1551" width="14" style="2707" customWidth="1"/>
    <col min="1552" max="1792" width="9.140625" style="2707"/>
    <col min="1793" max="1793" width="4.28515625" style="2707" customWidth="1"/>
    <col min="1794" max="1794" width="14.5703125" style="2707" customWidth="1"/>
    <col min="1795" max="1795" width="4.85546875" style="2707" customWidth="1"/>
    <col min="1796" max="1796" width="36.28515625" style="2707" customWidth="1"/>
    <col min="1797" max="1797" width="15.42578125" style="2707" bestFit="1" customWidth="1"/>
    <col min="1798" max="1798" width="15.42578125" style="2707" customWidth="1"/>
    <col min="1799" max="1799" width="13.5703125" style="2707" customWidth="1"/>
    <col min="1800" max="1800" width="4.5703125" style="2707" customWidth="1"/>
    <col min="1801" max="1801" width="34.5703125" style="2707" customWidth="1"/>
    <col min="1802" max="1802" width="15.28515625" style="2707" customWidth="1"/>
    <col min="1803" max="1803" width="16.5703125" style="2707" customWidth="1"/>
    <col min="1804" max="1804" width="2.42578125" style="2707" customWidth="1"/>
    <col min="1805" max="1805" width="4.140625" style="2707" customWidth="1"/>
    <col min="1806" max="1806" width="3.85546875" style="2707" customWidth="1"/>
    <col min="1807" max="1807" width="14" style="2707" customWidth="1"/>
    <col min="1808" max="2048" width="9.140625" style="2707"/>
    <col min="2049" max="2049" width="4.28515625" style="2707" customWidth="1"/>
    <col min="2050" max="2050" width="14.5703125" style="2707" customWidth="1"/>
    <col min="2051" max="2051" width="4.85546875" style="2707" customWidth="1"/>
    <col min="2052" max="2052" width="36.28515625" style="2707" customWidth="1"/>
    <col min="2053" max="2053" width="15.42578125" style="2707" bestFit="1" customWidth="1"/>
    <col min="2054" max="2054" width="15.42578125" style="2707" customWidth="1"/>
    <col min="2055" max="2055" width="13.5703125" style="2707" customWidth="1"/>
    <col min="2056" max="2056" width="4.5703125" style="2707" customWidth="1"/>
    <col min="2057" max="2057" width="34.5703125" style="2707" customWidth="1"/>
    <col min="2058" max="2058" width="15.28515625" style="2707" customWidth="1"/>
    <col min="2059" max="2059" width="16.5703125" style="2707" customWidth="1"/>
    <col min="2060" max="2060" width="2.42578125" style="2707" customWidth="1"/>
    <col min="2061" max="2061" width="4.140625" style="2707" customWidth="1"/>
    <col min="2062" max="2062" width="3.85546875" style="2707" customWidth="1"/>
    <col min="2063" max="2063" width="14" style="2707" customWidth="1"/>
    <col min="2064" max="2304" width="9.140625" style="2707"/>
    <col min="2305" max="2305" width="4.28515625" style="2707" customWidth="1"/>
    <col min="2306" max="2306" width="14.5703125" style="2707" customWidth="1"/>
    <col min="2307" max="2307" width="4.85546875" style="2707" customWidth="1"/>
    <col min="2308" max="2308" width="36.28515625" style="2707" customWidth="1"/>
    <col min="2309" max="2309" width="15.42578125" style="2707" bestFit="1" customWidth="1"/>
    <col min="2310" max="2310" width="15.42578125" style="2707" customWidth="1"/>
    <col min="2311" max="2311" width="13.5703125" style="2707" customWidth="1"/>
    <col min="2312" max="2312" width="4.5703125" style="2707" customWidth="1"/>
    <col min="2313" max="2313" width="34.5703125" style="2707" customWidth="1"/>
    <col min="2314" max="2314" width="15.28515625" style="2707" customWidth="1"/>
    <col min="2315" max="2315" width="16.5703125" style="2707" customWidth="1"/>
    <col min="2316" max="2316" width="2.42578125" style="2707" customWidth="1"/>
    <col min="2317" max="2317" width="4.140625" style="2707" customWidth="1"/>
    <col min="2318" max="2318" width="3.85546875" style="2707" customWidth="1"/>
    <col min="2319" max="2319" width="14" style="2707" customWidth="1"/>
    <col min="2320" max="2560" width="9.140625" style="2707"/>
    <col min="2561" max="2561" width="4.28515625" style="2707" customWidth="1"/>
    <col min="2562" max="2562" width="14.5703125" style="2707" customWidth="1"/>
    <col min="2563" max="2563" width="4.85546875" style="2707" customWidth="1"/>
    <col min="2564" max="2564" width="36.28515625" style="2707" customWidth="1"/>
    <col min="2565" max="2565" width="15.42578125" style="2707" bestFit="1" customWidth="1"/>
    <col min="2566" max="2566" width="15.42578125" style="2707" customWidth="1"/>
    <col min="2567" max="2567" width="13.5703125" style="2707" customWidth="1"/>
    <col min="2568" max="2568" width="4.5703125" style="2707" customWidth="1"/>
    <col min="2569" max="2569" width="34.5703125" style="2707" customWidth="1"/>
    <col min="2570" max="2570" width="15.28515625" style="2707" customWidth="1"/>
    <col min="2571" max="2571" width="16.5703125" style="2707" customWidth="1"/>
    <col min="2572" max="2572" width="2.42578125" style="2707" customWidth="1"/>
    <col min="2573" max="2573" width="4.140625" style="2707" customWidth="1"/>
    <col min="2574" max="2574" width="3.85546875" style="2707" customWidth="1"/>
    <col min="2575" max="2575" width="14" style="2707" customWidth="1"/>
    <col min="2576" max="2816" width="9.140625" style="2707"/>
    <col min="2817" max="2817" width="4.28515625" style="2707" customWidth="1"/>
    <col min="2818" max="2818" width="14.5703125" style="2707" customWidth="1"/>
    <col min="2819" max="2819" width="4.85546875" style="2707" customWidth="1"/>
    <col min="2820" max="2820" width="36.28515625" style="2707" customWidth="1"/>
    <col min="2821" max="2821" width="15.42578125" style="2707" bestFit="1" customWidth="1"/>
    <col min="2822" max="2822" width="15.42578125" style="2707" customWidth="1"/>
    <col min="2823" max="2823" width="13.5703125" style="2707" customWidth="1"/>
    <col min="2824" max="2824" width="4.5703125" style="2707" customWidth="1"/>
    <col min="2825" max="2825" width="34.5703125" style="2707" customWidth="1"/>
    <col min="2826" max="2826" width="15.28515625" style="2707" customWidth="1"/>
    <col min="2827" max="2827" width="16.5703125" style="2707" customWidth="1"/>
    <col min="2828" max="2828" width="2.42578125" style="2707" customWidth="1"/>
    <col min="2829" max="2829" width="4.140625" style="2707" customWidth="1"/>
    <col min="2830" max="2830" width="3.85546875" style="2707" customWidth="1"/>
    <col min="2831" max="2831" width="14" style="2707" customWidth="1"/>
    <col min="2832" max="3072" width="9.140625" style="2707"/>
    <col min="3073" max="3073" width="4.28515625" style="2707" customWidth="1"/>
    <col min="3074" max="3074" width="14.5703125" style="2707" customWidth="1"/>
    <col min="3075" max="3075" width="4.85546875" style="2707" customWidth="1"/>
    <col min="3076" max="3076" width="36.28515625" style="2707" customWidth="1"/>
    <col min="3077" max="3077" width="15.42578125" style="2707" bestFit="1" customWidth="1"/>
    <col min="3078" max="3078" width="15.42578125" style="2707" customWidth="1"/>
    <col min="3079" max="3079" width="13.5703125" style="2707" customWidth="1"/>
    <col min="3080" max="3080" width="4.5703125" style="2707" customWidth="1"/>
    <col min="3081" max="3081" width="34.5703125" style="2707" customWidth="1"/>
    <col min="3082" max="3082" width="15.28515625" style="2707" customWidth="1"/>
    <col min="3083" max="3083" width="16.5703125" style="2707" customWidth="1"/>
    <col min="3084" max="3084" width="2.42578125" style="2707" customWidth="1"/>
    <col min="3085" max="3085" width="4.140625" style="2707" customWidth="1"/>
    <col min="3086" max="3086" width="3.85546875" style="2707" customWidth="1"/>
    <col min="3087" max="3087" width="14" style="2707" customWidth="1"/>
    <col min="3088" max="3328" width="9.140625" style="2707"/>
    <col min="3329" max="3329" width="4.28515625" style="2707" customWidth="1"/>
    <col min="3330" max="3330" width="14.5703125" style="2707" customWidth="1"/>
    <col min="3331" max="3331" width="4.85546875" style="2707" customWidth="1"/>
    <col min="3332" max="3332" width="36.28515625" style="2707" customWidth="1"/>
    <col min="3333" max="3333" width="15.42578125" style="2707" bestFit="1" customWidth="1"/>
    <col min="3334" max="3334" width="15.42578125" style="2707" customWidth="1"/>
    <col min="3335" max="3335" width="13.5703125" style="2707" customWidth="1"/>
    <col min="3336" max="3336" width="4.5703125" style="2707" customWidth="1"/>
    <col min="3337" max="3337" width="34.5703125" style="2707" customWidth="1"/>
    <col min="3338" max="3338" width="15.28515625" style="2707" customWidth="1"/>
    <col min="3339" max="3339" width="16.5703125" style="2707" customWidth="1"/>
    <col min="3340" max="3340" width="2.42578125" style="2707" customWidth="1"/>
    <col min="3341" max="3341" width="4.140625" style="2707" customWidth="1"/>
    <col min="3342" max="3342" width="3.85546875" style="2707" customWidth="1"/>
    <col min="3343" max="3343" width="14" style="2707" customWidth="1"/>
    <col min="3344" max="3584" width="9.140625" style="2707"/>
    <col min="3585" max="3585" width="4.28515625" style="2707" customWidth="1"/>
    <col min="3586" max="3586" width="14.5703125" style="2707" customWidth="1"/>
    <col min="3587" max="3587" width="4.85546875" style="2707" customWidth="1"/>
    <col min="3588" max="3588" width="36.28515625" style="2707" customWidth="1"/>
    <col min="3589" max="3589" width="15.42578125" style="2707" bestFit="1" customWidth="1"/>
    <col min="3590" max="3590" width="15.42578125" style="2707" customWidth="1"/>
    <col min="3591" max="3591" width="13.5703125" style="2707" customWidth="1"/>
    <col min="3592" max="3592" width="4.5703125" style="2707" customWidth="1"/>
    <col min="3593" max="3593" width="34.5703125" style="2707" customWidth="1"/>
    <col min="3594" max="3594" width="15.28515625" style="2707" customWidth="1"/>
    <col min="3595" max="3595" width="16.5703125" style="2707" customWidth="1"/>
    <col min="3596" max="3596" width="2.42578125" style="2707" customWidth="1"/>
    <col min="3597" max="3597" width="4.140625" style="2707" customWidth="1"/>
    <col min="3598" max="3598" width="3.85546875" style="2707" customWidth="1"/>
    <col min="3599" max="3599" width="14" style="2707" customWidth="1"/>
    <col min="3600" max="3840" width="9.140625" style="2707"/>
    <col min="3841" max="3841" width="4.28515625" style="2707" customWidth="1"/>
    <col min="3842" max="3842" width="14.5703125" style="2707" customWidth="1"/>
    <col min="3843" max="3843" width="4.85546875" style="2707" customWidth="1"/>
    <col min="3844" max="3844" width="36.28515625" style="2707" customWidth="1"/>
    <col min="3845" max="3845" width="15.42578125" style="2707" bestFit="1" customWidth="1"/>
    <col min="3846" max="3846" width="15.42578125" style="2707" customWidth="1"/>
    <col min="3847" max="3847" width="13.5703125" style="2707" customWidth="1"/>
    <col min="3848" max="3848" width="4.5703125" style="2707" customWidth="1"/>
    <col min="3849" max="3849" width="34.5703125" style="2707" customWidth="1"/>
    <col min="3850" max="3850" width="15.28515625" style="2707" customWidth="1"/>
    <col min="3851" max="3851" width="16.5703125" style="2707" customWidth="1"/>
    <col min="3852" max="3852" width="2.42578125" style="2707" customWidth="1"/>
    <col min="3853" max="3853" width="4.140625" style="2707" customWidth="1"/>
    <col min="3854" max="3854" width="3.85546875" style="2707" customWidth="1"/>
    <col min="3855" max="3855" width="14" style="2707" customWidth="1"/>
    <col min="3856" max="4096" width="9.140625" style="2707"/>
    <col min="4097" max="4097" width="4.28515625" style="2707" customWidth="1"/>
    <col min="4098" max="4098" width="14.5703125" style="2707" customWidth="1"/>
    <col min="4099" max="4099" width="4.85546875" style="2707" customWidth="1"/>
    <col min="4100" max="4100" width="36.28515625" style="2707" customWidth="1"/>
    <col min="4101" max="4101" width="15.42578125" style="2707" bestFit="1" customWidth="1"/>
    <col min="4102" max="4102" width="15.42578125" style="2707" customWidth="1"/>
    <col min="4103" max="4103" width="13.5703125" style="2707" customWidth="1"/>
    <col min="4104" max="4104" width="4.5703125" style="2707" customWidth="1"/>
    <col min="4105" max="4105" width="34.5703125" style="2707" customWidth="1"/>
    <col min="4106" max="4106" width="15.28515625" style="2707" customWidth="1"/>
    <col min="4107" max="4107" width="16.5703125" style="2707" customWidth="1"/>
    <col min="4108" max="4108" width="2.42578125" style="2707" customWidth="1"/>
    <col min="4109" max="4109" width="4.140625" style="2707" customWidth="1"/>
    <col min="4110" max="4110" width="3.85546875" style="2707" customWidth="1"/>
    <col min="4111" max="4111" width="14" style="2707" customWidth="1"/>
    <col min="4112" max="4352" width="9.140625" style="2707"/>
    <col min="4353" max="4353" width="4.28515625" style="2707" customWidth="1"/>
    <col min="4354" max="4354" width="14.5703125" style="2707" customWidth="1"/>
    <col min="4355" max="4355" width="4.85546875" style="2707" customWidth="1"/>
    <col min="4356" max="4356" width="36.28515625" style="2707" customWidth="1"/>
    <col min="4357" max="4357" width="15.42578125" style="2707" bestFit="1" customWidth="1"/>
    <col min="4358" max="4358" width="15.42578125" style="2707" customWidth="1"/>
    <col min="4359" max="4359" width="13.5703125" style="2707" customWidth="1"/>
    <col min="4360" max="4360" width="4.5703125" style="2707" customWidth="1"/>
    <col min="4361" max="4361" width="34.5703125" style="2707" customWidth="1"/>
    <col min="4362" max="4362" width="15.28515625" style="2707" customWidth="1"/>
    <col min="4363" max="4363" width="16.5703125" style="2707" customWidth="1"/>
    <col min="4364" max="4364" width="2.42578125" style="2707" customWidth="1"/>
    <col min="4365" max="4365" width="4.140625" style="2707" customWidth="1"/>
    <col min="4366" max="4366" width="3.85546875" style="2707" customWidth="1"/>
    <col min="4367" max="4367" width="14" style="2707" customWidth="1"/>
    <col min="4368" max="4608" width="9.140625" style="2707"/>
    <col min="4609" max="4609" width="4.28515625" style="2707" customWidth="1"/>
    <col min="4610" max="4610" width="14.5703125" style="2707" customWidth="1"/>
    <col min="4611" max="4611" width="4.85546875" style="2707" customWidth="1"/>
    <col min="4612" max="4612" width="36.28515625" style="2707" customWidth="1"/>
    <col min="4613" max="4613" width="15.42578125" style="2707" bestFit="1" customWidth="1"/>
    <col min="4614" max="4614" width="15.42578125" style="2707" customWidth="1"/>
    <col min="4615" max="4615" width="13.5703125" style="2707" customWidth="1"/>
    <col min="4616" max="4616" width="4.5703125" style="2707" customWidth="1"/>
    <col min="4617" max="4617" width="34.5703125" style="2707" customWidth="1"/>
    <col min="4618" max="4618" width="15.28515625" style="2707" customWidth="1"/>
    <col min="4619" max="4619" width="16.5703125" style="2707" customWidth="1"/>
    <col min="4620" max="4620" width="2.42578125" style="2707" customWidth="1"/>
    <col min="4621" max="4621" width="4.140625" style="2707" customWidth="1"/>
    <col min="4622" max="4622" width="3.85546875" style="2707" customWidth="1"/>
    <col min="4623" max="4623" width="14" style="2707" customWidth="1"/>
    <col min="4624" max="4864" width="9.140625" style="2707"/>
    <col min="4865" max="4865" width="4.28515625" style="2707" customWidth="1"/>
    <col min="4866" max="4866" width="14.5703125" style="2707" customWidth="1"/>
    <col min="4867" max="4867" width="4.85546875" style="2707" customWidth="1"/>
    <col min="4868" max="4868" width="36.28515625" style="2707" customWidth="1"/>
    <col min="4869" max="4869" width="15.42578125" style="2707" bestFit="1" customWidth="1"/>
    <col min="4870" max="4870" width="15.42578125" style="2707" customWidth="1"/>
    <col min="4871" max="4871" width="13.5703125" style="2707" customWidth="1"/>
    <col min="4872" max="4872" width="4.5703125" style="2707" customWidth="1"/>
    <col min="4873" max="4873" width="34.5703125" style="2707" customWidth="1"/>
    <col min="4874" max="4874" width="15.28515625" style="2707" customWidth="1"/>
    <col min="4875" max="4875" width="16.5703125" style="2707" customWidth="1"/>
    <col min="4876" max="4876" width="2.42578125" style="2707" customWidth="1"/>
    <col min="4877" max="4877" width="4.140625" style="2707" customWidth="1"/>
    <col min="4878" max="4878" width="3.85546875" style="2707" customWidth="1"/>
    <col min="4879" max="4879" width="14" style="2707" customWidth="1"/>
    <col min="4880" max="5120" width="9.140625" style="2707"/>
    <col min="5121" max="5121" width="4.28515625" style="2707" customWidth="1"/>
    <col min="5122" max="5122" width="14.5703125" style="2707" customWidth="1"/>
    <col min="5123" max="5123" width="4.85546875" style="2707" customWidth="1"/>
    <col min="5124" max="5124" width="36.28515625" style="2707" customWidth="1"/>
    <col min="5125" max="5125" width="15.42578125" style="2707" bestFit="1" customWidth="1"/>
    <col min="5126" max="5126" width="15.42578125" style="2707" customWidth="1"/>
    <col min="5127" max="5127" width="13.5703125" style="2707" customWidth="1"/>
    <col min="5128" max="5128" width="4.5703125" style="2707" customWidth="1"/>
    <col min="5129" max="5129" width="34.5703125" style="2707" customWidth="1"/>
    <col min="5130" max="5130" width="15.28515625" style="2707" customWidth="1"/>
    <col min="5131" max="5131" width="16.5703125" style="2707" customWidth="1"/>
    <col min="5132" max="5132" width="2.42578125" style="2707" customWidth="1"/>
    <col min="5133" max="5133" width="4.140625" style="2707" customWidth="1"/>
    <col min="5134" max="5134" width="3.85546875" style="2707" customWidth="1"/>
    <col min="5135" max="5135" width="14" style="2707" customWidth="1"/>
    <col min="5136" max="5376" width="9.140625" style="2707"/>
    <col min="5377" max="5377" width="4.28515625" style="2707" customWidth="1"/>
    <col min="5378" max="5378" width="14.5703125" style="2707" customWidth="1"/>
    <col min="5379" max="5379" width="4.85546875" style="2707" customWidth="1"/>
    <col min="5380" max="5380" width="36.28515625" style="2707" customWidth="1"/>
    <col min="5381" max="5381" width="15.42578125" style="2707" bestFit="1" customWidth="1"/>
    <col min="5382" max="5382" width="15.42578125" style="2707" customWidth="1"/>
    <col min="5383" max="5383" width="13.5703125" style="2707" customWidth="1"/>
    <col min="5384" max="5384" width="4.5703125" style="2707" customWidth="1"/>
    <col min="5385" max="5385" width="34.5703125" style="2707" customWidth="1"/>
    <col min="5386" max="5386" width="15.28515625" style="2707" customWidth="1"/>
    <col min="5387" max="5387" width="16.5703125" style="2707" customWidth="1"/>
    <col min="5388" max="5388" width="2.42578125" style="2707" customWidth="1"/>
    <col min="5389" max="5389" width="4.140625" style="2707" customWidth="1"/>
    <col min="5390" max="5390" width="3.85546875" style="2707" customWidth="1"/>
    <col min="5391" max="5391" width="14" style="2707" customWidth="1"/>
    <col min="5392" max="5632" width="9.140625" style="2707"/>
    <col min="5633" max="5633" width="4.28515625" style="2707" customWidth="1"/>
    <col min="5634" max="5634" width="14.5703125" style="2707" customWidth="1"/>
    <col min="5635" max="5635" width="4.85546875" style="2707" customWidth="1"/>
    <col min="5636" max="5636" width="36.28515625" style="2707" customWidth="1"/>
    <col min="5637" max="5637" width="15.42578125" style="2707" bestFit="1" customWidth="1"/>
    <col min="5638" max="5638" width="15.42578125" style="2707" customWidth="1"/>
    <col min="5639" max="5639" width="13.5703125" style="2707" customWidth="1"/>
    <col min="5640" max="5640" width="4.5703125" style="2707" customWidth="1"/>
    <col min="5641" max="5641" width="34.5703125" style="2707" customWidth="1"/>
    <col min="5642" max="5642" width="15.28515625" style="2707" customWidth="1"/>
    <col min="5643" max="5643" width="16.5703125" style="2707" customWidth="1"/>
    <col min="5644" max="5644" width="2.42578125" style="2707" customWidth="1"/>
    <col min="5645" max="5645" width="4.140625" style="2707" customWidth="1"/>
    <col min="5646" max="5646" width="3.85546875" style="2707" customWidth="1"/>
    <col min="5647" max="5647" width="14" style="2707" customWidth="1"/>
    <col min="5648" max="5888" width="9.140625" style="2707"/>
    <col min="5889" max="5889" width="4.28515625" style="2707" customWidth="1"/>
    <col min="5890" max="5890" width="14.5703125" style="2707" customWidth="1"/>
    <col min="5891" max="5891" width="4.85546875" style="2707" customWidth="1"/>
    <col min="5892" max="5892" width="36.28515625" style="2707" customWidth="1"/>
    <col min="5893" max="5893" width="15.42578125" style="2707" bestFit="1" customWidth="1"/>
    <col min="5894" max="5894" width="15.42578125" style="2707" customWidth="1"/>
    <col min="5895" max="5895" width="13.5703125" style="2707" customWidth="1"/>
    <col min="5896" max="5896" width="4.5703125" style="2707" customWidth="1"/>
    <col min="5897" max="5897" width="34.5703125" style="2707" customWidth="1"/>
    <col min="5898" max="5898" width="15.28515625" style="2707" customWidth="1"/>
    <col min="5899" max="5899" width="16.5703125" style="2707" customWidth="1"/>
    <col min="5900" max="5900" width="2.42578125" style="2707" customWidth="1"/>
    <col min="5901" max="5901" width="4.140625" style="2707" customWidth="1"/>
    <col min="5902" max="5902" width="3.85546875" style="2707" customWidth="1"/>
    <col min="5903" max="5903" width="14" style="2707" customWidth="1"/>
    <col min="5904" max="6144" width="9.140625" style="2707"/>
    <col min="6145" max="6145" width="4.28515625" style="2707" customWidth="1"/>
    <col min="6146" max="6146" width="14.5703125" style="2707" customWidth="1"/>
    <col min="6147" max="6147" width="4.85546875" style="2707" customWidth="1"/>
    <col min="6148" max="6148" width="36.28515625" style="2707" customWidth="1"/>
    <col min="6149" max="6149" width="15.42578125" style="2707" bestFit="1" customWidth="1"/>
    <col min="6150" max="6150" width="15.42578125" style="2707" customWidth="1"/>
    <col min="6151" max="6151" width="13.5703125" style="2707" customWidth="1"/>
    <col min="6152" max="6152" width="4.5703125" style="2707" customWidth="1"/>
    <col min="6153" max="6153" width="34.5703125" style="2707" customWidth="1"/>
    <col min="6154" max="6154" width="15.28515625" style="2707" customWidth="1"/>
    <col min="6155" max="6155" width="16.5703125" style="2707" customWidth="1"/>
    <col min="6156" max="6156" width="2.42578125" style="2707" customWidth="1"/>
    <col min="6157" max="6157" width="4.140625" style="2707" customWidth="1"/>
    <col min="6158" max="6158" width="3.85546875" style="2707" customWidth="1"/>
    <col min="6159" max="6159" width="14" style="2707" customWidth="1"/>
    <col min="6160" max="6400" width="9.140625" style="2707"/>
    <col min="6401" max="6401" width="4.28515625" style="2707" customWidth="1"/>
    <col min="6402" max="6402" width="14.5703125" style="2707" customWidth="1"/>
    <col min="6403" max="6403" width="4.85546875" style="2707" customWidth="1"/>
    <col min="6404" max="6404" width="36.28515625" style="2707" customWidth="1"/>
    <col min="6405" max="6405" width="15.42578125" style="2707" bestFit="1" customWidth="1"/>
    <col min="6406" max="6406" width="15.42578125" style="2707" customWidth="1"/>
    <col min="6407" max="6407" width="13.5703125" style="2707" customWidth="1"/>
    <col min="6408" max="6408" width="4.5703125" style="2707" customWidth="1"/>
    <col min="6409" max="6409" width="34.5703125" style="2707" customWidth="1"/>
    <col min="6410" max="6410" width="15.28515625" style="2707" customWidth="1"/>
    <col min="6411" max="6411" width="16.5703125" style="2707" customWidth="1"/>
    <col min="6412" max="6412" width="2.42578125" style="2707" customWidth="1"/>
    <col min="6413" max="6413" width="4.140625" style="2707" customWidth="1"/>
    <col min="6414" max="6414" width="3.85546875" style="2707" customWidth="1"/>
    <col min="6415" max="6415" width="14" style="2707" customWidth="1"/>
    <col min="6416" max="6656" width="9.140625" style="2707"/>
    <col min="6657" max="6657" width="4.28515625" style="2707" customWidth="1"/>
    <col min="6658" max="6658" width="14.5703125" style="2707" customWidth="1"/>
    <col min="6659" max="6659" width="4.85546875" style="2707" customWidth="1"/>
    <col min="6660" max="6660" width="36.28515625" style="2707" customWidth="1"/>
    <col min="6661" max="6661" width="15.42578125" style="2707" bestFit="1" customWidth="1"/>
    <col min="6662" max="6662" width="15.42578125" style="2707" customWidth="1"/>
    <col min="6663" max="6663" width="13.5703125" style="2707" customWidth="1"/>
    <col min="6664" max="6664" width="4.5703125" style="2707" customWidth="1"/>
    <col min="6665" max="6665" width="34.5703125" style="2707" customWidth="1"/>
    <col min="6666" max="6666" width="15.28515625" style="2707" customWidth="1"/>
    <col min="6667" max="6667" width="16.5703125" style="2707" customWidth="1"/>
    <col min="6668" max="6668" width="2.42578125" style="2707" customWidth="1"/>
    <col min="6669" max="6669" width="4.140625" style="2707" customWidth="1"/>
    <col min="6670" max="6670" width="3.85546875" style="2707" customWidth="1"/>
    <col min="6671" max="6671" width="14" style="2707" customWidth="1"/>
    <col min="6672" max="6912" width="9.140625" style="2707"/>
    <col min="6913" max="6913" width="4.28515625" style="2707" customWidth="1"/>
    <col min="6914" max="6914" width="14.5703125" style="2707" customWidth="1"/>
    <col min="6915" max="6915" width="4.85546875" style="2707" customWidth="1"/>
    <col min="6916" max="6916" width="36.28515625" style="2707" customWidth="1"/>
    <col min="6917" max="6917" width="15.42578125" style="2707" bestFit="1" customWidth="1"/>
    <col min="6918" max="6918" width="15.42578125" style="2707" customWidth="1"/>
    <col min="6919" max="6919" width="13.5703125" style="2707" customWidth="1"/>
    <col min="6920" max="6920" width="4.5703125" style="2707" customWidth="1"/>
    <col min="6921" max="6921" width="34.5703125" style="2707" customWidth="1"/>
    <col min="6922" max="6922" width="15.28515625" style="2707" customWidth="1"/>
    <col min="6923" max="6923" width="16.5703125" style="2707" customWidth="1"/>
    <col min="6924" max="6924" width="2.42578125" style="2707" customWidth="1"/>
    <col min="6925" max="6925" width="4.140625" style="2707" customWidth="1"/>
    <col min="6926" max="6926" width="3.85546875" style="2707" customWidth="1"/>
    <col min="6927" max="6927" width="14" style="2707" customWidth="1"/>
    <col min="6928" max="7168" width="9.140625" style="2707"/>
    <col min="7169" max="7169" width="4.28515625" style="2707" customWidth="1"/>
    <col min="7170" max="7170" width="14.5703125" style="2707" customWidth="1"/>
    <col min="7171" max="7171" width="4.85546875" style="2707" customWidth="1"/>
    <col min="7172" max="7172" width="36.28515625" style="2707" customWidth="1"/>
    <col min="7173" max="7173" width="15.42578125" style="2707" bestFit="1" customWidth="1"/>
    <col min="7174" max="7174" width="15.42578125" style="2707" customWidth="1"/>
    <col min="7175" max="7175" width="13.5703125" style="2707" customWidth="1"/>
    <col min="7176" max="7176" width="4.5703125" style="2707" customWidth="1"/>
    <col min="7177" max="7177" width="34.5703125" style="2707" customWidth="1"/>
    <col min="7178" max="7178" width="15.28515625" style="2707" customWidth="1"/>
    <col min="7179" max="7179" width="16.5703125" style="2707" customWidth="1"/>
    <col min="7180" max="7180" width="2.42578125" style="2707" customWidth="1"/>
    <col min="7181" max="7181" width="4.140625" style="2707" customWidth="1"/>
    <col min="7182" max="7182" width="3.85546875" style="2707" customWidth="1"/>
    <col min="7183" max="7183" width="14" style="2707" customWidth="1"/>
    <col min="7184" max="7424" width="9.140625" style="2707"/>
    <col min="7425" max="7425" width="4.28515625" style="2707" customWidth="1"/>
    <col min="7426" max="7426" width="14.5703125" style="2707" customWidth="1"/>
    <col min="7427" max="7427" width="4.85546875" style="2707" customWidth="1"/>
    <col min="7428" max="7428" width="36.28515625" style="2707" customWidth="1"/>
    <col min="7429" max="7429" width="15.42578125" style="2707" bestFit="1" customWidth="1"/>
    <col min="7430" max="7430" width="15.42578125" style="2707" customWidth="1"/>
    <col min="7431" max="7431" width="13.5703125" style="2707" customWidth="1"/>
    <col min="7432" max="7432" width="4.5703125" style="2707" customWidth="1"/>
    <col min="7433" max="7433" width="34.5703125" style="2707" customWidth="1"/>
    <col min="7434" max="7434" width="15.28515625" style="2707" customWidth="1"/>
    <col min="7435" max="7435" width="16.5703125" style="2707" customWidth="1"/>
    <col min="7436" max="7436" width="2.42578125" style="2707" customWidth="1"/>
    <col min="7437" max="7437" width="4.140625" style="2707" customWidth="1"/>
    <col min="7438" max="7438" width="3.85546875" style="2707" customWidth="1"/>
    <col min="7439" max="7439" width="14" style="2707" customWidth="1"/>
    <col min="7440" max="7680" width="9.140625" style="2707"/>
    <col min="7681" max="7681" width="4.28515625" style="2707" customWidth="1"/>
    <col min="7682" max="7682" width="14.5703125" style="2707" customWidth="1"/>
    <col min="7683" max="7683" width="4.85546875" style="2707" customWidth="1"/>
    <col min="7684" max="7684" width="36.28515625" style="2707" customWidth="1"/>
    <col min="7685" max="7685" width="15.42578125" style="2707" bestFit="1" customWidth="1"/>
    <col min="7686" max="7686" width="15.42578125" style="2707" customWidth="1"/>
    <col min="7687" max="7687" width="13.5703125" style="2707" customWidth="1"/>
    <col min="7688" max="7688" width="4.5703125" style="2707" customWidth="1"/>
    <col min="7689" max="7689" width="34.5703125" style="2707" customWidth="1"/>
    <col min="7690" max="7690" width="15.28515625" style="2707" customWidth="1"/>
    <col min="7691" max="7691" width="16.5703125" style="2707" customWidth="1"/>
    <col min="7692" max="7692" width="2.42578125" style="2707" customWidth="1"/>
    <col min="7693" max="7693" width="4.140625" style="2707" customWidth="1"/>
    <col min="7694" max="7694" width="3.85546875" style="2707" customWidth="1"/>
    <col min="7695" max="7695" width="14" style="2707" customWidth="1"/>
    <col min="7696" max="7936" width="9.140625" style="2707"/>
    <col min="7937" max="7937" width="4.28515625" style="2707" customWidth="1"/>
    <col min="7938" max="7938" width="14.5703125" style="2707" customWidth="1"/>
    <col min="7939" max="7939" width="4.85546875" style="2707" customWidth="1"/>
    <col min="7940" max="7940" width="36.28515625" style="2707" customWidth="1"/>
    <col min="7941" max="7941" width="15.42578125" style="2707" bestFit="1" customWidth="1"/>
    <col min="7942" max="7942" width="15.42578125" style="2707" customWidth="1"/>
    <col min="7943" max="7943" width="13.5703125" style="2707" customWidth="1"/>
    <col min="7944" max="7944" width="4.5703125" style="2707" customWidth="1"/>
    <col min="7945" max="7945" width="34.5703125" style="2707" customWidth="1"/>
    <col min="7946" max="7946" width="15.28515625" style="2707" customWidth="1"/>
    <col min="7947" max="7947" width="16.5703125" style="2707" customWidth="1"/>
    <col min="7948" max="7948" width="2.42578125" style="2707" customWidth="1"/>
    <col min="7949" max="7949" width="4.140625" style="2707" customWidth="1"/>
    <col min="7950" max="7950" width="3.85546875" style="2707" customWidth="1"/>
    <col min="7951" max="7951" width="14" style="2707" customWidth="1"/>
    <col min="7952" max="8192" width="9.140625" style="2707"/>
    <col min="8193" max="8193" width="4.28515625" style="2707" customWidth="1"/>
    <col min="8194" max="8194" width="14.5703125" style="2707" customWidth="1"/>
    <col min="8195" max="8195" width="4.85546875" style="2707" customWidth="1"/>
    <col min="8196" max="8196" width="36.28515625" style="2707" customWidth="1"/>
    <col min="8197" max="8197" width="15.42578125" style="2707" bestFit="1" customWidth="1"/>
    <col min="8198" max="8198" width="15.42578125" style="2707" customWidth="1"/>
    <col min="8199" max="8199" width="13.5703125" style="2707" customWidth="1"/>
    <col min="8200" max="8200" width="4.5703125" style="2707" customWidth="1"/>
    <col min="8201" max="8201" width="34.5703125" style="2707" customWidth="1"/>
    <col min="8202" max="8202" width="15.28515625" style="2707" customWidth="1"/>
    <col min="8203" max="8203" width="16.5703125" style="2707" customWidth="1"/>
    <col min="8204" max="8204" width="2.42578125" style="2707" customWidth="1"/>
    <col min="8205" max="8205" width="4.140625" style="2707" customWidth="1"/>
    <col min="8206" max="8206" width="3.85546875" style="2707" customWidth="1"/>
    <col min="8207" max="8207" width="14" style="2707" customWidth="1"/>
    <col min="8208" max="8448" width="9.140625" style="2707"/>
    <col min="8449" max="8449" width="4.28515625" style="2707" customWidth="1"/>
    <col min="8450" max="8450" width="14.5703125" style="2707" customWidth="1"/>
    <col min="8451" max="8451" width="4.85546875" style="2707" customWidth="1"/>
    <col min="8452" max="8452" width="36.28515625" style="2707" customWidth="1"/>
    <col min="8453" max="8453" width="15.42578125" style="2707" bestFit="1" customWidth="1"/>
    <col min="8454" max="8454" width="15.42578125" style="2707" customWidth="1"/>
    <col min="8455" max="8455" width="13.5703125" style="2707" customWidth="1"/>
    <col min="8456" max="8456" width="4.5703125" style="2707" customWidth="1"/>
    <col min="8457" max="8457" width="34.5703125" style="2707" customWidth="1"/>
    <col min="8458" max="8458" width="15.28515625" style="2707" customWidth="1"/>
    <col min="8459" max="8459" width="16.5703125" style="2707" customWidth="1"/>
    <col min="8460" max="8460" width="2.42578125" style="2707" customWidth="1"/>
    <col min="8461" max="8461" width="4.140625" style="2707" customWidth="1"/>
    <col min="8462" max="8462" width="3.85546875" style="2707" customWidth="1"/>
    <col min="8463" max="8463" width="14" style="2707" customWidth="1"/>
    <col min="8464" max="8704" width="9.140625" style="2707"/>
    <col min="8705" max="8705" width="4.28515625" style="2707" customWidth="1"/>
    <col min="8706" max="8706" width="14.5703125" style="2707" customWidth="1"/>
    <col min="8707" max="8707" width="4.85546875" style="2707" customWidth="1"/>
    <col min="8708" max="8708" width="36.28515625" style="2707" customWidth="1"/>
    <col min="8709" max="8709" width="15.42578125" style="2707" bestFit="1" customWidth="1"/>
    <col min="8710" max="8710" width="15.42578125" style="2707" customWidth="1"/>
    <col min="8711" max="8711" width="13.5703125" style="2707" customWidth="1"/>
    <col min="8712" max="8712" width="4.5703125" style="2707" customWidth="1"/>
    <col min="8713" max="8713" width="34.5703125" style="2707" customWidth="1"/>
    <col min="8714" max="8714" width="15.28515625" style="2707" customWidth="1"/>
    <col min="8715" max="8715" width="16.5703125" style="2707" customWidth="1"/>
    <col min="8716" max="8716" width="2.42578125" style="2707" customWidth="1"/>
    <col min="8717" max="8717" width="4.140625" style="2707" customWidth="1"/>
    <col min="8718" max="8718" width="3.85546875" style="2707" customWidth="1"/>
    <col min="8719" max="8719" width="14" style="2707" customWidth="1"/>
    <col min="8720" max="8960" width="9.140625" style="2707"/>
    <col min="8961" max="8961" width="4.28515625" style="2707" customWidth="1"/>
    <col min="8962" max="8962" width="14.5703125" style="2707" customWidth="1"/>
    <col min="8963" max="8963" width="4.85546875" style="2707" customWidth="1"/>
    <col min="8964" max="8964" width="36.28515625" style="2707" customWidth="1"/>
    <col min="8965" max="8965" width="15.42578125" style="2707" bestFit="1" customWidth="1"/>
    <col min="8966" max="8966" width="15.42578125" style="2707" customWidth="1"/>
    <col min="8967" max="8967" width="13.5703125" style="2707" customWidth="1"/>
    <col min="8968" max="8968" width="4.5703125" style="2707" customWidth="1"/>
    <col min="8969" max="8969" width="34.5703125" style="2707" customWidth="1"/>
    <col min="8970" max="8970" width="15.28515625" style="2707" customWidth="1"/>
    <col min="8971" max="8971" width="16.5703125" style="2707" customWidth="1"/>
    <col min="8972" max="8972" width="2.42578125" style="2707" customWidth="1"/>
    <col min="8973" max="8973" width="4.140625" style="2707" customWidth="1"/>
    <col min="8974" max="8974" width="3.85546875" style="2707" customWidth="1"/>
    <col min="8975" max="8975" width="14" style="2707" customWidth="1"/>
    <col min="8976" max="9216" width="9.140625" style="2707"/>
    <col min="9217" max="9217" width="4.28515625" style="2707" customWidth="1"/>
    <col min="9218" max="9218" width="14.5703125" style="2707" customWidth="1"/>
    <col min="9219" max="9219" width="4.85546875" style="2707" customWidth="1"/>
    <col min="9220" max="9220" width="36.28515625" style="2707" customWidth="1"/>
    <col min="9221" max="9221" width="15.42578125" style="2707" bestFit="1" customWidth="1"/>
    <col min="9222" max="9222" width="15.42578125" style="2707" customWidth="1"/>
    <col min="9223" max="9223" width="13.5703125" style="2707" customWidth="1"/>
    <col min="9224" max="9224" width="4.5703125" style="2707" customWidth="1"/>
    <col min="9225" max="9225" width="34.5703125" style="2707" customWidth="1"/>
    <col min="9226" max="9226" width="15.28515625" style="2707" customWidth="1"/>
    <col min="9227" max="9227" width="16.5703125" style="2707" customWidth="1"/>
    <col min="9228" max="9228" width="2.42578125" style="2707" customWidth="1"/>
    <col min="9229" max="9229" width="4.140625" style="2707" customWidth="1"/>
    <col min="9230" max="9230" width="3.85546875" style="2707" customWidth="1"/>
    <col min="9231" max="9231" width="14" style="2707" customWidth="1"/>
    <col min="9232" max="9472" width="9.140625" style="2707"/>
    <col min="9473" max="9473" width="4.28515625" style="2707" customWidth="1"/>
    <col min="9474" max="9474" width="14.5703125" style="2707" customWidth="1"/>
    <col min="9475" max="9475" width="4.85546875" style="2707" customWidth="1"/>
    <col min="9476" max="9476" width="36.28515625" style="2707" customWidth="1"/>
    <col min="9477" max="9477" width="15.42578125" style="2707" bestFit="1" customWidth="1"/>
    <col min="9478" max="9478" width="15.42578125" style="2707" customWidth="1"/>
    <col min="9479" max="9479" width="13.5703125" style="2707" customWidth="1"/>
    <col min="9480" max="9480" width="4.5703125" style="2707" customWidth="1"/>
    <col min="9481" max="9481" width="34.5703125" style="2707" customWidth="1"/>
    <col min="9482" max="9482" width="15.28515625" style="2707" customWidth="1"/>
    <col min="9483" max="9483" width="16.5703125" style="2707" customWidth="1"/>
    <col min="9484" max="9484" width="2.42578125" style="2707" customWidth="1"/>
    <col min="9485" max="9485" width="4.140625" style="2707" customWidth="1"/>
    <col min="9486" max="9486" width="3.85546875" style="2707" customWidth="1"/>
    <col min="9487" max="9487" width="14" style="2707" customWidth="1"/>
    <col min="9488" max="9728" width="9.140625" style="2707"/>
    <col min="9729" max="9729" width="4.28515625" style="2707" customWidth="1"/>
    <col min="9730" max="9730" width="14.5703125" style="2707" customWidth="1"/>
    <col min="9731" max="9731" width="4.85546875" style="2707" customWidth="1"/>
    <col min="9732" max="9732" width="36.28515625" style="2707" customWidth="1"/>
    <col min="9733" max="9733" width="15.42578125" style="2707" bestFit="1" customWidth="1"/>
    <col min="9734" max="9734" width="15.42578125" style="2707" customWidth="1"/>
    <col min="9735" max="9735" width="13.5703125" style="2707" customWidth="1"/>
    <col min="9736" max="9736" width="4.5703125" style="2707" customWidth="1"/>
    <col min="9737" max="9737" width="34.5703125" style="2707" customWidth="1"/>
    <col min="9738" max="9738" width="15.28515625" style="2707" customWidth="1"/>
    <col min="9739" max="9739" width="16.5703125" style="2707" customWidth="1"/>
    <col min="9740" max="9740" width="2.42578125" style="2707" customWidth="1"/>
    <col min="9741" max="9741" width="4.140625" style="2707" customWidth="1"/>
    <col min="9742" max="9742" width="3.85546875" style="2707" customWidth="1"/>
    <col min="9743" max="9743" width="14" style="2707" customWidth="1"/>
    <col min="9744" max="9984" width="9.140625" style="2707"/>
    <col min="9985" max="9985" width="4.28515625" style="2707" customWidth="1"/>
    <col min="9986" max="9986" width="14.5703125" style="2707" customWidth="1"/>
    <col min="9987" max="9987" width="4.85546875" style="2707" customWidth="1"/>
    <col min="9988" max="9988" width="36.28515625" style="2707" customWidth="1"/>
    <col min="9989" max="9989" width="15.42578125" style="2707" bestFit="1" customWidth="1"/>
    <col min="9990" max="9990" width="15.42578125" style="2707" customWidth="1"/>
    <col min="9991" max="9991" width="13.5703125" style="2707" customWidth="1"/>
    <col min="9992" max="9992" width="4.5703125" style="2707" customWidth="1"/>
    <col min="9993" max="9993" width="34.5703125" style="2707" customWidth="1"/>
    <col min="9994" max="9994" width="15.28515625" style="2707" customWidth="1"/>
    <col min="9995" max="9995" width="16.5703125" style="2707" customWidth="1"/>
    <col min="9996" max="9996" width="2.42578125" style="2707" customWidth="1"/>
    <col min="9997" max="9997" width="4.140625" style="2707" customWidth="1"/>
    <col min="9998" max="9998" width="3.85546875" style="2707" customWidth="1"/>
    <col min="9999" max="9999" width="14" style="2707" customWidth="1"/>
    <col min="10000" max="10240" width="9.140625" style="2707"/>
    <col min="10241" max="10241" width="4.28515625" style="2707" customWidth="1"/>
    <col min="10242" max="10242" width="14.5703125" style="2707" customWidth="1"/>
    <col min="10243" max="10243" width="4.85546875" style="2707" customWidth="1"/>
    <col min="10244" max="10244" width="36.28515625" style="2707" customWidth="1"/>
    <col min="10245" max="10245" width="15.42578125" style="2707" bestFit="1" customWidth="1"/>
    <col min="10246" max="10246" width="15.42578125" style="2707" customWidth="1"/>
    <col min="10247" max="10247" width="13.5703125" style="2707" customWidth="1"/>
    <col min="10248" max="10248" width="4.5703125" style="2707" customWidth="1"/>
    <col min="10249" max="10249" width="34.5703125" style="2707" customWidth="1"/>
    <col min="10250" max="10250" width="15.28515625" style="2707" customWidth="1"/>
    <col min="10251" max="10251" width="16.5703125" style="2707" customWidth="1"/>
    <col min="10252" max="10252" width="2.42578125" style="2707" customWidth="1"/>
    <col min="10253" max="10253" width="4.140625" style="2707" customWidth="1"/>
    <col min="10254" max="10254" width="3.85546875" style="2707" customWidth="1"/>
    <col min="10255" max="10255" width="14" style="2707" customWidth="1"/>
    <col min="10256" max="10496" width="9.140625" style="2707"/>
    <col min="10497" max="10497" width="4.28515625" style="2707" customWidth="1"/>
    <col min="10498" max="10498" width="14.5703125" style="2707" customWidth="1"/>
    <col min="10499" max="10499" width="4.85546875" style="2707" customWidth="1"/>
    <col min="10500" max="10500" width="36.28515625" style="2707" customWidth="1"/>
    <col min="10501" max="10501" width="15.42578125" style="2707" bestFit="1" customWidth="1"/>
    <col min="10502" max="10502" width="15.42578125" style="2707" customWidth="1"/>
    <col min="10503" max="10503" width="13.5703125" style="2707" customWidth="1"/>
    <col min="10504" max="10504" width="4.5703125" style="2707" customWidth="1"/>
    <col min="10505" max="10505" width="34.5703125" style="2707" customWidth="1"/>
    <col min="10506" max="10506" width="15.28515625" style="2707" customWidth="1"/>
    <col min="10507" max="10507" width="16.5703125" style="2707" customWidth="1"/>
    <col min="10508" max="10508" width="2.42578125" style="2707" customWidth="1"/>
    <col min="10509" max="10509" width="4.140625" style="2707" customWidth="1"/>
    <col min="10510" max="10510" width="3.85546875" style="2707" customWidth="1"/>
    <col min="10511" max="10511" width="14" style="2707" customWidth="1"/>
    <col min="10512" max="10752" width="9.140625" style="2707"/>
    <col min="10753" max="10753" width="4.28515625" style="2707" customWidth="1"/>
    <col min="10754" max="10754" width="14.5703125" style="2707" customWidth="1"/>
    <col min="10755" max="10755" width="4.85546875" style="2707" customWidth="1"/>
    <col min="10756" max="10756" width="36.28515625" style="2707" customWidth="1"/>
    <col min="10757" max="10757" width="15.42578125" style="2707" bestFit="1" customWidth="1"/>
    <col min="10758" max="10758" width="15.42578125" style="2707" customWidth="1"/>
    <col min="10759" max="10759" width="13.5703125" style="2707" customWidth="1"/>
    <col min="10760" max="10760" width="4.5703125" style="2707" customWidth="1"/>
    <col min="10761" max="10761" width="34.5703125" style="2707" customWidth="1"/>
    <col min="10762" max="10762" width="15.28515625" style="2707" customWidth="1"/>
    <col min="10763" max="10763" width="16.5703125" style="2707" customWidth="1"/>
    <col min="10764" max="10764" width="2.42578125" style="2707" customWidth="1"/>
    <col min="10765" max="10765" width="4.140625" style="2707" customWidth="1"/>
    <col min="10766" max="10766" width="3.85546875" style="2707" customWidth="1"/>
    <col min="10767" max="10767" width="14" style="2707" customWidth="1"/>
    <col min="10768" max="11008" width="9.140625" style="2707"/>
    <col min="11009" max="11009" width="4.28515625" style="2707" customWidth="1"/>
    <col min="11010" max="11010" width="14.5703125" style="2707" customWidth="1"/>
    <col min="11011" max="11011" width="4.85546875" style="2707" customWidth="1"/>
    <col min="11012" max="11012" width="36.28515625" style="2707" customWidth="1"/>
    <col min="11013" max="11013" width="15.42578125" style="2707" bestFit="1" customWidth="1"/>
    <col min="11014" max="11014" width="15.42578125" style="2707" customWidth="1"/>
    <col min="11015" max="11015" width="13.5703125" style="2707" customWidth="1"/>
    <col min="11016" max="11016" width="4.5703125" style="2707" customWidth="1"/>
    <col min="11017" max="11017" width="34.5703125" style="2707" customWidth="1"/>
    <col min="11018" max="11018" width="15.28515625" style="2707" customWidth="1"/>
    <col min="11019" max="11019" width="16.5703125" style="2707" customWidth="1"/>
    <col min="11020" max="11020" width="2.42578125" style="2707" customWidth="1"/>
    <col min="11021" max="11021" width="4.140625" style="2707" customWidth="1"/>
    <col min="11022" max="11022" width="3.85546875" style="2707" customWidth="1"/>
    <col min="11023" max="11023" width="14" style="2707" customWidth="1"/>
    <col min="11024" max="11264" width="9.140625" style="2707"/>
    <col min="11265" max="11265" width="4.28515625" style="2707" customWidth="1"/>
    <col min="11266" max="11266" width="14.5703125" style="2707" customWidth="1"/>
    <col min="11267" max="11267" width="4.85546875" style="2707" customWidth="1"/>
    <col min="11268" max="11268" width="36.28515625" style="2707" customWidth="1"/>
    <col min="11269" max="11269" width="15.42578125" style="2707" bestFit="1" customWidth="1"/>
    <col min="11270" max="11270" width="15.42578125" style="2707" customWidth="1"/>
    <col min="11271" max="11271" width="13.5703125" style="2707" customWidth="1"/>
    <col min="11272" max="11272" width="4.5703125" style="2707" customWidth="1"/>
    <col min="11273" max="11273" width="34.5703125" style="2707" customWidth="1"/>
    <col min="11274" max="11274" width="15.28515625" style="2707" customWidth="1"/>
    <col min="11275" max="11275" width="16.5703125" style="2707" customWidth="1"/>
    <col min="11276" max="11276" width="2.42578125" style="2707" customWidth="1"/>
    <col min="11277" max="11277" width="4.140625" style="2707" customWidth="1"/>
    <col min="11278" max="11278" width="3.85546875" style="2707" customWidth="1"/>
    <col min="11279" max="11279" width="14" style="2707" customWidth="1"/>
    <col min="11280" max="11520" width="9.140625" style="2707"/>
    <col min="11521" max="11521" width="4.28515625" style="2707" customWidth="1"/>
    <col min="11522" max="11522" width="14.5703125" style="2707" customWidth="1"/>
    <col min="11523" max="11523" width="4.85546875" style="2707" customWidth="1"/>
    <col min="11524" max="11524" width="36.28515625" style="2707" customWidth="1"/>
    <col min="11525" max="11525" width="15.42578125" style="2707" bestFit="1" customWidth="1"/>
    <col min="11526" max="11526" width="15.42578125" style="2707" customWidth="1"/>
    <col min="11527" max="11527" width="13.5703125" style="2707" customWidth="1"/>
    <col min="11528" max="11528" width="4.5703125" style="2707" customWidth="1"/>
    <col min="11529" max="11529" width="34.5703125" style="2707" customWidth="1"/>
    <col min="11530" max="11530" width="15.28515625" style="2707" customWidth="1"/>
    <col min="11531" max="11531" width="16.5703125" style="2707" customWidth="1"/>
    <col min="11532" max="11532" width="2.42578125" style="2707" customWidth="1"/>
    <col min="11533" max="11533" width="4.140625" style="2707" customWidth="1"/>
    <col min="11534" max="11534" width="3.85546875" style="2707" customWidth="1"/>
    <col min="11535" max="11535" width="14" style="2707" customWidth="1"/>
    <col min="11536" max="11776" width="9.140625" style="2707"/>
    <col min="11777" max="11777" width="4.28515625" style="2707" customWidth="1"/>
    <col min="11778" max="11778" width="14.5703125" style="2707" customWidth="1"/>
    <col min="11779" max="11779" width="4.85546875" style="2707" customWidth="1"/>
    <col min="11780" max="11780" width="36.28515625" style="2707" customWidth="1"/>
    <col min="11781" max="11781" width="15.42578125" style="2707" bestFit="1" customWidth="1"/>
    <col min="11782" max="11782" width="15.42578125" style="2707" customWidth="1"/>
    <col min="11783" max="11783" width="13.5703125" style="2707" customWidth="1"/>
    <col min="11784" max="11784" width="4.5703125" style="2707" customWidth="1"/>
    <col min="11785" max="11785" width="34.5703125" style="2707" customWidth="1"/>
    <col min="11786" max="11786" width="15.28515625" style="2707" customWidth="1"/>
    <col min="11787" max="11787" width="16.5703125" style="2707" customWidth="1"/>
    <col min="11788" max="11788" width="2.42578125" style="2707" customWidth="1"/>
    <col min="11789" max="11789" width="4.140625" style="2707" customWidth="1"/>
    <col min="11790" max="11790" width="3.85546875" style="2707" customWidth="1"/>
    <col min="11791" max="11791" width="14" style="2707" customWidth="1"/>
    <col min="11792" max="12032" width="9.140625" style="2707"/>
    <col min="12033" max="12033" width="4.28515625" style="2707" customWidth="1"/>
    <col min="12034" max="12034" width="14.5703125" style="2707" customWidth="1"/>
    <col min="12035" max="12035" width="4.85546875" style="2707" customWidth="1"/>
    <col min="12036" max="12036" width="36.28515625" style="2707" customWidth="1"/>
    <col min="12037" max="12037" width="15.42578125" style="2707" bestFit="1" customWidth="1"/>
    <col min="12038" max="12038" width="15.42578125" style="2707" customWidth="1"/>
    <col min="12039" max="12039" width="13.5703125" style="2707" customWidth="1"/>
    <col min="12040" max="12040" width="4.5703125" style="2707" customWidth="1"/>
    <col min="12041" max="12041" width="34.5703125" style="2707" customWidth="1"/>
    <col min="12042" max="12042" width="15.28515625" style="2707" customWidth="1"/>
    <col min="12043" max="12043" width="16.5703125" style="2707" customWidth="1"/>
    <col min="12044" max="12044" width="2.42578125" style="2707" customWidth="1"/>
    <col min="12045" max="12045" width="4.140625" style="2707" customWidth="1"/>
    <col min="12046" max="12046" width="3.85546875" style="2707" customWidth="1"/>
    <col min="12047" max="12047" width="14" style="2707" customWidth="1"/>
    <col min="12048" max="12288" width="9.140625" style="2707"/>
    <col min="12289" max="12289" width="4.28515625" style="2707" customWidth="1"/>
    <col min="12290" max="12290" width="14.5703125" style="2707" customWidth="1"/>
    <col min="12291" max="12291" width="4.85546875" style="2707" customWidth="1"/>
    <col min="12292" max="12292" width="36.28515625" style="2707" customWidth="1"/>
    <col min="12293" max="12293" width="15.42578125" style="2707" bestFit="1" customWidth="1"/>
    <col min="12294" max="12294" width="15.42578125" style="2707" customWidth="1"/>
    <col min="12295" max="12295" width="13.5703125" style="2707" customWidth="1"/>
    <col min="12296" max="12296" width="4.5703125" style="2707" customWidth="1"/>
    <col min="12297" max="12297" width="34.5703125" style="2707" customWidth="1"/>
    <col min="12298" max="12298" width="15.28515625" style="2707" customWidth="1"/>
    <col min="12299" max="12299" width="16.5703125" style="2707" customWidth="1"/>
    <col min="12300" max="12300" width="2.42578125" style="2707" customWidth="1"/>
    <col min="12301" max="12301" width="4.140625" style="2707" customWidth="1"/>
    <col min="12302" max="12302" width="3.85546875" style="2707" customWidth="1"/>
    <col min="12303" max="12303" width="14" style="2707" customWidth="1"/>
    <col min="12304" max="12544" width="9.140625" style="2707"/>
    <col min="12545" max="12545" width="4.28515625" style="2707" customWidth="1"/>
    <col min="12546" max="12546" width="14.5703125" style="2707" customWidth="1"/>
    <col min="12547" max="12547" width="4.85546875" style="2707" customWidth="1"/>
    <col min="12548" max="12548" width="36.28515625" style="2707" customWidth="1"/>
    <col min="12549" max="12549" width="15.42578125" style="2707" bestFit="1" customWidth="1"/>
    <col min="12550" max="12550" width="15.42578125" style="2707" customWidth="1"/>
    <col min="12551" max="12551" width="13.5703125" style="2707" customWidth="1"/>
    <col min="12552" max="12552" width="4.5703125" style="2707" customWidth="1"/>
    <col min="12553" max="12553" width="34.5703125" style="2707" customWidth="1"/>
    <col min="12554" max="12554" width="15.28515625" style="2707" customWidth="1"/>
    <col min="12555" max="12555" width="16.5703125" style="2707" customWidth="1"/>
    <col min="12556" max="12556" width="2.42578125" style="2707" customWidth="1"/>
    <col min="12557" max="12557" width="4.140625" style="2707" customWidth="1"/>
    <col min="12558" max="12558" width="3.85546875" style="2707" customWidth="1"/>
    <col min="12559" max="12559" width="14" style="2707" customWidth="1"/>
    <col min="12560" max="12800" width="9.140625" style="2707"/>
    <col min="12801" max="12801" width="4.28515625" style="2707" customWidth="1"/>
    <col min="12802" max="12802" width="14.5703125" style="2707" customWidth="1"/>
    <col min="12803" max="12803" width="4.85546875" style="2707" customWidth="1"/>
    <col min="12804" max="12804" width="36.28515625" style="2707" customWidth="1"/>
    <col min="12805" max="12805" width="15.42578125" style="2707" bestFit="1" customWidth="1"/>
    <col min="12806" max="12806" width="15.42578125" style="2707" customWidth="1"/>
    <col min="12807" max="12807" width="13.5703125" style="2707" customWidth="1"/>
    <col min="12808" max="12808" width="4.5703125" style="2707" customWidth="1"/>
    <col min="12809" max="12809" width="34.5703125" style="2707" customWidth="1"/>
    <col min="12810" max="12810" width="15.28515625" style="2707" customWidth="1"/>
    <col min="12811" max="12811" width="16.5703125" style="2707" customWidth="1"/>
    <col min="12812" max="12812" width="2.42578125" style="2707" customWidth="1"/>
    <col min="12813" max="12813" width="4.140625" style="2707" customWidth="1"/>
    <col min="12814" max="12814" width="3.85546875" style="2707" customWidth="1"/>
    <col min="12815" max="12815" width="14" style="2707" customWidth="1"/>
    <col min="12816" max="13056" width="9.140625" style="2707"/>
    <col min="13057" max="13057" width="4.28515625" style="2707" customWidth="1"/>
    <col min="13058" max="13058" width="14.5703125" style="2707" customWidth="1"/>
    <col min="13059" max="13059" width="4.85546875" style="2707" customWidth="1"/>
    <col min="13060" max="13060" width="36.28515625" style="2707" customWidth="1"/>
    <col min="13061" max="13061" width="15.42578125" style="2707" bestFit="1" customWidth="1"/>
    <col min="13062" max="13062" width="15.42578125" style="2707" customWidth="1"/>
    <col min="13063" max="13063" width="13.5703125" style="2707" customWidth="1"/>
    <col min="13064" max="13064" width="4.5703125" style="2707" customWidth="1"/>
    <col min="13065" max="13065" width="34.5703125" style="2707" customWidth="1"/>
    <col min="13066" max="13066" width="15.28515625" style="2707" customWidth="1"/>
    <col min="13067" max="13067" width="16.5703125" style="2707" customWidth="1"/>
    <col min="13068" max="13068" width="2.42578125" style="2707" customWidth="1"/>
    <col min="13069" max="13069" width="4.140625" style="2707" customWidth="1"/>
    <col min="13070" max="13070" width="3.85546875" style="2707" customWidth="1"/>
    <col min="13071" max="13071" width="14" style="2707" customWidth="1"/>
    <col min="13072" max="13312" width="9.140625" style="2707"/>
    <col min="13313" max="13313" width="4.28515625" style="2707" customWidth="1"/>
    <col min="13314" max="13314" width="14.5703125" style="2707" customWidth="1"/>
    <col min="13315" max="13315" width="4.85546875" style="2707" customWidth="1"/>
    <col min="13316" max="13316" width="36.28515625" style="2707" customWidth="1"/>
    <col min="13317" max="13317" width="15.42578125" style="2707" bestFit="1" customWidth="1"/>
    <col min="13318" max="13318" width="15.42578125" style="2707" customWidth="1"/>
    <col min="13319" max="13319" width="13.5703125" style="2707" customWidth="1"/>
    <col min="13320" max="13320" width="4.5703125" style="2707" customWidth="1"/>
    <col min="13321" max="13321" width="34.5703125" style="2707" customWidth="1"/>
    <col min="13322" max="13322" width="15.28515625" style="2707" customWidth="1"/>
    <col min="13323" max="13323" width="16.5703125" style="2707" customWidth="1"/>
    <col min="13324" max="13324" width="2.42578125" style="2707" customWidth="1"/>
    <col min="13325" max="13325" width="4.140625" style="2707" customWidth="1"/>
    <col min="13326" max="13326" width="3.85546875" style="2707" customWidth="1"/>
    <col min="13327" max="13327" width="14" style="2707" customWidth="1"/>
    <col min="13328" max="13568" width="9.140625" style="2707"/>
    <col min="13569" max="13569" width="4.28515625" style="2707" customWidth="1"/>
    <col min="13570" max="13570" width="14.5703125" style="2707" customWidth="1"/>
    <col min="13571" max="13571" width="4.85546875" style="2707" customWidth="1"/>
    <col min="13572" max="13572" width="36.28515625" style="2707" customWidth="1"/>
    <col min="13573" max="13573" width="15.42578125" style="2707" bestFit="1" customWidth="1"/>
    <col min="13574" max="13574" width="15.42578125" style="2707" customWidth="1"/>
    <col min="13575" max="13575" width="13.5703125" style="2707" customWidth="1"/>
    <col min="13576" max="13576" width="4.5703125" style="2707" customWidth="1"/>
    <col min="13577" max="13577" width="34.5703125" style="2707" customWidth="1"/>
    <col min="13578" max="13578" width="15.28515625" style="2707" customWidth="1"/>
    <col min="13579" max="13579" width="16.5703125" style="2707" customWidth="1"/>
    <col min="13580" max="13580" width="2.42578125" style="2707" customWidth="1"/>
    <col min="13581" max="13581" width="4.140625" style="2707" customWidth="1"/>
    <col min="13582" max="13582" width="3.85546875" style="2707" customWidth="1"/>
    <col min="13583" max="13583" width="14" style="2707" customWidth="1"/>
    <col min="13584" max="13824" width="9.140625" style="2707"/>
    <col min="13825" max="13825" width="4.28515625" style="2707" customWidth="1"/>
    <col min="13826" max="13826" width="14.5703125" style="2707" customWidth="1"/>
    <col min="13827" max="13827" width="4.85546875" style="2707" customWidth="1"/>
    <col min="13828" max="13828" width="36.28515625" style="2707" customWidth="1"/>
    <col min="13829" max="13829" width="15.42578125" style="2707" bestFit="1" customWidth="1"/>
    <col min="13830" max="13830" width="15.42578125" style="2707" customWidth="1"/>
    <col min="13831" max="13831" width="13.5703125" style="2707" customWidth="1"/>
    <col min="13832" max="13832" width="4.5703125" style="2707" customWidth="1"/>
    <col min="13833" max="13833" width="34.5703125" style="2707" customWidth="1"/>
    <col min="13834" max="13834" width="15.28515625" style="2707" customWidth="1"/>
    <col min="13835" max="13835" width="16.5703125" style="2707" customWidth="1"/>
    <col min="13836" max="13836" width="2.42578125" style="2707" customWidth="1"/>
    <col min="13837" max="13837" width="4.140625" style="2707" customWidth="1"/>
    <col min="13838" max="13838" width="3.85546875" style="2707" customWidth="1"/>
    <col min="13839" max="13839" width="14" style="2707" customWidth="1"/>
    <col min="13840" max="14080" width="9.140625" style="2707"/>
    <col min="14081" max="14081" width="4.28515625" style="2707" customWidth="1"/>
    <col min="14082" max="14082" width="14.5703125" style="2707" customWidth="1"/>
    <col min="14083" max="14083" width="4.85546875" style="2707" customWidth="1"/>
    <col min="14084" max="14084" width="36.28515625" style="2707" customWidth="1"/>
    <col min="14085" max="14085" width="15.42578125" style="2707" bestFit="1" customWidth="1"/>
    <col min="14086" max="14086" width="15.42578125" style="2707" customWidth="1"/>
    <col min="14087" max="14087" width="13.5703125" style="2707" customWidth="1"/>
    <col min="14088" max="14088" width="4.5703125" style="2707" customWidth="1"/>
    <col min="14089" max="14089" width="34.5703125" style="2707" customWidth="1"/>
    <col min="14090" max="14090" width="15.28515625" style="2707" customWidth="1"/>
    <col min="14091" max="14091" width="16.5703125" style="2707" customWidth="1"/>
    <col min="14092" max="14092" width="2.42578125" style="2707" customWidth="1"/>
    <col min="14093" max="14093" width="4.140625" style="2707" customWidth="1"/>
    <col min="14094" max="14094" width="3.85546875" style="2707" customWidth="1"/>
    <col min="14095" max="14095" width="14" style="2707" customWidth="1"/>
    <col min="14096" max="14336" width="9.140625" style="2707"/>
    <col min="14337" max="14337" width="4.28515625" style="2707" customWidth="1"/>
    <col min="14338" max="14338" width="14.5703125" style="2707" customWidth="1"/>
    <col min="14339" max="14339" width="4.85546875" style="2707" customWidth="1"/>
    <col min="14340" max="14340" width="36.28515625" style="2707" customWidth="1"/>
    <col min="14341" max="14341" width="15.42578125" style="2707" bestFit="1" customWidth="1"/>
    <col min="14342" max="14342" width="15.42578125" style="2707" customWidth="1"/>
    <col min="14343" max="14343" width="13.5703125" style="2707" customWidth="1"/>
    <col min="14344" max="14344" width="4.5703125" style="2707" customWidth="1"/>
    <col min="14345" max="14345" width="34.5703125" style="2707" customWidth="1"/>
    <col min="14346" max="14346" width="15.28515625" style="2707" customWidth="1"/>
    <col min="14347" max="14347" width="16.5703125" style="2707" customWidth="1"/>
    <col min="14348" max="14348" width="2.42578125" style="2707" customWidth="1"/>
    <col min="14349" max="14349" width="4.140625" style="2707" customWidth="1"/>
    <col min="14350" max="14350" width="3.85546875" style="2707" customWidth="1"/>
    <col min="14351" max="14351" width="14" style="2707" customWidth="1"/>
    <col min="14352" max="14592" width="9.140625" style="2707"/>
    <col min="14593" max="14593" width="4.28515625" style="2707" customWidth="1"/>
    <col min="14594" max="14594" width="14.5703125" style="2707" customWidth="1"/>
    <col min="14595" max="14595" width="4.85546875" style="2707" customWidth="1"/>
    <col min="14596" max="14596" width="36.28515625" style="2707" customWidth="1"/>
    <col min="14597" max="14597" width="15.42578125" style="2707" bestFit="1" customWidth="1"/>
    <col min="14598" max="14598" width="15.42578125" style="2707" customWidth="1"/>
    <col min="14599" max="14599" width="13.5703125" style="2707" customWidth="1"/>
    <col min="14600" max="14600" width="4.5703125" style="2707" customWidth="1"/>
    <col min="14601" max="14601" width="34.5703125" style="2707" customWidth="1"/>
    <col min="14602" max="14602" width="15.28515625" style="2707" customWidth="1"/>
    <col min="14603" max="14603" width="16.5703125" style="2707" customWidth="1"/>
    <col min="14604" max="14604" width="2.42578125" style="2707" customWidth="1"/>
    <col min="14605" max="14605" width="4.140625" style="2707" customWidth="1"/>
    <col min="14606" max="14606" width="3.85546875" style="2707" customWidth="1"/>
    <col min="14607" max="14607" width="14" style="2707" customWidth="1"/>
    <col min="14608" max="14848" width="9.140625" style="2707"/>
    <col min="14849" max="14849" width="4.28515625" style="2707" customWidth="1"/>
    <col min="14850" max="14850" width="14.5703125" style="2707" customWidth="1"/>
    <col min="14851" max="14851" width="4.85546875" style="2707" customWidth="1"/>
    <col min="14852" max="14852" width="36.28515625" style="2707" customWidth="1"/>
    <col min="14853" max="14853" width="15.42578125" style="2707" bestFit="1" customWidth="1"/>
    <col min="14854" max="14854" width="15.42578125" style="2707" customWidth="1"/>
    <col min="14855" max="14855" width="13.5703125" style="2707" customWidth="1"/>
    <col min="14856" max="14856" width="4.5703125" style="2707" customWidth="1"/>
    <col min="14857" max="14857" width="34.5703125" style="2707" customWidth="1"/>
    <col min="14858" max="14858" width="15.28515625" style="2707" customWidth="1"/>
    <col min="14859" max="14859" width="16.5703125" style="2707" customWidth="1"/>
    <col min="14860" max="14860" width="2.42578125" style="2707" customWidth="1"/>
    <col min="14861" max="14861" width="4.140625" style="2707" customWidth="1"/>
    <col min="14862" max="14862" width="3.85546875" style="2707" customWidth="1"/>
    <col min="14863" max="14863" width="14" style="2707" customWidth="1"/>
    <col min="14864" max="15104" width="9.140625" style="2707"/>
    <col min="15105" max="15105" width="4.28515625" style="2707" customWidth="1"/>
    <col min="15106" max="15106" width="14.5703125" style="2707" customWidth="1"/>
    <col min="15107" max="15107" width="4.85546875" style="2707" customWidth="1"/>
    <col min="15108" max="15108" width="36.28515625" style="2707" customWidth="1"/>
    <col min="15109" max="15109" width="15.42578125" style="2707" bestFit="1" customWidth="1"/>
    <col min="15110" max="15110" width="15.42578125" style="2707" customWidth="1"/>
    <col min="15111" max="15111" width="13.5703125" style="2707" customWidth="1"/>
    <col min="15112" max="15112" width="4.5703125" style="2707" customWidth="1"/>
    <col min="15113" max="15113" width="34.5703125" style="2707" customWidth="1"/>
    <col min="15114" max="15114" width="15.28515625" style="2707" customWidth="1"/>
    <col min="15115" max="15115" width="16.5703125" style="2707" customWidth="1"/>
    <col min="15116" max="15116" width="2.42578125" style="2707" customWidth="1"/>
    <col min="15117" max="15117" width="4.140625" style="2707" customWidth="1"/>
    <col min="15118" max="15118" width="3.85546875" style="2707" customWidth="1"/>
    <col min="15119" max="15119" width="14" style="2707" customWidth="1"/>
    <col min="15120" max="15360" width="9.140625" style="2707"/>
    <col min="15361" max="15361" width="4.28515625" style="2707" customWidth="1"/>
    <col min="15362" max="15362" width="14.5703125" style="2707" customWidth="1"/>
    <col min="15363" max="15363" width="4.85546875" style="2707" customWidth="1"/>
    <col min="15364" max="15364" width="36.28515625" style="2707" customWidth="1"/>
    <col min="15365" max="15365" width="15.42578125" style="2707" bestFit="1" customWidth="1"/>
    <col min="15366" max="15366" width="15.42578125" style="2707" customWidth="1"/>
    <col min="15367" max="15367" width="13.5703125" style="2707" customWidth="1"/>
    <col min="15368" max="15368" width="4.5703125" style="2707" customWidth="1"/>
    <col min="15369" max="15369" width="34.5703125" style="2707" customWidth="1"/>
    <col min="15370" max="15370" width="15.28515625" style="2707" customWidth="1"/>
    <col min="15371" max="15371" width="16.5703125" style="2707" customWidth="1"/>
    <col min="15372" max="15372" width="2.42578125" style="2707" customWidth="1"/>
    <col min="15373" max="15373" width="4.140625" style="2707" customWidth="1"/>
    <col min="15374" max="15374" width="3.85546875" style="2707" customWidth="1"/>
    <col min="15375" max="15375" width="14" style="2707" customWidth="1"/>
    <col min="15376" max="15616" width="9.140625" style="2707"/>
    <col min="15617" max="15617" width="4.28515625" style="2707" customWidth="1"/>
    <col min="15618" max="15618" width="14.5703125" style="2707" customWidth="1"/>
    <col min="15619" max="15619" width="4.85546875" style="2707" customWidth="1"/>
    <col min="15620" max="15620" width="36.28515625" style="2707" customWidth="1"/>
    <col min="15621" max="15621" width="15.42578125" style="2707" bestFit="1" customWidth="1"/>
    <col min="15622" max="15622" width="15.42578125" style="2707" customWidth="1"/>
    <col min="15623" max="15623" width="13.5703125" style="2707" customWidth="1"/>
    <col min="15624" max="15624" width="4.5703125" style="2707" customWidth="1"/>
    <col min="15625" max="15625" width="34.5703125" style="2707" customWidth="1"/>
    <col min="15626" max="15626" width="15.28515625" style="2707" customWidth="1"/>
    <col min="15627" max="15627" width="16.5703125" style="2707" customWidth="1"/>
    <col min="15628" max="15628" width="2.42578125" style="2707" customWidth="1"/>
    <col min="15629" max="15629" width="4.140625" style="2707" customWidth="1"/>
    <col min="15630" max="15630" width="3.85546875" style="2707" customWidth="1"/>
    <col min="15631" max="15631" width="14" style="2707" customWidth="1"/>
    <col min="15632" max="15872" width="9.140625" style="2707"/>
    <col min="15873" max="15873" width="4.28515625" style="2707" customWidth="1"/>
    <col min="15874" max="15874" width="14.5703125" style="2707" customWidth="1"/>
    <col min="15875" max="15875" width="4.85546875" style="2707" customWidth="1"/>
    <col min="15876" max="15876" width="36.28515625" style="2707" customWidth="1"/>
    <col min="15877" max="15877" width="15.42578125" style="2707" bestFit="1" customWidth="1"/>
    <col min="15878" max="15878" width="15.42578125" style="2707" customWidth="1"/>
    <col min="15879" max="15879" width="13.5703125" style="2707" customWidth="1"/>
    <col min="15880" max="15880" width="4.5703125" style="2707" customWidth="1"/>
    <col min="15881" max="15881" width="34.5703125" style="2707" customWidth="1"/>
    <col min="15882" max="15882" width="15.28515625" style="2707" customWidth="1"/>
    <col min="15883" max="15883" width="16.5703125" style="2707" customWidth="1"/>
    <col min="15884" max="15884" width="2.42578125" style="2707" customWidth="1"/>
    <col min="15885" max="15885" width="4.140625" style="2707" customWidth="1"/>
    <col min="15886" max="15886" width="3.85546875" style="2707" customWidth="1"/>
    <col min="15887" max="15887" width="14" style="2707" customWidth="1"/>
    <col min="15888" max="16128" width="9.140625" style="2707"/>
    <col min="16129" max="16129" width="4.28515625" style="2707" customWidth="1"/>
    <col min="16130" max="16130" width="14.5703125" style="2707" customWidth="1"/>
    <col min="16131" max="16131" width="4.85546875" style="2707" customWidth="1"/>
    <col min="16132" max="16132" width="36.28515625" style="2707" customWidth="1"/>
    <col min="16133" max="16133" width="15.42578125" style="2707" bestFit="1" customWidth="1"/>
    <col min="16134" max="16134" width="15.42578125" style="2707" customWidth="1"/>
    <col min="16135" max="16135" width="13.5703125" style="2707" customWidth="1"/>
    <col min="16136" max="16136" width="4.5703125" style="2707" customWidth="1"/>
    <col min="16137" max="16137" width="34.5703125" style="2707" customWidth="1"/>
    <col min="16138" max="16138" width="15.28515625" style="2707" customWidth="1"/>
    <col min="16139" max="16139" width="16.5703125" style="2707" customWidth="1"/>
    <col min="16140" max="16140" width="2.42578125" style="2707" customWidth="1"/>
    <col min="16141" max="16141" width="4.140625" style="2707" customWidth="1"/>
    <col min="16142" max="16142" width="3.85546875" style="2707" customWidth="1"/>
    <col min="16143" max="16143" width="14" style="2707" customWidth="1"/>
    <col min="16144" max="16384" width="9.140625" style="2707"/>
  </cols>
  <sheetData>
    <row r="3" spans="2:11">
      <c r="J3" s="2707" t="s">
        <v>94</v>
      </c>
    </row>
    <row r="5" spans="2:11">
      <c r="D5" s="2708"/>
      <c r="E5" s="2709"/>
      <c r="F5" s="2709" t="s">
        <v>2578</v>
      </c>
      <c r="G5" s="2709"/>
      <c r="H5" s="2709"/>
      <c r="I5" s="2709"/>
      <c r="J5" s="2710"/>
    </row>
    <row r="6" spans="2:11">
      <c r="D6" s="6158" t="s">
        <v>2579</v>
      </c>
      <c r="E6" s="6159"/>
      <c r="F6" s="6159"/>
      <c r="G6" s="6159"/>
      <c r="H6" s="6159"/>
      <c r="I6" s="6159"/>
      <c r="J6" s="6160"/>
    </row>
    <row r="7" spans="2:11">
      <c r="D7" s="2711"/>
      <c r="E7" s="2712"/>
      <c r="F7" s="2713" t="s">
        <v>2580</v>
      </c>
      <c r="G7" s="2714"/>
      <c r="H7" s="2714"/>
      <c r="I7" s="2714"/>
      <c r="J7" s="2715"/>
    </row>
    <row r="8" spans="2:11" ht="18.75">
      <c r="D8" s="2716"/>
      <c r="E8" s="2716"/>
      <c r="F8" s="2717"/>
    </row>
    <row r="9" spans="2:11" ht="15.75">
      <c r="B9" s="2718" t="s">
        <v>380</v>
      </c>
      <c r="C9" s="2719"/>
      <c r="D9" s="2720" t="s">
        <v>2581</v>
      </c>
      <c r="E9" s="2721" t="s">
        <v>94</v>
      </c>
      <c r="F9" s="2722" t="s">
        <v>557</v>
      </c>
      <c r="G9" s="2722" t="s">
        <v>380</v>
      </c>
      <c r="H9" s="2719"/>
      <c r="I9" s="2720" t="s">
        <v>768</v>
      </c>
      <c r="J9" s="2721"/>
      <c r="K9" s="2722" t="s">
        <v>557</v>
      </c>
    </row>
    <row r="10" spans="2:11">
      <c r="B10" s="2723" t="s">
        <v>586</v>
      </c>
      <c r="C10" s="2724"/>
      <c r="D10" s="2725"/>
      <c r="E10" s="2726" t="s">
        <v>586</v>
      </c>
      <c r="F10" s="2726" t="s">
        <v>586</v>
      </c>
      <c r="G10" s="2726" t="s">
        <v>586</v>
      </c>
      <c r="H10" s="2724"/>
      <c r="I10" s="2725"/>
      <c r="J10" s="2726" t="s">
        <v>586</v>
      </c>
      <c r="K10" s="2726" t="s">
        <v>586</v>
      </c>
    </row>
    <row r="11" spans="2:11">
      <c r="B11" s="2727"/>
      <c r="C11" s="2728"/>
      <c r="D11" s="2729"/>
      <c r="E11" s="2730"/>
      <c r="F11" s="2730"/>
      <c r="G11" s="2730"/>
      <c r="H11" s="2731"/>
      <c r="I11" s="2732"/>
      <c r="J11" s="2730"/>
      <c r="K11" s="2730"/>
    </row>
    <row r="12" spans="2:11">
      <c r="B12" s="2733"/>
      <c r="C12" s="2734"/>
      <c r="D12" s="2735" t="s">
        <v>851</v>
      </c>
      <c r="E12" s="2736" t="s">
        <v>94</v>
      </c>
      <c r="F12" s="2737"/>
      <c r="G12" s="2737"/>
      <c r="H12" s="2734"/>
      <c r="I12" s="2738" t="s">
        <v>2582</v>
      </c>
      <c r="J12" s="2737"/>
      <c r="K12" s="2733"/>
    </row>
    <row r="13" spans="2:11">
      <c r="B13" s="2739">
        <v>1945111152</v>
      </c>
      <c r="C13" s="2734"/>
      <c r="D13" s="2729" t="s">
        <v>2583</v>
      </c>
      <c r="E13" s="191">
        <v>2200263801</v>
      </c>
      <c r="F13" s="194"/>
      <c r="G13" s="198">
        <v>8869481872</v>
      </c>
      <c r="H13" s="2734"/>
      <c r="I13" s="2729" t="s">
        <v>2584</v>
      </c>
      <c r="J13" s="198">
        <v>10297173984</v>
      </c>
      <c r="K13" s="2740" t="s">
        <v>94</v>
      </c>
    </row>
    <row r="14" spans="2:11">
      <c r="B14" s="191">
        <v>1416427450</v>
      </c>
      <c r="C14" s="2734"/>
      <c r="D14" s="2729" t="s">
        <v>2585</v>
      </c>
      <c r="E14" s="198">
        <v>1643001863</v>
      </c>
      <c r="F14" s="194" t="s">
        <v>94</v>
      </c>
      <c r="G14" s="198">
        <v>1640066363</v>
      </c>
      <c r="H14" s="2734"/>
      <c r="I14" s="2741" t="s">
        <v>2586</v>
      </c>
      <c r="J14" s="198">
        <v>2662764092</v>
      </c>
      <c r="K14" s="2740"/>
    </row>
    <row r="15" spans="2:11">
      <c r="B15" s="191">
        <v>70432058</v>
      </c>
      <c r="C15" s="2734"/>
      <c r="D15" s="2729" t="s">
        <v>2587</v>
      </c>
      <c r="E15" s="198">
        <v>101547103</v>
      </c>
      <c r="F15" s="194" t="s">
        <v>94</v>
      </c>
      <c r="G15" s="198">
        <v>21308457</v>
      </c>
      <c r="H15" s="2734"/>
      <c r="I15" s="2729" t="s">
        <v>2588</v>
      </c>
      <c r="J15" s="198">
        <v>20185331</v>
      </c>
      <c r="K15" s="2740"/>
    </row>
    <row r="16" spans="2:11">
      <c r="B16" s="191">
        <v>259651417</v>
      </c>
      <c r="C16" s="2734"/>
      <c r="D16" s="2729" t="s">
        <v>2589</v>
      </c>
      <c r="E16" s="198">
        <v>262756009</v>
      </c>
      <c r="F16" s="194" t="s">
        <v>94</v>
      </c>
      <c r="G16" s="2742"/>
      <c r="H16" s="2734"/>
      <c r="I16" s="2729" t="s">
        <v>2590</v>
      </c>
      <c r="J16" s="2742"/>
      <c r="K16" s="2740" t="s">
        <v>94</v>
      </c>
    </row>
    <row r="17" spans="2:13">
      <c r="B17" s="191">
        <v>97978866</v>
      </c>
      <c r="C17" s="2743"/>
      <c r="D17" s="2729" t="s">
        <v>2591</v>
      </c>
      <c r="E17" s="2744">
        <v>101575958</v>
      </c>
      <c r="F17" s="191">
        <v>4309144734</v>
      </c>
      <c r="G17" s="2744">
        <v>66573721</v>
      </c>
      <c r="H17" s="2734"/>
      <c r="I17" s="2745" t="s">
        <v>2592</v>
      </c>
      <c r="J17" s="2744">
        <v>89774970</v>
      </c>
      <c r="K17" s="198">
        <f>SUM(J13:J17)</f>
        <v>13069898377</v>
      </c>
    </row>
    <row r="18" spans="2:13">
      <c r="B18" s="2733" t="s">
        <v>94</v>
      </c>
      <c r="C18" s="2734"/>
      <c r="E18" s="194"/>
      <c r="F18" s="191" t="s">
        <v>94</v>
      </c>
      <c r="G18" s="191" t="s">
        <v>94</v>
      </c>
      <c r="H18" s="2734"/>
      <c r="J18" s="2736"/>
      <c r="K18" s="2740" t="s">
        <v>94</v>
      </c>
    </row>
    <row r="19" spans="2:13">
      <c r="B19" s="191">
        <v>8734868077</v>
      </c>
      <c r="C19" s="2734"/>
      <c r="D19" s="2729" t="s">
        <v>2593</v>
      </c>
      <c r="E19" s="194"/>
      <c r="F19" s="198">
        <v>11346841201</v>
      </c>
      <c r="G19" s="191" t="s">
        <v>94</v>
      </c>
      <c r="H19" s="2734"/>
      <c r="I19" s="2729"/>
      <c r="J19" s="2736"/>
      <c r="K19" s="2740" t="s">
        <v>94</v>
      </c>
    </row>
    <row r="20" spans="2:13">
      <c r="B20" s="191">
        <v>490853478</v>
      </c>
      <c r="C20" s="2734"/>
      <c r="D20" s="2729" t="s">
        <v>2594</v>
      </c>
      <c r="E20" s="194"/>
      <c r="F20" s="198">
        <v>619884071</v>
      </c>
      <c r="G20" s="198">
        <v>668278753</v>
      </c>
      <c r="H20" s="2734"/>
      <c r="I20" s="2729" t="s">
        <v>637</v>
      </c>
      <c r="J20" s="2736"/>
      <c r="K20" s="198">
        <v>568348816</v>
      </c>
    </row>
    <row r="21" spans="2:13">
      <c r="B21" s="191" t="s">
        <v>94</v>
      </c>
      <c r="C21" s="2734"/>
      <c r="D21" s="2729"/>
      <c r="E21" s="194" t="s">
        <v>94</v>
      </c>
      <c r="F21" s="191"/>
      <c r="G21" s="191" t="s">
        <v>277</v>
      </c>
      <c r="H21" s="2734"/>
      <c r="J21" s="2736"/>
      <c r="K21" s="191" t="s">
        <v>277</v>
      </c>
    </row>
    <row r="22" spans="2:13">
      <c r="B22" s="191">
        <v>516024666</v>
      </c>
      <c r="C22" s="2734"/>
      <c r="D22" s="2729" t="s">
        <v>2595</v>
      </c>
      <c r="E22" s="194"/>
      <c r="F22" s="191">
        <v>455041406</v>
      </c>
      <c r="G22" s="198">
        <v>141450060</v>
      </c>
      <c r="H22" s="2734"/>
      <c r="I22" s="2729" t="s">
        <v>2596</v>
      </c>
      <c r="J22" s="2736"/>
      <c r="K22" s="191">
        <v>0</v>
      </c>
    </row>
    <row r="23" spans="2:13" ht="33">
      <c r="B23" s="191">
        <v>64980159</v>
      </c>
      <c r="C23" s="2734"/>
      <c r="D23" s="2729" t="s">
        <v>2597</v>
      </c>
      <c r="E23" s="194"/>
      <c r="F23" s="198">
        <v>60206978</v>
      </c>
      <c r="G23" s="191" t="s">
        <v>94</v>
      </c>
      <c r="H23" s="2734"/>
      <c r="I23" s="2729" t="s">
        <v>94</v>
      </c>
      <c r="J23" s="2736"/>
      <c r="K23" s="191"/>
      <c r="M23" s="2746">
        <v>7</v>
      </c>
    </row>
    <row r="24" spans="2:13">
      <c r="B24" s="191"/>
      <c r="C24" s="2734"/>
      <c r="D24" s="2729"/>
      <c r="E24" s="194"/>
      <c r="F24" s="191"/>
      <c r="G24" s="198">
        <v>1568674536</v>
      </c>
      <c r="H24" s="2734"/>
      <c r="I24" s="2729" t="s">
        <v>818</v>
      </c>
      <c r="J24" s="2736"/>
      <c r="K24" s="198">
        <v>154196257</v>
      </c>
    </row>
    <row r="25" spans="2:13">
      <c r="B25" s="191">
        <v>651312117</v>
      </c>
      <c r="C25" s="2734"/>
      <c r="D25" s="2729" t="s">
        <v>2598</v>
      </c>
      <c r="E25" s="194"/>
      <c r="F25" s="198">
        <v>948273033</v>
      </c>
      <c r="G25" s="191" t="s">
        <v>94</v>
      </c>
      <c r="H25" s="2734"/>
      <c r="I25" s="2729"/>
      <c r="J25" s="2736"/>
      <c r="K25" s="191" t="s">
        <v>94</v>
      </c>
    </row>
    <row r="26" spans="2:13">
      <c r="B26" s="191">
        <v>44756159</v>
      </c>
      <c r="C26" s="2734"/>
      <c r="D26" s="2729" t="s">
        <v>2599</v>
      </c>
      <c r="E26" s="194"/>
      <c r="F26" s="198">
        <v>49642902</v>
      </c>
      <c r="G26" s="198">
        <v>32345816</v>
      </c>
      <c r="H26" s="2734"/>
      <c r="I26" s="2729" t="s">
        <v>2600</v>
      </c>
      <c r="J26" s="2736"/>
      <c r="K26" s="198">
        <v>25091434</v>
      </c>
    </row>
    <row r="27" spans="2:13">
      <c r="B27" s="191" t="s">
        <v>94</v>
      </c>
      <c r="C27" s="2734"/>
      <c r="D27" s="2729"/>
      <c r="E27" s="194"/>
      <c r="F27" s="191" t="s">
        <v>94</v>
      </c>
      <c r="G27" s="191" t="s">
        <v>94</v>
      </c>
      <c r="H27" s="2734"/>
      <c r="I27" s="2729"/>
      <c r="J27" s="2736"/>
      <c r="K27" s="191" t="s">
        <v>94</v>
      </c>
    </row>
    <row r="28" spans="2:13">
      <c r="B28" s="191">
        <v>196384488</v>
      </c>
      <c r="C28" s="2734"/>
      <c r="D28" s="2729" t="s">
        <v>2601</v>
      </c>
      <c r="E28" s="194"/>
      <c r="F28" s="198">
        <v>218431896</v>
      </c>
      <c r="G28" s="198">
        <v>28315360</v>
      </c>
      <c r="H28" s="2734"/>
      <c r="I28" s="2729" t="s">
        <v>2602</v>
      </c>
      <c r="J28" s="2736"/>
      <c r="K28" s="198">
        <v>63335434</v>
      </c>
    </row>
    <row r="29" spans="2:13">
      <c r="B29" s="191">
        <v>81268406</v>
      </c>
      <c r="C29" s="2734"/>
      <c r="D29" s="2729" t="s">
        <v>2603</v>
      </c>
      <c r="E29" s="194"/>
      <c r="F29" s="198">
        <v>87404765</v>
      </c>
      <c r="G29" s="191" t="s">
        <v>94</v>
      </c>
      <c r="H29" s="2734"/>
      <c r="I29" s="2729"/>
      <c r="J29" s="2736"/>
      <c r="K29" s="191" t="s">
        <v>94</v>
      </c>
    </row>
    <row r="30" spans="2:13">
      <c r="B30" s="191" t="s">
        <v>94</v>
      </c>
      <c r="C30" s="2734"/>
      <c r="D30" s="2729"/>
      <c r="E30" s="194"/>
      <c r="F30" s="191" t="s">
        <v>94</v>
      </c>
      <c r="G30" s="198">
        <v>139879589</v>
      </c>
      <c r="H30" s="2747"/>
      <c r="I30" s="2729" t="s">
        <v>2604</v>
      </c>
      <c r="J30" s="2736" t="s">
        <v>94</v>
      </c>
      <c r="K30" s="198">
        <v>105525242</v>
      </c>
    </row>
    <row r="31" spans="2:13" ht="15.75">
      <c r="B31" s="191">
        <v>1010304880</v>
      </c>
      <c r="C31" s="2734"/>
      <c r="D31" s="2729" t="s">
        <v>2605</v>
      </c>
      <c r="E31" s="194"/>
      <c r="F31" s="198">
        <v>553047656</v>
      </c>
      <c r="G31" s="204">
        <v>13176374527</v>
      </c>
      <c r="H31" s="2748"/>
      <c r="I31" s="2749" t="s">
        <v>47</v>
      </c>
      <c r="J31" s="2750"/>
      <c r="K31" s="204">
        <v>13986395560</v>
      </c>
      <c r="L31" s="2734"/>
    </row>
    <row r="32" spans="2:13">
      <c r="B32" s="191">
        <v>10405655</v>
      </c>
      <c r="C32" s="2734"/>
      <c r="D32" s="2729" t="s">
        <v>2606</v>
      </c>
      <c r="E32" s="194"/>
      <c r="F32" s="198">
        <v>18510939</v>
      </c>
      <c r="G32" s="191"/>
      <c r="H32" s="2743"/>
      <c r="J32" s="2751"/>
      <c r="K32" s="2740"/>
      <c r="L32" s="2734"/>
    </row>
    <row r="33" spans="2:12">
      <c r="B33" s="191" t="s">
        <v>94</v>
      </c>
      <c r="C33" s="2734"/>
      <c r="D33" s="2729"/>
      <c r="E33" s="194"/>
      <c r="F33" s="191" t="s">
        <v>94</v>
      </c>
      <c r="G33" s="196">
        <v>-3917294351</v>
      </c>
      <c r="H33" s="2734"/>
      <c r="I33" s="2745" t="s">
        <v>2607</v>
      </c>
      <c r="J33" s="2736"/>
      <c r="K33" s="2762">
        <v>-6335041719</v>
      </c>
    </row>
    <row r="34" spans="2:12">
      <c r="B34" s="191">
        <v>1502909850</v>
      </c>
      <c r="C34" s="2734"/>
      <c r="D34" s="2729" t="s">
        <v>2608</v>
      </c>
      <c r="E34" s="194"/>
      <c r="F34" s="198">
        <v>1655007698</v>
      </c>
      <c r="G34" s="2733"/>
      <c r="H34" s="2734"/>
      <c r="I34" s="2729"/>
      <c r="J34" s="2737"/>
      <c r="K34" s="2733"/>
    </row>
    <row r="35" spans="2:12">
      <c r="B35" s="191">
        <v>0</v>
      </c>
      <c r="C35" s="2734"/>
      <c r="D35" s="2729" t="s">
        <v>2609</v>
      </c>
      <c r="E35" s="194"/>
      <c r="F35" s="191">
        <v>0</v>
      </c>
      <c r="G35" s="2733"/>
      <c r="H35" s="2734"/>
      <c r="I35" s="2729"/>
      <c r="J35" s="2737"/>
      <c r="K35" s="2733"/>
    </row>
    <row r="36" spans="2:12">
      <c r="B36" s="191" t="s">
        <v>94</v>
      </c>
      <c r="C36" s="2734"/>
      <c r="D36" s="2729"/>
      <c r="E36" s="194"/>
      <c r="F36" s="191" t="s">
        <v>94</v>
      </c>
      <c r="G36" s="2733"/>
      <c r="H36" s="2734"/>
      <c r="I36" s="2729"/>
      <c r="J36" s="2737"/>
      <c r="K36" s="2733"/>
    </row>
    <row r="37" spans="2:12">
      <c r="B37" s="191" t="s">
        <v>94</v>
      </c>
      <c r="C37" s="2734"/>
      <c r="D37" s="2729" t="s">
        <v>94</v>
      </c>
      <c r="E37" s="194"/>
      <c r="F37" s="191" t="s">
        <v>94</v>
      </c>
      <c r="G37" s="2733"/>
      <c r="H37" s="2734"/>
      <c r="I37" s="2729"/>
      <c r="J37" s="2737"/>
      <c r="K37" s="2733"/>
    </row>
    <row r="38" spans="2:12">
      <c r="B38" s="221" t="s">
        <v>94</v>
      </c>
      <c r="C38" s="2747"/>
      <c r="D38" s="2752" t="s">
        <v>94</v>
      </c>
      <c r="E38" s="2753"/>
      <c r="F38" s="221" t="s">
        <v>94</v>
      </c>
      <c r="G38" s="2754"/>
      <c r="H38" s="2747"/>
      <c r="I38" s="2752"/>
      <c r="J38" s="2755"/>
      <c r="K38" s="2754"/>
    </row>
    <row r="39" spans="2:12" ht="15.75">
      <c r="B39" s="228">
        <v>17093668878</v>
      </c>
      <c r="C39" s="2756"/>
      <c r="D39" s="2757" t="s">
        <v>47</v>
      </c>
      <c r="E39" s="228" t="s">
        <v>801</v>
      </c>
      <c r="F39" s="222">
        <v>20321437279</v>
      </c>
      <c r="G39" s="222">
        <v>17093668878</v>
      </c>
      <c r="H39" s="2756"/>
      <c r="I39" s="2749" t="s">
        <v>47</v>
      </c>
      <c r="J39" s="2758"/>
      <c r="K39" s="222">
        <f>SUM(K31-K33)</f>
        <v>20321437279</v>
      </c>
    </row>
    <row r="40" spans="2:12">
      <c r="C40" s="2759"/>
      <c r="D40" s="2743"/>
      <c r="F40" s="2743"/>
      <c r="H40" s="2743"/>
      <c r="I40" s="2760" t="s">
        <v>2610</v>
      </c>
      <c r="J40" s="2743"/>
      <c r="K40" s="2743"/>
      <c r="L40" s="2743"/>
    </row>
    <row r="41" spans="2:12">
      <c r="F41" s="2707" t="s">
        <v>94</v>
      </c>
      <c r="K41" s="2761"/>
    </row>
    <row r="42" spans="2:12">
      <c r="G42" s="2743" t="s">
        <v>94</v>
      </c>
      <c r="H42" s="2743"/>
    </row>
    <row r="44" spans="2:12">
      <c r="E44" s="2707" t="s">
        <v>94</v>
      </c>
    </row>
    <row r="45" spans="2:12">
      <c r="I45" s="2743"/>
    </row>
  </sheetData>
  <mergeCells count="1">
    <mergeCell ref="D6:J6"/>
  </mergeCells>
  <printOptions horizontalCentered="1" verticalCentered="1"/>
  <pageMargins left="0.25" right="0.25" top="0.25" bottom="0.25" header="0.3" footer="0.3"/>
  <pageSetup paperSize="9" scale="88" orientation="landscape" r:id="rId1"/>
  <legacyDrawing r:id="rId2"/>
</worksheet>
</file>

<file path=xl/worksheets/sheet103.xml><?xml version="1.0" encoding="utf-8"?>
<worksheet xmlns="http://schemas.openxmlformats.org/spreadsheetml/2006/main" xmlns:r="http://schemas.openxmlformats.org/officeDocument/2006/relationships">
  <sheetPr codeName="Sheet82">
    <pageSetUpPr fitToPage="1"/>
  </sheetPr>
  <dimension ref="A1:Y64"/>
  <sheetViews>
    <sheetView showGridLines="0" zoomScale="60" zoomScaleNormal="60" workbookViewId="0">
      <pane xSplit="3" ySplit="4" topLeftCell="F23" activePane="bottomRight" state="frozen"/>
      <selection activeCell="E8" sqref="E8:E9"/>
      <selection pane="topRight" activeCell="E8" sqref="E8:E9"/>
      <selection pane="bottomLeft" activeCell="E8" sqref="E8:E9"/>
      <selection pane="bottomRight" activeCell="E8" sqref="E8:E9"/>
    </sheetView>
  </sheetViews>
  <sheetFormatPr defaultRowHeight="15"/>
  <cols>
    <col min="2" max="2" width="39.7109375" customWidth="1"/>
    <col min="3" max="3" width="13.28515625" customWidth="1"/>
    <col min="4" max="4" width="15.7109375" customWidth="1"/>
    <col min="5" max="5" width="16.42578125" customWidth="1"/>
    <col min="6" max="6" width="15.7109375" customWidth="1"/>
    <col min="7" max="7" width="14.7109375" customWidth="1"/>
    <col min="8" max="8" width="17" customWidth="1"/>
    <col min="9" max="9" width="15.5703125" customWidth="1"/>
    <col min="10" max="10" width="11.7109375" customWidth="1"/>
    <col min="11" max="11" width="16.42578125" customWidth="1"/>
    <col min="12" max="12" width="16" customWidth="1"/>
    <col min="13" max="13" width="15" customWidth="1"/>
    <col min="14" max="14" width="15.42578125" customWidth="1"/>
    <col min="15" max="15" width="16.28515625" customWidth="1"/>
    <col min="16" max="16" width="15.7109375" customWidth="1"/>
    <col min="17" max="18" width="17" customWidth="1"/>
    <col min="19" max="19" width="13.28515625" customWidth="1"/>
    <col min="20" max="20" width="13.7109375" customWidth="1"/>
    <col min="21" max="21" width="12.140625" customWidth="1"/>
    <col min="258" max="258" width="39.7109375" customWidth="1"/>
    <col min="259" max="259" width="4.7109375" customWidth="1"/>
    <col min="260" max="260" width="15.7109375" customWidth="1"/>
    <col min="261" max="261" width="16.42578125" customWidth="1"/>
    <col min="262" max="262" width="15.7109375" customWidth="1"/>
    <col min="263" max="263" width="14.7109375" customWidth="1"/>
    <col min="264" max="264" width="17" customWidth="1"/>
    <col min="265" max="265" width="15.5703125" customWidth="1"/>
    <col min="266" max="266" width="11.7109375" customWidth="1"/>
    <col min="267" max="267" width="16.42578125" customWidth="1"/>
    <col min="268" max="268" width="16" customWidth="1"/>
    <col min="269" max="269" width="15" customWidth="1"/>
    <col min="270" max="270" width="15.42578125" customWidth="1"/>
    <col min="271" max="271" width="16.28515625" customWidth="1"/>
    <col min="272" max="272" width="15.7109375" customWidth="1"/>
    <col min="273" max="274" width="17" customWidth="1"/>
    <col min="275" max="275" width="13.28515625" customWidth="1"/>
    <col min="276" max="276" width="13.7109375" customWidth="1"/>
    <col min="277" max="277" width="12.140625" customWidth="1"/>
    <col min="514" max="514" width="39.7109375" customWidth="1"/>
    <col min="515" max="515" width="4.7109375" customWidth="1"/>
    <col min="516" max="516" width="15.7109375" customWidth="1"/>
    <col min="517" max="517" width="16.42578125" customWidth="1"/>
    <col min="518" max="518" width="15.7109375" customWidth="1"/>
    <col min="519" max="519" width="14.7109375" customWidth="1"/>
    <col min="520" max="520" width="17" customWidth="1"/>
    <col min="521" max="521" width="15.5703125" customWidth="1"/>
    <col min="522" max="522" width="11.7109375" customWidth="1"/>
    <col min="523" max="523" width="16.42578125" customWidth="1"/>
    <col min="524" max="524" width="16" customWidth="1"/>
    <col min="525" max="525" width="15" customWidth="1"/>
    <col min="526" max="526" width="15.42578125" customWidth="1"/>
    <col min="527" max="527" width="16.28515625" customWidth="1"/>
    <col min="528" max="528" width="15.7109375" customWidth="1"/>
    <col min="529" max="530" width="17" customWidth="1"/>
    <col min="531" max="531" width="13.28515625" customWidth="1"/>
    <col min="532" max="532" width="13.7109375" customWidth="1"/>
    <col min="533" max="533" width="12.140625" customWidth="1"/>
    <col min="770" max="770" width="39.7109375" customWidth="1"/>
    <col min="771" max="771" width="4.7109375" customWidth="1"/>
    <col min="772" max="772" width="15.7109375" customWidth="1"/>
    <col min="773" max="773" width="16.42578125" customWidth="1"/>
    <col min="774" max="774" width="15.7109375" customWidth="1"/>
    <col min="775" max="775" width="14.7109375" customWidth="1"/>
    <col min="776" max="776" width="17" customWidth="1"/>
    <col min="777" max="777" width="15.5703125" customWidth="1"/>
    <col min="778" max="778" width="11.7109375" customWidth="1"/>
    <col min="779" max="779" width="16.42578125" customWidth="1"/>
    <col min="780" max="780" width="16" customWidth="1"/>
    <col min="781" max="781" width="15" customWidth="1"/>
    <col min="782" max="782" width="15.42578125" customWidth="1"/>
    <col min="783" max="783" width="16.28515625" customWidth="1"/>
    <col min="784" max="784" width="15.7109375" customWidth="1"/>
    <col min="785" max="786" width="17" customWidth="1"/>
    <col min="787" max="787" width="13.28515625" customWidth="1"/>
    <col min="788" max="788" width="13.7109375" customWidth="1"/>
    <col min="789" max="789" width="12.140625" customWidth="1"/>
    <col min="1026" max="1026" width="39.7109375" customWidth="1"/>
    <col min="1027" max="1027" width="4.7109375" customWidth="1"/>
    <col min="1028" max="1028" width="15.7109375" customWidth="1"/>
    <col min="1029" max="1029" width="16.42578125" customWidth="1"/>
    <col min="1030" max="1030" width="15.7109375" customWidth="1"/>
    <col min="1031" max="1031" width="14.7109375" customWidth="1"/>
    <col min="1032" max="1032" width="17" customWidth="1"/>
    <col min="1033" max="1033" width="15.5703125" customWidth="1"/>
    <col min="1034" max="1034" width="11.7109375" customWidth="1"/>
    <col min="1035" max="1035" width="16.42578125" customWidth="1"/>
    <col min="1036" max="1036" width="16" customWidth="1"/>
    <col min="1037" max="1037" width="15" customWidth="1"/>
    <col min="1038" max="1038" width="15.42578125" customWidth="1"/>
    <col min="1039" max="1039" width="16.28515625" customWidth="1"/>
    <col min="1040" max="1040" width="15.7109375" customWidth="1"/>
    <col min="1041" max="1042" width="17" customWidth="1"/>
    <col min="1043" max="1043" width="13.28515625" customWidth="1"/>
    <col min="1044" max="1044" width="13.7109375" customWidth="1"/>
    <col min="1045" max="1045" width="12.140625" customWidth="1"/>
    <col min="1282" max="1282" width="39.7109375" customWidth="1"/>
    <col min="1283" max="1283" width="4.7109375" customWidth="1"/>
    <col min="1284" max="1284" width="15.7109375" customWidth="1"/>
    <col min="1285" max="1285" width="16.42578125" customWidth="1"/>
    <col min="1286" max="1286" width="15.7109375" customWidth="1"/>
    <col min="1287" max="1287" width="14.7109375" customWidth="1"/>
    <col min="1288" max="1288" width="17" customWidth="1"/>
    <col min="1289" max="1289" width="15.5703125" customWidth="1"/>
    <col min="1290" max="1290" width="11.7109375" customWidth="1"/>
    <col min="1291" max="1291" width="16.42578125" customWidth="1"/>
    <col min="1292" max="1292" width="16" customWidth="1"/>
    <col min="1293" max="1293" width="15" customWidth="1"/>
    <col min="1294" max="1294" width="15.42578125" customWidth="1"/>
    <col min="1295" max="1295" width="16.28515625" customWidth="1"/>
    <col min="1296" max="1296" width="15.7109375" customWidth="1"/>
    <col min="1297" max="1298" width="17" customWidth="1"/>
    <col min="1299" max="1299" width="13.28515625" customWidth="1"/>
    <col min="1300" max="1300" width="13.7109375" customWidth="1"/>
    <col min="1301" max="1301" width="12.140625" customWidth="1"/>
    <col min="1538" max="1538" width="39.7109375" customWidth="1"/>
    <col min="1539" max="1539" width="4.7109375" customWidth="1"/>
    <col min="1540" max="1540" width="15.7109375" customWidth="1"/>
    <col min="1541" max="1541" width="16.42578125" customWidth="1"/>
    <col min="1542" max="1542" width="15.7109375" customWidth="1"/>
    <col min="1543" max="1543" width="14.7109375" customWidth="1"/>
    <col min="1544" max="1544" width="17" customWidth="1"/>
    <col min="1545" max="1545" width="15.5703125" customWidth="1"/>
    <col min="1546" max="1546" width="11.7109375" customWidth="1"/>
    <col min="1547" max="1547" width="16.42578125" customWidth="1"/>
    <col min="1548" max="1548" width="16" customWidth="1"/>
    <col min="1549" max="1549" width="15" customWidth="1"/>
    <col min="1550" max="1550" width="15.42578125" customWidth="1"/>
    <col min="1551" max="1551" width="16.28515625" customWidth="1"/>
    <col min="1552" max="1552" width="15.7109375" customWidth="1"/>
    <col min="1553" max="1554" width="17" customWidth="1"/>
    <col min="1555" max="1555" width="13.28515625" customWidth="1"/>
    <col min="1556" max="1556" width="13.7109375" customWidth="1"/>
    <col min="1557" max="1557" width="12.140625" customWidth="1"/>
    <col min="1794" max="1794" width="39.7109375" customWidth="1"/>
    <col min="1795" max="1795" width="4.7109375" customWidth="1"/>
    <col min="1796" max="1796" width="15.7109375" customWidth="1"/>
    <col min="1797" max="1797" width="16.42578125" customWidth="1"/>
    <col min="1798" max="1798" width="15.7109375" customWidth="1"/>
    <col min="1799" max="1799" width="14.7109375" customWidth="1"/>
    <col min="1800" max="1800" width="17" customWidth="1"/>
    <col min="1801" max="1801" width="15.5703125" customWidth="1"/>
    <col min="1802" max="1802" width="11.7109375" customWidth="1"/>
    <col min="1803" max="1803" width="16.42578125" customWidth="1"/>
    <col min="1804" max="1804" width="16" customWidth="1"/>
    <col min="1805" max="1805" width="15" customWidth="1"/>
    <col min="1806" max="1806" width="15.42578125" customWidth="1"/>
    <col min="1807" max="1807" width="16.28515625" customWidth="1"/>
    <col min="1808" max="1808" width="15.7109375" customWidth="1"/>
    <col min="1809" max="1810" width="17" customWidth="1"/>
    <col min="1811" max="1811" width="13.28515625" customWidth="1"/>
    <col min="1812" max="1812" width="13.7109375" customWidth="1"/>
    <col min="1813" max="1813" width="12.140625" customWidth="1"/>
    <col min="2050" max="2050" width="39.7109375" customWidth="1"/>
    <col min="2051" max="2051" width="4.7109375" customWidth="1"/>
    <col min="2052" max="2052" width="15.7109375" customWidth="1"/>
    <col min="2053" max="2053" width="16.42578125" customWidth="1"/>
    <col min="2054" max="2054" width="15.7109375" customWidth="1"/>
    <col min="2055" max="2055" width="14.7109375" customWidth="1"/>
    <col min="2056" max="2056" width="17" customWidth="1"/>
    <col min="2057" max="2057" width="15.5703125" customWidth="1"/>
    <col min="2058" max="2058" width="11.7109375" customWidth="1"/>
    <col min="2059" max="2059" width="16.42578125" customWidth="1"/>
    <col min="2060" max="2060" width="16" customWidth="1"/>
    <col min="2061" max="2061" width="15" customWidth="1"/>
    <col min="2062" max="2062" width="15.42578125" customWidth="1"/>
    <col min="2063" max="2063" width="16.28515625" customWidth="1"/>
    <col min="2064" max="2064" width="15.7109375" customWidth="1"/>
    <col min="2065" max="2066" width="17" customWidth="1"/>
    <col min="2067" max="2067" width="13.28515625" customWidth="1"/>
    <col min="2068" max="2068" width="13.7109375" customWidth="1"/>
    <col min="2069" max="2069" width="12.140625" customWidth="1"/>
    <col min="2306" max="2306" width="39.7109375" customWidth="1"/>
    <col min="2307" max="2307" width="4.7109375" customWidth="1"/>
    <col min="2308" max="2308" width="15.7109375" customWidth="1"/>
    <col min="2309" max="2309" width="16.42578125" customWidth="1"/>
    <col min="2310" max="2310" width="15.7109375" customWidth="1"/>
    <col min="2311" max="2311" width="14.7109375" customWidth="1"/>
    <col min="2312" max="2312" width="17" customWidth="1"/>
    <col min="2313" max="2313" width="15.5703125" customWidth="1"/>
    <col min="2314" max="2314" width="11.7109375" customWidth="1"/>
    <col min="2315" max="2315" width="16.42578125" customWidth="1"/>
    <col min="2316" max="2316" width="16" customWidth="1"/>
    <col min="2317" max="2317" width="15" customWidth="1"/>
    <col min="2318" max="2318" width="15.42578125" customWidth="1"/>
    <col min="2319" max="2319" width="16.28515625" customWidth="1"/>
    <col min="2320" max="2320" width="15.7109375" customWidth="1"/>
    <col min="2321" max="2322" width="17" customWidth="1"/>
    <col min="2323" max="2323" width="13.28515625" customWidth="1"/>
    <col min="2324" max="2324" width="13.7109375" customWidth="1"/>
    <col min="2325" max="2325" width="12.140625" customWidth="1"/>
    <col min="2562" max="2562" width="39.7109375" customWidth="1"/>
    <col min="2563" max="2563" width="4.7109375" customWidth="1"/>
    <col min="2564" max="2564" width="15.7109375" customWidth="1"/>
    <col min="2565" max="2565" width="16.42578125" customWidth="1"/>
    <col min="2566" max="2566" width="15.7109375" customWidth="1"/>
    <col min="2567" max="2567" width="14.7109375" customWidth="1"/>
    <col min="2568" max="2568" width="17" customWidth="1"/>
    <col min="2569" max="2569" width="15.5703125" customWidth="1"/>
    <col min="2570" max="2570" width="11.7109375" customWidth="1"/>
    <col min="2571" max="2571" width="16.42578125" customWidth="1"/>
    <col min="2572" max="2572" width="16" customWidth="1"/>
    <col min="2573" max="2573" width="15" customWidth="1"/>
    <col min="2574" max="2574" width="15.42578125" customWidth="1"/>
    <col min="2575" max="2575" width="16.28515625" customWidth="1"/>
    <col min="2576" max="2576" width="15.7109375" customWidth="1"/>
    <col min="2577" max="2578" width="17" customWidth="1"/>
    <col min="2579" max="2579" width="13.28515625" customWidth="1"/>
    <col min="2580" max="2580" width="13.7109375" customWidth="1"/>
    <col min="2581" max="2581" width="12.140625" customWidth="1"/>
    <col min="2818" max="2818" width="39.7109375" customWidth="1"/>
    <col min="2819" max="2819" width="4.7109375" customWidth="1"/>
    <col min="2820" max="2820" width="15.7109375" customWidth="1"/>
    <col min="2821" max="2821" width="16.42578125" customWidth="1"/>
    <col min="2822" max="2822" width="15.7109375" customWidth="1"/>
    <col min="2823" max="2823" width="14.7109375" customWidth="1"/>
    <col min="2824" max="2824" width="17" customWidth="1"/>
    <col min="2825" max="2825" width="15.5703125" customWidth="1"/>
    <col min="2826" max="2826" width="11.7109375" customWidth="1"/>
    <col min="2827" max="2827" width="16.42578125" customWidth="1"/>
    <col min="2828" max="2828" width="16" customWidth="1"/>
    <col min="2829" max="2829" width="15" customWidth="1"/>
    <col min="2830" max="2830" width="15.42578125" customWidth="1"/>
    <col min="2831" max="2831" width="16.28515625" customWidth="1"/>
    <col min="2832" max="2832" width="15.7109375" customWidth="1"/>
    <col min="2833" max="2834" width="17" customWidth="1"/>
    <col min="2835" max="2835" width="13.28515625" customWidth="1"/>
    <col min="2836" max="2836" width="13.7109375" customWidth="1"/>
    <col min="2837" max="2837" width="12.140625" customWidth="1"/>
    <col min="3074" max="3074" width="39.7109375" customWidth="1"/>
    <col min="3075" max="3075" width="4.7109375" customWidth="1"/>
    <col min="3076" max="3076" width="15.7109375" customWidth="1"/>
    <col min="3077" max="3077" width="16.42578125" customWidth="1"/>
    <col min="3078" max="3078" width="15.7109375" customWidth="1"/>
    <col min="3079" max="3079" width="14.7109375" customWidth="1"/>
    <col min="3080" max="3080" width="17" customWidth="1"/>
    <col min="3081" max="3081" width="15.5703125" customWidth="1"/>
    <col min="3082" max="3082" width="11.7109375" customWidth="1"/>
    <col min="3083" max="3083" width="16.42578125" customWidth="1"/>
    <col min="3084" max="3084" width="16" customWidth="1"/>
    <col min="3085" max="3085" width="15" customWidth="1"/>
    <col min="3086" max="3086" width="15.42578125" customWidth="1"/>
    <col min="3087" max="3087" width="16.28515625" customWidth="1"/>
    <col min="3088" max="3088" width="15.7109375" customWidth="1"/>
    <col min="3089" max="3090" width="17" customWidth="1"/>
    <col min="3091" max="3091" width="13.28515625" customWidth="1"/>
    <col min="3092" max="3092" width="13.7109375" customWidth="1"/>
    <col min="3093" max="3093" width="12.140625" customWidth="1"/>
    <col min="3330" max="3330" width="39.7109375" customWidth="1"/>
    <col min="3331" max="3331" width="4.7109375" customWidth="1"/>
    <col min="3332" max="3332" width="15.7109375" customWidth="1"/>
    <col min="3333" max="3333" width="16.42578125" customWidth="1"/>
    <col min="3334" max="3334" width="15.7109375" customWidth="1"/>
    <col min="3335" max="3335" width="14.7109375" customWidth="1"/>
    <col min="3336" max="3336" width="17" customWidth="1"/>
    <col min="3337" max="3337" width="15.5703125" customWidth="1"/>
    <col min="3338" max="3338" width="11.7109375" customWidth="1"/>
    <col min="3339" max="3339" width="16.42578125" customWidth="1"/>
    <col min="3340" max="3340" width="16" customWidth="1"/>
    <col min="3341" max="3341" width="15" customWidth="1"/>
    <col min="3342" max="3342" width="15.42578125" customWidth="1"/>
    <col min="3343" max="3343" width="16.28515625" customWidth="1"/>
    <col min="3344" max="3344" width="15.7109375" customWidth="1"/>
    <col min="3345" max="3346" width="17" customWidth="1"/>
    <col min="3347" max="3347" width="13.28515625" customWidth="1"/>
    <col min="3348" max="3348" width="13.7109375" customWidth="1"/>
    <col min="3349" max="3349" width="12.140625" customWidth="1"/>
    <col min="3586" max="3586" width="39.7109375" customWidth="1"/>
    <col min="3587" max="3587" width="4.7109375" customWidth="1"/>
    <col min="3588" max="3588" width="15.7109375" customWidth="1"/>
    <col min="3589" max="3589" width="16.42578125" customWidth="1"/>
    <col min="3590" max="3590" width="15.7109375" customWidth="1"/>
    <col min="3591" max="3591" width="14.7109375" customWidth="1"/>
    <col min="3592" max="3592" width="17" customWidth="1"/>
    <col min="3593" max="3593" width="15.5703125" customWidth="1"/>
    <col min="3594" max="3594" width="11.7109375" customWidth="1"/>
    <col min="3595" max="3595" width="16.42578125" customWidth="1"/>
    <col min="3596" max="3596" width="16" customWidth="1"/>
    <col min="3597" max="3597" width="15" customWidth="1"/>
    <col min="3598" max="3598" width="15.42578125" customWidth="1"/>
    <col min="3599" max="3599" width="16.28515625" customWidth="1"/>
    <col min="3600" max="3600" width="15.7109375" customWidth="1"/>
    <col min="3601" max="3602" width="17" customWidth="1"/>
    <col min="3603" max="3603" width="13.28515625" customWidth="1"/>
    <col min="3604" max="3604" width="13.7109375" customWidth="1"/>
    <col min="3605" max="3605" width="12.140625" customWidth="1"/>
    <col min="3842" max="3842" width="39.7109375" customWidth="1"/>
    <col min="3843" max="3843" width="4.7109375" customWidth="1"/>
    <col min="3844" max="3844" width="15.7109375" customWidth="1"/>
    <col min="3845" max="3845" width="16.42578125" customWidth="1"/>
    <col min="3846" max="3846" width="15.7109375" customWidth="1"/>
    <col min="3847" max="3847" width="14.7109375" customWidth="1"/>
    <col min="3848" max="3848" width="17" customWidth="1"/>
    <col min="3849" max="3849" width="15.5703125" customWidth="1"/>
    <col min="3850" max="3850" width="11.7109375" customWidth="1"/>
    <col min="3851" max="3851" width="16.42578125" customWidth="1"/>
    <col min="3852" max="3852" width="16" customWidth="1"/>
    <col min="3853" max="3853" width="15" customWidth="1"/>
    <col min="3854" max="3854" width="15.42578125" customWidth="1"/>
    <col min="3855" max="3855" width="16.28515625" customWidth="1"/>
    <col min="3856" max="3856" width="15.7109375" customWidth="1"/>
    <col min="3857" max="3858" width="17" customWidth="1"/>
    <col min="3859" max="3859" width="13.28515625" customWidth="1"/>
    <col min="3860" max="3860" width="13.7109375" customWidth="1"/>
    <col min="3861" max="3861" width="12.140625" customWidth="1"/>
    <col min="4098" max="4098" width="39.7109375" customWidth="1"/>
    <col min="4099" max="4099" width="4.7109375" customWidth="1"/>
    <col min="4100" max="4100" width="15.7109375" customWidth="1"/>
    <col min="4101" max="4101" width="16.42578125" customWidth="1"/>
    <col min="4102" max="4102" width="15.7109375" customWidth="1"/>
    <col min="4103" max="4103" width="14.7109375" customWidth="1"/>
    <col min="4104" max="4104" width="17" customWidth="1"/>
    <col min="4105" max="4105" width="15.5703125" customWidth="1"/>
    <col min="4106" max="4106" width="11.7109375" customWidth="1"/>
    <col min="4107" max="4107" width="16.42578125" customWidth="1"/>
    <col min="4108" max="4108" width="16" customWidth="1"/>
    <col min="4109" max="4109" width="15" customWidth="1"/>
    <col min="4110" max="4110" width="15.42578125" customWidth="1"/>
    <col min="4111" max="4111" width="16.28515625" customWidth="1"/>
    <col min="4112" max="4112" width="15.7109375" customWidth="1"/>
    <col min="4113" max="4114" width="17" customWidth="1"/>
    <col min="4115" max="4115" width="13.28515625" customWidth="1"/>
    <col min="4116" max="4116" width="13.7109375" customWidth="1"/>
    <col min="4117" max="4117" width="12.140625" customWidth="1"/>
    <col min="4354" max="4354" width="39.7109375" customWidth="1"/>
    <col min="4355" max="4355" width="4.7109375" customWidth="1"/>
    <col min="4356" max="4356" width="15.7109375" customWidth="1"/>
    <col min="4357" max="4357" width="16.42578125" customWidth="1"/>
    <col min="4358" max="4358" width="15.7109375" customWidth="1"/>
    <col min="4359" max="4359" width="14.7109375" customWidth="1"/>
    <col min="4360" max="4360" width="17" customWidth="1"/>
    <col min="4361" max="4361" width="15.5703125" customWidth="1"/>
    <col min="4362" max="4362" width="11.7109375" customWidth="1"/>
    <col min="4363" max="4363" width="16.42578125" customWidth="1"/>
    <col min="4364" max="4364" width="16" customWidth="1"/>
    <col min="4365" max="4365" width="15" customWidth="1"/>
    <col min="4366" max="4366" width="15.42578125" customWidth="1"/>
    <col min="4367" max="4367" width="16.28515625" customWidth="1"/>
    <col min="4368" max="4368" width="15.7109375" customWidth="1"/>
    <col min="4369" max="4370" width="17" customWidth="1"/>
    <col min="4371" max="4371" width="13.28515625" customWidth="1"/>
    <col min="4372" max="4372" width="13.7109375" customWidth="1"/>
    <col min="4373" max="4373" width="12.140625" customWidth="1"/>
    <col min="4610" max="4610" width="39.7109375" customWidth="1"/>
    <col min="4611" max="4611" width="4.7109375" customWidth="1"/>
    <col min="4612" max="4612" width="15.7109375" customWidth="1"/>
    <col min="4613" max="4613" width="16.42578125" customWidth="1"/>
    <col min="4614" max="4614" width="15.7109375" customWidth="1"/>
    <col min="4615" max="4615" width="14.7109375" customWidth="1"/>
    <col min="4616" max="4616" width="17" customWidth="1"/>
    <col min="4617" max="4617" width="15.5703125" customWidth="1"/>
    <col min="4618" max="4618" width="11.7109375" customWidth="1"/>
    <col min="4619" max="4619" width="16.42578125" customWidth="1"/>
    <col min="4620" max="4620" width="16" customWidth="1"/>
    <col min="4621" max="4621" width="15" customWidth="1"/>
    <col min="4622" max="4622" width="15.42578125" customWidth="1"/>
    <col min="4623" max="4623" width="16.28515625" customWidth="1"/>
    <col min="4624" max="4624" width="15.7109375" customWidth="1"/>
    <col min="4625" max="4626" width="17" customWidth="1"/>
    <col min="4627" max="4627" width="13.28515625" customWidth="1"/>
    <col min="4628" max="4628" width="13.7109375" customWidth="1"/>
    <col min="4629" max="4629" width="12.140625" customWidth="1"/>
    <col min="4866" max="4866" width="39.7109375" customWidth="1"/>
    <col min="4867" max="4867" width="4.7109375" customWidth="1"/>
    <col min="4868" max="4868" width="15.7109375" customWidth="1"/>
    <col min="4869" max="4869" width="16.42578125" customWidth="1"/>
    <col min="4870" max="4870" width="15.7109375" customWidth="1"/>
    <col min="4871" max="4871" width="14.7109375" customWidth="1"/>
    <col min="4872" max="4872" width="17" customWidth="1"/>
    <col min="4873" max="4873" width="15.5703125" customWidth="1"/>
    <col min="4874" max="4874" width="11.7109375" customWidth="1"/>
    <col min="4875" max="4875" width="16.42578125" customWidth="1"/>
    <col min="4876" max="4876" width="16" customWidth="1"/>
    <col min="4877" max="4877" width="15" customWidth="1"/>
    <col min="4878" max="4878" width="15.42578125" customWidth="1"/>
    <col min="4879" max="4879" width="16.28515625" customWidth="1"/>
    <col min="4880" max="4880" width="15.7109375" customWidth="1"/>
    <col min="4881" max="4882" width="17" customWidth="1"/>
    <col min="4883" max="4883" width="13.28515625" customWidth="1"/>
    <col min="4884" max="4884" width="13.7109375" customWidth="1"/>
    <col min="4885" max="4885" width="12.140625" customWidth="1"/>
    <col min="5122" max="5122" width="39.7109375" customWidth="1"/>
    <col min="5123" max="5123" width="4.7109375" customWidth="1"/>
    <col min="5124" max="5124" width="15.7109375" customWidth="1"/>
    <col min="5125" max="5125" width="16.42578125" customWidth="1"/>
    <col min="5126" max="5126" width="15.7109375" customWidth="1"/>
    <col min="5127" max="5127" width="14.7109375" customWidth="1"/>
    <col min="5128" max="5128" width="17" customWidth="1"/>
    <col min="5129" max="5129" width="15.5703125" customWidth="1"/>
    <col min="5130" max="5130" width="11.7109375" customWidth="1"/>
    <col min="5131" max="5131" width="16.42578125" customWidth="1"/>
    <col min="5132" max="5132" width="16" customWidth="1"/>
    <col min="5133" max="5133" width="15" customWidth="1"/>
    <col min="5134" max="5134" width="15.42578125" customWidth="1"/>
    <col min="5135" max="5135" width="16.28515625" customWidth="1"/>
    <col min="5136" max="5136" width="15.7109375" customWidth="1"/>
    <col min="5137" max="5138" width="17" customWidth="1"/>
    <col min="5139" max="5139" width="13.28515625" customWidth="1"/>
    <col min="5140" max="5140" width="13.7109375" customWidth="1"/>
    <col min="5141" max="5141" width="12.140625" customWidth="1"/>
    <col min="5378" max="5378" width="39.7109375" customWidth="1"/>
    <col min="5379" max="5379" width="4.7109375" customWidth="1"/>
    <col min="5380" max="5380" width="15.7109375" customWidth="1"/>
    <col min="5381" max="5381" width="16.42578125" customWidth="1"/>
    <col min="5382" max="5382" width="15.7109375" customWidth="1"/>
    <col min="5383" max="5383" width="14.7109375" customWidth="1"/>
    <col min="5384" max="5384" width="17" customWidth="1"/>
    <col min="5385" max="5385" width="15.5703125" customWidth="1"/>
    <col min="5386" max="5386" width="11.7109375" customWidth="1"/>
    <col min="5387" max="5387" width="16.42578125" customWidth="1"/>
    <col min="5388" max="5388" width="16" customWidth="1"/>
    <col min="5389" max="5389" width="15" customWidth="1"/>
    <col min="5390" max="5390" width="15.42578125" customWidth="1"/>
    <col min="5391" max="5391" width="16.28515625" customWidth="1"/>
    <col min="5392" max="5392" width="15.7109375" customWidth="1"/>
    <col min="5393" max="5394" width="17" customWidth="1"/>
    <col min="5395" max="5395" width="13.28515625" customWidth="1"/>
    <col min="5396" max="5396" width="13.7109375" customWidth="1"/>
    <col min="5397" max="5397" width="12.140625" customWidth="1"/>
    <col min="5634" max="5634" width="39.7109375" customWidth="1"/>
    <col min="5635" max="5635" width="4.7109375" customWidth="1"/>
    <col min="5636" max="5636" width="15.7109375" customWidth="1"/>
    <col min="5637" max="5637" width="16.42578125" customWidth="1"/>
    <col min="5638" max="5638" width="15.7109375" customWidth="1"/>
    <col min="5639" max="5639" width="14.7109375" customWidth="1"/>
    <col min="5640" max="5640" width="17" customWidth="1"/>
    <col min="5641" max="5641" width="15.5703125" customWidth="1"/>
    <col min="5642" max="5642" width="11.7109375" customWidth="1"/>
    <col min="5643" max="5643" width="16.42578125" customWidth="1"/>
    <col min="5644" max="5644" width="16" customWidth="1"/>
    <col min="5645" max="5645" width="15" customWidth="1"/>
    <col min="5646" max="5646" width="15.42578125" customWidth="1"/>
    <col min="5647" max="5647" width="16.28515625" customWidth="1"/>
    <col min="5648" max="5648" width="15.7109375" customWidth="1"/>
    <col min="5649" max="5650" width="17" customWidth="1"/>
    <col min="5651" max="5651" width="13.28515625" customWidth="1"/>
    <col min="5652" max="5652" width="13.7109375" customWidth="1"/>
    <col min="5653" max="5653" width="12.140625" customWidth="1"/>
    <col min="5890" max="5890" width="39.7109375" customWidth="1"/>
    <col min="5891" max="5891" width="4.7109375" customWidth="1"/>
    <col min="5892" max="5892" width="15.7109375" customWidth="1"/>
    <col min="5893" max="5893" width="16.42578125" customWidth="1"/>
    <col min="5894" max="5894" width="15.7109375" customWidth="1"/>
    <col min="5895" max="5895" width="14.7109375" customWidth="1"/>
    <col min="5896" max="5896" width="17" customWidth="1"/>
    <col min="5897" max="5897" width="15.5703125" customWidth="1"/>
    <col min="5898" max="5898" width="11.7109375" customWidth="1"/>
    <col min="5899" max="5899" width="16.42578125" customWidth="1"/>
    <col min="5900" max="5900" width="16" customWidth="1"/>
    <col min="5901" max="5901" width="15" customWidth="1"/>
    <col min="5902" max="5902" width="15.42578125" customWidth="1"/>
    <col min="5903" max="5903" width="16.28515625" customWidth="1"/>
    <col min="5904" max="5904" width="15.7109375" customWidth="1"/>
    <col min="5905" max="5906" width="17" customWidth="1"/>
    <col min="5907" max="5907" width="13.28515625" customWidth="1"/>
    <col min="5908" max="5908" width="13.7109375" customWidth="1"/>
    <col min="5909" max="5909" width="12.140625" customWidth="1"/>
    <col min="6146" max="6146" width="39.7109375" customWidth="1"/>
    <col min="6147" max="6147" width="4.7109375" customWidth="1"/>
    <col min="6148" max="6148" width="15.7109375" customWidth="1"/>
    <col min="6149" max="6149" width="16.42578125" customWidth="1"/>
    <col min="6150" max="6150" width="15.7109375" customWidth="1"/>
    <col min="6151" max="6151" width="14.7109375" customWidth="1"/>
    <col min="6152" max="6152" width="17" customWidth="1"/>
    <col min="6153" max="6153" width="15.5703125" customWidth="1"/>
    <col min="6154" max="6154" width="11.7109375" customWidth="1"/>
    <col min="6155" max="6155" width="16.42578125" customWidth="1"/>
    <col min="6156" max="6156" width="16" customWidth="1"/>
    <col min="6157" max="6157" width="15" customWidth="1"/>
    <col min="6158" max="6158" width="15.42578125" customWidth="1"/>
    <col min="6159" max="6159" width="16.28515625" customWidth="1"/>
    <col min="6160" max="6160" width="15.7109375" customWidth="1"/>
    <col min="6161" max="6162" width="17" customWidth="1"/>
    <col min="6163" max="6163" width="13.28515625" customWidth="1"/>
    <col min="6164" max="6164" width="13.7109375" customWidth="1"/>
    <col min="6165" max="6165" width="12.140625" customWidth="1"/>
    <col min="6402" max="6402" width="39.7109375" customWidth="1"/>
    <col min="6403" max="6403" width="4.7109375" customWidth="1"/>
    <col min="6404" max="6404" width="15.7109375" customWidth="1"/>
    <col min="6405" max="6405" width="16.42578125" customWidth="1"/>
    <col min="6406" max="6406" width="15.7109375" customWidth="1"/>
    <col min="6407" max="6407" width="14.7109375" customWidth="1"/>
    <col min="6408" max="6408" width="17" customWidth="1"/>
    <col min="6409" max="6409" width="15.5703125" customWidth="1"/>
    <col min="6410" max="6410" width="11.7109375" customWidth="1"/>
    <col min="6411" max="6411" width="16.42578125" customWidth="1"/>
    <col min="6412" max="6412" width="16" customWidth="1"/>
    <col min="6413" max="6413" width="15" customWidth="1"/>
    <col min="6414" max="6414" width="15.42578125" customWidth="1"/>
    <col min="6415" max="6415" width="16.28515625" customWidth="1"/>
    <col min="6416" max="6416" width="15.7109375" customWidth="1"/>
    <col min="6417" max="6418" width="17" customWidth="1"/>
    <col min="6419" max="6419" width="13.28515625" customWidth="1"/>
    <col min="6420" max="6420" width="13.7109375" customWidth="1"/>
    <col min="6421" max="6421" width="12.140625" customWidth="1"/>
    <col min="6658" max="6658" width="39.7109375" customWidth="1"/>
    <col min="6659" max="6659" width="4.7109375" customWidth="1"/>
    <col min="6660" max="6660" width="15.7109375" customWidth="1"/>
    <col min="6661" max="6661" width="16.42578125" customWidth="1"/>
    <col min="6662" max="6662" width="15.7109375" customWidth="1"/>
    <col min="6663" max="6663" width="14.7109375" customWidth="1"/>
    <col min="6664" max="6664" width="17" customWidth="1"/>
    <col min="6665" max="6665" width="15.5703125" customWidth="1"/>
    <col min="6666" max="6666" width="11.7109375" customWidth="1"/>
    <col min="6667" max="6667" width="16.42578125" customWidth="1"/>
    <col min="6668" max="6668" width="16" customWidth="1"/>
    <col min="6669" max="6669" width="15" customWidth="1"/>
    <col min="6670" max="6670" width="15.42578125" customWidth="1"/>
    <col min="6671" max="6671" width="16.28515625" customWidth="1"/>
    <col min="6672" max="6672" width="15.7109375" customWidth="1"/>
    <col min="6673" max="6674" width="17" customWidth="1"/>
    <col min="6675" max="6675" width="13.28515625" customWidth="1"/>
    <col min="6676" max="6676" width="13.7109375" customWidth="1"/>
    <col min="6677" max="6677" width="12.140625" customWidth="1"/>
    <col min="6914" max="6914" width="39.7109375" customWidth="1"/>
    <col min="6915" max="6915" width="4.7109375" customWidth="1"/>
    <col min="6916" max="6916" width="15.7109375" customWidth="1"/>
    <col min="6917" max="6917" width="16.42578125" customWidth="1"/>
    <col min="6918" max="6918" width="15.7109375" customWidth="1"/>
    <col min="6919" max="6919" width="14.7109375" customWidth="1"/>
    <col min="6920" max="6920" width="17" customWidth="1"/>
    <col min="6921" max="6921" width="15.5703125" customWidth="1"/>
    <col min="6922" max="6922" width="11.7109375" customWidth="1"/>
    <col min="6923" max="6923" width="16.42578125" customWidth="1"/>
    <col min="6924" max="6924" width="16" customWidth="1"/>
    <col min="6925" max="6925" width="15" customWidth="1"/>
    <col min="6926" max="6926" width="15.42578125" customWidth="1"/>
    <col min="6927" max="6927" width="16.28515625" customWidth="1"/>
    <col min="6928" max="6928" width="15.7109375" customWidth="1"/>
    <col min="6929" max="6930" width="17" customWidth="1"/>
    <col min="6931" max="6931" width="13.28515625" customWidth="1"/>
    <col min="6932" max="6932" width="13.7109375" customWidth="1"/>
    <col min="6933" max="6933" width="12.140625" customWidth="1"/>
    <col min="7170" max="7170" width="39.7109375" customWidth="1"/>
    <col min="7171" max="7171" width="4.7109375" customWidth="1"/>
    <col min="7172" max="7172" width="15.7109375" customWidth="1"/>
    <col min="7173" max="7173" width="16.42578125" customWidth="1"/>
    <col min="7174" max="7174" width="15.7109375" customWidth="1"/>
    <col min="7175" max="7175" width="14.7109375" customWidth="1"/>
    <col min="7176" max="7176" width="17" customWidth="1"/>
    <col min="7177" max="7177" width="15.5703125" customWidth="1"/>
    <col min="7178" max="7178" width="11.7109375" customWidth="1"/>
    <col min="7179" max="7179" width="16.42578125" customWidth="1"/>
    <col min="7180" max="7180" width="16" customWidth="1"/>
    <col min="7181" max="7181" width="15" customWidth="1"/>
    <col min="7182" max="7182" width="15.42578125" customWidth="1"/>
    <col min="7183" max="7183" width="16.28515625" customWidth="1"/>
    <col min="7184" max="7184" width="15.7109375" customWidth="1"/>
    <col min="7185" max="7186" width="17" customWidth="1"/>
    <col min="7187" max="7187" width="13.28515625" customWidth="1"/>
    <col min="7188" max="7188" width="13.7109375" customWidth="1"/>
    <col min="7189" max="7189" width="12.140625" customWidth="1"/>
    <col min="7426" max="7426" width="39.7109375" customWidth="1"/>
    <col min="7427" max="7427" width="4.7109375" customWidth="1"/>
    <col min="7428" max="7428" width="15.7109375" customWidth="1"/>
    <col min="7429" max="7429" width="16.42578125" customWidth="1"/>
    <col min="7430" max="7430" width="15.7109375" customWidth="1"/>
    <col min="7431" max="7431" width="14.7109375" customWidth="1"/>
    <col min="7432" max="7432" width="17" customWidth="1"/>
    <col min="7433" max="7433" width="15.5703125" customWidth="1"/>
    <col min="7434" max="7434" width="11.7109375" customWidth="1"/>
    <col min="7435" max="7435" width="16.42578125" customWidth="1"/>
    <col min="7436" max="7436" width="16" customWidth="1"/>
    <col min="7437" max="7437" width="15" customWidth="1"/>
    <col min="7438" max="7438" width="15.42578125" customWidth="1"/>
    <col min="7439" max="7439" width="16.28515625" customWidth="1"/>
    <col min="7440" max="7440" width="15.7109375" customWidth="1"/>
    <col min="7441" max="7442" width="17" customWidth="1"/>
    <col min="7443" max="7443" width="13.28515625" customWidth="1"/>
    <col min="7444" max="7444" width="13.7109375" customWidth="1"/>
    <col min="7445" max="7445" width="12.140625" customWidth="1"/>
    <col min="7682" max="7682" width="39.7109375" customWidth="1"/>
    <col min="7683" max="7683" width="4.7109375" customWidth="1"/>
    <col min="7684" max="7684" width="15.7109375" customWidth="1"/>
    <col min="7685" max="7685" width="16.42578125" customWidth="1"/>
    <col min="7686" max="7686" width="15.7109375" customWidth="1"/>
    <col min="7687" max="7687" width="14.7109375" customWidth="1"/>
    <col min="7688" max="7688" width="17" customWidth="1"/>
    <col min="7689" max="7689" width="15.5703125" customWidth="1"/>
    <col min="7690" max="7690" width="11.7109375" customWidth="1"/>
    <col min="7691" max="7691" width="16.42578125" customWidth="1"/>
    <col min="7692" max="7692" width="16" customWidth="1"/>
    <col min="7693" max="7693" width="15" customWidth="1"/>
    <col min="7694" max="7694" width="15.42578125" customWidth="1"/>
    <col min="7695" max="7695" width="16.28515625" customWidth="1"/>
    <col min="7696" max="7696" width="15.7109375" customWidth="1"/>
    <col min="7697" max="7698" width="17" customWidth="1"/>
    <col min="7699" max="7699" width="13.28515625" customWidth="1"/>
    <col min="7700" max="7700" width="13.7109375" customWidth="1"/>
    <col min="7701" max="7701" width="12.140625" customWidth="1"/>
    <col min="7938" max="7938" width="39.7109375" customWidth="1"/>
    <col min="7939" max="7939" width="4.7109375" customWidth="1"/>
    <col min="7940" max="7940" width="15.7109375" customWidth="1"/>
    <col min="7941" max="7941" width="16.42578125" customWidth="1"/>
    <col min="7942" max="7942" width="15.7109375" customWidth="1"/>
    <col min="7943" max="7943" width="14.7109375" customWidth="1"/>
    <col min="7944" max="7944" width="17" customWidth="1"/>
    <col min="7945" max="7945" width="15.5703125" customWidth="1"/>
    <col min="7946" max="7946" width="11.7109375" customWidth="1"/>
    <col min="7947" max="7947" width="16.42578125" customWidth="1"/>
    <col min="7948" max="7948" width="16" customWidth="1"/>
    <col min="7949" max="7949" width="15" customWidth="1"/>
    <col min="7950" max="7950" width="15.42578125" customWidth="1"/>
    <col min="7951" max="7951" width="16.28515625" customWidth="1"/>
    <col min="7952" max="7952" width="15.7109375" customWidth="1"/>
    <col min="7953" max="7954" width="17" customWidth="1"/>
    <col min="7955" max="7955" width="13.28515625" customWidth="1"/>
    <col min="7956" max="7956" width="13.7109375" customWidth="1"/>
    <col min="7957" max="7957" width="12.140625" customWidth="1"/>
    <col min="8194" max="8194" width="39.7109375" customWidth="1"/>
    <col min="8195" max="8195" width="4.7109375" customWidth="1"/>
    <col min="8196" max="8196" width="15.7109375" customWidth="1"/>
    <col min="8197" max="8197" width="16.42578125" customWidth="1"/>
    <col min="8198" max="8198" width="15.7109375" customWidth="1"/>
    <col min="8199" max="8199" width="14.7109375" customWidth="1"/>
    <col min="8200" max="8200" width="17" customWidth="1"/>
    <col min="8201" max="8201" width="15.5703125" customWidth="1"/>
    <col min="8202" max="8202" width="11.7109375" customWidth="1"/>
    <col min="8203" max="8203" width="16.42578125" customWidth="1"/>
    <col min="8204" max="8204" width="16" customWidth="1"/>
    <col min="8205" max="8205" width="15" customWidth="1"/>
    <col min="8206" max="8206" width="15.42578125" customWidth="1"/>
    <col min="8207" max="8207" width="16.28515625" customWidth="1"/>
    <col min="8208" max="8208" width="15.7109375" customWidth="1"/>
    <col min="8209" max="8210" width="17" customWidth="1"/>
    <col min="8211" max="8211" width="13.28515625" customWidth="1"/>
    <col min="8212" max="8212" width="13.7109375" customWidth="1"/>
    <col min="8213" max="8213" width="12.140625" customWidth="1"/>
    <col min="8450" max="8450" width="39.7109375" customWidth="1"/>
    <col min="8451" max="8451" width="4.7109375" customWidth="1"/>
    <col min="8452" max="8452" width="15.7109375" customWidth="1"/>
    <col min="8453" max="8453" width="16.42578125" customWidth="1"/>
    <col min="8454" max="8454" width="15.7109375" customWidth="1"/>
    <col min="8455" max="8455" width="14.7109375" customWidth="1"/>
    <col min="8456" max="8456" width="17" customWidth="1"/>
    <col min="8457" max="8457" width="15.5703125" customWidth="1"/>
    <col min="8458" max="8458" width="11.7109375" customWidth="1"/>
    <col min="8459" max="8459" width="16.42578125" customWidth="1"/>
    <col min="8460" max="8460" width="16" customWidth="1"/>
    <col min="8461" max="8461" width="15" customWidth="1"/>
    <col min="8462" max="8462" width="15.42578125" customWidth="1"/>
    <col min="8463" max="8463" width="16.28515625" customWidth="1"/>
    <col min="8464" max="8464" width="15.7109375" customWidth="1"/>
    <col min="8465" max="8466" width="17" customWidth="1"/>
    <col min="8467" max="8467" width="13.28515625" customWidth="1"/>
    <col min="8468" max="8468" width="13.7109375" customWidth="1"/>
    <col min="8469" max="8469" width="12.140625" customWidth="1"/>
    <col min="8706" max="8706" width="39.7109375" customWidth="1"/>
    <col min="8707" max="8707" width="4.7109375" customWidth="1"/>
    <col min="8708" max="8708" width="15.7109375" customWidth="1"/>
    <col min="8709" max="8709" width="16.42578125" customWidth="1"/>
    <col min="8710" max="8710" width="15.7109375" customWidth="1"/>
    <col min="8711" max="8711" width="14.7109375" customWidth="1"/>
    <col min="8712" max="8712" width="17" customWidth="1"/>
    <col min="8713" max="8713" width="15.5703125" customWidth="1"/>
    <col min="8714" max="8714" width="11.7109375" customWidth="1"/>
    <col min="8715" max="8715" width="16.42578125" customWidth="1"/>
    <col min="8716" max="8716" width="16" customWidth="1"/>
    <col min="8717" max="8717" width="15" customWidth="1"/>
    <col min="8718" max="8718" width="15.42578125" customWidth="1"/>
    <col min="8719" max="8719" width="16.28515625" customWidth="1"/>
    <col min="8720" max="8720" width="15.7109375" customWidth="1"/>
    <col min="8721" max="8722" width="17" customWidth="1"/>
    <col min="8723" max="8723" width="13.28515625" customWidth="1"/>
    <col min="8724" max="8724" width="13.7109375" customWidth="1"/>
    <col min="8725" max="8725" width="12.140625" customWidth="1"/>
    <col min="8962" max="8962" width="39.7109375" customWidth="1"/>
    <col min="8963" max="8963" width="4.7109375" customWidth="1"/>
    <col min="8964" max="8964" width="15.7109375" customWidth="1"/>
    <col min="8965" max="8965" width="16.42578125" customWidth="1"/>
    <col min="8966" max="8966" width="15.7109375" customWidth="1"/>
    <col min="8967" max="8967" width="14.7109375" customWidth="1"/>
    <col min="8968" max="8968" width="17" customWidth="1"/>
    <col min="8969" max="8969" width="15.5703125" customWidth="1"/>
    <col min="8970" max="8970" width="11.7109375" customWidth="1"/>
    <col min="8971" max="8971" width="16.42578125" customWidth="1"/>
    <col min="8972" max="8972" width="16" customWidth="1"/>
    <col min="8973" max="8973" width="15" customWidth="1"/>
    <col min="8974" max="8974" width="15.42578125" customWidth="1"/>
    <col min="8975" max="8975" width="16.28515625" customWidth="1"/>
    <col min="8976" max="8976" width="15.7109375" customWidth="1"/>
    <col min="8977" max="8978" width="17" customWidth="1"/>
    <col min="8979" max="8979" width="13.28515625" customWidth="1"/>
    <col min="8980" max="8980" width="13.7109375" customWidth="1"/>
    <col min="8981" max="8981" width="12.140625" customWidth="1"/>
    <col min="9218" max="9218" width="39.7109375" customWidth="1"/>
    <col min="9219" max="9219" width="4.7109375" customWidth="1"/>
    <col min="9220" max="9220" width="15.7109375" customWidth="1"/>
    <col min="9221" max="9221" width="16.42578125" customWidth="1"/>
    <col min="9222" max="9222" width="15.7109375" customWidth="1"/>
    <col min="9223" max="9223" width="14.7109375" customWidth="1"/>
    <col min="9224" max="9224" width="17" customWidth="1"/>
    <col min="9225" max="9225" width="15.5703125" customWidth="1"/>
    <col min="9226" max="9226" width="11.7109375" customWidth="1"/>
    <col min="9227" max="9227" width="16.42578125" customWidth="1"/>
    <col min="9228" max="9228" width="16" customWidth="1"/>
    <col min="9229" max="9229" width="15" customWidth="1"/>
    <col min="9230" max="9230" width="15.42578125" customWidth="1"/>
    <col min="9231" max="9231" width="16.28515625" customWidth="1"/>
    <col min="9232" max="9232" width="15.7109375" customWidth="1"/>
    <col min="9233" max="9234" width="17" customWidth="1"/>
    <col min="9235" max="9235" width="13.28515625" customWidth="1"/>
    <col min="9236" max="9236" width="13.7109375" customWidth="1"/>
    <col min="9237" max="9237" width="12.140625" customWidth="1"/>
    <col min="9474" max="9474" width="39.7109375" customWidth="1"/>
    <col min="9475" max="9475" width="4.7109375" customWidth="1"/>
    <col min="9476" max="9476" width="15.7109375" customWidth="1"/>
    <col min="9477" max="9477" width="16.42578125" customWidth="1"/>
    <col min="9478" max="9478" width="15.7109375" customWidth="1"/>
    <col min="9479" max="9479" width="14.7109375" customWidth="1"/>
    <col min="9480" max="9480" width="17" customWidth="1"/>
    <col min="9481" max="9481" width="15.5703125" customWidth="1"/>
    <col min="9482" max="9482" width="11.7109375" customWidth="1"/>
    <col min="9483" max="9483" width="16.42578125" customWidth="1"/>
    <col min="9484" max="9484" width="16" customWidth="1"/>
    <col min="9485" max="9485" width="15" customWidth="1"/>
    <col min="9486" max="9486" width="15.42578125" customWidth="1"/>
    <col min="9487" max="9487" width="16.28515625" customWidth="1"/>
    <col min="9488" max="9488" width="15.7109375" customWidth="1"/>
    <col min="9489" max="9490" width="17" customWidth="1"/>
    <col min="9491" max="9491" width="13.28515625" customWidth="1"/>
    <col min="9492" max="9492" width="13.7109375" customWidth="1"/>
    <col min="9493" max="9493" width="12.140625" customWidth="1"/>
    <col min="9730" max="9730" width="39.7109375" customWidth="1"/>
    <col min="9731" max="9731" width="4.7109375" customWidth="1"/>
    <col min="9732" max="9732" width="15.7109375" customWidth="1"/>
    <col min="9733" max="9733" width="16.42578125" customWidth="1"/>
    <col min="9734" max="9734" width="15.7109375" customWidth="1"/>
    <col min="9735" max="9735" width="14.7109375" customWidth="1"/>
    <col min="9736" max="9736" width="17" customWidth="1"/>
    <col min="9737" max="9737" width="15.5703125" customWidth="1"/>
    <col min="9738" max="9738" width="11.7109375" customWidth="1"/>
    <col min="9739" max="9739" width="16.42578125" customWidth="1"/>
    <col min="9740" max="9740" width="16" customWidth="1"/>
    <col min="9741" max="9741" width="15" customWidth="1"/>
    <col min="9742" max="9742" width="15.42578125" customWidth="1"/>
    <col min="9743" max="9743" width="16.28515625" customWidth="1"/>
    <col min="9744" max="9744" width="15.7109375" customWidth="1"/>
    <col min="9745" max="9746" width="17" customWidth="1"/>
    <col min="9747" max="9747" width="13.28515625" customWidth="1"/>
    <col min="9748" max="9748" width="13.7109375" customWidth="1"/>
    <col min="9749" max="9749" width="12.140625" customWidth="1"/>
    <col min="9986" max="9986" width="39.7109375" customWidth="1"/>
    <col min="9987" max="9987" width="4.7109375" customWidth="1"/>
    <col min="9988" max="9988" width="15.7109375" customWidth="1"/>
    <col min="9989" max="9989" width="16.42578125" customWidth="1"/>
    <col min="9990" max="9990" width="15.7109375" customWidth="1"/>
    <col min="9991" max="9991" width="14.7109375" customWidth="1"/>
    <col min="9992" max="9992" width="17" customWidth="1"/>
    <col min="9993" max="9993" width="15.5703125" customWidth="1"/>
    <col min="9994" max="9994" width="11.7109375" customWidth="1"/>
    <col min="9995" max="9995" width="16.42578125" customWidth="1"/>
    <col min="9996" max="9996" width="16" customWidth="1"/>
    <col min="9997" max="9997" width="15" customWidth="1"/>
    <col min="9998" max="9998" width="15.42578125" customWidth="1"/>
    <col min="9999" max="9999" width="16.28515625" customWidth="1"/>
    <col min="10000" max="10000" width="15.7109375" customWidth="1"/>
    <col min="10001" max="10002" width="17" customWidth="1"/>
    <col min="10003" max="10003" width="13.28515625" customWidth="1"/>
    <col min="10004" max="10004" width="13.7109375" customWidth="1"/>
    <col min="10005" max="10005" width="12.140625" customWidth="1"/>
    <col min="10242" max="10242" width="39.7109375" customWidth="1"/>
    <col min="10243" max="10243" width="4.7109375" customWidth="1"/>
    <col min="10244" max="10244" width="15.7109375" customWidth="1"/>
    <col min="10245" max="10245" width="16.42578125" customWidth="1"/>
    <col min="10246" max="10246" width="15.7109375" customWidth="1"/>
    <col min="10247" max="10247" width="14.7109375" customWidth="1"/>
    <col min="10248" max="10248" width="17" customWidth="1"/>
    <col min="10249" max="10249" width="15.5703125" customWidth="1"/>
    <col min="10250" max="10250" width="11.7109375" customWidth="1"/>
    <col min="10251" max="10251" width="16.42578125" customWidth="1"/>
    <col min="10252" max="10252" width="16" customWidth="1"/>
    <col min="10253" max="10253" width="15" customWidth="1"/>
    <col min="10254" max="10254" width="15.42578125" customWidth="1"/>
    <col min="10255" max="10255" width="16.28515625" customWidth="1"/>
    <col min="10256" max="10256" width="15.7109375" customWidth="1"/>
    <col min="10257" max="10258" width="17" customWidth="1"/>
    <col min="10259" max="10259" width="13.28515625" customWidth="1"/>
    <col min="10260" max="10260" width="13.7109375" customWidth="1"/>
    <col min="10261" max="10261" width="12.140625" customWidth="1"/>
    <col min="10498" max="10498" width="39.7109375" customWidth="1"/>
    <col min="10499" max="10499" width="4.7109375" customWidth="1"/>
    <col min="10500" max="10500" width="15.7109375" customWidth="1"/>
    <col min="10501" max="10501" width="16.42578125" customWidth="1"/>
    <col min="10502" max="10502" width="15.7109375" customWidth="1"/>
    <col min="10503" max="10503" width="14.7109375" customWidth="1"/>
    <col min="10504" max="10504" width="17" customWidth="1"/>
    <col min="10505" max="10505" width="15.5703125" customWidth="1"/>
    <col min="10506" max="10506" width="11.7109375" customWidth="1"/>
    <col min="10507" max="10507" width="16.42578125" customWidth="1"/>
    <col min="10508" max="10508" width="16" customWidth="1"/>
    <col min="10509" max="10509" width="15" customWidth="1"/>
    <col min="10510" max="10510" width="15.42578125" customWidth="1"/>
    <col min="10511" max="10511" width="16.28515625" customWidth="1"/>
    <col min="10512" max="10512" width="15.7109375" customWidth="1"/>
    <col min="10513" max="10514" width="17" customWidth="1"/>
    <col min="10515" max="10515" width="13.28515625" customWidth="1"/>
    <col min="10516" max="10516" width="13.7109375" customWidth="1"/>
    <col min="10517" max="10517" width="12.140625" customWidth="1"/>
    <col min="10754" max="10754" width="39.7109375" customWidth="1"/>
    <col min="10755" max="10755" width="4.7109375" customWidth="1"/>
    <col min="10756" max="10756" width="15.7109375" customWidth="1"/>
    <col min="10757" max="10757" width="16.42578125" customWidth="1"/>
    <col min="10758" max="10758" width="15.7109375" customWidth="1"/>
    <col min="10759" max="10759" width="14.7109375" customWidth="1"/>
    <col min="10760" max="10760" width="17" customWidth="1"/>
    <col min="10761" max="10761" width="15.5703125" customWidth="1"/>
    <col min="10762" max="10762" width="11.7109375" customWidth="1"/>
    <col min="10763" max="10763" width="16.42578125" customWidth="1"/>
    <col min="10764" max="10764" width="16" customWidth="1"/>
    <col min="10765" max="10765" width="15" customWidth="1"/>
    <col min="10766" max="10766" width="15.42578125" customWidth="1"/>
    <col min="10767" max="10767" width="16.28515625" customWidth="1"/>
    <col min="10768" max="10768" width="15.7109375" customWidth="1"/>
    <col min="10769" max="10770" width="17" customWidth="1"/>
    <col min="10771" max="10771" width="13.28515625" customWidth="1"/>
    <col min="10772" max="10772" width="13.7109375" customWidth="1"/>
    <col min="10773" max="10773" width="12.140625" customWidth="1"/>
    <col min="11010" max="11010" width="39.7109375" customWidth="1"/>
    <col min="11011" max="11011" width="4.7109375" customWidth="1"/>
    <col min="11012" max="11012" width="15.7109375" customWidth="1"/>
    <col min="11013" max="11013" width="16.42578125" customWidth="1"/>
    <col min="11014" max="11014" width="15.7109375" customWidth="1"/>
    <col min="11015" max="11015" width="14.7109375" customWidth="1"/>
    <col min="11016" max="11016" width="17" customWidth="1"/>
    <col min="11017" max="11017" width="15.5703125" customWidth="1"/>
    <col min="11018" max="11018" width="11.7109375" customWidth="1"/>
    <col min="11019" max="11019" width="16.42578125" customWidth="1"/>
    <col min="11020" max="11020" width="16" customWidth="1"/>
    <col min="11021" max="11021" width="15" customWidth="1"/>
    <col min="11022" max="11022" width="15.42578125" customWidth="1"/>
    <col min="11023" max="11023" width="16.28515625" customWidth="1"/>
    <col min="11024" max="11024" width="15.7109375" customWidth="1"/>
    <col min="11025" max="11026" width="17" customWidth="1"/>
    <col min="11027" max="11027" width="13.28515625" customWidth="1"/>
    <col min="11028" max="11028" width="13.7109375" customWidth="1"/>
    <col min="11029" max="11029" width="12.140625" customWidth="1"/>
    <col min="11266" max="11266" width="39.7109375" customWidth="1"/>
    <col min="11267" max="11267" width="4.7109375" customWidth="1"/>
    <col min="11268" max="11268" width="15.7109375" customWidth="1"/>
    <col min="11269" max="11269" width="16.42578125" customWidth="1"/>
    <col min="11270" max="11270" width="15.7109375" customWidth="1"/>
    <col min="11271" max="11271" width="14.7109375" customWidth="1"/>
    <col min="11272" max="11272" width="17" customWidth="1"/>
    <col min="11273" max="11273" width="15.5703125" customWidth="1"/>
    <col min="11274" max="11274" width="11.7109375" customWidth="1"/>
    <col min="11275" max="11275" width="16.42578125" customWidth="1"/>
    <col min="11276" max="11276" width="16" customWidth="1"/>
    <col min="11277" max="11277" width="15" customWidth="1"/>
    <col min="11278" max="11278" width="15.42578125" customWidth="1"/>
    <col min="11279" max="11279" width="16.28515625" customWidth="1"/>
    <col min="11280" max="11280" width="15.7109375" customWidth="1"/>
    <col min="11281" max="11282" width="17" customWidth="1"/>
    <col min="11283" max="11283" width="13.28515625" customWidth="1"/>
    <col min="11284" max="11284" width="13.7109375" customWidth="1"/>
    <col min="11285" max="11285" width="12.140625" customWidth="1"/>
    <col min="11522" max="11522" width="39.7109375" customWidth="1"/>
    <col min="11523" max="11523" width="4.7109375" customWidth="1"/>
    <col min="11524" max="11524" width="15.7109375" customWidth="1"/>
    <col min="11525" max="11525" width="16.42578125" customWidth="1"/>
    <col min="11526" max="11526" width="15.7109375" customWidth="1"/>
    <col min="11527" max="11527" width="14.7109375" customWidth="1"/>
    <col min="11528" max="11528" width="17" customWidth="1"/>
    <col min="11529" max="11529" width="15.5703125" customWidth="1"/>
    <col min="11530" max="11530" width="11.7109375" customWidth="1"/>
    <col min="11531" max="11531" width="16.42578125" customWidth="1"/>
    <col min="11532" max="11532" width="16" customWidth="1"/>
    <col min="11533" max="11533" width="15" customWidth="1"/>
    <col min="11534" max="11534" width="15.42578125" customWidth="1"/>
    <col min="11535" max="11535" width="16.28515625" customWidth="1"/>
    <col min="11536" max="11536" width="15.7109375" customWidth="1"/>
    <col min="11537" max="11538" width="17" customWidth="1"/>
    <col min="11539" max="11539" width="13.28515625" customWidth="1"/>
    <col min="11540" max="11540" width="13.7109375" customWidth="1"/>
    <col min="11541" max="11541" width="12.140625" customWidth="1"/>
    <col min="11778" max="11778" width="39.7109375" customWidth="1"/>
    <col min="11779" max="11779" width="4.7109375" customWidth="1"/>
    <col min="11780" max="11780" width="15.7109375" customWidth="1"/>
    <col min="11781" max="11781" width="16.42578125" customWidth="1"/>
    <col min="11782" max="11782" width="15.7109375" customWidth="1"/>
    <col min="11783" max="11783" width="14.7109375" customWidth="1"/>
    <col min="11784" max="11784" width="17" customWidth="1"/>
    <col min="11785" max="11785" width="15.5703125" customWidth="1"/>
    <col min="11786" max="11786" width="11.7109375" customWidth="1"/>
    <col min="11787" max="11787" width="16.42578125" customWidth="1"/>
    <col min="11788" max="11788" width="16" customWidth="1"/>
    <col min="11789" max="11789" width="15" customWidth="1"/>
    <col min="11790" max="11790" width="15.42578125" customWidth="1"/>
    <col min="11791" max="11791" width="16.28515625" customWidth="1"/>
    <col min="11792" max="11792" width="15.7109375" customWidth="1"/>
    <col min="11793" max="11794" width="17" customWidth="1"/>
    <col min="11795" max="11795" width="13.28515625" customWidth="1"/>
    <col min="11796" max="11796" width="13.7109375" customWidth="1"/>
    <col min="11797" max="11797" width="12.140625" customWidth="1"/>
    <col min="12034" max="12034" width="39.7109375" customWidth="1"/>
    <col min="12035" max="12035" width="4.7109375" customWidth="1"/>
    <col min="12036" max="12036" width="15.7109375" customWidth="1"/>
    <col min="12037" max="12037" width="16.42578125" customWidth="1"/>
    <col min="12038" max="12038" width="15.7109375" customWidth="1"/>
    <col min="12039" max="12039" width="14.7109375" customWidth="1"/>
    <col min="12040" max="12040" width="17" customWidth="1"/>
    <col min="12041" max="12041" width="15.5703125" customWidth="1"/>
    <col min="12042" max="12042" width="11.7109375" customWidth="1"/>
    <col min="12043" max="12043" width="16.42578125" customWidth="1"/>
    <col min="12044" max="12044" width="16" customWidth="1"/>
    <col min="12045" max="12045" width="15" customWidth="1"/>
    <col min="12046" max="12046" width="15.42578125" customWidth="1"/>
    <col min="12047" max="12047" width="16.28515625" customWidth="1"/>
    <col min="12048" max="12048" width="15.7109375" customWidth="1"/>
    <col min="12049" max="12050" width="17" customWidth="1"/>
    <col min="12051" max="12051" width="13.28515625" customWidth="1"/>
    <col min="12052" max="12052" width="13.7109375" customWidth="1"/>
    <col min="12053" max="12053" width="12.140625" customWidth="1"/>
    <col min="12290" max="12290" width="39.7109375" customWidth="1"/>
    <col min="12291" max="12291" width="4.7109375" customWidth="1"/>
    <col min="12292" max="12292" width="15.7109375" customWidth="1"/>
    <col min="12293" max="12293" width="16.42578125" customWidth="1"/>
    <col min="12294" max="12294" width="15.7109375" customWidth="1"/>
    <col min="12295" max="12295" width="14.7109375" customWidth="1"/>
    <col min="12296" max="12296" width="17" customWidth="1"/>
    <col min="12297" max="12297" width="15.5703125" customWidth="1"/>
    <col min="12298" max="12298" width="11.7109375" customWidth="1"/>
    <col min="12299" max="12299" width="16.42578125" customWidth="1"/>
    <col min="12300" max="12300" width="16" customWidth="1"/>
    <col min="12301" max="12301" width="15" customWidth="1"/>
    <col min="12302" max="12302" width="15.42578125" customWidth="1"/>
    <col min="12303" max="12303" width="16.28515625" customWidth="1"/>
    <col min="12304" max="12304" width="15.7109375" customWidth="1"/>
    <col min="12305" max="12306" width="17" customWidth="1"/>
    <col min="12307" max="12307" width="13.28515625" customWidth="1"/>
    <col min="12308" max="12308" width="13.7109375" customWidth="1"/>
    <col min="12309" max="12309" width="12.140625" customWidth="1"/>
    <col min="12546" max="12546" width="39.7109375" customWidth="1"/>
    <col min="12547" max="12547" width="4.7109375" customWidth="1"/>
    <col min="12548" max="12548" width="15.7109375" customWidth="1"/>
    <col min="12549" max="12549" width="16.42578125" customWidth="1"/>
    <col min="12550" max="12550" width="15.7109375" customWidth="1"/>
    <col min="12551" max="12551" width="14.7109375" customWidth="1"/>
    <col min="12552" max="12552" width="17" customWidth="1"/>
    <col min="12553" max="12553" width="15.5703125" customWidth="1"/>
    <col min="12554" max="12554" width="11.7109375" customWidth="1"/>
    <col min="12555" max="12555" width="16.42578125" customWidth="1"/>
    <col min="12556" max="12556" width="16" customWidth="1"/>
    <col min="12557" max="12557" width="15" customWidth="1"/>
    <col min="12558" max="12558" width="15.42578125" customWidth="1"/>
    <col min="12559" max="12559" width="16.28515625" customWidth="1"/>
    <col min="12560" max="12560" width="15.7109375" customWidth="1"/>
    <col min="12561" max="12562" width="17" customWidth="1"/>
    <col min="12563" max="12563" width="13.28515625" customWidth="1"/>
    <col min="12564" max="12564" width="13.7109375" customWidth="1"/>
    <col min="12565" max="12565" width="12.140625" customWidth="1"/>
    <col min="12802" max="12802" width="39.7109375" customWidth="1"/>
    <col min="12803" max="12803" width="4.7109375" customWidth="1"/>
    <col min="12804" max="12804" width="15.7109375" customWidth="1"/>
    <col min="12805" max="12805" width="16.42578125" customWidth="1"/>
    <col min="12806" max="12806" width="15.7109375" customWidth="1"/>
    <col min="12807" max="12807" width="14.7109375" customWidth="1"/>
    <col min="12808" max="12808" width="17" customWidth="1"/>
    <col min="12809" max="12809" width="15.5703125" customWidth="1"/>
    <col min="12810" max="12810" width="11.7109375" customWidth="1"/>
    <col min="12811" max="12811" width="16.42578125" customWidth="1"/>
    <col min="12812" max="12812" width="16" customWidth="1"/>
    <col min="12813" max="12813" width="15" customWidth="1"/>
    <col min="12814" max="12814" width="15.42578125" customWidth="1"/>
    <col min="12815" max="12815" width="16.28515625" customWidth="1"/>
    <col min="12816" max="12816" width="15.7109375" customWidth="1"/>
    <col min="12817" max="12818" width="17" customWidth="1"/>
    <col min="12819" max="12819" width="13.28515625" customWidth="1"/>
    <col min="12820" max="12820" width="13.7109375" customWidth="1"/>
    <col min="12821" max="12821" width="12.140625" customWidth="1"/>
    <col min="13058" max="13058" width="39.7109375" customWidth="1"/>
    <col min="13059" max="13059" width="4.7109375" customWidth="1"/>
    <col min="13060" max="13060" width="15.7109375" customWidth="1"/>
    <col min="13061" max="13061" width="16.42578125" customWidth="1"/>
    <col min="13062" max="13062" width="15.7109375" customWidth="1"/>
    <col min="13063" max="13063" width="14.7109375" customWidth="1"/>
    <col min="13064" max="13064" width="17" customWidth="1"/>
    <col min="13065" max="13065" width="15.5703125" customWidth="1"/>
    <col min="13066" max="13066" width="11.7109375" customWidth="1"/>
    <col min="13067" max="13067" width="16.42578125" customWidth="1"/>
    <col min="13068" max="13068" width="16" customWidth="1"/>
    <col min="13069" max="13069" width="15" customWidth="1"/>
    <col min="13070" max="13070" width="15.42578125" customWidth="1"/>
    <col min="13071" max="13071" width="16.28515625" customWidth="1"/>
    <col min="13072" max="13072" width="15.7109375" customWidth="1"/>
    <col min="13073" max="13074" width="17" customWidth="1"/>
    <col min="13075" max="13075" width="13.28515625" customWidth="1"/>
    <col min="13076" max="13076" width="13.7109375" customWidth="1"/>
    <col min="13077" max="13077" width="12.140625" customWidth="1"/>
    <col min="13314" max="13314" width="39.7109375" customWidth="1"/>
    <col min="13315" max="13315" width="4.7109375" customWidth="1"/>
    <col min="13316" max="13316" width="15.7109375" customWidth="1"/>
    <col min="13317" max="13317" width="16.42578125" customWidth="1"/>
    <col min="13318" max="13318" width="15.7109375" customWidth="1"/>
    <col min="13319" max="13319" width="14.7109375" customWidth="1"/>
    <col min="13320" max="13320" width="17" customWidth="1"/>
    <col min="13321" max="13321" width="15.5703125" customWidth="1"/>
    <col min="13322" max="13322" width="11.7109375" customWidth="1"/>
    <col min="13323" max="13323" width="16.42578125" customWidth="1"/>
    <col min="13324" max="13324" width="16" customWidth="1"/>
    <col min="13325" max="13325" width="15" customWidth="1"/>
    <col min="13326" max="13326" width="15.42578125" customWidth="1"/>
    <col min="13327" max="13327" width="16.28515625" customWidth="1"/>
    <col min="13328" max="13328" width="15.7109375" customWidth="1"/>
    <col min="13329" max="13330" width="17" customWidth="1"/>
    <col min="13331" max="13331" width="13.28515625" customWidth="1"/>
    <col min="13332" max="13332" width="13.7109375" customWidth="1"/>
    <col min="13333" max="13333" width="12.140625" customWidth="1"/>
    <col min="13570" max="13570" width="39.7109375" customWidth="1"/>
    <col min="13571" max="13571" width="4.7109375" customWidth="1"/>
    <col min="13572" max="13572" width="15.7109375" customWidth="1"/>
    <col min="13573" max="13573" width="16.42578125" customWidth="1"/>
    <col min="13574" max="13574" width="15.7109375" customWidth="1"/>
    <col min="13575" max="13575" width="14.7109375" customWidth="1"/>
    <col min="13576" max="13576" width="17" customWidth="1"/>
    <col min="13577" max="13577" width="15.5703125" customWidth="1"/>
    <col min="13578" max="13578" width="11.7109375" customWidth="1"/>
    <col min="13579" max="13579" width="16.42578125" customWidth="1"/>
    <col min="13580" max="13580" width="16" customWidth="1"/>
    <col min="13581" max="13581" width="15" customWidth="1"/>
    <col min="13582" max="13582" width="15.42578125" customWidth="1"/>
    <col min="13583" max="13583" width="16.28515625" customWidth="1"/>
    <col min="13584" max="13584" width="15.7109375" customWidth="1"/>
    <col min="13585" max="13586" width="17" customWidth="1"/>
    <col min="13587" max="13587" width="13.28515625" customWidth="1"/>
    <col min="13588" max="13588" width="13.7109375" customWidth="1"/>
    <col min="13589" max="13589" width="12.140625" customWidth="1"/>
    <col min="13826" max="13826" width="39.7109375" customWidth="1"/>
    <col min="13827" max="13827" width="4.7109375" customWidth="1"/>
    <col min="13828" max="13828" width="15.7109375" customWidth="1"/>
    <col min="13829" max="13829" width="16.42578125" customWidth="1"/>
    <col min="13830" max="13830" width="15.7109375" customWidth="1"/>
    <col min="13831" max="13831" width="14.7109375" customWidth="1"/>
    <col min="13832" max="13832" width="17" customWidth="1"/>
    <col min="13833" max="13833" width="15.5703125" customWidth="1"/>
    <col min="13834" max="13834" width="11.7109375" customWidth="1"/>
    <col min="13835" max="13835" width="16.42578125" customWidth="1"/>
    <col min="13836" max="13836" width="16" customWidth="1"/>
    <col min="13837" max="13837" width="15" customWidth="1"/>
    <col min="13838" max="13838" width="15.42578125" customWidth="1"/>
    <col min="13839" max="13839" width="16.28515625" customWidth="1"/>
    <col min="13840" max="13840" width="15.7109375" customWidth="1"/>
    <col min="13841" max="13842" width="17" customWidth="1"/>
    <col min="13843" max="13843" width="13.28515625" customWidth="1"/>
    <col min="13844" max="13844" width="13.7109375" customWidth="1"/>
    <col min="13845" max="13845" width="12.140625" customWidth="1"/>
    <col min="14082" max="14082" width="39.7109375" customWidth="1"/>
    <col min="14083" max="14083" width="4.7109375" customWidth="1"/>
    <col min="14084" max="14084" width="15.7109375" customWidth="1"/>
    <col min="14085" max="14085" width="16.42578125" customWidth="1"/>
    <col min="14086" max="14086" width="15.7109375" customWidth="1"/>
    <col min="14087" max="14087" width="14.7109375" customWidth="1"/>
    <col min="14088" max="14088" width="17" customWidth="1"/>
    <col min="14089" max="14089" width="15.5703125" customWidth="1"/>
    <col min="14090" max="14090" width="11.7109375" customWidth="1"/>
    <col min="14091" max="14091" width="16.42578125" customWidth="1"/>
    <col min="14092" max="14092" width="16" customWidth="1"/>
    <col min="14093" max="14093" width="15" customWidth="1"/>
    <col min="14094" max="14094" width="15.42578125" customWidth="1"/>
    <col min="14095" max="14095" width="16.28515625" customWidth="1"/>
    <col min="14096" max="14096" width="15.7109375" customWidth="1"/>
    <col min="14097" max="14098" width="17" customWidth="1"/>
    <col min="14099" max="14099" width="13.28515625" customWidth="1"/>
    <col min="14100" max="14100" width="13.7109375" customWidth="1"/>
    <col min="14101" max="14101" width="12.140625" customWidth="1"/>
    <col min="14338" max="14338" width="39.7109375" customWidth="1"/>
    <col min="14339" max="14339" width="4.7109375" customWidth="1"/>
    <col min="14340" max="14340" width="15.7109375" customWidth="1"/>
    <col min="14341" max="14341" width="16.42578125" customWidth="1"/>
    <col min="14342" max="14342" width="15.7109375" customWidth="1"/>
    <col min="14343" max="14343" width="14.7109375" customWidth="1"/>
    <col min="14344" max="14344" width="17" customWidth="1"/>
    <col min="14345" max="14345" width="15.5703125" customWidth="1"/>
    <col min="14346" max="14346" width="11.7109375" customWidth="1"/>
    <col min="14347" max="14347" width="16.42578125" customWidth="1"/>
    <col min="14348" max="14348" width="16" customWidth="1"/>
    <col min="14349" max="14349" width="15" customWidth="1"/>
    <col min="14350" max="14350" width="15.42578125" customWidth="1"/>
    <col min="14351" max="14351" width="16.28515625" customWidth="1"/>
    <col min="14352" max="14352" width="15.7109375" customWidth="1"/>
    <col min="14353" max="14354" width="17" customWidth="1"/>
    <col min="14355" max="14355" width="13.28515625" customWidth="1"/>
    <col min="14356" max="14356" width="13.7109375" customWidth="1"/>
    <col min="14357" max="14357" width="12.140625" customWidth="1"/>
    <col min="14594" max="14594" width="39.7109375" customWidth="1"/>
    <col min="14595" max="14595" width="4.7109375" customWidth="1"/>
    <col min="14596" max="14596" width="15.7109375" customWidth="1"/>
    <col min="14597" max="14597" width="16.42578125" customWidth="1"/>
    <col min="14598" max="14598" width="15.7109375" customWidth="1"/>
    <col min="14599" max="14599" width="14.7109375" customWidth="1"/>
    <col min="14600" max="14600" width="17" customWidth="1"/>
    <col min="14601" max="14601" width="15.5703125" customWidth="1"/>
    <col min="14602" max="14602" width="11.7109375" customWidth="1"/>
    <col min="14603" max="14603" width="16.42578125" customWidth="1"/>
    <col min="14604" max="14604" width="16" customWidth="1"/>
    <col min="14605" max="14605" width="15" customWidth="1"/>
    <col min="14606" max="14606" width="15.42578125" customWidth="1"/>
    <col min="14607" max="14607" width="16.28515625" customWidth="1"/>
    <col min="14608" max="14608" width="15.7109375" customWidth="1"/>
    <col min="14609" max="14610" width="17" customWidth="1"/>
    <col min="14611" max="14611" width="13.28515625" customWidth="1"/>
    <col min="14612" max="14612" width="13.7109375" customWidth="1"/>
    <col min="14613" max="14613" width="12.140625" customWidth="1"/>
    <col min="14850" max="14850" width="39.7109375" customWidth="1"/>
    <col min="14851" max="14851" width="4.7109375" customWidth="1"/>
    <col min="14852" max="14852" width="15.7109375" customWidth="1"/>
    <col min="14853" max="14853" width="16.42578125" customWidth="1"/>
    <col min="14854" max="14854" width="15.7109375" customWidth="1"/>
    <col min="14855" max="14855" width="14.7109375" customWidth="1"/>
    <col min="14856" max="14856" width="17" customWidth="1"/>
    <col min="14857" max="14857" width="15.5703125" customWidth="1"/>
    <col min="14858" max="14858" width="11.7109375" customWidth="1"/>
    <col min="14859" max="14859" width="16.42578125" customWidth="1"/>
    <col min="14860" max="14860" width="16" customWidth="1"/>
    <col min="14861" max="14861" width="15" customWidth="1"/>
    <col min="14862" max="14862" width="15.42578125" customWidth="1"/>
    <col min="14863" max="14863" width="16.28515625" customWidth="1"/>
    <col min="14864" max="14864" width="15.7109375" customWidth="1"/>
    <col min="14865" max="14866" width="17" customWidth="1"/>
    <col min="14867" max="14867" width="13.28515625" customWidth="1"/>
    <col min="14868" max="14868" width="13.7109375" customWidth="1"/>
    <col min="14869" max="14869" width="12.140625" customWidth="1"/>
    <col min="15106" max="15106" width="39.7109375" customWidth="1"/>
    <col min="15107" max="15107" width="4.7109375" customWidth="1"/>
    <col min="15108" max="15108" width="15.7109375" customWidth="1"/>
    <col min="15109" max="15109" width="16.42578125" customWidth="1"/>
    <col min="15110" max="15110" width="15.7109375" customWidth="1"/>
    <col min="15111" max="15111" width="14.7109375" customWidth="1"/>
    <col min="15112" max="15112" width="17" customWidth="1"/>
    <col min="15113" max="15113" width="15.5703125" customWidth="1"/>
    <col min="15114" max="15114" width="11.7109375" customWidth="1"/>
    <col min="15115" max="15115" width="16.42578125" customWidth="1"/>
    <col min="15116" max="15116" width="16" customWidth="1"/>
    <col min="15117" max="15117" width="15" customWidth="1"/>
    <col min="15118" max="15118" width="15.42578125" customWidth="1"/>
    <col min="15119" max="15119" width="16.28515625" customWidth="1"/>
    <col min="15120" max="15120" width="15.7109375" customWidth="1"/>
    <col min="15121" max="15122" width="17" customWidth="1"/>
    <col min="15123" max="15123" width="13.28515625" customWidth="1"/>
    <col min="15124" max="15124" width="13.7109375" customWidth="1"/>
    <col min="15125" max="15125" width="12.140625" customWidth="1"/>
    <col min="15362" max="15362" width="39.7109375" customWidth="1"/>
    <col min="15363" max="15363" width="4.7109375" customWidth="1"/>
    <col min="15364" max="15364" width="15.7109375" customWidth="1"/>
    <col min="15365" max="15365" width="16.42578125" customWidth="1"/>
    <col min="15366" max="15366" width="15.7109375" customWidth="1"/>
    <col min="15367" max="15367" width="14.7109375" customWidth="1"/>
    <col min="15368" max="15368" width="17" customWidth="1"/>
    <col min="15369" max="15369" width="15.5703125" customWidth="1"/>
    <col min="15370" max="15370" width="11.7109375" customWidth="1"/>
    <col min="15371" max="15371" width="16.42578125" customWidth="1"/>
    <col min="15372" max="15372" width="16" customWidth="1"/>
    <col min="15373" max="15373" width="15" customWidth="1"/>
    <col min="15374" max="15374" width="15.42578125" customWidth="1"/>
    <col min="15375" max="15375" width="16.28515625" customWidth="1"/>
    <col min="15376" max="15376" width="15.7109375" customWidth="1"/>
    <col min="15377" max="15378" width="17" customWidth="1"/>
    <col min="15379" max="15379" width="13.28515625" customWidth="1"/>
    <col min="15380" max="15380" width="13.7109375" customWidth="1"/>
    <col min="15381" max="15381" width="12.140625" customWidth="1"/>
    <col min="15618" max="15618" width="39.7109375" customWidth="1"/>
    <col min="15619" max="15619" width="4.7109375" customWidth="1"/>
    <col min="15620" max="15620" width="15.7109375" customWidth="1"/>
    <col min="15621" max="15621" width="16.42578125" customWidth="1"/>
    <col min="15622" max="15622" width="15.7109375" customWidth="1"/>
    <col min="15623" max="15623" width="14.7109375" customWidth="1"/>
    <col min="15624" max="15624" width="17" customWidth="1"/>
    <col min="15625" max="15625" width="15.5703125" customWidth="1"/>
    <col min="15626" max="15626" width="11.7109375" customWidth="1"/>
    <col min="15627" max="15627" width="16.42578125" customWidth="1"/>
    <col min="15628" max="15628" width="16" customWidth="1"/>
    <col min="15629" max="15629" width="15" customWidth="1"/>
    <col min="15630" max="15630" width="15.42578125" customWidth="1"/>
    <col min="15631" max="15631" width="16.28515625" customWidth="1"/>
    <col min="15632" max="15632" width="15.7109375" customWidth="1"/>
    <col min="15633" max="15634" width="17" customWidth="1"/>
    <col min="15635" max="15635" width="13.28515625" customWidth="1"/>
    <col min="15636" max="15636" width="13.7109375" customWidth="1"/>
    <col min="15637" max="15637" width="12.140625" customWidth="1"/>
    <col min="15874" max="15874" width="39.7109375" customWidth="1"/>
    <col min="15875" max="15875" width="4.7109375" customWidth="1"/>
    <col min="15876" max="15876" width="15.7109375" customWidth="1"/>
    <col min="15877" max="15877" width="16.42578125" customWidth="1"/>
    <col min="15878" max="15878" width="15.7109375" customWidth="1"/>
    <col min="15879" max="15879" width="14.7109375" customWidth="1"/>
    <col min="15880" max="15880" width="17" customWidth="1"/>
    <col min="15881" max="15881" width="15.5703125" customWidth="1"/>
    <col min="15882" max="15882" width="11.7109375" customWidth="1"/>
    <col min="15883" max="15883" width="16.42578125" customWidth="1"/>
    <col min="15884" max="15884" width="16" customWidth="1"/>
    <col min="15885" max="15885" width="15" customWidth="1"/>
    <col min="15886" max="15886" width="15.42578125" customWidth="1"/>
    <col min="15887" max="15887" width="16.28515625" customWidth="1"/>
    <col min="15888" max="15888" width="15.7109375" customWidth="1"/>
    <col min="15889" max="15890" width="17" customWidth="1"/>
    <col min="15891" max="15891" width="13.28515625" customWidth="1"/>
    <col min="15892" max="15892" width="13.7109375" customWidth="1"/>
    <col min="15893" max="15893" width="12.140625" customWidth="1"/>
    <col min="16130" max="16130" width="39.7109375" customWidth="1"/>
    <col min="16131" max="16131" width="4.7109375" customWidth="1"/>
    <col min="16132" max="16132" width="15.7109375" customWidth="1"/>
    <col min="16133" max="16133" width="16.42578125" customWidth="1"/>
    <col min="16134" max="16134" width="15.7109375" customWidth="1"/>
    <col min="16135" max="16135" width="14.7109375" customWidth="1"/>
    <col min="16136" max="16136" width="17" customWidth="1"/>
    <col min="16137" max="16137" width="15.5703125" customWidth="1"/>
    <col min="16138" max="16138" width="11.7109375" customWidth="1"/>
    <col min="16139" max="16139" width="16.42578125" customWidth="1"/>
    <col min="16140" max="16140" width="16" customWidth="1"/>
    <col min="16141" max="16141" width="15" customWidth="1"/>
    <col min="16142" max="16142" width="15.42578125" customWidth="1"/>
    <col min="16143" max="16143" width="16.28515625" customWidth="1"/>
    <col min="16144" max="16144" width="15.7109375" customWidth="1"/>
    <col min="16145" max="16146" width="17" customWidth="1"/>
    <col min="16147" max="16147" width="13.28515625" customWidth="1"/>
    <col min="16148" max="16148" width="13.7109375" customWidth="1"/>
    <col min="16149" max="16149" width="12.140625" customWidth="1"/>
  </cols>
  <sheetData>
    <row r="1" spans="1:21" ht="27" thickBot="1">
      <c r="A1" s="6161" t="s">
        <v>2715</v>
      </c>
      <c r="B1" s="6162"/>
      <c r="C1" s="6162"/>
      <c r="D1" s="6162"/>
      <c r="E1" s="6162"/>
      <c r="F1" s="6162"/>
      <c r="G1" s="6162"/>
      <c r="H1" s="6162"/>
      <c r="I1" s="6162"/>
      <c r="J1" s="6162"/>
      <c r="K1" s="6162"/>
      <c r="L1" s="6162"/>
      <c r="M1" s="6162"/>
      <c r="N1" s="6162"/>
      <c r="O1" s="6162"/>
      <c r="P1" s="6162"/>
      <c r="Q1" s="6162"/>
      <c r="R1" s="6162"/>
      <c r="S1" s="6162"/>
      <c r="T1" s="6162"/>
      <c r="U1" s="6163"/>
    </row>
    <row r="2" spans="1:21" ht="21" thickBot="1">
      <c r="A2" s="6164" t="s">
        <v>856</v>
      </c>
      <c r="B2" s="6166" t="s">
        <v>857</v>
      </c>
      <c r="C2" s="3167"/>
      <c r="D2" s="3168" t="s">
        <v>858</v>
      </c>
      <c r="E2" s="6168" t="s">
        <v>859</v>
      </c>
      <c r="F2" s="6169"/>
      <c r="G2" s="6170" t="s">
        <v>1010</v>
      </c>
      <c r="H2" s="6171"/>
      <c r="I2" s="6172"/>
      <c r="J2" s="6170" t="s">
        <v>861</v>
      </c>
      <c r="K2" s="6171"/>
      <c r="L2" s="6172"/>
      <c r="M2" s="6170" t="s">
        <v>862</v>
      </c>
      <c r="N2" s="6171"/>
      <c r="O2" s="6172"/>
      <c r="P2" s="6170" t="s">
        <v>1005</v>
      </c>
      <c r="Q2" s="6171"/>
      <c r="R2" s="6172"/>
      <c r="S2" s="6173" t="s">
        <v>1011</v>
      </c>
      <c r="T2" s="6174"/>
      <c r="U2" s="6175"/>
    </row>
    <row r="3" spans="1:21" ht="21" thickBot="1">
      <c r="A3" s="6165"/>
      <c r="B3" s="6167"/>
      <c r="C3" s="3169"/>
      <c r="D3" s="3168" t="s">
        <v>865</v>
      </c>
      <c r="E3" s="3170" t="s">
        <v>866</v>
      </c>
      <c r="F3" s="3171" t="s">
        <v>867</v>
      </c>
      <c r="G3" s="3172" t="s">
        <v>868</v>
      </c>
      <c r="H3" s="3172" t="s">
        <v>869</v>
      </c>
      <c r="I3" s="3173" t="s">
        <v>499</v>
      </c>
      <c r="J3" s="3172" t="s">
        <v>868</v>
      </c>
      <c r="K3" s="3172" t="s">
        <v>869</v>
      </c>
      <c r="L3" s="3172" t="s">
        <v>499</v>
      </c>
      <c r="M3" s="3172" t="s">
        <v>868</v>
      </c>
      <c r="N3" s="3172" t="s">
        <v>869</v>
      </c>
      <c r="O3" s="3174" t="s">
        <v>499</v>
      </c>
      <c r="P3" s="3172" t="s">
        <v>868</v>
      </c>
      <c r="Q3" s="3175" t="s">
        <v>869</v>
      </c>
      <c r="R3" s="3172" t="s">
        <v>499</v>
      </c>
      <c r="S3" s="3176" t="s">
        <v>868</v>
      </c>
      <c r="T3" s="3177" t="s">
        <v>869</v>
      </c>
      <c r="U3" s="3176" t="s">
        <v>499</v>
      </c>
    </row>
    <row r="4" spans="1:21" ht="21" thickBot="1">
      <c r="A4" s="3178" t="s">
        <v>870</v>
      </c>
      <c r="B4" s="3179" t="s">
        <v>871</v>
      </c>
      <c r="C4" s="3180"/>
      <c r="D4" s="3168"/>
      <c r="E4" s="3181"/>
      <c r="F4" s="3182"/>
      <c r="G4" s="3172"/>
      <c r="H4" s="3172"/>
      <c r="I4" s="3183"/>
      <c r="J4" s="3172"/>
      <c r="K4" s="3172"/>
      <c r="L4" s="3172"/>
      <c r="M4" s="3172"/>
      <c r="N4" s="3172"/>
      <c r="O4" s="3174"/>
      <c r="P4" s="3172"/>
      <c r="Q4" s="3175"/>
      <c r="R4" s="3172"/>
      <c r="S4" s="3184"/>
      <c r="T4" s="3185"/>
      <c r="U4" s="3184"/>
    </row>
    <row r="5" spans="1:21" ht="21" thickBot="1">
      <c r="A5" s="6180">
        <v>1</v>
      </c>
      <c r="B5" s="6166" t="s">
        <v>872</v>
      </c>
      <c r="C5" s="3167"/>
      <c r="D5" s="3280">
        <v>0.1075</v>
      </c>
      <c r="E5" s="3250" t="s">
        <v>977</v>
      </c>
      <c r="F5" s="3247" t="s">
        <v>889</v>
      </c>
      <c r="G5" s="3190">
        <v>0</v>
      </c>
      <c r="H5" s="3190">
        <v>815</v>
      </c>
      <c r="I5" s="3183">
        <v>815</v>
      </c>
      <c r="J5" s="3190">
        <v>0</v>
      </c>
      <c r="K5" s="3190">
        <v>0</v>
      </c>
      <c r="L5" s="3183">
        <v>0</v>
      </c>
      <c r="M5" s="3190">
        <v>0</v>
      </c>
      <c r="N5" s="3190">
        <v>815</v>
      </c>
      <c r="O5" s="3192">
        <v>815</v>
      </c>
      <c r="P5" s="3190">
        <v>0</v>
      </c>
      <c r="Q5" s="3190">
        <v>0</v>
      </c>
      <c r="R5" s="3183">
        <v>0</v>
      </c>
      <c r="S5" s="3190">
        <v>0</v>
      </c>
      <c r="T5" s="3297">
        <v>7.2</v>
      </c>
      <c r="U5" s="3298">
        <v>7.2</v>
      </c>
    </row>
    <row r="6" spans="1:21" ht="21" thickBot="1">
      <c r="A6" s="6181"/>
      <c r="B6" s="6177"/>
      <c r="C6" s="3186"/>
      <c r="D6" s="3280">
        <v>0.1075</v>
      </c>
      <c r="E6" s="3250" t="s">
        <v>978</v>
      </c>
      <c r="F6" s="3247" t="s">
        <v>979</v>
      </c>
      <c r="G6" s="3190">
        <v>0</v>
      </c>
      <c r="H6" s="3190">
        <v>1650</v>
      </c>
      <c r="I6" s="3183">
        <v>1650</v>
      </c>
      <c r="J6" s="3190">
        <v>0</v>
      </c>
      <c r="K6" s="3190">
        <v>0</v>
      </c>
      <c r="L6" s="3183">
        <v>0</v>
      </c>
      <c r="M6" s="3190">
        <v>0</v>
      </c>
      <c r="N6" s="3190">
        <v>1650</v>
      </c>
      <c r="O6" s="3192">
        <v>1650</v>
      </c>
      <c r="P6" s="3190">
        <v>0</v>
      </c>
      <c r="Q6" s="3190">
        <v>0</v>
      </c>
      <c r="R6" s="3183">
        <v>0</v>
      </c>
      <c r="S6" s="3190">
        <v>0</v>
      </c>
      <c r="T6" s="3297">
        <v>22.03</v>
      </c>
      <c r="U6" s="3298">
        <v>22.03</v>
      </c>
    </row>
    <row r="7" spans="1:21" ht="21" thickBot="1">
      <c r="A7" s="6181"/>
      <c r="B7" s="6177"/>
      <c r="C7" s="3186"/>
      <c r="D7" s="3280">
        <v>0.1075</v>
      </c>
      <c r="E7" s="3250" t="s">
        <v>980</v>
      </c>
      <c r="F7" s="3247" t="s">
        <v>981</v>
      </c>
      <c r="G7" s="3190">
        <v>0</v>
      </c>
      <c r="H7" s="3190">
        <v>2485</v>
      </c>
      <c r="I7" s="3183">
        <v>2485</v>
      </c>
      <c r="J7" s="3190">
        <v>0</v>
      </c>
      <c r="K7" s="3190">
        <v>0</v>
      </c>
      <c r="L7" s="3183">
        <v>0</v>
      </c>
      <c r="M7" s="3190">
        <v>0</v>
      </c>
      <c r="N7" s="3190">
        <v>2485</v>
      </c>
      <c r="O7" s="3192">
        <v>2485</v>
      </c>
      <c r="P7" s="3190">
        <v>0</v>
      </c>
      <c r="Q7" s="3190">
        <v>0</v>
      </c>
      <c r="R7" s="3183">
        <v>0</v>
      </c>
      <c r="S7" s="3190">
        <v>0</v>
      </c>
      <c r="T7" s="3297">
        <v>43.71</v>
      </c>
      <c r="U7" s="3298">
        <v>43.71</v>
      </c>
    </row>
    <row r="8" spans="1:21" ht="21" thickBot="1">
      <c r="A8" s="6181"/>
      <c r="B8" s="6177"/>
      <c r="C8" s="3186"/>
      <c r="D8" s="3280">
        <v>0.1075</v>
      </c>
      <c r="E8" s="3250" t="s">
        <v>982</v>
      </c>
      <c r="F8" s="3247" t="s">
        <v>983</v>
      </c>
      <c r="G8" s="3190">
        <v>0</v>
      </c>
      <c r="H8" s="3190">
        <v>3320</v>
      </c>
      <c r="I8" s="3183">
        <v>3320</v>
      </c>
      <c r="J8" s="3190">
        <v>0</v>
      </c>
      <c r="K8" s="3190">
        <v>0</v>
      </c>
      <c r="L8" s="3183">
        <v>0</v>
      </c>
      <c r="M8" s="3190">
        <v>0</v>
      </c>
      <c r="N8" s="3190">
        <v>3320</v>
      </c>
      <c r="O8" s="3192">
        <v>3320</v>
      </c>
      <c r="P8" s="3190">
        <v>0</v>
      </c>
      <c r="Q8" s="3190">
        <v>0</v>
      </c>
      <c r="R8" s="3183">
        <v>0</v>
      </c>
      <c r="S8" s="3190">
        <v>0</v>
      </c>
      <c r="T8" s="3297">
        <v>73.08</v>
      </c>
      <c r="U8" s="3299">
        <v>73.08</v>
      </c>
    </row>
    <row r="9" spans="1:21" ht="21" thickBot="1">
      <c r="A9" s="6181"/>
      <c r="B9" s="6177"/>
      <c r="C9" s="3186"/>
      <c r="D9" s="3280">
        <v>0.1075</v>
      </c>
      <c r="E9" s="3250" t="s">
        <v>984</v>
      </c>
      <c r="F9" s="3247" t="s">
        <v>985</v>
      </c>
      <c r="G9" s="3190">
        <v>0</v>
      </c>
      <c r="H9" s="3190">
        <v>4155</v>
      </c>
      <c r="I9" s="3183">
        <v>4155</v>
      </c>
      <c r="J9" s="3190">
        <v>0</v>
      </c>
      <c r="K9" s="3190">
        <v>0</v>
      </c>
      <c r="L9" s="3183">
        <v>0</v>
      </c>
      <c r="M9" s="3190">
        <v>0</v>
      </c>
      <c r="N9" s="3190">
        <v>4155</v>
      </c>
      <c r="O9" s="3192">
        <v>4155</v>
      </c>
      <c r="P9" s="3190">
        <v>0</v>
      </c>
      <c r="Q9" s="3190">
        <v>0</v>
      </c>
      <c r="R9" s="3183">
        <v>0</v>
      </c>
      <c r="S9" s="3190">
        <v>0</v>
      </c>
      <c r="T9" s="3297">
        <v>110.03</v>
      </c>
      <c r="U9" s="3299">
        <v>110.03</v>
      </c>
    </row>
    <row r="10" spans="1:21" ht="21" thickBot="1">
      <c r="A10" s="6181"/>
      <c r="B10" s="6177"/>
      <c r="C10" s="3186"/>
      <c r="D10" s="3280">
        <v>0.1075</v>
      </c>
      <c r="E10" s="3250" t="s">
        <v>986</v>
      </c>
      <c r="F10" s="3247" t="s">
        <v>987</v>
      </c>
      <c r="G10" s="3190">
        <v>0</v>
      </c>
      <c r="H10" s="3190">
        <v>4990</v>
      </c>
      <c r="I10" s="3191">
        <v>4990</v>
      </c>
      <c r="J10" s="3190">
        <v>0</v>
      </c>
      <c r="K10" s="3190">
        <v>0</v>
      </c>
      <c r="L10" s="3183">
        <v>0</v>
      </c>
      <c r="M10" s="3190">
        <v>0</v>
      </c>
      <c r="N10" s="3190">
        <v>4990</v>
      </c>
      <c r="O10" s="3192">
        <v>4990</v>
      </c>
      <c r="P10" s="3190">
        <v>0</v>
      </c>
      <c r="Q10" s="3190">
        <v>0</v>
      </c>
      <c r="R10" s="3183">
        <v>0</v>
      </c>
      <c r="S10" s="3190">
        <v>0</v>
      </c>
      <c r="T10" s="3297">
        <v>161.91000000000003</v>
      </c>
      <c r="U10" s="3299">
        <v>161.91000000000003</v>
      </c>
    </row>
    <row r="11" spans="1:21" ht="21" thickBot="1">
      <c r="A11" s="6181"/>
      <c r="B11" s="6177"/>
      <c r="C11" s="3186"/>
      <c r="D11" s="3187">
        <v>0.1075</v>
      </c>
      <c r="E11" s="3250" t="s">
        <v>873</v>
      </c>
      <c r="F11" s="3247" t="s">
        <v>874</v>
      </c>
      <c r="G11" s="3190">
        <v>0</v>
      </c>
      <c r="H11" s="3190">
        <v>5825</v>
      </c>
      <c r="I11" s="3191">
        <v>5825</v>
      </c>
      <c r="J11" s="3190">
        <v>0</v>
      </c>
      <c r="K11" s="3190">
        <v>0</v>
      </c>
      <c r="L11" s="3183">
        <v>0</v>
      </c>
      <c r="M11" s="3190">
        <v>0</v>
      </c>
      <c r="N11" s="3190">
        <v>5010</v>
      </c>
      <c r="O11" s="3192">
        <v>5010</v>
      </c>
      <c r="P11" s="3190">
        <v>0</v>
      </c>
      <c r="Q11" s="3190">
        <v>815</v>
      </c>
      <c r="R11" s="3183">
        <v>815</v>
      </c>
      <c r="S11" s="3190">
        <v>0</v>
      </c>
      <c r="T11" s="3190">
        <v>203.35000000000002</v>
      </c>
      <c r="U11" s="3183">
        <v>203.35000000000002</v>
      </c>
    </row>
    <row r="12" spans="1:21" ht="21" thickBot="1">
      <c r="A12" s="6181"/>
      <c r="B12" s="6177"/>
      <c r="C12" s="3186"/>
      <c r="D12" s="3187">
        <v>0.1075</v>
      </c>
      <c r="E12" s="3250" t="s">
        <v>875</v>
      </c>
      <c r="F12" s="3247" t="s">
        <v>876</v>
      </c>
      <c r="G12" s="3190">
        <v>0</v>
      </c>
      <c r="H12" s="3190">
        <v>6660</v>
      </c>
      <c r="I12" s="3191">
        <v>6660</v>
      </c>
      <c r="J12" s="3190">
        <v>0</v>
      </c>
      <c r="K12" s="3190">
        <v>0</v>
      </c>
      <c r="L12" s="3183">
        <v>0</v>
      </c>
      <c r="M12" s="3190">
        <v>0</v>
      </c>
      <c r="N12" s="3190">
        <v>5010</v>
      </c>
      <c r="O12" s="3192">
        <v>5010</v>
      </c>
      <c r="P12" s="3190">
        <v>0</v>
      </c>
      <c r="Q12" s="3190">
        <v>1650</v>
      </c>
      <c r="R12" s="3183">
        <v>1650</v>
      </c>
      <c r="S12" s="3190">
        <v>0</v>
      </c>
      <c r="T12" s="3190">
        <v>248.01</v>
      </c>
      <c r="U12" s="3183">
        <v>248.01</v>
      </c>
    </row>
    <row r="13" spans="1:21" ht="21" thickBot="1">
      <c r="A13" s="6181"/>
      <c r="B13" s="6177"/>
      <c r="C13" s="3186" t="s">
        <v>2705</v>
      </c>
      <c r="D13" s="3187">
        <v>0.1075</v>
      </c>
      <c r="E13" s="3250" t="s">
        <v>877</v>
      </c>
      <c r="F13" s="3247" t="s">
        <v>878</v>
      </c>
      <c r="G13" s="3190">
        <v>7495</v>
      </c>
      <c r="H13" s="3190">
        <v>0</v>
      </c>
      <c r="I13" s="3191">
        <v>7495</v>
      </c>
      <c r="J13" s="3190">
        <v>0</v>
      </c>
      <c r="K13" s="3190">
        <v>0</v>
      </c>
      <c r="L13" s="3183">
        <v>0</v>
      </c>
      <c r="M13" s="3190">
        <v>5010</v>
      </c>
      <c r="N13" s="3190">
        <v>0</v>
      </c>
      <c r="O13" s="3192">
        <v>5010</v>
      </c>
      <c r="P13" s="3190">
        <v>2485</v>
      </c>
      <c r="Q13" s="3190">
        <v>0</v>
      </c>
      <c r="R13" s="3183">
        <v>2485</v>
      </c>
      <c r="S13" s="3190">
        <v>220.89999999999998</v>
      </c>
      <c r="T13" s="3190">
        <v>0</v>
      </c>
      <c r="U13" s="3300">
        <v>220.89999999999998</v>
      </c>
    </row>
    <row r="14" spans="1:21" ht="21" thickBot="1">
      <c r="A14" s="6181"/>
      <c r="B14" s="6177"/>
      <c r="C14" s="3186" t="s">
        <v>2705</v>
      </c>
      <c r="D14" s="3187">
        <v>0.1075</v>
      </c>
      <c r="E14" s="3250" t="s">
        <v>879</v>
      </c>
      <c r="F14" s="3247" t="s">
        <v>880</v>
      </c>
      <c r="G14" s="3190">
        <v>7495</v>
      </c>
      <c r="H14" s="3190">
        <v>0</v>
      </c>
      <c r="I14" s="3191">
        <v>7495</v>
      </c>
      <c r="J14" s="3190">
        <v>0</v>
      </c>
      <c r="K14" s="3190">
        <v>0</v>
      </c>
      <c r="L14" s="3183">
        <v>0</v>
      </c>
      <c r="M14" s="3190">
        <v>5010</v>
      </c>
      <c r="N14" s="3190">
        <v>0</v>
      </c>
      <c r="O14" s="3192">
        <v>5010</v>
      </c>
      <c r="P14" s="3190">
        <v>2485</v>
      </c>
      <c r="Q14" s="3190">
        <v>0</v>
      </c>
      <c r="R14" s="3183">
        <v>2485</v>
      </c>
      <c r="S14" s="3190">
        <v>289.07</v>
      </c>
      <c r="T14" s="3190">
        <v>0</v>
      </c>
      <c r="U14" s="3183">
        <v>289.07</v>
      </c>
    </row>
    <row r="15" spans="1:21" ht="21" thickBot="1">
      <c r="A15" s="6181"/>
      <c r="B15" s="6177"/>
      <c r="C15" s="3186"/>
      <c r="D15" s="3187">
        <v>0.1075</v>
      </c>
      <c r="E15" s="3250" t="s">
        <v>881</v>
      </c>
      <c r="F15" s="3247" t="s">
        <v>882</v>
      </c>
      <c r="G15" s="3190">
        <v>0</v>
      </c>
      <c r="H15" s="3190">
        <v>8330</v>
      </c>
      <c r="I15" s="3191">
        <v>8330</v>
      </c>
      <c r="J15" s="3190">
        <v>0</v>
      </c>
      <c r="K15" s="3190">
        <v>0</v>
      </c>
      <c r="L15" s="3183">
        <v>0</v>
      </c>
      <c r="M15" s="3190">
        <v>0</v>
      </c>
      <c r="N15" s="3190">
        <v>5010</v>
      </c>
      <c r="O15" s="3192">
        <v>5010</v>
      </c>
      <c r="P15" s="3190">
        <v>0</v>
      </c>
      <c r="Q15" s="3190">
        <v>3320</v>
      </c>
      <c r="R15" s="3183">
        <v>3320</v>
      </c>
      <c r="S15" s="3190">
        <v>0</v>
      </c>
      <c r="T15" s="3190">
        <v>333.75</v>
      </c>
      <c r="U15" s="3183">
        <v>333.75</v>
      </c>
    </row>
    <row r="16" spans="1:21" ht="21" thickBot="1">
      <c r="A16" s="6181"/>
      <c r="B16" s="6177"/>
      <c r="C16" s="3186"/>
      <c r="D16" s="3187">
        <v>0.1075</v>
      </c>
      <c r="E16" s="3250" t="s">
        <v>883</v>
      </c>
      <c r="F16" s="3247" t="s">
        <v>884</v>
      </c>
      <c r="G16" s="3190">
        <v>0</v>
      </c>
      <c r="H16" s="3190">
        <v>8330</v>
      </c>
      <c r="I16" s="3191">
        <v>8330</v>
      </c>
      <c r="J16" s="3190">
        <v>0</v>
      </c>
      <c r="K16" s="3190">
        <v>0</v>
      </c>
      <c r="L16" s="3183">
        <v>0</v>
      </c>
      <c r="M16" s="3190">
        <v>0</v>
      </c>
      <c r="N16" s="3190">
        <v>5010</v>
      </c>
      <c r="O16" s="3192">
        <v>5010</v>
      </c>
      <c r="P16" s="3190">
        <v>0</v>
      </c>
      <c r="Q16" s="3190">
        <v>3320</v>
      </c>
      <c r="R16" s="3183">
        <v>3320</v>
      </c>
      <c r="S16" s="3190">
        <v>0</v>
      </c>
      <c r="T16" s="3190">
        <v>336.78</v>
      </c>
      <c r="U16" s="3183">
        <v>336.78</v>
      </c>
    </row>
    <row r="17" spans="1:21" ht="21" thickBot="1">
      <c r="A17" s="6181"/>
      <c r="B17" s="6177"/>
      <c r="C17" s="3186"/>
      <c r="D17" s="3187">
        <v>0.1075</v>
      </c>
      <c r="E17" s="3250" t="s">
        <v>885</v>
      </c>
      <c r="F17" s="3247" t="s">
        <v>886</v>
      </c>
      <c r="G17" s="3190">
        <v>0</v>
      </c>
      <c r="H17" s="3190">
        <v>9165</v>
      </c>
      <c r="I17" s="3191">
        <v>9165</v>
      </c>
      <c r="J17" s="3190">
        <v>0</v>
      </c>
      <c r="K17" s="3190">
        <v>0</v>
      </c>
      <c r="L17" s="3183">
        <v>0</v>
      </c>
      <c r="M17" s="3190">
        <v>0</v>
      </c>
      <c r="N17" s="3190">
        <v>5010</v>
      </c>
      <c r="O17" s="3192">
        <v>5010</v>
      </c>
      <c r="P17" s="3190">
        <v>0</v>
      </c>
      <c r="Q17" s="3190">
        <v>4155</v>
      </c>
      <c r="R17" s="3183">
        <v>4155</v>
      </c>
      <c r="S17" s="3190">
        <v>0</v>
      </c>
      <c r="T17" s="3190">
        <v>382.19</v>
      </c>
      <c r="U17" s="3183">
        <v>382.19</v>
      </c>
    </row>
    <row r="18" spans="1:21" ht="21" thickBot="1">
      <c r="A18" s="6181"/>
      <c r="B18" s="6177"/>
      <c r="C18" s="3186"/>
      <c r="D18" s="3187">
        <v>0.1075</v>
      </c>
      <c r="E18" s="3188" t="s">
        <v>887</v>
      </c>
      <c r="F18" s="3189" t="s">
        <v>888</v>
      </c>
      <c r="G18" s="3190">
        <v>0</v>
      </c>
      <c r="H18" s="3190">
        <v>10000</v>
      </c>
      <c r="I18" s="3191">
        <v>10000</v>
      </c>
      <c r="J18" s="3190">
        <v>0</v>
      </c>
      <c r="K18" s="3190">
        <v>0</v>
      </c>
      <c r="L18" s="3191">
        <v>0</v>
      </c>
      <c r="M18" s="3190">
        <v>0</v>
      </c>
      <c r="N18" s="3190">
        <v>5010</v>
      </c>
      <c r="O18" s="3194">
        <v>5010</v>
      </c>
      <c r="P18" s="3190">
        <v>0</v>
      </c>
      <c r="Q18" s="3190">
        <v>4990</v>
      </c>
      <c r="R18" s="3183">
        <v>4990</v>
      </c>
      <c r="S18" s="3190">
        <v>0</v>
      </c>
      <c r="T18" s="3190">
        <v>423.91999999999996</v>
      </c>
      <c r="U18" s="3183">
        <v>423.91999999999996</v>
      </c>
    </row>
    <row r="19" spans="1:21" ht="21" thickBot="1">
      <c r="A19" s="6181"/>
      <c r="B19" s="6177"/>
      <c r="C19" s="3186"/>
      <c r="D19" s="3187">
        <v>0.1075</v>
      </c>
      <c r="E19" s="3188" t="s">
        <v>889</v>
      </c>
      <c r="F19" s="3189" t="s">
        <v>890</v>
      </c>
      <c r="G19" s="3190">
        <v>0</v>
      </c>
      <c r="H19" s="3190">
        <v>0</v>
      </c>
      <c r="I19" s="3191">
        <v>0</v>
      </c>
      <c r="J19" s="3190">
        <v>0</v>
      </c>
      <c r="K19" s="3190">
        <v>10000</v>
      </c>
      <c r="L19" s="3191">
        <v>10000</v>
      </c>
      <c r="M19" s="3190">
        <v>0</v>
      </c>
      <c r="N19" s="3190">
        <v>4175</v>
      </c>
      <c r="O19" s="3194">
        <v>4175</v>
      </c>
      <c r="P19" s="3190">
        <v>0</v>
      </c>
      <c r="Q19" s="3190">
        <v>5825</v>
      </c>
      <c r="R19" s="3183">
        <v>5825</v>
      </c>
      <c r="S19" s="3190">
        <v>0</v>
      </c>
      <c r="T19" s="3190">
        <v>371.9</v>
      </c>
      <c r="U19" s="3183">
        <v>371.9</v>
      </c>
    </row>
    <row r="20" spans="1:21" ht="21" thickBot="1">
      <c r="A20" s="6181"/>
      <c r="B20" s="6177"/>
      <c r="C20" s="3186"/>
      <c r="D20" s="3187">
        <v>0.105</v>
      </c>
      <c r="E20" s="3188" t="s">
        <v>891</v>
      </c>
      <c r="F20" s="3189" t="s">
        <v>892</v>
      </c>
      <c r="G20" s="3190">
        <v>0</v>
      </c>
      <c r="H20" s="3190">
        <v>0</v>
      </c>
      <c r="I20" s="3183">
        <v>0</v>
      </c>
      <c r="J20" s="3190">
        <v>0</v>
      </c>
      <c r="K20" s="3190">
        <v>10000</v>
      </c>
      <c r="L20" s="3191">
        <v>10000</v>
      </c>
      <c r="M20" s="3190">
        <v>0</v>
      </c>
      <c r="N20" s="3190">
        <v>3340</v>
      </c>
      <c r="O20" s="3194">
        <v>3340</v>
      </c>
      <c r="P20" s="3190">
        <v>0</v>
      </c>
      <c r="Q20" s="3190">
        <v>6660</v>
      </c>
      <c r="R20" s="3183">
        <v>6660</v>
      </c>
      <c r="S20" s="3190">
        <v>0</v>
      </c>
      <c r="T20" s="3190">
        <v>310.77</v>
      </c>
      <c r="U20" s="3183">
        <v>310.77</v>
      </c>
    </row>
    <row r="21" spans="1:21" ht="21" thickBot="1">
      <c r="A21" s="6181"/>
      <c r="B21" s="6177"/>
      <c r="C21" s="3186"/>
      <c r="D21" s="3187">
        <v>0.105</v>
      </c>
      <c r="E21" s="3188" t="s">
        <v>893</v>
      </c>
      <c r="F21" s="3189" t="s">
        <v>894</v>
      </c>
      <c r="G21" s="3190">
        <v>0</v>
      </c>
      <c r="H21" s="3190">
        <v>0</v>
      </c>
      <c r="I21" s="3183">
        <v>0</v>
      </c>
      <c r="J21" s="3190">
        <v>0</v>
      </c>
      <c r="K21" s="3190">
        <v>10000</v>
      </c>
      <c r="L21" s="3191">
        <v>10000</v>
      </c>
      <c r="M21" s="3190">
        <v>0</v>
      </c>
      <c r="N21" s="3190">
        <v>3340</v>
      </c>
      <c r="O21" s="3194">
        <v>3340</v>
      </c>
      <c r="P21" s="3190">
        <v>0</v>
      </c>
      <c r="Q21" s="3190">
        <v>6660</v>
      </c>
      <c r="R21" s="3183">
        <v>6660</v>
      </c>
      <c r="S21" s="3190">
        <v>0</v>
      </c>
      <c r="T21" s="3190">
        <v>310.13</v>
      </c>
      <c r="U21" s="3183">
        <v>310.13</v>
      </c>
    </row>
    <row r="22" spans="1:21" ht="21" thickBot="1">
      <c r="A22" s="6181"/>
      <c r="B22" s="6177"/>
      <c r="C22" s="3186"/>
      <c r="D22" s="3187">
        <v>0.105</v>
      </c>
      <c r="E22" s="3188" t="s">
        <v>895</v>
      </c>
      <c r="F22" s="3189" t="s">
        <v>896</v>
      </c>
      <c r="G22" s="3190">
        <v>0</v>
      </c>
      <c r="H22" s="3190">
        <v>0</v>
      </c>
      <c r="I22" s="3191">
        <v>0</v>
      </c>
      <c r="J22" s="3190">
        <v>0</v>
      </c>
      <c r="K22" s="3190">
        <v>10000</v>
      </c>
      <c r="L22" s="3191">
        <v>10000</v>
      </c>
      <c r="M22" s="3190">
        <v>0</v>
      </c>
      <c r="N22" s="3190">
        <v>2505</v>
      </c>
      <c r="O22" s="3194">
        <v>2505</v>
      </c>
      <c r="P22" s="3190">
        <v>0</v>
      </c>
      <c r="Q22" s="3190">
        <v>7495</v>
      </c>
      <c r="R22" s="3183">
        <v>7495</v>
      </c>
      <c r="S22" s="3190">
        <v>0</v>
      </c>
      <c r="T22" s="3190">
        <v>247.63</v>
      </c>
      <c r="U22" s="3183">
        <v>247.63</v>
      </c>
    </row>
    <row r="23" spans="1:21" ht="21" thickBot="1">
      <c r="A23" s="6181"/>
      <c r="B23" s="6177"/>
      <c r="C23" s="3186"/>
      <c r="D23" s="3187">
        <v>0.105</v>
      </c>
      <c r="E23" s="3188" t="s">
        <v>897</v>
      </c>
      <c r="F23" s="3189" t="s">
        <v>898</v>
      </c>
      <c r="G23" s="3190">
        <v>0</v>
      </c>
      <c r="H23" s="3190">
        <v>0</v>
      </c>
      <c r="I23" s="3191">
        <v>0</v>
      </c>
      <c r="J23" s="3190">
        <v>0</v>
      </c>
      <c r="K23" s="3190">
        <v>10000</v>
      </c>
      <c r="L23" s="3191">
        <v>10000</v>
      </c>
      <c r="M23" s="3190">
        <v>0</v>
      </c>
      <c r="N23" s="3190">
        <v>1670</v>
      </c>
      <c r="O23" s="3194">
        <v>1670</v>
      </c>
      <c r="P23" s="3190">
        <v>0</v>
      </c>
      <c r="Q23" s="3190">
        <v>8330</v>
      </c>
      <c r="R23" s="3183">
        <v>8330</v>
      </c>
      <c r="S23" s="3190">
        <v>0</v>
      </c>
      <c r="T23" s="3190">
        <v>173</v>
      </c>
      <c r="U23" s="3301">
        <v>173</v>
      </c>
    </row>
    <row r="24" spans="1:21" ht="21" thickBot="1">
      <c r="A24" s="6181"/>
      <c r="B24" s="6177"/>
      <c r="C24" s="3186"/>
      <c r="D24" s="3187">
        <v>0.105</v>
      </c>
      <c r="E24" s="3188" t="s">
        <v>899</v>
      </c>
      <c r="F24" s="3189" t="s">
        <v>900</v>
      </c>
      <c r="G24" s="3190">
        <v>0</v>
      </c>
      <c r="H24" s="3190">
        <v>0</v>
      </c>
      <c r="I24" s="3191">
        <v>0</v>
      </c>
      <c r="J24" s="3190">
        <v>0</v>
      </c>
      <c r="K24" s="3190">
        <v>10000</v>
      </c>
      <c r="L24" s="3191">
        <v>10000</v>
      </c>
      <c r="M24" s="3190">
        <v>0</v>
      </c>
      <c r="N24" s="3190">
        <v>1670</v>
      </c>
      <c r="O24" s="3194">
        <v>1670</v>
      </c>
      <c r="P24" s="3190">
        <v>0</v>
      </c>
      <c r="Q24" s="3190">
        <v>8330</v>
      </c>
      <c r="R24" s="3183">
        <v>8330</v>
      </c>
      <c r="S24" s="3190">
        <v>0</v>
      </c>
      <c r="T24" s="3190">
        <v>172.69</v>
      </c>
      <c r="U24" s="3301">
        <v>172.69</v>
      </c>
    </row>
    <row r="25" spans="1:21" ht="21" thickBot="1">
      <c r="A25" s="6181"/>
      <c r="B25" s="6167"/>
      <c r="C25" s="3169"/>
      <c r="D25" s="3187">
        <v>0.105</v>
      </c>
      <c r="E25" s="3188" t="s">
        <v>901</v>
      </c>
      <c r="F25" s="3189" t="s">
        <v>902</v>
      </c>
      <c r="G25" s="3190">
        <v>0</v>
      </c>
      <c r="H25" s="3190">
        <v>0</v>
      </c>
      <c r="I25" s="3191">
        <v>0</v>
      </c>
      <c r="J25" s="3190">
        <v>0</v>
      </c>
      <c r="K25" s="3190">
        <v>10000</v>
      </c>
      <c r="L25" s="3191">
        <v>10000</v>
      </c>
      <c r="M25" s="3190">
        <v>0</v>
      </c>
      <c r="N25" s="3190">
        <v>0</v>
      </c>
      <c r="O25" s="3194">
        <v>0</v>
      </c>
      <c r="P25" s="3190">
        <v>0</v>
      </c>
      <c r="Q25" s="3190">
        <v>10000</v>
      </c>
      <c r="R25" s="3183">
        <v>10000</v>
      </c>
      <c r="S25" s="3190">
        <v>0</v>
      </c>
      <c r="T25" s="3297">
        <v>0</v>
      </c>
      <c r="U25" s="3301">
        <v>0</v>
      </c>
    </row>
    <row r="26" spans="1:21" ht="21" thickBot="1">
      <c r="A26" s="6180">
        <v>2</v>
      </c>
      <c r="B26" s="6166" t="s">
        <v>905</v>
      </c>
      <c r="C26" s="3167"/>
      <c r="D26" s="3280">
        <v>0.1065</v>
      </c>
      <c r="E26" s="3188" t="s">
        <v>988</v>
      </c>
      <c r="F26" s="3189" t="s">
        <v>989</v>
      </c>
      <c r="G26" s="3190">
        <v>0</v>
      </c>
      <c r="H26" s="3190">
        <v>1000</v>
      </c>
      <c r="I26" s="3191">
        <v>1000</v>
      </c>
      <c r="J26" s="3190">
        <v>0</v>
      </c>
      <c r="K26" s="3190">
        <v>0</v>
      </c>
      <c r="L26" s="3191">
        <v>0</v>
      </c>
      <c r="M26" s="3190">
        <v>0</v>
      </c>
      <c r="N26" s="3190">
        <v>1000</v>
      </c>
      <c r="O26" s="3194">
        <v>1000</v>
      </c>
      <c r="P26" s="3190">
        <v>0</v>
      </c>
      <c r="Q26" s="3190">
        <v>0</v>
      </c>
      <c r="R26" s="3183">
        <v>0</v>
      </c>
      <c r="S26" s="3183">
        <v>0</v>
      </c>
      <c r="T26" s="3244">
        <v>12.899999999999999</v>
      </c>
      <c r="U26" s="3301">
        <v>12.899999999999999</v>
      </c>
    </row>
    <row r="27" spans="1:21" ht="21" thickBot="1">
      <c r="A27" s="6181"/>
      <c r="B27" s="6177"/>
      <c r="C27" s="3186"/>
      <c r="D27" s="3280">
        <v>0.1065</v>
      </c>
      <c r="E27" s="3188" t="s">
        <v>990</v>
      </c>
      <c r="F27" s="3189" t="s">
        <v>899</v>
      </c>
      <c r="G27" s="3190">
        <v>0</v>
      </c>
      <c r="H27" s="3190">
        <v>3400</v>
      </c>
      <c r="I27" s="3191">
        <v>3400</v>
      </c>
      <c r="J27" s="3190">
        <v>0</v>
      </c>
      <c r="K27" s="3190">
        <v>0</v>
      </c>
      <c r="L27" s="3191">
        <v>0</v>
      </c>
      <c r="M27" s="3190">
        <v>0</v>
      </c>
      <c r="N27" s="3190">
        <v>3400</v>
      </c>
      <c r="O27" s="3194">
        <v>3400</v>
      </c>
      <c r="P27" s="3190">
        <v>0</v>
      </c>
      <c r="Q27" s="3190">
        <v>0</v>
      </c>
      <c r="R27" s="3183">
        <v>0</v>
      </c>
      <c r="S27" s="3183">
        <v>0</v>
      </c>
      <c r="T27" s="3302">
        <v>49.88</v>
      </c>
      <c r="U27" s="3183">
        <v>49.88</v>
      </c>
    </row>
    <row r="28" spans="1:21" ht="21" thickBot="1">
      <c r="A28" s="6181"/>
      <c r="B28" s="6177"/>
      <c r="C28" s="3186"/>
      <c r="D28" s="3187">
        <v>0.1075</v>
      </c>
      <c r="E28" s="3188" t="s">
        <v>906</v>
      </c>
      <c r="F28" s="3189" t="s">
        <v>907</v>
      </c>
      <c r="G28" s="3190">
        <v>0</v>
      </c>
      <c r="H28" s="3190">
        <v>3800</v>
      </c>
      <c r="I28" s="3191">
        <v>3800</v>
      </c>
      <c r="J28" s="3190">
        <v>0</v>
      </c>
      <c r="K28" s="3190">
        <v>0</v>
      </c>
      <c r="L28" s="3191">
        <v>0</v>
      </c>
      <c r="M28" s="3190">
        <v>0</v>
      </c>
      <c r="N28" s="3190">
        <v>2400</v>
      </c>
      <c r="O28" s="3194">
        <v>2400</v>
      </c>
      <c r="P28" s="3190">
        <v>0</v>
      </c>
      <c r="Q28" s="3190">
        <v>1400</v>
      </c>
      <c r="R28" s="3183">
        <v>1400</v>
      </c>
      <c r="S28" s="3191">
        <v>0</v>
      </c>
      <c r="T28" s="3191">
        <v>133.32</v>
      </c>
      <c r="U28" s="3183">
        <v>133.32</v>
      </c>
    </row>
    <row r="29" spans="1:21" ht="21" thickBot="1">
      <c r="A29" s="6181"/>
      <c r="B29" s="6177"/>
      <c r="C29" s="3186" t="s">
        <v>2538</v>
      </c>
      <c r="D29" s="3187">
        <v>0.1065</v>
      </c>
      <c r="E29" s="3188" t="s">
        <v>908</v>
      </c>
      <c r="F29" s="3189" t="s">
        <v>909</v>
      </c>
      <c r="G29" s="3190">
        <v>6300</v>
      </c>
      <c r="H29" s="3190">
        <v>2100</v>
      </c>
      <c r="I29" s="3191">
        <v>8400</v>
      </c>
      <c r="J29" s="3190">
        <v>0</v>
      </c>
      <c r="K29" s="3190">
        <v>0</v>
      </c>
      <c r="L29" s="3191">
        <v>0</v>
      </c>
      <c r="M29" s="3190">
        <v>3600</v>
      </c>
      <c r="N29" s="3190">
        <v>1200</v>
      </c>
      <c r="O29" s="3194">
        <v>4800</v>
      </c>
      <c r="P29" s="3190">
        <v>2700</v>
      </c>
      <c r="Q29" s="3190">
        <v>900</v>
      </c>
      <c r="R29" s="3183">
        <v>3600</v>
      </c>
      <c r="S29" s="3190">
        <v>231.51</v>
      </c>
      <c r="T29" s="3190">
        <v>77.17</v>
      </c>
      <c r="U29" s="3183">
        <v>308.68</v>
      </c>
    </row>
    <row r="30" spans="1:21" ht="21" thickBot="1">
      <c r="A30" s="6181"/>
      <c r="B30" s="6177"/>
      <c r="C30" s="3186"/>
      <c r="D30" s="3187">
        <v>0.1075</v>
      </c>
      <c r="E30" s="3188" t="s">
        <v>910</v>
      </c>
      <c r="F30" s="3189" t="s">
        <v>911</v>
      </c>
      <c r="G30" s="3190">
        <v>0</v>
      </c>
      <c r="H30" s="3190">
        <v>4600</v>
      </c>
      <c r="I30" s="3191">
        <v>4600</v>
      </c>
      <c r="J30" s="3190">
        <v>0</v>
      </c>
      <c r="K30" s="3190">
        <v>0</v>
      </c>
      <c r="L30" s="3191"/>
      <c r="M30" s="3190">
        <v>0</v>
      </c>
      <c r="N30" s="3190">
        <v>2400</v>
      </c>
      <c r="O30" s="3194">
        <v>2400</v>
      </c>
      <c r="P30" s="3190">
        <v>0</v>
      </c>
      <c r="Q30" s="3190">
        <v>2200</v>
      </c>
      <c r="R30" s="3183">
        <v>2200</v>
      </c>
      <c r="S30" s="3191">
        <v>0</v>
      </c>
      <c r="T30" s="3191">
        <v>172.14</v>
      </c>
      <c r="U30" s="3183">
        <v>172.14</v>
      </c>
    </row>
    <row r="31" spans="1:21" ht="21" thickBot="1">
      <c r="A31" s="6181"/>
      <c r="B31" s="6177"/>
      <c r="C31" s="3186"/>
      <c r="D31" s="3187">
        <v>0.1075</v>
      </c>
      <c r="E31" s="3188" t="s">
        <v>912</v>
      </c>
      <c r="F31" s="3189" t="s">
        <v>913</v>
      </c>
      <c r="G31" s="3190">
        <v>0</v>
      </c>
      <c r="H31" s="3190">
        <v>9200</v>
      </c>
      <c r="I31" s="3191">
        <v>9200</v>
      </c>
      <c r="J31" s="3190">
        <v>0</v>
      </c>
      <c r="K31" s="3190">
        <v>0</v>
      </c>
      <c r="L31" s="3191"/>
      <c r="M31" s="3190">
        <v>0</v>
      </c>
      <c r="N31" s="3190">
        <v>4800</v>
      </c>
      <c r="O31" s="3194">
        <v>4800</v>
      </c>
      <c r="P31" s="3190">
        <v>0</v>
      </c>
      <c r="Q31" s="3190">
        <v>4400</v>
      </c>
      <c r="R31" s="3183">
        <v>4400</v>
      </c>
      <c r="S31" s="3191">
        <v>0</v>
      </c>
      <c r="T31" s="3191">
        <v>352.84000000000003</v>
      </c>
      <c r="U31" s="3183">
        <v>352.84000000000003</v>
      </c>
    </row>
    <row r="32" spans="1:21" ht="21" thickBot="1">
      <c r="A32" s="6181"/>
      <c r="B32" s="6177"/>
      <c r="C32" s="3186"/>
      <c r="D32" s="3187">
        <v>0.1075</v>
      </c>
      <c r="E32" s="3188" t="s">
        <v>914</v>
      </c>
      <c r="F32" s="3203" t="s">
        <v>915</v>
      </c>
      <c r="G32" s="3190">
        <v>0</v>
      </c>
      <c r="H32" s="3190">
        <v>0</v>
      </c>
      <c r="I32" s="3191">
        <v>0</v>
      </c>
      <c r="J32" s="3190">
        <v>0</v>
      </c>
      <c r="K32" s="3190">
        <v>10000</v>
      </c>
      <c r="L32" s="3191">
        <v>10000</v>
      </c>
      <c r="M32" s="3190">
        <v>0</v>
      </c>
      <c r="N32" s="3190">
        <v>4000</v>
      </c>
      <c r="O32" s="3194">
        <v>4000</v>
      </c>
      <c r="P32" s="3190">
        <v>0</v>
      </c>
      <c r="Q32" s="3190">
        <v>6000</v>
      </c>
      <c r="R32" s="3183">
        <v>6000</v>
      </c>
      <c r="S32" s="3190">
        <v>0</v>
      </c>
      <c r="T32" s="3190">
        <v>382.21999999999997</v>
      </c>
      <c r="U32" s="3183">
        <v>382.21999999999997</v>
      </c>
    </row>
    <row r="33" spans="1:25" ht="21" thickBot="1">
      <c r="A33" s="6181"/>
      <c r="B33" s="6177"/>
      <c r="C33" s="3186"/>
      <c r="D33" s="3187">
        <v>0.105</v>
      </c>
      <c r="E33" s="3188" t="s">
        <v>991</v>
      </c>
      <c r="F33" s="3203" t="s">
        <v>992</v>
      </c>
      <c r="G33" s="3190">
        <v>0</v>
      </c>
      <c r="H33" s="3190">
        <v>0</v>
      </c>
      <c r="I33" s="3183">
        <v>0</v>
      </c>
      <c r="J33" s="3190">
        <v>0</v>
      </c>
      <c r="K33" s="3190">
        <v>6000</v>
      </c>
      <c r="L33" s="3191">
        <v>6000</v>
      </c>
      <c r="M33" s="3190">
        <v>0</v>
      </c>
      <c r="N33" s="3190">
        <v>6000</v>
      </c>
      <c r="O33" s="3194">
        <v>6000</v>
      </c>
      <c r="P33" s="3190">
        <v>0</v>
      </c>
      <c r="Q33" s="3190">
        <v>0</v>
      </c>
      <c r="R33" s="3183">
        <v>0</v>
      </c>
      <c r="S33" s="3190">
        <v>0</v>
      </c>
      <c r="T33" s="3190">
        <v>88.02</v>
      </c>
      <c r="U33" s="3183">
        <v>88.02</v>
      </c>
    </row>
    <row r="34" spans="1:25" ht="21" thickBot="1">
      <c r="A34" s="6182"/>
      <c r="B34" s="6167"/>
      <c r="C34" s="3169"/>
      <c r="D34" s="3187">
        <v>0.105</v>
      </c>
      <c r="E34" s="3188" t="s">
        <v>993</v>
      </c>
      <c r="F34" s="3203" t="s">
        <v>994</v>
      </c>
      <c r="G34" s="3190">
        <v>0</v>
      </c>
      <c r="H34" s="3190">
        <v>0</v>
      </c>
      <c r="I34" s="3191">
        <v>0</v>
      </c>
      <c r="J34" s="3190">
        <v>0</v>
      </c>
      <c r="K34" s="3190">
        <v>5000</v>
      </c>
      <c r="L34" s="3191">
        <v>5000</v>
      </c>
      <c r="M34" s="3190">
        <v>0</v>
      </c>
      <c r="N34" s="3190">
        <v>5000</v>
      </c>
      <c r="O34" s="3303">
        <v>5000</v>
      </c>
      <c r="P34" s="3190">
        <v>0</v>
      </c>
      <c r="Q34" s="3190">
        <v>0</v>
      </c>
      <c r="R34" s="3183">
        <v>0</v>
      </c>
      <c r="S34" s="3190">
        <v>0</v>
      </c>
      <c r="T34" s="3190">
        <v>64.72</v>
      </c>
      <c r="U34" s="3183">
        <v>64.72</v>
      </c>
    </row>
    <row r="35" spans="1:25" ht="21" thickBot="1">
      <c r="A35" s="6164">
        <v>3</v>
      </c>
      <c r="B35" s="6166" t="s">
        <v>916</v>
      </c>
      <c r="C35" s="3186"/>
      <c r="D35" s="3304">
        <v>0.1075</v>
      </c>
      <c r="E35" s="3305" t="s">
        <v>910</v>
      </c>
      <c r="F35" s="3205" t="s">
        <v>995</v>
      </c>
      <c r="G35" s="3191">
        <v>0</v>
      </c>
      <c r="H35" s="3190">
        <v>8350</v>
      </c>
      <c r="I35" s="3191">
        <v>8350</v>
      </c>
      <c r="J35" s="3190">
        <v>0</v>
      </c>
      <c r="K35" s="3190">
        <v>0</v>
      </c>
      <c r="L35" s="3191"/>
      <c r="M35" s="3191">
        <v>0</v>
      </c>
      <c r="N35" s="3190">
        <v>8350</v>
      </c>
      <c r="O35" s="3303">
        <v>8350</v>
      </c>
      <c r="P35" s="3191">
        <v>0</v>
      </c>
      <c r="Q35" s="3190">
        <v>0</v>
      </c>
      <c r="R35" s="3183">
        <v>0</v>
      </c>
      <c r="S35" s="3191">
        <v>0</v>
      </c>
      <c r="T35" s="3190">
        <v>159.13</v>
      </c>
      <c r="U35" s="3227">
        <v>159.13</v>
      </c>
    </row>
    <row r="36" spans="1:25" ht="21" thickBot="1">
      <c r="A36" s="6176"/>
      <c r="B36" s="6177"/>
      <c r="C36" s="3186"/>
      <c r="D36" s="3304">
        <v>0.1075</v>
      </c>
      <c r="E36" s="3305" t="s">
        <v>996</v>
      </c>
      <c r="F36" s="3205" t="s">
        <v>997</v>
      </c>
      <c r="G36" s="3191">
        <v>0</v>
      </c>
      <c r="H36" s="3190">
        <v>10000</v>
      </c>
      <c r="I36" s="3191">
        <v>10000</v>
      </c>
      <c r="J36" s="3190">
        <v>0</v>
      </c>
      <c r="K36" s="3190">
        <v>0</v>
      </c>
      <c r="L36" s="3191"/>
      <c r="M36" s="3191">
        <v>0</v>
      </c>
      <c r="N36" s="3190">
        <v>10000</v>
      </c>
      <c r="O36" s="3303">
        <v>10000</v>
      </c>
      <c r="P36" s="3191">
        <v>0</v>
      </c>
      <c r="Q36" s="3190">
        <v>0</v>
      </c>
      <c r="R36" s="3183">
        <v>0</v>
      </c>
      <c r="S36" s="3191">
        <v>0</v>
      </c>
      <c r="T36" s="3190">
        <v>245.42</v>
      </c>
      <c r="U36" s="3227">
        <v>245.42</v>
      </c>
    </row>
    <row r="37" spans="1:25" ht="21" thickBot="1">
      <c r="A37" s="6176"/>
      <c r="B37" s="6177"/>
      <c r="C37" s="3186"/>
      <c r="D37" s="3187">
        <v>0.105</v>
      </c>
      <c r="E37" s="3305" t="s">
        <v>998</v>
      </c>
      <c r="F37" s="3205" t="s">
        <v>999</v>
      </c>
      <c r="G37" s="3191">
        <v>0</v>
      </c>
      <c r="H37" s="3190">
        <v>0</v>
      </c>
      <c r="I37" s="3191">
        <v>0</v>
      </c>
      <c r="J37" s="3190">
        <v>0</v>
      </c>
      <c r="K37" s="3190">
        <v>10000</v>
      </c>
      <c r="L37" s="3191">
        <v>10000</v>
      </c>
      <c r="M37" s="3191">
        <v>0</v>
      </c>
      <c r="N37" s="3190">
        <v>10000</v>
      </c>
      <c r="O37" s="3303">
        <v>10000</v>
      </c>
      <c r="P37" s="3191">
        <v>0</v>
      </c>
      <c r="Q37" s="3190">
        <v>0</v>
      </c>
      <c r="R37" s="3183">
        <v>0</v>
      </c>
      <c r="S37" s="3190">
        <v>0</v>
      </c>
      <c r="T37" s="3190">
        <v>184.23</v>
      </c>
      <c r="U37" s="3227">
        <v>184.23</v>
      </c>
    </row>
    <row r="38" spans="1:25" ht="21" thickBot="1">
      <c r="A38" s="6176"/>
      <c r="B38" s="6177"/>
      <c r="C38" s="3186"/>
      <c r="D38" s="3187">
        <v>0.105</v>
      </c>
      <c r="E38" s="3305" t="s">
        <v>917</v>
      </c>
      <c r="F38" s="3205" t="s">
        <v>918</v>
      </c>
      <c r="G38" s="3191">
        <v>0</v>
      </c>
      <c r="H38" s="3190">
        <v>0</v>
      </c>
      <c r="I38" s="3191">
        <v>0</v>
      </c>
      <c r="J38" s="3190">
        <v>0</v>
      </c>
      <c r="K38" s="3190">
        <v>10000</v>
      </c>
      <c r="L38" s="3191">
        <v>10000</v>
      </c>
      <c r="M38" s="3191">
        <v>0</v>
      </c>
      <c r="N38" s="3190">
        <v>1650</v>
      </c>
      <c r="O38" s="3303">
        <v>1650</v>
      </c>
      <c r="P38" s="3191">
        <v>0</v>
      </c>
      <c r="Q38" s="3190">
        <v>8350</v>
      </c>
      <c r="R38" s="3183">
        <v>8350</v>
      </c>
      <c r="S38" s="3190">
        <v>0</v>
      </c>
      <c r="T38" s="3297">
        <v>148.25</v>
      </c>
      <c r="U38" s="3306">
        <v>148.25</v>
      </c>
    </row>
    <row r="39" spans="1:25" ht="21" thickBot="1">
      <c r="A39" s="6165"/>
      <c r="B39" s="6167"/>
      <c r="C39" s="3169"/>
      <c r="D39" s="3187">
        <v>0.105</v>
      </c>
      <c r="E39" s="3305" t="s">
        <v>919</v>
      </c>
      <c r="F39" s="3205" t="s">
        <v>920</v>
      </c>
      <c r="G39" s="3191">
        <v>0</v>
      </c>
      <c r="H39" s="3190">
        <v>0</v>
      </c>
      <c r="I39" s="3191">
        <v>0</v>
      </c>
      <c r="J39" s="3190">
        <v>0</v>
      </c>
      <c r="K39" s="3190">
        <v>10000</v>
      </c>
      <c r="L39" s="3191">
        <v>10000</v>
      </c>
      <c r="M39" s="3191">
        <v>0</v>
      </c>
      <c r="N39" s="3190">
        <v>0</v>
      </c>
      <c r="O39" s="3303">
        <v>0</v>
      </c>
      <c r="P39" s="3191">
        <v>0</v>
      </c>
      <c r="Q39" s="3190">
        <v>10000</v>
      </c>
      <c r="R39" s="3183">
        <v>10000</v>
      </c>
      <c r="S39" s="3190">
        <v>0</v>
      </c>
      <c r="T39" s="3297">
        <v>31.64</v>
      </c>
      <c r="U39" s="3306">
        <v>31.64</v>
      </c>
    </row>
    <row r="40" spans="1:25" ht="21" thickBot="1">
      <c r="A40" s="6164">
        <v>4</v>
      </c>
      <c r="B40" s="6166" t="s">
        <v>930</v>
      </c>
      <c r="C40" s="3167"/>
      <c r="D40" s="3225">
        <v>0.1075</v>
      </c>
      <c r="E40" s="3181" t="s">
        <v>1000</v>
      </c>
      <c r="F40" s="3182" t="s">
        <v>1001</v>
      </c>
      <c r="G40" s="3190">
        <v>0</v>
      </c>
      <c r="H40" s="3190">
        <v>2575</v>
      </c>
      <c r="I40" s="3183">
        <v>2575</v>
      </c>
      <c r="J40" s="3190">
        <v>0</v>
      </c>
      <c r="K40" s="3190">
        <v>0</v>
      </c>
      <c r="L40" s="3183">
        <v>0</v>
      </c>
      <c r="M40" s="3190">
        <v>0</v>
      </c>
      <c r="N40" s="3190">
        <v>2575</v>
      </c>
      <c r="O40" s="3226">
        <v>2575</v>
      </c>
      <c r="P40" s="3190">
        <v>0</v>
      </c>
      <c r="Q40" s="3190">
        <v>0</v>
      </c>
      <c r="R40" s="3183">
        <v>0</v>
      </c>
      <c r="S40" s="3183">
        <v>0</v>
      </c>
      <c r="T40" s="3244">
        <v>31.91</v>
      </c>
      <c r="U40" s="3307">
        <v>31.91</v>
      </c>
    </row>
    <row r="41" spans="1:25" ht="21" thickBot="1">
      <c r="A41" s="6176"/>
      <c r="B41" s="6177"/>
      <c r="C41" s="3186" t="s">
        <v>2705</v>
      </c>
      <c r="D41" s="3225">
        <v>0.1075</v>
      </c>
      <c r="E41" s="3181" t="s">
        <v>931</v>
      </c>
      <c r="F41" s="3182" t="s">
        <v>932</v>
      </c>
      <c r="G41" s="3191">
        <v>5875</v>
      </c>
      <c r="H41" s="3191">
        <v>0</v>
      </c>
      <c r="I41" s="3183">
        <v>5875</v>
      </c>
      <c r="J41" s="3190">
        <v>0</v>
      </c>
      <c r="K41" s="3190">
        <v>0</v>
      </c>
      <c r="L41" s="3183">
        <v>0</v>
      </c>
      <c r="M41" s="3191">
        <v>5000</v>
      </c>
      <c r="N41" s="3191">
        <v>0</v>
      </c>
      <c r="O41" s="3226">
        <v>5000</v>
      </c>
      <c r="P41" s="3191">
        <v>875</v>
      </c>
      <c r="Q41" s="3191">
        <v>0</v>
      </c>
      <c r="R41" s="3183">
        <v>875</v>
      </c>
      <c r="S41" s="3190">
        <v>168.93</v>
      </c>
      <c r="T41" s="3190">
        <v>0</v>
      </c>
      <c r="U41" s="3183">
        <v>168.93</v>
      </c>
    </row>
    <row r="42" spans="1:25" ht="21" thickBot="1">
      <c r="A42" s="6176"/>
      <c r="B42" s="6177"/>
      <c r="C42" s="3186"/>
      <c r="D42" s="3225">
        <v>0.1075</v>
      </c>
      <c r="E42" s="3181" t="s">
        <v>933</v>
      </c>
      <c r="F42" s="3182" t="s">
        <v>928</v>
      </c>
      <c r="G42" s="3191">
        <v>0</v>
      </c>
      <c r="H42" s="3190">
        <v>15000</v>
      </c>
      <c r="I42" s="3191">
        <v>15000</v>
      </c>
      <c r="J42" s="3190">
        <v>0</v>
      </c>
      <c r="K42" s="3190">
        <v>0</v>
      </c>
      <c r="L42" s="3191"/>
      <c r="M42" s="3191">
        <v>0</v>
      </c>
      <c r="N42" s="3190">
        <v>7425</v>
      </c>
      <c r="O42" s="3303">
        <v>7425</v>
      </c>
      <c r="P42" s="3191">
        <v>0</v>
      </c>
      <c r="Q42" s="3190">
        <v>7575</v>
      </c>
      <c r="R42" s="3183">
        <v>7575</v>
      </c>
      <c r="S42" s="3191">
        <v>0</v>
      </c>
      <c r="T42" s="3190">
        <v>617.66</v>
      </c>
      <c r="U42" s="3227">
        <v>617.66</v>
      </c>
    </row>
    <row r="43" spans="1:25" ht="21" thickBot="1">
      <c r="A43" s="6176"/>
      <c r="B43" s="6177"/>
      <c r="C43" s="3186"/>
      <c r="D43" s="3225">
        <v>0.1075</v>
      </c>
      <c r="E43" s="3181" t="s">
        <v>934</v>
      </c>
      <c r="F43" s="3182" t="s">
        <v>935</v>
      </c>
      <c r="G43" s="3191">
        <v>0</v>
      </c>
      <c r="H43" s="3190">
        <v>0</v>
      </c>
      <c r="I43" s="3191">
        <v>0</v>
      </c>
      <c r="J43" s="3190">
        <v>0</v>
      </c>
      <c r="K43" s="3190">
        <v>5000</v>
      </c>
      <c r="L43" s="3191">
        <v>5000</v>
      </c>
      <c r="M43" s="3191">
        <v>0</v>
      </c>
      <c r="N43" s="3190">
        <v>2062.5</v>
      </c>
      <c r="O43" s="3303">
        <v>2062.5</v>
      </c>
      <c r="P43" s="3191">
        <v>0</v>
      </c>
      <c r="Q43" s="3190">
        <v>2937.5</v>
      </c>
      <c r="R43" s="3183">
        <v>2937.5</v>
      </c>
      <c r="S43" s="3191">
        <v>0</v>
      </c>
      <c r="T43" s="3190">
        <v>207.48000000000002</v>
      </c>
      <c r="U43" s="3227">
        <v>207.48000000000002</v>
      </c>
    </row>
    <row r="44" spans="1:25" ht="21" thickBot="1">
      <c r="A44" s="6165"/>
      <c r="B44" s="6167"/>
      <c r="C44" s="3169"/>
      <c r="D44" s="3225">
        <v>0.11</v>
      </c>
      <c r="E44" s="3181" t="s">
        <v>936</v>
      </c>
      <c r="F44" s="3182" t="s">
        <v>937</v>
      </c>
      <c r="G44" s="3191">
        <v>0</v>
      </c>
      <c r="H44" s="3190">
        <v>0</v>
      </c>
      <c r="I44" s="3191">
        <v>0</v>
      </c>
      <c r="J44" s="3190">
        <v>0</v>
      </c>
      <c r="K44" s="3190">
        <v>20000</v>
      </c>
      <c r="L44" s="3191">
        <v>20000</v>
      </c>
      <c r="M44" s="3191">
        <v>0</v>
      </c>
      <c r="N44" s="3190">
        <v>3300</v>
      </c>
      <c r="O44" s="3303">
        <v>3300</v>
      </c>
      <c r="P44" s="3191">
        <v>0</v>
      </c>
      <c r="Q44" s="3190">
        <v>16700</v>
      </c>
      <c r="R44" s="3183">
        <v>16700</v>
      </c>
      <c r="S44" s="3191">
        <v>0</v>
      </c>
      <c r="T44" s="3297">
        <v>351.15999999999997</v>
      </c>
      <c r="U44" s="3306">
        <v>351.15999999999997</v>
      </c>
    </row>
    <row r="45" spans="1:25" ht="21" thickBot="1">
      <c r="A45" s="6164">
        <v>5</v>
      </c>
      <c r="B45" s="6178" t="s">
        <v>941</v>
      </c>
      <c r="C45" s="3233"/>
      <c r="D45" s="3308">
        <v>0.107</v>
      </c>
      <c r="E45" s="3181" t="s">
        <v>1002</v>
      </c>
      <c r="F45" s="3182" t="s">
        <v>1003</v>
      </c>
      <c r="G45" s="3190">
        <v>0</v>
      </c>
      <c r="H45" s="3190">
        <v>4225</v>
      </c>
      <c r="I45" s="3191">
        <v>4225</v>
      </c>
      <c r="J45" s="3190">
        <v>0</v>
      </c>
      <c r="K45" s="3190">
        <v>0</v>
      </c>
      <c r="L45" s="3191">
        <v>0</v>
      </c>
      <c r="M45" s="3190">
        <v>0</v>
      </c>
      <c r="N45" s="3190">
        <v>4225</v>
      </c>
      <c r="O45" s="3226">
        <v>4225</v>
      </c>
      <c r="P45" s="3190">
        <v>0</v>
      </c>
      <c r="Q45" s="3190">
        <v>0</v>
      </c>
      <c r="R45" s="3183">
        <v>0</v>
      </c>
      <c r="S45" s="3190">
        <v>0</v>
      </c>
      <c r="T45" s="3297">
        <v>114.85000000000001</v>
      </c>
      <c r="U45" s="3227">
        <v>114.85000000000001</v>
      </c>
    </row>
    <row r="46" spans="1:25" ht="21" thickBot="1">
      <c r="A46" s="6165"/>
      <c r="B46" s="6179"/>
      <c r="C46" s="3234"/>
      <c r="D46" s="3308">
        <v>0.107</v>
      </c>
      <c r="E46" s="3181" t="s">
        <v>1004</v>
      </c>
      <c r="F46" s="3182" t="s">
        <v>999</v>
      </c>
      <c r="G46" s="3190">
        <v>0</v>
      </c>
      <c r="H46" s="3190">
        <v>5050</v>
      </c>
      <c r="I46" s="3191">
        <v>5050</v>
      </c>
      <c r="J46" s="3190">
        <v>0</v>
      </c>
      <c r="K46" s="3190">
        <v>0</v>
      </c>
      <c r="L46" s="3191">
        <v>0</v>
      </c>
      <c r="M46" s="3190">
        <v>0</v>
      </c>
      <c r="N46" s="3190">
        <v>5050</v>
      </c>
      <c r="O46" s="3226">
        <v>5050</v>
      </c>
      <c r="P46" s="3190">
        <v>0</v>
      </c>
      <c r="Q46" s="3190">
        <v>0</v>
      </c>
      <c r="R46" s="3183">
        <v>0</v>
      </c>
      <c r="S46" s="3190">
        <v>0</v>
      </c>
      <c r="T46" s="3297">
        <v>128.64999999999998</v>
      </c>
      <c r="U46" s="3227">
        <v>128.64999999999998</v>
      </c>
    </row>
    <row r="47" spans="1:25" ht="21" thickBot="1">
      <c r="A47" s="3309">
        <v>6</v>
      </c>
      <c r="B47" s="3310" t="s">
        <v>944</v>
      </c>
      <c r="C47" s="3234"/>
      <c r="D47" s="3308">
        <v>0.107</v>
      </c>
      <c r="E47" s="3181" t="s">
        <v>945</v>
      </c>
      <c r="F47" s="3182" t="s">
        <v>946</v>
      </c>
      <c r="G47" s="3190">
        <v>0</v>
      </c>
      <c r="H47" s="3190">
        <v>6666.67</v>
      </c>
      <c r="I47" s="3183">
        <v>6666.67</v>
      </c>
      <c r="J47" s="3190">
        <v>0</v>
      </c>
      <c r="K47" s="3190">
        <v>0</v>
      </c>
      <c r="L47" s="3191">
        <v>0</v>
      </c>
      <c r="M47" s="3190">
        <v>0</v>
      </c>
      <c r="N47" s="3190">
        <v>5000</v>
      </c>
      <c r="O47" s="3226">
        <v>5000</v>
      </c>
      <c r="P47" s="3190">
        <v>0</v>
      </c>
      <c r="Q47" s="3190">
        <v>1666.67</v>
      </c>
      <c r="R47" s="3183">
        <v>1666.67</v>
      </c>
      <c r="S47" s="3190">
        <v>0</v>
      </c>
      <c r="T47" s="3190">
        <v>208.11</v>
      </c>
      <c r="U47" s="3227">
        <v>208.11</v>
      </c>
    </row>
    <row r="48" spans="1:25" ht="21" thickBot="1">
      <c r="A48" s="3242"/>
      <c r="B48" s="3177" t="s">
        <v>949</v>
      </c>
      <c r="C48" s="3176"/>
      <c r="D48" s="3311"/>
      <c r="E48" s="3181"/>
      <c r="F48" s="3182"/>
      <c r="G48" s="3183">
        <v>27165</v>
      </c>
      <c r="H48" s="3183">
        <v>141691.67000000001</v>
      </c>
      <c r="I48" s="3183">
        <v>168856.67</v>
      </c>
      <c r="J48" s="3183">
        <v>0</v>
      </c>
      <c r="K48" s="3183">
        <v>146000</v>
      </c>
      <c r="L48" s="3183">
        <v>146000</v>
      </c>
      <c r="M48" s="3183">
        <v>18620</v>
      </c>
      <c r="N48" s="3183">
        <v>154012.5</v>
      </c>
      <c r="O48" s="3183">
        <v>172632.5</v>
      </c>
      <c r="P48" s="3183">
        <v>8545</v>
      </c>
      <c r="Q48" s="3183">
        <v>133679.17000000001</v>
      </c>
      <c r="R48" s="3183">
        <v>142224.17000000001</v>
      </c>
      <c r="S48" s="3183">
        <v>910.41000000000008</v>
      </c>
      <c r="T48" s="3183">
        <v>7693.7800000000016</v>
      </c>
      <c r="U48" s="3183">
        <v>8604.19</v>
      </c>
      <c r="W48" s="911"/>
      <c r="X48" s="911"/>
      <c r="Y48" s="911"/>
    </row>
    <row r="49" spans="1:25" ht="21" thickBot="1">
      <c r="A49" s="3242"/>
      <c r="B49" s="3177"/>
      <c r="C49" s="3176"/>
      <c r="D49" s="3311"/>
      <c r="E49" s="3182"/>
      <c r="F49" s="3182"/>
      <c r="G49" s="3183"/>
      <c r="H49" s="3183"/>
      <c r="I49" s="3183"/>
      <c r="J49" s="3183"/>
      <c r="K49" s="3183"/>
      <c r="L49" s="3226"/>
      <c r="M49" s="3183"/>
      <c r="N49" s="3183"/>
      <c r="O49" s="3226"/>
      <c r="P49" s="3244"/>
      <c r="Q49" s="3183"/>
      <c r="R49" s="3183"/>
      <c r="S49" s="3245"/>
      <c r="T49" s="3246"/>
      <c r="U49" s="3245"/>
    </row>
    <row r="50" spans="1:25" ht="21" thickBot="1">
      <c r="A50" s="3247" t="s">
        <v>950</v>
      </c>
      <c r="B50" s="3248" t="s">
        <v>951</v>
      </c>
      <c r="C50" s="3249"/>
      <c r="D50" s="3312"/>
      <c r="E50" s="3250"/>
      <c r="F50" s="3243"/>
      <c r="G50" s="3183"/>
      <c r="H50" s="3183"/>
      <c r="I50" s="3183"/>
      <c r="J50" s="3183"/>
      <c r="K50" s="3183"/>
      <c r="L50" s="3183"/>
      <c r="M50" s="3183"/>
      <c r="N50" s="3183"/>
      <c r="O50" s="3226"/>
      <c r="P50" s="3244"/>
      <c r="Q50" s="3183"/>
      <c r="R50" s="3183"/>
      <c r="S50" s="3184"/>
      <c r="T50" s="3185"/>
      <c r="U50" s="3184"/>
    </row>
    <row r="51" spans="1:25" ht="21" thickBot="1">
      <c r="A51" s="3251">
        <v>7</v>
      </c>
      <c r="B51" s="3201" t="s">
        <v>952</v>
      </c>
      <c r="C51" s="3167" t="s">
        <v>2705</v>
      </c>
      <c r="D51" s="3313">
        <v>0.13500000000000001</v>
      </c>
      <c r="E51" s="3253" t="s">
        <v>953</v>
      </c>
      <c r="F51" s="3253" t="s">
        <v>954</v>
      </c>
      <c r="G51" s="3254">
        <v>5750</v>
      </c>
      <c r="H51" s="3254">
        <v>6750</v>
      </c>
      <c r="I51" s="3254">
        <v>12500</v>
      </c>
      <c r="J51" s="3254">
        <v>0</v>
      </c>
      <c r="K51" s="3254">
        <v>0</v>
      </c>
      <c r="L51" s="3254">
        <v>0</v>
      </c>
      <c r="M51" s="3254">
        <v>575</v>
      </c>
      <c r="N51" s="3254">
        <v>675</v>
      </c>
      <c r="O51" s="3254">
        <v>1250</v>
      </c>
      <c r="P51" s="3254">
        <v>5175</v>
      </c>
      <c r="Q51" s="3254">
        <v>6075</v>
      </c>
      <c r="R51" s="3254">
        <v>11250</v>
      </c>
      <c r="S51" s="3254">
        <v>367.21339999999998</v>
      </c>
      <c r="T51" s="3255">
        <v>431.07659999999998</v>
      </c>
      <c r="U51" s="3254">
        <v>798.29</v>
      </c>
    </row>
    <row r="52" spans="1:25" ht="21" thickBot="1">
      <c r="A52" s="3256">
        <v>8</v>
      </c>
      <c r="B52" s="3256" t="s">
        <v>955</v>
      </c>
      <c r="C52" s="3257" t="s">
        <v>2538</v>
      </c>
      <c r="D52" s="3258" t="s">
        <v>956</v>
      </c>
      <c r="E52" s="3250" t="s">
        <v>957</v>
      </c>
      <c r="F52" s="3243" t="s">
        <v>958</v>
      </c>
      <c r="G52" s="3227">
        <v>159.58004</v>
      </c>
      <c r="H52" s="3227">
        <v>0</v>
      </c>
      <c r="I52" s="3260">
        <v>159.58004</v>
      </c>
      <c r="J52" s="3227">
        <v>0</v>
      </c>
      <c r="K52" s="3227">
        <v>0</v>
      </c>
      <c r="L52" s="3183">
        <v>0</v>
      </c>
      <c r="M52" s="3227">
        <v>0</v>
      </c>
      <c r="N52" s="3227">
        <v>0</v>
      </c>
      <c r="O52" s="3192">
        <v>0</v>
      </c>
      <c r="P52" s="3227">
        <v>159.58004</v>
      </c>
      <c r="Q52" s="3227">
        <v>0</v>
      </c>
      <c r="R52" s="3183">
        <v>159.58004</v>
      </c>
      <c r="S52" s="3227">
        <v>0</v>
      </c>
      <c r="T52" s="3261">
        <v>0</v>
      </c>
      <c r="U52" s="3254">
        <v>0</v>
      </c>
    </row>
    <row r="53" spans="1:25" ht="21" thickBot="1">
      <c r="A53" s="3256">
        <v>9</v>
      </c>
      <c r="B53" s="3256" t="s">
        <v>959</v>
      </c>
      <c r="C53" s="3257" t="s">
        <v>2538</v>
      </c>
      <c r="D53" s="3312" t="s">
        <v>960</v>
      </c>
      <c r="E53" s="3250" t="s">
        <v>961</v>
      </c>
      <c r="F53" s="3243" t="s">
        <v>962</v>
      </c>
      <c r="G53" s="3227">
        <v>3798.5</v>
      </c>
      <c r="H53" s="3227">
        <v>0</v>
      </c>
      <c r="I53" s="3262">
        <v>3798.5</v>
      </c>
      <c r="J53" s="3227">
        <v>0</v>
      </c>
      <c r="K53" s="3227">
        <v>0</v>
      </c>
      <c r="L53" s="3183">
        <v>0</v>
      </c>
      <c r="M53" s="3227">
        <v>0</v>
      </c>
      <c r="N53" s="3227">
        <v>0</v>
      </c>
      <c r="O53" s="3192">
        <v>0</v>
      </c>
      <c r="P53" s="3227">
        <v>3798.5</v>
      </c>
      <c r="Q53" s="3227">
        <v>0</v>
      </c>
      <c r="R53" s="3183">
        <v>3798.5</v>
      </c>
      <c r="S53" s="3227">
        <v>0</v>
      </c>
      <c r="T53" s="3261">
        <v>0</v>
      </c>
      <c r="U53" s="3254">
        <v>0</v>
      </c>
    </row>
    <row r="54" spans="1:25" ht="21" thickBot="1">
      <c r="A54" s="3256">
        <v>10</v>
      </c>
      <c r="B54" s="3256" t="s">
        <v>963</v>
      </c>
      <c r="C54" s="3257"/>
      <c r="D54" s="3258" t="s">
        <v>964</v>
      </c>
      <c r="E54" s="3263" t="s">
        <v>965</v>
      </c>
      <c r="F54" s="3264" t="s">
        <v>966</v>
      </c>
      <c r="G54" s="3227">
        <v>0</v>
      </c>
      <c r="H54" s="3227">
        <v>8139.8084999999974</v>
      </c>
      <c r="I54" s="3262">
        <v>8139.8084999999974</v>
      </c>
      <c r="J54" s="3227">
        <v>0</v>
      </c>
      <c r="K54" s="3227">
        <v>0</v>
      </c>
      <c r="L54" s="3183">
        <v>0</v>
      </c>
      <c r="M54" s="3227">
        <v>0</v>
      </c>
      <c r="N54" s="3227">
        <v>226.11</v>
      </c>
      <c r="O54" s="3192">
        <v>226.11</v>
      </c>
      <c r="P54" s="3227">
        <v>0</v>
      </c>
      <c r="Q54" s="3227">
        <v>7913.6984999999977</v>
      </c>
      <c r="R54" s="3183">
        <v>7913.6984999999977</v>
      </c>
      <c r="S54" s="3227">
        <v>0</v>
      </c>
      <c r="T54" s="3261">
        <v>285.83</v>
      </c>
      <c r="U54" s="3227">
        <v>285.83</v>
      </c>
    </row>
    <row r="55" spans="1:25" ht="21" thickBot="1">
      <c r="A55" s="3177"/>
      <c r="B55" s="3267" t="s">
        <v>970</v>
      </c>
      <c r="C55" s="3268"/>
      <c r="D55" s="3311"/>
      <c r="E55" s="3250"/>
      <c r="F55" s="3168"/>
      <c r="G55" s="3227">
        <v>9708.0800400000007</v>
      </c>
      <c r="H55" s="3227">
        <v>14889.808499999997</v>
      </c>
      <c r="I55" s="3227">
        <v>24597.88854</v>
      </c>
      <c r="J55" s="3227">
        <v>0</v>
      </c>
      <c r="K55" s="3227">
        <v>0</v>
      </c>
      <c r="L55" s="3227">
        <v>0</v>
      </c>
      <c r="M55" s="3227">
        <v>575</v>
      </c>
      <c r="N55" s="3227">
        <v>901.11</v>
      </c>
      <c r="O55" s="3227">
        <v>1476.1100000000001</v>
      </c>
      <c r="P55" s="3227">
        <v>9133.0800400000007</v>
      </c>
      <c r="Q55" s="3227">
        <v>13988.698499999999</v>
      </c>
      <c r="R55" s="3227">
        <v>23121.778539999999</v>
      </c>
      <c r="S55" s="3227">
        <v>367.21339999999998</v>
      </c>
      <c r="T55" s="3261">
        <v>716.90660000000003</v>
      </c>
      <c r="U55" s="3227">
        <v>1084.1199999999999</v>
      </c>
      <c r="W55" s="911"/>
      <c r="X55" s="911"/>
      <c r="Y55" s="911"/>
    </row>
    <row r="56" spans="1:25" ht="24" thickBot="1">
      <c r="A56" s="3177"/>
      <c r="B56" s="3267" t="s">
        <v>2706</v>
      </c>
      <c r="C56" s="3268"/>
      <c r="D56" s="3311"/>
      <c r="E56" s="3250"/>
      <c r="F56" s="3168"/>
      <c r="G56" s="3227">
        <v>36873.080040000001</v>
      </c>
      <c r="H56" s="3227">
        <v>156581.4785</v>
      </c>
      <c r="I56" s="3227">
        <v>193454.55854</v>
      </c>
      <c r="J56" s="3227">
        <v>0</v>
      </c>
      <c r="K56" s="3227">
        <v>146000</v>
      </c>
      <c r="L56" s="3227">
        <v>146000</v>
      </c>
      <c r="M56" s="3227">
        <v>19195</v>
      </c>
      <c r="N56" s="3227">
        <v>154913.60999999999</v>
      </c>
      <c r="O56" s="3227">
        <v>174108.61</v>
      </c>
      <c r="P56" s="3227">
        <v>17678.080040000001</v>
      </c>
      <c r="Q56" s="3227">
        <v>147667.86850000001</v>
      </c>
      <c r="R56" s="3227">
        <v>165345.94854000001</v>
      </c>
      <c r="S56" s="3227">
        <v>1277.6233999999999</v>
      </c>
      <c r="T56" s="3261">
        <v>8410.6866000000009</v>
      </c>
      <c r="U56" s="3227">
        <v>9688.3100000000013</v>
      </c>
      <c r="W56" s="911"/>
      <c r="X56" s="911"/>
      <c r="Y56" s="911"/>
    </row>
    <row r="57" spans="1:25">
      <c r="C57" s="3269"/>
    </row>
    <row r="58" spans="1:25" ht="15.75" thickBot="1">
      <c r="C58" s="3269"/>
    </row>
    <row r="59" spans="1:25" s="3317" customFormat="1" ht="24" thickBot="1">
      <c r="A59" s="3314"/>
      <c r="B59" s="3271" t="s">
        <v>2707</v>
      </c>
      <c r="C59" s="3272" t="s">
        <v>2705</v>
      </c>
      <c r="D59" s="3315"/>
      <c r="E59" s="3315"/>
      <c r="F59" s="3315"/>
      <c r="G59" s="3315"/>
      <c r="H59" s="3315"/>
      <c r="I59" s="3315"/>
      <c r="J59" s="3315"/>
      <c r="K59" s="3315"/>
      <c r="L59" s="3315"/>
      <c r="M59" s="3315"/>
      <c r="N59" s="3315"/>
      <c r="O59" s="3315"/>
      <c r="P59" s="3315"/>
      <c r="Q59" s="3315"/>
      <c r="R59" s="3316"/>
      <c r="S59" s="3274">
        <f>+U59</f>
        <v>722.22153000000003</v>
      </c>
      <c r="T59" s="3274">
        <v>0</v>
      </c>
      <c r="U59" s="3274">
        <v>722.22153000000003</v>
      </c>
    </row>
    <row r="61" spans="1:25">
      <c r="B61" s="247" t="s">
        <v>2710</v>
      </c>
      <c r="L61" t="s">
        <v>2708</v>
      </c>
      <c r="M61" t="s">
        <v>2709</v>
      </c>
    </row>
    <row r="62" spans="1:25">
      <c r="B62" s="247"/>
      <c r="L62" s="911">
        <f>S13+S14+S41+S51+S59+'[110]H2-2012-13'!S7+'[110]H2-2012-13'!S8+'[110]H2-2012-13'!S45+'[110]H2-2012-13'!S49+'[110]H2-2012-13'!S54</f>
        <v>2414.4469806000002</v>
      </c>
      <c r="M62" s="911">
        <f>S29+S52+S53+'[110]H2-2012-13'!S22+'[110]H2-2012-13'!S33+'[110]H2-2012-13'!S37+'[110]H2-2012-13'!S46+'[110]H2-2012-13'!S47</f>
        <v>842.87703999999997</v>
      </c>
      <c r="Q62" s="911">
        <f>S56+'[110]H2-2012-13'!S51</f>
        <v>2415.9524906000001</v>
      </c>
    </row>
    <row r="63" spans="1:25" s="3318" customFormat="1" ht="18.75">
      <c r="B63" s="247" t="s">
        <v>2711</v>
      </c>
    </row>
    <row r="64" spans="1:25">
      <c r="S64" s="3319">
        <f>+S56+S59</f>
        <v>1999.84493</v>
      </c>
    </row>
  </sheetData>
  <mergeCells count="19">
    <mergeCell ref="A40:A44"/>
    <mergeCell ref="B40:B44"/>
    <mergeCell ref="A45:A46"/>
    <mergeCell ref="B45:B46"/>
    <mergeCell ref="A5:A25"/>
    <mergeCell ref="B5:B25"/>
    <mergeCell ref="A26:A34"/>
    <mergeCell ref="B26:B34"/>
    <mergeCell ref="A35:A39"/>
    <mergeCell ref="B35:B39"/>
    <mergeCell ref="A1:U1"/>
    <mergeCell ref="A2:A3"/>
    <mergeCell ref="B2:B3"/>
    <mergeCell ref="E2:F2"/>
    <mergeCell ref="G2:I2"/>
    <mergeCell ref="J2:L2"/>
    <mergeCell ref="M2:O2"/>
    <mergeCell ref="P2:R2"/>
    <mergeCell ref="S2:U2"/>
  </mergeCells>
  <pageMargins left="0.16" right="0.17" top="0.28000000000000003" bottom="0.16" header="0.52" footer="0.32"/>
  <pageSetup paperSize="9" scale="43" orientation="landscape" horizontalDpi="180" verticalDpi="180" r:id="rId1"/>
</worksheet>
</file>

<file path=xl/worksheets/sheet104.xml><?xml version="1.0" encoding="utf-8"?>
<worksheet xmlns="http://schemas.openxmlformats.org/spreadsheetml/2006/main" xmlns:r="http://schemas.openxmlformats.org/officeDocument/2006/relationships">
  <sheetPr codeName="Sheet83">
    <pageSetUpPr fitToPage="1"/>
  </sheetPr>
  <dimension ref="A1:AC61"/>
  <sheetViews>
    <sheetView showGridLines="0" zoomScale="50" zoomScaleNormal="50" workbookViewId="0">
      <pane xSplit="3" ySplit="3" topLeftCell="D29" activePane="bottomRight" state="frozen"/>
      <selection activeCell="E8" sqref="E8:E9"/>
      <selection pane="topRight" activeCell="E8" sqref="E8:E9"/>
      <selection pane="bottomLeft" activeCell="E8" sqref="E8:E9"/>
      <selection pane="bottomRight" activeCell="E8" sqref="E8:E9"/>
    </sheetView>
  </sheetViews>
  <sheetFormatPr defaultRowHeight="15"/>
  <cols>
    <col min="1" max="1" width="7.140625" customWidth="1"/>
    <col min="2" max="2" width="37.5703125" customWidth="1"/>
    <col min="3" max="3" width="7.42578125" customWidth="1"/>
    <col min="4" max="4" width="13.85546875" customWidth="1"/>
    <col min="5" max="5" width="16.5703125" customWidth="1"/>
    <col min="6" max="6" width="13.85546875" customWidth="1"/>
    <col min="7" max="7" width="16.85546875" customWidth="1"/>
    <col min="8" max="8" width="16.140625" customWidth="1"/>
    <col min="9" max="9" width="16.28515625" bestFit="1" customWidth="1"/>
    <col min="10" max="10" width="13.85546875" customWidth="1"/>
    <col min="11" max="11" width="16.28515625" bestFit="1" customWidth="1"/>
    <col min="12" max="12" width="17.42578125" customWidth="1"/>
    <col min="13" max="13" width="16.28515625" customWidth="1"/>
    <col min="14" max="14" width="17.28515625" customWidth="1"/>
    <col min="15" max="15" width="15.85546875" customWidth="1"/>
    <col min="16" max="16" width="14.85546875" customWidth="1"/>
    <col min="17" max="17" width="15.85546875" customWidth="1"/>
    <col min="18" max="18" width="17.5703125" customWidth="1"/>
    <col min="19" max="21" width="13.85546875" customWidth="1"/>
    <col min="257" max="257" width="7.140625" customWidth="1"/>
    <col min="258" max="258" width="37.5703125" customWidth="1"/>
    <col min="259" max="259" width="7.42578125" customWidth="1"/>
    <col min="260" max="260" width="13.85546875" customWidth="1"/>
    <col min="261" max="261" width="16.5703125" customWidth="1"/>
    <col min="262" max="262" width="13.85546875" customWidth="1"/>
    <col min="263" max="263" width="16.85546875" customWidth="1"/>
    <col min="264" max="264" width="16.140625" customWidth="1"/>
    <col min="265" max="265" width="16.28515625" bestFit="1" customWidth="1"/>
    <col min="266" max="266" width="13.85546875" customWidth="1"/>
    <col min="267" max="267" width="16.28515625" bestFit="1" customWidth="1"/>
    <col min="268" max="268" width="17.42578125" customWidth="1"/>
    <col min="269" max="269" width="16.28515625" customWidth="1"/>
    <col min="270" max="270" width="17.28515625" customWidth="1"/>
    <col min="271" max="271" width="15.85546875" customWidth="1"/>
    <col min="272" max="272" width="14.85546875" customWidth="1"/>
    <col min="273" max="273" width="15.85546875" customWidth="1"/>
    <col min="274" max="274" width="17.5703125" customWidth="1"/>
    <col min="275" max="277" width="13.85546875" customWidth="1"/>
    <col min="513" max="513" width="7.140625" customWidth="1"/>
    <col min="514" max="514" width="37.5703125" customWidth="1"/>
    <col min="515" max="515" width="7.42578125" customWidth="1"/>
    <col min="516" max="516" width="13.85546875" customWidth="1"/>
    <col min="517" max="517" width="16.5703125" customWidth="1"/>
    <col min="518" max="518" width="13.85546875" customWidth="1"/>
    <col min="519" max="519" width="16.85546875" customWidth="1"/>
    <col min="520" max="520" width="16.140625" customWidth="1"/>
    <col min="521" max="521" width="16.28515625" bestFit="1" customWidth="1"/>
    <col min="522" max="522" width="13.85546875" customWidth="1"/>
    <col min="523" max="523" width="16.28515625" bestFit="1" customWidth="1"/>
    <col min="524" max="524" width="17.42578125" customWidth="1"/>
    <col min="525" max="525" width="16.28515625" customWidth="1"/>
    <col min="526" max="526" width="17.28515625" customWidth="1"/>
    <col min="527" max="527" width="15.85546875" customWidth="1"/>
    <col min="528" max="528" width="14.85546875" customWidth="1"/>
    <col min="529" max="529" width="15.85546875" customWidth="1"/>
    <col min="530" max="530" width="17.5703125" customWidth="1"/>
    <col min="531" max="533" width="13.85546875" customWidth="1"/>
    <col min="769" max="769" width="7.140625" customWidth="1"/>
    <col min="770" max="770" width="37.5703125" customWidth="1"/>
    <col min="771" max="771" width="7.42578125" customWidth="1"/>
    <col min="772" max="772" width="13.85546875" customWidth="1"/>
    <col min="773" max="773" width="16.5703125" customWidth="1"/>
    <col min="774" max="774" width="13.85546875" customWidth="1"/>
    <col min="775" max="775" width="16.85546875" customWidth="1"/>
    <col min="776" max="776" width="16.140625" customWidth="1"/>
    <col min="777" max="777" width="16.28515625" bestFit="1" customWidth="1"/>
    <col min="778" max="778" width="13.85546875" customWidth="1"/>
    <col min="779" max="779" width="16.28515625" bestFit="1" customWidth="1"/>
    <col min="780" max="780" width="17.42578125" customWidth="1"/>
    <col min="781" max="781" width="16.28515625" customWidth="1"/>
    <col min="782" max="782" width="17.28515625" customWidth="1"/>
    <col min="783" max="783" width="15.85546875" customWidth="1"/>
    <col min="784" max="784" width="14.85546875" customWidth="1"/>
    <col min="785" max="785" width="15.85546875" customWidth="1"/>
    <col min="786" max="786" width="17.5703125" customWidth="1"/>
    <col min="787" max="789" width="13.85546875" customWidth="1"/>
    <col min="1025" max="1025" width="7.140625" customWidth="1"/>
    <col min="1026" max="1026" width="37.5703125" customWidth="1"/>
    <col min="1027" max="1027" width="7.42578125" customWidth="1"/>
    <col min="1028" max="1028" width="13.85546875" customWidth="1"/>
    <col min="1029" max="1029" width="16.5703125" customWidth="1"/>
    <col min="1030" max="1030" width="13.85546875" customWidth="1"/>
    <col min="1031" max="1031" width="16.85546875" customWidth="1"/>
    <col min="1032" max="1032" width="16.140625" customWidth="1"/>
    <col min="1033" max="1033" width="16.28515625" bestFit="1" customWidth="1"/>
    <col min="1034" max="1034" width="13.85546875" customWidth="1"/>
    <col min="1035" max="1035" width="16.28515625" bestFit="1" customWidth="1"/>
    <col min="1036" max="1036" width="17.42578125" customWidth="1"/>
    <col min="1037" max="1037" width="16.28515625" customWidth="1"/>
    <col min="1038" max="1038" width="17.28515625" customWidth="1"/>
    <col min="1039" max="1039" width="15.85546875" customWidth="1"/>
    <col min="1040" max="1040" width="14.85546875" customWidth="1"/>
    <col min="1041" max="1041" width="15.85546875" customWidth="1"/>
    <col min="1042" max="1042" width="17.5703125" customWidth="1"/>
    <col min="1043" max="1045" width="13.85546875" customWidth="1"/>
    <col min="1281" max="1281" width="7.140625" customWidth="1"/>
    <col min="1282" max="1282" width="37.5703125" customWidth="1"/>
    <col min="1283" max="1283" width="7.42578125" customWidth="1"/>
    <col min="1284" max="1284" width="13.85546875" customWidth="1"/>
    <col min="1285" max="1285" width="16.5703125" customWidth="1"/>
    <col min="1286" max="1286" width="13.85546875" customWidth="1"/>
    <col min="1287" max="1287" width="16.85546875" customWidth="1"/>
    <col min="1288" max="1288" width="16.140625" customWidth="1"/>
    <col min="1289" max="1289" width="16.28515625" bestFit="1" customWidth="1"/>
    <col min="1290" max="1290" width="13.85546875" customWidth="1"/>
    <col min="1291" max="1291" width="16.28515625" bestFit="1" customWidth="1"/>
    <col min="1292" max="1292" width="17.42578125" customWidth="1"/>
    <col min="1293" max="1293" width="16.28515625" customWidth="1"/>
    <col min="1294" max="1294" width="17.28515625" customWidth="1"/>
    <col min="1295" max="1295" width="15.85546875" customWidth="1"/>
    <col min="1296" max="1296" width="14.85546875" customWidth="1"/>
    <col min="1297" max="1297" width="15.85546875" customWidth="1"/>
    <col min="1298" max="1298" width="17.5703125" customWidth="1"/>
    <col min="1299" max="1301" width="13.85546875" customWidth="1"/>
    <col min="1537" max="1537" width="7.140625" customWidth="1"/>
    <col min="1538" max="1538" width="37.5703125" customWidth="1"/>
    <col min="1539" max="1539" width="7.42578125" customWidth="1"/>
    <col min="1540" max="1540" width="13.85546875" customWidth="1"/>
    <col min="1541" max="1541" width="16.5703125" customWidth="1"/>
    <col min="1542" max="1542" width="13.85546875" customWidth="1"/>
    <col min="1543" max="1543" width="16.85546875" customWidth="1"/>
    <col min="1544" max="1544" width="16.140625" customWidth="1"/>
    <col min="1545" max="1545" width="16.28515625" bestFit="1" customWidth="1"/>
    <col min="1546" max="1546" width="13.85546875" customWidth="1"/>
    <col min="1547" max="1547" width="16.28515625" bestFit="1" customWidth="1"/>
    <col min="1548" max="1548" width="17.42578125" customWidth="1"/>
    <col min="1549" max="1549" width="16.28515625" customWidth="1"/>
    <col min="1550" max="1550" width="17.28515625" customWidth="1"/>
    <col min="1551" max="1551" width="15.85546875" customWidth="1"/>
    <col min="1552" max="1552" width="14.85546875" customWidth="1"/>
    <col min="1553" max="1553" width="15.85546875" customWidth="1"/>
    <col min="1554" max="1554" width="17.5703125" customWidth="1"/>
    <col min="1555" max="1557" width="13.85546875" customWidth="1"/>
    <col min="1793" max="1793" width="7.140625" customWidth="1"/>
    <col min="1794" max="1794" width="37.5703125" customWidth="1"/>
    <col min="1795" max="1795" width="7.42578125" customWidth="1"/>
    <col min="1796" max="1796" width="13.85546875" customWidth="1"/>
    <col min="1797" max="1797" width="16.5703125" customWidth="1"/>
    <col min="1798" max="1798" width="13.85546875" customWidth="1"/>
    <col min="1799" max="1799" width="16.85546875" customWidth="1"/>
    <col min="1800" max="1800" width="16.140625" customWidth="1"/>
    <col min="1801" max="1801" width="16.28515625" bestFit="1" customWidth="1"/>
    <col min="1802" max="1802" width="13.85546875" customWidth="1"/>
    <col min="1803" max="1803" width="16.28515625" bestFit="1" customWidth="1"/>
    <col min="1804" max="1804" width="17.42578125" customWidth="1"/>
    <col min="1805" max="1805" width="16.28515625" customWidth="1"/>
    <col min="1806" max="1806" width="17.28515625" customWidth="1"/>
    <col min="1807" max="1807" width="15.85546875" customWidth="1"/>
    <col min="1808" max="1808" width="14.85546875" customWidth="1"/>
    <col min="1809" max="1809" width="15.85546875" customWidth="1"/>
    <col min="1810" max="1810" width="17.5703125" customWidth="1"/>
    <col min="1811" max="1813" width="13.85546875" customWidth="1"/>
    <col min="2049" max="2049" width="7.140625" customWidth="1"/>
    <col min="2050" max="2050" width="37.5703125" customWidth="1"/>
    <col min="2051" max="2051" width="7.42578125" customWidth="1"/>
    <col min="2052" max="2052" width="13.85546875" customWidth="1"/>
    <col min="2053" max="2053" width="16.5703125" customWidth="1"/>
    <col min="2054" max="2054" width="13.85546875" customWidth="1"/>
    <col min="2055" max="2055" width="16.85546875" customWidth="1"/>
    <col min="2056" max="2056" width="16.140625" customWidth="1"/>
    <col min="2057" max="2057" width="16.28515625" bestFit="1" customWidth="1"/>
    <col min="2058" max="2058" width="13.85546875" customWidth="1"/>
    <col min="2059" max="2059" width="16.28515625" bestFit="1" customWidth="1"/>
    <col min="2060" max="2060" width="17.42578125" customWidth="1"/>
    <col min="2061" max="2061" width="16.28515625" customWidth="1"/>
    <col min="2062" max="2062" width="17.28515625" customWidth="1"/>
    <col min="2063" max="2063" width="15.85546875" customWidth="1"/>
    <col min="2064" max="2064" width="14.85546875" customWidth="1"/>
    <col min="2065" max="2065" width="15.85546875" customWidth="1"/>
    <col min="2066" max="2066" width="17.5703125" customWidth="1"/>
    <col min="2067" max="2069" width="13.85546875" customWidth="1"/>
    <col min="2305" max="2305" width="7.140625" customWidth="1"/>
    <col min="2306" max="2306" width="37.5703125" customWidth="1"/>
    <col min="2307" max="2307" width="7.42578125" customWidth="1"/>
    <col min="2308" max="2308" width="13.85546875" customWidth="1"/>
    <col min="2309" max="2309" width="16.5703125" customWidth="1"/>
    <col min="2310" max="2310" width="13.85546875" customWidth="1"/>
    <col min="2311" max="2311" width="16.85546875" customWidth="1"/>
    <col min="2312" max="2312" width="16.140625" customWidth="1"/>
    <col min="2313" max="2313" width="16.28515625" bestFit="1" customWidth="1"/>
    <col min="2314" max="2314" width="13.85546875" customWidth="1"/>
    <col min="2315" max="2315" width="16.28515625" bestFit="1" customWidth="1"/>
    <col min="2316" max="2316" width="17.42578125" customWidth="1"/>
    <col min="2317" max="2317" width="16.28515625" customWidth="1"/>
    <col min="2318" max="2318" width="17.28515625" customWidth="1"/>
    <col min="2319" max="2319" width="15.85546875" customWidth="1"/>
    <col min="2320" max="2320" width="14.85546875" customWidth="1"/>
    <col min="2321" max="2321" width="15.85546875" customWidth="1"/>
    <col min="2322" max="2322" width="17.5703125" customWidth="1"/>
    <col min="2323" max="2325" width="13.85546875" customWidth="1"/>
    <col min="2561" max="2561" width="7.140625" customWidth="1"/>
    <col min="2562" max="2562" width="37.5703125" customWidth="1"/>
    <col min="2563" max="2563" width="7.42578125" customWidth="1"/>
    <col min="2564" max="2564" width="13.85546875" customWidth="1"/>
    <col min="2565" max="2565" width="16.5703125" customWidth="1"/>
    <col min="2566" max="2566" width="13.85546875" customWidth="1"/>
    <col min="2567" max="2567" width="16.85546875" customWidth="1"/>
    <col min="2568" max="2568" width="16.140625" customWidth="1"/>
    <col min="2569" max="2569" width="16.28515625" bestFit="1" customWidth="1"/>
    <col min="2570" max="2570" width="13.85546875" customWidth="1"/>
    <col min="2571" max="2571" width="16.28515625" bestFit="1" customWidth="1"/>
    <col min="2572" max="2572" width="17.42578125" customWidth="1"/>
    <col min="2573" max="2573" width="16.28515625" customWidth="1"/>
    <col min="2574" max="2574" width="17.28515625" customWidth="1"/>
    <col min="2575" max="2575" width="15.85546875" customWidth="1"/>
    <col min="2576" max="2576" width="14.85546875" customWidth="1"/>
    <col min="2577" max="2577" width="15.85546875" customWidth="1"/>
    <col min="2578" max="2578" width="17.5703125" customWidth="1"/>
    <col min="2579" max="2581" width="13.85546875" customWidth="1"/>
    <col min="2817" max="2817" width="7.140625" customWidth="1"/>
    <col min="2818" max="2818" width="37.5703125" customWidth="1"/>
    <col min="2819" max="2819" width="7.42578125" customWidth="1"/>
    <col min="2820" max="2820" width="13.85546875" customWidth="1"/>
    <col min="2821" max="2821" width="16.5703125" customWidth="1"/>
    <col min="2822" max="2822" width="13.85546875" customWidth="1"/>
    <col min="2823" max="2823" width="16.85546875" customWidth="1"/>
    <col min="2824" max="2824" width="16.140625" customWidth="1"/>
    <col min="2825" max="2825" width="16.28515625" bestFit="1" customWidth="1"/>
    <col min="2826" max="2826" width="13.85546875" customWidth="1"/>
    <col min="2827" max="2827" width="16.28515625" bestFit="1" customWidth="1"/>
    <col min="2828" max="2828" width="17.42578125" customWidth="1"/>
    <col min="2829" max="2829" width="16.28515625" customWidth="1"/>
    <col min="2830" max="2830" width="17.28515625" customWidth="1"/>
    <col min="2831" max="2831" width="15.85546875" customWidth="1"/>
    <col min="2832" max="2832" width="14.85546875" customWidth="1"/>
    <col min="2833" max="2833" width="15.85546875" customWidth="1"/>
    <col min="2834" max="2834" width="17.5703125" customWidth="1"/>
    <col min="2835" max="2837" width="13.85546875" customWidth="1"/>
    <col min="3073" max="3073" width="7.140625" customWidth="1"/>
    <col min="3074" max="3074" width="37.5703125" customWidth="1"/>
    <col min="3075" max="3075" width="7.42578125" customWidth="1"/>
    <col min="3076" max="3076" width="13.85546875" customWidth="1"/>
    <col min="3077" max="3077" width="16.5703125" customWidth="1"/>
    <col min="3078" max="3078" width="13.85546875" customWidth="1"/>
    <col min="3079" max="3079" width="16.85546875" customWidth="1"/>
    <col min="3080" max="3080" width="16.140625" customWidth="1"/>
    <col min="3081" max="3081" width="16.28515625" bestFit="1" customWidth="1"/>
    <col min="3082" max="3082" width="13.85546875" customWidth="1"/>
    <col min="3083" max="3083" width="16.28515625" bestFit="1" customWidth="1"/>
    <col min="3084" max="3084" width="17.42578125" customWidth="1"/>
    <col min="3085" max="3085" width="16.28515625" customWidth="1"/>
    <col min="3086" max="3086" width="17.28515625" customWidth="1"/>
    <col min="3087" max="3087" width="15.85546875" customWidth="1"/>
    <col min="3088" max="3088" width="14.85546875" customWidth="1"/>
    <col min="3089" max="3089" width="15.85546875" customWidth="1"/>
    <col min="3090" max="3090" width="17.5703125" customWidth="1"/>
    <col min="3091" max="3093" width="13.85546875" customWidth="1"/>
    <col min="3329" max="3329" width="7.140625" customWidth="1"/>
    <col min="3330" max="3330" width="37.5703125" customWidth="1"/>
    <col min="3331" max="3331" width="7.42578125" customWidth="1"/>
    <col min="3332" max="3332" width="13.85546875" customWidth="1"/>
    <col min="3333" max="3333" width="16.5703125" customWidth="1"/>
    <col min="3334" max="3334" width="13.85546875" customWidth="1"/>
    <col min="3335" max="3335" width="16.85546875" customWidth="1"/>
    <col min="3336" max="3336" width="16.140625" customWidth="1"/>
    <col min="3337" max="3337" width="16.28515625" bestFit="1" customWidth="1"/>
    <col min="3338" max="3338" width="13.85546875" customWidth="1"/>
    <col min="3339" max="3339" width="16.28515625" bestFit="1" customWidth="1"/>
    <col min="3340" max="3340" width="17.42578125" customWidth="1"/>
    <col min="3341" max="3341" width="16.28515625" customWidth="1"/>
    <col min="3342" max="3342" width="17.28515625" customWidth="1"/>
    <col min="3343" max="3343" width="15.85546875" customWidth="1"/>
    <col min="3344" max="3344" width="14.85546875" customWidth="1"/>
    <col min="3345" max="3345" width="15.85546875" customWidth="1"/>
    <col min="3346" max="3346" width="17.5703125" customWidth="1"/>
    <col min="3347" max="3349" width="13.85546875" customWidth="1"/>
    <col min="3585" max="3585" width="7.140625" customWidth="1"/>
    <col min="3586" max="3586" width="37.5703125" customWidth="1"/>
    <col min="3587" max="3587" width="7.42578125" customWidth="1"/>
    <col min="3588" max="3588" width="13.85546875" customWidth="1"/>
    <col min="3589" max="3589" width="16.5703125" customWidth="1"/>
    <col min="3590" max="3590" width="13.85546875" customWidth="1"/>
    <col min="3591" max="3591" width="16.85546875" customWidth="1"/>
    <col min="3592" max="3592" width="16.140625" customWidth="1"/>
    <col min="3593" max="3593" width="16.28515625" bestFit="1" customWidth="1"/>
    <col min="3594" max="3594" width="13.85546875" customWidth="1"/>
    <col min="3595" max="3595" width="16.28515625" bestFit="1" customWidth="1"/>
    <col min="3596" max="3596" width="17.42578125" customWidth="1"/>
    <col min="3597" max="3597" width="16.28515625" customWidth="1"/>
    <col min="3598" max="3598" width="17.28515625" customWidth="1"/>
    <col min="3599" max="3599" width="15.85546875" customWidth="1"/>
    <col min="3600" max="3600" width="14.85546875" customWidth="1"/>
    <col min="3601" max="3601" width="15.85546875" customWidth="1"/>
    <col min="3602" max="3602" width="17.5703125" customWidth="1"/>
    <col min="3603" max="3605" width="13.85546875" customWidth="1"/>
    <col min="3841" max="3841" width="7.140625" customWidth="1"/>
    <col min="3842" max="3842" width="37.5703125" customWidth="1"/>
    <col min="3843" max="3843" width="7.42578125" customWidth="1"/>
    <col min="3844" max="3844" width="13.85546875" customWidth="1"/>
    <col min="3845" max="3845" width="16.5703125" customWidth="1"/>
    <col min="3846" max="3846" width="13.85546875" customWidth="1"/>
    <col min="3847" max="3847" width="16.85546875" customWidth="1"/>
    <col min="3848" max="3848" width="16.140625" customWidth="1"/>
    <col min="3849" max="3849" width="16.28515625" bestFit="1" customWidth="1"/>
    <col min="3850" max="3850" width="13.85546875" customWidth="1"/>
    <col min="3851" max="3851" width="16.28515625" bestFit="1" customWidth="1"/>
    <col min="3852" max="3852" width="17.42578125" customWidth="1"/>
    <col min="3853" max="3853" width="16.28515625" customWidth="1"/>
    <col min="3854" max="3854" width="17.28515625" customWidth="1"/>
    <col min="3855" max="3855" width="15.85546875" customWidth="1"/>
    <col min="3856" max="3856" width="14.85546875" customWidth="1"/>
    <col min="3857" max="3857" width="15.85546875" customWidth="1"/>
    <col min="3858" max="3858" width="17.5703125" customWidth="1"/>
    <col min="3859" max="3861" width="13.85546875" customWidth="1"/>
    <col min="4097" max="4097" width="7.140625" customWidth="1"/>
    <col min="4098" max="4098" width="37.5703125" customWidth="1"/>
    <col min="4099" max="4099" width="7.42578125" customWidth="1"/>
    <col min="4100" max="4100" width="13.85546875" customWidth="1"/>
    <col min="4101" max="4101" width="16.5703125" customWidth="1"/>
    <col min="4102" max="4102" width="13.85546875" customWidth="1"/>
    <col min="4103" max="4103" width="16.85546875" customWidth="1"/>
    <col min="4104" max="4104" width="16.140625" customWidth="1"/>
    <col min="4105" max="4105" width="16.28515625" bestFit="1" customWidth="1"/>
    <col min="4106" max="4106" width="13.85546875" customWidth="1"/>
    <col min="4107" max="4107" width="16.28515625" bestFit="1" customWidth="1"/>
    <col min="4108" max="4108" width="17.42578125" customWidth="1"/>
    <col min="4109" max="4109" width="16.28515625" customWidth="1"/>
    <col min="4110" max="4110" width="17.28515625" customWidth="1"/>
    <col min="4111" max="4111" width="15.85546875" customWidth="1"/>
    <col min="4112" max="4112" width="14.85546875" customWidth="1"/>
    <col min="4113" max="4113" width="15.85546875" customWidth="1"/>
    <col min="4114" max="4114" width="17.5703125" customWidth="1"/>
    <col min="4115" max="4117" width="13.85546875" customWidth="1"/>
    <col min="4353" max="4353" width="7.140625" customWidth="1"/>
    <col min="4354" max="4354" width="37.5703125" customWidth="1"/>
    <col min="4355" max="4355" width="7.42578125" customWidth="1"/>
    <col min="4356" max="4356" width="13.85546875" customWidth="1"/>
    <col min="4357" max="4357" width="16.5703125" customWidth="1"/>
    <col min="4358" max="4358" width="13.85546875" customWidth="1"/>
    <col min="4359" max="4359" width="16.85546875" customWidth="1"/>
    <col min="4360" max="4360" width="16.140625" customWidth="1"/>
    <col min="4361" max="4361" width="16.28515625" bestFit="1" customWidth="1"/>
    <col min="4362" max="4362" width="13.85546875" customWidth="1"/>
    <col min="4363" max="4363" width="16.28515625" bestFit="1" customWidth="1"/>
    <col min="4364" max="4364" width="17.42578125" customWidth="1"/>
    <col min="4365" max="4365" width="16.28515625" customWidth="1"/>
    <col min="4366" max="4366" width="17.28515625" customWidth="1"/>
    <col min="4367" max="4367" width="15.85546875" customWidth="1"/>
    <col min="4368" max="4368" width="14.85546875" customWidth="1"/>
    <col min="4369" max="4369" width="15.85546875" customWidth="1"/>
    <col min="4370" max="4370" width="17.5703125" customWidth="1"/>
    <col min="4371" max="4373" width="13.85546875" customWidth="1"/>
    <col min="4609" max="4609" width="7.140625" customWidth="1"/>
    <col min="4610" max="4610" width="37.5703125" customWidth="1"/>
    <col min="4611" max="4611" width="7.42578125" customWidth="1"/>
    <col min="4612" max="4612" width="13.85546875" customWidth="1"/>
    <col min="4613" max="4613" width="16.5703125" customWidth="1"/>
    <col min="4614" max="4614" width="13.85546875" customWidth="1"/>
    <col min="4615" max="4615" width="16.85546875" customWidth="1"/>
    <col min="4616" max="4616" width="16.140625" customWidth="1"/>
    <col min="4617" max="4617" width="16.28515625" bestFit="1" customWidth="1"/>
    <col min="4618" max="4618" width="13.85546875" customWidth="1"/>
    <col min="4619" max="4619" width="16.28515625" bestFit="1" customWidth="1"/>
    <col min="4620" max="4620" width="17.42578125" customWidth="1"/>
    <col min="4621" max="4621" width="16.28515625" customWidth="1"/>
    <col min="4622" max="4622" width="17.28515625" customWidth="1"/>
    <col min="4623" max="4623" width="15.85546875" customWidth="1"/>
    <col min="4624" max="4624" width="14.85546875" customWidth="1"/>
    <col min="4625" max="4625" width="15.85546875" customWidth="1"/>
    <col min="4626" max="4626" width="17.5703125" customWidth="1"/>
    <col min="4627" max="4629" width="13.85546875" customWidth="1"/>
    <col min="4865" max="4865" width="7.140625" customWidth="1"/>
    <col min="4866" max="4866" width="37.5703125" customWidth="1"/>
    <col min="4867" max="4867" width="7.42578125" customWidth="1"/>
    <col min="4868" max="4868" width="13.85546875" customWidth="1"/>
    <col min="4869" max="4869" width="16.5703125" customWidth="1"/>
    <col min="4870" max="4870" width="13.85546875" customWidth="1"/>
    <col min="4871" max="4871" width="16.85546875" customWidth="1"/>
    <col min="4872" max="4872" width="16.140625" customWidth="1"/>
    <col min="4873" max="4873" width="16.28515625" bestFit="1" customWidth="1"/>
    <col min="4874" max="4874" width="13.85546875" customWidth="1"/>
    <col min="4875" max="4875" width="16.28515625" bestFit="1" customWidth="1"/>
    <col min="4876" max="4876" width="17.42578125" customWidth="1"/>
    <col min="4877" max="4877" width="16.28515625" customWidth="1"/>
    <col min="4878" max="4878" width="17.28515625" customWidth="1"/>
    <col min="4879" max="4879" width="15.85546875" customWidth="1"/>
    <col min="4880" max="4880" width="14.85546875" customWidth="1"/>
    <col min="4881" max="4881" width="15.85546875" customWidth="1"/>
    <col min="4882" max="4882" width="17.5703125" customWidth="1"/>
    <col min="4883" max="4885" width="13.85546875" customWidth="1"/>
    <col min="5121" max="5121" width="7.140625" customWidth="1"/>
    <col min="5122" max="5122" width="37.5703125" customWidth="1"/>
    <col min="5123" max="5123" width="7.42578125" customWidth="1"/>
    <col min="5124" max="5124" width="13.85546875" customWidth="1"/>
    <col min="5125" max="5125" width="16.5703125" customWidth="1"/>
    <col min="5126" max="5126" width="13.85546875" customWidth="1"/>
    <col min="5127" max="5127" width="16.85546875" customWidth="1"/>
    <col min="5128" max="5128" width="16.140625" customWidth="1"/>
    <col min="5129" max="5129" width="16.28515625" bestFit="1" customWidth="1"/>
    <col min="5130" max="5130" width="13.85546875" customWidth="1"/>
    <col min="5131" max="5131" width="16.28515625" bestFit="1" customWidth="1"/>
    <col min="5132" max="5132" width="17.42578125" customWidth="1"/>
    <col min="5133" max="5133" width="16.28515625" customWidth="1"/>
    <col min="5134" max="5134" width="17.28515625" customWidth="1"/>
    <col min="5135" max="5135" width="15.85546875" customWidth="1"/>
    <col min="5136" max="5136" width="14.85546875" customWidth="1"/>
    <col min="5137" max="5137" width="15.85546875" customWidth="1"/>
    <col min="5138" max="5138" width="17.5703125" customWidth="1"/>
    <col min="5139" max="5141" width="13.85546875" customWidth="1"/>
    <col min="5377" max="5377" width="7.140625" customWidth="1"/>
    <col min="5378" max="5378" width="37.5703125" customWidth="1"/>
    <col min="5379" max="5379" width="7.42578125" customWidth="1"/>
    <col min="5380" max="5380" width="13.85546875" customWidth="1"/>
    <col min="5381" max="5381" width="16.5703125" customWidth="1"/>
    <col min="5382" max="5382" width="13.85546875" customWidth="1"/>
    <col min="5383" max="5383" width="16.85546875" customWidth="1"/>
    <col min="5384" max="5384" width="16.140625" customWidth="1"/>
    <col min="5385" max="5385" width="16.28515625" bestFit="1" customWidth="1"/>
    <col min="5386" max="5386" width="13.85546875" customWidth="1"/>
    <col min="5387" max="5387" width="16.28515625" bestFit="1" customWidth="1"/>
    <col min="5388" max="5388" width="17.42578125" customWidth="1"/>
    <col min="5389" max="5389" width="16.28515625" customWidth="1"/>
    <col min="5390" max="5390" width="17.28515625" customWidth="1"/>
    <col min="5391" max="5391" width="15.85546875" customWidth="1"/>
    <col min="5392" max="5392" width="14.85546875" customWidth="1"/>
    <col min="5393" max="5393" width="15.85546875" customWidth="1"/>
    <col min="5394" max="5394" width="17.5703125" customWidth="1"/>
    <col min="5395" max="5397" width="13.85546875" customWidth="1"/>
    <col min="5633" max="5633" width="7.140625" customWidth="1"/>
    <col min="5634" max="5634" width="37.5703125" customWidth="1"/>
    <col min="5635" max="5635" width="7.42578125" customWidth="1"/>
    <col min="5636" max="5636" width="13.85546875" customWidth="1"/>
    <col min="5637" max="5637" width="16.5703125" customWidth="1"/>
    <col min="5638" max="5638" width="13.85546875" customWidth="1"/>
    <col min="5639" max="5639" width="16.85546875" customWidth="1"/>
    <col min="5640" max="5640" width="16.140625" customWidth="1"/>
    <col min="5641" max="5641" width="16.28515625" bestFit="1" customWidth="1"/>
    <col min="5642" max="5642" width="13.85546875" customWidth="1"/>
    <col min="5643" max="5643" width="16.28515625" bestFit="1" customWidth="1"/>
    <col min="5644" max="5644" width="17.42578125" customWidth="1"/>
    <col min="5645" max="5645" width="16.28515625" customWidth="1"/>
    <col min="5646" max="5646" width="17.28515625" customWidth="1"/>
    <col min="5647" max="5647" width="15.85546875" customWidth="1"/>
    <col min="5648" max="5648" width="14.85546875" customWidth="1"/>
    <col min="5649" max="5649" width="15.85546875" customWidth="1"/>
    <col min="5650" max="5650" width="17.5703125" customWidth="1"/>
    <col min="5651" max="5653" width="13.85546875" customWidth="1"/>
    <col min="5889" max="5889" width="7.140625" customWidth="1"/>
    <col min="5890" max="5890" width="37.5703125" customWidth="1"/>
    <col min="5891" max="5891" width="7.42578125" customWidth="1"/>
    <col min="5892" max="5892" width="13.85546875" customWidth="1"/>
    <col min="5893" max="5893" width="16.5703125" customWidth="1"/>
    <col min="5894" max="5894" width="13.85546875" customWidth="1"/>
    <col min="5895" max="5895" width="16.85546875" customWidth="1"/>
    <col min="5896" max="5896" width="16.140625" customWidth="1"/>
    <col min="5897" max="5897" width="16.28515625" bestFit="1" customWidth="1"/>
    <col min="5898" max="5898" width="13.85546875" customWidth="1"/>
    <col min="5899" max="5899" width="16.28515625" bestFit="1" customWidth="1"/>
    <col min="5900" max="5900" width="17.42578125" customWidth="1"/>
    <col min="5901" max="5901" width="16.28515625" customWidth="1"/>
    <col min="5902" max="5902" width="17.28515625" customWidth="1"/>
    <col min="5903" max="5903" width="15.85546875" customWidth="1"/>
    <col min="5904" max="5904" width="14.85546875" customWidth="1"/>
    <col min="5905" max="5905" width="15.85546875" customWidth="1"/>
    <col min="5906" max="5906" width="17.5703125" customWidth="1"/>
    <col min="5907" max="5909" width="13.85546875" customWidth="1"/>
    <col min="6145" max="6145" width="7.140625" customWidth="1"/>
    <col min="6146" max="6146" width="37.5703125" customWidth="1"/>
    <col min="6147" max="6147" width="7.42578125" customWidth="1"/>
    <col min="6148" max="6148" width="13.85546875" customWidth="1"/>
    <col min="6149" max="6149" width="16.5703125" customWidth="1"/>
    <col min="6150" max="6150" width="13.85546875" customWidth="1"/>
    <col min="6151" max="6151" width="16.85546875" customWidth="1"/>
    <col min="6152" max="6152" width="16.140625" customWidth="1"/>
    <col min="6153" max="6153" width="16.28515625" bestFit="1" customWidth="1"/>
    <col min="6154" max="6154" width="13.85546875" customWidth="1"/>
    <col min="6155" max="6155" width="16.28515625" bestFit="1" customWidth="1"/>
    <col min="6156" max="6156" width="17.42578125" customWidth="1"/>
    <col min="6157" max="6157" width="16.28515625" customWidth="1"/>
    <col min="6158" max="6158" width="17.28515625" customWidth="1"/>
    <col min="6159" max="6159" width="15.85546875" customWidth="1"/>
    <col min="6160" max="6160" width="14.85546875" customWidth="1"/>
    <col min="6161" max="6161" width="15.85546875" customWidth="1"/>
    <col min="6162" max="6162" width="17.5703125" customWidth="1"/>
    <col min="6163" max="6165" width="13.85546875" customWidth="1"/>
    <col min="6401" max="6401" width="7.140625" customWidth="1"/>
    <col min="6402" max="6402" width="37.5703125" customWidth="1"/>
    <col min="6403" max="6403" width="7.42578125" customWidth="1"/>
    <col min="6404" max="6404" width="13.85546875" customWidth="1"/>
    <col min="6405" max="6405" width="16.5703125" customWidth="1"/>
    <col min="6406" max="6406" width="13.85546875" customWidth="1"/>
    <col min="6407" max="6407" width="16.85546875" customWidth="1"/>
    <col min="6408" max="6408" width="16.140625" customWidth="1"/>
    <col min="6409" max="6409" width="16.28515625" bestFit="1" customWidth="1"/>
    <col min="6410" max="6410" width="13.85546875" customWidth="1"/>
    <col min="6411" max="6411" width="16.28515625" bestFit="1" customWidth="1"/>
    <col min="6412" max="6412" width="17.42578125" customWidth="1"/>
    <col min="6413" max="6413" width="16.28515625" customWidth="1"/>
    <col min="6414" max="6414" width="17.28515625" customWidth="1"/>
    <col min="6415" max="6415" width="15.85546875" customWidth="1"/>
    <col min="6416" max="6416" width="14.85546875" customWidth="1"/>
    <col min="6417" max="6417" width="15.85546875" customWidth="1"/>
    <col min="6418" max="6418" width="17.5703125" customWidth="1"/>
    <col min="6419" max="6421" width="13.85546875" customWidth="1"/>
    <col min="6657" max="6657" width="7.140625" customWidth="1"/>
    <col min="6658" max="6658" width="37.5703125" customWidth="1"/>
    <col min="6659" max="6659" width="7.42578125" customWidth="1"/>
    <col min="6660" max="6660" width="13.85546875" customWidth="1"/>
    <col min="6661" max="6661" width="16.5703125" customWidth="1"/>
    <col min="6662" max="6662" width="13.85546875" customWidth="1"/>
    <col min="6663" max="6663" width="16.85546875" customWidth="1"/>
    <col min="6664" max="6664" width="16.140625" customWidth="1"/>
    <col min="6665" max="6665" width="16.28515625" bestFit="1" customWidth="1"/>
    <col min="6666" max="6666" width="13.85546875" customWidth="1"/>
    <col min="6667" max="6667" width="16.28515625" bestFit="1" customWidth="1"/>
    <col min="6668" max="6668" width="17.42578125" customWidth="1"/>
    <col min="6669" max="6669" width="16.28515625" customWidth="1"/>
    <col min="6670" max="6670" width="17.28515625" customWidth="1"/>
    <col min="6671" max="6671" width="15.85546875" customWidth="1"/>
    <col min="6672" max="6672" width="14.85546875" customWidth="1"/>
    <col min="6673" max="6673" width="15.85546875" customWidth="1"/>
    <col min="6674" max="6674" width="17.5703125" customWidth="1"/>
    <col min="6675" max="6677" width="13.85546875" customWidth="1"/>
    <col min="6913" max="6913" width="7.140625" customWidth="1"/>
    <col min="6914" max="6914" width="37.5703125" customWidth="1"/>
    <col min="6915" max="6915" width="7.42578125" customWidth="1"/>
    <col min="6916" max="6916" width="13.85546875" customWidth="1"/>
    <col min="6917" max="6917" width="16.5703125" customWidth="1"/>
    <col min="6918" max="6918" width="13.85546875" customWidth="1"/>
    <col min="6919" max="6919" width="16.85546875" customWidth="1"/>
    <col min="6920" max="6920" width="16.140625" customWidth="1"/>
    <col min="6921" max="6921" width="16.28515625" bestFit="1" customWidth="1"/>
    <col min="6922" max="6922" width="13.85546875" customWidth="1"/>
    <col min="6923" max="6923" width="16.28515625" bestFit="1" customWidth="1"/>
    <col min="6924" max="6924" width="17.42578125" customWidth="1"/>
    <col min="6925" max="6925" width="16.28515625" customWidth="1"/>
    <col min="6926" max="6926" width="17.28515625" customWidth="1"/>
    <col min="6927" max="6927" width="15.85546875" customWidth="1"/>
    <col min="6928" max="6928" width="14.85546875" customWidth="1"/>
    <col min="6929" max="6929" width="15.85546875" customWidth="1"/>
    <col min="6930" max="6930" width="17.5703125" customWidth="1"/>
    <col min="6931" max="6933" width="13.85546875" customWidth="1"/>
    <col min="7169" max="7169" width="7.140625" customWidth="1"/>
    <col min="7170" max="7170" width="37.5703125" customWidth="1"/>
    <col min="7171" max="7171" width="7.42578125" customWidth="1"/>
    <col min="7172" max="7172" width="13.85546875" customWidth="1"/>
    <col min="7173" max="7173" width="16.5703125" customWidth="1"/>
    <col min="7174" max="7174" width="13.85546875" customWidth="1"/>
    <col min="7175" max="7175" width="16.85546875" customWidth="1"/>
    <col min="7176" max="7176" width="16.140625" customWidth="1"/>
    <col min="7177" max="7177" width="16.28515625" bestFit="1" customWidth="1"/>
    <col min="7178" max="7178" width="13.85546875" customWidth="1"/>
    <col min="7179" max="7179" width="16.28515625" bestFit="1" customWidth="1"/>
    <col min="7180" max="7180" width="17.42578125" customWidth="1"/>
    <col min="7181" max="7181" width="16.28515625" customWidth="1"/>
    <col min="7182" max="7182" width="17.28515625" customWidth="1"/>
    <col min="7183" max="7183" width="15.85546875" customWidth="1"/>
    <col min="7184" max="7184" width="14.85546875" customWidth="1"/>
    <col min="7185" max="7185" width="15.85546875" customWidth="1"/>
    <col min="7186" max="7186" width="17.5703125" customWidth="1"/>
    <col min="7187" max="7189" width="13.85546875" customWidth="1"/>
    <col min="7425" max="7425" width="7.140625" customWidth="1"/>
    <col min="7426" max="7426" width="37.5703125" customWidth="1"/>
    <col min="7427" max="7427" width="7.42578125" customWidth="1"/>
    <col min="7428" max="7428" width="13.85546875" customWidth="1"/>
    <col min="7429" max="7429" width="16.5703125" customWidth="1"/>
    <col min="7430" max="7430" width="13.85546875" customWidth="1"/>
    <col min="7431" max="7431" width="16.85546875" customWidth="1"/>
    <col min="7432" max="7432" width="16.140625" customWidth="1"/>
    <col min="7433" max="7433" width="16.28515625" bestFit="1" customWidth="1"/>
    <col min="7434" max="7434" width="13.85546875" customWidth="1"/>
    <col min="7435" max="7435" width="16.28515625" bestFit="1" customWidth="1"/>
    <col min="7436" max="7436" width="17.42578125" customWidth="1"/>
    <col min="7437" max="7437" width="16.28515625" customWidth="1"/>
    <col min="7438" max="7438" width="17.28515625" customWidth="1"/>
    <col min="7439" max="7439" width="15.85546875" customWidth="1"/>
    <col min="7440" max="7440" width="14.85546875" customWidth="1"/>
    <col min="7441" max="7441" width="15.85546875" customWidth="1"/>
    <col min="7442" max="7442" width="17.5703125" customWidth="1"/>
    <col min="7443" max="7445" width="13.85546875" customWidth="1"/>
    <col min="7681" max="7681" width="7.140625" customWidth="1"/>
    <col min="7682" max="7682" width="37.5703125" customWidth="1"/>
    <col min="7683" max="7683" width="7.42578125" customWidth="1"/>
    <col min="7684" max="7684" width="13.85546875" customWidth="1"/>
    <col min="7685" max="7685" width="16.5703125" customWidth="1"/>
    <col min="7686" max="7686" width="13.85546875" customWidth="1"/>
    <col min="7687" max="7687" width="16.85546875" customWidth="1"/>
    <col min="7688" max="7688" width="16.140625" customWidth="1"/>
    <col min="7689" max="7689" width="16.28515625" bestFit="1" customWidth="1"/>
    <col min="7690" max="7690" width="13.85546875" customWidth="1"/>
    <col min="7691" max="7691" width="16.28515625" bestFit="1" customWidth="1"/>
    <col min="7692" max="7692" width="17.42578125" customWidth="1"/>
    <col min="7693" max="7693" width="16.28515625" customWidth="1"/>
    <col min="7694" max="7694" width="17.28515625" customWidth="1"/>
    <col min="7695" max="7695" width="15.85546875" customWidth="1"/>
    <col min="7696" max="7696" width="14.85546875" customWidth="1"/>
    <col min="7697" max="7697" width="15.85546875" customWidth="1"/>
    <col min="7698" max="7698" width="17.5703125" customWidth="1"/>
    <col min="7699" max="7701" width="13.85546875" customWidth="1"/>
    <col min="7937" max="7937" width="7.140625" customWidth="1"/>
    <col min="7938" max="7938" width="37.5703125" customWidth="1"/>
    <col min="7939" max="7939" width="7.42578125" customWidth="1"/>
    <col min="7940" max="7940" width="13.85546875" customWidth="1"/>
    <col min="7941" max="7941" width="16.5703125" customWidth="1"/>
    <col min="7942" max="7942" width="13.85546875" customWidth="1"/>
    <col min="7943" max="7943" width="16.85546875" customWidth="1"/>
    <col min="7944" max="7944" width="16.140625" customWidth="1"/>
    <col min="7945" max="7945" width="16.28515625" bestFit="1" customWidth="1"/>
    <col min="7946" max="7946" width="13.85546875" customWidth="1"/>
    <col min="7947" max="7947" width="16.28515625" bestFit="1" customWidth="1"/>
    <col min="7948" max="7948" width="17.42578125" customWidth="1"/>
    <col min="7949" max="7949" width="16.28515625" customWidth="1"/>
    <col min="7950" max="7950" width="17.28515625" customWidth="1"/>
    <col min="7951" max="7951" width="15.85546875" customWidth="1"/>
    <col min="7952" max="7952" width="14.85546875" customWidth="1"/>
    <col min="7953" max="7953" width="15.85546875" customWidth="1"/>
    <col min="7954" max="7954" width="17.5703125" customWidth="1"/>
    <col min="7955" max="7957" width="13.85546875" customWidth="1"/>
    <col min="8193" max="8193" width="7.140625" customWidth="1"/>
    <col min="8194" max="8194" width="37.5703125" customWidth="1"/>
    <col min="8195" max="8195" width="7.42578125" customWidth="1"/>
    <col min="8196" max="8196" width="13.85546875" customWidth="1"/>
    <col min="8197" max="8197" width="16.5703125" customWidth="1"/>
    <col min="8198" max="8198" width="13.85546875" customWidth="1"/>
    <col min="8199" max="8199" width="16.85546875" customWidth="1"/>
    <col min="8200" max="8200" width="16.140625" customWidth="1"/>
    <col min="8201" max="8201" width="16.28515625" bestFit="1" customWidth="1"/>
    <col min="8202" max="8202" width="13.85546875" customWidth="1"/>
    <col min="8203" max="8203" width="16.28515625" bestFit="1" customWidth="1"/>
    <col min="8204" max="8204" width="17.42578125" customWidth="1"/>
    <col min="8205" max="8205" width="16.28515625" customWidth="1"/>
    <col min="8206" max="8206" width="17.28515625" customWidth="1"/>
    <col min="8207" max="8207" width="15.85546875" customWidth="1"/>
    <col min="8208" max="8208" width="14.85546875" customWidth="1"/>
    <col min="8209" max="8209" width="15.85546875" customWidth="1"/>
    <col min="8210" max="8210" width="17.5703125" customWidth="1"/>
    <col min="8211" max="8213" width="13.85546875" customWidth="1"/>
    <col min="8449" max="8449" width="7.140625" customWidth="1"/>
    <col min="8450" max="8450" width="37.5703125" customWidth="1"/>
    <col min="8451" max="8451" width="7.42578125" customWidth="1"/>
    <col min="8452" max="8452" width="13.85546875" customWidth="1"/>
    <col min="8453" max="8453" width="16.5703125" customWidth="1"/>
    <col min="8454" max="8454" width="13.85546875" customWidth="1"/>
    <col min="8455" max="8455" width="16.85546875" customWidth="1"/>
    <col min="8456" max="8456" width="16.140625" customWidth="1"/>
    <col min="8457" max="8457" width="16.28515625" bestFit="1" customWidth="1"/>
    <col min="8458" max="8458" width="13.85546875" customWidth="1"/>
    <col min="8459" max="8459" width="16.28515625" bestFit="1" customWidth="1"/>
    <col min="8460" max="8460" width="17.42578125" customWidth="1"/>
    <col min="8461" max="8461" width="16.28515625" customWidth="1"/>
    <col min="8462" max="8462" width="17.28515625" customWidth="1"/>
    <col min="8463" max="8463" width="15.85546875" customWidth="1"/>
    <col min="8464" max="8464" width="14.85546875" customWidth="1"/>
    <col min="8465" max="8465" width="15.85546875" customWidth="1"/>
    <col min="8466" max="8466" width="17.5703125" customWidth="1"/>
    <col min="8467" max="8469" width="13.85546875" customWidth="1"/>
    <col min="8705" max="8705" width="7.140625" customWidth="1"/>
    <col min="8706" max="8706" width="37.5703125" customWidth="1"/>
    <col min="8707" max="8707" width="7.42578125" customWidth="1"/>
    <col min="8708" max="8708" width="13.85546875" customWidth="1"/>
    <col min="8709" max="8709" width="16.5703125" customWidth="1"/>
    <col min="8710" max="8710" width="13.85546875" customWidth="1"/>
    <col min="8711" max="8711" width="16.85546875" customWidth="1"/>
    <col min="8712" max="8712" width="16.140625" customWidth="1"/>
    <col min="8713" max="8713" width="16.28515625" bestFit="1" customWidth="1"/>
    <col min="8714" max="8714" width="13.85546875" customWidth="1"/>
    <col min="8715" max="8715" width="16.28515625" bestFit="1" customWidth="1"/>
    <col min="8716" max="8716" width="17.42578125" customWidth="1"/>
    <col min="8717" max="8717" width="16.28515625" customWidth="1"/>
    <col min="8718" max="8718" width="17.28515625" customWidth="1"/>
    <col min="8719" max="8719" width="15.85546875" customWidth="1"/>
    <col min="8720" max="8720" width="14.85546875" customWidth="1"/>
    <col min="8721" max="8721" width="15.85546875" customWidth="1"/>
    <col min="8722" max="8722" width="17.5703125" customWidth="1"/>
    <col min="8723" max="8725" width="13.85546875" customWidth="1"/>
    <col min="8961" max="8961" width="7.140625" customWidth="1"/>
    <col min="8962" max="8962" width="37.5703125" customWidth="1"/>
    <col min="8963" max="8963" width="7.42578125" customWidth="1"/>
    <col min="8964" max="8964" width="13.85546875" customWidth="1"/>
    <col min="8965" max="8965" width="16.5703125" customWidth="1"/>
    <col min="8966" max="8966" width="13.85546875" customWidth="1"/>
    <col min="8967" max="8967" width="16.85546875" customWidth="1"/>
    <col min="8968" max="8968" width="16.140625" customWidth="1"/>
    <col min="8969" max="8969" width="16.28515625" bestFit="1" customWidth="1"/>
    <col min="8970" max="8970" width="13.85546875" customWidth="1"/>
    <col min="8971" max="8971" width="16.28515625" bestFit="1" customWidth="1"/>
    <col min="8972" max="8972" width="17.42578125" customWidth="1"/>
    <col min="8973" max="8973" width="16.28515625" customWidth="1"/>
    <col min="8974" max="8974" width="17.28515625" customWidth="1"/>
    <col min="8975" max="8975" width="15.85546875" customWidth="1"/>
    <col min="8976" max="8976" width="14.85546875" customWidth="1"/>
    <col min="8977" max="8977" width="15.85546875" customWidth="1"/>
    <col min="8978" max="8978" width="17.5703125" customWidth="1"/>
    <col min="8979" max="8981" width="13.85546875" customWidth="1"/>
    <col min="9217" max="9217" width="7.140625" customWidth="1"/>
    <col min="9218" max="9218" width="37.5703125" customWidth="1"/>
    <col min="9219" max="9219" width="7.42578125" customWidth="1"/>
    <col min="9220" max="9220" width="13.85546875" customWidth="1"/>
    <col min="9221" max="9221" width="16.5703125" customWidth="1"/>
    <col min="9222" max="9222" width="13.85546875" customWidth="1"/>
    <col min="9223" max="9223" width="16.85546875" customWidth="1"/>
    <col min="9224" max="9224" width="16.140625" customWidth="1"/>
    <col min="9225" max="9225" width="16.28515625" bestFit="1" customWidth="1"/>
    <col min="9226" max="9226" width="13.85546875" customWidth="1"/>
    <col min="9227" max="9227" width="16.28515625" bestFit="1" customWidth="1"/>
    <col min="9228" max="9228" width="17.42578125" customWidth="1"/>
    <col min="9229" max="9229" width="16.28515625" customWidth="1"/>
    <col min="9230" max="9230" width="17.28515625" customWidth="1"/>
    <col min="9231" max="9231" width="15.85546875" customWidth="1"/>
    <col min="9232" max="9232" width="14.85546875" customWidth="1"/>
    <col min="9233" max="9233" width="15.85546875" customWidth="1"/>
    <col min="9234" max="9234" width="17.5703125" customWidth="1"/>
    <col min="9235" max="9237" width="13.85546875" customWidth="1"/>
    <col min="9473" max="9473" width="7.140625" customWidth="1"/>
    <col min="9474" max="9474" width="37.5703125" customWidth="1"/>
    <col min="9475" max="9475" width="7.42578125" customWidth="1"/>
    <col min="9476" max="9476" width="13.85546875" customWidth="1"/>
    <col min="9477" max="9477" width="16.5703125" customWidth="1"/>
    <col min="9478" max="9478" width="13.85546875" customWidth="1"/>
    <col min="9479" max="9479" width="16.85546875" customWidth="1"/>
    <col min="9480" max="9480" width="16.140625" customWidth="1"/>
    <col min="9481" max="9481" width="16.28515625" bestFit="1" customWidth="1"/>
    <col min="9482" max="9482" width="13.85546875" customWidth="1"/>
    <col min="9483" max="9483" width="16.28515625" bestFit="1" customWidth="1"/>
    <col min="9484" max="9484" width="17.42578125" customWidth="1"/>
    <col min="9485" max="9485" width="16.28515625" customWidth="1"/>
    <col min="9486" max="9486" width="17.28515625" customWidth="1"/>
    <col min="9487" max="9487" width="15.85546875" customWidth="1"/>
    <col min="9488" max="9488" width="14.85546875" customWidth="1"/>
    <col min="9489" max="9489" width="15.85546875" customWidth="1"/>
    <col min="9490" max="9490" width="17.5703125" customWidth="1"/>
    <col min="9491" max="9493" width="13.85546875" customWidth="1"/>
    <col min="9729" max="9729" width="7.140625" customWidth="1"/>
    <col min="9730" max="9730" width="37.5703125" customWidth="1"/>
    <col min="9731" max="9731" width="7.42578125" customWidth="1"/>
    <col min="9732" max="9732" width="13.85546875" customWidth="1"/>
    <col min="9733" max="9733" width="16.5703125" customWidth="1"/>
    <col min="9734" max="9734" width="13.85546875" customWidth="1"/>
    <col min="9735" max="9735" width="16.85546875" customWidth="1"/>
    <col min="9736" max="9736" width="16.140625" customWidth="1"/>
    <col min="9737" max="9737" width="16.28515625" bestFit="1" customWidth="1"/>
    <col min="9738" max="9738" width="13.85546875" customWidth="1"/>
    <col min="9739" max="9739" width="16.28515625" bestFit="1" customWidth="1"/>
    <col min="9740" max="9740" width="17.42578125" customWidth="1"/>
    <col min="9741" max="9741" width="16.28515625" customWidth="1"/>
    <col min="9742" max="9742" width="17.28515625" customWidth="1"/>
    <col min="9743" max="9743" width="15.85546875" customWidth="1"/>
    <col min="9744" max="9744" width="14.85546875" customWidth="1"/>
    <col min="9745" max="9745" width="15.85546875" customWidth="1"/>
    <col min="9746" max="9746" width="17.5703125" customWidth="1"/>
    <col min="9747" max="9749" width="13.85546875" customWidth="1"/>
    <col min="9985" max="9985" width="7.140625" customWidth="1"/>
    <col min="9986" max="9986" width="37.5703125" customWidth="1"/>
    <col min="9987" max="9987" width="7.42578125" customWidth="1"/>
    <col min="9988" max="9988" width="13.85546875" customWidth="1"/>
    <col min="9989" max="9989" width="16.5703125" customWidth="1"/>
    <col min="9990" max="9990" width="13.85546875" customWidth="1"/>
    <col min="9991" max="9991" width="16.85546875" customWidth="1"/>
    <col min="9992" max="9992" width="16.140625" customWidth="1"/>
    <col min="9993" max="9993" width="16.28515625" bestFit="1" customWidth="1"/>
    <col min="9994" max="9994" width="13.85546875" customWidth="1"/>
    <col min="9995" max="9995" width="16.28515625" bestFit="1" customWidth="1"/>
    <col min="9996" max="9996" width="17.42578125" customWidth="1"/>
    <col min="9997" max="9997" width="16.28515625" customWidth="1"/>
    <col min="9998" max="9998" width="17.28515625" customWidth="1"/>
    <col min="9999" max="9999" width="15.85546875" customWidth="1"/>
    <col min="10000" max="10000" width="14.85546875" customWidth="1"/>
    <col min="10001" max="10001" width="15.85546875" customWidth="1"/>
    <col min="10002" max="10002" width="17.5703125" customWidth="1"/>
    <col min="10003" max="10005" width="13.85546875" customWidth="1"/>
    <col min="10241" max="10241" width="7.140625" customWidth="1"/>
    <col min="10242" max="10242" width="37.5703125" customWidth="1"/>
    <col min="10243" max="10243" width="7.42578125" customWidth="1"/>
    <col min="10244" max="10244" width="13.85546875" customWidth="1"/>
    <col min="10245" max="10245" width="16.5703125" customWidth="1"/>
    <col min="10246" max="10246" width="13.85546875" customWidth="1"/>
    <col min="10247" max="10247" width="16.85546875" customWidth="1"/>
    <col min="10248" max="10248" width="16.140625" customWidth="1"/>
    <col min="10249" max="10249" width="16.28515625" bestFit="1" customWidth="1"/>
    <col min="10250" max="10250" width="13.85546875" customWidth="1"/>
    <col min="10251" max="10251" width="16.28515625" bestFit="1" customWidth="1"/>
    <col min="10252" max="10252" width="17.42578125" customWidth="1"/>
    <col min="10253" max="10253" width="16.28515625" customWidth="1"/>
    <col min="10254" max="10254" width="17.28515625" customWidth="1"/>
    <col min="10255" max="10255" width="15.85546875" customWidth="1"/>
    <col min="10256" max="10256" width="14.85546875" customWidth="1"/>
    <col min="10257" max="10257" width="15.85546875" customWidth="1"/>
    <col min="10258" max="10258" width="17.5703125" customWidth="1"/>
    <col min="10259" max="10261" width="13.85546875" customWidth="1"/>
    <col min="10497" max="10497" width="7.140625" customWidth="1"/>
    <col min="10498" max="10498" width="37.5703125" customWidth="1"/>
    <col min="10499" max="10499" width="7.42578125" customWidth="1"/>
    <col min="10500" max="10500" width="13.85546875" customWidth="1"/>
    <col min="10501" max="10501" width="16.5703125" customWidth="1"/>
    <col min="10502" max="10502" width="13.85546875" customWidth="1"/>
    <col min="10503" max="10503" width="16.85546875" customWidth="1"/>
    <col min="10504" max="10504" width="16.140625" customWidth="1"/>
    <col min="10505" max="10505" width="16.28515625" bestFit="1" customWidth="1"/>
    <col min="10506" max="10506" width="13.85546875" customWidth="1"/>
    <col min="10507" max="10507" width="16.28515625" bestFit="1" customWidth="1"/>
    <col min="10508" max="10508" width="17.42578125" customWidth="1"/>
    <col min="10509" max="10509" width="16.28515625" customWidth="1"/>
    <col min="10510" max="10510" width="17.28515625" customWidth="1"/>
    <col min="10511" max="10511" width="15.85546875" customWidth="1"/>
    <col min="10512" max="10512" width="14.85546875" customWidth="1"/>
    <col min="10513" max="10513" width="15.85546875" customWidth="1"/>
    <col min="10514" max="10514" width="17.5703125" customWidth="1"/>
    <col min="10515" max="10517" width="13.85546875" customWidth="1"/>
    <col min="10753" max="10753" width="7.140625" customWidth="1"/>
    <col min="10754" max="10754" width="37.5703125" customWidth="1"/>
    <col min="10755" max="10755" width="7.42578125" customWidth="1"/>
    <col min="10756" max="10756" width="13.85546875" customWidth="1"/>
    <col min="10757" max="10757" width="16.5703125" customWidth="1"/>
    <col min="10758" max="10758" width="13.85546875" customWidth="1"/>
    <col min="10759" max="10759" width="16.85546875" customWidth="1"/>
    <col min="10760" max="10760" width="16.140625" customWidth="1"/>
    <col min="10761" max="10761" width="16.28515625" bestFit="1" customWidth="1"/>
    <col min="10762" max="10762" width="13.85546875" customWidth="1"/>
    <col min="10763" max="10763" width="16.28515625" bestFit="1" customWidth="1"/>
    <col min="10764" max="10764" width="17.42578125" customWidth="1"/>
    <col min="10765" max="10765" width="16.28515625" customWidth="1"/>
    <col min="10766" max="10766" width="17.28515625" customWidth="1"/>
    <col min="10767" max="10767" width="15.85546875" customWidth="1"/>
    <col min="10768" max="10768" width="14.85546875" customWidth="1"/>
    <col min="10769" max="10769" width="15.85546875" customWidth="1"/>
    <col min="10770" max="10770" width="17.5703125" customWidth="1"/>
    <col min="10771" max="10773" width="13.85546875" customWidth="1"/>
    <col min="11009" max="11009" width="7.140625" customWidth="1"/>
    <col min="11010" max="11010" width="37.5703125" customWidth="1"/>
    <col min="11011" max="11011" width="7.42578125" customWidth="1"/>
    <col min="11012" max="11012" width="13.85546875" customWidth="1"/>
    <col min="11013" max="11013" width="16.5703125" customWidth="1"/>
    <col min="11014" max="11014" width="13.85546875" customWidth="1"/>
    <col min="11015" max="11015" width="16.85546875" customWidth="1"/>
    <col min="11016" max="11016" width="16.140625" customWidth="1"/>
    <col min="11017" max="11017" width="16.28515625" bestFit="1" customWidth="1"/>
    <col min="11018" max="11018" width="13.85546875" customWidth="1"/>
    <col min="11019" max="11019" width="16.28515625" bestFit="1" customWidth="1"/>
    <col min="11020" max="11020" width="17.42578125" customWidth="1"/>
    <col min="11021" max="11021" width="16.28515625" customWidth="1"/>
    <col min="11022" max="11022" width="17.28515625" customWidth="1"/>
    <col min="11023" max="11023" width="15.85546875" customWidth="1"/>
    <col min="11024" max="11024" width="14.85546875" customWidth="1"/>
    <col min="11025" max="11025" width="15.85546875" customWidth="1"/>
    <col min="11026" max="11026" width="17.5703125" customWidth="1"/>
    <col min="11027" max="11029" width="13.85546875" customWidth="1"/>
    <col min="11265" max="11265" width="7.140625" customWidth="1"/>
    <col min="11266" max="11266" width="37.5703125" customWidth="1"/>
    <col min="11267" max="11267" width="7.42578125" customWidth="1"/>
    <col min="11268" max="11268" width="13.85546875" customWidth="1"/>
    <col min="11269" max="11269" width="16.5703125" customWidth="1"/>
    <col min="11270" max="11270" width="13.85546875" customWidth="1"/>
    <col min="11271" max="11271" width="16.85546875" customWidth="1"/>
    <col min="11272" max="11272" width="16.140625" customWidth="1"/>
    <col min="11273" max="11273" width="16.28515625" bestFit="1" customWidth="1"/>
    <col min="11274" max="11274" width="13.85546875" customWidth="1"/>
    <col min="11275" max="11275" width="16.28515625" bestFit="1" customWidth="1"/>
    <col min="11276" max="11276" width="17.42578125" customWidth="1"/>
    <col min="11277" max="11277" width="16.28515625" customWidth="1"/>
    <col min="11278" max="11278" width="17.28515625" customWidth="1"/>
    <col min="11279" max="11279" width="15.85546875" customWidth="1"/>
    <col min="11280" max="11280" width="14.85546875" customWidth="1"/>
    <col min="11281" max="11281" width="15.85546875" customWidth="1"/>
    <col min="11282" max="11282" width="17.5703125" customWidth="1"/>
    <col min="11283" max="11285" width="13.85546875" customWidth="1"/>
    <col min="11521" max="11521" width="7.140625" customWidth="1"/>
    <col min="11522" max="11522" width="37.5703125" customWidth="1"/>
    <col min="11523" max="11523" width="7.42578125" customWidth="1"/>
    <col min="11524" max="11524" width="13.85546875" customWidth="1"/>
    <col min="11525" max="11525" width="16.5703125" customWidth="1"/>
    <col min="11526" max="11526" width="13.85546875" customWidth="1"/>
    <col min="11527" max="11527" width="16.85546875" customWidth="1"/>
    <col min="11528" max="11528" width="16.140625" customWidth="1"/>
    <col min="11529" max="11529" width="16.28515625" bestFit="1" customWidth="1"/>
    <col min="11530" max="11530" width="13.85546875" customWidth="1"/>
    <col min="11531" max="11531" width="16.28515625" bestFit="1" customWidth="1"/>
    <col min="11532" max="11532" width="17.42578125" customWidth="1"/>
    <col min="11533" max="11533" width="16.28515625" customWidth="1"/>
    <col min="11534" max="11534" width="17.28515625" customWidth="1"/>
    <col min="11535" max="11535" width="15.85546875" customWidth="1"/>
    <col min="11536" max="11536" width="14.85546875" customWidth="1"/>
    <col min="11537" max="11537" width="15.85546875" customWidth="1"/>
    <col min="11538" max="11538" width="17.5703125" customWidth="1"/>
    <col min="11539" max="11541" width="13.85546875" customWidth="1"/>
    <col min="11777" max="11777" width="7.140625" customWidth="1"/>
    <col min="11778" max="11778" width="37.5703125" customWidth="1"/>
    <col min="11779" max="11779" width="7.42578125" customWidth="1"/>
    <col min="11780" max="11780" width="13.85546875" customWidth="1"/>
    <col min="11781" max="11781" width="16.5703125" customWidth="1"/>
    <col min="11782" max="11782" width="13.85546875" customWidth="1"/>
    <col min="11783" max="11783" width="16.85546875" customWidth="1"/>
    <col min="11784" max="11784" width="16.140625" customWidth="1"/>
    <col min="11785" max="11785" width="16.28515625" bestFit="1" customWidth="1"/>
    <col min="11786" max="11786" width="13.85546875" customWidth="1"/>
    <col min="11787" max="11787" width="16.28515625" bestFit="1" customWidth="1"/>
    <col min="11788" max="11788" width="17.42578125" customWidth="1"/>
    <col min="11789" max="11789" width="16.28515625" customWidth="1"/>
    <col min="11790" max="11790" width="17.28515625" customWidth="1"/>
    <col min="11791" max="11791" width="15.85546875" customWidth="1"/>
    <col min="11792" max="11792" width="14.85546875" customWidth="1"/>
    <col min="11793" max="11793" width="15.85546875" customWidth="1"/>
    <col min="11794" max="11794" width="17.5703125" customWidth="1"/>
    <col min="11795" max="11797" width="13.85546875" customWidth="1"/>
    <col min="12033" max="12033" width="7.140625" customWidth="1"/>
    <col min="12034" max="12034" width="37.5703125" customWidth="1"/>
    <col min="12035" max="12035" width="7.42578125" customWidth="1"/>
    <col min="12036" max="12036" width="13.85546875" customWidth="1"/>
    <col min="12037" max="12037" width="16.5703125" customWidth="1"/>
    <col min="12038" max="12038" width="13.85546875" customWidth="1"/>
    <col min="12039" max="12039" width="16.85546875" customWidth="1"/>
    <col min="12040" max="12040" width="16.140625" customWidth="1"/>
    <col min="12041" max="12041" width="16.28515625" bestFit="1" customWidth="1"/>
    <col min="12042" max="12042" width="13.85546875" customWidth="1"/>
    <col min="12043" max="12043" width="16.28515625" bestFit="1" customWidth="1"/>
    <col min="12044" max="12044" width="17.42578125" customWidth="1"/>
    <col min="12045" max="12045" width="16.28515625" customWidth="1"/>
    <col min="12046" max="12046" width="17.28515625" customWidth="1"/>
    <col min="12047" max="12047" width="15.85546875" customWidth="1"/>
    <col min="12048" max="12048" width="14.85546875" customWidth="1"/>
    <col min="12049" max="12049" width="15.85546875" customWidth="1"/>
    <col min="12050" max="12050" width="17.5703125" customWidth="1"/>
    <col min="12051" max="12053" width="13.85546875" customWidth="1"/>
    <col min="12289" max="12289" width="7.140625" customWidth="1"/>
    <col min="12290" max="12290" width="37.5703125" customWidth="1"/>
    <col min="12291" max="12291" width="7.42578125" customWidth="1"/>
    <col min="12292" max="12292" width="13.85546875" customWidth="1"/>
    <col min="12293" max="12293" width="16.5703125" customWidth="1"/>
    <col min="12294" max="12294" width="13.85546875" customWidth="1"/>
    <col min="12295" max="12295" width="16.85546875" customWidth="1"/>
    <col min="12296" max="12296" width="16.140625" customWidth="1"/>
    <col min="12297" max="12297" width="16.28515625" bestFit="1" customWidth="1"/>
    <col min="12298" max="12298" width="13.85546875" customWidth="1"/>
    <col min="12299" max="12299" width="16.28515625" bestFit="1" customWidth="1"/>
    <col min="12300" max="12300" width="17.42578125" customWidth="1"/>
    <col min="12301" max="12301" width="16.28515625" customWidth="1"/>
    <col min="12302" max="12302" width="17.28515625" customWidth="1"/>
    <col min="12303" max="12303" width="15.85546875" customWidth="1"/>
    <col min="12304" max="12304" width="14.85546875" customWidth="1"/>
    <col min="12305" max="12305" width="15.85546875" customWidth="1"/>
    <col min="12306" max="12306" width="17.5703125" customWidth="1"/>
    <col min="12307" max="12309" width="13.85546875" customWidth="1"/>
    <col min="12545" max="12545" width="7.140625" customWidth="1"/>
    <col min="12546" max="12546" width="37.5703125" customWidth="1"/>
    <col min="12547" max="12547" width="7.42578125" customWidth="1"/>
    <col min="12548" max="12548" width="13.85546875" customWidth="1"/>
    <col min="12549" max="12549" width="16.5703125" customWidth="1"/>
    <col min="12550" max="12550" width="13.85546875" customWidth="1"/>
    <col min="12551" max="12551" width="16.85546875" customWidth="1"/>
    <col min="12552" max="12552" width="16.140625" customWidth="1"/>
    <col min="12553" max="12553" width="16.28515625" bestFit="1" customWidth="1"/>
    <col min="12554" max="12554" width="13.85546875" customWidth="1"/>
    <col min="12555" max="12555" width="16.28515625" bestFit="1" customWidth="1"/>
    <col min="12556" max="12556" width="17.42578125" customWidth="1"/>
    <col min="12557" max="12557" width="16.28515625" customWidth="1"/>
    <col min="12558" max="12558" width="17.28515625" customWidth="1"/>
    <col min="12559" max="12559" width="15.85546875" customWidth="1"/>
    <col min="12560" max="12560" width="14.85546875" customWidth="1"/>
    <col min="12561" max="12561" width="15.85546875" customWidth="1"/>
    <col min="12562" max="12562" width="17.5703125" customWidth="1"/>
    <col min="12563" max="12565" width="13.85546875" customWidth="1"/>
    <col min="12801" max="12801" width="7.140625" customWidth="1"/>
    <col min="12802" max="12802" width="37.5703125" customWidth="1"/>
    <col min="12803" max="12803" width="7.42578125" customWidth="1"/>
    <col min="12804" max="12804" width="13.85546875" customWidth="1"/>
    <col min="12805" max="12805" width="16.5703125" customWidth="1"/>
    <col min="12806" max="12806" width="13.85546875" customWidth="1"/>
    <col min="12807" max="12807" width="16.85546875" customWidth="1"/>
    <col min="12808" max="12808" width="16.140625" customWidth="1"/>
    <col min="12809" max="12809" width="16.28515625" bestFit="1" customWidth="1"/>
    <col min="12810" max="12810" width="13.85546875" customWidth="1"/>
    <col min="12811" max="12811" width="16.28515625" bestFit="1" customWidth="1"/>
    <col min="12812" max="12812" width="17.42578125" customWidth="1"/>
    <col min="12813" max="12813" width="16.28515625" customWidth="1"/>
    <col min="12814" max="12814" width="17.28515625" customWidth="1"/>
    <col min="12815" max="12815" width="15.85546875" customWidth="1"/>
    <col min="12816" max="12816" width="14.85546875" customWidth="1"/>
    <col min="12817" max="12817" width="15.85546875" customWidth="1"/>
    <col min="12818" max="12818" width="17.5703125" customWidth="1"/>
    <col min="12819" max="12821" width="13.85546875" customWidth="1"/>
    <col min="13057" max="13057" width="7.140625" customWidth="1"/>
    <col min="13058" max="13058" width="37.5703125" customWidth="1"/>
    <col min="13059" max="13059" width="7.42578125" customWidth="1"/>
    <col min="13060" max="13060" width="13.85546875" customWidth="1"/>
    <col min="13061" max="13061" width="16.5703125" customWidth="1"/>
    <col min="13062" max="13062" width="13.85546875" customWidth="1"/>
    <col min="13063" max="13063" width="16.85546875" customWidth="1"/>
    <col min="13064" max="13064" width="16.140625" customWidth="1"/>
    <col min="13065" max="13065" width="16.28515625" bestFit="1" customWidth="1"/>
    <col min="13066" max="13066" width="13.85546875" customWidth="1"/>
    <col min="13067" max="13067" width="16.28515625" bestFit="1" customWidth="1"/>
    <col min="13068" max="13068" width="17.42578125" customWidth="1"/>
    <col min="13069" max="13069" width="16.28515625" customWidth="1"/>
    <col min="13070" max="13070" width="17.28515625" customWidth="1"/>
    <col min="13071" max="13071" width="15.85546875" customWidth="1"/>
    <col min="13072" max="13072" width="14.85546875" customWidth="1"/>
    <col min="13073" max="13073" width="15.85546875" customWidth="1"/>
    <col min="13074" max="13074" width="17.5703125" customWidth="1"/>
    <col min="13075" max="13077" width="13.85546875" customWidth="1"/>
    <col min="13313" max="13313" width="7.140625" customWidth="1"/>
    <col min="13314" max="13314" width="37.5703125" customWidth="1"/>
    <col min="13315" max="13315" width="7.42578125" customWidth="1"/>
    <col min="13316" max="13316" width="13.85546875" customWidth="1"/>
    <col min="13317" max="13317" width="16.5703125" customWidth="1"/>
    <col min="13318" max="13318" width="13.85546875" customWidth="1"/>
    <col min="13319" max="13319" width="16.85546875" customWidth="1"/>
    <col min="13320" max="13320" width="16.140625" customWidth="1"/>
    <col min="13321" max="13321" width="16.28515625" bestFit="1" customWidth="1"/>
    <col min="13322" max="13322" width="13.85546875" customWidth="1"/>
    <col min="13323" max="13323" width="16.28515625" bestFit="1" customWidth="1"/>
    <col min="13324" max="13324" width="17.42578125" customWidth="1"/>
    <col min="13325" max="13325" width="16.28515625" customWidth="1"/>
    <col min="13326" max="13326" width="17.28515625" customWidth="1"/>
    <col min="13327" max="13327" width="15.85546875" customWidth="1"/>
    <col min="13328" max="13328" width="14.85546875" customWidth="1"/>
    <col min="13329" max="13329" width="15.85546875" customWidth="1"/>
    <col min="13330" max="13330" width="17.5703125" customWidth="1"/>
    <col min="13331" max="13333" width="13.85546875" customWidth="1"/>
    <col min="13569" max="13569" width="7.140625" customWidth="1"/>
    <col min="13570" max="13570" width="37.5703125" customWidth="1"/>
    <col min="13571" max="13571" width="7.42578125" customWidth="1"/>
    <col min="13572" max="13572" width="13.85546875" customWidth="1"/>
    <col min="13573" max="13573" width="16.5703125" customWidth="1"/>
    <col min="13574" max="13574" width="13.85546875" customWidth="1"/>
    <col min="13575" max="13575" width="16.85546875" customWidth="1"/>
    <col min="13576" max="13576" width="16.140625" customWidth="1"/>
    <col min="13577" max="13577" width="16.28515625" bestFit="1" customWidth="1"/>
    <col min="13578" max="13578" width="13.85546875" customWidth="1"/>
    <col min="13579" max="13579" width="16.28515625" bestFit="1" customWidth="1"/>
    <col min="13580" max="13580" width="17.42578125" customWidth="1"/>
    <col min="13581" max="13581" width="16.28515625" customWidth="1"/>
    <col min="13582" max="13582" width="17.28515625" customWidth="1"/>
    <col min="13583" max="13583" width="15.85546875" customWidth="1"/>
    <col min="13584" max="13584" width="14.85546875" customWidth="1"/>
    <col min="13585" max="13585" width="15.85546875" customWidth="1"/>
    <col min="13586" max="13586" width="17.5703125" customWidth="1"/>
    <col min="13587" max="13589" width="13.85546875" customWidth="1"/>
    <col min="13825" max="13825" width="7.140625" customWidth="1"/>
    <col min="13826" max="13826" width="37.5703125" customWidth="1"/>
    <col min="13827" max="13827" width="7.42578125" customWidth="1"/>
    <col min="13828" max="13828" width="13.85546875" customWidth="1"/>
    <col min="13829" max="13829" width="16.5703125" customWidth="1"/>
    <col min="13830" max="13830" width="13.85546875" customWidth="1"/>
    <col min="13831" max="13831" width="16.85546875" customWidth="1"/>
    <col min="13832" max="13832" width="16.140625" customWidth="1"/>
    <col min="13833" max="13833" width="16.28515625" bestFit="1" customWidth="1"/>
    <col min="13834" max="13834" width="13.85546875" customWidth="1"/>
    <col min="13835" max="13835" width="16.28515625" bestFit="1" customWidth="1"/>
    <col min="13836" max="13836" width="17.42578125" customWidth="1"/>
    <col min="13837" max="13837" width="16.28515625" customWidth="1"/>
    <col min="13838" max="13838" width="17.28515625" customWidth="1"/>
    <col min="13839" max="13839" width="15.85546875" customWidth="1"/>
    <col min="13840" max="13840" width="14.85546875" customWidth="1"/>
    <col min="13841" max="13841" width="15.85546875" customWidth="1"/>
    <col min="13842" max="13842" width="17.5703125" customWidth="1"/>
    <col min="13843" max="13845" width="13.85546875" customWidth="1"/>
    <col min="14081" max="14081" width="7.140625" customWidth="1"/>
    <col min="14082" max="14082" width="37.5703125" customWidth="1"/>
    <col min="14083" max="14083" width="7.42578125" customWidth="1"/>
    <col min="14084" max="14084" width="13.85546875" customWidth="1"/>
    <col min="14085" max="14085" width="16.5703125" customWidth="1"/>
    <col min="14086" max="14086" width="13.85546875" customWidth="1"/>
    <col min="14087" max="14087" width="16.85546875" customWidth="1"/>
    <col min="14088" max="14088" width="16.140625" customWidth="1"/>
    <col min="14089" max="14089" width="16.28515625" bestFit="1" customWidth="1"/>
    <col min="14090" max="14090" width="13.85546875" customWidth="1"/>
    <col min="14091" max="14091" width="16.28515625" bestFit="1" customWidth="1"/>
    <col min="14092" max="14092" width="17.42578125" customWidth="1"/>
    <col min="14093" max="14093" width="16.28515625" customWidth="1"/>
    <col min="14094" max="14094" width="17.28515625" customWidth="1"/>
    <col min="14095" max="14095" width="15.85546875" customWidth="1"/>
    <col min="14096" max="14096" width="14.85546875" customWidth="1"/>
    <col min="14097" max="14097" width="15.85546875" customWidth="1"/>
    <col min="14098" max="14098" width="17.5703125" customWidth="1"/>
    <col min="14099" max="14101" width="13.85546875" customWidth="1"/>
    <col min="14337" max="14337" width="7.140625" customWidth="1"/>
    <col min="14338" max="14338" width="37.5703125" customWidth="1"/>
    <col min="14339" max="14339" width="7.42578125" customWidth="1"/>
    <col min="14340" max="14340" width="13.85546875" customWidth="1"/>
    <col min="14341" max="14341" width="16.5703125" customWidth="1"/>
    <col min="14342" max="14342" width="13.85546875" customWidth="1"/>
    <col min="14343" max="14343" width="16.85546875" customWidth="1"/>
    <col min="14344" max="14344" width="16.140625" customWidth="1"/>
    <col min="14345" max="14345" width="16.28515625" bestFit="1" customWidth="1"/>
    <col min="14346" max="14346" width="13.85546875" customWidth="1"/>
    <col min="14347" max="14347" width="16.28515625" bestFit="1" customWidth="1"/>
    <col min="14348" max="14348" width="17.42578125" customWidth="1"/>
    <col min="14349" max="14349" width="16.28515625" customWidth="1"/>
    <col min="14350" max="14350" width="17.28515625" customWidth="1"/>
    <col min="14351" max="14351" width="15.85546875" customWidth="1"/>
    <col min="14352" max="14352" width="14.85546875" customWidth="1"/>
    <col min="14353" max="14353" width="15.85546875" customWidth="1"/>
    <col min="14354" max="14354" width="17.5703125" customWidth="1"/>
    <col min="14355" max="14357" width="13.85546875" customWidth="1"/>
    <col min="14593" max="14593" width="7.140625" customWidth="1"/>
    <col min="14594" max="14594" width="37.5703125" customWidth="1"/>
    <col min="14595" max="14595" width="7.42578125" customWidth="1"/>
    <col min="14596" max="14596" width="13.85546875" customWidth="1"/>
    <col min="14597" max="14597" width="16.5703125" customWidth="1"/>
    <col min="14598" max="14598" width="13.85546875" customWidth="1"/>
    <col min="14599" max="14599" width="16.85546875" customWidth="1"/>
    <col min="14600" max="14600" width="16.140625" customWidth="1"/>
    <col min="14601" max="14601" width="16.28515625" bestFit="1" customWidth="1"/>
    <col min="14602" max="14602" width="13.85546875" customWidth="1"/>
    <col min="14603" max="14603" width="16.28515625" bestFit="1" customWidth="1"/>
    <col min="14604" max="14604" width="17.42578125" customWidth="1"/>
    <col min="14605" max="14605" width="16.28515625" customWidth="1"/>
    <col min="14606" max="14606" width="17.28515625" customWidth="1"/>
    <col min="14607" max="14607" width="15.85546875" customWidth="1"/>
    <col min="14608" max="14608" width="14.85546875" customWidth="1"/>
    <col min="14609" max="14609" width="15.85546875" customWidth="1"/>
    <col min="14610" max="14610" width="17.5703125" customWidth="1"/>
    <col min="14611" max="14613" width="13.85546875" customWidth="1"/>
    <col min="14849" max="14849" width="7.140625" customWidth="1"/>
    <col min="14850" max="14850" width="37.5703125" customWidth="1"/>
    <col min="14851" max="14851" width="7.42578125" customWidth="1"/>
    <col min="14852" max="14852" width="13.85546875" customWidth="1"/>
    <col min="14853" max="14853" width="16.5703125" customWidth="1"/>
    <col min="14854" max="14854" width="13.85546875" customWidth="1"/>
    <col min="14855" max="14855" width="16.85546875" customWidth="1"/>
    <col min="14856" max="14856" width="16.140625" customWidth="1"/>
    <col min="14857" max="14857" width="16.28515625" bestFit="1" customWidth="1"/>
    <col min="14858" max="14858" width="13.85546875" customWidth="1"/>
    <col min="14859" max="14859" width="16.28515625" bestFit="1" customWidth="1"/>
    <col min="14860" max="14860" width="17.42578125" customWidth="1"/>
    <col min="14861" max="14861" width="16.28515625" customWidth="1"/>
    <col min="14862" max="14862" width="17.28515625" customWidth="1"/>
    <col min="14863" max="14863" width="15.85546875" customWidth="1"/>
    <col min="14864" max="14864" width="14.85546875" customWidth="1"/>
    <col min="14865" max="14865" width="15.85546875" customWidth="1"/>
    <col min="14866" max="14866" width="17.5703125" customWidth="1"/>
    <col min="14867" max="14869" width="13.85546875" customWidth="1"/>
    <col min="15105" max="15105" width="7.140625" customWidth="1"/>
    <col min="15106" max="15106" width="37.5703125" customWidth="1"/>
    <col min="15107" max="15107" width="7.42578125" customWidth="1"/>
    <col min="15108" max="15108" width="13.85546875" customWidth="1"/>
    <col min="15109" max="15109" width="16.5703125" customWidth="1"/>
    <col min="15110" max="15110" width="13.85546875" customWidth="1"/>
    <col min="15111" max="15111" width="16.85546875" customWidth="1"/>
    <col min="15112" max="15112" width="16.140625" customWidth="1"/>
    <col min="15113" max="15113" width="16.28515625" bestFit="1" customWidth="1"/>
    <col min="15114" max="15114" width="13.85546875" customWidth="1"/>
    <col min="15115" max="15115" width="16.28515625" bestFit="1" customWidth="1"/>
    <col min="15116" max="15116" width="17.42578125" customWidth="1"/>
    <col min="15117" max="15117" width="16.28515625" customWidth="1"/>
    <col min="15118" max="15118" width="17.28515625" customWidth="1"/>
    <col min="15119" max="15119" width="15.85546875" customWidth="1"/>
    <col min="15120" max="15120" width="14.85546875" customWidth="1"/>
    <col min="15121" max="15121" width="15.85546875" customWidth="1"/>
    <col min="15122" max="15122" width="17.5703125" customWidth="1"/>
    <col min="15123" max="15125" width="13.85546875" customWidth="1"/>
    <col min="15361" max="15361" width="7.140625" customWidth="1"/>
    <col min="15362" max="15362" width="37.5703125" customWidth="1"/>
    <col min="15363" max="15363" width="7.42578125" customWidth="1"/>
    <col min="15364" max="15364" width="13.85546875" customWidth="1"/>
    <col min="15365" max="15365" width="16.5703125" customWidth="1"/>
    <col min="15366" max="15366" width="13.85546875" customWidth="1"/>
    <col min="15367" max="15367" width="16.85546875" customWidth="1"/>
    <col min="15368" max="15368" width="16.140625" customWidth="1"/>
    <col min="15369" max="15369" width="16.28515625" bestFit="1" customWidth="1"/>
    <col min="15370" max="15370" width="13.85546875" customWidth="1"/>
    <col min="15371" max="15371" width="16.28515625" bestFit="1" customWidth="1"/>
    <col min="15372" max="15372" width="17.42578125" customWidth="1"/>
    <col min="15373" max="15373" width="16.28515625" customWidth="1"/>
    <col min="15374" max="15374" width="17.28515625" customWidth="1"/>
    <col min="15375" max="15375" width="15.85546875" customWidth="1"/>
    <col min="15376" max="15376" width="14.85546875" customWidth="1"/>
    <col min="15377" max="15377" width="15.85546875" customWidth="1"/>
    <col min="15378" max="15378" width="17.5703125" customWidth="1"/>
    <col min="15379" max="15381" width="13.85546875" customWidth="1"/>
    <col min="15617" max="15617" width="7.140625" customWidth="1"/>
    <col min="15618" max="15618" width="37.5703125" customWidth="1"/>
    <col min="15619" max="15619" width="7.42578125" customWidth="1"/>
    <col min="15620" max="15620" width="13.85546875" customWidth="1"/>
    <col min="15621" max="15621" width="16.5703125" customWidth="1"/>
    <col min="15622" max="15622" width="13.85546875" customWidth="1"/>
    <col min="15623" max="15623" width="16.85546875" customWidth="1"/>
    <col min="15624" max="15624" width="16.140625" customWidth="1"/>
    <col min="15625" max="15625" width="16.28515625" bestFit="1" customWidth="1"/>
    <col min="15626" max="15626" width="13.85546875" customWidth="1"/>
    <col min="15627" max="15627" width="16.28515625" bestFit="1" customWidth="1"/>
    <col min="15628" max="15628" width="17.42578125" customWidth="1"/>
    <col min="15629" max="15629" width="16.28515625" customWidth="1"/>
    <col min="15630" max="15630" width="17.28515625" customWidth="1"/>
    <col min="15631" max="15631" width="15.85546875" customWidth="1"/>
    <col min="15632" max="15632" width="14.85546875" customWidth="1"/>
    <col min="15633" max="15633" width="15.85546875" customWidth="1"/>
    <col min="15634" max="15634" width="17.5703125" customWidth="1"/>
    <col min="15635" max="15637" width="13.85546875" customWidth="1"/>
    <col min="15873" max="15873" width="7.140625" customWidth="1"/>
    <col min="15874" max="15874" width="37.5703125" customWidth="1"/>
    <col min="15875" max="15875" width="7.42578125" customWidth="1"/>
    <col min="15876" max="15876" width="13.85546875" customWidth="1"/>
    <col min="15877" max="15877" width="16.5703125" customWidth="1"/>
    <col min="15878" max="15878" width="13.85546875" customWidth="1"/>
    <col min="15879" max="15879" width="16.85546875" customWidth="1"/>
    <col min="15880" max="15880" width="16.140625" customWidth="1"/>
    <col min="15881" max="15881" width="16.28515625" bestFit="1" customWidth="1"/>
    <col min="15882" max="15882" width="13.85546875" customWidth="1"/>
    <col min="15883" max="15883" width="16.28515625" bestFit="1" customWidth="1"/>
    <col min="15884" max="15884" width="17.42578125" customWidth="1"/>
    <col min="15885" max="15885" width="16.28515625" customWidth="1"/>
    <col min="15886" max="15886" width="17.28515625" customWidth="1"/>
    <col min="15887" max="15887" width="15.85546875" customWidth="1"/>
    <col min="15888" max="15888" width="14.85546875" customWidth="1"/>
    <col min="15889" max="15889" width="15.85546875" customWidth="1"/>
    <col min="15890" max="15890" width="17.5703125" customWidth="1"/>
    <col min="15891" max="15893" width="13.85546875" customWidth="1"/>
    <col min="16129" max="16129" width="7.140625" customWidth="1"/>
    <col min="16130" max="16130" width="37.5703125" customWidth="1"/>
    <col min="16131" max="16131" width="7.42578125" customWidth="1"/>
    <col min="16132" max="16132" width="13.85546875" customWidth="1"/>
    <col min="16133" max="16133" width="16.5703125" customWidth="1"/>
    <col min="16134" max="16134" width="13.85546875" customWidth="1"/>
    <col min="16135" max="16135" width="16.85546875" customWidth="1"/>
    <col min="16136" max="16136" width="16.140625" customWidth="1"/>
    <col min="16137" max="16137" width="16.28515625" bestFit="1" customWidth="1"/>
    <col min="16138" max="16138" width="13.85546875" customWidth="1"/>
    <col min="16139" max="16139" width="16.28515625" bestFit="1" customWidth="1"/>
    <col min="16140" max="16140" width="17.42578125" customWidth="1"/>
    <col min="16141" max="16141" width="16.28515625" customWidth="1"/>
    <col min="16142" max="16142" width="17.28515625" customWidth="1"/>
    <col min="16143" max="16143" width="15.85546875" customWidth="1"/>
    <col min="16144" max="16144" width="14.85546875" customWidth="1"/>
    <col min="16145" max="16145" width="15.85546875" customWidth="1"/>
    <col min="16146" max="16146" width="17.5703125" customWidth="1"/>
    <col min="16147" max="16149" width="13.85546875" customWidth="1"/>
  </cols>
  <sheetData>
    <row r="1" spans="1:21" ht="27" thickBot="1">
      <c r="A1" s="6161" t="s">
        <v>2716</v>
      </c>
      <c r="B1" s="6162"/>
      <c r="C1" s="6162"/>
      <c r="D1" s="6162"/>
      <c r="E1" s="6162"/>
      <c r="F1" s="6162"/>
      <c r="G1" s="6162"/>
      <c r="H1" s="6162"/>
      <c r="I1" s="6162"/>
      <c r="J1" s="6162"/>
      <c r="K1" s="6162"/>
      <c r="L1" s="6162"/>
      <c r="M1" s="6162"/>
      <c r="N1" s="6162"/>
      <c r="O1" s="6162"/>
      <c r="P1" s="6162"/>
      <c r="Q1" s="6162"/>
      <c r="R1" s="6162"/>
      <c r="S1" s="6162"/>
      <c r="T1" s="6162"/>
      <c r="U1" s="6163"/>
    </row>
    <row r="2" spans="1:21" ht="21" thickBot="1">
      <c r="A2" s="6164" t="s">
        <v>856</v>
      </c>
      <c r="B2" s="6183" t="s">
        <v>857</v>
      </c>
      <c r="C2" s="3167"/>
      <c r="D2" s="3168" t="s">
        <v>858</v>
      </c>
      <c r="E2" s="6168" t="s">
        <v>859</v>
      </c>
      <c r="F2" s="6169"/>
      <c r="G2" s="6170" t="s">
        <v>860</v>
      </c>
      <c r="H2" s="6171"/>
      <c r="I2" s="6172"/>
      <c r="J2" s="6170" t="s">
        <v>861</v>
      </c>
      <c r="K2" s="6171"/>
      <c r="L2" s="6172"/>
      <c r="M2" s="6170" t="s">
        <v>862</v>
      </c>
      <c r="N2" s="6171"/>
      <c r="O2" s="6172"/>
      <c r="P2" s="6170" t="s">
        <v>863</v>
      </c>
      <c r="Q2" s="6171"/>
      <c r="R2" s="6172"/>
      <c r="S2" s="6173" t="s">
        <v>864</v>
      </c>
      <c r="T2" s="6174"/>
      <c r="U2" s="6175"/>
    </row>
    <row r="3" spans="1:21" ht="21" thickBot="1">
      <c r="A3" s="6165"/>
      <c r="B3" s="6184"/>
      <c r="C3" s="3169"/>
      <c r="D3" s="3168" t="s">
        <v>865</v>
      </c>
      <c r="E3" s="3170" t="s">
        <v>866</v>
      </c>
      <c r="F3" s="3171" t="s">
        <v>867</v>
      </c>
      <c r="G3" s="3172" t="s">
        <v>868</v>
      </c>
      <c r="H3" s="3172" t="s">
        <v>869</v>
      </c>
      <c r="I3" s="3173" t="s">
        <v>499</v>
      </c>
      <c r="J3" s="3172" t="s">
        <v>868</v>
      </c>
      <c r="K3" s="3172" t="s">
        <v>869</v>
      </c>
      <c r="L3" s="3172" t="s">
        <v>499</v>
      </c>
      <c r="M3" s="3172" t="s">
        <v>868</v>
      </c>
      <c r="N3" s="3172" t="s">
        <v>869</v>
      </c>
      <c r="O3" s="3174" t="s">
        <v>499</v>
      </c>
      <c r="P3" s="3172" t="s">
        <v>868</v>
      </c>
      <c r="Q3" s="3175" t="s">
        <v>869</v>
      </c>
      <c r="R3" s="3172" t="s">
        <v>499</v>
      </c>
      <c r="S3" s="3176" t="s">
        <v>868</v>
      </c>
      <c r="T3" s="3177" t="s">
        <v>869</v>
      </c>
      <c r="U3" s="3176" t="s">
        <v>499</v>
      </c>
    </row>
    <row r="4" spans="1:21" ht="21" thickBot="1">
      <c r="A4" s="3178" t="s">
        <v>870</v>
      </c>
      <c r="B4" s="3180" t="s">
        <v>871</v>
      </c>
      <c r="C4" s="3180"/>
      <c r="D4" s="3168"/>
      <c r="E4" s="3181"/>
      <c r="F4" s="3182"/>
      <c r="G4" s="3172"/>
      <c r="H4" s="3172"/>
      <c r="I4" s="3183"/>
      <c r="J4" s="3172"/>
      <c r="K4" s="3172"/>
      <c r="L4" s="3172"/>
      <c r="M4" s="3172"/>
      <c r="N4" s="3172"/>
      <c r="O4" s="3174"/>
      <c r="P4" s="3172"/>
      <c r="Q4" s="3175"/>
      <c r="R4" s="3172"/>
      <c r="S4" s="3184"/>
      <c r="T4" s="3185"/>
      <c r="U4" s="3184"/>
    </row>
    <row r="5" spans="1:21" ht="21" thickBot="1">
      <c r="A5" s="6180">
        <v>1</v>
      </c>
      <c r="B5" s="6183" t="s">
        <v>872</v>
      </c>
      <c r="C5" s="3186"/>
      <c r="D5" s="3187">
        <v>0.1075</v>
      </c>
      <c r="E5" s="3250" t="s">
        <v>873</v>
      </c>
      <c r="F5" s="3247" t="s">
        <v>874</v>
      </c>
      <c r="G5" s="3190">
        <v>0</v>
      </c>
      <c r="H5" s="3190">
        <v>815</v>
      </c>
      <c r="I5" s="3191">
        <v>815</v>
      </c>
      <c r="J5" s="3190">
        <v>0</v>
      </c>
      <c r="K5" s="3190">
        <v>0</v>
      </c>
      <c r="L5" s="3183">
        <v>0</v>
      </c>
      <c r="M5" s="3190">
        <v>0</v>
      </c>
      <c r="N5" s="3190">
        <v>815</v>
      </c>
      <c r="O5" s="3192">
        <v>815</v>
      </c>
      <c r="P5" s="3190">
        <v>0</v>
      </c>
      <c r="Q5" s="3190">
        <v>0</v>
      </c>
      <c r="R5" s="3183">
        <v>0</v>
      </c>
      <c r="S5" s="3190">
        <v>0</v>
      </c>
      <c r="T5" s="3190">
        <v>13.51</v>
      </c>
      <c r="U5" s="3298">
        <v>13.51</v>
      </c>
    </row>
    <row r="6" spans="1:21" ht="21" thickBot="1">
      <c r="A6" s="6181"/>
      <c r="B6" s="6185"/>
      <c r="C6" s="3186"/>
      <c r="D6" s="3187">
        <v>0.1075</v>
      </c>
      <c r="E6" s="3250" t="s">
        <v>875</v>
      </c>
      <c r="F6" s="3247" t="s">
        <v>876</v>
      </c>
      <c r="G6" s="3190">
        <v>0</v>
      </c>
      <c r="H6" s="3190">
        <v>1650</v>
      </c>
      <c r="I6" s="3191">
        <v>1650</v>
      </c>
      <c r="J6" s="3190">
        <v>0</v>
      </c>
      <c r="K6" s="3190">
        <v>0</v>
      </c>
      <c r="L6" s="3183">
        <v>0</v>
      </c>
      <c r="M6" s="3190">
        <v>0</v>
      </c>
      <c r="N6" s="3190">
        <v>1650</v>
      </c>
      <c r="O6" s="3192">
        <v>1650</v>
      </c>
      <c r="P6" s="3190">
        <v>0</v>
      </c>
      <c r="Q6" s="3190">
        <v>0</v>
      </c>
      <c r="R6" s="3183">
        <v>0</v>
      </c>
      <c r="S6" s="3190">
        <v>0</v>
      </c>
      <c r="T6" s="3190">
        <v>31.990000000000002</v>
      </c>
      <c r="U6" s="3298">
        <v>31.990000000000002</v>
      </c>
    </row>
    <row r="7" spans="1:21" ht="21" thickBot="1">
      <c r="A7" s="6181"/>
      <c r="B7" s="6185"/>
      <c r="C7" s="3186" t="s">
        <v>2705</v>
      </c>
      <c r="D7" s="3187">
        <v>0.1075</v>
      </c>
      <c r="E7" s="3250" t="s">
        <v>877</v>
      </c>
      <c r="F7" s="3247" t="s">
        <v>878</v>
      </c>
      <c r="G7" s="3190">
        <v>2485</v>
      </c>
      <c r="H7" s="3190">
        <v>0</v>
      </c>
      <c r="I7" s="3191">
        <v>2485</v>
      </c>
      <c r="J7" s="3190">
        <v>0</v>
      </c>
      <c r="K7" s="3190">
        <v>0</v>
      </c>
      <c r="L7" s="3183">
        <v>0</v>
      </c>
      <c r="M7" s="3190">
        <v>2485</v>
      </c>
      <c r="N7" s="3190">
        <v>0</v>
      </c>
      <c r="O7" s="3192">
        <v>2485</v>
      </c>
      <c r="P7" s="3190">
        <v>0</v>
      </c>
      <c r="Q7" s="3190">
        <v>0</v>
      </c>
      <c r="R7" s="3183">
        <v>0</v>
      </c>
      <c r="S7" s="3190">
        <v>52.7</v>
      </c>
      <c r="T7" s="3190">
        <v>0</v>
      </c>
      <c r="U7" s="3298">
        <v>52.7</v>
      </c>
    </row>
    <row r="8" spans="1:21" ht="21" thickBot="1">
      <c r="A8" s="6181"/>
      <c r="B8" s="6185"/>
      <c r="C8" s="3186" t="s">
        <v>2705</v>
      </c>
      <c r="D8" s="3187">
        <v>0.1075</v>
      </c>
      <c r="E8" s="3250" t="s">
        <v>879</v>
      </c>
      <c r="F8" s="3247" t="s">
        <v>880</v>
      </c>
      <c r="G8" s="3190">
        <v>2485</v>
      </c>
      <c r="H8" s="3190">
        <v>0</v>
      </c>
      <c r="I8" s="3191">
        <v>2485</v>
      </c>
      <c r="J8" s="3190">
        <v>0</v>
      </c>
      <c r="K8" s="3190">
        <v>0</v>
      </c>
      <c r="L8" s="3183">
        <v>0</v>
      </c>
      <c r="M8" s="3190">
        <v>2485</v>
      </c>
      <c r="N8" s="3190">
        <v>0</v>
      </c>
      <c r="O8" s="3192">
        <v>2485</v>
      </c>
      <c r="P8" s="3190">
        <v>0</v>
      </c>
      <c r="Q8" s="3190">
        <v>0</v>
      </c>
      <c r="R8" s="3183">
        <v>0</v>
      </c>
      <c r="S8" s="3190">
        <v>52.050000000000004</v>
      </c>
      <c r="T8" s="3190">
        <v>0</v>
      </c>
      <c r="U8" s="3298">
        <v>52.050000000000004</v>
      </c>
    </row>
    <row r="9" spans="1:21" ht="21" thickBot="1">
      <c r="A9" s="6181"/>
      <c r="B9" s="6185"/>
      <c r="C9" s="3186"/>
      <c r="D9" s="3187">
        <v>0.1075</v>
      </c>
      <c r="E9" s="3250" t="s">
        <v>881</v>
      </c>
      <c r="F9" s="3247" t="s">
        <v>882</v>
      </c>
      <c r="G9" s="3190">
        <v>0</v>
      </c>
      <c r="H9" s="3190">
        <v>3320</v>
      </c>
      <c r="I9" s="3191">
        <v>3320</v>
      </c>
      <c r="J9" s="3190">
        <v>0</v>
      </c>
      <c r="K9" s="3190">
        <v>0</v>
      </c>
      <c r="L9" s="3183">
        <v>0</v>
      </c>
      <c r="M9" s="3190">
        <v>0</v>
      </c>
      <c r="N9" s="3190">
        <v>3320</v>
      </c>
      <c r="O9" s="3192">
        <v>3320</v>
      </c>
      <c r="P9" s="3190">
        <v>0</v>
      </c>
      <c r="Q9" s="3190">
        <v>0</v>
      </c>
      <c r="R9" s="3183">
        <v>0</v>
      </c>
      <c r="S9" s="3190">
        <v>0.1</v>
      </c>
      <c r="T9" s="3190">
        <v>90.55</v>
      </c>
      <c r="U9" s="3298">
        <v>90.648679999999999</v>
      </c>
    </row>
    <row r="10" spans="1:21" ht="21" thickBot="1">
      <c r="A10" s="6181"/>
      <c r="B10" s="6185"/>
      <c r="C10" s="3186"/>
      <c r="D10" s="3187">
        <v>0.1075</v>
      </c>
      <c r="E10" s="3250" t="s">
        <v>883</v>
      </c>
      <c r="F10" s="3247" t="s">
        <v>884</v>
      </c>
      <c r="G10" s="3190">
        <v>0</v>
      </c>
      <c r="H10" s="3190">
        <v>3320</v>
      </c>
      <c r="I10" s="3191">
        <v>3320</v>
      </c>
      <c r="J10" s="3190">
        <v>0</v>
      </c>
      <c r="K10" s="3190">
        <v>0</v>
      </c>
      <c r="L10" s="3183">
        <v>0</v>
      </c>
      <c r="M10" s="3190">
        <v>0</v>
      </c>
      <c r="N10" s="3190">
        <v>3320</v>
      </c>
      <c r="O10" s="3192">
        <v>3320</v>
      </c>
      <c r="P10" s="3190">
        <v>0</v>
      </c>
      <c r="Q10" s="3190">
        <v>0</v>
      </c>
      <c r="R10" s="3183">
        <v>0</v>
      </c>
      <c r="S10" s="3190">
        <v>0</v>
      </c>
      <c r="T10" s="3190">
        <v>117.97575999999999</v>
      </c>
      <c r="U10" s="3298">
        <v>117.97575999999999</v>
      </c>
    </row>
    <row r="11" spans="1:21" ht="21" thickBot="1">
      <c r="A11" s="6181"/>
      <c r="B11" s="6185"/>
      <c r="C11" s="3186"/>
      <c r="D11" s="3187">
        <v>0.1075</v>
      </c>
      <c r="E11" s="3250" t="s">
        <v>885</v>
      </c>
      <c r="F11" s="3247" t="s">
        <v>886</v>
      </c>
      <c r="G11" s="3190">
        <v>0</v>
      </c>
      <c r="H11" s="3190">
        <v>4155</v>
      </c>
      <c r="I11" s="3191">
        <v>4155</v>
      </c>
      <c r="J11" s="3190">
        <v>0</v>
      </c>
      <c r="K11" s="3190">
        <v>0</v>
      </c>
      <c r="L11" s="3183">
        <v>0</v>
      </c>
      <c r="M11" s="3190">
        <v>0</v>
      </c>
      <c r="N11" s="3190">
        <v>4155</v>
      </c>
      <c r="O11" s="3192">
        <v>4155</v>
      </c>
      <c r="P11" s="3190">
        <v>0</v>
      </c>
      <c r="Q11" s="3190">
        <v>0</v>
      </c>
      <c r="R11" s="3183">
        <v>0</v>
      </c>
      <c r="S11" s="3190">
        <v>0</v>
      </c>
      <c r="T11" s="3190">
        <v>128.11215999999999</v>
      </c>
      <c r="U11" s="3298">
        <v>128.11215999999999</v>
      </c>
    </row>
    <row r="12" spans="1:21" ht="21" thickBot="1">
      <c r="A12" s="6181"/>
      <c r="B12" s="6185"/>
      <c r="C12" s="3186"/>
      <c r="D12" s="3187">
        <v>0.1075</v>
      </c>
      <c r="E12" s="3188" t="s">
        <v>887</v>
      </c>
      <c r="F12" s="3189" t="s">
        <v>888</v>
      </c>
      <c r="G12" s="3190">
        <v>0</v>
      </c>
      <c r="H12" s="3190">
        <v>4990</v>
      </c>
      <c r="I12" s="3191">
        <v>4990</v>
      </c>
      <c r="J12" s="3190">
        <v>0</v>
      </c>
      <c r="K12" s="3190">
        <v>0</v>
      </c>
      <c r="L12" s="3191">
        <v>0</v>
      </c>
      <c r="M12" s="3190">
        <v>0</v>
      </c>
      <c r="N12" s="3190">
        <v>4990</v>
      </c>
      <c r="O12" s="3194">
        <v>4990</v>
      </c>
      <c r="P12" s="3190">
        <v>0</v>
      </c>
      <c r="Q12" s="3190">
        <v>0</v>
      </c>
      <c r="R12" s="3183">
        <v>0</v>
      </c>
      <c r="S12" s="3190">
        <v>0</v>
      </c>
      <c r="T12" s="3190">
        <v>188.88974000000002</v>
      </c>
      <c r="U12" s="3301">
        <v>188.88974000000002</v>
      </c>
    </row>
    <row r="13" spans="1:21" ht="21" thickBot="1">
      <c r="A13" s="6181"/>
      <c r="B13" s="6185"/>
      <c r="C13" s="3186"/>
      <c r="D13" s="3187">
        <v>0.1075</v>
      </c>
      <c r="E13" s="3188" t="s">
        <v>889</v>
      </c>
      <c r="F13" s="3189" t="s">
        <v>890</v>
      </c>
      <c r="G13" s="3190">
        <v>0</v>
      </c>
      <c r="H13" s="3190">
        <v>5825</v>
      </c>
      <c r="I13" s="3191">
        <v>5825</v>
      </c>
      <c r="J13" s="3190">
        <v>0</v>
      </c>
      <c r="K13" s="3190">
        <v>0</v>
      </c>
      <c r="L13" s="3191">
        <v>0</v>
      </c>
      <c r="M13" s="3190">
        <v>0</v>
      </c>
      <c r="N13" s="3190">
        <v>5010</v>
      </c>
      <c r="O13" s="3194">
        <v>5010</v>
      </c>
      <c r="P13" s="3190">
        <v>0</v>
      </c>
      <c r="Q13" s="3190">
        <v>815</v>
      </c>
      <c r="R13" s="3183">
        <v>815</v>
      </c>
      <c r="S13" s="3190">
        <v>0</v>
      </c>
      <c r="T13" s="3190">
        <v>232.55186999999998</v>
      </c>
      <c r="U13" s="3301">
        <v>232.55186999999998</v>
      </c>
    </row>
    <row r="14" spans="1:21" ht="21" thickBot="1">
      <c r="A14" s="6181"/>
      <c r="B14" s="6185"/>
      <c r="C14" s="3186"/>
      <c r="D14" s="3187">
        <v>0.105</v>
      </c>
      <c r="E14" s="3188" t="s">
        <v>891</v>
      </c>
      <c r="F14" s="3189" t="s">
        <v>892</v>
      </c>
      <c r="G14" s="3190">
        <v>0</v>
      </c>
      <c r="H14" s="3190">
        <v>6660</v>
      </c>
      <c r="I14" s="3183">
        <v>6660</v>
      </c>
      <c r="J14" s="3190">
        <v>0</v>
      </c>
      <c r="K14" s="3190">
        <v>0</v>
      </c>
      <c r="L14" s="3191">
        <v>0</v>
      </c>
      <c r="M14" s="3190">
        <v>0</v>
      </c>
      <c r="N14" s="3190">
        <v>5010</v>
      </c>
      <c r="O14" s="3194">
        <v>5010</v>
      </c>
      <c r="P14" s="3190">
        <v>0</v>
      </c>
      <c r="Q14" s="3190">
        <v>1650</v>
      </c>
      <c r="R14" s="3183">
        <v>1650</v>
      </c>
      <c r="S14" s="3190">
        <v>0</v>
      </c>
      <c r="T14" s="3190">
        <v>263.32499000000001</v>
      </c>
      <c r="U14" s="3301">
        <v>263.32499000000001</v>
      </c>
    </row>
    <row r="15" spans="1:21" ht="21" thickBot="1">
      <c r="A15" s="6181"/>
      <c r="B15" s="6185"/>
      <c r="C15" s="3186"/>
      <c r="D15" s="3187">
        <v>0.105</v>
      </c>
      <c r="E15" s="3188" t="s">
        <v>893</v>
      </c>
      <c r="F15" s="3189" t="s">
        <v>894</v>
      </c>
      <c r="G15" s="3190">
        <v>0</v>
      </c>
      <c r="H15" s="3190">
        <v>6660</v>
      </c>
      <c r="I15" s="3183">
        <v>6660</v>
      </c>
      <c r="J15" s="3190">
        <v>0</v>
      </c>
      <c r="K15" s="3190">
        <v>0</v>
      </c>
      <c r="L15" s="3191">
        <v>0</v>
      </c>
      <c r="M15" s="3190">
        <v>0</v>
      </c>
      <c r="N15" s="3190">
        <v>5010</v>
      </c>
      <c r="O15" s="3194">
        <v>5010</v>
      </c>
      <c r="P15" s="3190">
        <v>0</v>
      </c>
      <c r="Q15" s="3190">
        <v>1650</v>
      </c>
      <c r="R15" s="3183">
        <v>1650</v>
      </c>
      <c r="S15" s="3190">
        <v>0</v>
      </c>
      <c r="T15" s="3190">
        <v>263.67894999999999</v>
      </c>
      <c r="U15" s="3301">
        <v>263.67894999999999</v>
      </c>
    </row>
    <row r="16" spans="1:21" ht="21" thickBot="1">
      <c r="A16" s="6181"/>
      <c r="B16" s="6185"/>
      <c r="C16" s="3186"/>
      <c r="D16" s="3187">
        <v>0.105</v>
      </c>
      <c r="E16" s="3188" t="s">
        <v>895</v>
      </c>
      <c r="F16" s="3189" t="s">
        <v>896</v>
      </c>
      <c r="G16" s="3190">
        <v>0</v>
      </c>
      <c r="H16" s="3190">
        <v>7495</v>
      </c>
      <c r="I16" s="3191">
        <v>7495</v>
      </c>
      <c r="J16" s="3190">
        <v>0</v>
      </c>
      <c r="K16" s="3190">
        <v>0</v>
      </c>
      <c r="L16" s="3191">
        <v>0</v>
      </c>
      <c r="M16" s="3190">
        <v>0</v>
      </c>
      <c r="N16" s="3190">
        <v>5010</v>
      </c>
      <c r="O16" s="3194">
        <v>5010</v>
      </c>
      <c r="P16" s="3190">
        <v>0</v>
      </c>
      <c r="Q16" s="3190">
        <v>2485</v>
      </c>
      <c r="R16" s="3183">
        <v>2485</v>
      </c>
      <c r="S16" s="3190">
        <v>0</v>
      </c>
      <c r="T16" s="3190">
        <v>317.83356000000003</v>
      </c>
      <c r="U16" s="3301">
        <v>317.83356000000003</v>
      </c>
    </row>
    <row r="17" spans="1:29" ht="21" thickBot="1">
      <c r="A17" s="6181"/>
      <c r="B17" s="6185"/>
      <c r="C17" s="3186"/>
      <c r="D17" s="3187">
        <v>0.105</v>
      </c>
      <c r="E17" s="3188" t="s">
        <v>897</v>
      </c>
      <c r="F17" s="3189" t="s">
        <v>898</v>
      </c>
      <c r="G17" s="3190">
        <v>0</v>
      </c>
      <c r="H17" s="3190">
        <v>8330</v>
      </c>
      <c r="I17" s="3191">
        <v>8330</v>
      </c>
      <c r="J17" s="3190">
        <v>0</v>
      </c>
      <c r="K17" s="3190">
        <v>0</v>
      </c>
      <c r="L17" s="3191">
        <v>0</v>
      </c>
      <c r="M17" s="3190">
        <v>0</v>
      </c>
      <c r="N17" s="3190">
        <v>5010</v>
      </c>
      <c r="O17" s="3194">
        <v>5010</v>
      </c>
      <c r="P17" s="3190">
        <v>0</v>
      </c>
      <c r="Q17" s="3190">
        <v>3320</v>
      </c>
      <c r="R17" s="3183">
        <v>3320</v>
      </c>
      <c r="S17" s="3190">
        <v>0</v>
      </c>
      <c r="T17" s="3190">
        <v>350.80896000000001</v>
      </c>
      <c r="U17" s="3301">
        <v>350.80896000000001</v>
      </c>
    </row>
    <row r="18" spans="1:29" ht="21" thickBot="1">
      <c r="A18" s="6181"/>
      <c r="B18" s="6185"/>
      <c r="C18" s="3186"/>
      <c r="D18" s="3187">
        <v>0.105</v>
      </c>
      <c r="E18" s="3188" t="s">
        <v>899</v>
      </c>
      <c r="F18" s="3189" t="s">
        <v>900</v>
      </c>
      <c r="G18" s="3190">
        <v>0</v>
      </c>
      <c r="H18" s="3190">
        <v>8330</v>
      </c>
      <c r="I18" s="3191">
        <v>8330</v>
      </c>
      <c r="J18" s="3190">
        <v>0</v>
      </c>
      <c r="K18" s="3190">
        <v>0</v>
      </c>
      <c r="L18" s="3191">
        <v>0</v>
      </c>
      <c r="M18" s="3190">
        <v>0</v>
      </c>
      <c r="N18" s="3190">
        <v>5010</v>
      </c>
      <c r="O18" s="3194">
        <v>5010</v>
      </c>
      <c r="P18" s="3190">
        <v>0</v>
      </c>
      <c r="Q18" s="3190">
        <v>3320</v>
      </c>
      <c r="R18" s="3183">
        <v>3320</v>
      </c>
      <c r="S18" s="3190">
        <v>0</v>
      </c>
      <c r="T18" s="3190">
        <v>362.53881000000001</v>
      </c>
      <c r="U18" s="3301">
        <v>362.53881000000001</v>
      </c>
    </row>
    <row r="19" spans="1:29" ht="21" thickBot="1">
      <c r="A19" s="6182"/>
      <c r="B19" s="6184"/>
      <c r="C19" s="3169"/>
      <c r="D19" s="3187">
        <v>0.105</v>
      </c>
      <c r="E19" s="3188" t="s">
        <v>901</v>
      </c>
      <c r="F19" s="3189" t="s">
        <v>902</v>
      </c>
      <c r="G19" s="3190">
        <v>0</v>
      </c>
      <c r="H19" s="3190">
        <v>10000</v>
      </c>
      <c r="I19" s="3191">
        <v>10000</v>
      </c>
      <c r="J19" s="3190">
        <v>0</v>
      </c>
      <c r="K19" s="3190">
        <v>0</v>
      </c>
      <c r="L19" s="3191">
        <v>0</v>
      </c>
      <c r="M19" s="3190">
        <v>0</v>
      </c>
      <c r="N19" s="3190">
        <v>5010</v>
      </c>
      <c r="O19" s="3194">
        <v>5010</v>
      </c>
      <c r="P19" s="3190">
        <v>0</v>
      </c>
      <c r="Q19" s="3190">
        <v>4990</v>
      </c>
      <c r="R19" s="3183">
        <v>4990</v>
      </c>
      <c r="S19" s="3190">
        <v>0</v>
      </c>
      <c r="T19" s="3197">
        <v>430.28676999999993</v>
      </c>
      <c r="U19" s="3301">
        <v>430.28676999999993</v>
      </c>
    </row>
    <row r="20" spans="1:29" s="3284" customFormat="1" ht="21.75" thickBot="1">
      <c r="A20" s="3320"/>
      <c r="B20" s="3186"/>
      <c r="C20" s="3202"/>
      <c r="D20" s="3187">
        <v>0.10249999999999999</v>
      </c>
      <c r="E20" s="3195" t="s">
        <v>903</v>
      </c>
      <c r="F20" s="3321" t="s">
        <v>904</v>
      </c>
      <c r="G20" s="3190">
        <v>0</v>
      </c>
      <c r="H20" s="3190">
        <v>0</v>
      </c>
      <c r="I20" s="3197">
        <v>0</v>
      </c>
      <c r="J20" s="3197"/>
      <c r="K20" s="3197">
        <v>20000</v>
      </c>
      <c r="L20" s="3197">
        <v>20000</v>
      </c>
      <c r="M20" s="3190">
        <v>0</v>
      </c>
      <c r="N20" s="3190">
        <v>0</v>
      </c>
      <c r="O20" s="3322">
        <v>0</v>
      </c>
      <c r="P20" s="3197">
        <v>0</v>
      </c>
      <c r="Q20" s="3197">
        <v>20000</v>
      </c>
      <c r="R20" s="3198">
        <v>20000</v>
      </c>
      <c r="S20" s="3199">
        <v>0</v>
      </c>
      <c r="T20" s="3197">
        <v>0</v>
      </c>
      <c r="U20" s="3323">
        <v>0</v>
      </c>
    </row>
    <row r="21" spans="1:29" ht="21" thickBot="1">
      <c r="A21" s="6180">
        <v>2</v>
      </c>
      <c r="B21" s="6183" t="s">
        <v>905</v>
      </c>
      <c r="C21" s="3186"/>
      <c r="D21" s="3187">
        <v>0.1075</v>
      </c>
      <c r="E21" s="3188" t="s">
        <v>906</v>
      </c>
      <c r="F21" s="3189" t="s">
        <v>907</v>
      </c>
      <c r="G21" s="3190">
        <v>0</v>
      </c>
      <c r="H21" s="3190">
        <v>1400</v>
      </c>
      <c r="I21" s="3191">
        <v>1400</v>
      </c>
      <c r="J21" s="3190">
        <v>0</v>
      </c>
      <c r="K21" s="3190">
        <v>0</v>
      </c>
      <c r="L21" s="3191">
        <v>0</v>
      </c>
      <c r="M21" s="3190">
        <v>0</v>
      </c>
      <c r="N21" s="3190">
        <v>1400</v>
      </c>
      <c r="O21" s="3194">
        <v>1400</v>
      </c>
      <c r="P21" s="3190">
        <v>0</v>
      </c>
      <c r="Q21" s="3190">
        <v>0</v>
      </c>
      <c r="R21" s="3183">
        <v>0</v>
      </c>
      <c r="S21" s="3191">
        <v>0</v>
      </c>
      <c r="T21" s="3191">
        <v>17.600000000000001</v>
      </c>
      <c r="U21" s="3301">
        <v>17.600000000000001</v>
      </c>
    </row>
    <row r="22" spans="1:29" ht="21" thickBot="1">
      <c r="A22" s="6181"/>
      <c r="B22" s="6185"/>
      <c r="C22" s="3186" t="s">
        <v>2538</v>
      </c>
      <c r="D22" s="3187">
        <v>0.1065</v>
      </c>
      <c r="E22" s="3188" t="s">
        <v>908</v>
      </c>
      <c r="F22" s="3189" t="s">
        <v>909</v>
      </c>
      <c r="G22" s="3190">
        <v>2700</v>
      </c>
      <c r="H22" s="3190">
        <v>900</v>
      </c>
      <c r="I22" s="3191">
        <v>3600</v>
      </c>
      <c r="J22" s="3190">
        <v>0</v>
      </c>
      <c r="K22" s="3190">
        <v>0</v>
      </c>
      <c r="L22" s="3191">
        <v>0</v>
      </c>
      <c r="M22" s="3190">
        <v>2700</v>
      </c>
      <c r="N22" s="3190">
        <v>900</v>
      </c>
      <c r="O22" s="3194">
        <v>3600</v>
      </c>
      <c r="P22" s="3190">
        <v>0</v>
      </c>
      <c r="Q22" s="3190">
        <v>0</v>
      </c>
      <c r="R22" s="3183">
        <v>0</v>
      </c>
      <c r="S22" s="3190">
        <v>50.242499999999993</v>
      </c>
      <c r="T22" s="3190">
        <v>16.747499999999999</v>
      </c>
      <c r="U22" s="3301">
        <v>66.989999999999995</v>
      </c>
    </row>
    <row r="23" spans="1:29" ht="21" thickBot="1">
      <c r="A23" s="6181"/>
      <c r="B23" s="6185"/>
      <c r="C23" s="3186"/>
      <c r="D23" s="3187">
        <v>0.1075</v>
      </c>
      <c r="E23" s="3188" t="s">
        <v>910</v>
      </c>
      <c r="F23" s="3189" t="s">
        <v>911</v>
      </c>
      <c r="G23" s="3190">
        <v>0</v>
      </c>
      <c r="H23" s="3190">
        <v>2200</v>
      </c>
      <c r="I23" s="3191">
        <v>2200</v>
      </c>
      <c r="J23" s="3190">
        <v>0</v>
      </c>
      <c r="K23" s="3190">
        <v>0</v>
      </c>
      <c r="L23" s="3191">
        <v>0</v>
      </c>
      <c r="M23" s="3190">
        <v>0</v>
      </c>
      <c r="N23" s="3190">
        <v>2200</v>
      </c>
      <c r="O23" s="3194">
        <v>2200</v>
      </c>
      <c r="P23" s="3190">
        <v>0</v>
      </c>
      <c r="Q23" s="3190">
        <v>0</v>
      </c>
      <c r="R23" s="3183">
        <v>0</v>
      </c>
      <c r="S23" s="3191">
        <v>0</v>
      </c>
      <c r="T23" s="3191">
        <v>50.493090000000002</v>
      </c>
      <c r="U23" s="3301">
        <v>50.493090000000002</v>
      </c>
    </row>
    <row r="24" spans="1:29" ht="21" thickBot="1">
      <c r="A24" s="6181"/>
      <c r="B24" s="6185"/>
      <c r="C24" s="3186"/>
      <c r="D24" s="3187">
        <v>0.1075</v>
      </c>
      <c r="E24" s="3188" t="s">
        <v>912</v>
      </c>
      <c r="F24" s="3189" t="s">
        <v>913</v>
      </c>
      <c r="G24" s="3190">
        <v>0</v>
      </c>
      <c r="H24" s="3190">
        <v>4400</v>
      </c>
      <c r="I24" s="3191">
        <v>4400</v>
      </c>
      <c r="J24" s="3190">
        <v>0</v>
      </c>
      <c r="K24" s="3190">
        <v>0</v>
      </c>
      <c r="L24" s="3191">
        <v>0</v>
      </c>
      <c r="M24" s="3190">
        <v>0</v>
      </c>
      <c r="N24" s="3190">
        <v>4400</v>
      </c>
      <c r="O24" s="3194">
        <v>4400</v>
      </c>
      <c r="P24" s="3190">
        <v>0</v>
      </c>
      <c r="Q24" s="3190">
        <v>0</v>
      </c>
      <c r="R24" s="3183">
        <v>0</v>
      </c>
      <c r="S24" s="3191">
        <v>0</v>
      </c>
      <c r="T24" s="3191">
        <v>113.21899999999999</v>
      </c>
      <c r="U24" s="3301">
        <v>113.21899999999999</v>
      </c>
    </row>
    <row r="25" spans="1:29" ht="21" thickBot="1">
      <c r="A25" s="6182"/>
      <c r="B25" s="6184"/>
      <c r="C25" s="3169"/>
      <c r="D25" s="3187">
        <v>0.1075</v>
      </c>
      <c r="E25" s="3188" t="s">
        <v>914</v>
      </c>
      <c r="F25" s="3203" t="s">
        <v>915</v>
      </c>
      <c r="G25" s="3190">
        <v>0</v>
      </c>
      <c r="H25" s="3190">
        <v>6000</v>
      </c>
      <c r="I25" s="3191">
        <v>6000</v>
      </c>
      <c r="J25" s="3190">
        <v>0</v>
      </c>
      <c r="K25" s="3190">
        <v>0</v>
      </c>
      <c r="L25" s="3191">
        <v>0</v>
      </c>
      <c r="M25" s="3190">
        <v>0</v>
      </c>
      <c r="N25" s="3190">
        <v>5000</v>
      </c>
      <c r="O25" s="3194">
        <v>5000</v>
      </c>
      <c r="P25" s="3190">
        <v>0</v>
      </c>
      <c r="Q25" s="3190">
        <v>1000</v>
      </c>
      <c r="R25" s="3183">
        <v>1000</v>
      </c>
      <c r="S25" s="3190">
        <v>0</v>
      </c>
      <c r="T25" s="3190">
        <v>203.68412999999998</v>
      </c>
      <c r="U25" s="3301">
        <v>203.68412999999998</v>
      </c>
    </row>
    <row r="26" spans="1:29" ht="21" thickBot="1">
      <c r="A26" s="6164">
        <v>3</v>
      </c>
      <c r="B26" s="6183" t="s">
        <v>916</v>
      </c>
      <c r="C26" s="3186"/>
      <c r="D26" s="3187">
        <v>0.105</v>
      </c>
      <c r="E26" s="3305" t="s">
        <v>917</v>
      </c>
      <c r="F26" s="3205" t="s">
        <v>918</v>
      </c>
      <c r="G26" s="3191">
        <v>0</v>
      </c>
      <c r="H26" s="3190">
        <v>8350</v>
      </c>
      <c r="I26" s="3191">
        <v>8350</v>
      </c>
      <c r="J26" s="3190">
        <v>0</v>
      </c>
      <c r="K26" s="3190">
        <v>0</v>
      </c>
      <c r="L26" s="3191">
        <v>0</v>
      </c>
      <c r="M26" s="3191">
        <v>0</v>
      </c>
      <c r="N26" s="3190">
        <v>8350</v>
      </c>
      <c r="O26" s="3303">
        <v>8350</v>
      </c>
      <c r="P26" s="3191">
        <v>0</v>
      </c>
      <c r="Q26" s="3190">
        <v>0</v>
      </c>
      <c r="R26" s="3183">
        <v>0</v>
      </c>
      <c r="S26" s="3190">
        <v>0</v>
      </c>
      <c r="T26" s="3297">
        <v>197.77029000000002</v>
      </c>
      <c r="U26" s="3183">
        <v>197.77029000000002</v>
      </c>
    </row>
    <row r="27" spans="1:29" ht="21" thickBot="1">
      <c r="A27" s="6176"/>
      <c r="B27" s="6185"/>
      <c r="C27" s="3186"/>
      <c r="D27" s="3187">
        <v>0.105</v>
      </c>
      <c r="E27" s="3305" t="s">
        <v>919</v>
      </c>
      <c r="F27" s="3205" t="s">
        <v>920</v>
      </c>
      <c r="G27" s="3191">
        <v>0</v>
      </c>
      <c r="H27" s="3190">
        <v>10000</v>
      </c>
      <c r="I27" s="3191">
        <v>10000</v>
      </c>
      <c r="J27" s="3190">
        <v>0</v>
      </c>
      <c r="K27" s="3190">
        <v>0</v>
      </c>
      <c r="L27" s="3191">
        <v>0</v>
      </c>
      <c r="M27" s="3191">
        <v>0</v>
      </c>
      <c r="N27" s="3190">
        <v>10000</v>
      </c>
      <c r="O27" s="3303">
        <v>10000</v>
      </c>
      <c r="P27" s="3191">
        <v>0</v>
      </c>
      <c r="Q27" s="3190">
        <v>0</v>
      </c>
      <c r="R27" s="3183">
        <v>0</v>
      </c>
      <c r="S27" s="3190">
        <v>0</v>
      </c>
      <c r="T27" s="3297">
        <v>294.48390000000001</v>
      </c>
      <c r="U27" s="3183">
        <v>294.48390000000001</v>
      </c>
    </row>
    <row r="28" spans="1:29" ht="21" thickBot="1">
      <c r="A28" s="6176"/>
      <c r="B28" s="6185"/>
      <c r="C28" s="3186"/>
      <c r="D28" s="3187">
        <v>0.105</v>
      </c>
      <c r="E28" s="3204" t="s">
        <v>921</v>
      </c>
      <c r="F28" s="3324" t="s">
        <v>922</v>
      </c>
      <c r="G28" s="3197">
        <v>0</v>
      </c>
      <c r="H28" s="3197">
        <v>0</v>
      </c>
      <c r="I28" s="3197">
        <v>0</v>
      </c>
      <c r="J28" s="3197">
        <v>0</v>
      </c>
      <c r="K28" s="3197">
        <v>10000</v>
      </c>
      <c r="L28" s="3197">
        <v>10000</v>
      </c>
      <c r="M28" s="3197">
        <v>0</v>
      </c>
      <c r="N28" s="3197">
        <v>4950</v>
      </c>
      <c r="O28" s="3206">
        <v>4950</v>
      </c>
      <c r="P28" s="3197">
        <v>0</v>
      </c>
      <c r="Q28" s="3197">
        <v>5050</v>
      </c>
      <c r="R28" s="3197">
        <v>5050</v>
      </c>
      <c r="S28" s="3199">
        <v>0</v>
      </c>
      <c r="T28" s="3197">
        <v>237.73376999999999</v>
      </c>
      <c r="U28" s="3199">
        <v>237.73376999999999</v>
      </c>
      <c r="W28" s="911"/>
    </row>
    <row r="29" spans="1:29" ht="21" thickBot="1">
      <c r="A29" s="6176"/>
      <c r="B29" s="6185"/>
      <c r="C29" s="3186"/>
      <c r="D29" s="3187">
        <v>0.1075</v>
      </c>
      <c r="E29" s="3204" t="s">
        <v>923</v>
      </c>
      <c r="F29" s="3324" t="s">
        <v>924</v>
      </c>
      <c r="G29" s="3197">
        <v>0</v>
      </c>
      <c r="H29" s="3197">
        <v>0</v>
      </c>
      <c r="I29" s="3197">
        <v>0</v>
      </c>
      <c r="J29" s="3197">
        <v>0</v>
      </c>
      <c r="K29" s="3197">
        <v>2500</v>
      </c>
      <c r="L29" s="3197">
        <v>2500</v>
      </c>
      <c r="M29" s="3190">
        <v>0</v>
      </c>
      <c r="N29" s="3190">
        <v>0</v>
      </c>
      <c r="O29" s="3322">
        <v>0</v>
      </c>
      <c r="P29" s="3197">
        <v>0</v>
      </c>
      <c r="Q29" s="3197">
        <v>2500</v>
      </c>
      <c r="R29" s="3198">
        <v>2500</v>
      </c>
      <c r="S29" s="3199">
        <v>0</v>
      </c>
      <c r="T29" s="3197">
        <v>24.299999999999997</v>
      </c>
      <c r="U29" s="3323">
        <v>24.299999999999997</v>
      </c>
      <c r="AC29" s="3325">
        <f>+AC28-AC27</f>
        <v>0</v>
      </c>
    </row>
    <row r="30" spans="1:29" ht="21" thickBot="1">
      <c r="A30" s="6176"/>
      <c r="B30" s="6185"/>
      <c r="C30" s="3169"/>
      <c r="D30" s="3187">
        <v>0.1075</v>
      </c>
      <c r="E30" s="3204" t="s">
        <v>888</v>
      </c>
      <c r="F30" s="3324" t="s">
        <v>925</v>
      </c>
      <c r="G30" s="3197">
        <v>0</v>
      </c>
      <c r="H30" s="3197">
        <v>0</v>
      </c>
      <c r="I30" s="3197">
        <v>0</v>
      </c>
      <c r="J30" s="3197">
        <v>0</v>
      </c>
      <c r="K30" s="3197">
        <v>4000</v>
      </c>
      <c r="L30" s="3197">
        <v>4000</v>
      </c>
      <c r="M30" s="3197">
        <v>0</v>
      </c>
      <c r="N30" s="3197">
        <v>0</v>
      </c>
      <c r="O30" s="3322">
        <v>0</v>
      </c>
      <c r="P30" s="3197">
        <v>0</v>
      </c>
      <c r="Q30" s="3197">
        <v>4000</v>
      </c>
      <c r="R30" s="3198">
        <v>4000</v>
      </c>
      <c r="S30" s="3199">
        <v>0</v>
      </c>
      <c r="T30" s="3197">
        <v>33.446579999999997</v>
      </c>
      <c r="U30" s="3323">
        <v>33.446579999999997</v>
      </c>
    </row>
    <row r="31" spans="1:29" s="3284" customFormat="1" ht="21.75" thickBot="1">
      <c r="A31" s="6176"/>
      <c r="B31" s="6185"/>
      <c r="C31" s="3186"/>
      <c r="D31" s="3187">
        <v>0.109</v>
      </c>
      <c r="E31" s="3204" t="s">
        <v>926</v>
      </c>
      <c r="F31" s="3324" t="s">
        <v>927</v>
      </c>
      <c r="G31" s="3190">
        <v>0</v>
      </c>
      <c r="H31" s="3190">
        <v>0</v>
      </c>
      <c r="I31" s="3197">
        <v>0</v>
      </c>
      <c r="J31" s="3190">
        <v>0</v>
      </c>
      <c r="K31" s="3190">
        <v>5000</v>
      </c>
      <c r="L31" s="3197">
        <v>5000</v>
      </c>
      <c r="M31" s="3190">
        <v>0</v>
      </c>
      <c r="N31" s="3190">
        <v>0</v>
      </c>
      <c r="O31" s="3322">
        <v>0</v>
      </c>
      <c r="P31" s="3197">
        <v>0</v>
      </c>
      <c r="Q31" s="3197">
        <v>5000</v>
      </c>
      <c r="R31" s="3198">
        <v>5000</v>
      </c>
      <c r="S31" s="3199">
        <v>0</v>
      </c>
      <c r="T31" s="3197">
        <v>14.931509999999999</v>
      </c>
      <c r="U31" s="3323">
        <v>14.931509999999999</v>
      </c>
    </row>
    <row r="32" spans="1:29" s="3284" customFormat="1" ht="21.75" thickBot="1">
      <c r="A32" s="6165"/>
      <c r="B32" s="6184"/>
      <c r="C32" s="3186"/>
      <c r="D32" s="3187">
        <v>0.109</v>
      </c>
      <c r="E32" s="3204" t="s">
        <v>928</v>
      </c>
      <c r="F32" s="3324" t="s">
        <v>929</v>
      </c>
      <c r="G32" s="3190">
        <v>0</v>
      </c>
      <c r="H32" s="3190">
        <v>0</v>
      </c>
      <c r="I32" s="3197">
        <v>0</v>
      </c>
      <c r="J32" s="3190">
        <v>0</v>
      </c>
      <c r="K32" s="3190">
        <v>3300</v>
      </c>
      <c r="L32" s="3197">
        <v>3300</v>
      </c>
      <c r="M32" s="3190">
        <v>0</v>
      </c>
      <c r="N32" s="3190">
        <v>0</v>
      </c>
      <c r="O32" s="3322">
        <v>0</v>
      </c>
      <c r="P32" s="3197">
        <v>0</v>
      </c>
      <c r="Q32" s="3197">
        <v>3300</v>
      </c>
      <c r="R32" s="3198">
        <v>3300</v>
      </c>
      <c r="S32" s="3199">
        <v>0</v>
      </c>
      <c r="T32" s="3197">
        <v>5.9128800000000004</v>
      </c>
      <c r="U32" s="3323">
        <v>5.9128800000000004</v>
      </c>
    </row>
    <row r="33" spans="1:26" ht="21" thickBot="1">
      <c r="A33" s="6164">
        <v>4</v>
      </c>
      <c r="B33" s="6183" t="s">
        <v>930</v>
      </c>
      <c r="C33" s="3186" t="s">
        <v>2538</v>
      </c>
      <c r="D33" s="3225">
        <v>0.1075</v>
      </c>
      <c r="E33" s="3181" t="s">
        <v>931</v>
      </c>
      <c r="F33" s="3182" t="s">
        <v>932</v>
      </c>
      <c r="G33" s="3191">
        <v>875</v>
      </c>
      <c r="H33" s="3191">
        <v>0</v>
      </c>
      <c r="I33" s="3183">
        <v>875</v>
      </c>
      <c r="J33" s="3190">
        <v>0</v>
      </c>
      <c r="K33" s="3190">
        <v>0</v>
      </c>
      <c r="L33" s="3183">
        <v>0</v>
      </c>
      <c r="M33" s="3191">
        <v>875</v>
      </c>
      <c r="N33" s="3191">
        <v>0</v>
      </c>
      <c r="O33" s="3226">
        <v>875</v>
      </c>
      <c r="P33" s="3191">
        <v>0</v>
      </c>
      <c r="Q33" s="3191">
        <v>0</v>
      </c>
      <c r="R33" s="3183">
        <v>0</v>
      </c>
      <c r="S33" s="3190">
        <v>0.74</v>
      </c>
      <c r="T33" s="3190">
        <v>0</v>
      </c>
      <c r="U33" s="3307">
        <v>0.74</v>
      </c>
    </row>
    <row r="34" spans="1:26" ht="21" thickBot="1">
      <c r="A34" s="6176"/>
      <c r="B34" s="6185"/>
      <c r="C34" s="3186"/>
      <c r="D34" s="3225">
        <v>0.1075</v>
      </c>
      <c r="E34" s="3181" t="s">
        <v>933</v>
      </c>
      <c r="F34" s="3182" t="s">
        <v>928</v>
      </c>
      <c r="G34" s="3191">
        <v>0</v>
      </c>
      <c r="H34" s="3190">
        <v>7575</v>
      </c>
      <c r="I34" s="3191">
        <v>7575</v>
      </c>
      <c r="J34" s="3190">
        <v>0</v>
      </c>
      <c r="K34" s="3190">
        <v>0</v>
      </c>
      <c r="L34" s="3183">
        <v>0</v>
      </c>
      <c r="M34" s="3191">
        <v>0</v>
      </c>
      <c r="N34" s="3190">
        <v>7575</v>
      </c>
      <c r="O34" s="3303">
        <v>7575</v>
      </c>
      <c r="P34" s="3191">
        <v>0</v>
      </c>
      <c r="Q34" s="3190">
        <v>0</v>
      </c>
      <c r="R34" s="3183">
        <v>0</v>
      </c>
      <c r="S34" s="3191">
        <v>0.75</v>
      </c>
      <c r="T34" s="3190">
        <v>227.72431</v>
      </c>
      <c r="U34" s="3306">
        <v>228.47431</v>
      </c>
    </row>
    <row r="35" spans="1:26" ht="21" thickBot="1">
      <c r="A35" s="6176"/>
      <c r="B35" s="6185"/>
      <c r="C35" s="3186"/>
      <c r="D35" s="3225">
        <v>0.1075</v>
      </c>
      <c r="E35" s="3181" t="s">
        <v>934</v>
      </c>
      <c r="F35" s="3182" t="s">
        <v>935</v>
      </c>
      <c r="G35" s="3191">
        <v>0</v>
      </c>
      <c r="H35" s="3190">
        <v>2937.5</v>
      </c>
      <c r="I35" s="3191">
        <v>2937.5</v>
      </c>
      <c r="J35" s="3190">
        <v>0</v>
      </c>
      <c r="K35" s="3190">
        <v>0</v>
      </c>
      <c r="L35" s="3183">
        <v>0</v>
      </c>
      <c r="M35" s="3191">
        <v>0</v>
      </c>
      <c r="N35" s="3190">
        <v>2500</v>
      </c>
      <c r="O35" s="3303">
        <v>2500</v>
      </c>
      <c r="P35" s="3191">
        <v>0</v>
      </c>
      <c r="Q35" s="3190">
        <v>437.5</v>
      </c>
      <c r="R35" s="3183">
        <v>437.5</v>
      </c>
      <c r="S35" s="3191">
        <v>0</v>
      </c>
      <c r="T35" s="3190">
        <v>87.009140000000002</v>
      </c>
      <c r="U35" s="3306">
        <v>87.009140000000002</v>
      </c>
    </row>
    <row r="36" spans="1:26" ht="21" thickBot="1">
      <c r="A36" s="6176"/>
      <c r="B36" s="6185"/>
      <c r="C36" s="3186"/>
      <c r="D36" s="3225">
        <v>0.11</v>
      </c>
      <c r="E36" s="3181" t="s">
        <v>936</v>
      </c>
      <c r="F36" s="3182" t="s">
        <v>937</v>
      </c>
      <c r="G36" s="3191">
        <v>0</v>
      </c>
      <c r="H36" s="3190">
        <v>16700</v>
      </c>
      <c r="I36" s="3191">
        <v>16700</v>
      </c>
      <c r="J36" s="3190">
        <v>0</v>
      </c>
      <c r="K36" s="3190">
        <v>0</v>
      </c>
      <c r="L36" s="3191">
        <v>0</v>
      </c>
      <c r="M36" s="3191">
        <v>0</v>
      </c>
      <c r="N36" s="3190">
        <v>8250</v>
      </c>
      <c r="O36" s="3303">
        <v>8250</v>
      </c>
      <c r="P36" s="3191">
        <v>0</v>
      </c>
      <c r="Q36" s="3190">
        <v>8450</v>
      </c>
      <c r="R36" s="3183">
        <v>8450</v>
      </c>
      <c r="S36" s="3191">
        <v>0</v>
      </c>
      <c r="T36" s="3297">
        <v>688.21652999999992</v>
      </c>
      <c r="U36" s="3183">
        <v>688.21652999999992</v>
      </c>
    </row>
    <row r="37" spans="1:26" ht="21" thickBot="1">
      <c r="A37" s="6165"/>
      <c r="B37" s="6184"/>
      <c r="C37" s="3169" t="s">
        <v>2538</v>
      </c>
      <c r="D37" s="3187">
        <v>0.11</v>
      </c>
      <c r="E37" s="3181" t="s">
        <v>880</v>
      </c>
      <c r="F37" s="3326" t="s">
        <v>938</v>
      </c>
      <c r="G37" s="3190">
        <v>0</v>
      </c>
      <c r="H37" s="3190">
        <v>0</v>
      </c>
      <c r="I37" s="3197">
        <v>0</v>
      </c>
      <c r="J37" s="3197">
        <v>9000</v>
      </c>
      <c r="K37" s="3197">
        <v>11000</v>
      </c>
      <c r="L37" s="3197">
        <v>20000</v>
      </c>
      <c r="M37" s="3197">
        <v>2254.5</v>
      </c>
      <c r="N37" s="3197">
        <v>2755.5</v>
      </c>
      <c r="O37" s="3206">
        <v>5010</v>
      </c>
      <c r="P37" s="3197">
        <v>6745.5</v>
      </c>
      <c r="Q37" s="3197">
        <v>8244.5</v>
      </c>
      <c r="R37" s="3197">
        <v>14990</v>
      </c>
      <c r="S37" s="3197">
        <v>249.63</v>
      </c>
      <c r="T37" s="3197">
        <v>305.08999999999997</v>
      </c>
      <c r="U37" s="3199">
        <v>554.71652000000006</v>
      </c>
      <c r="W37" s="911"/>
    </row>
    <row r="38" spans="1:26" s="3284" customFormat="1" ht="21.75" thickBot="1">
      <c r="A38" s="3309"/>
      <c r="B38" s="3169"/>
      <c r="C38" s="3169"/>
      <c r="D38" s="3187">
        <v>0.1075</v>
      </c>
      <c r="E38" s="3229" t="s">
        <v>939</v>
      </c>
      <c r="F38" s="3326" t="s">
        <v>940</v>
      </c>
      <c r="G38" s="3190">
        <v>0</v>
      </c>
      <c r="H38" s="3190">
        <v>0</v>
      </c>
      <c r="I38" s="3197">
        <v>0</v>
      </c>
      <c r="J38" s="3197">
        <v>0</v>
      </c>
      <c r="K38" s="3197">
        <v>30000</v>
      </c>
      <c r="L38" s="3197">
        <v>30000</v>
      </c>
      <c r="M38" s="3197">
        <v>0</v>
      </c>
      <c r="N38" s="3197">
        <v>0</v>
      </c>
      <c r="O38" s="3322">
        <v>0</v>
      </c>
      <c r="P38" s="3197">
        <v>0</v>
      </c>
      <c r="Q38" s="3197">
        <v>30000</v>
      </c>
      <c r="R38" s="3198">
        <v>30000</v>
      </c>
      <c r="S38" s="3199">
        <v>0</v>
      </c>
      <c r="T38" s="3197">
        <v>35.342469999999999</v>
      </c>
      <c r="U38" s="3323">
        <v>35.342469999999999</v>
      </c>
    </row>
    <row r="39" spans="1:26" ht="21" thickBot="1">
      <c r="A39" s="3178">
        <v>5</v>
      </c>
      <c r="B39" s="3233" t="s">
        <v>941</v>
      </c>
      <c r="C39" s="3285"/>
      <c r="D39" s="3187">
        <v>0.105</v>
      </c>
      <c r="E39" s="3229" t="s">
        <v>942</v>
      </c>
      <c r="F39" s="3326" t="s">
        <v>943</v>
      </c>
      <c r="G39" s="3197">
        <v>0</v>
      </c>
      <c r="H39" s="3197">
        <v>0</v>
      </c>
      <c r="I39" s="3197">
        <v>0</v>
      </c>
      <c r="J39" s="3197">
        <v>0</v>
      </c>
      <c r="K39" s="3197">
        <v>20000</v>
      </c>
      <c r="L39" s="3197">
        <v>20000</v>
      </c>
      <c r="M39" s="3197">
        <v>0</v>
      </c>
      <c r="N39" s="3197">
        <v>6600</v>
      </c>
      <c r="O39" s="3206">
        <v>6600</v>
      </c>
      <c r="P39" s="3197">
        <v>0</v>
      </c>
      <c r="Q39" s="3197">
        <v>13400</v>
      </c>
      <c r="R39" s="3197">
        <v>13400</v>
      </c>
      <c r="S39" s="3199">
        <v>0</v>
      </c>
      <c r="T39" s="3197">
        <v>702.50311999999997</v>
      </c>
      <c r="U39" s="3199">
        <v>702.50311999999997</v>
      </c>
      <c r="W39" s="911"/>
    </row>
    <row r="40" spans="1:26" ht="21" thickBot="1">
      <c r="A40" s="6176">
        <v>6</v>
      </c>
      <c r="B40" s="6186" t="s">
        <v>944</v>
      </c>
      <c r="C40" s="3233"/>
      <c r="D40" s="3308">
        <v>0.107</v>
      </c>
      <c r="E40" s="3181" t="s">
        <v>945</v>
      </c>
      <c r="F40" s="3182" t="s">
        <v>946</v>
      </c>
      <c r="G40" s="3190">
        <v>0</v>
      </c>
      <c r="H40" s="3190">
        <v>1666.67</v>
      </c>
      <c r="I40" s="3183">
        <v>1666.67</v>
      </c>
      <c r="J40" s="3190">
        <v>0</v>
      </c>
      <c r="K40" s="3190">
        <v>0</v>
      </c>
      <c r="L40" s="3191">
        <v>0</v>
      </c>
      <c r="M40" s="3190">
        <v>0</v>
      </c>
      <c r="N40" s="3190">
        <v>1666.67</v>
      </c>
      <c r="O40" s="3226">
        <v>1666.67</v>
      </c>
      <c r="P40" s="3190">
        <v>0</v>
      </c>
      <c r="Q40" s="3190">
        <v>0</v>
      </c>
      <c r="R40" s="3183">
        <v>0</v>
      </c>
      <c r="S40" s="3190">
        <v>0</v>
      </c>
      <c r="T40" s="3190">
        <v>11.03</v>
      </c>
      <c r="U40" s="3307">
        <v>11.03</v>
      </c>
    </row>
    <row r="41" spans="1:26" ht="21" thickBot="1">
      <c r="A41" s="6165"/>
      <c r="B41" s="6187"/>
      <c r="C41" s="3234"/>
      <c r="D41" s="3240">
        <v>0.108</v>
      </c>
      <c r="E41" s="3229" t="s">
        <v>947</v>
      </c>
      <c r="F41" s="3326" t="s">
        <v>948</v>
      </c>
      <c r="G41" s="3197">
        <v>0</v>
      </c>
      <c r="H41" s="3197">
        <v>0</v>
      </c>
      <c r="I41" s="3198">
        <v>0</v>
      </c>
      <c r="J41" s="3197">
        <v>0</v>
      </c>
      <c r="K41" s="3197">
        <v>20000</v>
      </c>
      <c r="L41" s="3197">
        <v>20000</v>
      </c>
      <c r="M41" s="3197">
        <v>0</v>
      </c>
      <c r="N41" s="3197">
        <v>4950</v>
      </c>
      <c r="O41" s="3241">
        <v>4950</v>
      </c>
      <c r="P41" s="3197">
        <v>0</v>
      </c>
      <c r="Q41" s="3197">
        <v>15050</v>
      </c>
      <c r="R41" s="3197">
        <v>15050</v>
      </c>
      <c r="S41" s="3199">
        <v>0</v>
      </c>
      <c r="T41" s="3197">
        <v>572.75414000000001</v>
      </c>
      <c r="U41" s="3327">
        <v>572.75414000000001</v>
      </c>
      <c r="X41" s="3328"/>
      <c r="Y41" s="3328"/>
      <c r="Z41" s="3329"/>
    </row>
    <row r="42" spans="1:26" ht="21" thickBot="1">
      <c r="A42" s="3242"/>
      <c r="B42" s="3176" t="s">
        <v>949</v>
      </c>
      <c r="C42" s="3176"/>
      <c r="D42" s="3311"/>
      <c r="E42" s="3181"/>
      <c r="F42" s="3182"/>
      <c r="G42" s="3183">
        <v>8545</v>
      </c>
      <c r="H42" s="3183">
        <v>133679.17000000001</v>
      </c>
      <c r="I42" s="3183">
        <v>142224.17000000001</v>
      </c>
      <c r="J42" s="3183">
        <v>9000</v>
      </c>
      <c r="K42" s="3183">
        <v>125800</v>
      </c>
      <c r="L42" s="3183">
        <v>134800</v>
      </c>
      <c r="M42" s="3183">
        <v>10799.5</v>
      </c>
      <c r="N42" s="3183">
        <v>124817.17</v>
      </c>
      <c r="O42" s="3183">
        <v>135616.66999999998</v>
      </c>
      <c r="P42" s="3183">
        <v>6745.5</v>
      </c>
      <c r="Q42" s="3183">
        <v>134662</v>
      </c>
      <c r="R42" s="3183">
        <v>141407.5</v>
      </c>
      <c r="S42" s="3183">
        <v>406.21249999999998</v>
      </c>
      <c r="T42" s="3183">
        <v>6632.0439299999989</v>
      </c>
      <c r="U42" s="3183">
        <v>7038.2516299999979</v>
      </c>
      <c r="X42" s="911"/>
      <c r="Y42" s="911"/>
      <c r="Z42" s="911"/>
    </row>
    <row r="43" spans="1:26" ht="21" thickBot="1">
      <c r="A43" s="3242"/>
      <c r="B43" s="3177"/>
      <c r="C43" s="3311"/>
      <c r="D43" s="3311"/>
      <c r="E43" s="3182"/>
      <c r="F43" s="3182"/>
      <c r="G43" s="3183"/>
      <c r="H43" s="3183"/>
      <c r="I43" s="3183"/>
      <c r="J43" s="3183"/>
      <c r="K43" s="3183"/>
      <c r="L43" s="3226"/>
      <c r="M43" s="3183"/>
      <c r="N43" s="3183"/>
      <c r="O43" s="3226"/>
      <c r="P43" s="3244"/>
      <c r="Q43" s="3183"/>
      <c r="R43" s="3183"/>
      <c r="S43" s="3245"/>
      <c r="T43" s="3246"/>
      <c r="U43" s="3245"/>
    </row>
    <row r="44" spans="1:26" ht="21" thickBot="1">
      <c r="A44" s="3247" t="s">
        <v>950</v>
      </c>
      <c r="B44" s="3248" t="s">
        <v>951</v>
      </c>
      <c r="C44" s="3248"/>
      <c r="D44" s="3176"/>
      <c r="E44" s="3250"/>
      <c r="F44" s="3243"/>
      <c r="G44" s="3183"/>
      <c r="H44" s="3183"/>
      <c r="I44" s="3183"/>
      <c r="J44" s="3183"/>
      <c r="K44" s="3183"/>
      <c r="L44" s="3183"/>
      <c r="M44" s="3183"/>
      <c r="N44" s="3183"/>
      <c r="O44" s="3226"/>
      <c r="P44" s="3244"/>
      <c r="Q44" s="3183"/>
      <c r="R44" s="3183"/>
      <c r="S44" s="3184"/>
      <c r="T44" s="3185"/>
      <c r="U44" s="3184"/>
    </row>
    <row r="45" spans="1:26" ht="21" thickBot="1">
      <c r="A45" s="3251">
        <v>7</v>
      </c>
      <c r="B45" s="3201" t="s">
        <v>952</v>
      </c>
      <c r="C45" s="3201" t="s">
        <v>2705</v>
      </c>
      <c r="D45" s="3239">
        <v>0.13500000000000001</v>
      </c>
      <c r="E45" s="3253" t="s">
        <v>953</v>
      </c>
      <c r="F45" s="3253" t="s">
        <v>954</v>
      </c>
      <c r="G45" s="3254">
        <v>5175</v>
      </c>
      <c r="H45" s="3254">
        <v>6075</v>
      </c>
      <c r="I45" s="3254">
        <v>11250</v>
      </c>
      <c r="J45" s="3254">
        <v>0</v>
      </c>
      <c r="K45" s="3254">
        <v>0</v>
      </c>
      <c r="L45" s="3254">
        <v>0</v>
      </c>
      <c r="M45" s="3254">
        <v>575</v>
      </c>
      <c r="N45" s="3254">
        <v>675</v>
      </c>
      <c r="O45" s="3254">
        <v>1250</v>
      </c>
      <c r="P45" s="3254">
        <v>4600</v>
      </c>
      <c r="Q45" s="3254">
        <v>5400</v>
      </c>
      <c r="R45" s="3254">
        <v>10000</v>
      </c>
      <c r="S45" s="3254">
        <v>322.73191060000005</v>
      </c>
      <c r="T45" s="3255">
        <v>378.85919940000008</v>
      </c>
      <c r="U45" s="3254">
        <v>701.59111000000007</v>
      </c>
    </row>
    <row r="46" spans="1:26" ht="21" thickBot="1">
      <c r="A46" s="3256">
        <v>8</v>
      </c>
      <c r="B46" s="3256" t="s">
        <v>955</v>
      </c>
      <c r="C46" s="3256" t="s">
        <v>2538</v>
      </c>
      <c r="D46" s="3330" t="s">
        <v>956</v>
      </c>
      <c r="E46" s="3250" t="s">
        <v>957</v>
      </c>
      <c r="F46" s="3243" t="s">
        <v>958</v>
      </c>
      <c r="G46" s="3227">
        <v>159.58004</v>
      </c>
      <c r="H46" s="3227">
        <v>0</v>
      </c>
      <c r="I46" s="3260">
        <v>159.58004</v>
      </c>
      <c r="J46" s="3227">
        <v>0</v>
      </c>
      <c r="K46" s="3227">
        <v>0</v>
      </c>
      <c r="L46" s="3183">
        <v>0</v>
      </c>
      <c r="M46" s="3227">
        <v>15.95833</v>
      </c>
      <c r="N46" s="3227">
        <v>0</v>
      </c>
      <c r="O46" s="3192">
        <v>15.95833</v>
      </c>
      <c r="P46" s="3227">
        <v>143.62171000000001</v>
      </c>
      <c r="Q46" s="3227">
        <v>0</v>
      </c>
      <c r="R46" s="3183">
        <v>143.62171000000001</v>
      </c>
      <c r="S46" s="3227">
        <v>22.740629999999999</v>
      </c>
      <c r="T46" s="3261">
        <v>0</v>
      </c>
      <c r="U46" s="3298">
        <v>22.740629999999999</v>
      </c>
    </row>
    <row r="47" spans="1:26" ht="21" thickBot="1">
      <c r="A47" s="3256">
        <v>9</v>
      </c>
      <c r="B47" s="3256" t="s">
        <v>959</v>
      </c>
      <c r="C47" s="3256" t="s">
        <v>2538</v>
      </c>
      <c r="D47" s="3176" t="s">
        <v>960</v>
      </c>
      <c r="E47" s="3250" t="s">
        <v>961</v>
      </c>
      <c r="F47" s="3243" t="s">
        <v>962</v>
      </c>
      <c r="G47" s="3227">
        <v>3798.5</v>
      </c>
      <c r="H47" s="3227">
        <v>0</v>
      </c>
      <c r="I47" s="3262">
        <v>3798.5</v>
      </c>
      <c r="J47" s="3227">
        <v>0</v>
      </c>
      <c r="K47" s="3227">
        <v>0</v>
      </c>
      <c r="L47" s="3183">
        <v>0</v>
      </c>
      <c r="M47" s="3227">
        <v>0</v>
      </c>
      <c r="N47" s="3227">
        <v>0</v>
      </c>
      <c r="O47" s="3192">
        <v>0</v>
      </c>
      <c r="P47" s="3227">
        <v>3798.5</v>
      </c>
      <c r="Q47" s="3227">
        <v>0</v>
      </c>
      <c r="R47" s="3183">
        <v>3798.5</v>
      </c>
      <c r="S47" s="3227">
        <v>288.01391000000001</v>
      </c>
      <c r="T47" s="3261">
        <v>0</v>
      </c>
      <c r="U47" s="3298">
        <v>288.01391000000001</v>
      </c>
    </row>
    <row r="48" spans="1:26" ht="21" thickBot="1">
      <c r="A48" s="3256">
        <v>10</v>
      </c>
      <c r="B48" s="3256" t="s">
        <v>963</v>
      </c>
      <c r="C48" s="3256"/>
      <c r="D48" s="3330" t="s">
        <v>964</v>
      </c>
      <c r="E48" s="3263" t="s">
        <v>965</v>
      </c>
      <c r="F48" s="3264" t="s">
        <v>966</v>
      </c>
      <c r="G48" s="3227">
        <v>0</v>
      </c>
      <c r="H48" s="3227">
        <v>7913.6984999999977</v>
      </c>
      <c r="I48" s="3262">
        <v>7913.6984999999977</v>
      </c>
      <c r="J48" s="3227">
        <v>0</v>
      </c>
      <c r="K48" s="3227">
        <v>0</v>
      </c>
      <c r="L48" s="3183">
        <v>0</v>
      </c>
      <c r="M48" s="3227">
        <v>0</v>
      </c>
      <c r="N48" s="3227">
        <v>226.1</v>
      </c>
      <c r="O48" s="3192">
        <v>226.1</v>
      </c>
      <c r="P48" s="3227">
        <v>0</v>
      </c>
      <c r="Q48" s="3227">
        <v>7687.5984999999973</v>
      </c>
      <c r="R48" s="3183">
        <v>7687.5984999999973</v>
      </c>
      <c r="S48" s="3227">
        <v>0</v>
      </c>
      <c r="T48" s="3261">
        <v>285.82535999999999</v>
      </c>
      <c r="U48" s="3298">
        <v>285.82535999999999</v>
      </c>
    </row>
    <row r="49" spans="1:26" s="3284" customFormat="1" ht="21.75" thickBot="1">
      <c r="A49" s="3256">
        <v>11</v>
      </c>
      <c r="B49" s="3331" t="s">
        <v>967</v>
      </c>
      <c r="C49" s="3331" t="s">
        <v>2705</v>
      </c>
      <c r="D49" s="3332">
        <v>0.1</v>
      </c>
      <c r="E49" s="3265" t="s">
        <v>968</v>
      </c>
      <c r="F49" s="3266" t="s">
        <v>969</v>
      </c>
      <c r="G49" s="3227">
        <v>0</v>
      </c>
      <c r="H49" s="3227">
        <v>0</v>
      </c>
      <c r="I49" s="3198">
        <v>0</v>
      </c>
      <c r="J49" s="3227">
        <v>0</v>
      </c>
      <c r="K49" s="3227">
        <v>40000</v>
      </c>
      <c r="L49" s="3198">
        <v>40000</v>
      </c>
      <c r="M49" s="3227">
        <v>0</v>
      </c>
      <c r="N49" s="3227">
        <v>0</v>
      </c>
      <c r="O49" s="3241">
        <v>0</v>
      </c>
      <c r="P49" s="3198">
        <v>0</v>
      </c>
      <c r="Q49" s="3198">
        <v>40000</v>
      </c>
      <c r="R49" s="3198">
        <v>40000</v>
      </c>
      <c r="S49" s="3227">
        <v>98.630139999999997</v>
      </c>
      <c r="T49" s="3227">
        <v>0</v>
      </c>
      <c r="U49" s="3298">
        <v>98.630139999999997</v>
      </c>
    </row>
    <row r="50" spans="1:26" ht="21" thickBot="1">
      <c r="A50" s="3177"/>
      <c r="B50" s="3267" t="s">
        <v>970</v>
      </c>
      <c r="C50" s="3267"/>
      <c r="D50" s="3177"/>
      <c r="E50" s="3250"/>
      <c r="F50" s="3168"/>
      <c r="G50" s="3227">
        <v>9133.0800400000007</v>
      </c>
      <c r="H50" s="3227">
        <v>13988.698499999999</v>
      </c>
      <c r="I50" s="3227">
        <v>23121.778539999999</v>
      </c>
      <c r="J50" s="3227">
        <v>0</v>
      </c>
      <c r="K50" s="3227">
        <v>40000</v>
      </c>
      <c r="L50" s="3227">
        <v>40000</v>
      </c>
      <c r="M50" s="3227">
        <v>590.95833000000005</v>
      </c>
      <c r="N50" s="3227">
        <v>901.1</v>
      </c>
      <c r="O50" s="3227">
        <v>1492.0583299999998</v>
      </c>
      <c r="P50" s="3227">
        <v>8542.1217099999994</v>
      </c>
      <c r="Q50" s="3227">
        <v>53087.598499999993</v>
      </c>
      <c r="R50" s="3227">
        <v>61629.720209999999</v>
      </c>
      <c r="S50" s="3227">
        <v>732.11659060000011</v>
      </c>
      <c r="T50" s="3227">
        <v>664.68455940000013</v>
      </c>
      <c r="U50" s="3227">
        <v>1396.80115</v>
      </c>
      <c r="X50" s="911"/>
      <c r="Y50" s="911"/>
      <c r="Z50" s="911"/>
    </row>
    <row r="51" spans="1:26" ht="24" thickBot="1">
      <c r="A51" s="3177"/>
      <c r="B51" s="3268" t="s">
        <v>2706</v>
      </c>
      <c r="C51" s="3267"/>
      <c r="D51" s="3177"/>
      <c r="E51" s="3250"/>
      <c r="F51" s="3168"/>
      <c r="G51" s="3227">
        <v>17678.080040000001</v>
      </c>
      <c r="H51" s="3227">
        <v>147667.86850000001</v>
      </c>
      <c r="I51" s="3227">
        <v>165345.94854000001</v>
      </c>
      <c r="J51" s="3227">
        <v>9000</v>
      </c>
      <c r="K51" s="3227">
        <v>165800</v>
      </c>
      <c r="L51" s="3227">
        <v>174800</v>
      </c>
      <c r="M51" s="3227">
        <v>11390.458329999999</v>
      </c>
      <c r="N51" s="3227">
        <v>125718.27</v>
      </c>
      <c r="O51" s="3227">
        <v>137108.72832999998</v>
      </c>
      <c r="P51" s="3227">
        <v>15287.621709999999</v>
      </c>
      <c r="Q51" s="3227">
        <v>187749.59849999999</v>
      </c>
      <c r="R51" s="3227">
        <v>203037.22021</v>
      </c>
      <c r="S51" s="3227">
        <v>1138.3290906000002</v>
      </c>
      <c r="T51" s="3261">
        <v>7296.7284893999986</v>
      </c>
      <c r="U51" s="3227">
        <v>8435.0527799999982</v>
      </c>
      <c r="X51" s="911"/>
      <c r="Y51" s="911"/>
      <c r="Z51" s="911"/>
    </row>
    <row r="53" spans="1:26" ht="15.75" thickBot="1"/>
    <row r="54" spans="1:26" ht="24" thickBot="1">
      <c r="A54" s="3270"/>
      <c r="B54" s="3271" t="s">
        <v>2707</v>
      </c>
      <c r="C54" s="3271" t="s">
        <v>2705</v>
      </c>
      <c r="D54" s="3273"/>
      <c r="E54" s="3273"/>
      <c r="F54" s="3273"/>
      <c r="G54" s="3273"/>
      <c r="H54" s="3273"/>
      <c r="I54" s="3273"/>
      <c r="J54" s="3273"/>
      <c r="K54" s="3273"/>
      <c r="L54" s="3273"/>
      <c r="M54" s="3273"/>
      <c r="N54" s="3273"/>
      <c r="O54" s="3273"/>
      <c r="P54" s="3273"/>
      <c r="Q54" s="3273"/>
      <c r="R54" s="3333"/>
      <c r="S54" s="3274">
        <v>120</v>
      </c>
      <c r="T54" s="3272">
        <v>818.67</v>
      </c>
      <c r="U54" s="3272">
        <v>962.67048</v>
      </c>
    </row>
    <row r="57" spans="1:26" ht="21">
      <c r="B57" s="247" t="s">
        <v>2710</v>
      </c>
      <c r="S57" s="3334"/>
    </row>
    <row r="58" spans="1:26" ht="21">
      <c r="B58" s="247"/>
      <c r="S58" s="3334"/>
    </row>
    <row r="59" spans="1:26" ht="21">
      <c r="B59" s="247" t="s">
        <v>2711</v>
      </c>
      <c r="S59" s="3334"/>
    </row>
    <row r="60" spans="1:26" ht="21">
      <c r="S60" s="3334"/>
    </row>
    <row r="61" spans="1:26" ht="21">
      <c r="S61" s="3334"/>
    </row>
  </sheetData>
  <mergeCells count="19">
    <mergeCell ref="A33:A37"/>
    <mergeCell ref="B33:B37"/>
    <mergeCell ref="A40:A41"/>
    <mergeCell ref="B40:B41"/>
    <mergeCell ref="A5:A19"/>
    <mergeCell ref="B5:B19"/>
    <mergeCell ref="A21:A25"/>
    <mergeCell ref="B21:B25"/>
    <mergeCell ref="A26:A32"/>
    <mergeCell ref="B26:B32"/>
    <mergeCell ref="A1:U1"/>
    <mergeCell ref="A2:A3"/>
    <mergeCell ref="B2:B3"/>
    <mergeCell ref="E2:F2"/>
    <mergeCell ref="G2:I2"/>
    <mergeCell ref="J2:L2"/>
    <mergeCell ref="M2:O2"/>
    <mergeCell ref="P2:R2"/>
    <mergeCell ref="S2:U2"/>
  </mergeCells>
  <pageMargins left="0.16" right="0.21" top="0.35" bottom="0.75" header="0.3" footer="0.3"/>
  <pageSetup paperSize="9" scale="35" orientation="landscape" horizontalDpi="180" verticalDpi="180" r:id="rId1"/>
</worksheet>
</file>

<file path=xl/worksheets/sheet105.xml><?xml version="1.0" encoding="utf-8"?>
<worksheet xmlns="http://schemas.openxmlformats.org/spreadsheetml/2006/main" xmlns:r="http://schemas.openxmlformats.org/officeDocument/2006/relationships">
  <sheetPr codeName="Sheet84">
    <pageSetUpPr fitToPage="1"/>
  </sheetPr>
  <dimension ref="A1:AE47"/>
  <sheetViews>
    <sheetView showGridLines="0" zoomScale="60" zoomScaleNormal="60" workbookViewId="0">
      <pane xSplit="3" ySplit="3" topLeftCell="D21" activePane="bottomRight" state="frozen"/>
      <selection activeCell="B23" activeCellId="1" sqref="B57 B23"/>
      <selection pane="topRight" activeCell="B23" activeCellId="1" sqref="B57 B23"/>
      <selection pane="bottomLeft" activeCell="B23" activeCellId="1" sqref="B57 B23"/>
      <selection pane="bottomRight" activeCell="B23" activeCellId="1" sqref="B57 B23"/>
    </sheetView>
  </sheetViews>
  <sheetFormatPr defaultRowHeight="15"/>
  <cols>
    <col min="1" max="1" width="7.140625" customWidth="1"/>
    <col min="2" max="2" width="40.85546875" customWidth="1"/>
    <col min="3" max="3" width="7.140625" customWidth="1"/>
    <col min="4" max="4" width="12" customWidth="1"/>
    <col min="5" max="5" width="16.85546875" customWidth="1"/>
    <col min="6" max="6" width="16.85546875" hidden="1" customWidth="1"/>
    <col min="7" max="7" width="14.140625" customWidth="1"/>
    <col min="8" max="9" width="16" customWidth="1"/>
    <col min="10" max="12" width="14.140625" customWidth="1"/>
    <col min="13" max="13" width="13.28515625" customWidth="1"/>
    <col min="14" max="16" width="14.140625" customWidth="1"/>
    <col min="17" max="18" width="16" customWidth="1"/>
    <col min="19" max="19" width="13.28515625" customWidth="1"/>
    <col min="20" max="20" width="12.42578125" customWidth="1"/>
    <col min="21" max="22" width="12.7109375" customWidth="1"/>
    <col min="257" max="257" width="7.140625" customWidth="1"/>
    <col min="258" max="258" width="40.85546875" customWidth="1"/>
    <col min="259" max="259" width="7.140625" customWidth="1"/>
    <col min="260" max="260" width="12" customWidth="1"/>
    <col min="261" max="261" width="16.85546875" customWidth="1"/>
    <col min="262" max="262" width="0" hidden="1" customWidth="1"/>
    <col min="263" max="263" width="14.140625" customWidth="1"/>
    <col min="264" max="265" width="16" customWidth="1"/>
    <col min="266" max="268" width="14.140625" customWidth="1"/>
    <col min="269" max="269" width="13.28515625" customWidth="1"/>
    <col min="270" max="272" width="14.140625" customWidth="1"/>
    <col min="273" max="274" width="16" customWidth="1"/>
    <col min="275" max="275" width="13.28515625" customWidth="1"/>
    <col min="276" max="276" width="12.42578125" customWidth="1"/>
    <col min="277" max="278" width="12.7109375" customWidth="1"/>
    <col min="513" max="513" width="7.140625" customWidth="1"/>
    <col min="514" max="514" width="40.85546875" customWidth="1"/>
    <col min="515" max="515" width="7.140625" customWidth="1"/>
    <col min="516" max="516" width="12" customWidth="1"/>
    <col min="517" max="517" width="16.85546875" customWidth="1"/>
    <col min="518" max="518" width="0" hidden="1" customWidth="1"/>
    <col min="519" max="519" width="14.140625" customWidth="1"/>
    <col min="520" max="521" width="16" customWidth="1"/>
    <col min="522" max="524" width="14.140625" customWidth="1"/>
    <col min="525" max="525" width="13.28515625" customWidth="1"/>
    <col min="526" max="528" width="14.140625" customWidth="1"/>
    <col min="529" max="530" width="16" customWidth="1"/>
    <col min="531" max="531" width="13.28515625" customWidth="1"/>
    <col min="532" max="532" width="12.42578125" customWidth="1"/>
    <col min="533" max="534" width="12.7109375" customWidth="1"/>
    <col min="769" max="769" width="7.140625" customWidth="1"/>
    <col min="770" max="770" width="40.85546875" customWidth="1"/>
    <col min="771" max="771" width="7.140625" customWidth="1"/>
    <col min="772" max="772" width="12" customWidth="1"/>
    <col min="773" max="773" width="16.85546875" customWidth="1"/>
    <col min="774" max="774" width="0" hidden="1" customWidth="1"/>
    <col min="775" max="775" width="14.140625" customWidth="1"/>
    <col min="776" max="777" width="16" customWidth="1"/>
    <col min="778" max="780" width="14.140625" customWidth="1"/>
    <col min="781" max="781" width="13.28515625" customWidth="1"/>
    <col min="782" max="784" width="14.140625" customWidth="1"/>
    <col min="785" max="786" width="16" customWidth="1"/>
    <col min="787" max="787" width="13.28515625" customWidth="1"/>
    <col min="788" max="788" width="12.42578125" customWidth="1"/>
    <col min="789" max="790" width="12.7109375" customWidth="1"/>
    <col min="1025" max="1025" width="7.140625" customWidth="1"/>
    <col min="1026" max="1026" width="40.85546875" customWidth="1"/>
    <col min="1027" max="1027" width="7.140625" customWidth="1"/>
    <col min="1028" max="1028" width="12" customWidth="1"/>
    <col min="1029" max="1029" width="16.85546875" customWidth="1"/>
    <col min="1030" max="1030" width="0" hidden="1" customWidth="1"/>
    <col min="1031" max="1031" width="14.140625" customWidth="1"/>
    <col min="1032" max="1033" width="16" customWidth="1"/>
    <col min="1034" max="1036" width="14.140625" customWidth="1"/>
    <col min="1037" max="1037" width="13.28515625" customWidth="1"/>
    <col min="1038" max="1040" width="14.140625" customWidth="1"/>
    <col min="1041" max="1042" width="16" customWidth="1"/>
    <col min="1043" max="1043" width="13.28515625" customWidth="1"/>
    <col min="1044" max="1044" width="12.42578125" customWidth="1"/>
    <col min="1045" max="1046" width="12.7109375" customWidth="1"/>
    <col min="1281" max="1281" width="7.140625" customWidth="1"/>
    <col min="1282" max="1282" width="40.85546875" customWidth="1"/>
    <col min="1283" max="1283" width="7.140625" customWidth="1"/>
    <col min="1284" max="1284" width="12" customWidth="1"/>
    <col min="1285" max="1285" width="16.85546875" customWidth="1"/>
    <col min="1286" max="1286" width="0" hidden="1" customWidth="1"/>
    <col min="1287" max="1287" width="14.140625" customWidth="1"/>
    <col min="1288" max="1289" width="16" customWidth="1"/>
    <col min="1290" max="1292" width="14.140625" customWidth="1"/>
    <col min="1293" max="1293" width="13.28515625" customWidth="1"/>
    <col min="1294" max="1296" width="14.140625" customWidth="1"/>
    <col min="1297" max="1298" width="16" customWidth="1"/>
    <col min="1299" max="1299" width="13.28515625" customWidth="1"/>
    <col min="1300" max="1300" width="12.42578125" customWidth="1"/>
    <col min="1301" max="1302" width="12.7109375" customWidth="1"/>
    <col min="1537" max="1537" width="7.140625" customWidth="1"/>
    <col min="1538" max="1538" width="40.85546875" customWidth="1"/>
    <col min="1539" max="1539" width="7.140625" customWidth="1"/>
    <col min="1540" max="1540" width="12" customWidth="1"/>
    <col min="1541" max="1541" width="16.85546875" customWidth="1"/>
    <col min="1542" max="1542" width="0" hidden="1" customWidth="1"/>
    <col min="1543" max="1543" width="14.140625" customWidth="1"/>
    <col min="1544" max="1545" width="16" customWidth="1"/>
    <col min="1546" max="1548" width="14.140625" customWidth="1"/>
    <col min="1549" max="1549" width="13.28515625" customWidth="1"/>
    <col min="1550" max="1552" width="14.140625" customWidth="1"/>
    <col min="1553" max="1554" width="16" customWidth="1"/>
    <col min="1555" max="1555" width="13.28515625" customWidth="1"/>
    <col min="1556" max="1556" width="12.42578125" customWidth="1"/>
    <col min="1557" max="1558" width="12.7109375" customWidth="1"/>
    <col min="1793" max="1793" width="7.140625" customWidth="1"/>
    <col min="1794" max="1794" width="40.85546875" customWidth="1"/>
    <col min="1795" max="1795" width="7.140625" customWidth="1"/>
    <col min="1796" max="1796" width="12" customWidth="1"/>
    <col min="1797" max="1797" width="16.85546875" customWidth="1"/>
    <col min="1798" max="1798" width="0" hidden="1" customWidth="1"/>
    <col min="1799" max="1799" width="14.140625" customWidth="1"/>
    <col min="1800" max="1801" width="16" customWidth="1"/>
    <col min="1802" max="1804" width="14.140625" customWidth="1"/>
    <col min="1805" max="1805" width="13.28515625" customWidth="1"/>
    <col min="1806" max="1808" width="14.140625" customWidth="1"/>
    <col min="1809" max="1810" width="16" customWidth="1"/>
    <col min="1811" max="1811" width="13.28515625" customWidth="1"/>
    <col min="1812" max="1812" width="12.42578125" customWidth="1"/>
    <col min="1813" max="1814" width="12.7109375" customWidth="1"/>
    <col min="2049" max="2049" width="7.140625" customWidth="1"/>
    <col min="2050" max="2050" width="40.85546875" customWidth="1"/>
    <col min="2051" max="2051" width="7.140625" customWidth="1"/>
    <col min="2052" max="2052" width="12" customWidth="1"/>
    <col min="2053" max="2053" width="16.85546875" customWidth="1"/>
    <col min="2054" max="2054" width="0" hidden="1" customWidth="1"/>
    <col min="2055" max="2055" width="14.140625" customWidth="1"/>
    <col min="2056" max="2057" width="16" customWidth="1"/>
    <col min="2058" max="2060" width="14.140625" customWidth="1"/>
    <col min="2061" max="2061" width="13.28515625" customWidth="1"/>
    <col min="2062" max="2064" width="14.140625" customWidth="1"/>
    <col min="2065" max="2066" width="16" customWidth="1"/>
    <col min="2067" max="2067" width="13.28515625" customWidth="1"/>
    <col min="2068" max="2068" width="12.42578125" customWidth="1"/>
    <col min="2069" max="2070" width="12.7109375" customWidth="1"/>
    <col min="2305" max="2305" width="7.140625" customWidth="1"/>
    <col min="2306" max="2306" width="40.85546875" customWidth="1"/>
    <col min="2307" max="2307" width="7.140625" customWidth="1"/>
    <col min="2308" max="2308" width="12" customWidth="1"/>
    <col min="2309" max="2309" width="16.85546875" customWidth="1"/>
    <col min="2310" max="2310" width="0" hidden="1" customWidth="1"/>
    <col min="2311" max="2311" width="14.140625" customWidth="1"/>
    <col min="2312" max="2313" width="16" customWidth="1"/>
    <col min="2314" max="2316" width="14.140625" customWidth="1"/>
    <col min="2317" max="2317" width="13.28515625" customWidth="1"/>
    <col min="2318" max="2320" width="14.140625" customWidth="1"/>
    <col min="2321" max="2322" width="16" customWidth="1"/>
    <col min="2323" max="2323" width="13.28515625" customWidth="1"/>
    <col min="2324" max="2324" width="12.42578125" customWidth="1"/>
    <col min="2325" max="2326" width="12.7109375" customWidth="1"/>
    <col min="2561" max="2561" width="7.140625" customWidth="1"/>
    <col min="2562" max="2562" width="40.85546875" customWidth="1"/>
    <col min="2563" max="2563" width="7.140625" customWidth="1"/>
    <col min="2564" max="2564" width="12" customWidth="1"/>
    <col min="2565" max="2565" width="16.85546875" customWidth="1"/>
    <col min="2566" max="2566" width="0" hidden="1" customWidth="1"/>
    <col min="2567" max="2567" width="14.140625" customWidth="1"/>
    <col min="2568" max="2569" width="16" customWidth="1"/>
    <col min="2570" max="2572" width="14.140625" customWidth="1"/>
    <col min="2573" max="2573" width="13.28515625" customWidth="1"/>
    <col min="2574" max="2576" width="14.140625" customWidth="1"/>
    <col min="2577" max="2578" width="16" customWidth="1"/>
    <col min="2579" max="2579" width="13.28515625" customWidth="1"/>
    <col min="2580" max="2580" width="12.42578125" customWidth="1"/>
    <col min="2581" max="2582" width="12.7109375" customWidth="1"/>
    <col min="2817" max="2817" width="7.140625" customWidth="1"/>
    <col min="2818" max="2818" width="40.85546875" customWidth="1"/>
    <col min="2819" max="2819" width="7.140625" customWidth="1"/>
    <col min="2820" max="2820" width="12" customWidth="1"/>
    <col min="2821" max="2821" width="16.85546875" customWidth="1"/>
    <col min="2822" max="2822" width="0" hidden="1" customWidth="1"/>
    <col min="2823" max="2823" width="14.140625" customWidth="1"/>
    <col min="2824" max="2825" width="16" customWidth="1"/>
    <col min="2826" max="2828" width="14.140625" customWidth="1"/>
    <col min="2829" max="2829" width="13.28515625" customWidth="1"/>
    <col min="2830" max="2832" width="14.140625" customWidth="1"/>
    <col min="2833" max="2834" width="16" customWidth="1"/>
    <col min="2835" max="2835" width="13.28515625" customWidth="1"/>
    <col min="2836" max="2836" width="12.42578125" customWidth="1"/>
    <col min="2837" max="2838" width="12.7109375" customWidth="1"/>
    <col min="3073" max="3073" width="7.140625" customWidth="1"/>
    <col min="3074" max="3074" width="40.85546875" customWidth="1"/>
    <col min="3075" max="3075" width="7.140625" customWidth="1"/>
    <col min="3076" max="3076" width="12" customWidth="1"/>
    <col min="3077" max="3077" width="16.85546875" customWidth="1"/>
    <col min="3078" max="3078" width="0" hidden="1" customWidth="1"/>
    <col min="3079" max="3079" width="14.140625" customWidth="1"/>
    <col min="3080" max="3081" width="16" customWidth="1"/>
    <col min="3082" max="3084" width="14.140625" customWidth="1"/>
    <col min="3085" max="3085" width="13.28515625" customWidth="1"/>
    <col min="3086" max="3088" width="14.140625" customWidth="1"/>
    <col min="3089" max="3090" width="16" customWidth="1"/>
    <col min="3091" max="3091" width="13.28515625" customWidth="1"/>
    <col min="3092" max="3092" width="12.42578125" customWidth="1"/>
    <col min="3093" max="3094" width="12.7109375" customWidth="1"/>
    <col min="3329" max="3329" width="7.140625" customWidth="1"/>
    <col min="3330" max="3330" width="40.85546875" customWidth="1"/>
    <col min="3331" max="3331" width="7.140625" customWidth="1"/>
    <col min="3332" max="3332" width="12" customWidth="1"/>
    <col min="3333" max="3333" width="16.85546875" customWidth="1"/>
    <col min="3334" max="3334" width="0" hidden="1" customWidth="1"/>
    <col min="3335" max="3335" width="14.140625" customWidth="1"/>
    <col min="3336" max="3337" width="16" customWidth="1"/>
    <col min="3338" max="3340" width="14.140625" customWidth="1"/>
    <col min="3341" max="3341" width="13.28515625" customWidth="1"/>
    <col min="3342" max="3344" width="14.140625" customWidth="1"/>
    <col min="3345" max="3346" width="16" customWidth="1"/>
    <col min="3347" max="3347" width="13.28515625" customWidth="1"/>
    <col min="3348" max="3348" width="12.42578125" customWidth="1"/>
    <col min="3349" max="3350" width="12.7109375" customWidth="1"/>
    <col min="3585" max="3585" width="7.140625" customWidth="1"/>
    <col min="3586" max="3586" width="40.85546875" customWidth="1"/>
    <col min="3587" max="3587" width="7.140625" customWidth="1"/>
    <col min="3588" max="3588" width="12" customWidth="1"/>
    <col min="3589" max="3589" width="16.85546875" customWidth="1"/>
    <col min="3590" max="3590" width="0" hidden="1" customWidth="1"/>
    <col min="3591" max="3591" width="14.140625" customWidth="1"/>
    <col min="3592" max="3593" width="16" customWidth="1"/>
    <col min="3594" max="3596" width="14.140625" customWidth="1"/>
    <col min="3597" max="3597" width="13.28515625" customWidth="1"/>
    <col min="3598" max="3600" width="14.140625" customWidth="1"/>
    <col min="3601" max="3602" width="16" customWidth="1"/>
    <col min="3603" max="3603" width="13.28515625" customWidth="1"/>
    <col min="3604" max="3604" width="12.42578125" customWidth="1"/>
    <col min="3605" max="3606" width="12.7109375" customWidth="1"/>
    <col min="3841" max="3841" width="7.140625" customWidth="1"/>
    <col min="3842" max="3842" width="40.85546875" customWidth="1"/>
    <col min="3843" max="3843" width="7.140625" customWidth="1"/>
    <col min="3844" max="3844" width="12" customWidth="1"/>
    <col min="3845" max="3845" width="16.85546875" customWidth="1"/>
    <col min="3846" max="3846" width="0" hidden="1" customWidth="1"/>
    <col min="3847" max="3847" width="14.140625" customWidth="1"/>
    <col min="3848" max="3849" width="16" customWidth="1"/>
    <col min="3850" max="3852" width="14.140625" customWidth="1"/>
    <col min="3853" max="3853" width="13.28515625" customWidth="1"/>
    <col min="3854" max="3856" width="14.140625" customWidth="1"/>
    <col min="3857" max="3858" width="16" customWidth="1"/>
    <col min="3859" max="3859" width="13.28515625" customWidth="1"/>
    <col min="3860" max="3860" width="12.42578125" customWidth="1"/>
    <col min="3861" max="3862" width="12.7109375" customWidth="1"/>
    <col min="4097" max="4097" width="7.140625" customWidth="1"/>
    <col min="4098" max="4098" width="40.85546875" customWidth="1"/>
    <col min="4099" max="4099" width="7.140625" customWidth="1"/>
    <col min="4100" max="4100" width="12" customWidth="1"/>
    <col min="4101" max="4101" width="16.85546875" customWidth="1"/>
    <col min="4102" max="4102" width="0" hidden="1" customWidth="1"/>
    <col min="4103" max="4103" width="14.140625" customWidth="1"/>
    <col min="4104" max="4105" width="16" customWidth="1"/>
    <col min="4106" max="4108" width="14.140625" customWidth="1"/>
    <col min="4109" max="4109" width="13.28515625" customWidth="1"/>
    <col min="4110" max="4112" width="14.140625" customWidth="1"/>
    <col min="4113" max="4114" width="16" customWidth="1"/>
    <col min="4115" max="4115" width="13.28515625" customWidth="1"/>
    <col min="4116" max="4116" width="12.42578125" customWidth="1"/>
    <col min="4117" max="4118" width="12.7109375" customWidth="1"/>
    <col min="4353" max="4353" width="7.140625" customWidth="1"/>
    <col min="4354" max="4354" width="40.85546875" customWidth="1"/>
    <col min="4355" max="4355" width="7.140625" customWidth="1"/>
    <col min="4356" max="4356" width="12" customWidth="1"/>
    <col min="4357" max="4357" width="16.85546875" customWidth="1"/>
    <col min="4358" max="4358" width="0" hidden="1" customWidth="1"/>
    <col min="4359" max="4359" width="14.140625" customWidth="1"/>
    <col min="4360" max="4361" width="16" customWidth="1"/>
    <col min="4362" max="4364" width="14.140625" customWidth="1"/>
    <col min="4365" max="4365" width="13.28515625" customWidth="1"/>
    <col min="4366" max="4368" width="14.140625" customWidth="1"/>
    <col min="4369" max="4370" width="16" customWidth="1"/>
    <col min="4371" max="4371" width="13.28515625" customWidth="1"/>
    <col min="4372" max="4372" width="12.42578125" customWidth="1"/>
    <col min="4373" max="4374" width="12.7109375" customWidth="1"/>
    <col min="4609" max="4609" width="7.140625" customWidth="1"/>
    <col min="4610" max="4610" width="40.85546875" customWidth="1"/>
    <col min="4611" max="4611" width="7.140625" customWidth="1"/>
    <col min="4612" max="4612" width="12" customWidth="1"/>
    <col min="4613" max="4613" width="16.85546875" customWidth="1"/>
    <col min="4614" max="4614" width="0" hidden="1" customWidth="1"/>
    <col min="4615" max="4615" width="14.140625" customWidth="1"/>
    <col min="4616" max="4617" width="16" customWidth="1"/>
    <col min="4618" max="4620" width="14.140625" customWidth="1"/>
    <col min="4621" max="4621" width="13.28515625" customWidth="1"/>
    <col min="4622" max="4624" width="14.140625" customWidth="1"/>
    <col min="4625" max="4626" width="16" customWidth="1"/>
    <col min="4627" max="4627" width="13.28515625" customWidth="1"/>
    <col min="4628" max="4628" width="12.42578125" customWidth="1"/>
    <col min="4629" max="4630" width="12.7109375" customWidth="1"/>
    <col min="4865" max="4865" width="7.140625" customWidth="1"/>
    <col min="4866" max="4866" width="40.85546875" customWidth="1"/>
    <col min="4867" max="4867" width="7.140625" customWidth="1"/>
    <col min="4868" max="4868" width="12" customWidth="1"/>
    <col min="4869" max="4869" width="16.85546875" customWidth="1"/>
    <col min="4870" max="4870" width="0" hidden="1" customWidth="1"/>
    <col min="4871" max="4871" width="14.140625" customWidth="1"/>
    <col min="4872" max="4873" width="16" customWidth="1"/>
    <col min="4874" max="4876" width="14.140625" customWidth="1"/>
    <col min="4877" max="4877" width="13.28515625" customWidth="1"/>
    <col min="4878" max="4880" width="14.140625" customWidth="1"/>
    <col min="4881" max="4882" width="16" customWidth="1"/>
    <col min="4883" max="4883" width="13.28515625" customWidth="1"/>
    <col min="4884" max="4884" width="12.42578125" customWidth="1"/>
    <col min="4885" max="4886" width="12.7109375" customWidth="1"/>
    <col min="5121" max="5121" width="7.140625" customWidth="1"/>
    <col min="5122" max="5122" width="40.85546875" customWidth="1"/>
    <col min="5123" max="5123" width="7.140625" customWidth="1"/>
    <col min="5124" max="5124" width="12" customWidth="1"/>
    <col min="5125" max="5125" width="16.85546875" customWidth="1"/>
    <col min="5126" max="5126" width="0" hidden="1" customWidth="1"/>
    <col min="5127" max="5127" width="14.140625" customWidth="1"/>
    <col min="5128" max="5129" width="16" customWidth="1"/>
    <col min="5130" max="5132" width="14.140625" customWidth="1"/>
    <col min="5133" max="5133" width="13.28515625" customWidth="1"/>
    <col min="5134" max="5136" width="14.140625" customWidth="1"/>
    <col min="5137" max="5138" width="16" customWidth="1"/>
    <col min="5139" max="5139" width="13.28515625" customWidth="1"/>
    <col min="5140" max="5140" width="12.42578125" customWidth="1"/>
    <col min="5141" max="5142" width="12.7109375" customWidth="1"/>
    <col min="5377" max="5377" width="7.140625" customWidth="1"/>
    <col min="5378" max="5378" width="40.85546875" customWidth="1"/>
    <col min="5379" max="5379" width="7.140625" customWidth="1"/>
    <col min="5380" max="5380" width="12" customWidth="1"/>
    <col min="5381" max="5381" width="16.85546875" customWidth="1"/>
    <col min="5382" max="5382" width="0" hidden="1" customWidth="1"/>
    <col min="5383" max="5383" width="14.140625" customWidth="1"/>
    <col min="5384" max="5385" width="16" customWidth="1"/>
    <col min="5386" max="5388" width="14.140625" customWidth="1"/>
    <col min="5389" max="5389" width="13.28515625" customWidth="1"/>
    <col min="5390" max="5392" width="14.140625" customWidth="1"/>
    <col min="5393" max="5394" width="16" customWidth="1"/>
    <col min="5395" max="5395" width="13.28515625" customWidth="1"/>
    <col min="5396" max="5396" width="12.42578125" customWidth="1"/>
    <col min="5397" max="5398" width="12.7109375" customWidth="1"/>
    <col min="5633" max="5633" width="7.140625" customWidth="1"/>
    <col min="5634" max="5634" width="40.85546875" customWidth="1"/>
    <col min="5635" max="5635" width="7.140625" customWidth="1"/>
    <col min="5636" max="5636" width="12" customWidth="1"/>
    <col min="5637" max="5637" width="16.85546875" customWidth="1"/>
    <col min="5638" max="5638" width="0" hidden="1" customWidth="1"/>
    <col min="5639" max="5639" width="14.140625" customWidth="1"/>
    <col min="5640" max="5641" width="16" customWidth="1"/>
    <col min="5642" max="5644" width="14.140625" customWidth="1"/>
    <col min="5645" max="5645" width="13.28515625" customWidth="1"/>
    <col min="5646" max="5648" width="14.140625" customWidth="1"/>
    <col min="5649" max="5650" width="16" customWidth="1"/>
    <col min="5651" max="5651" width="13.28515625" customWidth="1"/>
    <col min="5652" max="5652" width="12.42578125" customWidth="1"/>
    <col min="5653" max="5654" width="12.7109375" customWidth="1"/>
    <col min="5889" max="5889" width="7.140625" customWidth="1"/>
    <col min="5890" max="5890" width="40.85546875" customWidth="1"/>
    <col min="5891" max="5891" width="7.140625" customWidth="1"/>
    <col min="5892" max="5892" width="12" customWidth="1"/>
    <col min="5893" max="5893" width="16.85546875" customWidth="1"/>
    <col min="5894" max="5894" width="0" hidden="1" customWidth="1"/>
    <col min="5895" max="5895" width="14.140625" customWidth="1"/>
    <col min="5896" max="5897" width="16" customWidth="1"/>
    <col min="5898" max="5900" width="14.140625" customWidth="1"/>
    <col min="5901" max="5901" width="13.28515625" customWidth="1"/>
    <col min="5902" max="5904" width="14.140625" customWidth="1"/>
    <col min="5905" max="5906" width="16" customWidth="1"/>
    <col min="5907" max="5907" width="13.28515625" customWidth="1"/>
    <col min="5908" max="5908" width="12.42578125" customWidth="1"/>
    <col min="5909" max="5910" width="12.7109375" customWidth="1"/>
    <col min="6145" max="6145" width="7.140625" customWidth="1"/>
    <col min="6146" max="6146" width="40.85546875" customWidth="1"/>
    <col min="6147" max="6147" width="7.140625" customWidth="1"/>
    <col min="6148" max="6148" width="12" customWidth="1"/>
    <col min="6149" max="6149" width="16.85546875" customWidth="1"/>
    <col min="6150" max="6150" width="0" hidden="1" customWidth="1"/>
    <col min="6151" max="6151" width="14.140625" customWidth="1"/>
    <col min="6152" max="6153" width="16" customWidth="1"/>
    <col min="6154" max="6156" width="14.140625" customWidth="1"/>
    <col min="6157" max="6157" width="13.28515625" customWidth="1"/>
    <col min="6158" max="6160" width="14.140625" customWidth="1"/>
    <col min="6161" max="6162" width="16" customWidth="1"/>
    <col min="6163" max="6163" width="13.28515625" customWidth="1"/>
    <col min="6164" max="6164" width="12.42578125" customWidth="1"/>
    <col min="6165" max="6166" width="12.7109375" customWidth="1"/>
    <col min="6401" max="6401" width="7.140625" customWidth="1"/>
    <col min="6402" max="6402" width="40.85546875" customWidth="1"/>
    <col min="6403" max="6403" width="7.140625" customWidth="1"/>
    <col min="6404" max="6404" width="12" customWidth="1"/>
    <col min="6405" max="6405" width="16.85546875" customWidth="1"/>
    <col min="6406" max="6406" width="0" hidden="1" customWidth="1"/>
    <col min="6407" max="6407" width="14.140625" customWidth="1"/>
    <col min="6408" max="6409" width="16" customWidth="1"/>
    <col min="6410" max="6412" width="14.140625" customWidth="1"/>
    <col min="6413" max="6413" width="13.28515625" customWidth="1"/>
    <col min="6414" max="6416" width="14.140625" customWidth="1"/>
    <col min="6417" max="6418" width="16" customWidth="1"/>
    <col min="6419" max="6419" width="13.28515625" customWidth="1"/>
    <col min="6420" max="6420" width="12.42578125" customWidth="1"/>
    <col min="6421" max="6422" width="12.7109375" customWidth="1"/>
    <col min="6657" max="6657" width="7.140625" customWidth="1"/>
    <col min="6658" max="6658" width="40.85546875" customWidth="1"/>
    <col min="6659" max="6659" width="7.140625" customWidth="1"/>
    <col min="6660" max="6660" width="12" customWidth="1"/>
    <col min="6661" max="6661" width="16.85546875" customWidth="1"/>
    <col min="6662" max="6662" width="0" hidden="1" customWidth="1"/>
    <col min="6663" max="6663" width="14.140625" customWidth="1"/>
    <col min="6664" max="6665" width="16" customWidth="1"/>
    <col min="6666" max="6668" width="14.140625" customWidth="1"/>
    <col min="6669" max="6669" width="13.28515625" customWidth="1"/>
    <col min="6670" max="6672" width="14.140625" customWidth="1"/>
    <col min="6673" max="6674" width="16" customWidth="1"/>
    <col min="6675" max="6675" width="13.28515625" customWidth="1"/>
    <col min="6676" max="6676" width="12.42578125" customWidth="1"/>
    <col min="6677" max="6678" width="12.7109375" customWidth="1"/>
    <col min="6913" max="6913" width="7.140625" customWidth="1"/>
    <col min="6914" max="6914" width="40.85546875" customWidth="1"/>
    <col min="6915" max="6915" width="7.140625" customWidth="1"/>
    <col min="6916" max="6916" width="12" customWidth="1"/>
    <col min="6917" max="6917" width="16.85546875" customWidth="1"/>
    <col min="6918" max="6918" width="0" hidden="1" customWidth="1"/>
    <col min="6919" max="6919" width="14.140625" customWidth="1"/>
    <col min="6920" max="6921" width="16" customWidth="1"/>
    <col min="6922" max="6924" width="14.140625" customWidth="1"/>
    <col min="6925" max="6925" width="13.28515625" customWidth="1"/>
    <col min="6926" max="6928" width="14.140625" customWidth="1"/>
    <col min="6929" max="6930" width="16" customWidth="1"/>
    <col min="6931" max="6931" width="13.28515625" customWidth="1"/>
    <col min="6932" max="6932" width="12.42578125" customWidth="1"/>
    <col min="6933" max="6934" width="12.7109375" customWidth="1"/>
    <col min="7169" max="7169" width="7.140625" customWidth="1"/>
    <col min="7170" max="7170" width="40.85546875" customWidth="1"/>
    <col min="7171" max="7171" width="7.140625" customWidth="1"/>
    <col min="7172" max="7172" width="12" customWidth="1"/>
    <col min="7173" max="7173" width="16.85546875" customWidth="1"/>
    <col min="7174" max="7174" width="0" hidden="1" customWidth="1"/>
    <col min="7175" max="7175" width="14.140625" customWidth="1"/>
    <col min="7176" max="7177" width="16" customWidth="1"/>
    <col min="7178" max="7180" width="14.140625" customWidth="1"/>
    <col min="7181" max="7181" width="13.28515625" customWidth="1"/>
    <col min="7182" max="7184" width="14.140625" customWidth="1"/>
    <col min="7185" max="7186" width="16" customWidth="1"/>
    <col min="7187" max="7187" width="13.28515625" customWidth="1"/>
    <col min="7188" max="7188" width="12.42578125" customWidth="1"/>
    <col min="7189" max="7190" width="12.7109375" customWidth="1"/>
    <col min="7425" max="7425" width="7.140625" customWidth="1"/>
    <col min="7426" max="7426" width="40.85546875" customWidth="1"/>
    <col min="7427" max="7427" width="7.140625" customWidth="1"/>
    <col min="7428" max="7428" width="12" customWidth="1"/>
    <col min="7429" max="7429" width="16.85546875" customWidth="1"/>
    <col min="7430" max="7430" width="0" hidden="1" customWidth="1"/>
    <col min="7431" max="7431" width="14.140625" customWidth="1"/>
    <col min="7432" max="7433" width="16" customWidth="1"/>
    <col min="7434" max="7436" width="14.140625" customWidth="1"/>
    <col min="7437" max="7437" width="13.28515625" customWidth="1"/>
    <col min="7438" max="7440" width="14.140625" customWidth="1"/>
    <col min="7441" max="7442" width="16" customWidth="1"/>
    <col min="7443" max="7443" width="13.28515625" customWidth="1"/>
    <col min="7444" max="7444" width="12.42578125" customWidth="1"/>
    <col min="7445" max="7446" width="12.7109375" customWidth="1"/>
    <col min="7681" max="7681" width="7.140625" customWidth="1"/>
    <col min="7682" max="7682" width="40.85546875" customWidth="1"/>
    <col min="7683" max="7683" width="7.140625" customWidth="1"/>
    <col min="7684" max="7684" width="12" customWidth="1"/>
    <col min="7685" max="7685" width="16.85546875" customWidth="1"/>
    <col min="7686" max="7686" width="0" hidden="1" customWidth="1"/>
    <col min="7687" max="7687" width="14.140625" customWidth="1"/>
    <col min="7688" max="7689" width="16" customWidth="1"/>
    <col min="7690" max="7692" width="14.140625" customWidth="1"/>
    <col min="7693" max="7693" width="13.28515625" customWidth="1"/>
    <col min="7694" max="7696" width="14.140625" customWidth="1"/>
    <col min="7697" max="7698" width="16" customWidth="1"/>
    <col min="7699" max="7699" width="13.28515625" customWidth="1"/>
    <col min="7700" max="7700" width="12.42578125" customWidth="1"/>
    <col min="7701" max="7702" width="12.7109375" customWidth="1"/>
    <col min="7937" max="7937" width="7.140625" customWidth="1"/>
    <col min="7938" max="7938" width="40.85546875" customWidth="1"/>
    <col min="7939" max="7939" width="7.140625" customWidth="1"/>
    <col min="7940" max="7940" width="12" customWidth="1"/>
    <col min="7941" max="7941" width="16.85546875" customWidth="1"/>
    <col min="7942" max="7942" width="0" hidden="1" customWidth="1"/>
    <col min="7943" max="7943" width="14.140625" customWidth="1"/>
    <col min="7944" max="7945" width="16" customWidth="1"/>
    <col min="7946" max="7948" width="14.140625" customWidth="1"/>
    <col min="7949" max="7949" width="13.28515625" customWidth="1"/>
    <col min="7950" max="7952" width="14.140625" customWidth="1"/>
    <col min="7953" max="7954" width="16" customWidth="1"/>
    <col min="7955" max="7955" width="13.28515625" customWidth="1"/>
    <col min="7956" max="7956" width="12.42578125" customWidth="1"/>
    <col min="7957" max="7958" width="12.7109375" customWidth="1"/>
    <col min="8193" max="8193" width="7.140625" customWidth="1"/>
    <col min="8194" max="8194" width="40.85546875" customWidth="1"/>
    <col min="8195" max="8195" width="7.140625" customWidth="1"/>
    <col min="8196" max="8196" width="12" customWidth="1"/>
    <col min="8197" max="8197" width="16.85546875" customWidth="1"/>
    <col min="8198" max="8198" width="0" hidden="1" customWidth="1"/>
    <col min="8199" max="8199" width="14.140625" customWidth="1"/>
    <col min="8200" max="8201" width="16" customWidth="1"/>
    <col min="8202" max="8204" width="14.140625" customWidth="1"/>
    <col min="8205" max="8205" width="13.28515625" customWidth="1"/>
    <col min="8206" max="8208" width="14.140625" customWidth="1"/>
    <col min="8209" max="8210" width="16" customWidth="1"/>
    <col min="8211" max="8211" width="13.28515625" customWidth="1"/>
    <col min="8212" max="8212" width="12.42578125" customWidth="1"/>
    <col min="8213" max="8214" width="12.7109375" customWidth="1"/>
    <col min="8449" max="8449" width="7.140625" customWidth="1"/>
    <col min="8450" max="8450" width="40.85546875" customWidth="1"/>
    <col min="8451" max="8451" width="7.140625" customWidth="1"/>
    <col min="8452" max="8452" width="12" customWidth="1"/>
    <col min="8453" max="8453" width="16.85546875" customWidth="1"/>
    <col min="8454" max="8454" width="0" hidden="1" customWidth="1"/>
    <col min="8455" max="8455" width="14.140625" customWidth="1"/>
    <col min="8456" max="8457" width="16" customWidth="1"/>
    <col min="8458" max="8460" width="14.140625" customWidth="1"/>
    <col min="8461" max="8461" width="13.28515625" customWidth="1"/>
    <col min="8462" max="8464" width="14.140625" customWidth="1"/>
    <col min="8465" max="8466" width="16" customWidth="1"/>
    <col min="8467" max="8467" width="13.28515625" customWidth="1"/>
    <col min="8468" max="8468" width="12.42578125" customWidth="1"/>
    <col min="8469" max="8470" width="12.7109375" customWidth="1"/>
    <col min="8705" max="8705" width="7.140625" customWidth="1"/>
    <col min="8706" max="8706" width="40.85546875" customWidth="1"/>
    <col min="8707" max="8707" width="7.140625" customWidth="1"/>
    <col min="8708" max="8708" width="12" customWidth="1"/>
    <col min="8709" max="8709" width="16.85546875" customWidth="1"/>
    <col min="8710" max="8710" width="0" hidden="1" customWidth="1"/>
    <col min="8711" max="8711" width="14.140625" customWidth="1"/>
    <col min="8712" max="8713" width="16" customWidth="1"/>
    <col min="8714" max="8716" width="14.140625" customWidth="1"/>
    <col min="8717" max="8717" width="13.28515625" customWidth="1"/>
    <col min="8718" max="8720" width="14.140625" customWidth="1"/>
    <col min="8721" max="8722" width="16" customWidth="1"/>
    <col min="8723" max="8723" width="13.28515625" customWidth="1"/>
    <col min="8724" max="8724" width="12.42578125" customWidth="1"/>
    <col min="8725" max="8726" width="12.7109375" customWidth="1"/>
    <col min="8961" max="8961" width="7.140625" customWidth="1"/>
    <col min="8962" max="8962" width="40.85546875" customWidth="1"/>
    <col min="8963" max="8963" width="7.140625" customWidth="1"/>
    <col min="8964" max="8964" width="12" customWidth="1"/>
    <col min="8965" max="8965" width="16.85546875" customWidth="1"/>
    <col min="8966" max="8966" width="0" hidden="1" customWidth="1"/>
    <col min="8967" max="8967" width="14.140625" customWidth="1"/>
    <col min="8968" max="8969" width="16" customWidth="1"/>
    <col min="8970" max="8972" width="14.140625" customWidth="1"/>
    <col min="8973" max="8973" width="13.28515625" customWidth="1"/>
    <col min="8974" max="8976" width="14.140625" customWidth="1"/>
    <col min="8977" max="8978" width="16" customWidth="1"/>
    <col min="8979" max="8979" width="13.28515625" customWidth="1"/>
    <col min="8980" max="8980" width="12.42578125" customWidth="1"/>
    <col min="8981" max="8982" width="12.7109375" customWidth="1"/>
    <col min="9217" max="9217" width="7.140625" customWidth="1"/>
    <col min="9218" max="9218" width="40.85546875" customWidth="1"/>
    <col min="9219" max="9219" width="7.140625" customWidth="1"/>
    <col min="9220" max="9220" width="12" customWidth="1"/>
    <col min="9221" max="9221" width="16.85546875" customWidth="1"/>
    <col min="9222" max="9222" width="0" hidden="1" customWidth="1"/>
    <col min="9223" max="9223" width="14.140625" customWidth="1"/>
    <col min="9224" max="9225" width="16" customWidth="1"/>
    <col min="9226" max="9228" width="14.140625" customWidth="1"/>
    <col min="9229" max="9229" width="13.28515625" customWidth="1"/>
    <col min="9230" max="9232" width="14.140625" customWidth="1"/>
    <col min="9233" max="9234" width="16" customWidth="1"/>
    <col min="9235" max="9235" width="13.28515625" customWidth="1"/>
    <col min="9236" max="9236" width="12.42578125" customWidth="1"/>
    <col min="9237" max="9238" width="12.7109375" customWidth="1"/>
    <col min="9473" max="9473" width="7.140625" customWidth="1"/>
    <col min="9474" max="9474" width="40.85546875" customWidth="1"/>
    <col min="9475" max="9475" width="7.140625" customWidth="1"/>
    <col min="9476" max="9476" width="12" customWidth="1"/>
    <col min="9477" max="9477" width="16.85546875" customWidth="1"/>
    <col min="9478" max="9478" width="0" hidden="1" customWidth="1"/>
    <col min="9479" max="9479" width="14.140625" customWidth="1"/>
    <col min="9480" max="9481" width="16" customWidth="1"/>
    <col min="9482" max="9484" width="14.140625" customWidth="1"/>
    <col min="9485" max="9485" width="13.28515625" customWidth="1"/>
    <col min="9486" max="9488" width="14.140625" customWidth="1"/>
    <col min="9489" max="9490" width="16" customWidth="1"/>
    <col min="9491" max="9491" width="13.28515625" customWidth="1"/>
    <col min="9492" max="9492" width="12.42578125" customWidth="1"/>
    <col min="9493" max="9494" width="12.7109375" customWidth="1"/>
    <col min="9729" max="9729" width="7.140625" customWidth="1"/>
    <col min="9730" max="9730" width="40.85546875" customWidth="1"/>
    <col min="9731" max="9731" width="7.140625" customWidth="1"/>
    <col min="9732" max="9732" width="12" customWidth="1"/>
    <col min="9733" max="9733" width="16.85546875" customWidth="1"/>
    <col min="9734" max="9734" width="0" hidden="1" customWidth="1"/>
    <col min="9735" max="9735" width="14.140625" customWidth="1"/>
    <col min="9736" max="9737" width="16" customWidth="1"/>
    <col min="9738" max="9740" width="14.140625" customWidth="1"/>
    <col min="9741" max="9741" width="13.28515625" customWidth="1"/>
    <col min="9742" max="9744" width="14.140625" customWidth="1"/>
    <col min="9745" max="9746" width="16" customWidth="1"/>
    <col min="9747" max="9747" width="13.28515625" customWidth="1"/>
    <col min="9748" max="9748" width="12.42578125" customWidth="1"/>
    <col min="9749" max="9750" width="12.7109375" customWidth="1"/>
    <col min="9985" max="9985" width="7.140625" customWidth="1"/>
    <col min="9986" max="9986" width="40.85546875" customWidth="1"/>
    <col min="9987" max="9987" width="7.140625" customWidth="1"/>
    <col min="9988" max="9988" width="12" customWidth="1"/>
    <col min="9989" max="9989" width="16.85546875" customWidth="1"/>
    <col min="9990" max="9990" width="0" hidden="1" customWidth="1"/>
    <col min="9991" max="9991" width="14.140625" customWidth="1"/>
    <col min="9992" max="9993" width="16" customWidth="1"/>
    <col min="9994" max="9996" width="14.140625" customWidth="1"/>
    <col min="9997" max="9997" width="13.28515625" customWidth="1"/>
    <col min="9998" max="10000" width="14.140625" customWidth="1"/>
    <col min="10001" max="10002" width="16" customWidth="1"/>
    <col min="10003" max="10003" width="13.28515625" customWidth="1"/>
    <col min="10004" max="10004" width="12.42578125" customWidth="1"/>
    <col min="10005" max="10006" width="12.7109375" customWidth="1"/>
    <col min="10241" max="10241" width="7.140625" customWidth="1"/>
    <col min="10242" max="10242" width="40.85546875" customWidth="1"/>
    <col min="10243" max="10243" width="7.140625" customWidth="1"/>
    <col min="10244" max="10244" width="12" customWidth="1"/>
    <col min="10245" max="10245" width="16.85546875" customWidth="1"/>
    <col min="10246" max="10246" width="0" hidden="1" customWidth="1"/>
    <col min="10247" max="10247" width="14.140625" customWidth="1"/>
    <col min="10248" max="10249" width="16" customWidth="1"/>
    <col min="10250" max="10252" width="14.140625" customWidth="1"/>
    <col min="10253" max="10253" width="13.28515625" customWidth="1"/>
    <col min="10254" max="10256" width="14.140625" customWidth="1"/>
    <col min="10257" max="10258" width="16" customWidth="1"/>
    <col min="10259" max="10259" width="13.28515625" customWidth="1"/>
    <col min="10260" max="10260" width="12.42578125" customWidth="1"/>
    <col min="10261" max="10262" width="12.7109375" customWidth="1"/>
    <col min="10497" max="10497" width="7.140625" customWidth="1"/>
    <col min="10498" max="10498" width="40.85546875" customWidth="1"/>
    <col min="10499" max="10499" width="7.140625" customWidth="1"/>
    <col min="10500" max="10500" width="12" customWidth="1"/>
    <col min="10501" max="10501" width="16.85546875" customWidth="1"/>
    <col min="10502" max="10502" width="0" hidden="1" customWidth="1"/>
    <col min="10503" max="10503" width="14.140625" customWidth="1"/>
    <col min="10504" max="10505" width="16" customWidth="1"/>
    <col min="10506" max="10508" width="14.140625" customWidth="1"/>
    <col min="10509" max="10509" width="13.28515625" customWidth="1"/>
    <col min="10510" max="10512" width="14.140625" customWidth="1"/>
    <col min="10513" max="10514" width="16" customWidth="1"/>
    <col min="10515" max="10515" width="13.28515625" customWidth="1"/>
    <col min="10516" max="10516" width="12.42578125" customWidth="1"/>
    <col min="10517" max="10518" width="12.7109375" customWidth="1"/>
    <col min="10753" max="10753" width="7.140625" customWidth="1"/>
    <col min="10754" max="10754" width="40.85546875" customWidth="1"/>
    <col min="10755" max="10755" width="7.140625" customWidth="1"/>
    <col min="10756" max="10756" width="12" customWidth="1"/>
    <col min="10757" max="10757" width="16.85546875" customWidth="1"/>
    <col min="10758" max="10758" width="0" hidden="1" customWidth="1"/>
    <col min="10759" max="10759" width="14.140625" customWidth="1"/>
    <col min="10760" max="10761" width="16" customWidth="1"/>
    <col min="10762" max="10764" width="14.140625" customWidth="1"/>
    <col min="10765" max="10765" width="13.28515625" customWidth="1"/>
    <col min="10766" max="10768" width="14.140625" customWidth="1"/>
    <col min="10769" max="10770" width="16" customWidth="1"/>
    <col min="10771" max="10771" width="13.28515625" customWidth="1"/>
    <col min="10772" max="10772" width="12.42578125" customWidth="1"/>
    <col min="10773" max="10774" width="12.7109375" customWidth="1"/>
    <col min="11009" max="11009" width="7.140625" customWidth="1"/>
    <col min="11010" max="11010" width="40.85546875" customWidth="1"/>
    <col min="11011" max="11011" width="7.140625" customWidth="1"/>
    <col min="11012" max="11012" width="12" customWidth="1"/>
    <col min="11013" max="11013" width="16.85546875" customWidth="1"/>
    <col min="11014" max="11014" width="0" hidden="1" customWidth="1"/>
    <col min="11015" max="11015" width="14.140625" customWidth="1"/>
    <col min="11016" max="11017" width="16" customWidth="1"/>
    <col min="11018" max="11020" width="14.140625" customWidth="1"/>
    <col min="11021" max="11021" width="13.28515625" customWidth="1"/>
    <col min="11022" max="11024" width="14.140625" customWidth="1"/>
    <col min="11025" max="11026" width="16" customWidth="1"/>
    <col min="11027" max="11027" width="13.28515625" customWidth="1"/>
    <col min="11028" max="11028" width="12.42578125" customWidth="1"/>
    <col min="11029" max="11030" width="12.7109375" customWidth="1"/>
    <col min="11265" max="11265" width="7.140625" customWidth="1"/>
    <col min="11266" max="11266" width="40.85546875" customWidth="1"/>
    <col min="11267" max="11267" width="7.140625" customWidth="1"/>
    <col min="11268" max="11268" width="12" customWidth="1"/>
    <col min="11269" max="11269" width="16.85546875" customWidth="1"/>
    <col min="11270" max="11270" width="0" hidden="1" customWidth="1"/>
    <col min="11271" max="11271" width="14.140625" customWidth="1"/>
    <col min="11272" max="11273" width="16" customWidth="1"/>
    <col min="11274" max="11276" width="14.140625" customWidth="1"/>
    <col min="11277" max="11277" width="13.28515625" customWidth="1"/>
    <col min="11278" max="11280" width="14.140625" customWidth="1"/>
    <col min="11281" max="11282" width="16" customWidth="1"/>
    <col min="11283" max="11283" width="13.28515625" customWidth="1"/>
    <col min="11284" max="11284" width="12.42578125" customWidth="1"/>
    <col min="11285" max="11286" width="12.7109375" customWidth="1"/>
    <col min="11521" max="11521" width="7.140625" customWidth="1"/>
    <col min="11522" max="11522" width="40.85546875" customWidth="1"/>
    <col min="11523" max="11523" width="7.140625" customWidth="1"/>
    <col min="11524" max="11524" width="12" customWidth="1"/>
    <col min="11525" max="11525" width="16.85546875" customWidth="1"/>
    <col min="11526" max="11526" width="0" hidden="1" customWidth="1"/>
    <col min="11527" max="11527" width="14.140625" customWidth="1"/>
    <col min="11528" max="11529" width="16" customWidth="1"/>
    <col min="11530" max="11532" width="14.140625" customWidth="1"/>
    <col min="11533" max="11533" width="13.28515625" customWidth="1"/>
    <col min="11534" max="11536" width="14.140625" customWidth="1"/>
    <col min="11537" max="11538" width="16" customWidth="1"/>
    <col min="11539" max="11539" width="13.28515625" customWidth="1"/>
    <col min="11540" max="11540" width="12.42578125" customWidth="1"/>
    <col min="11541" max="11542" width="12.7109375" customWidth="1"/>
    <col min="11777" max="11777" width="7.140625" customWidth="1"/>
    <col min="11778" max="11778" width="40.85546875" customWidth="1"/>
    <col min="11779" max="11779" width="7.140625" customWidth="1"/>
    <col min="11780" max="11780" width="12" customWidth="1"/>
    <col min="11781" max="11781" width="16.85546875" customWidth="1"/>
    <col min="11782" max="11782" width="0" hidden="1" customWidth="1"/>
    <col min="11783" max="11783" width="14.140625" customWidth="1"/>
    <col min="11784" max="11785" width="16" customWidth="1"/>
    <col min="11786" max="11788" width="14.140625" customWidth="1"/>
    <col min="11789" max="11789" width="13.28515625" customWidth="1"/>
    <col min="11790" max="11792" width="14.140625" customWidth="1"/>
    <col min="11793" max="11794" width="16" customWidth="1"/>
    <col min="11795" max="11795" width="13.28515625" customWidth="1"/>
    <col min="11796" max="11796" width="12.42578125" customWidth="1"/>
    <col min="11797" max="11798" width="12.7109375" customWidth="1"/>
    <col min="12033" max="12033" width="7.140625" customWidth="1"/>
    <col min="12034" max="12034" width="40.85546875" customWidth="1"/>
    <col min="12035" max="12035" width="7.140625" customWidth="1"/>
    <col min="12036" max="12036" width="12" customWidth="1"/>
    <col min="12037" max="12037" width="16.85546875" customWidth="1"/>
    <col min="12038" max="12038" width="0" hidden="1" customWidth="1"/>
    <col min="12039" max="12039" width="14.140625" customWidth="1"/>
    <col min="12040" max="12041" width="16" customWidth="1"/>
    <col min="12042" max="12044" width="14.140625" customWidth="1"/>
    <col min="12045" max="12045" width="13.28515625" customWidth="1"/>
    <col min="12046" max="12048" width="14.140625" customWidth="1"/>
    <col min="12049" max="12050" width="16" customWidth="1"/>
    <col min="12051" max="12051" width="13.28515625" customWidth="1"/>
    <col min="12052" max="12052" width="12.42578125" customWidth="1"/>
    <col min="12053" max="12054" width="12.7109375" customWidth="1"/>
    <col min="12289" max="12289" width="7.140625" customWidth="1"/>
    <col min="12290" max="12290" width="40.85546875" customWidth="1"/>
    <col min="12291" max="12291" width="7.140625" customWidth="1"/>
    <col min="12292" max="12292" width="12" customWidth="1"/>
    <col min="12293" max="12293" width="16.85546875" customWidth="1"/>
    <col min="12294" max="12294" width="0" hidden="1" customWidth="1"/>
    <col min="12295" max="12295" width="14.140625" customWidth="1"/>
    <col min="12296" max="12297" width="16" customWidth="1"/>
    <col min="12298" max="12300" width="14.140625" customWidth="1"/>
    <col min="12301" max="12301" width="13.28515625" customWidth="1"/>
    <col min="12302" max="12304" width="14.140625" customWidth="1"/>
    <col min="12305" max="12306" width="16" customWidth="1"/>
    <col min="12307" max="12307" width="13.28515625" customWidth="1"/>
    <col min="12308" max="12308" width="12.42578125" customWidth="1"/>
    <col min="12309" max="12310" width="12.7109375" customWidth="1"/>
    <col min="12545" max="12545" width="7.140625" customWidth="1"/>
    <col min="12546" max="12546" width="40.85546875" customWidth="1"/>
    <col min="12547" max="12547" width="7.140625" customWidth="1"/>
    <col min="12548" max="12548" width="12" customWidth="1"/>
    <col min="12549" max="12549" width="16.85546875" customWidth="1"/>
    <col min="12550" max="12550" width="0" hidden="1" customWidth="1"/>
    <col min="12551" max="12551" width="14.140625" customWidth="1"/>
    <col min="12552" max="12553" width="16" customWidth="1"/>
    <col min="12554" max="12556" width="14.140625" customWidth="1"/>
    <col min="12557" max="12557" width="13.28515625" customWidth="1"/>
    <col min="12558" max="12560" width="14.140625" customWidth="1"/>
    <col min="12561" max="12562" width="16" customWidth="1"/>
    <col min="12563" max="12563" width="13.28515625" customWidth="1"/>
    <col min="12564" max="12564" width="12.42578125" customWidth="1"/>
    <col min="12565" max="12566" width="12.7109375" customWidth="1"/>
    <col min="12801" max="12801" width="7.140625" customWidth="1"/>
    <col min="12802" max="12802" width="40.85546875" customWidth="1"/>
    <col min="12803" max="12803" width="7.140625" customWidth="1"/>
    <col min="12804" max="12804" width="12" customWidth="1"/>
    <col min="12805" max="12805" width="16.85546875" customWidth="1"/>
    <col min="12806" max="12806" width="0" hidden="1" customWidth="1"/>
    <col min="12807" max="12807" width="14.140625" customWidth="1"/>
    <col min="12808" max="12809" width="16" customWidth="1"/>
    <col min="12810" max="12812" width="14.140625" customWidth="1"/>
    <col min="12813" max="12813" width="13.28515625" customWidth="1"/>
    <col min="12814" max="12816" width="14.140625" customWidth="1"/>
    <col min="12817" max="12818" width="16" customWidth="1"/>
    <col min="12819" max="12819" width="13.28515625" customWidth="1"/>
    <col min="12820" max="12820" width="12.42578125" customWidth="1"/>
    <col min="12821" max="12822" width="12.7109375" customWidth="1"/>
    <col min="13057" max="13057" width="7.140625" customWidth="1"/>
    <col min="13058" max="13058" width="40.85546875" customWidth="1"/>
    <col min="13059" max="13059" width="7.140625" customWidth="1"/>
    <col min="13060" max="13060" width="12" customWidth="1"/>
    <col min="13061" max="13061" width="16.85546875" customWidth="1"/>
    <col min="13062" max="13062" width="0" hidden="1" customWidth="1"/>
    <col min="13063" max="13063" width="14.140625" customWidth="1"/>
    <col min="13064" max="13065" width="16" customWidth="1"/>
    <col min="13066" max="13068" width="14.140625" customWidth="1"/>
    <col min="13069" max="13069" width="13.28515625" customWidth="1"/>
    <col min="13070" max="13072" width="14.140625" customWidth="1"/>
    <col min="13073" max="13074" width="16" customWidth="1"/>
    <col min="13075" max="13075" width="13.28515625" customWidth="1"/>
    <col min="13076" max="13076" width="12.42578125" customWidth="1"/>
    <col min="13077" max="13078" width="12.7109375" customWidth="1"/>
    <col min="13313" max="13313" width="7.140625" customWidth="1"/>
    <col min="13314" max="13314" width="40.85546875" customWidth="1"/>
    <col min="13315" max="13315" width="7.140625" customWidth="1"/>
    <col min="13316" max="13316" width="12" customWidth="1"/>
    <col min="13317" max="13317" width="16.85546875" customWidth="1"/>
    <col min="13318" max="13318" width="0" hidden="1" customWidth="1"/>
    <col min="13319" max="13319" width="14.140625" customWidth="1"/>
    <col min="13320" max="13321" width="16" customWidth="1"/>
    <col min="13322" max="13324" width="14.140625" customWidth="1"/>
    <col min="13325" max="13325" width="13.28515625" customWidth="1"/>
    <col min="13326" max="13328" width="14.140625" customWidth="1"/>
    <col min="13329" max="13330" width="16" customWidth="1"/>
    <col min="13331" max="13331" width="13.28515625" customWidth="1"/>
    <col min="13332" max="13332" width="12.42578125" customWidth="1"/>
    <col min="13333" max="13334" width="12.7109375" customWidth="1"/>
    <col min="13569" max="13569" width="7.140625" customWidth="1"/>
    <col min="13570" max="13570" width="40.85546875" customWidth="1"/>
    <col min="13571" max="13571" width="7.140625" customWidth="1"/>
    <col min="13572" max="13572" width="12" customWidth="1"/>
    <col min="13573" max="13573" width="16.85546875" customWidth="1"/>
    <col min="13574" max="13574" width="0" hidden="1" customWidth="1"/>
    <col min="13575" max="13575" width="14.140625" customWidth="1"/>
    <col min="13576" max="13577" width="16" customWidth="1"/>
    <col min="13578" max="13580" width="14.140625" customWidth="1"/>
    <col min="13581" max="13581" width="13.28515625" customWidth="1"/>
    <col min="13582" max="13584" width="14.140625" customWidth="1"/>
    <col min="13585" max="13586" width="16" customWidth="1"/>
    <col min="13587" max="13587" width="13.28515625" customWidth="1"/>
    <col min="13588" max="13588" width="12.42578125" customWidth="1"/>
    <col min="13589" max="13590" width="12.7109375" customWidth="1"/>
    <col min="13825" max="13825" width="7.140625" customWidth="1"/>
    <col min="13826" max="13826" width="40.85546875" customWidth="1"/>
    <col min="13827" max="13827" width="7.140625" customWidth="1"/>
    <col min="13828" max="13828" width="12" customWidth="1"/>
    <col min="13829" max="13829" width="16.85546875" customWidth="1"/>
    <col min="13830" max="13830" width="0" hidden="1" customWidth="1"/>
    <col min="13831" max="13831" width="14.140625" customWidth="1"/>
    <col min="13832" max="13833" width="16" customWidth="1"/>
    <col min="13834" max="13836" width="14.140625" customWidth="1"/>
    <col min="13837" max="13837" width="13.28515625" customWidth="1"/>
    <col min="13838" max="13840" width="14.140625" customWidth="1"/>
    <col min="13841" max="13842" width="16" customWidth="1"/>
    <col min="13843" max="13843" width="13.28515625" customWidth="1"/>
    <col min="13844" max="13844" width="12.42578125" customWidth="1"/>
    <col min="13845" max="13846" width="12.7109375" customWidth="1"/>
    <col min="14081" max="14081" width="7.140625" customWidth="1"/>
    <col min="14082" max="14082" width="40.85546875" customWidth="1"/>
    <col min="14083" max="14083" width="7.140625" customWidth="1"/>
    <col min="14084" max="14084" width="12" customWidth="1"/>
    <col min="14085" max="14085" width="16.85546875" customWidth="1"/>
    <col min="14086" max="14086" width="0" hidden="1" customWidth="1"/>
    <col min="14087" max="14087" width="14.140625" customWidth="1"/>
    <col min="14088" max="14089" width="16" customWidth="1"/>
    <col min="14090" max="14092" width="14.140625" customWidth="1"/>
    <col min="14093" max="14093" width="13.28515625" customWidth="1"/>
    <col min="14094" max="14096" width="14.140625" customWidth="1"/>
    <col min="14097" max="14098" width="16" customWidth="1"/>
    <col min="14099" max="14099" width="13.28515625" customWidth="1"/>
    <col min="14100" max="14100" width="12.42578125" customWidth="1"/>
    <col min="14101" max="14102" width="12.7109375" customWidth="1"/>
    <col min="14337" max="14337" width="7.140625" customWidth="1"/>
    <col min="14338" max="14338" width="40.85546875" customWidth="1"/>
    <col min="14339" max="14339" width="7.140625" customWidth="1"/>
    <col min="14340" max="14340" width="12" customWidth="1"/>
    <col min="14341" max="14341" width="16.85546875" customWidth="1"/>
    <col min="14342" max="14342" width="0" hidden="1" customWidth="1"/>
    <col min="14343" max="14343" width="14.140625" customWidth="1"/>
    <col min="14344" max="14345" width="16" customWidth="1"/>
    <col min="14346" max="14348" width="14.140625" customWidth="1"/>
    <col min="14349" max="14349" width="13.28515625" customWidth="1"/>
    <col min="14350" max="14352" width="14.140625" customWidth="1"/>
    <col min="14353" max="14354" width="16" customWidth="1"/>
    <col min="14355" max="14355" width="13.28515625" customWidth="1"/>
    <col min="14356" max="14356" width="12.42578125" customWidth="1"/>
    <col min="14357" max="14358" width="12.7109375" customWidth="1"/>
    <col min="14593" max="14593" width="7.140625" customWidth="1"/>
    <col min="14594" max="14594" width="40.85546875" customWidth="1"/>
    <col min="14595" max="14595" width="7.140625" customWidth="1"/>
    <col min="14596" max="14596" width="12" customWidth="1"/>
    <col min="14597" max="14597" width="16.85546875" customWidth="1"/>
    <col min="14598" max="14598" width="0" hidden="1" customWidth="1"/>
    <col min="14599" max="14599" width="14.140625" customWidth="1"/>
    <col min="14600" max="14601" width="16" customWidth="1"/>
    <col min="14602" max="14604" width="14.140625" customWidth="1"/>
    <col min="14605" max="14605" width="13.28515625" customWidth="1"/>
    <col min="14606" max="14608" width="14.140625" customWidth="1"/>
    <col min="14609" max="14610" width="16" customWidth="1"/>
    <col min="14611" max="14611" width="13.28515625" customWidth="1"/>
    <col min="14612" max="14612" width="12.42578125" customWidth="1"/>
    <col min="14613" max="14614" width="12.7109375" customWidth="1"/>
    <col min="14849" max="14849" width="7.140625" customWidth="1"/>
    <col min="14850" max="14850" width="40.85546875" customWidth="1"/>
    <col min="14851" max="14851" width="7.140625" customWidth="1"/>
    <col min="14852" max="14852" width="12" customWidth="1"/>
    <col min="14853" max="14853" width="16.85546875" customWidth="1"/>
    <col min="14854" max="14854" width="0" hidden="1" customWidth="1"/>
    <col min="14855" max="14855" width="14.140625" customWidth="1"/>
    <col min="14856" max="14857" width="16" customWidth="1"/>
    <col min="14858" max="14860" width="14.140625" customWidth="1"/>
    <col min="14861" max="14861" width="13.28515625" customWidth="1"/>
    <col min="14862" max="14864" width="14.140625" customWidth="1"/>
    <col min="14865" max="14866" width="16" customWidth="1"/>
    <col min="14867" max="14867" width="13.28515625" customWidth="1"/>
    <col min="14868" max="14868" width="12.42578125" customWidth="1"/>
    <col min="14869" max="14870" width="12.7109375" customWidth="1"/>
    <col min="15105" max="15105" width="7.140625" customWidth="1"/>
    <col min="15106" max="15106" width="40.85546875" customWidth="1"/>
    <col min="15107" max="15107" width="7.140625" customWidth="1"/>
    <col min="15108" max="15108" width="12" customWidth="1"/>
    <col min="15109" max="15109" width="16.85546875" customWidth="1"/>
    <col min="15110" max="15110" width="0" hidden="1" customWidth="1"/>
    <col min="15111" max="15111" width="14.140625" customWidth="1"/>
    <col min="15112" max="15113" width="16" customWidth="1"/>
    <col min="15114" max="15116" width="14.140625" customWidth="1"/>
    <col min="15117" max="15117" width="13.28515625" customWidth="1"/>
    <col min="15118" max="15120" width="14.140625" customWidth="1"/>
    <col min="15121" max="15122" width="16" customWidth="1"/>
    <col min="15123" max="15123" width="13.28515625" customWidth="1"/>
    <col min="15124" max="15124" width="12.42578125" customWidth="1"/>
    <col min="15125" max="15126" width="12.7109375" customWidth="1"/>
    <col min="15361" max="15361" width="7.140625" customWidth="1"/>
    <col min="15362" max="15362" width="40.85546875" customWidth="1"/>
    <col min="15363" max="15363" width="7.140625" customWidth="1"/>
    <col min="15364" max="15364" width="12" customWidth="1"/>
    <col min="15365" max="15365" width="16.85546875" customWidth="1"/>
    <col min="15366" max="15366" width="0" hidden="1" customWidth="1"/>
    <col min="15367" max="15367" width="14.140625" customWidth="1"/>
    <col min="15368" max="15369" width="16" customWidth="1"/>
    <col min="15370" max="15372" width="14.140625" customWidth="1"/>
    <col min="15373" max="15373" width="13.28515625" customWidth="1"/>
    <col min="15374" max="15376" width="14.140625" customWidth="1"/>
    <col min="15377" max="15378" width="16" customWidth="1"/>
    <col min="15379" max="15379" width="13.28515625" customWidth="1"/>
    <col min="15380" max="15380" width="12.42578125" customWidth="1"/>
    <col min="15381" max="15382" width="12.7109375" customWidth="1"/>
    <col min="15617" max="15617" width="7.140625" customWidth="1"/>
    <col min="15618" max="15618" width="40.85546875" customWidth="1"/>
    <col min="15619" max="15619" width="7.140625" customWidth="1"/>
    <col min="15620" max="15620" width="12" customWidth="1"/>
    <col min="15621" max="15621" width="16.85546875" customWidth="1"/>
    <col min="15622" max="15622" width="0" hidden="1" customWidth="1"/>
    <col min="15623" max="15623" width="14.140625" customWidth="1"/>
    <col min="15624" max="15625" width="16" customWidth="1"/>
    <col min="15626" max="15628" width="14.140625" customWidth="1"/>
    <col min="15629" max="15629" width="13.28515625" customWidth="1"/>
    <col min="15630" max="15632" width="14.140625" customWidth="1"/>
    <col min="15633" max="15634" width="16" customWidth="1"/>
    <col min="15635" max="15635" width="13.28515625" customWidth="1"/>
    <col min="15636" max="15636" width="12.42578125" customWidth="1"/>
    <col min="15637" max="15638" width="12.7109375" customWidth="1"/>
    <col min="15873" max="15873" width="7.140625" customWidth="1"/>
    <col min="15874" max="15874" width="40.85546875" customWidth="1"/>
    <col min="15875" max="15875" width="7.140625" customWidth="1"/>
    <col min="15876" max="15876" width="12" customWidth="1"/>
    <col min="15877" max="15877" width="16.85546875" customWidth="1"/>
    <col min="15878" max="15878" width="0" hidden="1" customWidth="1"/>
    <col min="15879" max="15879" width="14.140625" customWidth="1"/>
    <col min="15880" max="15881" width="16" customWidth="1"/>
    <col min="15882" max="15884" width="14.140625" customWidth="1"/>
    <col min="15885" max="15885" width="13.28515625" customWidth="1"/>
    <col min="15886" max="15888" width="14.140625" customWidth="1"/>
    <col min="15889" max="15890" width="16" customWidth="1"/>
    <col min="15891" max="15891" width="13.28515625" customWidth="1"/>
    <col min="15892" max="15892" width="12.42578125" customWidth="1"/>
    <col min="15893" max="15894" width="12.7109375" customWidth="1"/>
    <col min="16129" max="16129" width="7.140625" customWidth="1"/>
    <col min="16130" max="16130" width="40.85546875" customWidth="1"/>
    <col min="16131" max="16131" width="7.140625" customWidth="1"/>
    <col min="16132" max="16132" width="12" customWidth="1"/>
    <col min="16133" max="16133" width="16.85546875" customWidth="1"/>
    <col min="16134" max="16134" width="0" hidden="1" customWidth="1"/>
    <col min="16135" max="16135" width="14.140625" customWidth="1"/>
    <col min="16136" max="16137" width="16" customWidth="1"/>
    <col min="16138" max="16140" width="14.140625" customWidth="1"/>
    <col min="16141" max="16141" width="13.28515625" customWidth="1"/>
    <col min="16142" max="16144" width="14.140625" customWidth="1"/>
    <col min="16145" max="16146" width="16" customWidth="1"/>
    <col min="16147" max="16147" width="13.28515625" customWidth="1"/>
    <col min="16148" max="16148" width="12.42578125" customWidth="1"/>
    <col min="16149" max="16150" width="12.7109375" customWidth="1"/>
  </cols>
  <sheetData>
    <row r="1" spans="1:22" ht="27" thickBot="1">
      <c r="A1" s="6161" t="s">
        <v>2701</v>
      </c>
      <c r="B1" s="6162"/>
      <c r="C1" s="6162"/>
      <c r="D1" s="6162"/>
      <c r="E1" s="6162"/>
      <c r="F1" s="6162"/>
      <c r="G1" s="6162"/>
      <c r="H1" s="6162"/>
      <c r="I1" s="6162"/>
      <c r="J1" s="6162"/>
      <c r="K1" s="6162"/>
      <c r="L1" s="6162"/>
      <c r="M1" s="6162"/>
      <c r="N1" s="6162"/>
      <c r="O1" s="6162"/>
      <c r="P1" s="6162"/>
      <c r="Q1" s="6162"/>
      <c r="R1" s="6162"/>
      <c r="S1" s="6162"/>
      <c r="T1" s="6162"/>
      <c r="U1" s="6163"/>
    </row>
    <row r="2" spans="1:22" ht="21" thickBot="1">
      <c r="A2" s="6164" t="s">
        <v>2502</v>
      </c>
      <c r="B2" s="6166" t="s">
        <v>857</v>
      </c>
      <c r="C2" s="3167"/>
      <c r="D2" s="3168" t="s">
        <v>858</v>
      </c>
      <c r="E2" s="6168" t="s">
        <v>859</v>
      </c>
      <c r="F2" s="6169"/>
      <c r="G2" s="6170" t="s">
        <v>2702</v>
      </c>
      <c r="H2" s="6171"/>
      <c r="I2" s="6172"/>
      <c r="J2" s="6170" t="s">
        <v>861</v>
      </c>
      <c r="K2" s="6171"/>
      <c r="L2" s="6172"/>
      <c r="M2" s="6170" t="s">
        <v>862</v>
      </c>
      <c r="N2" s="6171"/>
      <c r="O2" s="6172"/>
      <c r="P2" s="6170" t="s">
        <v>2703</v>
      </c>
      <c r="Q2" s="6171"/>
      <c r="R2" s="6172"/>
      <c r="S2" s="6173" t="s">
        <v>2704</v>
      </c>
      <c r="T2" s="6174"/>
      <c r="U2" s="6175"/>
    </row>
    <row r="3" spans="1:22" ht="21" thickBot="1">
      <c r="A3" s="6165"/>
      <c r="B3" s="6167"/>
      <c r="C3" s="3169"/>
      <c r="D3" s="3168" t="s">
        <v>865</v>
      </c>
      <c r="E3" s="3170" t="s">
        <v>866</v>
      </c>
      <c r="F3" s="3171" t="s">
        <v>867</v>
      </c>
      <c r="G3" s="3172" t="s">
        <v>868</v>
      </c>
      <c r="H3" s="3172" t="s">
        <v>869</v>
      </c>
      <c r="I3" s="3173" t="s">
        <v>499</v>
      </c>
      <c r="J3" s="3172" t="s">
        <v>868</v>
      </c>
      <c r="K3" s="3172" t="s">
        <v>869</v>
      </c>
      <c r="L3" s="3172" t="s">
        <v>499</v>
      </c>
      <c r="M3" s="3172" t="s">
        <v>868</v>
      </c>
      <c r="N3" s="3172" t="s">
        <v>869</v>
      </c>
      <c r="O3" s="3174" t="s">
        <v>499</v>
      </c>
      <c r="P3" s="3172" t="s">
        <v>868</v>
      </c>
      <c r="Q3" s="3175" t="s">
        <v>869</v>
      </c>
      <c r="R3" s="3172" t="s">
        <v>499</v>
      </c>
      <c r="S3" s="3176" t="s">
        <v>868</v>
      </c>
      <c r="T3" s="3177" t="s">
        <v>869</v>
      </c>
      <c r="U3" s="3176" t="s">
        <v>499</v>
      </c>
    </row>
    <row r="4" spans="1:22" ht="21" thickBot="1">
      <c r="A4" s="3178" t="s">
        <v>870</v>
      </c>
      <c r="B4" s="3179" t="s">
        <v>871</v>
      </c>
      <c r="C4" s="3180"/>
      <c r="D4" s="3168"/>
      <c r="E4" s="3181"/>
      <c r="F4" s="3182"/>
      <c r="G4" s="3172"/>
      <c r="H4" s="3172"/>
      <c r="I4" s="3183"/>
      <c r="J4" s="3172"/>
      <c r="K4" s="3172"/>
      <c r="L4" s="3172"/>
      <c r="M4" s="3172"/>
      <c r="N4" s="3172"/>
      <c r="O4" s="3174"/>
      <c r="P4" s="3172"/>
      <c r="Q4" s="3175"/>
      <c r="R4" s="3172"/>
      <c r="S4" s="3184"/>
      <c r="T4" s="3185"/>
      <c r="U4" s="3184"/>
    </row>
    <row r="5" spans="1:22" ht="21" thickBot="1">
      <c r="A5" s="6180">
        <v>1</v>
      </c>
      <c r="B5" s="6166" t="s">
        <v>872</v>
      </c>
      <c r="C5" s="3186"/>
      <c r="D5" s="3187">
        <v>0.1075</v>
      </c>
      <c r="E5" s="3188" t="s">
        <v>889</v>
      </c>
      <c r="F5" s="3189" t="s">
        <v>890</v>
      </c>
      <c r="G5" s="3190">
        <v>0</v>
      </c>
      <c r="H5" s="3190">
        <f>I5</f>
        <v>815</v>
      </c>
      <c r="I5" s="3191">
        <v>815</v>
      </c>
      <c r="J5" s="3190">
        <v>0</v>
      </c>
      <c r="K5" s="3190">
        <f t="shared" ref="K5:K22" si="0">L5</f>
        <v>0</v>
      </c>
      <c r="L5" s="3191">
        <v>0</v>
      </c>
      <c r="M5" s="3190">
        <v>0</v>
      </c>
      <c r="N5" s="3190">
        <f>O5</f>
        <v>815</v>
      </c>
      <c r="O5" s="3192">
        <f>'[111]Q1F-2013-14'!N5+'[111]Q2F-2013-14'!N5</f>
        <v>815</v>
      </c>
      <c r="P5" s="3190">
        <v>0</v>
      </c>
      <c r="Q5" s="3190">
        <f>R5</f>
        <v>0</v>
      </c>
      <c r="R5" s="3183">
        <f t="shared" ref="R5:R29" si="1">(I5+L5-O5)</f>
        <v>0</v>
      </c>
      <c r="S5" s="3190">
        <v>0</v>
      </c>
      <c r="T5" s="3190">
        <f t="shared" ref="T5:T21" si="2">U5</f>
        <v>10.618080000000001</v>
      </c>
      <c r="U5" s="3183">
        <f>'[111]Q1F-2013-14'!T5+'[111]Q2F-2013-14'!T5</f>
        <v>10.618080000000001</v>
      </c>
      <c r="V5" s="3193"/>
    </row>
    <row r="6" spans="1:22" ht="21" thickBot="1">
      <c r="A6" s="6181"/>
      <c r="B6" s="6177"/>
      <c r="C6" s="3186"/>
      <c r="D6" s="3187">
        <v>0.105</v>
      </c>
      <c r="E6" s="3188" t="s">
        <v>891</v>
      </c>
      <c r="F6" s="3189" t="s">
        <v>1029</v>
      </c>
      <c r="G6" s="3190">
        <v>0</v>
      </c>
      <c r="H6" s="3190">
        <f>(I6)</f>
        <v>1650</v>
      </c>
      <c r="I6" s="3183">
        <v>1650</v>
      </c>
      <c r="J6" s="3190">
        <v>0</v>
      </c>
      <c r="K6" s="3190">
        <f t="shared" si="0"/>
        <v>0</v>
      </c>
      <c r="L6" s="3191">
        <v>0</v>
      </c>
      <c r="M6" s="3190">
        <v>0</v>
      </c>
      <c r="N6" s="3190">
        <f>(O6)</f>
        <v>1650</v>
      </c>
      <c r="O6" s="3192">
        <f>'[111]Q1F-2013-14'!N6+'[111]Q2F-2013-14'!N6</f>
        <v>1650</v>
      </c>
      <c r="P6" s="3190">
        <v>0</v>
      </c>
      <c r="Q6" s="3190">
        <f>(R6)</f>
        <v>0</v>
      </c>
      <c r="R6" s="3183">
        <f t="shared" si="1"/>
        <v>0</v>
      </c>
      <c r="S6" s="3190">
        <v>0</v>
      </c>
      <c r="T6" s="3190">
        <f t="shared" si="2"/>
        <v>32.560940000000002</v>
      </c>
      <c r="U6" s="3183">
        <f>'[111]Q1F-2013-14'!T6+'[111]Q2F-2013-14'!T6</f>
        <v>32.560940000000002</v>
      </c>
      <c r="V6" s="3193"/>
    </row>
    <row r="7" spans="1:22" ht="21" thickBot="1">
      <c r="A7" s="6181"/>
      <c r="B7" s="6177"/>
      <c r="C7" s="3186"/>
      <c r="D7" s="3187">
        <v>0.105</v>
      </c>
      <c r="E7" s="3188" t="s">
        <v>893</v>
      </c>
      <c r="F7" s="3189" t="s">
        <v>894</v>
      </c>
      <c r="G7" s="3190">
        <v>0</v>
      </c>
      <c r="H7" s="3190">
        <f>(I7)</f>
        <v>1650</v>
      </c>
      <c r="I7" s="3183">
        <v>1650</v>
      </c>
      <c r="J7" s="3190">
        <v>0</v>
      </c>
      <c r="K7" s="3190">
        <f t="shared" si="0"/>
        <v>0</v>
      </c>
      <c r="L7" s="3191">
        <v>0</v>
      </c>
      <c r="M7" s="3190">
        <v>0</v>
      </c>
      <c r="N7" s="3190">
        <f>(O7)</f>
        <v>1650</v>
      </c>
      <c r="O7" s="3192">
        <f>'[111]Q1F-2013-14'!N7+'[111]Q2F-2013-14'!N7</f>
        <v>1650</v>
      </c>
      <c r="P7" s="3190">
        <v>0</v>
      </c>
      <c r="Q7" s="3190">
        <f>(R7)</f>
        <v>0</v>
      </c>
      <c r="R7" s="3183">
        <f t="shared" si="1"/>
        <v>0</v>
      </c>
      <c r="S7" s="3190">
        <v>0</v>
      </c>
      <c r="T7" s="3190">
        <f t="shared" si="2"/>
        <v>32.574979999999996</v>
      </c>
      <c r="U7" s="3183">
        <f>'[111]Q1F-2013-14'!T7+'[111]Q2F-2013-14'!T7</f>
        <v>32.574979999999996</v>
      </c>
      <c r="V7" s="3193"/>
    </row>
    <row r="8" spans="1:22" ht="21" thickBot="1">
      <c r="A8" s="6181"/>
      <c r="B8" s="6177"/>
      <c r="C8" s="3186"/>
      <c r="D8" s="3187">
        <v>0.105</v>
      </c>
      <c r="E8" s="3188" t="s">
        <v>895</v>
      </c>
      <c r="F8" s="3189" t="s">
        <v>896</v>
      </c>
      <c r="G8" s="3190">
        <v>0</v>
      </c>
      <c r="H8" s="3190">
        <f t="shared" ref="H8:H13" si="3">I8</f>
        <v>2485</v>
      </c>
      <c r="I8" s="3191">
        <v>2485</v>
      </c>
      <c r="J8" s="3190">
        <v>0</v>
      </c>
      <c r="K8" s="3190">
        <f t="shared" si="0"/>
        <v>0</v>
      </c>
      <c r="L8" s="3191">
        <v>0</v>
      </c>
      <c r="M8" s="3190">
        <v>0</v>
      </c>
      <c r="N8" s="3190">
        <f>O8</f>
        <v>2485</v>
      </c>
      <c r="O8" s="3192">
        <f>'[111]Q1F-2013-14'!N8+'[111]Q2F-2013-14'!N8</f>
        <v>2485</v>
      </c>
      <c r="P8" s="3190">
        <v>0</v>
      </c>
      <c r="Q8" s="3190">
        <f t="shared" ref="Q8:Q21" si="4">R8</f>
        <v>0</v>
      </c>
      <c r="R8" s="3183">
        <f t="shared" si="1"/>
        <v>0</v>
      </c>
      <c r="S8" s="3190">
        <v>0</v>
      </c>
      <c r="T8" s="3190">
        <f t="shared" si="2"/>
        <v>67.317620000000005</v>
      </c>
      <c r="U8" s="3183">
        <f>'[111]Q1F-2013-14'!T8+'[111]Q2F-2013-14'!T8</f>
        <v>67.317620000000005</v>
      </c>
      <c r="V8" s="3193"/>
    </row>
    <row r="9" spans="1:22" ht="21" thickBot="1">
      <c r="A9" s="6181"/>
      <c r="B9" s="6177"/>
      <c r="C9" s="3186"/>
      <c r="D9" s="3187">
        <v>0.105</v>
      </c>
      <c r="E9" s="3188" t="s">
        <v>897</v>
      </c>
      <c r="F9" s="3189" t="s">
        <v>898</v>
      </c>
      <c r="G9" s="3190">
        <v>0</v>
      </c>
      <c r="H9" s="3190">
        <f t="shared" si="3"/>
        <v>3320</v>
      </c>
      <c r="I9" s="3191">
        <v>3320</v>
      </c>
      <c r="J9" s="3190">
        <v>0</v>
      </c>
      <c r="K9" s="3190">
        <f t="shared" si="0"/>
        <v>0</v>
      </c>
      <c r="L9" s="3191">
        <v>0</v>
      </c>
      <c r="M9" s="3190">
        <v>0</v>
      </c>
      <c r="N9" s="3190">
        <v>0</v>
      </c>
      <c r="O9" s="3192">
        <f>'[111]Q1F-2013-14'!N9+'[111]Q2F-2013-14'!N9</f>
        <v>3320</v>
      </c>
      <c r="P9" s="3190">
        <v>0</v>
      </c>
      <c r="Q9" s="3190">
        <f t="shared" si="4"/>
        <v>0</v>
      </c>
      <c r="R9" s="3183">
        <f t="shared" si="1"/>
        <v>0</v>
      </c>
      <c r="S9" s="3190">
        <v>0</v>
      </c>
      <c r="T9" s="3190">
        <f t="shared" si="2"/>
        <v>97.468850000000003</v>
      </c>
      <c r="U9" s="3183">
        <f>'[111]Q1F-2013-14'!T9+'[111]Q2F-2013-14'!T9</f>
        <v>97.468850000000003</v>
      </c>
      <c r="V9" s="3193"/>
    </row>
    <row r="10" spans="1:22" ht="21" thickBot="1">
      <c r="A10" s="6181"/>
      <c r="B10" s="6177"/>
      <c r="C10" s="3186"/>
      <c r="D10" s="3187">
        <v>0.105</v>
      </c>
      <c r="E10" s="3188" t="s">
        <v>899</v>
      </c>
      <c r="F10" s="3189" t="s">
        <v>900</v>
      </c>
      <c r="G10" s="3190">
        <v>0</v>
      </c>
      <c r="H10" s="3190">
        <f t="shared" si="3"/>
        <v>3320</v>
      </c>
      <c r="I10" s="3191">
        <v>3320</v>
      </c>
      <c r="J10" s="3190">
        <v>0</v>
      </c>
      <c r="K10" s="3190">
        <f t="shared" si="0"/>
        <v>0</v>
      </c>
      <c r="L10" s="3191">
        <v>0</v>
      </c>
      <c r="M10" s="3190">
        <v>0</v>
      </c>
      <c r="N10" s="3190">
        <v>0</v>
      </c>
      <c r="O10" s="3192">
        <f>'[111]Q1F-2013-14'!N10+'[111]Q2F-2013-14'!N10</f>
        <v>3320</v>
      </c>
      <c r="P10" s="3190">
        <v>0</v>
      </c>
      <c r="Q10" s="3190">
        <f t="shared" si="4"/>
        <v>0</v>
      </c>
      <c r="R10" s="3183">
        <f t="shared" si="1"/>
        <v>0</v>
      </c>
      <c r="S10" s="3190">
        <v>0</v>
      </c>
      <c r="T10" s="3190">
        <f t="shared" si="2"/>
        <v>103.71210000000001</v>
      </c>
      <c r="U10" s="3183">
        <f>'[111]Q1F-2013-14'!T10+'[111]Q2F-2013-14'!T10</f>
        <v>103.71210000000001</v>
      </c>
      <c r="V10" s="3193"/>
    </row>
    <row r="11" spans="1:22" ht="21" thickBot="1">
      <c r="A11" s="6181"/>
      <c r="B11" s="6177"/>
      <c r="C11" s="3186"/>
      <c r="D11" s="3187">
        <v>0.105</v>
      </c>
      <c r="E11" s="3188" t="s">
        <v>901</v>
      </c>
      <c r="F11" s="3189" t="s">
        <v>902</v>
      </c>
      <c r="G11" s="3190">
        <v>0</v>
      </c>
      <c r="H11" s="3190">
        <f t="shared" si="3"/>
        <v>4990</v>
      </c>
      <c r="I11" s="3191">
        <v>4990</v>
      </c>
      <c r="J11" s="3190">
        <v>0</v>
      </c>
      <c r="K11" s="3190">
        <f t="shared" si="0"/>
        <v>0</v>
      </c>
      <c r="L11" s="3191">
        <v>0</v>
      </c>
      <c r="M11" s="3190">
        <v>0</v>
      </c>
      <c r="N11" s="3190">
        <v>0</v>
      </c>
      <c r="O11" s="3194">
        <f>'[111]Q1F-2013-14'!N11+'[111]Q2F-2013-14'!N11</f>
        <v>4990</v>
      </c>
      <c r="P11" s="3190">
        <v>0</v>
      </c>
      <c r="Q11" s="3190">
        <f t="shared" si="4"/>
        <v>0</v>
      </c>
      <c r="R11" s="3183">
        <f t="shared" si="1"/>
        <v>0</v>
      </c>
      <c r="S11" s="3190">
        <v>0</v>
      </c>
      <c r="T11" s="3190">
        <f t="shared" si="2"/>
        <v>175.98336</v>
      </c>
      <c r="U11" s="3183">
        <f>'[111]Q1F-2013-14'!T11+'[111]Q2F-2013-14'!T11</f>
        <v>175.98336</v>
      </c>
      <c r="V11" s="3193"/>
    </row>
    <row r="12" spans="1:22" ht="21" thickBot="1">
      <c r="A12" s="6182"/>
      <c r="B12" s="6167"/>
      <c r="C12" s="3169"/>
      <c r="D12" s="3187">
        <v>0.10249999999999999</v>
      </c>
      <c r="E12" s="3195" t="s">
        <v>903</v>
      </c>
      <c r="F12" s="3196" t="s">
        <v>904</v>
      </c>
      <c r="G12" s="3190">
        <v>0</v>
      </c>
      <c r="H12" s="3190">
        <f t="shared" si="3"/>
        <v>20000</v>
      </c>
      <c r="I12" s="3197">
        <v>20000</v>
      </c>
      <c r="J12" s="3197">
        <v>0</v>
      </c>
      <c r="K12" s="3197">
        <f t="shared" si="0"/>
        <v>0</v>
      </c>
      <c r="L12" s="3197">
        <v>0</v>
      </c>
      <c r="M12" s="3190">
        <v>0</v>
      </c>
      <c r="N12" s="3190">
        <f t="shared" ref="N12:N21" si="5">O12</f>
        <v>12525</v>
      </c>
      <c r="O12" s="3194">
        <f>'[111]Q1F-2013-14'!N12+'[111]Q2F-2013-14'!N12</f>
        <v>12525</v>
      </c>
      <c r="P12" s="3197">
        <v>0</v>
      </c>
      <c r="Q12" s="3197">
        <f t="shared" si="4"/>
        <v>7475</v>
      </c>
      <c r="R12" s="3198">
        <f t="shared" si="1"/>
        <v>7475</v>
      </c>
      <c r="S12" s="3199">
        <v>0</v>
      </c>
      <c r="T12" s="3190">
        <f t="shared" si="2"/>
        <v>888.83651999999995</v>
      </c>
      <c r="U12" s="3183">
        <f>'[111]Q1F-2013-14'!T12+'[111]Q2F-2013-14'!T12</f>
        <v>888.83651999999995</v>
      </c>
      <c r="V12" s="3193"/>
    </row>
    <row r="13" spans="1:22" ht="21" thickBot="1">
      <c r="A13" s="3200">
        <v>2</v>
      </c>
      <c r="B13" s="3201" t="s">
        <v>905</v>
      </c>
      <c r="C13" s="3202"/>
      <c r="D13" s="3187">
        <v>0.1075</v>
      </c>
      <c r="E13" s="3188" t="s">
        <v>914</v>
      </c>
      <c r="F13" s="3203" t="s">
        <v>915</v>
      </c>
      <c r="G13" s="3190">
        <v>0</v>
      </c>
      <c r="H13" s="3190">
        <f t="shared" si="3"/>
        <v>1000</v>
      </c>
      <c r="I13" s="3191">
        <v>1000</v>
      </c>
      <c r="J13" s="3190">
        <v>0</v>
      </c>
      <c r="K13" s="3190">
        <f t="shared" si="0"/>
        <v>0</v>
      </c>
      <c r="L13" s="3191">
        <v>0</v>
      </c>
      <c r="M13" s="3190">
        <v>0</v>
      </c>
      <c r="N13" s="3190">
        <f t="shared" si="5"/>
        <v>1000</v>
      </c>
      <c r="O13" s="3194">
        <f>'[111]Q1F-2013-14'!N13+'[111]Q2F-2013-14'!N13</f>
        <v>1000</v>
      </c>
      <c r="P13" s="3190">
        <v>0</v>
      </c>
      <c r="Q13" s="3190">
        <f t="shared" si="4"/>
        <v>0</v>
      </c>
      <c r="R13" s="3183">
        <f t="shared" si="1"/>
        <v>0</v>
      </c>
      <c r="S13" s="3190">
        <v>0</v>
      </c>
      <c r="T13" s="3190">
        <f t="shared" si="2"/>
        <v>6.7385299999999999</v>
      </c>
      <c r="U13" s="3183">
        <f>'[111]Q1F-2013-14'!T13+'[111]Q2F-2013-14'!T13</f>
        <v>6.7385299999999999</v>
      </c>
      <c r="V13" s="3193"/>
    </row>
    <row r="14" spans="1:22" ht="21" thickBot="1">
      <c r="A14" s="6164">
        <v>3</v>
      </c>
      <c r="B14" s="6166" t="s">
        <v>916</v>
      </c>
      <c r="C14" s="3186"/>
      <c r="D14" s="3187">
        <v>0.105</v>
      </c>
      <c r="E14" s="3204" t="s">
        <v>921</v>
      </c>
      <c r="F14" s="3205" t="s">
        <v>1037</v>
      </c>
      <c r="G14" s="3197">
        <v>0</v>
      </c>
      <c r="H14" s="3197">
        <f>(I14)</f>
        <v>5050</v>
      </c>
      <c r="I14" s="3197">
        <v>5050</v>
      </c>
      <c r="J14" s="3197">
        <v>0</v>
      </c>
      <c r="K14" s="3197">
        <f t="shared" si="0"/>
        <v>0</v>
      </c>
      <c r="L14" s="3197">
        <v>0</v>
      </c>
      <c r="M14" s="3197">
        <v>0</v>
      </c>
      <c r="N14" s="3197">
        <f t="shared" si="5"/>
        <v>5050</v>
      </c>
      <c r="O14" s="3206">
        <f>'[111]Q1F-2013-14'!N14+'[111]Q2F-2013-14'!N14</f>
        <v>5050</v>
      </c>
      <c r="P14" s="3197">
        <v>0</v>
      </c>
      <c r="Q14" s="3197">
        <f t="shared" si="4"/>
        <v>0</v>
      </c>
      <c r="R14" s="3197">
        <f t="shared" si="1"/>
        <v>0</v>
      </c>
      <c r="S14" s="3199">
        <v>0</v>
      </c>
      <c r="T14" s="3197">
        <f t="shared" si="2"/>
        <v>111.96869000000001</v>
      </c>
      <c r="U14" s="3198">
        <f>'[111]Q1F-2013-14'!T14+'[111]Q2F-2013-14'!T14</f>
        <v>111.96869000000001</v>
      </c>
      <c r="V14" s="3193"/>
    </row>
    <row r="15" spans="1:22" ht="21" thickBot="1">
      <c r="A15" s="6176"/>
      <c r="B15" s="6177"/>
      <c r="C15" s="3186"/>
      <c r="D15" s="3187">
        <v>0.1075</v>
      </c>
      <c r="E15" s="3204" t="s">
        <v>923</v>
      </c>
      <c r="F15" s="3205" t="s">
        <v>924</v>
      </c>
      <c r="G15" s="3197">
        <v>0</v>
      </c>
      <c r="H15" s="3197">
        <f>(I15)</f>
        <v>2500</v>
      </c>
      <c r="I15" s="3197">
        <v>2500</v>
      </c>
      <c r="J15" s="3197">
        <v>0</v>
      </c>
      <c r="K15" s="3197">
        <f t="shared" si="0"/>
        <v>0</v>
      </c>
      <c r="L15" s="3197">
        <v>0</v>
      </c>
      <c r="M15" s="3190">
        <v>0</v>
      </c>
      <c r="N15" s="3190">
        <f t="shared" si="5"/>
        <v>2500</v>
      </c>
      <c r="O15" s="3206">
        <f>'[111]Q1F-2013-14'!N15+'[111]Q2F-2013-14'!N15</f>
        <v>2500</v>
      </c>
      <c r="P15" s="3197">
        <v>0</v>
      </c>
      <c r="Q15" s="3197">
        <f t="shared" si="4"/>
        <v>0</v>
      </c>
      <c r="R15" s="3198">
        <f t="shared" si="1"/>
        <v>0</v>
      </c>
      <c r="S15" s="3199">
        <v>0</v>
      </c>
      <c r="T15" s="3190">
        <f t="shared" si="2"/>
        <v>17.56062</v>
      </c>
      <c r="U15" s="3198">
        <f>'[111]Q1F-2013-14'!T15+'[111]Q2F-2013-14'!T15</f>
        <v>17.56062</v>
      </c>
      <c r="V15" s="3193"/>
    </row>
    <row r="16" spans="1:22" ht="21" thickBot="1">
      <c r="A16" s="6176"/>
      <c r="B16" s="6177"/>
      <c r="C16" s="3186"/>
      <c r="D16" s="3187">
        <v>0.1075</v>
      </c>
      <c r="E16" s="3204" t="s">
        <v>888</v>
      </c>
      <c r="F16" s="3205" t="s">
        <v>925</v>
      </c>
      <c r="G16" s="3197">
        <v>0</v>
      </c>
      <c r="H16" s="3197">
        <f t="shared" ref="H16:H21" si="6">I16</f>
        <v>4000</v>
      </c>
      <c r="I16" s="3197">
        <v>4000</v>
      </c>
      <c r="J16" s="3197">
        <v>0</v>
      </c>
      <c r="K16" s="3197">
        <f t="shared" si="0"/>
        <v>0</v>
      </c>
      <c r="L16" s="3197">
        <v>0</v>
      </c>
      <c r="M16" s="3197">
        <v>0</v>
      </c>
      <c r="N16" s="3197">
        <f t="shared" si="5"/>
        <v>2600</v>
      </c>
      <c r="O16" s="3206">
        <f>'[111]Q1F-2013-14'!N16+'[111]Q2F-2013-14'!N16</f>
        <v>2600</v>
      </c>
      <c r="P16" s="3197">
        <v>0</v>
      </c>
      <c r="Q16" s="3197">
        <f t="shared" si="4"/>
        <v>1400</v>
      </c>
      <c r="R16" s="3198">
        <f t="shared" si="1"/>
        <v>1400</v>
      </c>
      <c r="S16" s="3199">
        <v>0</v>
      </c>
      <c r="T16" s="3190">
        <f t="shared" si="2"/>
        <v>136.44085000000001</v>
      </c>
      <c r="U16" s="3198">
        <f>'[111]Q1F-2013-14'!T16+'[111]Q2F-2013-14'!T16</f>
        <v>136.44085000000001</v>
      </c>
      <c r="V16" s="3193"/>
    </row>
    <row r="17" spans="1:31" ht="21" thickBot="1">
      <c r="A17" s="6176"/>
      <c r="B17" s="6177"/>
      <c r="C17" s="3186"/>
      <c r="D17" s="3187">
        <v>0.109</v>
      </c>
      <c r="E17" s="3204" t="s">
        <v>926</v>
      </c>
      <c r="F17" s="3207" t="s">
        <v>927</v>
      </c>
      <c r="G17" s="3190">
        <v>0</v>
      </c>
      <c r="H17" s="3190">
        <f t="shared" si="6"/>
        <v>5000</v>
      </c>
      <c r="I17" s="3197">
        <v>5000</v>
      </c>
      <c r="J17" s="3190">
        <v>0</v>
      </c>
      <c r="K17" s="3190">
        <f t="shared" si="0"/>
        <v>0</v>
      </c>
      <c r="L17" s="3197">
        <v>0</v>
      </c>
      <c r="M17" s="3190">
        <v>0</v>
      </c>
      <c r="N17" s="3190">
        <f t="shared" si="5"/>
        <v>3400</v>
      </c>
      <c r="O17" s="3206">
        <f>'[111]Q1F-2013-14'!N17+'[111]Q2F-2013-14'!N17</f>
        <v>3400</v>
      </c>
      <c r="P17" s="3197">
        <v>0</v>
      </c>
      <c r="Q17" s="3197">
        <f t="shared" si="4"/>
        <v>1600</v>
      </c>
      <c r="R17" s="3198">
        <f t="shared" si="1"/>
        <v>1600</v>
      </c>
      <c r="S17" s="3199">
        <v>0</v>
      </c>
      <c r="T17" s="3190">
        <f t="shared" si="2"/>
        <v>193.43788000000001</v>
      </c>
      <c r="U17" s="3198">
        <f>'[111]Q1F-2013-14'!T17+'[111]Q2F-2013-14'!T17</f>
        <v>193.43788000000001</v>
      </c>
      <c r="V17" s="3193"/>
    </row>
    <row r="18" spans="1:31" ht="21" thickBot="1">
      <c r="A18" s="6176"/>
      <c r="B18" s="6177"/>
      <c r="C18" s="3186"/>
      <c r="D18" s="3187">
        <v>0.109</v>
      </c>
      <c r="E18" s="3204" t="s">
        <v>928</v>
      </c>
      <c r="F18" s="3207" t="s">
        <v>929</v>
      </c>
      <c r="G18" s="3190">
        <v>0</v>
      </c>
      <c r="H18" s="3190">
        <f t="shared" si="6"/>
        <v>3300</v>
      </c>
      <c r="I18" s="3197">
        <v>3300</v>
      </c>
      <c r="J18" s="3190">
        <v>0</v>
      </c>
      <c r="K18" s="3190">
        <f t="shared" si="0"/>
        <v>0</v>
      </c>
      <c r="L18" s="3197">
        <v>0</v>
      </c>
      <c r="M18" s="3190">
        <v>0</v>
      </c>
      <c r="N18" s="3190">
        <f t="shared" si="5"/>
        <v>2200</v>
      </c>
      <c r="O18" s="3206">
        <f>'[111]Q1F-2013-14'!N18+'[111]Q2F-2013-14'!N18</f>
        <v>2200</v>
      </c>
      <c r="P18" s="3197">
        <v>0</v>
      </c>
      <c r="Q18" s="3197">
        <f t="shared" si="4"/>
        <v>1100</v>
      </c>
      <c r="R18" s="3198">
        <f t="shared" si="1"/>
        <v>1100</v>
      </c>
      <c r="S18" s="3199">
        <v>0</v>
      </c>
      <c r="T18" s="3190">
        <f t="shared" si="2"/>
        <v>126.12468999999999</v>
      </c>
      <c r="U18" s="3198">
        <f>'[111]Q1F-2013-14'!T18+'[111]Q2F-2013-14'!T18</f>
        <v>126.12468999999999</v>
      </c>
      <c r="V18" s="3193"/>
    </row>
    <row r="19" spans="1:31" ht="21" thickBot="1">
      <c r="A19" s="6176"/>
      <c r="B19" s="6177"/>
      <c r="C19" s="3186"/>
      <c r="D19" s="3208">
        <v>0.10249999999999999</v>
      </c>
      <c r="E19" s="3209" t="s">
        <v>2503</v>
      </c>
      <c r="F19" s="3210" t="s">
        <v>2504</v>
      </c>
      <c r="G19" s="3211">
        <v>0</v>
      </c>
      <c r="H19" s="3211">
        <f t="shared" si="6"/>
        <v>0</v>
      </c>
      <c r="I19" s="3212">
        <v>0</v>
      </c>
      <c r="J19" s="3211">
        <v>0</v>
      </c>
      <c r="K19" s="3211">
        <f t="shared" si="0"/>
        <v>6300</v>
      </c>
      <c r="L19" s="3211">
        <v>6300</v>
      </c>
      <c r="M19" s="3211">
        <v>0</v>
      </c>
      <c r="N19" s="3211">
        <f t="shared" si="5"/>
        <v>0</v>
      </c>
      <c r="O19" s="3213">
        <f>'[111]Q1F-2013-14'!N19+'[111]Q2F-2013-14'!N19</f>
        <v>0</v>
      </c>
      <c r="P19" s="3211">
        <v>0</v>
      </c>
      <c r="Q19" s="3211">
        <f t="shared" si="4"/>
        <v>6300</v>
      </c>
      <c r="R19" s="3212">
        <f t="shared" si="1"/>
        <v>6300</v>
      </c>
      <c r="S19" s="3214">
        <v>0</v>
      </c>
      <c r="T19" s="3215">
        <f t="shared" si="2"/>
        <v>194.32751000000002</v>
      </c>
      <c r="U19" s="3198">
        <f>'[111]Q1F-2013-14'!T19+'[111]Q2F-2013-14'!T19</f>
        <v>194.32751000000002</v>
      </c>
      <c r="V19" s="3193"/>
    </row>
    <row r="20" spans="1:31" ht="21" thickBot="1">
      <c r="A20" s="6176"/>
      <c r="B20" s="6177"/>
      <c r="C20" s="3186"/>
      <c r="D20" s="3216">
        <v>0.10249999999999999</v>
      </c>
      <c r="E20" s="3217" t="s">
        <v>2505</v>
      </c>
      <c r="F20" s="3210" t="s">
        <v>2506</v>
      </c>
      <c r="G20" s="3218">
        <v>0</v>
      </c>
      <c r="H20" s="3218">
        <f t="shared" si="6"/>
        <v>0</v>
      </c>
      <c r="I20" s="3219">
        <v>0</v>
      </c>
      <c r="J20" s="3218">
        <v>0</v>
      </c>
      <c r="K20" s="3218">
        <f t="shared" si="0"/>
        <v>5500</v>
      </c>
      <c r="L20" s="3218">
        <v>5500</v>
      </c>
      <c r="M20" s="3218">
        <v>0</v>
      </c>
      <c r="N20" s="3218">
        <f t="shared" si="5"/>
        <v>900</v>
      </c>
      <c r="O20" s="3220">
        <f>'[111]Q1F-2013-14'!N20+'[111]Q2F-2013-14'!N20</f>
        <v>900</v>
      </c>
      <c r="P20" s="3218">
        <v>0</v>
      </c>
      <c r="Q20" s="3218">
        <f t="shared" si="4"/>
        <v>4600</v>
      </c>
      <c r="R20" s="3219">
        <f t="shared" si="1"/>
        <v>4600</v>
      </c>
      <c r="S20" s="3221">
        <v>0</v>
      </c>
      <c r="T20" s="3222">
        <f t="shared" si="2"/>
        <v>146.72888999999998</v>
      </c>
      <c r="U20" s="3198">
        <f>'[111]Q1F-2013-14'!T20+'[111]Q2F-2013-14'!T20</f>
        <v>146.72888999999998</v>
      </c>
      <c r="V20" s="3193"/>
    </row>
    <row r="21" spans="1:31" ht="24" thickBot="1">
      <c r="A21" s="6165"/>
      <c r="B21" s="6167"/>
      <c r="C21" s="3186"/>
      <c r="D21" s="3208">
        <v>0.115</v>
      </c>
      <c r="E21" s="3223" t="s">
        <v>2507</v>
      </c>
      <c r="F21" s="3210" t="s">
        <v>2508</v>
      </c>
      <c r="G21" s="3211">
        <v>0</v>
      </c>
      <c r="H21" s="3211">
        <f t="shared" si="6"/>
        <v>0</v>
      </c>
      <c r="I21" s="3212">
        <v>0</v>
      </c>
      <c r="J21" s="3211">
        <v>0</v>
      </c>
      <c r="K21" s="3211">
        <f t="shared" si="0"/>
        <v>2700</v>
      </c>
      <c r="L21" s="3211">
        <v>2700</v>
      </c>
      <c r="M21" s="3211">
        <v>0</v>
      </c>
      <c r="N21" s="3211">
        <f t="shared" si="5"/>
        <v>0</v>
      </c>
      <c r="O21" s="3213">
        <f>'[111]Q2F-2013-14'!N21</f>
        <v>0</v>
      </c>
      <c r="P21" s="3211">
        <v>0</v>
      </c>
      <c r="Q21" s="3211">
        <f t="shared" si="4"/>
        <v>2700</v>
      </c>
      <c r="R21" s="3212">
        <f t="shared" si="1"/>
        <v>2700</v>
      </c>
      <c r="S21" s="3214">
        <v>0</v>
      </c>
      <c r="T21" s="3211">
        <f t="shared" si="2"/>
        <v>22.117809999999999</v>
      </c>
      <c r="U21" s="3212">
        <f>'[111]Q2F-2013-14'!T21</f>
        <v>22.117809999999999</v>
      </c>
      <c r="V21" s="3193"/>
      <c r="AE21" s="3224">
        <v>0</v>
      </c>
    </row>
    <row r="22" spans="1:31" ht="21" thickBot="1">
      <c r="A22" s="6164">
        <v>4</v>
      </c>
      <c r="B22" s="6166" t="s">
        <v>930</v>
      </c>
      <c r="C22" s="3167"/>
      <c r="D22" s="3225">
        <v>0.1075</v>
      </c>
      <c r="E22" s="3181" t="s">
        <v>934</v>
      </c>
      <c r="F22" s="3182" t="s">
        <v>1038</v>
      </c>
      <c r="G22" s="3191">
        <v>0</v>
      </c>
      <c r="H22" s="3190">
        <f>(I22)</f>
        <v>437.5</v>
      </c>
      <c r="I22" s="3191">
        <v>437.5</v>
      </c>
      <c r="J22" s="3190">
        <v>0</v>
      </c>
      <c r="K22" s="3190">
        <f t="shared" si="0"/>
        <v>0</v>
      </c>
      <c r="L22" s="3191">
        <v>0</v>
      </c>
      <c r="M22" s="3191">
        <v>0</v>
      </c>
      <c r="N22" s="3190">
        <f>(O22)</f>
        <v>437.5</v>
      </c>
      <c r="O22" s="3226">
        <f>'[111]Q1F-2013-14'!N21+'[111]Q2F-2013-14'!N22</f>
        <v>437.5</v>
      </c>
      <c r="P22" s="3191">
        <v>0</v>
      </c>
      <c r="Q22" s="3190">
        <f>(R22)</f>
        <v>0</v>
      </c>
      <c r="R22" s="3183">
        <f t="shared" si="1"/>
        <v>0</v>
      </c>
      <c r="S22" s="3191">
        <v>0</v>
      </c>
      <c r="T22" s="3190">
        <f>(U22)</f>
        <v>0.25585000000000002</v>
      </c>
      <c r="U22" s="3183">
        <f>'[111]Q1F-2013-14'!T21+'[111]Q2F-2013-14'!T22</f>
        <v>0.25585000000000002</v>
      </c>
      <c r="V22" s="3193"/>
    </row>
    <row r="23" spans="1:31" ht="21" thickBot="1">
      <c r="A23" s="6176"/>
      <c r="B23" s="6177"/>
      <c r="C23" s="3186"/>
      <c r="D23" s="3225">
        <v>0.11</v>
      </c>
      <c r="E23" s="3181" t="s">
        <v>936</v>
      </c>
      <c r="F23" s="3182" t="s">
        <v>937</v>
      </c>
      <c r="G23" s="3191">
        <v>0</v>
      </c>
      <c r="H23" s="3190">
        <f>(I23)</f>
        <v>8450</v>
      </c>
      <c r="I23" s="3191">
        <v>8450</v>
      </c>
      <c r="J23" s="3190">
        <v>0</v>
      </c>
      <c r="K23" s="3190">
        <v>0</v>
      </c>
      <c r="L23" s="3191">
        <v>0</v>
      </c>
      <c r="M23" s="3191">
        <v>0</v>
      </c>
      <c r="N23" s="3190">
        <v>1650</v>
      </c>
      <c r="O23" s="3226">
        <f>'[111]Q1F-2013-14'!N22+'[111]Q2F-2013-14'!N23</f>
        <v>8450</v>
      </c>
      <c r="P23" s="3191">
        <v>0</v>
      </c>
      <c r="Q23" s="3190">
        <f>R23</f>
        <v>0</v>
      </c>
      <c r="R23" s="3183">
        <f t="shared" si="1"/>
        <v>0</v>
      </c>
      <c r="S23" s="3191">
        <v>0</v>
      </c>
      <c r="T23" s="3227">
        <f>+U23</f>
        <v>215.90386999999998</v>
      </c>
      <c r="U23" s="3183">
        <f>'[111]Q1F-2013-14'!T22+'[111]Q2F-2013-14'!T23</f>
        <v>215.90386999999998</v>
      </c>
      <c r="V23" s="3193"/>
    </row>
    <row r="24" spans="1:31" ht="21" thickBot="1">
      <c r="A24" s="6176"/>
      <c r="B24" s="6177"/>
      <c r="C24" s="3186" t="s">
        <v>2538</v>
      </c>
      <c r="D24" s="3187">
        <v>0.11</v>
      </c>
      <c r="E24" s="3181" t="s">
        <v>880</v>
      </c>
      <c r="F24" s="3182" t="s">
        <v>938</v>
      </c>
      <c r="G24" s="3228">
        <f>I24*45%</f>
        <v>6745.5</v>
      </c>
      <c r="H24" s="3197">
        <f>I24*55%</f>
        <v>8244.5</v>
      </c>
      <c r="I24" s="3197">
        <v>14990</v>
      </c>
      <c r="J24" s="3197">
        <f>L24*45%</f>
        <v>0</v>
      </c>
      <c r="K24" s="3197">
        <f>L24*55%</f>
        <v>0</v>
      </c>
      <c r="L24" s="3197">
        <v>0</v>
      </c>
      <c r="M24" s="3197">
        <f>O24*45%</f>
        <v>3006</v>
      </c>
      <c r="N24" s="3197">
        <f>O24*55%</f>
        <v>3674.0000000000005</v>
      </c>
      <c r="O24" s="3206">
        <f>'[111]Q1F-2013-14'!N23+'[111]Q2F-2013-14'!N24</f>
        <v>6680</v>
      </c>
      <c r="P24" s="3197">
        <f>R24*45%</f>
        <v>3739.5</v>
      </c>
      <c r="Q24" s="3197">
        <f>R24*55%</f>
        <v>4570.5</v>
      </c>
      <c r="R24" s="3197">
        <f t="shared" si="1"/>
        <v>8310</v>
      </c>
      <c r="S24" s="3197">
        <f>U24*45%</f>
        <v>301.51360350000004</v>
      </c>
      <c r="T24" s="3197">
        <f>U24*55%</f>
        <v>368.51662650000009</v>
      </c>
      <c r="U24" s="3198">
        <f>'[111]Q1F-2013-14'!T23+'[111]Q2F-2013-14'!T24</f>
        <v>670.03023000000007</v>
      </c>
      <c r="V24" s="3193"/>
    </row>
    <row r="25" spans="1:31" ht="21" thickBot="1">
      <c r="A25" s="6176"/>
      <c r="B25" s="6177"/>
      <c r="C25" s="3186"/>
      <c r="D25" s="3187">
        <v>0.1075</v>
      </c>
      <c r="E25" s="3229" t="s">
        <v>939</v>
      </c>
      <c r="F25" s="3230" t="s">
        <v>940</v>
      </c>
      <c r="G25" s="3190">
        <v>0</v>
      </c>
      <c r="H25" s="3190">
        <f>I25</f>
        <v>30000</v>
      </c>
      <c r="I25" s="3197">
        <v>30000</v>
      </c>
      <c r="J25" s="3197">
        <v>0</v>
      </c>
      <c r="K25" s="3197">
        <f>L25</f>
        <v>0</v>
      </c>
      <c r="L25" s="3197">
        <v>0</v>
      </c>
      <c r="M25" s="3197">
        <v>0</v>
      </c>
      <c r="N25" s="3197">
        <f>O25</f>
        <v>10000</v>
      </c>
      <c r="O25" s="3206">
        <f>'[111]Q1F-2013-14'!N24+'[111]Q2F-2013-14'!N25</f>
        <v>10000</v>
      </c>
      <c r="P25" s="3197">
        <v>0</v>
      </c>
      <c r="Q25" s="3197">
        <f>R25</f>
        <v>20000</v>
      </c>
      <c r="R25" s="3198">
        <f t="shared" si="1"/>
        <v>20000</v>
      </c>
      <c r="S25" s="3199">
        <v>0</v>
      </c>
      <c r="T25" s="3190">
        <f>U25</f>
        <v>1386.42499</v>
      </c>
      <c r="U25" s="3198">
        <f>'[111]Q1F-2013-14'!T24+'[111]Q2F-2013-14'!T25</f>
        <v>1386.42499</v>
      </c>
      <c r="V25" s="3193"/>
    </row>
    <row r="26" spans="1:31" ht="24" thickBot="1">
      <c r="A26" s="6165"/>
      <c r="B26" s="6167"/>
      <c r="C26" s="3186"/>
      <c r="D26" s="3208">
        <v>0.1125</v>
      </c>
      <c r="E26" s="3231" t="s">
        <v>2516</v>
      </c>
      <c r="F26" s="3232" t="s">
        <v>2517</v>
      </c>
      <c r="G26" s="3211">
        <v>0</v>
      </c>
      <c r="H26" s="3211">
        <v>0</v>
      </c>
      <c r="I26" s="3212">
        <v>0</v>
      </c>
      <c r="J26" s="3211">
        <v>0</v>
      </c>
      <c r="K26" s="3211">
        <f>L26</f>
        <v>20000</v>
      </c>
      <c r="L26" s="3211">
        <v>20000</v>
      </c>
      <c r="M26" s="3211">
        <v>0</v>
      </c>
      <c r="N26" s="3211">
        <f>O26</f>
        <v>0</v>
      </c>
      <c r="O26" s="3213">
        <f>'[111]Q2F-2013-14'!N26</f>
        <v>0</v>
      </c>
      <c r="P26" s="3212">
        <v>0</v>
      </c>
      <c r="Q26" s="3212">
        <f>R26</f>
        <v>20000</v>
      </c>
      <c r="R26" s="3212">
        <f t="shared" si="1"/>
        <v>20000</v>
      </c>
      <c r="S26" s="3214">
        <v>0</v>
      </c>
      <c r="T26" s="3211">
        <f>U26</f>
        <v>0</v>
      </c>
      <c r="U26" s="3212">
        <f>'[111]Q2F-2013-14'!T26</f>
        <v>0</v>
      </c>
      <c r="V26" s="3193"/>
      <c r="AE26" s="3224">
        <v>0</v>
      </c>
    </row>
    <row r="27" spans="1:31" ht="21" thickBot="1">
      <c r="A27" s="6164">
        <v>5</v>
      </c>
      <c r="B27" s="6178" t="s">
        <v>941</v>
      </c>
      <c r="C27" s="3233"/>
      <c r="D27" s="3187">
        <v>0.105</v>
      </c>
      <c r="E27" s="3229" t="s">
        <v>942</v>
      </c>
      <c r="F27" s="3182" t="s">
        <v>943</v>
      </c>
      <c r="G27" s="3197">
        <v>0</v>
      </c>
      <c r="H27" s="3197">
        <f>(I27)</f>
        <v>13400</v>
      </c>
      <c r="I27" s="3197">
        <v>13400</v>
      </c>
      <c r="J27" s="3197">
        <v>0</v>
      </c>
      <c r="K27" s="3197">
        <f>L27</f>
        <v>0</v>
      </c>
      <c r="L27" s="3197">
        <v>0</v>
      </c>
      <c r="M27" s="3197">
        <v>0</v>
      </c>
      <c r="N27" s="3197">
        <f>O27</f>
        <v>8350</v>
      </c>
      <c r="O27" s="3206">
        <f>'[111]Q1F-2013-14'!N25+'[111]Q2F-2013-14'!N27</f>
        <v>8350</v>
      </c>
      <c r="P27" s="3197">
        <v>0</v>
      </c>
      <c r="Q27" s="3197">
        <f>R27</f>
        <v>5050</v>
      </c>
      <c r="R27" s="3197">
        <f t="shared" si="1"/>
        <v>5050</v>
      </c>
      <c r="S27" s="3199">
        <v>0</v>
      </c>
      <c r="T27" s="3197">
        <f>U27</f>
        <v>512.14814999999999</v>
      </c>
      <c r="U27" s="3198">
        <f>'[111]Q1F-2013-14'!T25+'[111]Q2F-2013-14'!T27</f>
        <v>512.14814999999999</v>
      </c>
      <c r="V27" s="3193"/>
    </row>
    <row r="28" spans="1:31" ht="21" thickBot="1">
      <c r="A28" s="6165"/>
      <c r="B28" s="6179"/>
      <c r="C28" s="3234"/>
      <c r="D28" s="3208">
        <v>0.10249999999999999</v>
      </c>
      <c r="E28" s="3235" t="s">
        <v>2520</v>
      </c>
      <c r="F28" s="3236" t="s">
        <v>2521</v>
      </c>
      <c r="G28" s="3211">
        <v>0</v>
      </c>
      <c r="H28" s="3211">
        <f>(I28)</f>
        <v>0</v>
      </c>
      <c r="I28" s="3212">
        <v>0</v>
      </c>
      <c r="J28" s="3211">
        <v>0</v>
      </c>
      <c r="K28" s="3211">
        <f>L28</f>
        <v>15000</v>
      </c>
      <c r="L28" s="3211">
        <v>15000</v>
      </c>
      <c r="M28" s="3211">
        <v>0</v>
      </c>
      <c r="N28" s="3211">
        <f>O28</f>
        <v>2500</v>
      </c>
      <c r="O28" s="3213">
        <f>'[111]Q1F-2013-14'!N26+'[111]Q2F-2013-14'!N28</f>
        <v>2500</v>
      </c>
      <c r="P28" s="3211">
        <v>0</v>
      </c>
      <c r="Q28" s="3211">
        <f>R28</f>
        <v>12500</v>
      </c>
      <c r="R28" s="3212">
        <f t="shared" si="1"/>
        <v>12500</v>
      </c>
      <c r="S28" s="3214">
        <v>0</v>
      </c>
      <c r="T28" s="3215">
        <f>U28</f>
        <v>398.73772000000002</v>
      </c>
      <c r="U28" s="3198">
        <f>'[111]Q1F-2013-14'!T26+'[111]Q2F-2013-14'!T28</f>
        <v>398.73772000000002</v>
      </c>
      <c r="V28" s="3193"/>
    </row>
    <row r="29" spans="1:31" ht="21" thickBot="1">
      <c r="A29" s="3237">
        <v>6</v>
      </c>
      <c r="B29" s="3238" t="s">
        <v>944</v>
      </c>
      <c r="C29" s="3239"/>
      <c r="D29" s="3240">
        <v>0.108</v>
      </c>
      <c r="E29" s="3229" t="s">
        <v>947</v>
      </c>
      <c r="F29" s="3182" t="s">
        <v>948</v>
      </c>
      <c r="G29" s="3197">
        <v>0</v>
      </c>
      <c r="H29" s="3197">
        <f>I29</f>
        <v>15050</v>
      </c>
      <c r="I29" s="3198">
        <v>15050</v>
      </c>
      <c r="J29" s="3197">
        <v>0</v>
      </c>
      <c r="K29" s="3197">
        <f>(L29)</f>
        <v>0</v>
      </c>
      <c r="L29" s="3197">
        <v>0</v>
      </c>
      <c r="M29" s="3197">
        <v>0</v>
      </c>
      <c r="N29" s="3197">
        <f>(O29)</f>
        <v>9900</v>
      </c>
      <c r="O29" s="3241">
        <f>'[111]Q1F-2013-14'!N27+'[111]Q2F-2013-14'!N29</f>
        <v>9900</v>
      </c>
      <c r="P29" s="3197">
        <v>0</v>
      </c>
      <c r="Q29" s="3197">
        <f>(R29)</f>
        <v>5150</v>
      </c>
      <c r="R29" s="3197">
        <f t="shared" si="1"/>
        <v>5150</v>
      </c>
      <c r="S29" s="3199">
        <v>0</v>
      </c>
      <c r="T29" s="3197">
        <f>(U29)</f>
        <v>528.51123000000007</v>
      </c>
      <c r="U29" s="3198">
        <f>'[111]Q1F-2013-14'!T27+'[111]Q2F-2013-14'!T29</f>
        <v>528.51123000000007</v>
      </c>
      <c r="V29" s="3193"/>
    </row>
    <row r="30" spans="1:31" ht="21" thickBot="1">
      <c r="A30" s="3242"/>
      <c r="B30" s="3177" t="s">
        <v>949</v>
      </c>
      <c r="C30" s="3176"/>
      <c r="D30" s="3243"/>
      <c r="E30" s="3181"/>
      <c r="F30" s="3182"/>
      <c r="G30" s="3183">
        <f t="shared" ref="G30:U30" si="7">SUM(G5:G29)</f>
        <v>6745.5</v>
      </c>
      <c r="H30" s="3183">
        <f t="shared" si="7"/>
        <v>134662</v>
      </c>
      <c r="I30" s="3183">
        <f t="shared" si="7"/>
        <v>141407.5</v>
      </c>
      <c r="J30" s="3183">
        <f t="shared" si="7"/>
        <v>0</v>
      </c>
      <c r="K30" s="3183">
        <f t="shared" si="7"/>
        <v>49500</v>
      </c>
      <c r="L30" s="3183">
        <f t="shared" si="7"/>
        <v>49500</v>
      </c>
      <c r="M30" s="3183">
        <f t="shared" si="7"/>
        <v>3006</v>
      </c>
      <c r="N30" s="3183">
        <f t="shared" si="7"/>
        <v>73286.5</v>
      </c>
      <c r="O30" s="3183">
        <f t="shared" si="7"/>
        <v>94722.5</v>
      </c>
      <c r="P30" s="3183">
        <f t="shared" si="7"/>
        <v>3739.5</v>
      </c>
      <c r="Q30" s="3183">
        <f t="shared" si="7"/>
        <v>92445.5</v>
      </c>
      <c r="R30" s="3183">
        <f t="shared" si="7"/>
        <v>96185</v>
      </c>
      <c r="S30" s="3183">
        <f t="shared" si="7"/>
        <v>301.51360350000004</v>
      </c>
      <c r="T30" s="3183">
        <f t="shared" si="7"/>
        <v>5775.0163565000003</v>
      </c>
      <c r="U30" s="3183">
        <f t="shared" si="7"/>
        <v>6076.5299599999998</v>
      </c>
      <c r="V30" s="3193"/>
      <c r="W30" s="911"/>
      <c r="X30" s="911"/>
      <c r="Y30" s="911"/>
    </row>
    <row r="31" spans="1:31" ht="21" thickBot="1">
      <c r="A31" s="3242"/>
      <c r="B31" s="3177"/>
      <c r="C31" s="3176"/>
      <c r="D31" s="3243"/>
      <c r="E31" s="3182"/>
      <c r="F31" s="3182"/>
      <c r="G31" s="3183"/>
      <c r="H31" s="3183"/>
      <c r="I31" s="3183"/>
      <c r="J31" s="3183"/>
      <c r="K31" s="3183"/>
      <c r="L31" s="3226"/>
      <c r="M31" s="3183"/>
      <c r="N31" s="3183"/>
      <c r="O31" s="3226"/>
      <c r="P31" s="3244"/>
      <c r="Q31" s="3183"/>
      <c r="R31" s="3183"/>
      <c r="S31" s="3245"/>
      <c r="T31" s="3246"/>
      <c r="U31" s="3245"/>
    </row>
    <row r="32" spans="1:31" ht="21" thickBot="1">
      <c r="A32" s="3247" t="s">
        <v>950</v>
      </c>
      <c r="B32" s="3248" t="s">
        <v>951</v>
      </c>
      <c r="C32" s="3249"/>
      <c r="D32" s="3168"/>
      <c r="E32" s="3250"/>
      <c r="F32" s="3243"/>
      <c r="G32" s="3183"/>
      <c r="H32" s="3183"/>
      <c r="I32" s="3183"/>
      <c r="J32" s="3183"/>
      <c r="K32" s="3183"/>
      <c r="L32" s="3183"/>
      <c r="M32" s="3183"/>
      <c r="N32" s="3183"/>
      <c r="O32" s="3226"/>
      <c r="P32" s="3244"/>
      <c r="Q32" s="3183"/>
      <c r="R32" s="3183"/>
      <c r="S32" s="3184"/>
      <c r="T32" s="3185"/>
      <c r="U32" s="3184"/>
    </row>
    <row r="33" spans="1:25" ht="21" thickBot="1">
      <c r="A33" s="3251">
        <v>7</v>
      </c>
      <c r="B33" s="3201" t="s">
        <v>952</v>
      </c>
      <c r="C33" s="3167" t="s">
        <v>2705</v>
      </c>
      <c r="D33" s="3252">
        <v>0.13500000000000001</v>
      </c>
      <c r="E33" s="3253" t="s">
        <v>953</v>
      </c>
      <c r="F33" s="3253" t="s">
        <v>954</v>
      </c>
      <c r="G33" s="3254">
        <f>(I33*46/100)</f>
        <v>4600</v>
      </c>
      <c r="H33" s="3254">
        <f>(I33*54/100)</f>
        <v>5400</v>
      </c>
      <c r="I33" s="3254">
        <v>10000</v>
      </c>
      <c r="J33" s="3254">
        <f>(L33*46/100)</f>
        <v>0</v>
      </c>
      <c r="K33" s="3254">
        <f>(L33*54/100)</f>
        <v>0</v>
      </c>
      <c r="L33" s="3254">
        <v>0</v>
      </c>
      <c r="M33" s="3254">
        <f>(O33*46/100)</f>
        <v>575</v>
      </c>
      <c r="N33" s="3254">
        <f>(O33*54/100)</f>
        <v>675</v>
      </c>
      <c r="O33" s="3254">
        <f>'[111]Q1F-2013-14'!N31+'[111]Q2F-2013-14'!N33</f>
        <v>1250</v>
      </c>
      <c r="P33" s="3254">
        <f>(R33*46/100)</f>
        <v>4025</v>
      </c>
      <c r="Q33" s="3254">
        <f>(R33*54/100)</f>
        <v>4725</v>
      </c>
      <c r="R33" s="3254">
        <f>(I33+L33-O33)</f>
        <v>8750</v>
      </c>
      <c r="S33" s="3254">
        <v>282.85000000000002</v>
      </c>
      <c r="T33" s="3255">
        <f>U33*54/100</f>
        <v>332.04400199999998</v>
      </c>
      <c r="U33" s="3254">
        <f>'[111]Q1F-2013-14'!T31+'[111]Q2F-2013-14'!T33</f>
        <v>614.8963</v>
      </c>
    </row>
    <row r="34" spans="1:25" ht="21" thickBot="1">
      <c r="A34" s="3256">
        <v>8</v>
      </c>
      <c r="B34" s="3256" t="s">
        <v>955</v>
      </c>
      <c r="C34" s="3257" t="s">
        <v>2538</v>
      </c>
      <c r="D34" s="3258" t="s">
        <v>956</v>
      </c>
      <c r="E34" s="3250" t="s">
        <v>957</v>
      </c>
      <c r="F34" s="3243" t="s">
        <v>958</v>
      </c>
      <c r="G34" s="3259">
        <f>(I34)</f>
        <v>143.62305000000001</v>
      </c>
      <c r="H34" s="3227">
        <v>0</v>
      </c>
      <c r="I34" s="3260">
        <v>143.62305000000001</v>
      </c>
      <c r="J34" s="3227">
        <f>(L34)</f>
        <v>0</v>
      </c>
      <c r="K34" s="3227">
        <v>0</v>
      </c>
      <c r="L34" s="3183">
        <v>0</v>
      </c>
      <c r="M34" s="3227">
        <f>(O34)</f>
        <v>0</v>
      </c>
      <c r="N34" s="3227">
        <v>0</v>
      </c>
      <c r="O34" s="3254">
        <f>+'[112]APRIL 13'!$N$31+'[112]MAY 13'!$N$29+'[112]JUNE 13'!$N$29</f>
        <v>0</v>
      </c>
      <c r="P34" s="3227">
        <f>(R34)</f>
        <v>143.62305000000001</v>
      </c>
      <c r="Q34" s="3227">
        <v>0</v>
      </c>
      <c r="R34" s="3183">
        <f>(I34+L34-O34)</f>
        <v>143.62305000000001</v>
      </c>
      <c r="S34" s="3227">
        <f>+U34</f>
        <v>0</v>
      </c>
      <c r="T34" s="3261">
        <v>0</v>
      </c>
      <c r="U34" s="3254">
        <f>'[111]Q1F-2013-14'!T32+'[111]Q2F-2013-14'!T34</f>
        <v>0</v>
      </c>
    </row>
    <row r="35" spans="1:25" ht="21" thickBot="1">
      <c r="A35" s="3256">
        <v>9</v>
      </c>
      <c r="B35" s="3256" t="s">
        <v>959</v>
      </c>
      <c r="C35" s="3257" t="s">
        <v>2538</v>
      </c>
      <c r="D35" s="3168" t="s">
        <v>960</v>
      </c>
      <c r="E35" s="3250" t="s">
        <v>961</v>
      </c>
      <c r="F35" s="3243" t="s">
        <v>962</v>
      </c>
      <c r="G35" s="3259">
        <f>(I35)</f>
        <v>3798.5</v>
      </c>
      <c r="H35" s="3227">
        <v>0</v>
      </c>
      <c r="I35" s="3262">
        <v>3798.5</v>
      </c>
      <c r="J35" s="3227">
        <f>(L35)</f>
        <v>0</v>
      </c>
      <c r="K35" s="3227">
        <v>0</v>
      </c>
      <c r="L35" s="3183">
        <v>0</v>
      </c>
      <c r="M35" s="3227">
        <f>(O35)</f>
        <v>0</v>
      </c>
      <c r="N35" s="3227">
        <v>0</v>
      </c>
      <c r="O35" s="3254">
        <f>+'[112]APRIL 13'!$N$31+'[112]MAY 13'!$N$29+'[112]JUNE 13'!$N$29</f>
        <v>0</v>
      </c>
      <c r="P35" s="3227">
        <f>(R35)</f>
        <v>3798.5</v>
      </c>
      <c r="Q35" s="3227">
        <v>0</v>
      </c>
      <c r="R35" s="3183">
        <f>(I35+L35-O35)</f>
        <v>3798.5</v>
      </c>
      <c r="S35" s="3227">
        <f>(U35)</f>
        <v>0</v>
      </c>
      <c r="T35" s="3261">
        <v>0</v>
      </c>
      <c r="U35" s="3254">
        <f>'[111]Q1F-2013-14'!T33+'[111]Q2F-2013-14'!T35</f>
        <v>0</v>
      </c>
    </row>
    <row r="36" spans="1:25" ht="21" thickBot="1">
      <c r="A36" s="3256">
        <v>10</v>
      </c>
      <c r="B36" s="3256" t="s">
        <v>963</v>
      </c>
      <c r="C36" s="3257"/>
      <c r="D36" s="3258" t="s">
        <v>964</v>
      </c>
      <c r="E36" s="3263" t="s">
        <v>965</v>
      </c>
      <c r="F36" s="3264" t="s">
        <v>966</v>
      </c>
      <c r="G36" s="3227">
        <v>0</v>
      </c>
      <c r="H36" s="3227">
        <f>(I36)</f>
        <v>7687.5984999999973</v>
      </c>
      <c r="I36" s="3262">
        <v>7687.5984999999973</v>
      </c>
      <c r="J36" s="3227">
        <v>0</v>
      </c>
      <c r="K36" s="3227">
        <f>(L36)</f>
        <v>0</v>
      </c>
      <c r="L36" s="3183">
        <v>0</v>
      </c>
      <c r="M36" s="3227">
        <v>0</v>
      </c>
      <c r="N36" s="3227">
        <f>O36</f>
        <v>226.10575</v>
      </c>
      <c r="O36" s="3254">
        <f>'[111]Q1F-2013-14'!N34+'[111]Q2F-2013-14'!N36</f>
        <v>226.10575</v>
      </c>
      <c r="P36" s="3227">
        <v>0</v>
      </c>
      <c r="Q36" s="3227">
        <f>(R36)</f>
        <v>7461.4927499999976</v>
      </c>
      <c r="R36" s="3183">
        <f>(I36+L36-O36)</f>
        <v>7461.4927499999976</v>
      </c>
      <c r="S36" s="3227">
        <v>0</v>
      </c>
      <c r="T36" s="3261">
        <f>(U36)</f>
        <v>285.82535999999999</v>
      </c>
      <c r="U36" s="3254">
        <f>'[111]Q1F-2013-14'!T34+'[111]Q2F-2013-14'!T36</f>
        <v>285.82535999999999</v>
      </c>
    </row>
    <row r="37" spans="1:25" s="4428" customFormat="1" ht="21" thickBot="1">
      <c r="A37" s="4420">
        <v>11</v>
      </c>
      <c r="B37" s="4420" t="s">
        <v>967</v>
      </c>
      <c r="C37" s="4421" t="s">
        <v>2705</v>
      </c>
      <c r="D37" s="4422">
        <v>0.1</v>
      </c>
      <c r="E37" s="4423" t="s">
        <v>968</v>
      </c>
      <c r="F37" s="4424" t="s">
        <v>969</v>
      </c>
      <c r="G37" s="4425">
        <f>I37</f>
        <v>40000</v>
      </c>
      <c r="H37" s="4425">
        <v>0</v>
      </c>
      <c r="I37" s="4426">
        <v>40000</v>
      </c>
      <c r="J37" s="4425">
        <f>L37</f>
        <v>40000</v>
      </c>
      <c r="K37" s="4425">
        <v>0</v>
      </c>
      <c r="L37" s="4426">
        <v>40000</v>
      </c>
      <c r="M37" s="4425">
        <v>0</v>
      </c>
      <c r="N37" s="4425">
        <f>(O37)</f>
        <v>0</v>
      </c>
      <c r="O37" s="4427">
        <f>+'[112]APRIL 13'!$N$31+'[112]MAY 13'!$N$29+'[112]JUNE 13'!$N$29</f>
        <v>0</v>
      </c>
      <c r="P37" s="4426">
        <f>+R37</f>
        <v>80000</v>
      </c>
      <c r="Q37" s="4426">
        <v>0</v>
      </c>
      <c r="R37" s="4426">
        <f>(I37+L37-O37)</f>
        <v>80000</v>
      </c>
      <c r="S37" s="4425">
        <f>+U37</f>
        <v>2918.7199799999999</v>
      </c>
      <c r="T37" s="4425">
        <v>0</v>
      </c>
      <c r="U37" s="4427">
        <f>'[111]Q1F-2013-14'!T35+'[111]Q2F-2013-14'!T37</f>
        <v>2918.7199799999999</v>
      </c>
    </row>
    <row r="38" spans="1:25" ht="21" thickBot="1">
      <c r="A38" s="3177"/>
      <c r="B38" s="3267" t="s">
        <v>970</v>
      </c>
      <c r="C38" s="3268"/>
      <c r="D38" s="3243"/>
      <c r="E38" s="3250"/>
      <c r="F38" s="3168"/>
      <c r="G38" s="3227">
        <f t="shared" ref="G38:U38" si="8">SUM(G33:G37)</f>
        <v>48542.123050000002</v>
      </c>
      <c r="H38" s="3227">
        <f t="shared" si="8"/>
        <v>13087.598499999996</v>
      </c>
      <c r="I38" s="3227">
        <f t="shared" si="8"/>
        <v>61629.721550000002</v>
      </c>
      <c r="J38" s="3227">
        <f t="shared" si="8"/>
        <v>40000</v>
      </c>
      <c r="K38" s="3227">
        <f t="shared" si="8"/>
        <v>0</v>
      </c>
      <c r="L38" s="3227">
        <f t="shared" si="8"/>
        <v>40000</v>
      </c>
      <c r="M38" s="3227">
        <f t="shared" si="8"/>
        <v>575</v>
      </c>
      <c r="N38" s="3227">
        <f t="shared" si="8"/>
        <v>901.10574999999994</v>
      </c>
      <c r="O38" s="3227">
        <f t="shared" si="8"/>
        <v>1476.1057499999999</v>
      </c>
      <c r="P38" s="3227">
        <f t="shared" si="8"/>
        <v>87967.123049999995</v>
      </c>
      <c r="Q38" s="3227">
        <f t="shared" si="8"/>
        <v>12186.492749999998</v>
      </c>
      <c r="R38" s="3227">
        <f t="shared" si="8"/>
        <v>100153.6158</v>
      </c>
      <c r="S38" s="3227">
        <f t="shared" si="8"/>
        <v>3201.5699799999998</v>
      </c>
      <c r="T38" s="3227">
        <f t="shared" si="8"/>
        <v>617.86936199999991</v>
      </c>
      <c r="U38" s="3227">
        <f t="shared" si="8"/>
        <v>3819.44164</v>
      </c>
      <c r="W38" s="911"/>
      <c r="X38" s="911"/>
      <c r="Y38" s="911"/>
    </row>
    <row r="39" spans="1:25" ht="24" thickBot="1">
      <c r="A39" s="3177"/>
      <c r="B39" s="3267" t="s">
        <v>2706</v>
      </c>
      <c r="C39" s="3268"/>
      <c r="D39" s="3243"/>
      <c r="E39" s="3250"/>
      <c r="F39" s="3168"/>
      <c r="G39" s="3227">
        <f t="shared" ref="G39:U39" si="9">(G30+G38)</f>
        <v>55287.623050000002</v>
      </c>
      <c r="H39" s="3227">
        <f t="shared" si="9"/>
        <v>147749.59849999999</v>
      </c>
      <c r="I39" s="3227">
        <f t="shared" si="9"/>
        <v>203037.22155000002</v>
      </c>
      <c r="J39" s="3227">
        <f t="shared" si="9"/>
        <v>40000</v>
      </c>
      <c r="K39" s="3227">
        <f t="shared" si="9"/>
        <v>49500</v>
      </c>
      <c r="L39" s="3227">
        <f t="shared" si="9"/>
        <v>89500</v>
      </c>
      <c r="M39" s="3227">
        <f t="shared" si="9"/>
        <v>3581</v>
      </c>
      <c r="N39" s="3227">
        <f t="shared" si="9"/>
        <v>74187.605750000002</v>
      </c>
      <c r="O39" s="3227">
        <f t="shared" si="9"/>
        <v>96198.605750000002</v>
      </c>
      <c r="P39" s="3227">
        <f t="shared" si="9"/>
        <v>91706.623049999995</v>
      </c>
      <c r="Q39" s="3227">
        <f t="shared" si="9"/>
        <v>104631.99275</v>
      </c>
      <c r="R39" s="3227">
        <f t="shared" si="9"/>
        <v>196338.6158</v>
      </c>
      <c r="S39" s="3227">
        <f t="shared" si="9"/>
        <v>3503.0835834999998</v>
      </c>
      <c r="T39" s="3261">
        <f t="shared" si="9"/>
        <v>6392.8857184999997</v>
      </c>
      <c r="U39" s="3227">
        <f t="shared" si="9"/>
        <v>9895.9716000000008</v>
      </c>
      <c r="W39" s="911"/>
      <c r="X39" s="911"/>
      <c r="Y39" s="911"/>
    </row>
    <row r="40" spans="1:25" ht="15.75" thickBot="1">
      <c r="C40" s="3269"/>
    </row>
    <row r="41" spans="1:25" ht="24" thickBot="1">
      <c r="A41" s="3270"/>
      <c r="B41" s="3271" t="s">
        <v>2707</v>
      </c>
      <c r="C41" s="3272" t="s">
        <v>2705</v>
      </c>
      <c r="D41" s="3271"/>
      <c r="E41" s="3273"/>
      <c r="F41" s="3273"/>
      <c r="G41" s="3273"/>
      <c r="H41" s="3273"/>
      <c r="I41" s="3273"/>
      <c r="J41" s="3273"/>
      <c r="K41" s="3273"/>
      <c r="L41" s="3273"/>
      <c r="M41" s="3273"/>
      <c r="N41" s="3273"/>
      <c r="O41" s="3273"/>
      <c r="P41" s="3273"/>
      <c r="Q41" s="3273"/>
      <c r="R41" s="3273"/>
      <c r="S41" s="3274">
        <v>444.88</v>
      </c>
      <c r="T41" s="3272">
        <v>543.41</v>
      </c>
      <c r="U41" s="3274">
        <f>SUM(S41:T41)</f>
        <v>988.29</v>
      </c>
      <c r="V41" s="3272"/>
    </row>
    <row r="43" spans="1:25" ht="18.75">
      <c r="Q43" t="s">
        <v>2708</v>
      </c>
      <c r="S43" s="3275"/>
      <c r="U43" t="s">
        <v>2709</v>
      </c>
    </row>
    <row r="44" spans="1:25">
      <c r="B44" s="247" t="s">
        <v>2710</v>
      </c>
      <c r="Q44" s="911">
        <f>S33+S37+S41</f>
        <v>3646.4499799999999</v>
      </c>
      <c r="U44" s="911">
        <f>S24+S35+S34</f>
        <v>301.51360350000004</v>
      </c>
    </row>
    <row r="45" spans="1:25">
      <c r="B45" s="247"/>
      <c r="Q45" s="911"/>
      <c r="S45" s="911"/>
      <c r="T45" s="911"/>
      <c r="U45" s="911">
        <f>'[110]H2F-2013-14'!S42+'[110]H2F-2013-14'!S43+'[110]H2F-2013-14'!S24+'[110]H2F-2013-14'!S28</f>
        <v>428.19004999999999</v>
      </c>
    </row>
    <row r="46" spans="1:25">
      <c r="B46" s="247" t="s">
        <v>2711</v>
      </c>
      <c r="Q46" s="911">
        <f>'[110]H2F-2013-14'!Q52</f>
        <v>9594.9033499999987</v>
      </c>
      <c r="S46" s="911"/>
      <c r="U46" s="911">
        <f>U44+U45</f>
        <v>729.70365349999997</v>
      </c>
    </row>
    <row r="47" spans="1:25">
      <c r="Q47" s="911">
        <f>SUM(Q44:Q46)</f>
        <v>13241.353329999998</v>
      </c>
      <c r="S47" s="911"/>
    </row>
  </sheetData>
  <mergeCells count="17">
    <mergeCell ref="A27:A28"/>
    <mergeCell ref="B27:B28"/>
    <mergeCell ref="A5:A12"/>
    <mergeCell ref="B5:B12"/>
    <mergeCell ref="A14:A21"/>
    <mergeCell ref="B14:B21"/>
    <mergeCell ref="A22:A26"/>
    <mergeCell ref="B22:B26"/>
    <mergeCell ref="A1:U1"/>
    <mergeCell ref="A2:A3"/>
    <mergeCell ref="B2:B3"/>
    <mergeCell ref="E2:F2"/>
    <mergeCell ref="G2:I2"/>
    <mergeCell ref="J2:L2"/>
    <mergeCell ref="M2:O2"/>
    <mergeCell ref="P2:R2"/>
    <mergeCell ref="S2:U2"/>
  </mergeCells>
  <pageMargins left="0.28999999999999998" right="0.2" top="0.74803149606299213" bottom="0.74803149606299213" header="0.31496062992125984" footer="0.31496062992125984"/>
  <pageSetup paperSize="9" scale="36" orientation="landscape" r:id="rId1"/>
</worksheet>
</file>

<file path=xl/worksheets/sheet106.xml><?xml version="1.0" encoding="utf-8"?>
<worksheet xmlns="http://schemas.openxmlformats.org/spreadsheetml/2006/main" xmlns:r="http://schemas.openxmlformats.org/officeDocument/2006/relationships">
  <sheetPr codeName="Sheet85">
    <pageSetUpPr fitToPage="1"/>
  </sheetPr>
  <dimension ref="A1:W55"/>
  <sheetViews>
    <sheetView showGridLines="0" zoomScale="50" zoomScaleNormal="50" workbookViewId="0">
      <pane xSplit="3" ySplit="3" topLeftCell="D21" activePane="bottomRight" state="frozen"/>
      <selection activeCell="B23" activeCellId="1" sqref="B57 B23"/>
      <selection pane="topRight" activeCell="B23" activeCellId="1" sqref="B57 B23"/>
      <selection pane="bottomLeft" activeCell="B23" activeCellId="1" sqref="B57 B23"/>
      <selection pane="bottomRight" activeCell="B23" activeCellId="1" sqref="B57 B23"/>
    </sheetView>
  </sheetViews>
  <sheetFormatPr defaultRowHeight="15"/>
  <cols>
    <col min="2" max="2" width="36.85546875" customWidth="1"/>
    <col min="3" max="3" width="9.140625" customWidth="1"/>
    <col min="4" max="4" width="13.28515625" customWidth="1"/>
    <col min="5" max="5" width="16.85546875" bestFit="1" customWidth="1"/>
    <col min="6" max="6" width="16.85546875" hidden="1" customWidth="1"/>
    <col min="7" max="7" width="14.28515625" customWidth="1"/>
    <col min="8" max="9" width="16" customWidth="1"/>
    <col min="10" max="10" width="16.7109375" customWidth="1"/>
    <col min="11" max="12" width="16" customWidth="1"/>
    <col min="13" max="13" width="13" customWidth="1"/>
    <col min="14" max="14" width="14.28515625" customWidth="1"/>
    <col min="15" max="18" width="16" customWidth="1"/>
    <col min="19" max="19" width="15.85546875" customWidth="1"/>
    <col min="20" max="20" width="12.42578125" customWidth="1"/>
    <col min="21" max="21" width="14.140625" customWidth="1"/>
    <col min="258" max="258" width="36.85546875" customWidth="1"/>
    <col min="259" max="259" width="9.140625" customWidth="1"/>
    <col min="260" max="260" width="13.28515625" customWidth="1"/>
    <col min="261" max="261" width="16.85546875" bestFit="1" customWidth="1"/>
    <col min="262" max="262" width="0" hidden="1" customWidth="1"/>
    <col min="263" max="263" width="14.28515625" customWidth="1"/>
    <col min="264" max="265" width="16" customWidth="1"/>
    <col min="266" max="266" width="16.7109375" customWidth="1"/>
    <col min="267" max="268" width="16" customWidth="1"/>
    <col min="269" max="269" width="13" customWidth="1"/>
    <col min="270" max="270" width="14.28515625" customWidth="1"/>
    <col min="271" max="274" width="16" customWidth="1"/>
    <col min="275" max="275" width="15.85546875" customWidth="1"/>
    <col min="276" max="276" width="12.42578125" customWidth="1"/>
    <col min="277" max="277" width="14.140625" customWidth="1"/>
    <col min="514" max="514" width="36.85546875" customWidth="1"/>
    <col min="515" max="515" width="9.140625" customWidth="1"/>
    <col min="516" max="516" width="13.28515625" customWidth="1"/>
    <col min="517" max="517" width="16.85546875" bestFit="1" customWidth="1"/>
    <col min="518" max="518" width="0" hidden="1" customWidth="1"/>
    <col min="519" max="519" width="14.28515625" customWidth="1"/>
    <col min="520" max="521" width="16" customWidth="1"/>
    <col min="522" max="522" width="16.7109375" customWidth="1"/>
    <col min="523" max="524" width="16" customWidth="1"/>
    <col min="525" max="525" width="13" customWidth="1"/>
    <col min="526" max="526" width="14.28515625" customWidth="1"/>
    <col min="527" max="530" width="16" customWidth="1"/>
    <col min="531" max="531" width="15.85546875" customWidth="1"/>
    <col min="532" max="532" width="12.42578125" customWidth="1"/>
    <col min="533" max="533" width="14.140625" customWidth="1"/>
    <col min="770" max="770" width="36.85546875" customWidth="1"/>
    <col min="771" max="771" width="9.140625" customWidth="1"/>
    <col min="772" max="772" width="13.28515625" customWidth="1"/>
    <col min="773" max="773" width="16.85546875" bestFit="1" customWidth="1"/>
    <col min="774" max="774" width="0" hidden="1" customWidth="1"/>
    <col min="775" max="775" width="14.28515625" customWidth="1"/>
    <col min="776" max="777" width="16" customWidth="1"/>
    <col min="778" max="778" width="16.7109375" customWidth="1"/>
    <col min="779" max="780" width="16" customWidth="1"/>
    <col min="781" max="781" width="13" customWidth="1"/>
    <col min="782" max="782" width="14.28515625" customWidth="1"/>
    <col min="783" max="786" width="16" customWidth="1"/>
    <col min="787" max="787" width="15.85546875" customWidth="1"/>
    <col min="788" max="788" width="12.42578125" customWidth="1"/>
    <col min="789" max="789" width="14.140625" customWidth="1"/>
    <col min="1026" max="1026" width="36.85546875" customWidth="1"/>
    <col min="1027" max="1027" width="9.140625" customWidth="1"/>
    <col min="1028" max="1028" width="13.28515625" customWidth="1"/>
    <col min="1029" max="1029" width="16.85546875" bestFit="1" customWidth="1"/>
    <col min="1030" max="1030" width="0" hidden="1" customWidth="1"/>
    <col min="1031" max="1031" width="14.28515625" customWidth="1"/>
    <col min="1032" max="1033" width="16" customWidth="1"/>
    <col min="1034" max="1034" width="16.7109375" customWidth="1"/>
    <col min="1035" max="1036" width="16" customWidth="1"/>
    <col min="1037" max="1037" width="13" customWidth="1"/>
    <col min="1038" max="1038" width="14.28515625" customWidth="1"/>
    <col min="1039" max="1042" width="16" customWidth="1"/>
    <col min="1043" max="1043" width="15.85546875" customWidth="1"/>
    <col min="1044" max="1044" width="12.42578125" customWidth="1"/>
    <col min="1045" max="1045" width="14.140625" customWidth="1"/>
    <col min="1282" max="1282" width="36.85546875" customWidth="1"/>
    <col min="1283" max="1283" width="9.140625" customWidth="1"/>
    <col min="1284" max="1284" width="13.28515625" customWidth="1"/>
    <col min="1285" max="1285" width="16.85546875" bestFit="1" customWidth="1"/>
    <col min="1286" max="1286" width="0" hidden="1" customWidth="1"/>
    <col min="1287" max="1287" width="14.28515625" customWidth="1"/>
    <col min="1288" max="1289" width="16" customWidth="1"/>
    <col min="1290" max="1290" width="16.7109375" customWidth="1"/>
    <col min="1291" max="1292" width="16" customWidth="1"/>
    <col min="1293" max="1293" width="13" customWidth="1"/>
    <col min="1294" max="1294" width="14.28515625" customWidth="1"/>
    <col min="1295" max="1298" width="16" customWidth="1"/>
    <col min="1299" max="1299" width="15.85546875" customWidth="1"/>
    <col min="1300" max="1300" width="12.42578125" customWidth="1"/>
    <col min="1301" max="1301" width="14.140625" customWidth="1"/>
    <col min="1538" max="1538" width="36.85546875" customWidth="1"/>
    <col min="1539" max="1539" width="9.140625" customWidth="1"/>
    <col min="1540" max="1540" width="13.28515625" customWidth="1"/>
    <col min="1541" max="1541" width="16.85546875" bestFit="1" customWidth="1"/>
    <col min="1542" max="1542" width="0" hidden="1" customWidth="1"/>
    <col min="1543" max="1543" width="14.28515625" customWidth="1"/>
    <col min="1544" max="1545" width="16" customWidth="1"/>
    <col min="1546" max="1546" width="16.7109375" customWidth="1"/>
    <col min="1547" max="1548" width="16" customWidth="1"/>
    <col min="1549" max="1549" width="13" customWidth="1"/>
    <col min="1550" max="1550" width="14.28515625" customWidth="1"/>
    <col min="1551" max="1554" width="16" customWidth="1"/>
    <col min="1555" max="1555" width="15.85546875" customWidth="1"/>
    <col min="1556" max="1556" width="12.42578125" customWidth="1"/>
    <col min="1557" max="1557" width="14.140625" customWidth="1"/>
    <col min="1794" max="1794" width="36.85546875" customWidth="1"/>
    <col min="1795" max="1795" width="9.140625" customWidth="1"/>
    <col min="1796" max="1796" width="13.28515625" customWidth="1"/>
    <col min="1797" max="1797" width="16.85546875" bestFit="1" customWidth="1"/>
    <col min="1798" max="1798" width="0" hidden="1" customWidth="1"/>
    <col min="1799" max="1799" width="14.28515625" customWidth="1"/>
    <col min="1800" max="1801" width="16" customWidth="1"/>
    <col min="1802" max="1802" width="16.7109375" customWidth="1"/>
    <col min="1803" max="1804" width="16" customWidth="1"/>
    <col min="1805" max="1805" width="13" customWidth="1"/>
    <col min="1806" max="1806" width="14.28515625" customWidth="1"/>
    <col min="1807" max="1810" width="16" customWidth="1"/>
    <col min="1811" max="1811" width="15.85546875" customWidth="1"/>
    <col min="1812" max="1812" width="12.42578125" customWidth="1"/>
    <col min="1813" max="1813" width="14.140625" customWidth="1"/>
    <col min="2050" max="2050" width="36.85546875" customWidth="1"/>
    <col min="2051" max="2051" width="9.140625" customWidth="1"/>
    <col min="2052" max="2052" width="13.28515625" customWidth="1"/>
    <col min="2053" max="2053" width="16.85546875" bestFit="1" customWidth="1"/>
    <col min="2054" max="2054" width="0" hidden="1" customWidth="1"/>
    <col min="2055" max="2055" width="14.28515625" customWidth="1"/>
    <col min="2056" max="2057" width="16" customWidth="1"/>
    <col min="2058" max="2058" width="16.7109375" customWidth="1"/>
    <col min="2059" max="2060" width="16" customWidth="1"/>
    <col min="2061" max="2061" width="13" customWidth="1"/>
    <col min="2062" max="2062" width="14.28515625" customWidth="1"/>
    <col min="2063" max="2066" width="16" customWidth="1"/>
    <col min="2067" max="2067" width="15.85546875" customWidth="1"/>
    <col min="2068" max="2068" width="12.42578125" customWidth="1"/>
    <col min="2069" max="2069" width="14.140625" customWidth="1"/>
    <col min="2306" max="2306" width="36.85546875" customWidth="1"/>
    <col min="2307" max="2307" width="9.140625" customWidth="1"/>
    <col min="2308" max="2308" width="13.28515625" customWidth="1"/>
    <col min="2309" max="2309" width="16.85546875" bestFit="1" customWidth="1"/>
    <col min="2310" max="2310" width="0" hidden="1" customWidth="1"/>
    <col min="2311" max="2311" width="14.28515625" customWidth="1"/>
    <col min="2312" max="2313" width="16" customWidth="1"/>
    <col min="2314" max="2314" width="16.7109375" customWidth="1"/>
    <col min="2315" max="2316" width="16" customWidth="1"/>
    <col min="2317" max="2317" width="13" customWidth="1"/>
    <col min="2318" max="2318" width="14.28515625" customWidth="1"/>
    <col min="2319" max="2322" width="16" customWidth="1"/>
    <col min="2323" max="2323" width="15.85546875" customWidth="1"/>
    <col min="2324" max="2324" width="12.42578125" customWidth="1"/>
    <col min="2325" max="2325" width="14.140625" customWidth="1"/>
    <col min="2562" max="2562" width="36.85546875" customWidth="1"/>
    <col min="2563" max="2563" width="9.140625" customWidth="1"/>
    <col min="2564" max="2564" width="13.28515625" customWidth="1"/>
    <col min="2565" max="2565" width="16.85546875" bestFit="1" customWidth="1"/>
    <col min="2566" max="2566" width="0" hidden="1" customWidth="1"/>
    <col min="2567" max="2567" width="14.28515625" customWidth="1"/>
    <col min="2568" max="2569" width="16" customWidth="1"/>
    <col min="2570" max="2570" width="16.7109375" customWidth="1"/>
    <col min="2571" max="2572" width="16" customWidth="1"/>
    <col min="2573" max="2573" width="13" customWidth="1"/>
    <col min="2574" max="2574" width="14.28515625" customWidth="1"/>
    <col min="2575" max="2578" width="16" customWidth="1"/>
    <col min="2579" max="2579" width="15.85546875" customWidth="1"/>
    <col min="2580" max="2580" width="12.42578125" customWidth="1"/>
    <col min="2581" max="2581" width="14.140625" customWidth="1"/>
    <col min="2818" max="2818" width="36.85546875" customWidth="1"/>
    <col min="2819" max="2819" width="9.140625" customWidth="1"/>
    <col min="2820" max="2820" width="13.28515625" customWidth="1"/>
    <col min="2821" max="2821" width="16.85546875" bestFit="1" customWidth="1"/>
    <col min="2822" max="2822" width="0" hidden="1" customWidth="1"/>
    <col min="2823" max="2823" width="14.28515625" customWidth="1"/>
    <col min="2824" max="2825" width="16" customWidth="1"/>
    <col min="2826" max="2826" width="16.7109375" customWidth="1"/>
    <col min="2827" max="2828" width="16" customWidth="1"/>
    <col min="2829" max="2829" width="13" customWidth="1"/>
    <col min="2830" max="2830" width="14.28515625" customWidth="1"/>
    <col min="2831" max="2834" width="16" customWidth="1"/>
    <col min="2835" max="2835" width="15.85546875" customWidth="1"/>
    <col min="2836" max="2836" width="12.42578125" customWidth="1"/>
    <col min="2837" max="2837" width="14.140625" customWidth="1"/>
    <col min="3074" max="3074" width="36.85546875" customWidth="1"/>
    <col min="3075" max="3075" width="9.140625" customWidth="1"/>
    <col min="3076" max="3076" width="13.28515625" customWidth="1"/>
    <col min="3077" max="3077" width="16.85546875" bestFit="1" customWidth="1"/>
    <col min="3078" max="3078" width="0" hidden="1" customWidth="1"/>
    <col min="3079" max="3079" width="14.28515625" customWidth="1"/>
    <col min="3080" max="3081" width="16" customWidth="1"/>
    <col min="3082" max="3082" width="16.7109375" customWidth="1"/>
    <col min="3083" max="3084" width="16" customWidth="1"/>
    <col min="3085" max="3085" width="13" customWidth="1"/>
    <col min="3086" max="3086" width="14.28515625" customWidth="1"/>
    <col min="3087" max="3090" width="16" customWidth="1"/>
    <col min="3091" max="3091" width="15.85546875" customWidth="1"/>
    <col min="3092" max="3092" width="12.42578125" customWidth="1"/>
    <col min="3093" max="3093" width="14.140625" customWidth="1"/>
    <col min="3330" max="3330" width="36.85546875" customWidth="1"/>
    <col min="3331" max="3331" width="9.140625" customWidth="1"/>
    <col min="3332" max="3332" width="13.28515625" customWidth="1"/>
    <col min="3333" max="3333" width="16.85546875" bestFit="1" customWidth="1"/>
    <col min="3334" max="3334" width="0" hidden="1" customWidth="1"/>
    <col min="3335" max="3335" width="14.28515625" customWidth="1"/>
    <col min="3336" max="3337" width="16" customWidth="1"/>
    <col min="3338" max="3338" width="16.7109375" customWidth="1"/>
    <col min="3339" max="3340" width="16" customWidth="1"/>
    <col min="3341" max="3341" width="13" customWidth="1"/>
    <col min="3342" max="3342" width="14.28515625" customWidth="1"/>
    <col min="3343" max="3346" width="16" customWidth="1"/>
    <col min="3347" max="3347" width="15.85546875" customWidth="1"/>
    <col min="3348" max="3348" width="12.42578125" customWidth="1"/>
    <col min="3349" max="3349" width="14.140625" customWidth="1"/>
    <col min="3586" max="3586" width="36.85546875" customWidth="1"/>
    <col min="3587" max="3587" width="9.140625" customWidth="1"/>
    <col min="3588" max="3588" width="13.28515625" customWidth="1"/>
    <col min="3589" max="3589" width="16.85546875" bestFit="1" customWidth="1"/>
    <col min="3590" max="3590" width="0" hidden="1" customWidth="1"/>
    <col min="3591" max="3591" width="14.28515625" customWidth="1"/>
    <col min="3592" max="3593" width="16" customWidth="1"/>
    <col min="3594" max="3594" width="16.7109375" customWidth="1"/>
    <col min="3595" max="3596" width="16" customWidth="1"/>
    <col min="3597" max="3597" width="13" customWidth="1"/>
    <col min="3598" max="3598" width="14.28515625" customWidth="1"/>
    <col min="3599" max="3602" width="16" customWidth="1"/>
    <col min="3603" max="3603" width="15.85546875" customWidth="1"/>
    <col min="3604" max="3604" width="12.42578125" customWidth="1"/>
    <col min="3605" max="3605" width="14.140625" customWidth="1"/>
    <col min="3842" max="3842" width="36.85546875" customWidth="1"/>
    <col min="3843" max="3843" width="9.140625" customWidth="1"/>
    <col min="3844" max="3844" width="13.28515625" customWidth="1"/>
    <col min="3845" max="3845" width="16.85546875" bestFit="1" customWidth="1"/>
    <col min="3846" max="3846" width="0" hidden="1" customWidth="1"/>
    <col min="3847" max="3847" width="14.28515625" customWidth="1"/>
    <col min="3848" max="3849" width="16" customWidth="1"/>
    <col min="3850" max="3850" width="16.7109375" customWidth="1"/>
    <col min="3851" max="3852" width="16" customWidth="1"/>
    <col min="3853" max="3853" width="13" customWidth="1"/>
    <col min="3854" max="3854" width="14.28515625" customWidth="1"/>
    <col min="3855" max="3858" width="16" customWidth="1"/>
    <col min="3859" max="3859" width="15.85546875" customWidth="1"/>
    <col min="3860" max="3860" width="12.42578125" customWidth="1"/>
    <col min="3861" max="3861" width="14.140625" customWidth="1"/>
    <col min="4098" max="4098" width="36.85546875" customWidth="1"/>
    <col min="4099" max="4099" width="9.140625" customWidth="1"/>
    <col min="4100" max="4100" width="13.28515625" customWidth="1"/>
    <col min="4101" max="4101" width="16.85546875" bestFit="1" customWidth="1"/>
    <col min="4102" max="4102" width="0" hidden="1" customWidth="1"/>
    <col min="4103" max="4103" width="14.28515625" customWidth="1"/>
    <col min="4104" max="4105" width="16" customWidth="1"/>
    <col min="4106" max="4106" width="16.7109375" customWidth="1"/>
    <col min="4107" max="4108" width="16" customWidth="1"/>
    <col min="4109" max="4109" width="13" customWidth="1"/>
    <col min="4110" max="4110" width="14.28515625" customWidth="1"/>
    <col min="4111" max="4114" width="16" customWidth="1"/>
    <col min="4115" max="4115" width="15.85546875" customWidth="1"/>
    <col min="4116" max="4116" width="12.42578125" customWidth="1"/>
    <col min="4117" max="4117" width="14.140625" customWidth="1"/>
    <col min="4354" max="4354" width="36.85546875" customWidth="1"/>
    <col min="4355" max="4355" width="9.140625" customWidth="1"/>
    <col min="4356" max="4356" width="13.28515625" customWidth="1"/>
    <col min="4357" max="4357" width="16.85546875" bestFit="1" customWidth="1"/>
    <col min="4358" max="4358" width="0" hidden="1" customWidth="1"/>
    <col min="4359" max="4359" width="14.28515625" customWidth="1"/>
    <col min="4360" max="4361" width="16" customWidth="1"/>
    <col min="4362" max="4362" width="16.7109375" customWidth="1"/>
    <col min="4363" max="4364" width="16" customWidth="1"/>
    <col min="4365" max="4365" width="13" customWidth="1"/>
    <col min="4366" max="4366" width="14.28515625" customWidth="1"/>
    <col min="4367" max="4370" width="16" customWidth="1"/>
    <col min="4371" max="4371" width="15.85546875" customWidth="1"/>
    <col min="4372" max="4372" width="12.42578125" customWidth="1"/>
    <col min="4373" max="4373" width="14.140625" customWidth="1"/>
    <col min="4610" max="4610" width="36.85546875" customWidth="1"/>
    <col min="4611" max="4611" width="9.140625" customWidth="1"/>
    <col min="4612" max="4612" width="13.28515625" customWidth="1"/>
    <col min="4613" max="4613" width="16.85546875" bestFit="1" customWidth="1"/>
    <col min="4614" max="4614" width="0" hidden="1" customWidth="1"/>
    <col min="4615" max="4615" width="14.28515625" customWidth="1"/>
    <col min="4616" max="4617" width="16" customWidth="1"/>
    <col min="4618" max="4618" width="16.7109375" customWidth="1"/>
    <col min="4619" max="4620" width="16" customWidth="1"/>
    <col min="4621" max="4621" width="13" customWidth="1"/>
    <col min="4622" max="4622" width="14.28515625" customWidth="1"/>
    <col min="4623" max="4626" width="16" customWidth="1"/>
    <col min="4627" max="4627" width="15.85546875" customWidth="1"/>
    <col min="4628" max="4628" width="12.42578125" customWidth="1"/>
    <col min="4629" max="4629" width="14.140625" customWidth="1"/>
    <col min="4866" max="4866" width="36.85546875" customWidth="1"/>
    <col min="4867" max="4867" width="9.140625" customWidth="1"/>
    <col min="4868" max="4868" width="13.28515625" customWidth="1"/>
    <col min="4869" max="4869" width="16.85546875" bestFit="1" customWidth="1"/>
    <col min="4870" max="4870" width="0" hidden="1" customWidth="1"/>
    <col min="4871" max="4871" width="14.28515625" customWidth="1"/>
    <col min="4872" max="4873" width="16" customWidth="1"/>
    <col min="4874" max="4874" width="16.7109375" customWidth="1"/>
    <col min="4875" max="4876" width="16" customWidth="1"/>
    <col min="4877" max="4877" width="13" customWidth="1"/>
    <col min="4878" max="4878" width="14.28515625" customWidth="1"/>
    <col min="4879" max="4882" width="16" customWidth="1"/>
    <col min="4883" max="4883" width="15.85546875" customWidth="1"/>
    <col min="4884" max="4884" width="12.42578125" customWidth="1"/>
    <col min="4885" max="4885" width="14.140625" customWidth="1"/>
    <col min="5122" max="5122" width="36.85546875" customWidth="1"/>
    <col min="5123" max="5123" width="9.140625" customWidth="1"/>
    <col min="5124" max="5124" width="13.28515625" customWidth="1"/>
    <col min="5125" max="5125" width="16.85546875" bestFit="1" customWidth="1"/>
    <col min="5126" max="5126" width="0" hidden="1" customWidth="1"/>
    <col min="5127" max="5127" width="14.28515625" customWidth="1"/>
    <col min="5128" max="5129" width="16" customWidth="1"/>
    <col min="5130" max="5130" width="16.7109375" customWidth="1"/>
    <col min="5131" max="5132" width="16" customWidth="1"/>
    <col min="5133" max="5133" width="13" customWidth="1"/>
    <col min="5134" max="5134" width="14.28515625" customWidth="1"/>
    <col min="5135" max="5138" width="16" customWidth="1"/>
    <col min="5139" max="5139" width="15.85546875" customWidth="1"/>
    <col min="5140" max="5140" width="12.42578125" customWidth="1"/>
    <col min="5141" max="5141" width="14.140625" customWidth="1"/>
    <col min="5378" max="5378" width="36.85546875" customWidth="1"/>
    <col min="5379" max="5379" width="9.140625" customWidth="1"/>
    <col min="5380" max="5380" width="13.28515625" customWidth="1"/>
    <col min="5381" max="5381" width="16.85546875" bestFit="1" customWidth="1"/>
    <col min="5382" max="5382" width="0" hidden="1" customWidth="1"/>
    <col min="5383" max="5383" width="14.28515625" customWidth="1"/>
    <col min="5384" max="5385" width="16" customWidth="1"/>
    <col min="5386" max="5386" width="16.7109375" customWidth="1"/>
    <col min="5387" max="5388" width="16" customWidth="1"/>
    <col min="5389" max="5389" width="13" customWidth="1"/>
    <col min="5390" max="5390" width="14.28515625" customWidth="1"/>
    <col min="5391" max="5394" width="16" customWidth="1"/>
    <col min="5395" max="5395" width="15.85546875" customWidth="1"/>
    <col min="5396" max="5396" width="12.42578125" customWidth="1"/>
    <col min="5397" max="5397" width="14.140625" customWidth="1"/>
    <col min="5634" max="5634" width="36.85546875" customWidth="1"/>
    <col min="5635" max="5635" width="9.140625" customWidth="1"/>
    <col min="5636" max="5636" width="13.28515625" customWidth="1"/>
    <col min="5637" max="5637" width="16.85546875" bestFit="1" customWidth="1"/>
    <col min="5638" max="5638" width="0" hidden="1" customWidth="1"/>
    <col min="5639" max="5639" width="14.28515625" customWidth="1"/>
    <col min="5640" max="5641" width="16" customWidth="1"/>
    <col min="5642" max="5642" width="16.7109375" customWidth="1"/>
    <col min="5643" max="5644" width="16" customWidth="1"/>
    <col min="5645" max="5645" width="13" customWidth="1"/>
    <col min="5646" max="5646" width="14.28515625" customWidth="1"/>
    <col min="5647" max="5650" width="16" customWidth="1"/>
    <col min="5651" max="5651" width="15.85546875" customWidth="1"/>
    <col min="5652" max="5652" width="12.42578125" customWidth="1"/>
    <col min="5653" max="5653" width="14.140625" customWidth="1"/>
    <col min="5890" max="5890" width="36.85546875" customWidth="1"/>
    <col min="5891" max="5891" width="9.140625" customWidth="1"/>
    <col min="5892" max="5892" width="13.28515625" customWidth="1"/>
    <col min="5893" max="5893" width="16.85546875" bestFit="1" customWidth="1"/>
    <col min="5894" max="5894" width="0" hidden="1" customWidth="1"/>
    <col min="5895" max="5895" width="14.28515625" customWidth="1"/>
    <col min="5896" max="5897" width="16" customWidth="1"/>
    <col min="5898" max="5898" width="16.7109375" customWidth="1"/>
    <col min="5899" max="5900" width="16" customWidth="1"/>
    <col min="5901" max="5901" width="13" customWidth="1"/>
    <col min="5902" max="5902" width="14.28515625" customWidth="1"/>
    <col min="5903" max="5906" width="16" customWidth="1"/>
    <col min="5907" max="5907" width="15.85546875" customWidth="1"/>
    <col min="5908" max="5908" width="12.42578125" customWidth="1"/>
    <col min="5909" max="5909" width="14.140625" customWidth="1"/>
    <col min="6146" max="6146" width="36.85546875" customWidth="1"/>
    <col min="6147" max="6147" width="9.140625" customWidth="1"/>
    <col min="6148" max="6148" width="13.28515625" customWidth="1"/>
    <col min="6149" max="6149" width="16.85546875" bestFit="1" customWidth="1"/>
    <col min="6150" max="6150" width="0" hidden="1" customWidth="1"/>
    <col min="6151" max="6151" width="14.28515625" customWidth="1"/>
    <col min="6152" max="6153" width="16" customWidth="1"/>
    <col min="6154" max="6154" width="16.7109375" customWidth="1"/>
    <col min="6155" max="6156" width="16" customWidth="1"/>
    <col min="6157" max="6157" width="13" customWidth="1"/>
    <col min="6158" max="6158" width="14.28515625" customWidth="1"/>
    <col min="6159" max="6162" width="16" customWidth="1"/>
    <col min="6163" max="6163" width="15.85546875" customWidth="1"/>
    <col min="6164" max="6164" width="12.42578125" customWidth="1"/>
    <col min="6165" max="6165" width="14.140625" customWidth="1"/>
    <col min="6402" max="6402" width="36.85546875" customWidth="1"/>
    <col min="6403" max="6403" width="9.140625" customWidth="1"/>
    <col min="6404" max="6404" width="13.28515625" customWidth="1"/>
    <col min="6405" max="6405" width="16.85546875" bestFit="1" customWidth="1"/>
    <col min="6406" max="6406" width="0" hidden="1" customWidth="1"/>
    <col min="6407" max="6407" width="14.28515625" customWidth="1"/>
    <col min="6408" max="6409" width="16" customWidth="1"/>
    <col min="6410" max="6410" width="16.7109375" customWidth="1"/>
    <col min="6411" max="6412" width="16" customWidth="1"/>
    <col min="6413" max="6413" width="13" customWidth="1"/>
    <col min="6414" max="6414" width="14.28515625" customWidth="1"/>
    <col min="6415" max="6418" width="16" customWidth="1"/>
    <col min="6419" max="6419" width="15.85546875" customWidth="1"/>
    <col min="6420" max="6420" width="12.42578125" customWidth="1"/>
    <col min="6421" max="6421" width="14.140625" customWidth="1"/>
    <col min="6658" max="6658" width="36.85546875" customWidth="1"/>
    <col min="6659" max="6659" width="9.140625" customWidth="1"/>
    <col min="6660" max="6660" width="13.28515625" customWidth="1"/>
    <col min="6661" max="6661" width="16.85546875" bestFit="1" customWidth="1"/>
    <col min="6662" max="6662" width="0" hidden="1" customWidth="1"/>
    <col min="6663" max="6663" width="14.28515625" customWidth="1"/>
    <col min="6664" max="6665" width="16" customWidth="1"/>
    <col min="6666" max="6666" width="16.7109375" customWidth="1"/>
    <col min="6667" max="6668" width="16" customWidth="1"/>
    <col min="6669" max="6669" width="13" customWidth="1"/>
    <col min="6670" max="6670" width="14.28515625" customWidth="1"/>
    <col min="6671" max="6674" width="16" customWidth="1"/>
    <col min="6675" max="6675" width="15.85546875" customWidth="1"/>
    <col min="6676" max="6676" width="12.42578125" customWidth="1"/>
    <col min="6677" max="6677" width="14.140625" customWidth="1"/>
    <col min="6914" max="6914" width="36.85546875" customWidth="1"/>
    <col min="6915" max="6915" width="9.140625" customWidth="1"/>
    <col min="6916" max="6916" width="13.28515625" customWidth="1"/>
    <col min="6917" max="6917" width="16.85546875" bestFit="1" customWidth="1"/>
    <col min="6918" max="6918" width="0" hidden="1" customWidth="1"/>
    <col min="6919" max="6919" width="14.28515625" customWidth="1"/>
    <col min="6920" max="6921" width="16" customWidth="1"/>
    <col min="6922" max="6922" width="16.7109375" customWidth="1"/>
    <col min="6923" max="6924" width="16" customWidth="1"/>
    <col min="6925" max="6925" width="13" customWidth="1"/>
    <col min="6926" max="6926" width="14.28515625" customWidth="1"/>
    <col min="6927" max="6930" width="16" customWidth="1"/>
    <col min="6931" max="6931" width="15.85546875" customWidth="1"/>
    <col min="6932" max="6932" width="12.42578125" customWidth="1"/>
    <col min="6933" max="6933" width="14.140625" customWidth="1"/>
    <col min="7170" max="7170" width="36.85546875" customWidth="1"/>
    <col min="7171" max="7171" width="9.140625" customWidth="1"/>
    <col min="7172" max="7172" width="13.28515625" customWidth="1"/>
    <col min="7173" max="7173" width="16.85546875" bestFit="1" customWidth="1"/>
    <col min="7174" max="7174" width="0" hidden="1" customWidth="1"/>
    <col min="7175" max="7175" width="14.28515625" customWidth="1"/>
    <col min="7176" max="7177" width="16" customWidth="1"/>
    <col min="7178" max="7178" width="16.7109375" customWidth="1"/>
    <col min="7179" max="7180" width="16" customWidth="1"/>
    <col min="7181" max="7181" width="13" customWidth="1"/>
    <col min="7182" max="7182" width="14.28515625" customWidth="1"/>
    <col min="7183" max="7186" width="16" customWidth="1"/>
    <col min="7187" max="7187" width="15.85546875" customWidth="1"/>
    <col min="7188" max="7188" width="12.42578125" customWidth="1"/>
    <col min="7189" max="7189" width="14.140625" customWidth="1"/>
    <col min="7426" max="7426" width="36.85546875" customWidth="1"/>
    <col min="7427" max="7427" width="9.140625" customWidth="1"/>
    <col min="7428" max="7428" width="13.28515625" customWidth="1"/>
    <col min="7429" max="7429" width="16.85546875" bestFit="1" customWidth="1"/>
    <col min="7430" max="7430" width="0" hidden="1" customWidth="1"/>
    <col min="7431" max="7431" width="14.28515625" customWidth="1"/>
    <col min="7432" max="7433" width="16" customWidth="1"/>
    <col min="7434" max="7434" width="16.7109375" customWidth="1"/>
    <col min="7435" max="7436" width="16" customWidth="1"/>
    <col min="7437" max="7437" width="13" customWidth="1"/>
    <col min="7438" max="7438" width="14.28515625" customWidth="1"/>
    <col min="7439" max="7442" width="16" customWidth="1"/>
    <col min="7443" max="7443" width="15.85546875" customWidth="1"/>
    <col min="7444" max="7444" width="12.42578125" customWidth="1"/>
    <col min="7445" max="7445" width="14.140625" customWidth="1"/>
    <col min="7682" max="7682" width="36.85546875" customWidth="1"/>
    <col min="7683" max="7683" width="9.140625" customWidth="1"/>
    <col min="7684" max="7684" width="13.28515625" customWidth="1"/>
    <col min="7685" max="7685" width="16.85546875" bestFit="1" customWidth="1"/>
    <col min="7686" max="7686" width="0" hidden="1" customWidth="1"/>
    <col min="7687" max="7687" width="14.28515625" customWidth="1"/>
    <col min="7688" max="7689" width="16" customWidth="1"/>
    <col min="7690" max="7690" width="16.7109375" customWidth="1"/>
    <col min="7691" max="7692" width="16" customWidth="1"/>
    <col min="7693" max="7693" width="13" customWidth="1"/>
    <col min="7694" max="7694" width="14.28515625" customWidth="1"/>
    <col min="7695" max="7698" width="16" customWidth="1"/>
    <col min="7699" max="7699" width="15.85546875" customWidth="1"/>
    <col min="7700" max="7700" width="12.42578125" customWidth="1"/>
    <col min="7701" max="7701" width="14.140625" customWidth="1"/>
    <col min="7938" max="7938" width="36.85546875" customWidth="1"/>
    <col min="7939" max="7939" width="9.140625" customWidth="1"/>
    <col min="7940" max="7940" width="13.28515625" customWidth="1"/>
    <col min="7941" max="7941" width="16.85546875" bestFit="1" customWidth="1"/>
    <col min="7942" max="7942" width="0" hidden="1" customWidth="1"/>
    <col min="7943" max="7943" width="14.28515625" customWidth="1"/>
    <col min="7944" max="7945" width="16" customWidth="1"/>
    <col min="7946" max="7946" width="16.7109375" customWidth="1"/>
    <col min="7947" max="7948" width="16" customWidth="1"/>
    <col min="7949" max="7949" width="13" customWidth="1"/>
    <col min="7950" max="7950" width="14.28515625" customWidth="1"/>
    <col min="7951" max="7954" width="16" customWidth="1"/>
    <col min="7955" max="7955" width="15.85546875" customWidth="1"/>
    <col min="7956" max="7956" width="12.42578125" customWidth="1"/>
    <col min="7957" max="7957" width="14.140625" customWidth="1"/>
    <col min="8194" max="8194" width="36.85546875" customWidth="1"/>
    <col min="8195" max="8195" width="9.140625" customWidth="1"/>
    <col min="8196" max="8196" width="13.28515625" customWidth="1"/>
    <col min="8197" max="8197" width="16.85546875" bestFit="1" customWidth="1"/>
    <col min="8198" max="8198" width="0" hidden="1" customWidth="1"/>
    <col min="8199" max="8199" width="14.28515625" customWidth="1"/>
    <col min="8200" max="8201" width="16" customWidth="1"/>
    <col min="8202" max="8202" width="16.7109375" customWidth="1"/>
    <col min="8203" max="8204" width="16" customWidth="1"/>
    <col min="8205" max="8205" width="13" customWidth="1"/>
    <col min="8206" max="8206" width="14.28515625" customWidth="1"/>
    <col min="8207" max="8210" width="16" customWidth="1"/>
    <col min="8211" max="8211" width="15.85546875" customWidth="1"/>
    <col min="8212" max="8212" width="12.42578125" customWidth="1"/>
    <col min="8213" max="8213" width="14.140625" customWidth="1"/>
    <col min="8450" max="8450" width="36.85546875" customWidth="1"/>
    <col min="8451" max="8451" width="9.140625" customWidth="1"/>
    <col min="8452" max="8452" width="13.28515625" customWidth="1"/>
    <col min="8453" max="8453" width="16.85546875" bestFit="1" customWidth="1"/>
    <col min="8454" max="8454" width="0" hidden="1" customWidth="1"/>
    <col min="8455" max="8455" width="14.28515625" customWidth="1"/>
    <col min="8456" max="8457" width="16" customWidth="1"/>
    <col min="8458" max="8458" width="16.7109375" customWidth="1"/>
    <col min="8459" max="8460" width="16" customWidth="1"/>
    <col min="8461" max="8461" width="13" customWidth="1"/>
    <col min="8462" max="8462" width="14.28515625" customWidth="1"/>
    <col min="8463" max="8466" width="16" customWidth="1"/>
    <col min="8467" max="8467" width="15.85546875" customWidth="1"/>
    <col min="8468" max="8468" width="12.42578125" customWidth="1"/>
    <col min="8469" max="8469" width="14.140625" customWidth="1"/>
    <col min="8706" max="8706" width="36.85546875" customWidth="1"/>
    <col min="8707" max="8707" width="9.140625" customWidth="1"/>
    <col min="8708" max="8708" width="13.28515625" customWidth="1"/>
    <col min="8709" max="8709" width="16.85546875" bestFit="1" customWidth="1"/>
    <col min="8710" max="8710" width="0" hidden="1" customWidth="1"/>
    <col min="8711" max="8711" width="14.28515625" customWidth="1"/>
    <col min="8712" max="8713" width="16" customWidth="1"/>
    <col min="8714" max="8714" width="16.7109375" customWidth="1"/>
    <col min="8715" max="8716" width="16" customWidth="1"/>
    <col min="8717" max="8717" width="13" customWidth="1"/>
    <col min="8718" max="8718" width="14.28515625" customWidth="1"/>
    <col min="8719" max="8722" width="16" customWidth="1"/>
    <col min="8723" max="8723" width="15.85546875" customWidth="1"/>
    <col min="8724" max="8724" width="12.42578125" customWidth="1"/>
    <col min="8725" max="8725" width="14.140625" customWidth="1"/>
    <col min="8962" max="8962" width="36.85546875" customWidth="1"/>
    <col min="8963" max="8963" width="9.140625" customWidth="1"/>
    <col min="8964" max="8964" width="13.28515625" customWidth="1"/>
    <col min="8965" max="8965" width="16.85546875" bestFit="1" customWidth="1"/>
    <col min="8966" max="8966" width="0" hidden="1" customWidth="1"/>
    <col min="8967" max="8967" width="14.28515625" customWidth="1"/>
    <col min="8968" max="8969" width="16" customWidth="1"/>
    <col min="8970" max="8970" width="16.7109375" customWidth="1"/>
    <col min="8971" max="8972" width="16" customWidth="1"/>
    <col min="8973" max="8973" width="13" customWidth="1"/>
    <col min="8974" max="8974" width="14.28515625" customWidth="1"/>
    <col min="8975" max="8978" width="16" customWidth="1"/>
    <col min="8979" max="8979" width="15.85546875" customWidth="1"/>
    <col min="8980" max="8980" width="12.42578125" customWidth="1"/>
    <col min="8981" max="8981" width="14.140625" customWidth="1"/>
    <col min="9218" max="9218" width="36.85546875" customWidth="1"/>
    <col min="9219" max="9219" width="9.140625" customWidth="1"/>
    <col min="9220" max="9220" width="13.28515625" customWidth="1"/>
    <col min="9221" max="9221" width="16.85546875" bestFit="1" customWidth="1"/>
    <col min="9222" max="9222" width="0" hidden="1" customWidth="1"/>
    <col min="9223" max="9223" width="14.28515625" customWidth="1"/>
    <col min="9224" max="9225" width="16" customWidth="1"/>
    <col min="9226" max="9226" width="16.7109375" customWidth="1"/>
    <col min="9227" max="9228" width="16" customWidth="1"/>
    <col min="9229" max="9229" width="13" customWidth="1"/>
    <col min="9230" max="9230" width="14.28515625" customWidth="1"/>
    <col min="9231" max="9234" width="16" customWidth="1"/>
    <col min="9235" max="9235" width="15.85546875" customWidth="1"/>
    <col min="9236" max="9236" width="12.42578125" customWidth="1"/>
    <col min="9237" max="9237" width="14.140625" customWidth="1"/>
    <col min="9474" max="9474" width="36.85546875" customWidth="1"/>
    <col min="9475" max="9475" width="9.140625" customWidth="1"/>
    <col min="9476" max="9476" width="13.28515625" customWidth="1"/>
    <col min="9477" max="9477" width="16.85546875" bestFit="1" customWidth="1"/>
    <col min="9478" max="9478" width="0" hidden="1" customWidth="1"/>
    <col min="9479" max="9479" width="14.28515625" customWidth="1"/>
    <col min="9480" max="9481" width="16" customWidth="1"/>
    <col min="9482" max="9482" width="16.7109375" customWidth="1"/>
    <col min="9483" max="9484" width="16" customWidth="1"/>
    <col min="9485" max="9485" width="13" customWidth="1"/>
    <col min="9486" max="9486" width="14.28515625" customWidth="1"/>
    <col min="9487" max="9490" width="16" customWidth="1"/>
    <col min="9491" max="9491" width="15.85546875" customWidth="1"/>
    <col min="9492" max="9492" width="12.42578125" customWidth="1"/>
    <col min="9493" max="9493" width="14.140625" customWidth="1"/>
    <col min="9730" max="9730" width="36.85546875" customWidth="1"/>
    <col min="9731" max="9731" width="9.140625" customWidth="1"/>
    <col min="9732" max="9732" width="13.28515625" customWidth="1"/>
    <col min="9733" max="9733" width="16.85546875" bestFit="1" customWidth="1"/>
    <col min="9734" max="9734" width="0" hidden="1" customWidth="1"/>
    <col min="9735" max="9735" width="14.28515625" customWidth="1"/>
    <col min="9736" max="9737" width="16" customWidth="1"/>
    <col min="9738" max="9738" width="16.7109375" customWidth="1"/>
    <col min="9739" max="9740" width="16" customWidth="1"/>
    <col min="9741" max="9741" width="13" customWidth="1"/>
    <col min="9742" max="9742" width="14.28515625" customWidth="1"/>
    <col min="9743" max="9746" width="16" customWidth="1"/>
    <col min="9747" max="9747" width="15.85546875" customWidth="1"/>
    <col min="9748" max="9748" width="12.42578125" customWidth="1"/>
    <col min="9749" max="9749" width="14.140625" customWidth="1"/>
    <col min="9986" max="9986" width="36.85546875" customWidth="1"/>
    <col min="9987" max="9987" width="9.140625" customWidth="1"/>
    <col min="9988" max="9988" width="13.28515625" customWidth="1"/>
    <col min="9989" max="9989" width="16.85546875" bestFit="1" customWidth="1"/>
    <col min="9990" max="9990" width="0" hidden="1" customWidth="1"/>
    <col min="9991" max="9991" width="14.28515625" customWidth="1"/>
    <col min="9992" max="9993" width="16" customWidth="1"/>
    <col min="9994" max="9994" width="16.7109375" customWidth="1"/>
    <col min="9995" max="9996" width="16" customWidth="1"/>
    <col min="9997" max="9997" width="13" customWidth="1"/>
    <col min="9998" max="9998" width="14.28515625" customWidth="1"/>
    <col min="9999" max="10002" width="16" customWidth="1"/>
    <col min="10003" max="10003" width="15.85546875" customWidth="1"/>
    <col min="10004" max="10004" width="12.42578125" customWidth="1"/>
    <col min="10005" max="10005" width="14.140625" customWidth="1"/>
    <col min="10242" max="10242" width="36.85546875" customWidth="1"/>
    <col min="10243" max="10243" width="9.140625" customWidth="1"/>
    <col min="10244" max="10244" width="13.28515625" customWidth="1"/>
    <col min="10245" max="10245" width="16.85546875" bestFit="1" customWidth="1"/>
    <col min="10246" max="10246" width="0" hidden="1" customWidth="1"/>
    <col min="10247" max="10247" width="14.28515625" customWidth="1"/>
    <col min="10248" max="10249" width="16" customWidth="1"/>
    <col min="10250" max="10250" width="16.7109375" customWidth="1"/>
    <col min="10251" max="10252" width="16" customWidth="1"/>
    <col min="10253" max="10253" width="13" customWidth="1"/>
    <col min="10254" max="10254" width="14.28515625" customWidth="1"/>
    <col min="10255" max="10258" width="16" customWidth="1"/>
    <col min="10259" max="10259" width="15.85546875" customWidth="1"/>
    <col min="10260" max="10260" width="12.42578125" customWidth="1"/>
    <col min="10261" max="10261" width="14.140625" customWidth="1"/>
    <col min="10498" max="10498" width="36.85546875" customWidth="1"/>
    <col min="10499" max="10499" width="9.140625" customWidth="1"/>
    <col min="10500" max="10500" width="13.28515625" customWidth="1"/>
    <col min="10501" max="10501" width="16.85546875" bestFit="1" customWidth="1"/>
    <col min="10502" max="10502" width="0" hidden="1" customWidth="1"/>
    <col min="10503" max="10503" width="14.28515625" customWidth="1"/>
    <col min="10504" max="10505" width="16" customWidth="1"/>
    <col min="10506" max="10506" width="16.7109375" customWidth="1"/>
    <col min="10507" max="10508" width="16" customWidth="1"/>
    <col min="10509" max="10509" width="13" customWidth="1"/>
    <col min="10510" max="10510" width="14.28515625" customWidth="1"/>
    <col min="10511" max="10514" width="16" customWidth="1"/>
    <col min="10515" max="10515" width="15.85546875" customWidth="1"/>
    <col min="10516" max="10516" width="12.42578125" customWidth="1"/>
    <col min="10517" max="10517" width="14.140625" customWidth="1"/>
    <col min="10754" max="10754" width="36.85546875" customWidth="1"/>
    <col min="10755" max="10755" width="9.140625" customWidth="1"/>
    <col min="10756" max="10756" width="13.28515625" customWidth="1"/>
    <col min="10757" max="10757" width="16.85546875" bestFit="1" customWidth="1"/>
    <col min="10758" max="10758" width="0" hidden="1" customWidth="1"/>
    <col min="10759" max="10759" width="14.28515625" customWidth="1"/>
    <col min="10760" max="10761" width="16" customWidth="1"/>
    <col min="10762" max="10762" width="16.7109375" customWidth="1"/>
    <col min="10763" max="10764" width="16" customWidth="1"/>
    <col min="10765" max="10765" width="13" customWidth="1"/>
    <col min="10766" max="10766" width="14.28515625" customWidth="1"/>
    <col min="10767" max="10770" width="16" customWidth="1"/>
    <col min="10771" max="10771" width="15.85546875" customWidth="1"/>
    <col min="10772" max="10772" width="12.42578125" customWidth="1"/>
    <col min="10773" max="10773" width="14.140625" customWidth="1"/>
    <col min="11010" max="11010" width="36.85546875" customWidth="1"/>
    <col min="11011" max="11011" width="9.140625" customWidth="1"/>
    <col min="11012" max="11012" width="13.28515625" customWidth="1"/>
    <col min="11013" max="11013" width="16.85546875" bestFit="1" customWidth="1"/>
    <col min="11014" max="11014" width="0" hidden="1" customWidth="1"/>
    <col min="11015" max="11015" width="14.28515625" customWidth="1"/>
    <col min="11016" max="11017" width="16" customWidth="1"/>
    <col min="11018" max="11018" width="16.7109375" customWidth="1"/>
    <col min="11019" max="11020" width="16" customWidth="1"/>
    <col min="11021" max="11021" width="13" customWidth="1"/>
    <col min="11022" max="11022" width="14.28515625" customWidth="1"/>
    <col min="11023" max="11026" width="16" customWidth="1"/>
    <col min="11027" max="11027" width="15.85546875" customWidth="1"/>
    <col min="11028" max="11028" width="12.42578125" customWidth="1"/>
    <col min="11029" max="11029" width="14.140625" customWidth="1"/>
    <col min="11266" max="11266" width="36.85546875" customWidth="1"/>
    <col min="11267" max="11267" width="9.140625" customWidth="1"/>
    <col min="11268" max="11268" width="13.28515625" customWidth="1"/>
    <col min="11269" max="11269" width="16.85546875" bestFit="1" customWidth="1"/>
    <col min="11270" max="11270" width="0" hidden="1" customWidth="1"/>
    <col min="11271" max="11271" width="14.28515625" customWidth="1"/>
    <col min="11272" max="11273" width="16" customWidth="1"/>
    <col min="11274" max="11274" width="16.7109375" customWidth="1"/>
    <col min="11275" max="11276" width="16" customWidth="1"/>
    <col min="11277" max="11277" width="13" customWidth="1"/>
    <col min="11278" max="11278" width="14.28515625" customWidth="1"/>
    <col min="11279" max="11282" width="16" customWidth="1"/>
    <col min="11283" max="11283" width="15.85546875" customWidth="1"/>
    <col min="11284" max="11284" width="12.42578125" customWidth="1"/>
    <col min="11285" max="11285" width="14.140625" customWidth="1"/>
    <col min="11522" max="11522" width="36.85546875" customWidth="1"/>
    <col min="11523" max="11523" width="9.140625" customWidth="1"/>
    <col min="11524" max="11524" width="13.28515625" customWidth="1"/>
    <col min="11525" max="11525" width="16.85546875" bestFit="1" customWidth="1"/>
    <col min="11526" max="11526" width="0" hidden="1" customWidth="1"/>
    <col min="11527" max="11527" width="14.28515625" customWidth="1"/>
    <col min="11528" max="11529" width="16" customWidth="1"/>
    <col min="11530" max="11530" width="16.7109375" customWidth="1"/>
    <col min="11531" max="11532" width="16" customWidth="1"/>
    <col min="11533" max="11533" width="13" customWidth="1"/>
    <col min="11534" max="11534" width="14.28515625" customWidth="1"/>
    <col min="11535" max="11538" width="16" customWidth="1"/>
    <col min="11539" max="11539" width="15.85546875" customWidth="1"/>
    <col min="11540" max="11540" width="12.42578125" customWidth="1"/>
    <col min="11541" max="11541" width="14.140625" customWidth="1"/>
    <col min="11778" max="11778" width="36.85546875" customWidth="1"/>
    <col min="11779" max="11779" width="9.140625" customWidth="1"/>
    <col min="11780" max="11780" width="13.28515625" customWidth="1"/>
    <col min="11781" max="11781" width="16.85546875" bestFit="1" customWidth="1"/>
    <col min="11782" max="11782" width="0" hidden="1" customWidth="1"/>
    <col min="11783" max="11783" width="14.28515625" customWidth="1"/>
    <col min="11784" max="11785" width="16" customWidth="1"/>
    <col min="11786" max="11786" width="16.7109375" customWidth="1"/>
    <col min="11787" max="11788" width="16" customWidth="1"/>
    <col min="11789" max="11789" width="13" customWidth="1"/>
    <col min="11790" max="11790" width="14.28515625" customWidth="1"/>
    <col min="11791" max="11794" width="16" customWidth="1"/>
    <col min="11795" max="11795" width="15.85546875" customWidth="1"/>
    <col min="11796" max="11796" width="12.42578125" customWidth="1"/>
    <col min="11797" max="11797" width="14.140625" customWidth="1"/>
    <col min="12034" max="12034" width="36.85546875" customWidth="1"/>
    <col min="12035" max="12035" width="9.140625" customWidth="1"/>
    <col min="12036" max="12036" width="13.28515625" customWidth="1"/>
    <col min="12037" max="12037" width="16.85546875" bestFit="1" customWidth="1"/>
    <col min="12038" max="12038" width="0" hidden="1" customWidth="1"/>
    <col min="12039" max="12039" width="14.28515625" customWidth="1"/>
    <col min="12040" max="12041" width="16" customWidth="1"/>
    <col min="12042" max="12042" width="16.7109375" customWidth="1"/>
    <col min="12043" max="12044" width="16" customWidth="1"/>
    <col min="12045" max="12045" width="13" customWidth="1"/>
    <col min="12046" max="12046" width="14.28515625" customWidth="1"/>
    <col min="12047" max="12050" width="16" customWidth="1"/>
    <col min="12051" max="12051" width="15.85546875" customWidth="1"/>
    <col min="12052" max="12052" width="12.42578125" customWidth="1"/>
    <col min="12053" max="12053" width="14.140625" customWidth="1"/>
    <col min="12290" max="12290" width="36.85546875" customWidth="1"/>
    <col min="12291" max="12291" width="9.140625" customWidth="1"/>
    <col min="12292" max="12292" width="13.28515625" customWidth="1"/>
    <col min="12293" max="12293" width="16.85546875" bestFit="1" customWidth="1"/>
    <col min="12294" max="12294" width="0" hidden="1" customWidth="1"/>
    <col min="12295" max="12295" width="14.28515625" customWidth="1"/>
    <col min="12296" max="12297" width="16" customWidth="1"/>
    <col min="12298" max="12298" width="16.7109375" customWidth="1"/>
    <col min="12299" max="12300" width="16" customWidth="1"/>
    <col min="12301" max="12301" width="13" customWidth="1"/>
    <col min="12302" max="12302" width="14.28515625" customWidth="1"/>
    <col min="12303" max="12306" width="16" customWidth="1"/>
    <col min="12307" max="12307" width="15.85546875" customWidth="1"/>
    <col min="12308" max="12308" width="12.42578125" customWidth="1"/>
    <col min="12309" max="12309" width="14.140625" customWidth="1"/>
    <col min="12546" max="12546" width="36.85546875" customWidth="1"/>
    <col min="12547" max="12547" width="9.140625" customWidth="1"/>
    <col min="12548" max="12548" width="13.28515625" customWidth="1"/>
    <col min="12549" max="12549" width="16.85546875" bestFit="1" customWidth="1"/>
    <col min="12550" max="12550" width="0" hidden="1" customWidth="1"/>
    <col min="12551" max="12551" width="14.28515625" customWidth="1"/>
    <col min="12552" max="12553" width="16" customWidth="1"/>
    <col min="12554" max="12554" width="16.7109375" customWidth="1"/>
    <col min="12555" max="12556" width="16" customWidth="1"/>
    <col min="12557" max="12557" width="13" customWidth="1"/>
    <col min="12558" max="12558" width="14.28515625" customWidth="1"/>
    <col min="12559" max="12562" width="16" customWidth="1"/>
    <col min="12563" max="12563" width="15.85546875" customWidth="1"/>
    <col min="12564" max="12564" width="12.42578125" customWidth="1"/>
    <col min="12565" max="12565" width="14.140625" customWidth="1"/>
    <col min="12802" max="12802" width="36.85546875" customWidth="1"/>
    <col min="12803" max="12803" width="9.140625" customWidth="1"/>
    <col min="12804" max="12804" width="13.28515625" customWidth="1"/>
    <col min="12805" max="12805" width="16.85546875" bestFit="1" customWidth="1"/>
    <col min="12806" max="12806" width="0" hidden="1" customWidth="1"/>
    <col min="12807" max="12807" width="14.28515625" customWidth="1"/>
    <col min="12808" max="12809" width="16" customWidth="1"/>
    <col min="12810" max="12810" width="16.7109375" customWidth="1"/>
    <col min="12811" max="12812" width="16" customWidth="1"/>
    <col min="12813" max="12813" width="13" customWidth="1"/>
    <col min="12814" max="12814" width="14.28515625" customWidth="1"/>
    <col min="12815" max="12818" width="16" customWidth="1"/>
    <col min="12819" max="12819" width="15.85546875" customWidth="1"/>
    <col min="12820" max="12820" width="12.42578125" customWidth="1"/>
    <col min="12821" max="12821" width="14.140625" customWidth="1"/>
    <col min="13058" max="13058" width="36.85546875" customWidth="1"/>
    <col min="13059" max="13059" width="9.140625" customWidth="1"/>
    <col min="13060" max="13060" width="13.28515625" customWidth="1"/>
    <col min="13061" max="13061" width="16.85546875" bestFit="1" customWidth="1"/>
    <col min="13062" max="13062" width="0" hidden="1" customWidth="1"/>
    <col min="13063" max="13063" width="14.28515625" customWidth="1"/>
    <col min="13064" max="13065" width="16" customWidth="1"/>
    <col min="13066" max="13066" width="16.7109375" customWidth="1"/>
    <col min="13067" max="13068" width="16" customWidth="1"/>
    <col min="13069" max="13069" width="13" customWidth="1"/>
    <col min="13070" max="13070" width="14.28515625" customWidth="1"/>
    <col min="13071" max="13074" width="16" customWidth="1"/>
    <col min="13075" max="13075" width="15.85546875" customWidth="1"/>
    <col min="13076" max="13076" width="12.42578125" customWidth="1"/>
    <col min="13077" max="13077" width="14.140625" customWidth="1"/>
    <col min="13314" max="13314" width="36.85546875" customWidth="1"/>
    <col min="13315" max="13315" width="9.140625" customWidth="1"/>
    <col min="13316" max="13316" width="13.28515625" customWidth="1"/>
    <col min="13317" max="13317" width="16.85546875" bestFit="1" customWidth="1"/>
    <col min="13318" max="13318" width="0" hidden="1" customWidth="1"/>
    <col min="13319" max="13319" width="14.28515625" customWidth="1"/>
    <col min="13320" max="13321" width="16" customWidth="1"/>
    <col min="13322" max="13322" width="16.7109375" customWidth="1"/>
    <col min="13323" max="13324" width="16" customWidth="1"/>
    <col min="13325" max="13325" width="13" customWidth="1"/>
    <col min="13326" max="13326" width="14.28515625" customWidth="1"/>
    <col min="13327" max="13330" width="16" customWidth="1"/>
    <col min="13331" max="13331" width="15.85546875" customWidth="1"/>
    <col min="13332" max="13332" width="12.42578125" customWidth="1"/>
    <col min="13333" max="13333" width="14.140625" customWidth="1"/>
    <col min="13570" max="13570" width="36.85546875" customWidth="1"/>
    <col min="13571" max="13571" width="9.140625" customWidth="1"/>
    <col min="13572" max="13572" width="13.28515625" customWidth="1"/>
    <col min="13573" max="13573" width="16.85546875" bestFit="1" customWidth="1"/>
    <col min="13574" max="13574" width="0" hidden="1" customWidth="1"/>
    <col min="13575" max="13575" width="14.28515625" customWidth="1"/>
    <col min="13576" max="13577" width="16" customWidth="1"/>
    <col min="13578" max="13578" width="16.7109375" customWidth="1"/>
    <col min="13579" max="13580" width="16" customWidth="1"/>
    <col min="13581" max="13581" width="13" customWidth="1"/>
    <col min="13582" max="13582" width="14.28515625" customWidth="1"/>
    <col min="13583" max="13586" width="16" customWidth="1"/>
    <col min="13587" max="13587" width="15.85546875" customWidth="1"/>
    <col min="13588" max="13588" width="12.42578125" customWidth="1"/>
    <col min="13589" max="13589" width="14.140625" customWidth="1"/>
    <col min="13826" max="13826" width="36.85546875" customWidth="1"/>
    <col min="13827" max="13827" width="9.140625" customWidth="1"/>
    <col min="13828" max="13828" width="13.28515625" customWidth="1"/>
    <col min="13829" max="13829" width="16.85546875" bestFit="1" customWidth="1"/>
    <col min="13830" max="13830" width="0" hidden="1" customWidth="1"/>
    <col min="13831" max="13831" width="14.28515625" customWidth="1"/>
    <col min="13832" max="13833" width="16" customWidth="1"/>
    <col min="13834" max="13834" width="16.7109375" customWidth="1"/>
    <col min="13835" max="13836" width="16" customWidth="1"/>
    <col min="13837" max="13837" width="13" customWidth="1"/>
    <col min="13838" max="13838" width="14.28515625" customWidth="1"/>
    <col min="13839" max="13842" width="16" customWidth="1"/>
    <col min="13843" max="13843" width="15.85546875" customWidth="1"/>
    <col min="13844" max="13844" width="12.42578125" customWidth="1"/>
    <col min="13845" max="13845" width="14.140625" customWidth="1"/>
    <col min="14082" max="14082" width="36.85546875" customWidth="1"/>
    <col min="14083" max="14083" width="9.140625" customWidth="1"/>
    <col min="14084" max="14084" width="13.28515625" customWidth="1"/>
    <col min="14085" max="14085" width="16.85546875" bestFit="1" customWidth="1"/>
    <col min="14086" max="14086" width="0" hidden="1" customWidth="1"/>
    <col min="14087" max="14087" width="14.28515625" customWidth="1"/>
    <col min="14088" max="14089" width="16" customWidth="1"/>
    <col min="14090" max="14090" width="16.7109375" customWidth="1"/>
    <col min="14091" max="14092" width="16" customWidth="1"/>
    <col min="14093" max="14093" width="13" customWidth="1"/>
    <col min="14094" max="14094" width="14.28515625" customWidth="1"/>
    <col min="14095" max="14098" width="16" customWidth="1"/>
    <col min="14099" max="14099" width="15.85546875" customWidth="1"/>
    <col min="14100" max="14100" width="12.42578125" customWidth="1"/>
    <col min="14101" max="14101" width="14.140625" customWidth="1"/>
    <col min="14338" max="14338" width="36.85546875" customWidth="1"/>
    <col min="14339" max="14339" width="9.140625" customWidth="1"/>
    <col min="14340" max="14340" width="13.28515625" customWidth="1"/>
    <col min="14341" max="14341" width="16.85546875" bestFit="1" customWidth="1"/>
    <col min="14342" max="14342" width="0" hidden="1" customWidth="1"/>
    <col min="14343" max="14343" width="14.28515625" customWidth="1"/>
    <col min="14344" max="14345" width="16" customWidth="1"/>
    <col min="14346" max="14346" width="16.7109375" customWidth="1"/>
    <col min="14347" max="14348" width="16" customWidth="1"/>
    <col min="14349" max="14349" width="13" customWidth="1"/>
    <col min="14350" max="14350" width="14.28515625" customWidth="1"/>
    <col min="14351" max="14354" width="16" customWidth="1"/>
    <col min="14355" max="14355" width="15.85546875" customWidth="1"/>
    <col min="14356" max="14356" width="12.42578125" customWidth="1"/>
    <col min="14357" max="14357" width="14.140625" customWidth="1"/>
    <col min="14594" max="14594" width="36.85546875" customWidth="1"/>
    <col min="14595" max="14595" width="9.140625" customWidth="1"/>
    <col min="14596" max="14596" width="13.28515625" customWidth="1"/>
    <col min="14597" max="14597" width="16.85546875" bestFit="1" customWidth="1"/>
    <col min="14598" max="14598" width="0" hidden="1" customWidth="1"/>
    <col min="14599" max="14599" width="14.28515625" customWidth="1"/>
    <col min="14600" max="14601" width="16" customWidth="1"/>
    <col min="14602" max="14602" width="16.7109375" customWidth="1"/>
    <col min="14603" max="14604" width="16" customWidth="1"/>
    <col min="14605" max="14605" width="13" customWidth="1"/>
    <col min="14606" max="14606" width="14.28515625" customWidth="1"/>
    <col min="14607" max="14610" width="16" customWidth="1"/>
    <col min="14611" max="14611" width="15.85546875" customWidth="1"/>
    <col min="14612" max="14612" width="12.42578125" customWidth="1"/>
    <col min="14613" max="14613" width="14.140625" customWidth="1"/>
    <col min="14850" max="14850" width="36.85546875" customWidth="1"/>
    <col min="14851" max="14851" width="9.140625" customWidth="1"/>
    <col min="14852" max="14852" width="13.28515625" customWidth="1"/>
    <col min="14853" max="14853" width="16.85546875" bestFit="1" customWidth="1"/>
    <col min="14854" max="14854" width="0" hidden="1" customWidth="1"/>
    <col min="14855" max="14855" width="14.28515625" customWidth="1"/>
    <col min="14856" max="14857" width="16" customWidth="1"/>
    <col min="14858" max="14858" width="16.7109375" customWidth="1"/>
    <col min="14859" max="14860" width="16" customWidth="1"/>
    <col min="14861" max="14861" width="13" customWidth="1"/>
    <col min="14862" max="14862" width="14.28515625" customWidth="1"/>
    <col min="14863" max="14866" width="16" customWidth="1"/>
    <col min="14867" max="14867" width="15.85546875" customWidth="1"/>
    <col min="14868" max="14868" width="12.42578125" customWidth="1"/>
    <col min="14869" max="14869" width="14.140625" customWidth="1"/>
    <col min="15106" max="15106" width="36.85546875" customWidth="1"/>
    <col min="15107" max="15107" width="9.140625" customWidth="1"/>
    <col min="15108" max="15108" width="13.28515625" customWidth="1"/>
    <col min="15109" max="15109" width="16.85546875" bestFit="1" customWidth="1"/>
    <col min="15110" max="15110" width="0" hidden="1" customWidth="1"/>
    <col min="15111" max="15111" width="14.28515625" customWidth="1"/>
    <col min="15112" max="15113" width="16" customWidth="1"/>
    <col min="15114" max="15114" width="16.7109375" customWidth="1"/>
    <col min="15115" max="15116" width="16" customWidth="1"/>
    <col min="15117" max="15117" width="13" customWidth="1"/>
    <col min="15118" max="15118" width="14.28515625" customWidth="1"/>
    <col min="15119" max="15122" width="16" customWidth="1"/>
    <col min="15123" max="15123" width="15.85546875" customWidth="1"/>
    <col min="15124" max="15124" width="12.42578125" customWidth="1"/>
    <col min="15125" max="15125" width="14.140625" customWidth="1"/>
    <col min="15362" max="15362" width="36.85546875" customWidth="1"/>
    <col min="15363" max="15363" width="9.140625" customWidth="1"/>
    <col min="15364" max="15364" width="13.28515625" customWidth="1"/>
    <col min="15365" max="15365" width="16.85546875" bestFit="1" customWidth="1"/>
    <col min="15366" max="15366" width="0" hidden="1" customWidth="1"/>
    <col min="15367" max="15367" width="14.28515625" customWidth="1"/>
    <col min="15368" max="15369" width="16" customWidth="1"/>
    <col min="15370" max="15370" width="16.7109375" customWidth="1"/>
    <col min="15371" max="15372" width="16" customWidth="1"/>
    <col min="15373" max="15373" width="13" customWidth="1"/>
    <col min="15374" max="15374" width="14.28515625" customWidth="1"/>
    <col min="15375" max="15378" width="16" customWidth="1"/>
    <col min="15379" max="15379" width="15.85546875" customWidth="1"/>
    <col min="15380" max="15380" width="12.42578125" customWidth="1"/>
    <col min="15381" max="15381" width="14.140625" customWidth="1"/>
    <col min="15618" max="15618" width="36.85546875" customWidth="1"/>
    <col min="15619" max="15619" width="9.140625" customWidth="1"/>
    <col min="15620" max="15620" width="13.28515625" customWidth="1"/>
    <col min="15621" max="15621" width="16.85546875" bestFit="1" customWidth="1"/>
    <col min="15622" max="15622" width="0" hidden="1" customWidth="1"/>
    <col min="15623" max="15623" width="14.28515625" customWidth="1"/>
    <col min="15624" max="15625" width="16" customWidth="1"/>
    <col min="15626" max="15626" width="16.7109375" customWidth="1"/>
    <col min="15627" max="15628" width="16" customWidth="1"/>
    <col min="15629" max="15629" width="13" customWidth="1"/>
    <col min="15630" max="15630" width="14.28515625" customWidth="1"/>
    <col min="15631" max="15634" width="16" customWidth="1"/>
    <col min="15635" max="15635" width="15.85546875" customWidth="1"/>
    <col min="15636" max="15636" width="12.42578125" customWidth="1"/>
    <col min="15637" max="15637" width="14.140625" customWidth="1"/>
    <col min="15874" max="15874" width="36.85546875" customWidth="1"/>
    <col min="15875" max="15875" width="9.140625" customWidth="1"/>
    <col min="15876" max="15876" width="13.28515625" customWidth="1"/>
    <col min="15877" max="15877" width="16.85546875" bestFit="1" customWidth="1"/>
    <col min="15878" max="15878" width="0" hidden="1" customWidth="1"/>
    <col min="15879" max="15879" width="14.28515625" customWidth="1"/>
    <col min="15880" max="15881" width="16" customWidth="1"/>
    <col min="15882" max="15882" width="16.7109375" customWidth="1"/>
    <col min="15883" max="15884" width="16" customWidth="1"/>
    <col min="15885" max="15885" width="13" customWidth="1"/>
    <col min="15886" max="15886" width="14.28515625" customWidth="1"/>
    <col min="15887" max="15890" width="16" customWidth="1"/>
    <col min="15891" max="15891" width="15.85546875" customWidth="1"/>
    <col min="15892" max="15892" width="12.42578125" customWidth="1"/>
    <col min="15893" max="15893" width="14.140625" customWidth="1"/>
    <col min="16130" max="16130" width="36.85546875" customWidth="1"/>
    <col min="16131" max="16131" width="9.140625" customWidth="1"/>
    <col min="16132" max="16132" width="13.28515625" customWidth="1"/>
    <col min="16133" max="16133" width="16.85546875" bestFit="1" customWidth="1"/>
    <col min="16134" max="16134" width="0" hidden="1" customWidth="1"/>
    <col min="16135" max="16135" width="14.28515625" customWidth="1"/>
    <col min="16136" max="16137" width="16" customWidth="1"/>
    <col min="16138" max="16138" width="16.7109375" customWidth="1"/>
    <col min="16139" max="16140" width="16" customWidth="1"/>
    <col min="16141" max="16141" width="13" customWidth="1"/>
    <col min="16142" max="16142" width="14.28515625" customWidth="1"/>
    <col min="16143" max="16146" width="16" customWidth="1"/>
    <col min="16147" max="16147" width="15.85546875" customWidth="1"/>
    <col min="16148" max="16148" width="12.42578125" customWidth="1"/>
    <col min="16149" max="16149" width="14.140625" customWidth="1"/>
  </cols>
  <sheetData>
    <row r="1" spans="1:21" ht="27" thickBot="1">
      <c r="A1" s="6161" t="s">
        <v>2712</v>
      </c>
      <c r="B1" s="6162"/>
      <c r="C1" s="6162"/>
      <c r="D1" s="6162"/>
      <c r="E1" s="6162"/>
      <c r="F1" s="6162"/>
      <c r="G1" s="6162"/>
      <c r="H1" s="6162"/>
      <c r="I1" s="6162"/>
      <c r="J1" s="6162"/>
      <c r="K1" s="6162"/>
      <c r="L1" s="6162"/>
      <c r="M1" s="6162"/>
      <c r="N1" s="6162"/>
      <c r="O1" s="6162"/>
      <c r="P1" s="6162"/>
      <c r="Q1" s="6162"/>
      <c r="R1" s="6162"/>
      <c r="S1" s="6162"/>
      <c r="T1" s="6162"/>
      <c r="U1" s="6163"/>
    </row>
    <row r="2" spans="1:21" ht="21" thickBot="1">
      <c r="A2" s="6164" t="s">
        <v>2502</v>
      </c>
      <c r="B2" s="6166" t="s">
        <v>857</v>
      </c>
      <c r="C2" s="3167"/>
      <c r="D2" s="3168" t="s">
        <v>858</v>
      </c>
      <c r="E2" s="6168" t="s">
        <v>859</v>
      </c>
      <c r="F2" s="6169"/>
      <c r="G2" s="6170" t="s">
        <v>2713</v>
      </c>
      <c r="H2" s="6171"/>
      <c r="I2" s="6172"/>
      <c r="J2" s="6170" t="s">
        <v>861</v>
      </c>
      <c r="K2" s="6171"/>
      <c r="L2" s="6172"/>
      <c r="M2" s="6170" t="s">
        <v>862</v>
      </c>
      <c r="N2" s="6171"/>
      <c r="O2" s="6172"/>
      <c r="P2" s="6170" t="s">
        <v>2714</v>
      </c>
      <c r="Q2" s="6171"/>
      <c r="R2" s="6172"/>
      <c r="S2" s="6173" t="s">
        <v>864</v>
      </c>
      <c r="T2" s="6174"/>
      <c r="U2" s="6175"/>
    </row>
    <row r="3" spans="1:21" ht="21" thickBot="1">
      <c r="A3" s="6165"/>
      <c r="B3" s="6167"/>
      <c r="C3" s="3169"/>
      <c r="D3" s="3168" t="s">
        <v>865</v>
      </c>
      <c r="E3" s="3170" t="s">
        <v>866</v>
      </c>
      <c r="F3" s="3171" t="s">
        <v>867</v>
      </c>
      <c r="G3" s="3172" t="s">
        <v>868</v>
      </c>
      <c r="H3" s="3172" t="s">
        <v>869</v>
      </c>
      <c r="I3" s="3173" t="s">
        <v>499</v>
      </c>
      <c r="J3" s="3172" t="s">
        <v>868</v>
      </c>
      <c r="K3" s="3172" t="s">
        <v>869</v>
      </c>
      <c r="L3" s="3172" t="s">
        <v>499</v>
      </c>
      <c r="M3" s="3172" t="s">
        <v>868</v>
      </c>
      <c r="N3" s="3172" t="s">
        <v>869</v>
      </c>
      <c r="O3" s="3174" t="s">
        <v>499</v>
      </c>
      <c r="P3" s="3172" t="s">
        <v>868</v>
      </c>
      <c r="Q3" s="3175" t="s">
        <v>869</v>
      </c>
      <c r="R3" s="3172" t="s">
        <v>499</v>
      </c>
      <c r="S3" s="3176" t="s">
        <v>868</v>
      </c>
      <c r="T3" s="3177" t="s">
        <v>869</v>
      </c>
      <c r="U3" s="3176" t="s">
        <v>499</v>
      </c>
    </row>
    <row r="4" spans="1:21" ht="21" thickBot="1">
      <c r="A4" s="3178" t="s">
        <v>870</v>
      </c>
      <c r="B4" s="3179" t="s">
        <v>871</v>
      </c>
      <c r="C4" s="3180"/>
      <c r="D4" s="3168"/>
      <c r="E4" s="3181"/>
      <c r="F4" s="3182"/>
      <c r="G4" s="3172"/>
      <c r="H4" s="3172"/>
      <c r="I4" s="3183"/>
      <c r="J4" s="3172"/>
      <c r="K4" s="3172"/>
      <c r="L4" s="3172"/>
      <c r="M4" s="3172"/>
      <c r="N4" s="3172"/>
      <c r="O4" s="3174"/>
      <c r="P4" s="3172"/>
      <c r="Q4" s="3175"/>
      <c r="R4" s="3172"/>
      <c r="S4" s="3184"/>
      <c r="T4" s="3185"/>
      <c r="U4" s="3184"/>
    </row>
    <row r="5" spans="1:21" ht="21" thickBot="1">
      <c r="A5" s="6180">
        <v>1</v>
      </c>
      <c r="B5" s="6166" t="s">
        <v>872</v>
      </c>
      <c r="C5" s="3186"/>
      <c r="D5" s="3187">
        <v>0.1075</v>
      </c>
      <c r="E5" s="3188" t="s">
        <v>889</v>
      </c>
      <c r="F5" s="3189" t="s">
        <v>890</v>
      </c>
      <c r="G5" s="3190">
        <v>0</v>
      </c>
      <c r="H5" s="3190">
        <f>I5</f>
        <v>0</v>
      </c>
      <c r="I5" s="3191">
        <v>0</v>
      </c>
      <c r="J5" s="3190">
        <v>0</v>
      </c>
      <c r="K5" s="3190">
        <f t="shared" ref="K5:K23" si="0">L5</f>
        <v>0</v>
      </c>
      <c r="L5" s="3191">
        <v>0</v>
      </c>
      <c r="M5" s="3190">
        <v>0</v>
      </c>
      <c r="N5" s="3190">
        <f>O5</f>
        <v>0</v>
      </c>
      <c r="O5" s="3192">
        <v>0</v>
      </c>
      <c r="P5" s="3190">
        <v>0</v>
      </c>
      <c r="Q5" s="3190">
        <f>R5</f>
        <v>0</v>
      </c>
      <c r="R5" s="3183">
        <f t="shared" ref="R5:R37" si="1">(I5+L5-O5)</f>
        <v>0</v>
      </c>
      <c r="S5" s="3190">
        <v>0</v>
      </c>
      <c r="T5" s="3190">
        <f t="shared" ref="T5:T23" si="2">U5</f>
        <v>0</v>
      </c>
      <c r="U5" s="3183">
        <v>0</v>
      </c>
    </row>
    <row r="6" spans="1:21" ht="21" thickBot="1">
      <c r="A6" s="6181"/>
      <c r="B6" s="6177"/>
      <c r="C6" s="3186"/>
      <c r="D6" s="3187">
        <v>0.105</v>
      </c>
      <c r="E6" s="3188" t="s">
        <v>891</v>
      </c>
      <c r="F6" s="3189" t="s">
        <v>1029</v>
      </c>
      <c r="G6" s="3190">
        <v>0</v>
      </c>
      <c r="H6" s="3190">
        <f>(I6)</f>
        <v>0</v>
      </c>
      <c r="I6" s="3183">
        <v>0</v>
      </c>
      <c r="J6" s="3190">
        <v>0</v>
      </c>
      <c r="K6" s="3190">
        <f t="shared" si="0"/>
        <v>0</v>
      </c>
      <c r="L6" s="3191">
        <v>0</v>
      </c>
      <c r="M6" s="3190">
        <v>0</v>
      </c>
      <c r="N6" s="3190">
        <f>(O6)</f>
        <v>0</v>
      </c>
      <c r="O6" s="3192">
        <v>0</v>
      </c>
      <c r="P6" s="3190">
        <v>0</v>
      </c>
      <c r="Q6" s="3190">
        <f>(R6)</f>
        <v>0</v>
      </c>
      <c r="R6" s="3183">
        <f t="shared" si="1"/>
        <v>0</v>
      </c>
      <c r="S6" s="3190">
        <v>0</v>
      </c>
      <c r="T6" s="3190">
        <f t="shared" si="2"/>
        <v>0</v>
      </c>
      <c r="U6" s="3183">
        <v>0</v>
      </c>
    </row>
    <row r="7" spans="1:21" ht="21" thickBot="1">
      <c r="A7" s="6181"/>
      <c r="B7" s="6177"/>
      <c r="C7" s="3186"/>
      <c r="D7" s="3187">
        <v>0.105</v>
      </c>
      <c r="E7" s="3188" t="s">
        <v>893</v>
      </c>
      <c r="F7" s="3189" t="s">
        <v>894</v>
      </c>
      <c r="G7" s="3190">
        <v>0</v>
      </c>
      <c r="H7" s="3190">
        <f>(I7)</f>
        <v>0</v>
      </c>
      <c r="I7" s="3183">
        <v>0</v>
      </c>
      <c r="J7" s="3190">
        <v>0</v>
      </c>
      <c r="K7" s="3190">
        <f t="shared" si="0"/>
        <v>0</v>
      </c>
      <c r="L7" s="3191">
        <v>0</v>
      </c>
      <c r="M7" s="3190">
        <v>0</v>
      </c>
      <c r="N7" s="3190">
        <f>(O7)</f>
        <v>0</v>
      </c>
      <c r="O7" s="3192">
        <v>0</v>
      </c>
      <c r="P7" s="3190">
        <v>0</v>
      </c>
      <c r="Q7" s="3190">
        <f>(R7)</f>
        <v>0</v>
      </c>
      <c r="R7" s="3183">
        <f t="shared" si="1"/>
        <v>0</v>
      </c>
      <c r="S7" s="3190">
        <v>0</v>
      </c>
      <c r="T7" s="3190">
        <f t="shared" si="2"/>
        <v>0</v>
      </c>
      <c r="U7" s="3183">
        <v>0</v>
      </c>
    </row>
    <row r="8" spans="1:21" ht="21" thickBot="1">
      <c r="A8" s="6181"/>
      <c r="B8" s="6177"/>
      <c r="C8" s="3186"/>
      <c r="D8" s="3187">
        <v>0.105</v>
      </c>
      <c r="E8" s="3188" t="s">
        <v>895</v>
      </c>
      <c r="F8" s="3189" t="s">
        <v>896</v>
      </c>
      <c r="G8" s="3190">
        <v>0</v>
      </c>
      <c r="H8" s="3190">
        <f t="shared" ref="H8:H13" si="3">I8</f>
        <v>0</v>
      </c>
      <c r="I8" s="3191">
        <v>0</v>
      </c>
      <c r="J8" s="3190">
        <v>0</v>
      </c>
      <c r="K8" s="3190">
        <f t="shared" si="0"/>
        <v>0</v>
      </c>
      <c r="L8" s="3191">
        <v>0</v>
      </c>
      <c r="M8" s="3190">
        <v>0</v>
      </c>
      <c r="N8" s="3190">
        <f>O8</f>
        <v>0</v>
      </c>
      <c r="O8" s="3192">
        <v>0</v>
      </c>
      <c r="P8" s="3190">
        <v>0</v>
      </c>
      <c r="Q8" s="3190">
        <f t="shared" ref="Q8:Q23" si="4">R8</f>
        <v>0</v>
      </c>
      <c r="R8" s="3183">
        <f t="shared" si="1"/>
        <v>0</v>
      </c>
      <c r="S8" s="3190">
        <v>0</v>
      </c>
      <c r="T8" s="3190">
        <f t="shared" si="2"/>
        <v>0</v>
      </c>
      <c r="U8" s="3183">
        <v>0</v>
      </c>
    </row>
    <row r="9" spans="1:21" ht="21" thickBot="1">
      <c r="A9" s="6181"/>
      <c r="B9" s="6177"/>
      <c r="C9" s="3186"/>
      <c r="D9" s="3187">
        <v>0.105</v>
      </c>
      <c r="E9" s="3188" t="s">
        <v>897</v>
      </c>
      <c r="F9" s="3189" t="s">
        <v>898</v>
      </c>
      <c r="G9" s="3190">
        <v>0</v>
      </c>
      <c r="H9" s="3190">
        <f t="shared" si="3"/>
        <v>0</v>
      </c>
      <c r="I9" s="3191">
        <v>0</v>
      </c>
      <c r="J9" s="3190">
        <v>0</v>
      </c>
      <c r="K9" s="3190">
        <f t="shared" si="0"/>
        <v>0</v>
      </c>
      <c r="L9" s="3191">
        <v>0</v>
      </c>
      <c r="M9" s="3190">
        <v>0</v>
      </c>
      <c r="N9" s="3190">
        <v>0</v>
      </c>
      <c r="O9" s="3192">
        <v>0</v>
      </c>
      <c r="P9" s="3190">
        <v>0</v>
      </c>
      <c r="Q9" s="3190">
        <f t="shared" si="4"/>
        <v>0</v>
      </c>
      <c r="R9" s="3183">
        <f t="shared" si="1"/>
        <v>0</v>
      </c>
      <c r="S9" s="3190">
        <v>0</v>
      </c>
      <c r="T9" s="3190">
        <f t="shared" si="2"/>
        <v>0</v>
      </c>
      <c r="U9" s="3183">
        <v>0</v>
      </c>
    </row>
    <row r="10" spans="1:21" ht="21" thickBot="1">
      <c r="A10" s="6181"/>
      <c r="B10" s="6177"/>
      <c r="C10" s="3186"/>
      <c r="D10" s="3187">
        <v>0.105</v>
      </c>
      <c r="E10" s="3188" t="s">
        <v>899</v>
      </c>
      <c r="F10" s="3189" t="s">
        <v>900</v>
      </c>
      <c r="G10" s="3190">
        <v>0</v>
      </c>
      <c r="H10" s="3190">
        <f t="shared" si="3"/>
        <v>0</v>
      </c>
      <c r="I10" s="3191">
        <v>0</v>
      </c>
      <c r="J10" s="3190">
        <v>0</v>
      </c>
      <c r="K10" s="3190">
        <f t="shared" si="0"/>
        <v>0</v>
      </c>
      <c r="L10" s="3191">
        <v>0</v>
      </c>
      <c r="M10" s="3190">
        <v>0</v>
      </c>
      <c r="N10" s="3190">
        <v>0</v>
      </c>
      <c r="O10" s="3192">
        <v>0</v>
      </c>
      <c r="P10" s="3190">
        <v>0</v>
      </c>
      <c r="Q10" s="3190">
        <f t="shared" si="4"/>
        <v>0</v>
      </c>
      <c r="R10" s="3183">
        <f t="shared" si="1"/>
        <v>0</v>
      </c>
      <c r="S10" s="3190">
        <v>0</v>
      </c>
      <c r="T10" s="3190">
        <f t="shared" si="2"/>
        <v>0</v>
      </c>
      <c r="U10" s="3183">
        <v>0</v>
      </c>
    </row>
    <row r="11" spans="1:21" ht="21" thickBot="1">
      <c r="A11" s="6181"/>
      <c r="B11" s="6177"/>
      <c r="C11" s="3186"/>
      <c r="D11" s="3187">
        <v>0.105</v>
      </c>
      <c r="E11" s="3188" t="s">
        <v>901</v>
      </c>
      <c r="F11" s="3189" t="s">
        <v>902</v>
      </c>
      <c r="G11" s="3190">
        <v>0</v>
      </c>
      <c r="H11" s="3190">
        <f t="shared" si="3"/>
        <v>0</v>
      </c>
      <c r="I11" s="3191">
        <v>0</v>
      </c>
      <c r="J11" s="3190">
        <v>0</v>
      </c>
      <c r="K11" s="3190">
        <f t="shared" si="0"/>
        <v>0</v>
      </c>
      <c r="L11" s="3191">
        <v>0</v>
      </c>
      <c r="M11" s="3190">
        <v>0</v>
      </c>
      <c r="N11" s="3190">
        <v>0</v>
      </c>
      <c r="O11" s="3194">
        <v>0</v>
      </c>
      <c r="P11" s="3190">
        <v>0</v>
      </c>
      <c r="Q11" s="3190">
        <f t="shared" si="4"/>
        <v>0</v>
      </c>
      <c r="R11" s="3183">
        <f t="shared" si="1"/>
        <v>0</v>
      </c>
      <c r="S11" s="3190">
        <v>0</v>
      </c>
      <c r="T11" s="3190">
        <f t="shared" si="2"/>
        <v>0</v>
      </c>
      <c r="U11" s="3183">
        <v>0</v>
      </c>
    </row>
    <row r="12" spans="1:21" ht="21" thickBot="1">
      <c r="A12" s="6182"/>
      <c r="B12" s="6167"/>
      <c r="C12" s="3169"/>
      <c r="D12" s="3187">
        <v>0.10249999999999999</v>
      </c>
      <c r="E12" s="3195" t="s">
        <v>903</v>
      </c>
      <c r="F12" s="3196" t="s">
        <v>904</v>
      </c>
      <c r="G12" s="3190">
        <v>0</v>
      </c>
      <c r="H12" s="3190">
        <f t="shared" si="3"/>
        <v>7475</v>
      </c>
      <c r="I12" s="3197">
        <v>7475</v>
      </c>
      <c r="J12" s="3197">
        <v>0</v>
      </c>
      <c r="K12" s="3197">
        <f t="shared" si="0"/>
        <v>0</v>
      </c>
      <c r="L12" s="3197">
        <v>0</v>
      </c>
      <c r="M12" s="3190">
        <v>0</v>
      </c>
      <c r="N12" s="3190">
        <f t="shared" ref="N12:N23" si="5">O12</f>
        <v>7475</v>
      </c>
      <c r="O12" s="3194">
        <f>'[111]Q3F-2013-14'!N12+'[111]Q4F-2013-14'!N12</f>
        <v>7475</v>
      </c>
      <c r="P12" s="3197">
        <v>0</v>
      </c>
      <c r="Q12" s="3197">
        <f t="shared" si="4"/>
        <v>0</v>
      </c>
      <c r="R12" s="3198">
        <f t="shared" si="1"/>
        <v>0</v>
      </c>
      <c r="S12" s="3199">
        <v>0</v>
      </c>
      <c r="T12" s="3190">
        <f t="shared" si="2"/>
        <v>316.30126999999999</v>
      </c>
      <c r="U12" s="3183">
        <f>+'[111]Q3F-2013-14'!T12+'[111]Q4F-2013-14'!T12</f>
        <v>316.30126999999999</v>
      </c>
    </row>
    <row r="13" spans="1:21" ht="21" thickBot="1">
      <c r="A13" s="3200">
        <v>2</v>
      </c>
      <c r="B13" s="3201" t="s">
        <v>905</v>
      </c>
      <c r="C13" s="3202"/>
      <c r="D13" s="3187">
        <v>0.1075</v>
      </c>
      <c r="E13" s="3188" t="s">
        <v>914</v>
      </c>
      <c r="F13" s="3203" t="s">
        <v>915</v>
      </c>
      <c r="G13" s="3190">
        <v>0</v>
      </c>
      <c r="H13" s="3190">
        <f t="shared" si="3"/>
        <v>0</v>
      </c>
      <c r="I13" s="3191">
        <v>0</v>
      </c>
      <c r="J13" s="3190">
        <v>0</v>
      </c>
      <c r="K13" s="3190">
        <f t="shared" si="0"/>
        <v>0</v>
      </c>
      <c r="L13" s="3191">
        <v>0</v>
      </c>
      <c r="M13" s="3190">
        <v>0</v>
      </c>
      <c r="N13" s="3190">
        <f t="shared" si="5"/>
        <v>0</v>
      </c>
      <c r="O13" s="3194">
        <v>0</v>
      </c>
      <c r="P13" s="3190">
        <v>0</v>
      </c>
      <c r="Q13" s="3190">
        <f t="shared" si="4"/>
        <v>0</v>
      </c>
      <c r="R13" s="3183">
        <f t="shared" si="1"/>
        <v>0</v>
      </c>
      <c r="S13" s="3190">
        <v>0</v>
      </c>
      <c r="T13" s="3190">
        <f t="shared" si="2"/>
        <v>0</v>
      </c>
      <c r="U13" s="3183">
        <v>0</v>
      </c>
    </row>
    <row r="14" spans="1:21" ht="21" thickBot="1">
      <c r="A14" s="6164">
        <v>3</v>
      </c>
      <c r="B14" s="6166" t="s">
        <v>916</v>
      </c>
      <c r="C14" s="3186"/>
      <c r="D14" s="3187">
        <v>0.105</v>
      </c>
      <c r="E14" s="3204" t="s">
        <v>921</v>
      </c>
      <c r="F14" s="3205" t="s">
        <v>1037</v>
      </c>
      <c r="G14" s="3197">
        <v>0</v>
      </c>
      <c r="H14" s="3197">
        <f>(I14)</f>
        <v>0</v>
      </c>
      <c r="I14" s="3197">
        <v>0</v>
      </c>
      <c r="J14" s="3197">
        <v>0</v>
      </c>
      <c r="K14" s="3197">
        <f t="shared" si="0"/>
        <v>0</v>
      </c>
      <c r="L14" s="3197">
        <v>0</v>
      </c>
      <c r="M14" s="3197">
        <v>0</v>
      </c>
      <c r="N14" s="3197">
        <f t="shared" si="5"/>
        <v>0</v>
      </c>
      <c r="O14" s="3206">
        <v>0</v>
      </c>
      <c r="P14" s="3197">
        <v>0</v>
      </c>
      <c r="Q14" s="3197">
        <f t="shared" si="4"/>
        <v>0</v>
      </c>
      <c r="R14" s="3197">
        <f t="shared" si="1"/>
        <v>0</v>
      </c>
      <c r="S14" s="3199">
        <v>0</v>
      </c>
      <c r="T14" s="3197">
        <f t="shared" si="2"/>
        <v>0</v>
      </c>
      <c r="U14" s="3198">
        <v>0</v>
      </c>
    </row>
    <row r="15" spans="1:21" ht="21" thickBot="1">
      <c r="A15" s="6176"/>
      <c r="B15" s="6177"/>
      <c r="C15" s="3186"/>
      <c r="D15" s="3187">
        <v>0.1075</v>
      </c>
      <c r="E15" s="3204" t="s">
        <v>923</v>
      </c>
      <c r="F15" s="3205" t="s">
        <v>924</v>
      </c>
      <c r="G15" s="3197">
        <v>0</v>
      </c>
      <c r="H15" s="3197">
        <f>(I15)</f>
        <v>0</v>
      </c>
      <c r="I15" s="3197">
        <v>0</v>
      </c>
      <c r="J15" s="3197">
        <v>0</v>
      </c>
      <c r="K15" s="3197">
        <f t="shared" si="0"/>
        <v>0</v>
      </c>
      <c r="L15" s="3197">
        <v>0</v>
      </c>
      <c r="M15" s="3190">
        <v>0</v>
      </c>
      <c r="N15" s="3190">
        <f t="shared" si="5"/>
        <v>0</v>
      </c>
      <c r="O15" s="3206">
        <v>0</v>
      </c>
      <c r="P15" s="3197">
        <v>0</v>
      </c>
      <c r="Q15" s="3197">
        <f t="shared" si="4"/>
        <v>0</v>
      </c>
      <c r="R15" s="3198">
        <f t="shared" si="1"/>
        <v>0</v>
      </c>
      <c r="S15" s="3199">
        <v>0</v>
      </c>
      <c r="T15" s="3190">
        <f t="shared" si="2"/>
        <v>0</v>
      </c>
      <c r="U15" s="3198">
        <v>0</v>
      </c>
    </row>
    <row r="16" spans="1:21" ht="21" thickBot="1">
      <c r="A16" s="6176"/>
      <c r="B16" s="6177"/>
      <c r="C16" s="3186"/>
      <c r="D16" s="3187">
        <v>0.1075</v>
      </c>
      <c r="E16" s="3204" t="s">
        <v>888</v>
      </c>
      <c r="F16" s="3205" t="s">
        <v>925</v>
      </c>
      <c r="G16" s="3197">
        <v>0</v>
      </c>
      <c r="H16" s="3197">
        <f t="shared" ref="H16:H23" si="6">I16</f>
        <v>1400</v>
      </c>
      <c r="I16" s="3197">
        <v>1400</v>
      </c>
      <c r="J16" s="3197">
        <v>0</v>
      </c>
      <c r="K16" s="3197">
        <f t="shared" si="0"/>
        <v>0</v>
      </c>
      <c r="L16" s="3197">
        <v>0</v>
      </c>
      <c r="M16" s="3197">
        <v>0</v>
      </c>
      <c r="N16" s="3197">
        <f t="shared" si="5"/>
        <v>1400</v>
      </c>
      <c r="O16" s="3206">
        <f>'[111]Q3F-2013-14'!N16+'[111]Q4F-2013-14'!N16</f>
        <v>1400</v>
      </c>
      <c r="P16" s="3197">
        <v>0</v>
      </c>
      <c r="Q16" s="3197">
        <f t="shared" si="4"/>
        <v>0</v>
      </c>
      <c r="R16" s="3198">
        <f t="shared" si="1"/>
        <v>0</v>
      </c>
      <c r="S16" s="3199">
        <v>0</v>
      </c>
      <c r="T16" s="3190">
        <f t="shared" si="2"/>
        <v>3.9122999999999997</v>
      </c>
      <c r="U16" s="3198">
        <f>+'[111]Q3F-2013-14'!T16+'[111]Q4F-2013-14'!T16</f>
        <v>3.9122999999999997</v>
      </c>
    </row>
    <row r="17" spans="1:21" ht="21" thickBot="1">
      <c r="A17" s="6176"/>
      <c r="B17" s="6177"/>
      <c r="C17" s="3186"/>
      <c r="D17" s="3187">
        <v>0.109</v>
      </c>
      <c r="E17" s="3204" t="s">
        <v>926</v>
      </c>
      <c r="F17" s="3207" t="s">
        <v>927</v>
      </c>
      <c r="G17" s="3190">
        <v>0</v>
      </c>
      <c r="H17" s="3190">
        <f t="shared" si="6"/>
        <v>1600</v>
      </c>
      <c r="I17" s="3197">
        <v>1600</v>
      </c>
      <c r="J17" s="3190">
        <v>0</v>
      </c>
      <c r="K17" s="3190">
        <f t="shared" si="0"/>
        <v>0</v>
      </c>
      <c r="L17" s="3197">
        <v>0</v>
      </c>
      <c r="M17" s="3190">
        <v>0</v>
      </c>
      <c r="N17" s="3190">
        <f t="shared" si="5"/>
        <v>1600</v>
      </c>
      <c r="O17" s="3206">
        <f>'[111]Q3F-2013-14'!N17+'[111]Q4F-2013-14'!N17</f>
        <v>1600</v>
      </c>
      <c r="P17" s="3197">
        <v>0</v>
      </c>
      <c r="Q17" s="3197">
        <f t="shared" si="4"/>
        <v>0</v>
      </c>
      <c r="R17" s="3198">
        <f t="shared" si="1"/>
        <v>0</v>
      </c>
      <c r="S17" s="3199">
        <v>0</v>
      </c>
      <c r="T17" s="3190">
        <f t="shared" si="2"/>
        <v>1.8556499999999998</v>
      </c>
      <c r="U17" s="3198">
        <f>+'[111]Q3F-2013-14'!T17+'[111]Q4F-2013-14'!T17</f>
        <v>1.8556499999999998</v>
      </c>
    </row>
    <row r="18" spans="1:21" ht="21" thickBot="1">
      <c r="A18" s="6176"/>
      <c r="B18" s="6177"/>
      <c r="C18" s="3186"/>
      <c r="D18" s="3187">
        <v>0.109</v>
      </c>
      <c r="E18" s="3204" t="s">
        <v>928</v>
      </c>
      <c r="F18" s="3207" t="s">
        <v>929</v>
      </c>
      <c r="G18" s="3190">
        <v>0</v>
      </c>
      <c r="H18" s="3190">
        <f t="shared" si="6"/>
        <v>1100</v>
      </c>
      <c r="I18" s="3197">
        <v>1100</v>
      </c>
      <c r="J18" s="3190">
        <v>0</v>
      </c>
      <c r="K18" s="3190">
        <f t="shared" si="0"/>
        <v>0</v>
      </c>
      <c r="L18" s="3197">
        <v>0</v>
      </c>
      <c r="M18" s="3190">
        <v>0</v>
      </c>
      <c r="N18" s="3190">
        <f t="shared" si="5"/>
        <v>1100</v>
      </c>
      <c r="O18" s="3206">
        <f>'[111]Q3F-2013-14'!N18+'[111]Q4F-2013-14'!N18</f>
        <v>1100</v>
      </c>
      <c r="P18" s="3197">
        <v>0</v>
      </c>
      <c r="Q18" s="3197">
        <f t="shared" si="4"/>
        <v>0</v>
      </c>
      <c r="R18" s="3198">
        <f t="shared" si="1"/>
        <v>0</v>
      </c>
      <c r="S18" s="3199">
        <v>0</v>
      </c>
      <c r="T18" s="3190">
        <f t="shared" si="2"/>
        <v>1.5394300000000001</v>
      </c>
      <c r="U18" s="3198">
        <f>+'[111]Q3F-2013-14'!T18+'[111]Q4F-2013-14'!T18</f>
        <v>1.5394300000000001</v>
      </c>
    </row>
    <row r="19" spans="1:21" ht="21" thickBot="1">
      <c r="A19" s="6176"/>
      <c r="B19" s="6177"/>
      <c r="C19" s="3186"/>
      <c r="D19" s="3208">
        <v>0.10249999999999999</v>
      </c>
      <c r="E19" s="3209" t="s">
        <v>2503</v>
      </c>
      <c r="F19" s="3210" t="s">
        <v>2504</v>
      </c>
      <c r="G19" s="3211">
        <v>0</v>
      </c>
      <c r="H19" s="3211">
        <f t="shared" si="6"/>
        <v>6300</v>
      </c>
      <c r="I19" s="3212">
        <v>6300</v>
      </c>
      <c r="J19" s="3211">
        <v>0</v>
      </c>
      <c r="K19" s="3211">
        <f t="shared" si="0"/>
        <v>0</v>
      </c>
      <c r="L19" s="3197">
        <v>0</v>
      </c>
      <c r="M19" s="3211">
        <v>0</v>
      </c>
      <c r="N19" s="3211">
        <f t="shared" si="5"/>
        <v>6300</v>
      </c>
      <c r="O19" s="3213">
        <f>'[111]Q3F-2013-14'!N19+'[111]Q4F-2013-14'!N19</f>
        <v>6300</v>
      </c>
      <c r="P19" s="3211">
        <v>0</v>
      </c>
      <c r="Q19" s="3211">
        <f t="shared" si="4"/>
        <v>0</v>
      </c>
      <c r="R19" s="3212">
        <f t="shared" si="1"/>
        <v>0</v>
      </c>
      <c r="S19" s="3214">
        <v>0</v>
      </c>
      <c r="T19" s="3215">
        <f t="shared" si="2"/>
        <v>11.724920000000001</v>
      </c>
      <c r="U19" s="3198">
        <f>+'[111]Q3F-2013-14'!T19+'[111]Q4F-2013-14'!T19</f>
        <v>11.724920000000001</v>
      </c>
    </row>
    <row r="20" spans="1:21" ht="21" thickBot="1">
      <c r="A20" s="6176"/>
      <c r="B20" s="6177"/>
      <c r="C20" s="3186"/>
      <c r="D20" s="3208">
        <v>0.10249999999999999</v>
      </c>
      <c r="E20" s="3209" t="s">
        <v>2505</v>
      </c>
      <c r="F20" s="3210" t="s">
        <v>2506</v>
      </c>
      <c r="G20" s="3211">
        <v>0</v>
      </c>
      <c r="H20" s="3211">
        <f t="shared" si="6"/>
        <v>4600</v>
      </c>
      <c r="I20" s="3212">
        <v>4600</v>
      </c>
      <c r="J20" s="3211">
        <v>0</v>
      </c>
      <c r="K20" s="3211">
        <f t="shared" si="0"/>
        <v>0</v>
      </c>
      <c r="L20" s="3197">
        <v>0</v>
      </c>
      <c r="M20" s="3211">
        <v>0</v>
      </c>
      <c r="N20" s="3211">
        <f t="shared" si="5"/>
        <v>4600</v>
      </c>
      <c r="O20" s="3213">
        <f>'[111]Q3F-2013-14'!N20+'[111]Q4F-2013-14'!N20</f>
        <v>4600</v>
      </c>
      <c r="P20" s="3211">
        <v>0</v>
      </c>
      <c r="Q20" s="3211">
        <f t="shared" si="4"/>
        <v>0</v>
      </c>
      <c r="R20" s="3212">
        <f t="shared" si="1"/>
        <v>0</v>
      </c>
      <c r="S20" s="3214">
        <v>0</v>
      </c>
      <c r="T20" s="3215">
        <f t="shared" si="2"/>
        <v>58.789489999999994</v>
      </c>
      <c r="U20" s="3198">
        <f>+'[111]Q3F-2013-14'!T20+'[111]Q4F-2013-14'!T20</f>
        <v>58.789489999999994</v>
      </c>
    </row>
    <row r="21" spans="1:21" ht="21" thickBot="1">
      <c r="A21" s="6176"/>
      <c r="B21" s="6177"/>
      <c r="C21" s="3186"/>
      <c r="D21" s="3208">
        <v>0.115</v>
      </c>
      <c r="E21" s="3223" t="s">
        <v>2507</v>
      </c>
      <c r="F21" s="3210" t="s">
        <v>2508</v>
      </c>
      <c r="G21" s="3211">
        <v>0</v>
      </c>
      <c r="H21" s="3211">
        <f t="shared" si="6"/>
        <v>2700</v>
      </c>
      <c r="I21" s="3212">
        <v>2700</v>
      </c>
      <c r="J21" s="3211">
        <v>0</v>
      </c>
      <c r="K21" s="3211">
        <f t="shared" si="0"/>
        <v>0</v>
      </c>
      <c r="L21" s="3211">
        <v>0</v>
      </c>
      <c r="M21" s="3211">
        <v>0</v>
      </c>
      <c r="N21" s="3211">
        <f t="shared" si="5"/>
        <v>2250</v>
      </c>
      <c r="O21" s="3213">
        <f>'[111]Q3F-2013-14'!N21+'[111]Q4F-2013-14'!N21</f>
        <v>2250</v>
      </c>
      <c r="P21" s="3211">
        <v>0</v>
      </c>
      <c r="Q21" s="3211">
        <f t="shared" si="4"/>
        <v>450</v>
      </c>
      <c r="R21" s="3212">
        <f t="shared" si="1"/>
        <v>450</v>
      </c>
      <c r="S21" s="3214">
        <v>0</v>
      </c>
      <c r="T21" s="3211">
        <f t="shared" si="2"/>
        <v>82.710540000000009</v>
      </c>
      <c r="U21" s="3212">
        <f>+'[111]Q3F-2013-14'!T21+'[111]Q4F-2013-14'!T21</f>
        <v>82.710540000000009</v>
      </c>
    </row>
    <row r="22" spans="1:21" ht="21" thickBot="1">
      <c r="A22" s="6176"/>
      <c r="B22" s="6177"/>
      <c r="C22" s="3186"/>
      <c r="D22" s="3208">
        <v>0.10249999999999999</v>
      </c>
      <c r="E22" s="3223" t="s">
        <v>2509</v>
      </c>
      <c r="F22" s="3210" t="s">
        <v>2510</v>
      </c>
      <c r="G22" s="3211">
        <v>0</v>
      </c>
      <c r="H22" s="3211">
        <f t="shared" si="6"/>
        <v>0</v>
      </c>
      <c r="I22" s="3212">
        <v>0</v>
      </c>
      <c r="J22" s="3211">
        <v>0</v>
      </c>
      <c r="K22" s="3211">
        <f t="shared" si="0"/>
        <v>14950</v>
      </c>
      <c r="L22" s="3211">
        <v>14950</v>
      </c>
      <c r="M22" s="3211">
        <v>0</v>
      </c>
      <c r="N22" s="3211">
        <f t="shared" si="5"/>
        <v>10000</v>
      </c>
      <c r="O22" s="3213">
        <f>'[111]Q3F-2013-14'!N22+'[111]Q4F-2013-14'!N22</f>
        <v>10000</v>
      </c>
      <c r="P22" s="3211">
        <v>0</v>
      </c>
      <c r="Q22" s="3211">
        <f t="shared" si="4"/>
        <v>4950</v>
      </c>
      <c r="R22" s="3212">
        <f t="shared" si="1"/>
        <v>4950</v>
      </c>
      <c r="S22" s="3214">
        <v>0</v>
      </c>
      <c r="T22" s="3211">
        <f t="shared" si="2"/>
        <v>473.48451999999997</v>
      </c>
      <c r="U22" s="3212">
        <f>+'[111]Q3F-2013-14'!T22+'[111]Q4F-2013-14'!T22</f>
        <v>473.48451999999997</v>
      </c>
    </row>
    <row r="23" spans="1:21" ht="21" thickBot="1">
      <c r="A23" s="6176"/>
      <c r="B23" s="6177"/>
      <c r="C23" s="3186"/>
      <c r="D23" s="3208">
        <v>0.10249999999999999</v>
      </c>
      <c r="E23" s="3223" t="s">
        <v>2511</v>
      </c>
      <c r="F23" s="3210" t="s">
        <v>2512</v>
      </c>
      <c r="G23" s="3211">
        <v>0</v>
      </c>
      <c r="H23" s="3211">
        <f t="shared" si="6"/>
        <v>0</v>
      </c>
      <c r="I23" s="3212">
        <v>0</v>
      </c>
      <c r="J23" s="3211">
        <v>0</v>
      </c>
      <c r="K23" s="3211">
        <f t="shared" si="0"/>
        <v>4750</v>
      </c>
      <c r="L23" s="3211">
        <v>4750</v>
      </c>
      <c r="M23" s="3211">
        <v>0</v>
      </c>
      <c r="N23" s="3211">
        <f t="shared" si="5"/>
        <v>1600</v>
      </c>
      <c r="O23" s="3213">
        <f>'[111]Q3F-2013-14'!N23+'[111]Q4F-2013-14'!N23</f>
        <v>1600</v>
      </c>
      <c r="P23" s="3211">
        <v>0</v>
      </c>
      <c r="Q23" s="3211">
        <f t="shared" si="4"/>
        <v>3150</v>
      </c>
      <c r="R23" s="3276">
        <f t="shared" si="1"/>
        <v>3150</v>
      </c>
      <c r="S23" s="3214">
        <v>0</v>
      </c>
      <c r="T23" s="3211">
        <f t="shared" si="2"/>
        <v>131.85937999999999</v>
      </c>
      <c r="U23" s="3212">
        <f>+'[111]Q3F-2013-14'!T23+'[111]Q4F-2013-14'!T23</f>
        <v>131.85937999999999</v>
      </c>
    </row>
    <row r="24" spans="1:21" ht="24" thickBot="1">
      <c r="A24" s="6176"/>
      <c r="B24" s="6177"/>
      <c r="C24" s="3186" t="s">
        <v>2538</v>
      </c>
      <c r="D24" s="3208">
        <v>0.10249999999999999</v>
      </c>
      <c r="E24" s="3223" t="s">
        <v>2513</v>
      </c>
      <c r="F24" s="3210" t="s">
        <v>2514</v>
      </c>
      <c r="G24" s="3277">
        <f>(66/77)*I24</f>
        <v>0</v>
      </c>
      <c r="H24" s="3277">
        <f>0.142857142857143*I24</f>
        <v>0</v>
      </c>
      <c r="I24" s="3212">
        <v>0</v>
      </c>
      <c r="J24" s="3211">
        <f>(66/77)*L24</f>
        <v>6600</v>
      </c>
      <c r="K24" s="3211">
        <f>0.142857142857143*L24</f>
        <v>1100.0000000000009</v>
      </c>
      <c r="L24" s="3211">
        <v>7700</v>
      </c>
      <c r="M24" s="3211">
        <f>(66/77)*O24</f>
        <v>1114.2857142857142</v>
      </c>
      <c r="N24" s="3211">
        <f>0.142857142857143*O24</f>
        <v>185.71428571428589</v>
      </c>
      <c r="O24" s="3213">
        <f>'[111]Q4F-2013-14'!N24</f>
        <v>1300</v>
      </c>
      <c r="P24" s="3211">
        <f>(66/77)*R24</f>
        <v>5485.7142857142853</v>
      </c>
      <c r="Q24" s="3211">
        <f>0.142857142857143*R24</f>
        <v>914.28571428571513</v>
      </c>
      <c r="R24" s="3276">
        <f t="shared" si="1"/>
        <v>6400</v>
      </c>
      <c r="S24" s="3211">
        <v>109.49</v>
      </c>
      <c r="T24" s="3211">
        <v>18.25</v>
      </c>
      <c r="U24" s="3276">
        <f>+'[111]Q4F-2013-14'!T24</f>
        <v>127.74325999999999</v>
      </c>
    </row>
    <row r="25" spans="1:21" ht="21" thickBot="1">
      <c r="A25" s="6165"/>
      <c r="B25" s="6167"/>
      <c r="C25" s="3186"/>
      <c r="D25" s="3208">
        <v>0.105</v>
      </c>
      <c r="E25" s="3278" t="s">
        <v>2515</v>
      </c>
      <c r="F25" s="3279">
        <v>41888</v>
      </c>
      <c r="G25" s="3211">
        <v>0</v>
      </c>
      <c r="H25" s="3211">
        <f>I25</f>
        <v>0</v>
      </c>
      <c r="I25" s="3212">
        <v>0</v>
      </c>
      <c r="J25" s="3211">
        <v>0</v>
      </c>
      <c r="K25" s="3211">
        <f>L25</f>
        <v>5000</v>
      </c>
      <c r="L25" s="3211">
        <v>5000</v>
      </c>
      <c r="M25" s="3211">
        <v>0</v>
      </c>
      <c r="N25" s="3211">
        <f>O25</f>
        <v>0</v>
      </c>
      <c r="O25" s="3213">
        <f>'[111]Q4F-2013-14'!N25</f>
        <v>0</v>
      </c>
      <c r="P25" s="3211">
        <v>0</v>
      </c>
      <c r="Q25" s="3211">
        <f>R25</f>
        <v>5000</v>
      </c>
      <c r="R25" s="3276">
        <f t="shared" si="1"/>
        <v>5000</v>
      </c>
      <c r="S25" s="3191">
        <v>0</v>
      </c>
      <c r="T25" s="3190">
        <f>(U25)</f>
        <v>37.397260000000003</v>
      </c>
      <c r="U25" s="3276">
        <f>+'[111]Q4F-2013-14'!T25</f>
        <v>37.397260000000003</v>
      </c>
    </row>
    <row r="26" spans="1:21" ht="21" thickBot="1">
      <c r="A26" s="6164">
        <v>4</v>
      </c>
      <c r="B26" s="6183" t="s">
        <v>930</v>
      </c>
      <c r="C26" s="3167"/>
      <c r="D26" s="3225">
        <v>0.1075</v>
      </c>
      <c r="E26" s="3181" t="s">
        <v>934</v>
      </c>
      <c r="F26" s="3182" t="s">
        <v>1038</v>
      </c>
      <c r="G26" s="3191">
        <v>0</v>
      </c>
      <c r="H26" s="3190">
        <f>(I26)</f>
        <v>0</v>
      </c>
      <c r="I26" s="3191">
        <v>0</v>
      </c>
      <c r="J26" s="3190">
        <v>0</v>
      </c>
      <c r="K26" s="3190">
        <f>L26</f>
        <v>0</v>
      </c>
      <c r="L26" s="3191">
        <v>0</v>
      </c>
      <c r="M26" s="3191">
        <v>0</v>
      </c>
      <c r="N26" s="3190">
        <f>(O26)</f>
        <v>0</v>
      </c>
      <c r="O26" s="3226">
        <v>0</v>
      </c>
      <c r="P26" s="3191">
        <v>0</v>
      </c>
      <c r="Q26" s="3190">
        <f>(R26)</f>
        <v>0</v>
      </c>
      <c r="R26" s="3183">
        <f t="shared" si="1"/>
        <v>0</v>
      </c>
      <c r="S26" s="3191">
        <v>0</v>
      </c>
      <c r="T26" s="3190">
        <f>(U26)</f>
        <v>0</v>
      </c>
      <c r="U26" s="3183">
        <v>0</v>
      </c>
    </row>
    <row r="27" spans="1:21" ht="21" thickBot="1">
      <c r="A27" s="6176"/>
      <c r="B27" s="6185"/>
      <c r="C27" s="3186"/>
      <c r="D27" s="3225">
        <v>0.11</v>
      </c>
      <c r="E27" s="3181" t="s">
        <v>936</v>
      </c>
      <c r="F27" s="3182" t="s">
        <v>937</v>
      </c>
      <c r="G27" s="3191">
        <v>0</v>
      </c>
      <c r="H27" s="3190">
        <f>(I27)</f>
        <v>0</v>
      </c>
      <c r="I27" s="3191">
        <v>0</v>
      </c>
      <c r="J27" s="3190">
        <v>0</v>
      </c>
      <c r="K27" s="3190">
        <f>L27</f>
        <v>0</v>
      </c>
      <c r="L27" s="3191">
        <v>0</v>
      </c>
      <c r="M27" s="3191">
        <v>0</v>
      </c>
      <c r="N27" s="3190">
        <f>(O27)</f>
        <v>0</v>
      </c>
      <c r="O27" s="3226">
        <v>0</v>
      </c>
      <c r="P27" s="3191">
        <v>0</v>
      </c>
      <c r="Q27" s="3190">
        <f>R27</f>
        <v>0</v>
      </c>
      <c r="R27" s="3183">
        <f t="shared" si="1"/>
        <v>0</v>
      </c>
      <c r="S27" s="3191">
        <v>0</v>
      </c>
      <c r="T27" s="3227">
        <f>+U27</f>
        <v>0</v>
      </c>
      <c r="U27" s="3183">
        <v>0</v>
      </c>
    </row>
    <row r="28" spans="1:21" ht="21" thickBot="1">
      <c r="A28" s="6176"/>
      <c r="B28" s="6185"/>
      <c r="C28" s="3186" t="s">
        <v>2538</v>
      </c>
      <c r="D28" s="3187">
        <v>0.11</v>
      </c>
      <c r="E28" s="3181" t="s">
        <v>880</v>
      </c>
      <c r="F28" s="3182" t="s">
        <v>938</v>
      </c>
      <c r="G28" s="3228">
        <f>I28*45%</f>
        <v>3739.5</v>
      </c>
      <c r="H28" s="3197">
        <f>I28*55%</f>
        <v>4570.5</v>
      </c>
      <c r="I28" s="3197">
        <v>8310</v>
      </c>
      <c r="J28" s="3197">
        <f>L28*45%</f>
        <v>0</v>
      </c>
      <c r="K28" s="3197">
        <f>L28*55%</f>
        <v>0</v>
      </c>
      <c r="L28" s="3197">
        <v>0</v>
      </c>
      <c r="M28" s="3197">
        <f>O28*45%</f>
        <v>3739.5</v>
      </c>
      <c r="N28" s="3197">
        <f>O28*55%</f>
        <v>4570.5</v>
      </c>
      <c r="O28" s="3206">
        <f>'[111]Q3F-2013-14'!N26+'[111]Q4F-2013-14'!N28</f>
        <v>8310</v>
      </c>
      <c r="P28" s="3197">
        <f>R28*45%</f>
        <v>0</v>
      </c>
      <c r="Q28" s="3197">
        <f>R28*55%</f>
        <v>0</v>
      </c>
      <c r="R28" s="3197">
        <f t="shared" si="1"/>
        <v>0</v>
      </c>
      <c r="S28" s="3197">
        <v>33.06</v>
      </c>
      <c r="T28" s="3197">
        <v>40.409999999999997</v>
      </c>
      <c r="U28" s="3198">
        <f>+'[111]Q3F-2013-14'!T26+'[111]Q4F-2013-14'!T28</f>
        <v>73.467449999999999</v>
      </c>
    </row>
    <row r="29" spans="1:21" ht="21" thickBot="1">
      <c r="A29" s="6176"/>
      <c r="B29" s="6185"/>
      <c r="C29" s="3186"/>
      <c r="D29" s="3187">
        <v>0.1075</v>
      </c>
      <c r="E29" s="3229" t="s">
        <v>939</v>
      </c>
      <c r="F29" s="3230" t="s">
        <v>940</v>
      </c>
      <c r="G29" s="3190">
        <v>0</v>
      </c>
      <c r="H29" s="3190">
        <f>I29</f>
        <v>20000</v>
      </c>
      <c r="I29" s="3197">
        <v>20000</v>
      </c>
      <c r="J29" s="3197">
        <v>0</v>
      </c>
      <c r="K29" s="3197">
        <f t="shared" ref="K29:K35" si="7">L29</f>
        <v>0</v>
      </c>
      <c r="L29" s="3197">
        <v>0</v>
      </c>
      <c r="M29" s="3197">
        <v>0</v>
      </c>
      <c r="N29" s="3197">
        <f t="shared" ref="N29:N35" si="8">O29</f>
        <v>20000</v>
      </c>
      <c r="O29" s="3206">
        <f>'[111]Q3F-2013-14'!N27+'[111]Q4F-2013-14'!N29</f>
        <v>20000</v>
      </c>
      <c r="P29" s="3197">
        <v>0</v>
      </c>
      <c r="Q29" s="3197">
        <f t="shared" ref="Q29:Q35" si="9">R29</f>
        <v>0</v>
      </c>
      <c r="R29" s="3198">
        <f t="shared" si="1"/>
        <v>0</v>
      </c>
      <c r="S29" s="3199">
        <v>0</v>
      </c>
      <c r="T29" s="3190">
        <f t="shared" ref="T29:T35" si="10">U29</f>
        <v>596.50812000000008</v>
      </c>
      <c r="U29" s="3198">
        <f>+'[111]Q3F-2013-14'!T27+'[111]Q4F-2013-14'!T29</f>
        <v>596.50812000000008</v>
      </c>
    </row>
    <row r="30" spans="1:21" ht="21" thickBot="1">
      <c r="A30" s="6176"/>
      <c r="B30" s="6185"/>
      <c r="C30" s="3186"/>
      <c r="D30" s="3280">
        <v>0.1125</v>
      </c>
      <c r="E30" s="3281" t="s">
        <v>2516</v>
      </c>
      <c r="F30" s="3232" t="s">
        <v>2517</v>
      </c>
      <c r="G30" s="3211">
        <v>0</v>
      </c>
      <c r="H30" s="3211">
        <f>I30</f>
        <v>20000</v>
      </c>
      <c r="I30" s="3212">
        <v>20000</v>
      </c>
      <c r="J30" s="3211">
        <v>0</v>
      </c>
      <c r="K30" s="3211">
        <f t="shared" si="7"/>
        <v>0</v>
      </c>
      <c r="L30" s="3211">
        <v>0</v>
      </c>
      <c r="M30" s="3211">
        <v>0</v>
      </c>
      <c r="N30" s="3211">
        <f t="shared" si="8"/>
        <v>9900</v>
      </c>
      <c r="O30" s="3213">
        <f>'[111]Q3F-2013-14'!N28+'[111]Q4F-2013-14'!N30</f>
        <v>9900</v>
      </c>
      <c r="P30" s="3212">
        <v>0</v>
      </c>
      <c r="Q30" s="3212">
        <f t="shared" si="9"/>
        <v>10100</v>
      </c>
      <c r="R30" s="3212">
        <f t="shared" si="1"/>
        <v>10100</v>
      </c>
      <c r="S30" s="3214">
        <v>0</v>
      </c>
      <c r="T30" s="3211">
        <f t="shared" si="10"/>
        <v>951.87281000000007</v>
      </c>
      <c r="U30" s="3212">
        <f>+'[111]Q3F-2013-14'!T28+'[111]Q4F-2013-14'!T30</f>
        <v>951.87281000000007</v>
      </c>
    </row>
    <row r="31" spans="1:21" ht="21" thickBot="1">
      <c r="A31" s="6176"/>
      <c r="B31" s="6185"/>
      <c r="C31" s="3186"/>
      <c r="D31" s="3208">
        <v>0.10249999999999999</v>
      </c>
      <c r="E31" s="3231" t="s">
        <v>2518</v>
      </c>
      <c r="F31" s="3232" t="s">
        <v>2519</v>
      </c>
      <c r="G31" s="3211">
        <v>0</v>
      </c>
      <c r="H31" s="3211">
        <f>I31</f>
        <v>0</v>
      </c>
      <c r="I31" s="3212">
        <v>0</v>
      </c>
      <c r="J31" s="3211">
        <v>0</v>
      </c>
      <c r="K31" s="3211">
        <f t="shared" si="7"/>
        <v>20000</v>
      </c>
      <c r="L31" s="3211">
        <v>20000</v>
      </c>
      <c r="M31" s="3211">
        <v>0</v>
      </c>
      <c r="N31" s="3211">
        <f t="shared" si="8"/>
        <v>5010</v>
      </c>
      <c r="O31" s="3213">
        <f>'[111]Q3F-2013-14'!N29+'[111]Q4F-2013-14'!N31</f>
        <v>5010</v>
      </c>
      <c r="P31" s="3211">
        <v>0</v>
      </c>
      <c r="Q31" s="3211">
        <f t="shared" si="9"/>
        <v>14990</v>
      </c>
      <c r="R31" s="3276">
        <f t="shared" si="1"/>
        <v>14990</v>
      </c>
      <c r="S31" s="3214">
        <v>0</v>
      </c>
      <c r="T31" s="3211">
        <f t="shared" si="10"/>
        <v>522.57240000000002</v>
      </c>
      <c r="U31" s="3212">
        <f>+'[111]Q3F-2013-14'!T29+'[111]Q4F-2013-14'!T31</f>
        <v>522.57240000000002</v>
      </c>
    </row>
    <row r="32" spans="1:21" s="3284" customFormat="1" ht="21.75" thickBot="1">
      <c r="A32" s="6165"/>
      <c r="B32" s="6184"/>
      <c r="C32" s="3186"/>
      <c r="D32" s="3282">
        <v>0.1095</v>
      </c>
      <c r="E32" s="3231">
        <v>41726</v>
      </c>
      <c r="F32" s="3232">
        <v>42090</v>
      </c>
      <c r="G32" s="3211">
        <v>0</v>
      </c>
      <c r="H32" s="3211">
        <f>I32</f>
        <v>0</v>
      </c>
      <c r="I32" s="3212">
        <v>0</v>
      </c>
      <c r="J32" s="3211">
        <v>0</v>
      </c>
      <c r="K32" s="3211">
        <f t="shared" si="7"/>
        <v>20000</v>
      </c>
      <c r="L32" s="3211">
        <v>20000</v>
      </c>
      <c r="M32" s="3211">
        <v>0</v>
      </c>
      <c r="N32" s="3211">
        <f t="shared" si="8"/>
        <v>0</v>
      </c>
      <c r="O32" s="3213">
        <v>0</v>
      </c>
      <c r="P32" s="3211">
        <v>0</v>
      </c>
      <c r="Q32" s="3211">
        <f t="shared" si="9"/>
        <v>20000</v>
      </c>
      <c r="R32" s="3276">
        <f t="shared" si="1"/>
        <v>20000</v>
      </c>
      <c r="S32" s="3283"/>
      <c r="T32" s="3211">
        <f t="shared" si="10"/>
        <v>0</v>
      </c>
      <c r="U32" s="3276">
        <f>+'[111]Q4F-2013-14'!T32</f>
        <v>0</v>
      </c>
    </row>
    <row r="33" spans="1:23" ht="21" thickBot="1">
      <c r="A33" s="6164">
        <v>5</v>
      </c>
      <c r="B33" s="6178" t="s">
        <v>941</v>
      </c>
      <c r="C33" s="3233"/>
      <c r="D33" s="3187">
        <v>0.105</v>
      </c>
      <c r="E33" s="3229" t="s">
        <v>942</v>
      </c>
      <c r="F33" s="3182" t="s">
        <v>943</v>
      </c>
      <c r="G33" s="3197">
        <v>0</v>
      </c>
      <c r="H33" s="3197">
        <f>(I33)</f>
        <v>5050</v>
      </c>
      <c r="I33" s="3197">
        <v>5050</v>
      </c>
      <c r="J33" s="3197">
        <v>0</v>
      </c>
      <c r="K33" s="3197">
        <f t="shared" si="7"/>
        <v>0</v>
      </c>
      <c r="L33" s="3197">
        <v>0</v>
      </c>
      <c r="M33" s="3197">
        <v>0</v>
      </c>
      <c r="N33" s="3197">
        <f t="shared" si="8"/>
        <v>5050</v>
      </c>
      <c r="O33" s="3206">
        <f>'[111]Q3F-2013-14'!N30+'[111]Q4F-2013-14'!N33</f>
        <v>5050</v>
      </c>
      <c r="P33" s="3197">
        <v>0</v>
      </c>
      <c r="Q33" s="3197">
        <f t="shared" si="9"/>
        <v>0</v>
      </c>
      <c r="R33" s="3197">
        <f t="shared" si="1"/>
        <v>0</v>
      </c>
      <c r="S33" s="3199">
        <v>0</v>
      </c>
      <c r="T33" s="3197">
        <f t="shared" si="10"/>
        <v>29.473970000000001</v>
      </c>
      <c r="U33" s="3198">
        <f>+'[111]Q3F-2013-14'!T30+'[111]Q4F-2013-14'!T33</f>
        <v>29.473970000000001</v>
      </c>
    </row>
    <row r="34" spans="1:23" ht="21" thickBot="1">
      <c r="A34" s="6176"/>
      <c r="B34" s="6188"/>
      <c r="C34" s="3285"/>
      <c r="D34" s="3208">
        <v>0.10249999999999999</v>
      </c>
      <c r="E34" s="3235" t="s">
        <v>2520</v>
      </c>
      <c r="F34" s="3236" t="s">
        <v>2521</v>
      </c>
      <c r="G34" s="3211">
        <v>0</v>
      </c>
      <c r="H34" s="3211">
        <f>(I34)</f>
        <v>12500</v>
      </c>
      <c r="I34" s="3212">
        <v>12500</v>
      </c>
      <c r="J34" s="3211">
        <v>0</v>
      </c>
      <c r="K34" s="3211">
        <f t="shared" si="7"/>
        <v>0</v>
      </c>
      <c r="L34" s="3197">
        <v>0</v>
      </c>
      <c r="M34" s="3211">
        <v>0</v>
      </c>
      <c r="N34" s="3211">
        <f t="shared" si="8"/>
        <v>7500</v>
      </c>
      <c r="O34" s="3213">
        <f>'[111]Q3F-2013-14'!N31+'[111]Q4F-2013-14'!N34</f>
        <v>7500</v>
      </c>
      <c r="P34" s="3211">
        <v>0</v>
      </c>
      <c r="Q34" s="3211">
        <f t="shared" si="9"/>
        <v>5000</v>
      </c>
      <c r="R34" s="3212">
        <f t="shared" si="1"/>
        <v>5000</v>
      </c>
      <c r="S34" s="3214">
        <v>0</v>
      </c>
      <c r="T34" s="3215">
        <f t="shared" si="10"/>
        <v>436.47187000000002</v>
      </c>
      <c r="U34" s="3198">
        <f>+'[111]Q3F-2013-14'!T31+'[111]Q4F-2013-14'!T34</f>
        <v>436.47187000000002</v>
      </c>
    </row>
    <row r="35" spans="1:23" ht="24" thickBot="1">
      <c r="A35" s="6165"/>
      <c r="B35" s="6179"/>
      <c r="C35" s="3234"/>
      <c r="D35" s="3208">
        <v>0.10249999999999999</v>
      </c>
      <c r="E35" s="3286" t="s">
        <v>2522</v>
      </c>
      <c r="F35" s="3236" t="s">
        <v>2523</v>
      </c>
      <c r="G35" s="3211">
        <v>0</v>
      </c>
      <c r="H35" s="3211">
        <f>I35</f>
        <v>0</v>
      </c>
      <c r="I35" s="3212">
        <v>0</v>
      </c>
      <c r="J35" s="3211">
        <v>0</v>
      </c>
      <c r="K35" s="3211">
        <f t="shared" si="7"/>
        <v>10000</v>
      </c>
      <c r="L35" s="3211">
        <v>10000</v>
      </c>
      <c r="M35" s="3211">
        <v>0</v>
      </c>
      <c r="N35" s="3211">
        <f t="shared" si="8"/>
        <v>0</v>
      </c>
      <c r="O35" s="3213">
        <f>'[111]Q4F-2013-14'!N35</f>
        <v>0</v>
      </c>
      <c r="P35" s="3211">
        <v>0</v>
      </c>
      <c r="Q35" s="3211">
        <f t="shared" si="9"/>
        <v>10000</v>
      </c>
      <c r="R35" s="3276">
        <f t="shared" si="1"/>
        <v>10000</v>
      </c>
      <c r="S35" s="3287">
        <v>0</v>
      </c>
      <c r="T35" s="3277">
        <f t="shared" si="10"/>
        <v>98.287649999999999</v>
      </c>
      <c r="U35" s="3288">
        <f>+'[111]Q4F-2013-14'!T35</f>
        <v>98.287649999999999</v>
      </c>
    </row>
    <row r="36" spans="1:23" ht="21" thickBot="1">
      <c r="A36" s="6189">
        <v>6</v>
      </c>
      <c r="B36" s="6191" t="s">
        <v>944</v>
      </c>
      <c r="C36" s="3233"/>
      <c r="D36" s="3240">
        <v>0.108</v>
      </c>
      <c r="E36" s="3229" t="s">
        <v>947</v>
      </c>
      <c r="F36" s="3182" t="s">
        <v>948</v>
      </c>
      <c r="G36" s="3197">
        <v>0</v>
      </c>
      <c r="H36" s="3197">
        <f>I36</f>
        <v>5150</v>
      </c>
      <c r="I36" s="3198">
        <v>5150</v>
      </c>
      <c r="J36" s="3197">
        <v>0</v>
      </c>
      <c r="K36" s="3197">
        <f>(L36)</f>
        <v>0</v>
      </c>
      <c r="L36" s="3197">
        <v>0</v>
      </c>
      <c r="M36" s="3197">
        <v>0</v>
      </c>
      <c r="N36" s="3197">
        <f>(O36)</f>
        <v>5150</v>
      </c>
      <c r="O36" s="3241">
        <f>'[111]Q3F-2013-14'!N32+'[111]Q4F-2013-14'!N36</f>
        <v>5150</v>
      </c>
      <c r="P36" s="3197">
        <v>0</v>
      </c>
      <c r="Q36" s="3197">
        <f>(R36)</f>
        <v>0</v>
      </c>
      <c r="R36" s="3197">
        <f t="shared" si="1"/>
        <v>0</v>
      </c>
      <c r="S36" s="3199">
        <v>0</v>
      </c>
      <c r="T36" s="3197">
        <f>(U36)</f>
        <v>70.782939999999996</v>
      </c>
      <c r="U36" s="3198">
        <f>+'[111]Q3F-2013-14'!T32+'[111]Q4F-2013-14'!T36</f>
        <v>70.782939999999996</v>
      </c>
    </row>
    <row r="37" spans="1:23" s="3284" customFormat="1" ht="21.75" thickBot="1">
      <c r="A37" s="6190"/>
      <c r="B37" s="6192"/>
      <c r="C37" s="3285"/>
      <c r="D37" s="3289">
        <v>0.10249999999999999</v>
      </c>
      <c r="E37" s="3290">
        <v>41725</v>
      </c>
      <c r="F37" s="3232">
        <v>42089</v>
      </c>
      <c r="G37" s="3211">
        <v>0</v>
      </c>
      <c r="H37" s="3211">
        <f>I37</f>
        <v>0</v>
      </c>
      <c r="I37" s="3212">
        <v>0</v>
      </c>
      <c r="J37" s="3211">
        <v>0</v>
      </c>
      <c r="K37" s="3211">
        <f>(L37)</f>
        <v>20000</v>
      </c>
      <c r="L37" s="3211">
        <v>20000</v>
      </c>
      <c r="M37" s="3211">
        <v>0</v>
      </c>
      <c r="N37" s="3211">
        <f>O37</f>
        <v>0</v>
      </c>
      <c r="O37" s="3291">
        <v>0</v>
      </c>
      <c r="P37" s="3211">
        <v>0</v>
      </c>
      <c r="Q37" s="3211">
        <f>(R37)</f>
        <v>20000</v>
      </c>
      <c r="R37" s="3276">
        <f t="shared" si="1"/>
        <v>20000</v>
      </c>
      <c r="S37" s="3199">
        <v>0</v>
      </c>
      <c r="T37" s="3211">
        <f>(U37)</f>
        <v>28.082190000000001</v>
      </c>
      <c r="U37" s="3276">
        <f>+'[111]Q4F-2013-14'!T37</f>
        <v>28.082190000000001</v>
      </c>
    </row>
    <row r="38" spans="1:23" ht="21" thickBot="1">
      <c r="A38" s="3242"/>
      <c r="B38" s="3177" t="s">
        <v>949</v>
      </c>
      <c r="C38" s="3176"/>
      <c r="D38" s="3243"/>
      <c r="E38" s="3181"/>
      <c r="F38" s="3182"/>
      <c r="G38" s="3183">
        <f t="shared" ref="G38:U38" si="11">SUM(G5:G37)</f>
        <v>3739.5</v>
      </c>
      <c r="H38" s="3183">
        <f t="shared" si="11"/>
        <v>92445.5</v>
      </c>
      <c r="I38" s="3183">
        <f t="shared" si="11"/>
        <v>96185</v>
      </c>
      <c r="J38" s="3183">
        <f t="shared" si="11"/>
        <v>6600</v>
      </c>
      <c r="K38" s="3183">
        <f t="shared" si="11"/>
        <v>95800</v>
      </c>
      <c r="L38" s="3183">
        <f t="shared" si="11"/>
        <v>102400</v>
      </c>
      <c r="M38" s="3183">
        <f t="shared" si="11"/>
        <v>4853.7857142857138</v>
      </c>
      <c r="N38" s="3183">
        <f t="shared" si="11"/>
        <v>93691.21428571429</v>
      </c>
      <c r="O38" s="3183">
        <f t="shared" si="11"/>
        <v>98545</v>
      </c>
      <c r="P38" s="3183">
        <f t="shared" si="11"/>
        <v>5485.7142857142853</v>
      </c>
      <c r="Q38" s="3183">
        <f t="shared" si="11"/>
        <v>94554.28571428571</v>
      </c>
      <c r="R38" s="3183">
        <f t="shared" si="11"/>
        <v>100040</v>
      </c>
      <c r="S38" s="3183">
        <f t="shared" si="11"/>
        <v>142.55000000000001</v>
      </c>
      <c r="T38" s="3183">
        <f t="shared" si="11"/>
        <v>3912.2867100000008</v>
      </c>
      <c r="U38" s="3183">
        <f t="shared" si="11"/>
        <v>4054.8374200000003</v>
      </c>
      <c r="W38" s="911"/>
    </row>
    <row r="39" spans="1:23" ht="21" thickBot="1">
      <c r="A39" s="3242"/>
      <c r="B39" s="3177"/>
      <c r="C39" s="3176"/>
      <c r="D39" s="3243"/>
      <c r="E39" s="3182"/>
      <c r="F39" s="3182"/>
      <c r="G39" s="3183"/>
      <c r="H39" s="3183"/>
      <c r="I39" s="3183"/>
      <c r="J39" s="3183"/>
      <c r="K39" s="3183"/>
      <c r="L39" s="3226"/>
      <c r="M39" s="3183"/>
      <c r="N39" s="3183"/>
      <c r="O39" s="3226"/>
      <c r="P39" s="3244"/>
      <c r="Q39" s="3183"/>
      <c r="R39" s="3183"/>
      <c r="S39" s="3245"/>
      <c r="T39" s="3246"/>
      <c r="U39" s="3245"/>
    </row>
    <row r="40" spans="1:23" ht="21" thickBot="1">
      <c r="A40" s="3247" t="s">
        <v>950</v>
      </c>
      <c r="B40" s="3248" t="s">
        <v>951</v>
      </c>
      <c r="C40" s="3249"/>
      <c r="D40" s="3168"/>
      <c r="E40" s="3250"/>
      <c r="F40" s="3243"/>
      <c r="G40" s="3183"/>
      <c r="H40" s="3183"/>
      <c r="I40" s="3183"/>
      <c r="J40" s="3183"/>
      <c r="K40" s="3183"/>
      <c r="L40" s="3183"/>
      <c r="M40" s="3183"/>
      <c r="N40" s="3183"/>
      <c r="O40" s="3226"/>
      <c r="P40" s="3244"/>
      <c r="Q40" s="3183"/>
      <c r="R40" s="3183"/>
      <c r="S40" s="3184"/>
      <c r="T40" s="3185"/>
      <c r="U40" s="3184"/>
    </row>
    <row r="41" spans="1:23" ht="21" thickBot="1">
      <c r="A41" s="3251">
        <v>7</v>
      </c>
      <c r="B41" s="3201" t="s">
        <v>952</v>
      </c>
      <c r="C41" s="3167" t="s">
        <v>2705</v>
      </c>
      <c r="D41" s="3252">
        <v>0.13500000000000001</v>
      </c>
      <c r="E41" s="3253" t="s">
        <v>953</v>
      </c>
      <c r="F41" s="3253" t="s">
        <v>954</v>
      </c>
      <c r="G41" s="3254">
        <f>(I41*46/100)</f>
        <v>4025</v>
      </c>
      <c r="H41" s="3254">
        <f>(I41*54/100)</f>
        <v>4725</v>
      </c>
      <c r="I41" s="3254">
        <v>8750</v>
      </c>
      <c r="J41" s="3254">
        <f>(L41*46/100)</f>
        <v>0</v>
      </c>
      <c r="K41" s="3254">
        <f>(L41*54/100)</f>
        <v>0</v>
      </c>
      <c r="L41" s="3254">
        <v>0</v>
      </c>
      <c r="M41" s="3254">
        <f>(O41*46/100)</f>
        <v>575</v>
      </c>
      <c r="N41" s="3254">
        <f>(O41*54/100)</f>
        <v>675</v>
      </c>
      <c r="O41" s="3254">
        <f>'[111]Q3F-2013-14'!N36+'[111]Q4F-2013-14'!N41</f>
        <v>1250</v>
      </c>
      <c r="P41" s="3254">
        <f>(R41*46/100)</f>
        <v>3450</v>
      </c>
      <c r="Q41" s="3254">
        <f>(R41*54/100)</f>
        <v>4050</v>
      </c>
      <c r="R41" s="3254">
        <f>(I41+L41-O41)</f>
        <v>7500</v>
      </c>
      <c r="S41" s="3254">
        <v>239.49</v>
      </c>
      <c r="T41" s="3255">
        <v>281.14999999999998</v>
      </c>
      <c r="U41" s="3254">
        <f>+'[111]Q3F-2013-14'!T36+'[111]Q4F-2013-14'!T41</f>
        <v>520.64074000000005</v>
      </c>
    </row>
    <row r="42" spans="1:23" ht="21" thickBot="1">
      <c r="A42" s="3256">
        <v>8</v>
      </c>
      <c r="B42" s="3256" t="s">
        <v>955</v>
      </c>
      <c r="C42" s="3257" t="s">
        <v>2538</v>
      </c>
      <c r="D42" s="3258" t="s">
        <v>956</v>
      </c>
      <c r="E42" s="3250" t="s">
        <v>957</v>
      </c>
      <c r="F42" s="3243" t="s">
        <v>958</v>
      </c>
      <c r="G42" s="3259">
        <f>(I42)</f>
        <v>143.62</v>
      </c>
      <c r="H42" s="3227">
        <v>0</v>
      </c>
      <c r="I42" s="3260">
        <v>143.62</v>
      </c>
      <c r="J42" s="3227">
        <f>(L42)</f>
        <v>0</v>
      </c>
      <c r="K42" s="3227">
        <v>0</v>
      </c>
      <c r="L42" s="3183">
        <v>0</v>
      </c>
      <c r="M42" s="3227">
        <f>(O42)</f>
        <v>15.97</v>
      </c>
      <c r="N42" s="3227">
        <v>0</v>
      </c>
      <c r="O42" s="3254">
        <f>'[111]Q4F-2013-14'!N42</f>
        <v>15.97</v>
      </c>
      <c r="P42" s="3227">
        <f>(R42)</f>
        <v>127.65</v>
      </c>
      <c r="Q42" s="3227">
        <v>0</v>
      </c>
      <c r="R42" s="3183">
        <f>(I42+L42-O42)</f>
        <v>127.65</v>
      </c>
      <c r="S42" s="3227">
        <f>+U42</f>
        <v>20.466570000000001</v>
      </c>
      <c r="T42" s="3261">
        <v>0</v>
      </c>
      <c r="U42" s="3254">
        <f>+'[111]Q4F-2013-14'!T42</f>
        <v>20.466570000000001</v>
      </c>
    </row>
    <row r="43" spans="1:23" ht="21" thickBot="1">
      <c r="A43" s="3256">
        <v>9</v>
      </c>
      <c r="B43" s="3256" t="s">
        <v>959</v>
      </c>
      <c r="C43" s="3257" t="s">
        <v>2538</v>
      </c>
      <c r="D43" s="3168" t="s">
        <v>960</v>
      </c>
      <c r="E43" s="3250" t="s">
        <v>961</v>
      </c>
      <c r="F43" s="3243" t="s">
        <v>962</v>
      </c>
      <c r="G43" s="3259">
        <f>(I43)</f>
        <v>3798.5</v>
      </c>
      <c r="H43" s="3227">
        <v>0</v>
      </c>
      <c r="I43" s="3262">
        <v>3798.5</v>
      </c>
      <c r="J43" s="3227">
        <f>(L43)</f>
        <v>0</v>
      </c>
      <c r="K43" s="3227">
        <v>0</v>
      </c>
      <c r="L43" s="3183">
        <v>0</v>
      </c>
      <c r="M43" s="3227">
        <f>(O43)</f>
        <v>1350.3376000000001</v>
      </c>
      <c r="N43" s="3227">
        <v>0</v>
      </c>
      <c r="O43" s="3254">
        <f>'[111]Q4F-2013-14'!N43</f>
        <v>1350.3376000000001</v>
      </c>
      <c r="P43" s="3227">
        <f>(R43)</f>
        <v>2448.1624000000002</v>
      </c>
      <c r="Q43" s="3227">
        <v>0</v>
      </c>
      <c r="R43" s="3183">
        <f>(I43+L43-O43)</f>
        <v>2448.1624000000002</v>
      </c>
      <c r="S43" s="3227">
        <f>(U43)</f>
        <v>265.17347999999998</v>
      </c>
      <c r="T43" s="3261">
        <v>0</v>
      </c>
      <c r="U43" s="3254">
        <f>+'[111]Q4F-2013-14'!T43</f>
        <v>265.17347999999998</v>
      </c>
    </row>
    <row r="44" spans="1:23" ht="21" thickBot="1">
      <c r="A44" s="3256">
        <v>10</v>
      </c>
      <c r="B44" s="3256" t="s">
        <v>963</v>
      </c>
      <c r="C44" s="3257"/>
      <c r="D44" s="3258" t="s">
        <v>964</v>
      </c>
      <c r="E44" s="3263" t="s">
        <v>965</v>
      </c>
      <c r="F44" s="3264" t="s">
        <v>966</v>
      </c>
      <c r="G44" s="3227">
        <v>0</v>
      </c>
      <c r="H44" s="3227">
        <f>(I44)</f>
        <v>7461.4884999999977</v>
      </c>
      <c r="I44" s="3262">
        <v>7461.4884999999977</v>
      </c>
      <c r="J44" s="3227">
        <v>0</v>
      </c>
      <c r="K44" s="3227">
        <f>(L44)</f>
        <v>0</v>
      </c>
      <c r="L44" s="3183">
        <v>0</v>
      </c>
      <c r="M44" s="3227">
        <v>0</v>
      </c>
      <c r="N44" s="3227">
        <f>O44</f>
        <v>226.10575</v>
      </c>
      <c r="O44" s="3254">
        <f>'[111]Q4F-2013-14'!N44</f>
        <v>226.10575</v>
      </c>
      <c r="P44" s="3227">
        <v>0</v>
      </c>
      <c r="Q44" s="3227">
        <f>(R44)</f>
        <v>7235.3827499999979</v>
      </c>
      <c r="R44" s="3183">
        <f>(I44+L44-O44)</f>
        <v>7235.3827499999979</v>
      </c>
      <c r="S44" s="3227">
        <v>0</v>
      </c>
      <c r="T44" s="3261">
        <f>(U44)</f>
        <v>285.83</v>
      </c>
      <c r="U44" s="3254">
        <f>+'[111]Q4F-2013-14'!T44</f>
        <v>285.83</v>
      </c>
    </row>
    <row r="45" spans="1:23" s="4428" customFormat="1" ht="21" thickBot="1">
      <c r="A45" s="4420">
        <v>11</v>
      </c>
      <c r="B45" s="4420" t="s">
        <v>967</v>
      </c>
      <c r="C45" s="4421" t="s">
        <v>2705</v>
      </c>
      <c r="D45" s="4422">
        <v>0.1</v>
      </c>
      <c r="E45" s="4423" t="s">
        <v>968</v>
      </c>
      <c r="F45" s="4424" t="s">
        <v>969</v>
      </c>
      <c r="G45" s="4425">
        <f>I45</f>
        <v>80000</v>
      </c>
      <c r="H45" s="4425">
        <v>0</v>
      </c>
      <c r="I45" s="4426">
        <v>80000</v>
      </c>
      <c r="J45" s="4425">
        <f>+L45</f>
        <v>80000</v>
      </c>
      <c r="K45" s="4425">
        <v>0</v>
      </c>
      <c r="L45" s="4426">
        <v>80000</v>
      </c>
      <c r="M45" s="4425">
        <v>0</v>
      </c>
      <c r="N45" s="4425">
        <f>(O45)</f>
        <v>0</v>
      </c>
      <c r="O45" s="4427">
        <f>'[111]Q4F-2013-14'!N45</f>
        <v>0</v>
      </c>
      <c r="P45" s="4426">
        <f>+R45</f>
        <v>160000</v>
      </c>
      <c r="Q45" s="4426">
        <v>0</v>
      </c>
      <c r="R45" s="4426">
        <f>(I45+L45-O45)</f>
        <v>160000</v>
      </c>
      <c r="S45" s="4425">
        <f>+U45</f>
        <v>8602.8633499999996</v>
      </c>
      <c r="T45" s="4425">
        <v>0</v>
      </c>
      <c r="U45" s="4427">
        <f>+'[111]Q3F-2013-14'!T40+'[111]Q4F-2013-14'!T45</f>
        <v>8602.8633499999996</v>
      </c>
    </row>
    <row r="46" spans="1:23" ht="21" thickBot="1">
      <c r="A46" s="3177"/>
      <c r="B46" s="3267" t="s">
        <v>970</v>
      </c>
      <c r="C46" s="3268"/>
      <c r="D46" s="3243"/>
      <c r="E46" s="3250"/>
      <c r="F46" s="3168"/>
      <c r="G46" s="3227">
        <f t="shared" ref="G46:U46" si="12">SUM(G41:G45)</f>
        <v>87967.12</v>
      </c>
      <c r="H46" s="3227">
        <f t="shared" si="12"/>
        <v>12186.488499999998</v>
      </c>
      <c r="I46" s="3227">
        <f t="shared" si="12"/>
        <v>100153.6085</v>
      </c>
      <c r="J46" s="3227">
        <f t="shared" si="12"/>
        <v>80000</v>
      </c>
      <c r="K46" s="3227">
        <f t="shared" si="12"/>
        <v>0</v>
      </c>
      <c r="L46" s="3227">
        <f t="shared" si="12"/>
        <v>80000</v>
      </c>
      <c r="M46" s="3227">
        <f t="shared" si="12"/>
        <v>1941.3076000000001</v>
      </c>
      <c r="N46" s="3227">
        <f t="shared" si="12"/>
        <v>901.10574999999994</v>
      </c>
      <c r="O46" s="3227">
        <f t="shared" si="12"/>
        <v>2842.4133500000003</v>
      </c>
      <c r="P46" s="3227">
        <f t="shared" si="12"/>
        <v>166025.8124</v>
      </c>
      <c r="Q46" s="3227">
        <f t="shared" si="12"/>
        <v>11285.382749999997</v>
      </c>
      <c r="R46" s="3227">
        <f t="shared" si="12"/>
        <v>177311.19514999999</v>
      </c>
      <c r="S46" s="3227">
        <f t="shared" si="12"/>
        <v>9127.9933999999994</v>
      </c>
      <c r="T46" s="3227">
        <f t="shared" si="12"/>
        <v>566.98</v>
      </c>
      <c r="U46" s="3227">
        <f t="shared" si="12"/>
        <v>9694.9741400000003</v>
      </c>
    </row>
    <row r="47" spans="1:23" ht="24" thickBot="1">
      <c r="A47" s="3177"/>
      <c r="B47" s="3267" t="s">
        <v>2706</v>
      </c>
      <c r="C47" s="3268"/>
      <c r="D47" s="3243"/>
      <c r="E47" s="3250"/>
      <c r="F47" s="3168"/>
      <c r="G47" s="3227">
        <f t="shared" ref="G47:U47" si="13">(G38+G46)</f>
        <v>91706.62</v>
      </c>
      <c r="H47" s="3227">
        <f t="shared" si="13"/>
        <v>104631.98849999999</v>
      </c>
      <c r="I47" s="3227">
        <f t="shared" si="13"/>
        <v>196338.6085</v>
      </c>
      <c r="J47" s="3227">
        <f t="shared" si="13"/>
        <v>86600</v>
      </c>
      <c r="K47" s="3227">
        <f t="shared" si="13"/>
        <v>95800</v>
      </c>
      <c r="L47" s="3227">
        <f t="shared" si="13"/>
        <v>182400</v>
      </c>
      <c r="M47" s="3227">
        <f t="shared" si="13"/>
        <v>6795.0933142857139</v>
      </c>
      <c r="N47" s="3227">
        <f t="shared" si="13"/>
        <v>94592.320035714292</v>
      </c>
      <c r="O47" s="3227">
        <f t="shared" si="13"/>
        <v>101387.41335</v>
      </c>
      <c r="P47" s="3227">
        <f t="shared" si="13"/>
        <v>171511.52668571429</v>
      </c>
      <c r="Q47" s="3227">
        <f t="shared" si="13"/>
        <v>105839.6684642857</v>
      </c>
      <c r="R47" s="3227">
        <f t="shared" si="13"/>
        <v>277351.19514999999</v>
      </c>
      <c r="S47" s="3227">
        <f t="shared" si="13"/>
        <v>9270.5433999999987</v>
      </c>
      <c r="T47" s="3261">
        <f t="shared" si="13"/>
        <v>4479.2667100000008</v>
      </c>
      <c r="U47" s="3227">
        <f t="shared" si="13"/>
        <v>13749.81156</v>
      </c>
    </row>
    <row r="48" spans="1:23" ht="15.75" thickBot="1">
      <c r="C48" s="3269"/>
    </row>
    <row r="49" spans="1:22" ht="24" thickBot="1">
      <c r="A49" s="3270"/>
      <c r="B49" s="3271" t="s">
        <v>2707</v>
      </c>
      <c r="C49" s="3272" t="s">
        <v>2705</v>
      </c>
      <c r="D49" s="3271"/>
      <c r="E49" s="3273"/>
      <c r="F49" s="3273"/>
      <c r="G49" s="3273"/>
      <c r="H49" s="3273"/>
      <c r="I49" s="3273"/>
      <c r="J49" s="3273"/>
      <c r="K49" s="3273"/>
      <c r="L49" s="3273"/>
      <c r="M49" s="3273"/>
      <c r="N49" s="3273"/>
      <c r="O49" s="3273"/>
      <c r="P49" s="3273"/>
      <c r="Q49" s="3273"/>
      <c r="R49" s="3273"/>
      <c r="S49" s="3292">
        <v>752.55</v>
      </c>
      <c r="T49" s="3272">
        <v>599.79999999999995</v>
      </c>
      <c r="U49" s="3272">
        <f>+S49+T49</f>
        <v>1352.35</v>
      </c>
      <c r="V49" s="3293"/>
    </row>
    <row r="52" spans="1:22" ht="18.75">
      <c r="Q52" s="911">
        <f>S41+S45+S49</f>
        <v>9594.9033499999987</v>
      </c>
      <c r="S52" s="3275"/>
    </row>
    <row r="53" spans="1:22">
      <c r="B53" s="247" t="s">
        <v>2710</v>
      </c>
    </row>
    <row r="54" spans="1:22">
      <c r="B54" s="247"/>
    </row>
    <row r="55" spans="1:22">
      <c r="B55" s="247" t="s">
        <v>2711</v>
      </c>
    </row>
  </sheetData>
  <mergeCells count="19">
    <mergeCell ref="A33:A35"/>
    <mergeCell ref="B33:B35"/>
    <mergeCell ref="A36:A37"/>
    <mergeCell ref="B36:B37"/>
    <mergeCell ref="A5:A12"/>
    <mergeCell ref="B5:B12"/>
    <mergeCell ref="A14:A25"/>
    <mergeCell ref="B14:B25"/>
    <mergeCell ref="A26:A32"/>
    <mergeCell ref="B26:B32"/>
    <mergeCell ref="A1:U1"/>
    <mergeCell ref="A2:A3"/>
    <mergeCell ref="B2:B3"/>
    <mergeCell ref="E2:F2"/>
    <mergeCell ref="G2:I2"/>
    <mergeCell ref="J2:L2"/>
    <mergeCell ref="M2:O2"/>
    <mergeCell ref="P2:R2"/>
    <mergeCell ref="S2:U2"/>
  </mergeCells>
  <pageMargins left="0.23" right="0.17" top="0.74803149606299202" bottom="0.74803149606299202" header="0.31496062992126" footer="0.31496062992126"/>
  <pageSetup paperSize="9" scale="43" orientation="landscape" horizontalDpi="180" verticalDpi="180" r:id="rId1"/>
</worksheet>
</file>

<file path=xl/worksheets/sheet107.xml><?xml version="1.0" encoding="utf-8"?>
<worksheet xmlns="http://schemas.openxmlformats.org/spreadsheetml/2006/main" xmlns:r="http://schemas.openxmlformats.org/officeDocument/2006/relationships">
  <sheetPr codeName="Sheet86"/>
  <dimension ref="A1:J34"/>
  <sheetViews>
    <sheetView showGridLines="0" topLeftCell="A16" workbookViewId="0">
      <selection activeCell="F28" sqref="F28:G28"/>
    </sheetView>
  </sheetViews>
  <sheetFormatPr defaultRowHeight="15"/>
  <cols>
    <col min="2" max="2" width="33" customWidth="1"/>
    <col min="3" max="3" width="27" customWidth="1"/>
    <col min="4" max="4" width="33.28515625" customWidth="1"/>
    <col min="5" max="5" width="14.42578125" customWidth="1"/>
    <col min="7" max="7" width="19.5703125" customWidth="1"/>
  </cols>
  <sheetData>
    <row r="1" spans="1:9" ht="15.75" thickBot="1"/>
    <row r="2" spans="1:9" ht="15.75" thickBot="1">
      <c r="B2" s="6201" t="s">
        <v>2576</v>
      </c>
      <c r="C2" s="6202"/>
      <c r="D2" s="6203"/>
    </row>
    <row r="3" spans="1:9">
      <c r="E3" s="2073" t="s">
        <v>151</v>
      </c>
    </row>
    <row r="4" spans="1:9">
      <c r="A4" s="1915" t="s">
        <v>101</v>
      </c>
      <c r="B4" s="1963" t="s">
        <v>491</v>
      </c>
      <c r="C4" s="1915" t="s">
        <v>2525</v>
      </c>
      <c r="D4" s="1915" t="s">
        <v>2526</v>
      </c>
      <c r="E4" s="1912" t="s">
        <v>2524</v>
      </c>
      <c r="F4" s="6118" t="s">
        <v>2577</v>
      </c>
      <c r="G4" s="6118"/>
    </row>
    <row r="5" spans="1:9" ht="43.5">
      <c r="A5" s="1784">
        <v>1</v>
      </c>
      <c r="B5" s="1017" t="s">
        <v>2573</v>
      </c>
      <c r="C5" s="1355">
        <f>'PP FY 2013-14 '!G25-'PP FY 2013-14 '!G18</f>
        <v>2930.241144073083</v>
      </c>
      <c r="D5" s="1355">
        <f>'E2_2013-14'!F12/10^7</f>
        <v>2931.5053938000001</v>
      </c>
      <c r="E5" s="2172">
        <f>C5-D5</f>
        <v>-1.2642497269171145</v>
      </c>
      <c r="F5" s="6117"/>
      <c r="G5" s="6117"/>
      <c r="I5" s="2171"/>
    </row>
    <row r="6" spans="1:9">
      <c r="A6" s="1917" t="s">
        <v>2563</v>
      </c>
      <c r="B6" s="1022" t="s">
        <v>2562</v>
      </c>
      <c r="C6" s="1355">
        <f>'PP FY 2013-14 '!G16</f>
        <v>2.5205480299999996</v>
      </c>
      <c r="D6" s="5947">
        <f>'E2_2013-14'!E10/10^7</f>
        <v>80.277752899999996</v>
      </c>
      <c r="E6" s="5950">
        <f>D6-(SUM(C6:C9))</f>
        <v>-2.1077951310000032</v>
      </c>
      <c r="F6" s="6128"/>
      <c r="G6" s="6129"/>
    </row>
    <row r="7" spans="1:9">
      <c r="A7" s="1917" t="s">
        <v>2564</v>
      </c>
      <c r="B7" s="1022" t="s">
        <v>99</v>
      </c>
      <c r="C7" s="1355">
        <f>'PP FY 2013-14 '!G14</f>
        <v>0</v>
      </c>
      <c r="D7" s="5948"/>
      <c r="E7" s="5951"/>
      <c r="F7" s="6130"/>
      <c r="G7" s="6131"/>
    </row>
    <row r="8" spans="1:9">
      <c r="A8" s="1917" t="s">
        <v>2566</v>
      </c>
      <c r="B8" s="1022" t="s">
        <v>2013</v>
      </c>
      <c r="C8" s="1355">
        <f>'PP FY 2013-14 '!G13</f>
        <v>78.592800001000001</v>
      </c>
      <c r="D8" s="5948"/>
      <c r="E8" s="5951"/>
      <c r="F8" s="6130"/>
      <c r="G8" s="6131"/>
    </row>
    <row r="9" spans="1:9">
      <c r="A9" s="1917" t="s">
        <v>2565</v>
      </c>
      <c r="B9" s="1022" t="s">
        <v>743</v>
      </c>
      <c r="C9" s="1355">
        <f>'PP FY 2013-14 '!G18</f>
        <v>1.2721999999999998</v>
      </c>
      <c r="D9" s="5949"/>
      <c r="E9" s="5952"/>
      <c r="F9" s="6132"/>
      <c r="G9" s="6133"/>
    </row>
    <row r="10" spans="1:9">
      <c r="A10" s="1895">
        <f>A5+1</f>
        <v>2</v>
      </c>
      <c r="B10" s="1022" t="s">
        <v>2497</v>
      </c>
      <c r="C10" s="6198"/>
      <c r="D10" s="6199"/>
      <c r="E10" s="6199"/>
      <c r="F10" s="6199"/>
      <c r="G10" s="6200"/>
    </row>
    <row r="11" spans="1:9">
      <c r="A11" s="1895" t="s">
        <v>2542</v>
      </c>
      <c r="B11" s="2822" t="s">
        <v>179</v>
      </c>
      <c r="C11" s="1355">
        <f>'O&amp;M Expenses 2013-14'!E27</f>
        <v>359.49</v>
      </c>
      <c r="D11" s="1355">
        <f>'E2_2013-14'!F15/10^7</f>
        <v>359.49510270000002</v>
      </c>
      <c r="E11" s="2172">
        <f>C11-D11</f>
        <v>-5.1027000000090084E-3</v>
      </c>
      <c r="F11" s="6117"/>
      <c r="G11" s="6117"/>
    </row>
    <row r="12" spans="1:9">
      <c r="A12" s="1895" t="s">
        <v>2543</v>
      </c>
      <c r="B12" s="2822" t="s">
        <v>2498</v>
      </c>
      <c r="C12" s="1355">
        <f>'O&amp;M Expenses 2013-14'!D56</f>
        <v>100.75000000000001</v>
      </c>
      <c r="D12" s="1355">
        <f>('E2_2013-14'!F16+'E2_2013-14'!F18+'E2_2013-14'!F19+'E2_2013-14'!F22+'E2_2013-14'!F25+'E2_2013-14'!F28)/10^7</f>
        <v>99.6797021</v>
      </c>
      <c r="E12" s="2172">
        <f>C12-D12</f>
        <v>1.0702979000000141</v>
      </c>
      <c r="F12" s="6117"/>
      <c r="G12" s="6117"/>
    </row>
    <row r="13" spans="1:9">
      <c r="A13" s="1917" t="s">
        <v>2546</v>
      </c>
      <c r="B13" s="2822" t="s">
        <v>2499</v>
      </c>
      <c r="C13" s="1355">
        <f>'O&amp;M Expenses 2013-14'!E90</f>
        <v>41.31</v>
      </c>
      <c r="D13" s="1355">
        <f>'E2_2013-14'!F21/10^7</f>
        <v>46.9847222</v>
      </c>
      <c r="E13" s="2172">
        <f t="shared" ref="E13:E34" si="0">C13-D13</f>
        <v>-5.6747221999999979</v>
      </c>
      <c r="F13" s="6117"/>
      <c r="G13" s="6117"/>
    </row>
    <row r="14" spans="1:9">
      <c r="A14" s="1895">
        <v>3</v>
      </c>
      <c r="B14" s="2822" t="s">
        <v>240</v>
      </c>
      <c r="C14" s="1355">
        <f>'Depreciation 2013-14'!P63/10^7</f>
        <v>96.5263776340596</v>
      </c>
      <c r="D14" s="1355">
        <f>'E2_2013-14'!F27/10^7</f>
        <v>96.526377600000004</v>
      </c>
      <c r="E14" s="1355">
        <f t="shared" si="0"/>
        <v>3.4059596032420814E-8</v>
      </c>
      <c r="F14" s="6117"/>
      <c r="G14" s="6117"/>
    </row>
    <row r="15" spans="1:9">
      <c r="A15" s="1895">
        <f t="shared" ref="A15:A23" si="1">A14+1</f>
        <v>4</v>
      </c>
      <c r="B15" s="2822" t="s">
        <v>187</v>
      </c>
      <c r="C15" s="1355">
        <f>C16+C17</f>
        <v>139.70999999999998</v>
      </c>
      <c r="D15" s="1355">
        <f>'E2_2013-14'!F30/10^7</f>
        <v>139.7107972</v>
      </c>
      <c r="E15" s="1355">
        <f t="shared" si="0"/>
        <v>-7.9720000002225788E-4</v>
      </c>
      <c r="F15" s="6117"/>
      <c r="G15" s="6117"/>
    </row>
    <row r="16" spans="1:9">
      <c r="A16" s="1895" t="s">
        <v>2544</v>
      </c>
      <c r="B16" s="2822" t="s">
        <v>2500</v>
      </c>
      <c r="C16" s="1355">
        <f>'LoanDetails2013-14'!G27</f>
        <v>7.29</v>
      </c>
      <c r="D16" s="1355"/>
      <c r="E16" s="1355"/>
      <c r="F16" s="6117"/>
      <c r="G16" s="6117"/>
    </row>
    <row r="17" spans="1:10">
      <c r="A17" s="1895" t="s">
        <v>2545</v>
      </c>
      <c r="B17" s="2822" t="s">
        <v>972</v>
      </c>
      <c r="C17" s="1355">
        <f>'Working Capital 2013-14'!G16</f>
        <v>132.41999999999999</v>
      </c>
      <c r="D17" s="1356" t="e">
        <f>#REF!</f>
        <v>#REF!</v>
      </c>
      <c r="E17" s="1355" t="e">
        <f t="shared" si="0"/>
        <v>#REF!</v>
      </c>
      <c r="F17" s="6196" t="s">
        <v>2574</v>
      </c>
      <c r="G17" s="6197"/>
    </row>
    <row r="18" spans="1:10">
      <c r="A18" s="1895">
        <v>5</v>
      </c>
      <c r="B18" s="2822" t="s">
        <v>2501</v>
      </c>
      <c r="C18" s="1355">
        <f>'WC FY 2013-14'!D10*9%</f>
        <v>22.726800000000001</v>
      </c>
      <c r="D18" s="5947">
        <f>'E2_2013-14'!F24/10^7</f>
        <v>121.758145</v>
      </c>
      <c r="E18" s="5947">
        <f>D18-(SUM(C18:C20))</f>
        <v>2.321345000000008</v>
      </c>
      <c r="F18" s="6117"/>
      <c r="G18" s="6117"/>
    </row>
    <row r="19" spans="1:10">
      <c r="A19" s="1895">
        <f t="shared" si="1"/>
        <v>6</v>
      </c>
      <c r="B19" s="2823" t="s">
        <v>205</v>
      </c>
      <c r="C19" s="1355">
        <f>'BadDebt13-14'!F5</f>
        <v>6.5</v>
      </c>
      <c r="D19" s="5948"/>
      <c r="E19" s="5948"/>
      <c r="F19" s="6117"/>
      <c r="G19" s="6117"/>
      <c r="I19" s="1921"/>
    </row>
    <row r="20" spans="1:10">
      <c r="A20" s="1895">
        <f t="shared" si="1"/>
        <v>7</v>
      </c>
      <c r="B20" s="2823" t="s">
        <v>668</v>
      </c>
      <c r="C20" s="1355">
        <f>'F7 '!H18</f>
        <v>90.21</v>
      </c>
      <c r="D20" s="5949"/>
      <c r="E20" s="5949"/>
      <c r="F20" s="6117"/>
      <c r="G20" s="6117"/>
      <c r="I20" s="1660"/>
    </row>
    <row r="21" spans="1:10">
      <c r="A21" s="1895">
        <f t="shared" si="1"/>
        <v>8</v>
      </c>
      <c r="B21" s="1919" t="s">
        <v>207</v>
      </c>
      <c r="C21" s="1355">
        <v>0</v>
      </c>
      <c r="D21" s="1355">
        <v>0</v>
      </c>
      <c r="E21" s="1355">
        <f t="shared" si="0"/>
        <v>0</v>
      </c>
      <c r="F21" s="6117"/>
      <c r="G21" s="6117"/>
    </row>
    <row r="22" spans="1:10" ht="30">
      <c r="A22" s="1895">
        <f t="shared" si="1"/>
        <v>9</v>
      </c>
      <c r="B22" s="1919" t="s">
        <v>669</v>
      </c>
      <c r="C22" s="1355">
        <f>'PP FY 2013-14 '!G19</f>
        <v>113.27043519999999</v>
      </c>
      <c r="D22" s="1355">
        <f>'E2_2013-14'!E12/10^7</f>
        <v>113.2699999</v>
      </c>
      <c r="E22" s="1355">
        <f t="shared" si="0"/>
        <v>4.3529999999236679E-4</v>
      </c>
      <c r="F22" s="6117"/>
      <c r="G22" s="6117"/>
    </row>
    <row r="23" spans="1:10" ht="30">
      <c r="A23" s="1895">
        <f t="shared" si="1"/>
        <v>10</v>
      </c>
      <c r="B23" s="1919" t="s">
        <v>670</v>
      </c>
      <c r="C23" s="1355">
        <f>'PP FY 2013-14 '!G17</f>
        <v>341.52</v>
      </c>
      <c r="D23" s="1355">
        <f>'E2_2013-14'!E11/10^7</f>
        <v>341.52</v>
      </c>
      <c r="E23" s="1355">
        <f t="shared" si="0"/>
        <v>0</v>
      </c>
      <c r="F23" s="6117"/>
      <c r="G23" s="6117"/>
      <c r="J23" s="2173"/>
    </row>
    <row r="24" spans="1:10" ht="28.5">
      <c r="A24" s="1895">
        <f>A23+1</f>
        <v>11</v>
      </c>
      <c r="B24" s="2823" t="s">
        <v>208</v>
      </c>
      <c r="C24" s="1355">
        <v>4.8899999999999997</v>
      </c>
      <c r="D24" s="1355">
        <f>'E2_2013-14'!F34/10^7</f>
        <v>4.8928959000000001</v>
      </c>
      <c r="E24" s="1355">
        <f t="shared" si="0"/>
        <v>-2.8959000000003954E-3</v>
      </c>
      <c r="F24" s="6117"/>
      <c r="G24" s="6117"/>
      <c r="J24" s="2173"/>
    </row>
    <row r="25" spans="1:10">
      <c r="A25" s="1895">
        <f>A24+1</f>
        <v>12</v>
      </c>
      <c r="B25" s="2824" t="s">
        <v>2437</v>
      </c>
      <c r="C25" s="6193"/>
      <c r="D25" s="6194"/>
      <c r="E25" s="6195"/>
      <c r="F25" s="6117"/>
      <c r="G25" s="6117"/>
      <c r="J25" s="155"/>
    </row>
    <row r="26" spans="1:10">
      <c r="A26" s="1913" t="s">
        <v>2568</v>
      </c>
      <c r="B26" s="2" t="s">
        <v>1932</v>
      </c>
      <c r="C26" s="1355">
        <v>1961.51</v>
      </c>
      <c r="D26" s="1355">
        <f>(('E6 Summury_2013-14'!AD20/2)+'E6 Summury_2013-14'!AD34)/10^7</f>
        <v>1961.5101995499999</v>
      </c>
      <c r="E26" s="1355">
        <f t="shared" si="0"/>
        <v>-1.9954999993387901E-4</v>
      </c>
      <c r="F26" s="6117"/>
      <c r="G26" s="6117"/>
      <c r="J26" s="155"/>
    </row>
    <row r="27" spans="1:10">
      <c r="A27" s="1913" t="s">
        <v>2569</v>
      </c>
      <c r="B27" s="2" t="s">
        <v>2140</v>
      </c>
      <c r="C27" s="1355">
        <f>'Capitalisation 2013-14'!F33</f>
        <v>99.95</v>
      </c>
      <c r="D27" s="1355">
        <f>(('E6 Summury_2013-14'!AG20/2)+('E6 Summury_2013-14'!AG34))/10^7-(0.73+0.83)</f>
        <v>99.945659300000003</v>
      </c>
      <c r="E27" s="2172">
        <f t="shared" si="0"/>
        <v>4.3407000000001972E-3</v>
      </c>
      <c r="F27" s="6196" t="s">
        <v>2575</v>
      </c>
      <c r="G27" s="6197"/>
      <c r="H27" s="911"/>
    </row>
    <row r="28" spans="1:10">
      <c r="A28" s="1913" t="s">
        <v>2570</v>
      </c>
      <c r="B28" s="2" t="s">
        <v>2488</v>
      </c>
      <c r="C28" s="1355"/>
      <c r="D28" s="1355">
        <f>(('E6 Summury_2013-14'!AH20/2)+('E6 Summury_2013-14'!AH34))/10^7</f>
        <v>15.203106050000001</v>
      </c>
      <c r="E28" s="2172">
        <f t="shared" si="0"/>
        <v>-15.203106050000001</v>
      </c>
      <c r="F28" s="6117"/>
      <c r="G28" s="6117"/>
    </row>
    <row r="29" spans="1:10">
      <c r="A29" s="1913" t="s">
        <v>2571</v>
      </c>
      <c r="B29" s="2" t="s">
        <v>2541</v>
      </c>
      <c r="C29" s="1355"/>
      <c r="D29" s="2172">
        <f>'E6 Summury_2013-14'!AI34/10^7</f>
        <v>-10.58</v>
      </c>
      <c r="E29" s="2172"/>
      <c r="F29" s="6117"/>
      <c r="G29" s="6117"/>
    </row>
    <row r="30" spans="1:10">
      <c r="A30" s="1913" t="s">
        <v>2572</v>
      </c>
      <c r="B30" s="2" t="s">
        <v>2489</v>
      </c>
      <c r="C30" s="1355"/>
      <c r="D30" s="1355">
        <f>(('E6 Summury_2013-14'!AJ20/2)+('E6 Summury_2013-14'!AJ34))/10^7</f>
        <v>2037.2327528000001</v>
      </c>
      <c r="E30" s="2172"/>
      <c r="F30" s="6117"/>
      <c r="G30" s="6117"/>
    </row>
    <row r="31" spans="1:10">
      <c r="A31" s="1896">
        <f>A25+1</f>
        <v>13</v>
      </c>
      <c r="B31" s="2" t="s">
        <v>1124</v>
      </c>
      <c r="C31" s="1355">
        <v>63.99</v>
      </c>
      <c r="D31" s="1355">
        <f>('E2_2013-14'!K20+'E2_2013-14'!K26)/10^7</f>
        <v>63.971479899999999</v>
      </c>
      <c r="E31" s="2172">
        <f t="shared" si="0"/>
        <v>1.8520100000003481E-2</v>
      </c>
      <c r="F31" s="6117"/>
      <c r="G31" s="6117"/>
    </row>
    <row r="32" spans="1:10">
      <c r="A32" s="1913">
        <f>A31+1</f>
        <v>14</v>
      </c>
      <c r="B32" s="2074" t="s">
        <v>2560</v>
      </c>
      <c r="C32" s="1355">
        <f>'Revenue 2013-14'!N117/10^7</f>
        <v>3876.4969516137107</v>
      </c>
      <c r="D32" s="1355">
        <f>('E2_2013-14'!K9+'E2_2013-14'!K11)/10^7</f>
        <v>3886.0611250000002</v>
      </c>
      <c r="E32" s="2172"/>
      <c r="F32" s="6117"/>
      <c r="G32" s="6117"/>
    </row>
    <row r="33" spans="1:7">
      <c r="A33" s="1913">
        <f>A32+1</f>
        <v>15</v>
      </c>
      <c r="B33" s="2074" t="s">
        <v>2561</v>
      </c>
      <c r="C33" s="1355"/>
      <c r="D33" s="1355">
        <f>('AnnexureB_2013-14'!G14+'AnnexureB_2013-14'!G32+'AnnexureB_2013-14'!G57+'AnnexureB_2013-14'!G75)/10^7</f>
        <v>13.716359000000001</v>
      </c>
      <c r="E33" s="2172"/>
      <c r="F33" s="6117"/>
      <c r="G33" s="6117"/>
    </row>
    <row r="34" spans="1:7">
      <c r="A34" s="1913">
        <f>A33+1</f>
        <v>16</v>
      </c>
      <c r="B34" s="2074" t="s">
        <v>2567</v>
      </c>
      <c r="C34" s="1355">
        <f>C32</f>
        <v>3876.4969516137107</v>
      </c>
      <c r="D34" s="1355">
        <f>D32-D33</f>
        <v>3872.3447660000002</v>
      </c>
      <c r="E34" s="2172">
        <f t="shared" si="0"/>
        <v>4.1521856137105715</v>
      </c>
      <c r="F34" s="6117"/>
      <c r="G34" s="6117"/>
    </row>
  </sheetData>
  <mergeCells count="34">
    <mergeCell ref="F34:G34"/>
    <mergeCell ref="F6:G9"/>
    <mergeCell ref="C10:G10"/>
    <mergeCell ref="B2:D2"/>
    <mergeCell ref="F29:G29"/>
    <mergeCell ref="F30:G30"/>
    <mergeCell ref="F31:G31"/>
    <mergeCell ref="F32:G32"/>
    <mergeCell ref="F33:G33"/>
    <mergeCell ref="F24:G24"/>
    <mergeCell ref="F25:G25"/>
    <mergeCell ref="F26:G26"/>
    <mergeCell ref="F27:G27"/>
    <mergeCell ref="F28:G28"/>
    <mergeCell ref="F19:G19"/>
    <mergeCell ref="F20:G20"/>
    <mergeCell ref="F21:G21"/>
    <mergeCell ref="F22:G22"/>
    <mergeCell ref="F23:G23"/>
    <mergeCell ref="F14:G14"/>
    <mergeCell ref="F15:G15"/>
    <mergeCell ref="F16:G16"/>
    <mergeCell ref="F17:G17"/>
    <mergeCell ref="F18:G18"/>
    <mergeCell ref="F11:G11"/>
    <mergeCell ref="F12:G12"/>
    <mergeCell ref="F13:G13"/>
    <mergeCell ref="F4:G4"/>
    <mergeCell ref="F5:G5"/>
    <mergeCell ref="D18:D20"/>
    <mergeCell ref="E18:E20"/>
    <mergeCell ref="C25:E25"/>
    <mergeCell ref="D6:D9"/>
    <mergeCell ref="E6:E9"/>
  </mergeCells>
  <pageMargins left="0.7" right="0.7" top="0.75" bottom="0.75" header="0.3" footer="0.3"/>
  <pageSetup paperSize="9" orientation="portrait" verticalDpi="0" r:id="rId1"/>
  <legacyDrawing r:id="rId2"/>
</worksheet>
</file>

<file path=xl/worksheets/sheet108.xml><?xml version="1.0" encoding="utf-8"?>
<worksheet xmlns="http://schemas.openxmlformats.org/spreadsheetml/2006/main" xmlns:r="http://schemas.openxmlformats.org/officeDocument/2006/relationships">
  <sheetPr codeName="Sheet87">
    <pageSetUpPr fitToPage="1"/>
  </sheetPr>
  <dimension ref="B1:AL57"/>
  <sheetViews>
    <sheetView showGridLines="0" view="pageBreakPreview" zoomScale="70" zoomScaleNormal="90" zoomScaleSheetLayoutView="70" workbookViewId="0">
      <selection activeCell="AH20" sqref="AH20"/>
    </sheetView>
  </sheetViews>
  <sheetFormatPr defaultRowHeight="15"/>
  <cols>
    <col min="1" max="1" width="1.140625" style="1109" customWidth="1"/>
    <col min="2" max="2" width="44.28515625" style="1109" customWidth="1"/>
    <col min="3" max="4" width="19.85546875" style="1109" hidden="1" customWidth="1"/>
    <col min="5" max="5" width="25.85546875" style="1109" hidden="1" customWidth="1"/>
    <col min="6" max="6" width="9.140625" style="1109" hidden="1" customWidth="1"/>
    <col min="7" max="7" width="3" style="1109" hidden="1" customWidth="1"/>
    <col min="8" max="8" width="18.140625" style="1109" hidden="1" customWidth="1"/>
    <col min="9" max="9" width="19.140625" style="1109" hidden="1" customWidth="1"/>
    <col min="10" max="10" width="20.7109375" style="1109" hidden="1" customWidth="1"/>
    <col min="11" max="11" width="18.5703125" style="1109" hidden="1" customWidth="1"/>
    <col min="12" max="12" width="26.42578125" style="1109" hidden="1" customWidth="1"/>
    <col min="13" max="13" width="0.7109375" style="1109" hidden="1" customWidth="1"/>
    <col min="14" max="14" width="4.140625" style="1109" hidden="1" customWidth="1"/>
    <col min="15" max="15" width="19.28515625" style="1109" hidden="1" customWidth="1"/>
    <col min="16" max="16" width="22.42578125" style="1109" hidden="1" customWidth="1"/>
    <col min="17" max="17" width="23.28515625" style="1109" hidden="1" customWidth="1"/>
    <col min="18" max="18" width="18.5703125" style="1109" hidden="1" customWidth="1"/>
    <col min="19" max="19" width="26.42578125" style="1109" hidden="1" customWidth="1"/>
    <col min="20" max="20" width="19.7109375" style="1109" hidden="1" customWidth="1"/>
    <col min="21" max="21" width="19.28515625" style="1109" hidden="1" customWidth="1"/>
    <col min="22" max="22" width="21.5703125" style="1109" hidden="1" customWidth="1"/>
    <col min="23" max="23" width="23.42578125" style="1109" hidden="1" customWidth="1"/>
    <col min="24" max="24" width="19.28515625" style="1109" hidden="1" customWidth="1"/>
    <col min="25" max="25" width="20.28515625" style="1109" hidden="1" customWidth="1"/>
    <col min="26" max="26" width="20.5703125" style="1109" hidden="1" customWidth="1"/>
    <col min="27" max="27" width="17.140625" style="1109" hidden="1" customWidth="1"/>
    <col min="28" max="28" width="17.28515625" style="1109" hidden="1" customWidth="1"/>
    <col min="29" max="29" width="0.42578125" style="1109" hidden="1" customWidth="1"/>
    <col min="30" max="30" width="18.5703125" style="1109" customWidth="1"/>
    <col min="31" max="31" width="20.28515625" style="1109" hidden="1" customWidth="1"/>
    <col min="32" max="32" width="22" style="1109" hidden="1" customWidth="1"/>
    <col min="33" max="33" width="15" style="1109" customWidth="1"/>
    <col min="34" max="34" width="18.28515625" style="1109" bestFit="1" customWidth="1"/>
    <col min="35" max="35" width="19.5703125" style="1109" bestFit="1" customWidth="1"/>
    <col min="36" max="36" width="18.140625" style="1109" bestFit="1" customWidth="1"/>
    <col min="37" max="37" width="21" style="1109" bestFit="1" customWidth="1"/>
    <col min="38" max="38" width="22.28515625" style="1109" bestFit="1" customWidth="1"/>
    <col min="39" max="256" width="9.140625" style="1109"/>
    <col min="257" max="257" width="1.140625" style="1109" customWidth="1"/>
    <col min="258" max="258" width="44.42578125" style="1109" customWidth="1"/>
    <col min="259" max="269" width="0" style="1109" hidden="1" customWidth="1"/>
    <col min="270" max="270" width="3" style="1109" customWidth="1"/>
    <col min="271" max="285" width="0" style="1109" hidden="1" customWidth="1"/>
    <col min="286" max="286" width="18.5703125" style="1109" customWidth="1"/>
    <col min="287" max="288" width="0" style="1109" hidden="1" customWidth="1"/>
    <col min="289" max="289" width="15" style="1109" customWidth="1"/>
    <col min="290" max="290" width="18.28515625" style="1109" bestFit="1" customWidth="1"/>
    <col min="291" max="291" width="19.5703125" style="1109" bestFit="1" customWidth="1"/>
    <col min="292" max="292" width="18.140625" style="1109" bestFit="1" customWidth="1"/>
    <col min="293" max="293" width="21" style="1109" bestFit="1" customWidth="1"/>
    <col min="294" max="294" width="22.28515625" style="1109" bestFit="1" customWidth="1"/>
    <col min="295" max="512" width="9.140625" style="1109"/>
    <col min="513" max="513" width="1.140625" style="1109" customWidth="1"/>
    <col min="514" max="514" width="44.42578125" style="1109" customWidth="1"/>
    <col min="515" max="525" width="0" style="1109" hidden="1" customWidth="1"/>
    <col min="526" max="526" width="3" style="1109" customWidth="1"/>
    <col min="527" max="541" width="0" style="1109" hidden="1" customWidth="1"/>
    <col min="542" max="542" width="18.5703125" style="1109" customWidth="1"/>
    <col min="543" max="544" width="0" style="1109" hidden="1" customWidth="1"/>
    <col min="545" max="545" width="15" style="1109" customWidth="1"/>
    <col min="546" max="546" width="18.28515625" style="1109" bestFit="1" customWidth="1"/>
    <col min="547" max="547" width="19.5703125" style="1109" bestFit="1" customWidth="1"/>
    <col min="548" max="548" width="18.140625" style="1109" bestFit="1" customWidth="1"/>
    <col min="549" max="549" width="21" style="1109" bestFit="1" customWidth="1"/>
    <col min="550" max="550" width="22.28515625" style="1109" bestFit="1" customWidth="1"/>
    <col min="551" max="768" width="9.140625" style="1109"/>
    <col min="769" max="769" width="1.140625" style="1109" customWidth="1"/>
    <col min="770" max="770" width="44.42578125" style="1109" customWidth="1"/>
    <col min="771" max="781" width="0" style="1109" hidden="1" customWidth="1"/>
    <col min="782" max="782" width="3" style="1109" customWidth="1"/>
    <col min="783" max="797" width="0" style="1109" hidden="1" customWidth="1"/>
    <col min="798" max="798" width="18.5703125" style="1109" customWidth="1"/>
    <col min="799" max="800" width="0" style="1109" hidden="1" customWidth="1"/>
    <col min="801" max="801" width="15" style="1109" customWidth="1"/>
    <col min="802" max="802" width="18.28515625" style="1109" bestFit="1" customWidth="1"/>
    <col min="803" max="803" width="19.5703125" style="1109" bestFit="1" customWidth="1"/>
    <col min="804" max="804" width="18.140625" style="1109" bestFit="1" customWidth="1"/>
    <col min="805" max="805" width="21" style="1109" bestFit="1" customWidth="1"/>
    <col min="806" max="806" width="22.28515625" style="1109" bestFit="1" customWidth="1"/>
    <col min="807" max="1024" width="9.140625" style="1109"/>
    <col min="1025" max="1025" width="1.140625" style="1109" customWidth="1"/>
    <col min="1026" max="1026" width="44.42578125" style="1109" customWidth="1"/>
    <col min="1027" max="1037" width="0" style="1109" hidden="1" customWidth="1"/>
    <col min="1038" max="1038" width="3" style="1109" customWidth="1"/>
    <col min="1039" max="1053" width="0" style="1109" hidden="1" customWidth="1"/>
    <col min="1054" max="1054" width="18.5703125" style="1109" customWidth="1"/>
    <col min="1055" max="1056" width="0" style="1109" hidden="1" customWidth="1"/>
    <col min="1057" max="1057" width="15" style="1109" customWidth="1"/>
    <col min="1058" max="1058" width="18.28515625" style="1109" bestFit="1" customWidth="1"/>
    <col min="1059" max="1059" width="19.5703125" style="1109" bestFit="1" customWidth="1"/>
    <col min="1060" max="1060" width="18.140625" style="1109" bestFit="1" customWidth="1"/>
    <col min="1061" max="1061" width="21" style="1109" bestFit="1" customWidth="1"/>
    <col min="1062" max="1062" width="22.28515625" style="1109" bestFit="1" customWidth="1"/>
    <col min="1063" max="1280" width="9.140625" style="1109"/>
    <col min="1281" max="1281" width="1.140625" style="1109" customWidth="1"/>
    <col min="1282" max="1282" width="44.42578125" style="1109" customWidth="1"/>
    <col min="1283" max="1293" width="0" style="1109" hidden="1" customWidth="1"/>
    <col min="1294" max="1294" width="3" style="1109" customWidth="1"/>
    <col min="1295" max="1309" width="0" style="1109" hidden="1" customWidth="1"/>
    <col min="1310" max="1310" width="18.5703125" style="1109" customWidth="1"/>
    <col min="1311" max="1312" width="0" style="1109" hidden="1" customWidth="1"/>
    <col min="1313" max="1313" width="15" style="1109" customWidth="1"/>
    <col min="1314" max="1314" width="18.28515625" style="1109" bestFit="1" customWidth="1"/>
    <col min="1315" max="1315" width="19.5703125" style="1109" bestFit="1" customWidth="1"/>
    <col min="1316" max="1316" width="18.140625" style="1109" bestFit="1" customWidth="1"/>
    <col min="1317" max="1317" width="21" style="1109" bestFit="1" customWidth="1"/>
    <col min="1318" max="1318" width="22.28515625" style="1109" bestFit="1" customWidth="1"/>
    <col min="1319" max="1536" width="9.140625" style="1109"/>
    <col min="1537" max="1537" width="1.140625" style="1109" customWidth="1"/>
    <col min="1538" max="1538" width="44.42578125" style="1109" customWidth="1"/>
    <col min="1539" max="1549" width="0" style="1109" hidden="1" customWidth="1"/>
    <col min="1550" max="1550" width="3" style="1109" customWidth="1"/>
    <col min="1551" max="1565" width="0" style="1109" hidden="1" customWidth="1"/>
    <col min="1566" max="1566" width="18.5703125" style="1109" customWidth="1"/>
    <col min="1567" max="1568" width="0" style="1109" hidden="1" customWidth="1"/>
    <col min="1569" max="1569" width="15" style="1109" customWidth="1"/>
    <col min="1570" max="1570" width="18.28515625" style="1109" bestFit="1" customWidth="1"/>
    <col min="1571" max="1571" width="19.5703125" style="1109" bestFit="1" customWidth="1"/>
    <col min="1572" max="1572" width="18.140625" style="1109" bestFit="1" customWidth="1"/>
    <col min="1573" max="1573" width="21" style="1109" bestFit="1" customWidth="1"/>
    <col min="1574" max="1574" width="22.28515625" style="1109" bestFit="1" customWidth="1"/>
    <col min="1575" max="1792" width="9.140625" style="1109"/>
    <col min="1793" max="1793" width="1.140625" style="1109" customWidth="1"/>
    <col min="1794" max="1794" width="44.42578125" style="1109" customWidth="1"/>
    <col min="1795" max="1805" width="0" style="1109" hidden="1" customWidth="1"/>
    <col min="1806" max="1806" width="3" style="1109" customWidth="1"/>
    <col min="1807" max="1821" width="0" style="1109" hidden="1" customWidth="1"/>
    <col min="1822" max="1822" width="18.5703125" style="1109" customWidth="1"/>
    <col min="1823" max="1824" width="0" style="1109" hidden="1" customWidth="1"/>
    <col min="1825" max="1825" width="15" style="1109" customWidth="1"/>
    <col min="1826" max="1826" width="18.28515625" style="1109" bestFit="1" customWidth="1"/>
    <col min="1827" max="1827" width="19.5703125" style="1109" bestFit="1" customWidth="1"/>
    <col min="1828" max="1828" width="18.140625" style="1109" bestFit="1" customWidth="1"/>
    <col min="1829" max="1829" width="21" style="1109" bestFit="1" customWidth="1"/>
    <col min="1830" max="1830" width="22.28515625" style="1109" bestFit="1" customWidth="1"/>
    <col min="1831" max="2048" width="9.140625" style="1109"/>
    <col min="2049" max="2049" width="1.140625" style="1109" customWidth="1"/>
    <col min="2050" max="2050" width="44.42578125" style="1109" customWidth="1"/>
    <col min="2051" max="2061" width="0" style="1109" hidden="1" customWidth="1"/>
    <col min="2062" max="2062" width="3" style="1109" customWidth="1"/>
    <col min="2063" max="2077" width="0" style="1109" hidden="1" customWidth="1"/>
    <col min="2078" max="2078" width="18.5703125" style="1109" customWidth="1"/>
    <col min="2079" max="2080" width="0" style="1109" hidden="1" customWidth="1"/>
    <col min="2081" max="2081" width="15" style="1109" customWidth="1"/>
    <col min="2082" max="2082" width="18.28515625" style="1109" bestFit="1" customWidth="1"/>
    <col min="2083" max="2083" width="19.5703125" style="1109" bestFit="1" customWidth="1"/>
    <col min="2084" max="2084" width="18.140625" style="1109" bestFit="1" customWidth="1"/>
    <col min="2085" max="2085" width="21" style="1109" bestFit="1" customWidth="1"/>
    <col min="2086" max="2086" width="22.28515625" style="1109" bestFit="1" customWidth="1"/>
    <col min="2087" max="2304" width="9.140625" style="1109"/>
    <col min="2305" max="2305" width="1.140625" style="1109" customWidth="1"/>
    <col min="2306" max="2306" width="44.42578125" style="1109" customWidth="1"/>
    <col min="2307" max="2317" width="0" style="1109" hidden="1" customWidth="1"/>
    <col min="2318" max="2318" width="3" style="1109" customWidth="1"/>
    <col min="2319" max="2333" width="0" style="1109" hidden="1" customWidth="1"/>
    <col min="2334" max="2334" width="18.5703125" style="1109" customWidth="1"/>
    <col min="2335" max="2336" width="0" style="1109" hidden="1" customWidth="1"/>
    <col min="2337" max="2337" width="15" style="1109" customWidth="1"/>
    <col min="2338" max="2338" width="18.28515625" style="1109" bestFit="1" customWidth="1"/>
    <col min="2339" max="2339" width="19.5703125" style="1109" bestFit="1" customWidth="1"/>
    <col min="2340" max="2340" width="18.140625" style="1109" bestFit="1" customWidth="1"/>
    <col min="2341" max="2341" width="21" style="1109" bestFit="1" customWidth="1"/>
    <col min="2342" max="2342" width="22.28515625" style="1109" bestFit="1" customWidth="1"/>
    <col min="2343" max="2560" width="9.140625" style="1109"/>
    <col min="2561" max="2561" width="1.140625" style="1109" customWidth="1"/>
    <col min="2562" max="2562" width="44.42578125" style="1109" customWidth="1"/>
    <col min="2563" max="2573" width="0" style="1109" hidden="1" customWidth="1"/>
    <col min="2574" max="2574" width="3" style="1109" customWidth="1"/>
    <col min="2575" max="2589" width="0" style="1109" hidden="1" customWidth="1"/>
    <col min="2590" max="2590" width="18.5703125" style="1109" customWidth="1"/>
    <col min="2591" max="2592" width="0" style="1109" hidden="1" customWidth="1"/>
    <col min="2593" max="2593" width="15" style="1109" customWidth="1"/>
    <col min="2594" max="2594" width="18.28515625" style="1109" bestFit="1" customWidth="1"/>
    <col min="2595" max="2595" width="19.5703125" style="1109" bestFit="1" customWidth="1"/>
    <col min="2596" max="2596" width="18.140625" style="1109" bestFit="1" customWidth="1"/>
    <col min="2597" max="2597" width="21" style="1109" bestFit="1" customWidth="1"/>
    <col min="2598" max="2598" width="22.28515625" style="1109" bestFit="1" customWidth="1"/>
    <col min="2599" max="2816" width="9.140625" style="1109"/>
    <col min="2817" max="2817" width="1.140625" style="1109" customWidth="1"/>
    <col min="2818" max="2818" width="44.42578125" style="1109" customWidth="1"/>
    <col min="2819" max="2829" width="0" style="1109" hidden="1" customWidth="1"/>
    <col min="2830" max="2830" width="3" style="1109" customWidth="1"/>
    <col min="2831" max="2845" width="0" style="1109" hidden="1" customWidth="1"/>
    <col min="2846" max="2846" width="18.5703125" style="1109" customWidth="1"/>
    <col min="2847" max="2848" width="0" style="1109" hidden="1" customWidth="1"/>
    <col min="2849" max="2849" width="15" style="1109" customWidth="1"/>
    <col min="2850" max="2850" width="18.28515625" style="1109" bestFit="1" customWidth="1"/>
    <col min="2851" max="2851" width="19.5703125" style="1109" bestFit="1" customWidth="1"/>
    <col min="2852" max="2852" width="18.140625" style="1109" bestFit="1" customWidth="1"/>
    <col min="2853" max="2853" width="21" style="1109" bestFit="1" customWidth="1"/>
    <col min="2854" max="2854" width="22.28515625" style="1109" bestFit="1" customWidth="1"/>
    <col min="2855" max="3072" width="9.140625" style="1109"/>
    <col min="3073" max="3073" width="1.140625" style="1109" customWidth="1"/>
    <col min="3074" max="3074" width="44.42578125" style="1109" customWidth="1"/>
    <col min="3075" max="3085" width="0" style="1109" hidden="1" customWidth="1"/>
    <col min="3086" max="3086" width="3" style="1109" customWidth="1"/>
    <col min="3087" max="3101" width="0" style="1109" hidden="1" customWidth="1"/>
    <col min="3102" max="3102" width="18.5703125" style="1109" customWidth="1"/>
    <col min="3103" max="3104" width="0" style="1109" hidden="1" customWidth="1"/>
    <col min="3105" max="3105" width="15" style="1109" customWidth="1"/>
    <col min="3106" max="3106" width="18.28515625" style="1109" bestFit="1" customWidth="1"/>
    <col min="3107" max="3107" width="19.5703125" style="1109" bestFit="1" customWidth="1"/>
    <col min="3108" max="3108" width="18.140625" style="1109" bestFit="1" customWidth="1"/>
    <col min="3109" max="3109" width="21" style="1109" bestFit="1" customWidth="1"/>
    <col min="3110" max="3110" width="22.28515625" style="1109" bestFit="1" customWidth="1"/>
    <col min="3111" max="3328" width="9.140625" style="1109"/>
    <col min="3329" max="3329" width="1.140625" style="1109" customWidth="1"/>
    <col min="3330" max="3330" width="44.42578125" style="1109" customWidth="1"/>
    <col min="3331" max="3341" width="0" style="1109" hidden="1" customWidth="1"/>
    <col min="3342" max="3342" width="3" style="1109" customWidth="1"/>
    <col min="3343" max="3357" width="0" style="1109" hidden="1" customWidth="1"/>
    <col min="3358" max="3358" width="18.5703125" style="1109" customWidth="1"/>
    <col min="3359" max="3360" width="0" style="1109" hidden="1" customWidth="1"/>
    <col min="3361" max="3361" width="15" style="1109" customWidth="1"/>
    <col min="3362" max="3362" width="18.28515625" style="1109" bestFit="1" customWidth="1"/>
    <col min="3363" max="3363" width="19.5703125" style="1109" bestFit="1" customWidth="1"/>
    <col min="3364" max="3364" width="18.140625" style="1109" bestFit="1" customWidth="1"/>
    <col min="3365" max="3365" width="21" style="1109" bestFit="1" customWidth="1"/>
    <col min="3366" max="3366" width="22.28515625" style="1109" bestFit="1" customWidth="1"/>
    <col min="3367" max="3584" width="9.140625" style="1109"/>
    <col min="3585" max="3585" width="1.140625" style="1109" customWidth="1"/>
    <col min="3586" max="3586" width="44.42578125" style="1109" customWidth="1"/>
    <col min="3587" max="3597" width="0" style="1109" hidden="1" customWidth="1"/>
    <col min="3598" max="3598" width="3" style="1109" customWidth="1"/>
    <col min="3599" max="3613" width="0" style="1109" hidden="1" customWidth="1"/>
    <col min="3614" max="3614" width="18.5703125" style="1109" customWidth="1"/>
    <col min="3615" max="3616" width="0" style="1109" hidden="1" customWidth="1"/>
    <col min="3617" max="3617" width="15" style="1109" customWidth="1"/>
    <col min="3618" max="3618" width="18.28515625" style="1109" bestFit="1" customWidth="1"/>
    <col min="3619" max="3619" width="19.5703125" style="1109" bestFit="1" customWidth="1"/>
    <col min="3620" max="3620" width="18.140625" style="1109" bestFit="1" customWidth="1"/>
    <col min="3621" max="3621" width="21" style="1109" bestFit="1" customWidth="1"/>
    <col min="3622" max="3622" width="22.28515625" style="1109" bestFit="1" customWidth="1"/>
    <col min="3623" max="3840" width="9.140625" style="1109"/>
    <col min="3841" max="3841" width="1.140625" style="1109" customWidth="1"/>
    <col min="3842" max="3842" width="44.42578125" style="1109" customWidth="1"/>
    <col min="3843" max="3853" width="0" style="1109" hidden="1" customWidth="1"/>
    <col min="3854" max="3854" width="3" style="1109" customWidth="1"/>
    <col min="3855" max="3869" width="0" style="1109" hidden="1" customWidth="1"/>
    <col min="3870" max="3870" width="18.5703125" style="1109" customWidth="1"/>
    <col min="3871" max="3872" width="0" style="1109" hidden="1" customWidth="1"/>
    <col min="3873" max="3873" width="15" style="1109" customWidth="1"/>
    <col min="3874" max="3874" width="18.28515625" style="1109" bestFit="1" customWidth="1"/>
    <col min="3875" max="3875" width="19.5703125" style="1109" bestFit="1" customWidth="1"/>
    <col min="3876" max="3876" width="18.140625" style="1109" bestFit="1" customWidth="1"/>
    <col min="3877" max="3877" width="21" style="1109" bestFit="1" customWidth="1"/>
    <col min="3878" max="3878" width="22.28515625" style="1109" bestFit="1" customWidth="1"/>
    <col min="3879" max="4096" width="9.140625" style="1109"/>
    <col min="4097" max="4097" width="1.140625" style="1109" customWidth="1"/>
    <col min="4098" max="4098" width="44.42578125" style="1109" customWidth="1"/>
    <col min="4099" max="4109" width="0" style="1109" hidden="1" customWidth="1"/>
    <col min="4110" max="4110" width="3" style="1109" customWidth="1"/>
    <col min="4111" max="4125" width="0" style="1109" hidden="1" customWidth="1"/>
    <col min="4126" max="4126" width="18.5703125" style="1109" customWidth="1"/>
    <col min="4127" max="4128" width="0" style="1109" hidden="1" customWidth="1"/>
    <col min="4129" max="4129" width="15" style="1109" customWidth="1"/>
    <col min="4130" max="4130" width="18.28515625" style="1109" bestFit="1" customWidth="1"/>
    <col min="4131" max="4131" width="19.5703125" style="1109" bestFit="1" customWidth="1"/>
    <col min="4132" max="4132" width="18.140625" style="1109" bestFit="1" customWidth="1"/>
    <col min="4133" max="4133" width="21" style="1109" bestFit="1" customWidth="1"/>
    <col min="4134" max="4134" width="22.28515625" style="1109" bestFit="1" customWidth="1"/>
    <col min="4135" max="4352" width="9.140625" style="1109"/>
    <col min="4353" max="4353" width="1.140625" style="1109" customWidth="1"/>
    <col min="4354" max="4354" width="44.42578125" style="1109" customWidth="1"/>
    <col min="4355" max="4365" width="0" style="1109" hidden="1" customWidth="1"/>
    <col min="4366" max="4366" width="3" style="1109" customWidth="1"/>
    <col min="4367" max="4381" width="0" style="1109" hidden="1" customWidth="1"/>
    <col min="4382" max="4382" width="18.5703125" style="1109" customWidth="1"/>
    <col min="4383" max="4384" width="0" style="1109" hidden="1" customWidth="1"/>
    <col min="4385" max="4385" width="15" style="1109" customWidth="1"/>
    <col min="4386" max="4386" width="18.28515625" style="1109" bestFit="1" customWidth="1"/>
    <col min="4387" max="4387" width="19.5703125" style="1109" bestFit="1" customWidth="1"/>
    <col min="4388" max="4388" width="18.140625" style="1109" bestFit="1" customWidth="1"/>
    <col min="4389" max="4389" width="21" style="1109" bestFit="1" customWidth="1"/>
    <col min="4390" max="4390" width="22.28515625" style="1109" bestFit="1" customWidth="1"/>
    <col min="4391" max="4608" width="9.140625" style="1109"/>
    <col min="4609" max="4609" width="1.140625" style="1109" customWidth="1"/>
    <col min="4610" max="4610" width="44.42578125" style="1109" customWidth="1"/>
    <col min="4611" max="4621" width="0" style="1109" hidden="1" customWidth="1"/>
    <col min="4622" max="4622" width="3" style="1109" customWidth="1"/>
    <col min="4623" max="4637" width="0" style="1109" hidden="1" customWidth="1"/>
    <col min="4638" max="4638" width="18.5703125" style="1109" customWidth="1"/>
    <col min="4639" max="4640" width="0" style="1109" hidden="1" customWidth="1"/>
    <col min="4641" max="4641" width="15" style="1109" customWidth="1"/>
    <col min="4642" max="4642" width="18.28515625" style="1109" bestFit="1" customWidth="1"/>
    <col min="4643" max="4643" width="19.5703125" style="1109" bestFit="1" customWidth="1"/>
    <col min="4644" max="4644" width="18.140625" style="1109" bestFit="1" customWidth="1"/>
    <col min="4645" max="4645" width="21" style="1109" bestFit="1" customWidth="1"/>
    <col min="4646" max="4646" width="22.28515625" style="1109" bestFit="1" customWidth="1"/>
    <col min="4647" max="4864" width="9.140625" style="1109"/>
    <col min="4865" max="4865" width="1.140625" style="1109" customWidth="1"/>
    <col min="4866" max="4866" width="44.42578125" style="1109" customWidth="1"/>
    <col min="4867" max="4877" width="0" style="1109" hidden="1" customWidth="1"/>
    <col min="4878" max="4878" width="3" style="1109" customWidth="1"/>
    <col min="4879" max="4893" width="0" style="1109" hidden="1" customWidth="1"/>
    <col min="4894" max="4894" width="18.5703125" style="1109" customWidth="1"/>
    <col min="4895" max="4896" width="0" style="1109" hidden="1" customWidth="1"/>
    <col min="4897" max="4897" width="15" style="1109" customWidth="1"/>
    <col min="4898" max="4898" width="18.28515625" style="1109" bestFit="1" customWidth="1"/>
    <col min="4899" max="4899" width="19.5703125" style="1109" bestFit="1" customWidth="1"/>
    <col min="4900" max="4900" width="18.140625" style="1109" bestFit="1" customWidth="1"/>
    <col min="4901" max="4901" width="21" style="1109" bestFit="1" customWidth="1"/>
    <col min="4902" max="4902" width="22.28515625" style="1109" bestFit="1" customWidth="1"/>
    <col min="4903" max="5120" width="9.140625" style="1109"/>
    <col min="5121" max="5121" width="1.140625" style="1109" customWidth="1"/>
    <col min="5122" max="5122" width="44.42578125" style="1109" customWidth="1"/>
    <col min="5123" max="5133" width="0" style="1109" hidden="1" customWidth="1"/>
    <col min="5134" max="5134" width="3" style="1109" customWidth="1"/>
    <col min="5135" max="5149" width="0" style="1109" hidden="1" customWidth="1"/>
    <col min="5150" max="5150" width="18.5703125" style="1109" customWidth="1"/>
    <col min="5151" max="5152" width="0" style="1109" hidden="1" customWidth="1"/>
    <col min="5153" max="5153" width="15" style="1109" customWidth="1"/>
    <col min="5154" max="5154" width="18.28515625" style="1109" bestFit="1" customWidth="1"/>
    <col min="5155" max="5155" width="19.5703125" style="1109" bestFit="1" customWidth="1"/>
    <col min="5156" max="5156" width="18.140625" style="1109" bestFit="1" customWidth="1"/>
    <col min="5157" max="5157" width="21" style="1109" bestFit="1" customWidth="1"/>
    <col min="5158" max="5158" width="22.28515625" style="1109" bestFit="1" customWidth="1"/>
    <col min="5159" max="5376" width="9.140625" style="1109"/>
    <col min="5377" max="5377" width="1.140625" style="1109" customWidth="1"/>
    <col min="5378" max="5378" width="44.42578125" style="1109" customWidth="1"/>
    <col min="5379" max="5389" width="0" style="1109" hidden="1" customWidth="1"/>
    <col min="5390" max="5390" width="3" style="1109" customWidth="1"/>
    <col min="5391" max="5405" width="0" style="1109" hidden="1" customWidth="1"/>
    <col min="5406" max="5406" width="18.5703125" style="1109" customWidth="1"/>
    <col min="5407" max="5408" width="0" style="1109" hidden="1" customWidth="1"/>
    <col min="5409" max="5409" width="15" style="1109" customWidth="1"/>
    <col min="5410" max="5410" width="18.28515625" style="1109" bestFit="1" customWidth="1"/>
    <col min="5411" max="5411" width="19.5703125" style="1109" bestFit="1" customWidth="1"/>
    <col min="5412" max="5412" width="18.140625" style="1109" bestFit="1" customWidth="1"/>
    <col min="5413" max="5413" width="21" style="1109" bestFit="1" customWidth="1"/>
    <col min="5414" max="5414" width="22.28515625" style="1109" bestFit="1" customWidth="1"/>
    <col min="5415" max="5632" width="9.140625" style="1109"/>
    <col min="5633" max="5633" width="1.140625" style="1109" customWidth="1"/>
    <col min="5634" max="5634" width="44.42578125" style="1109" customWidth="1"/>
    <col min="5635" max="5645" width="0" style="1109" hidden="1" customWidth="1"/>
    <col min="5646" max="5646" width="3" style="1109" customWidth="1"/>
    <col min="5647" max="5661" width="0" style="1109" hidden="1" customWidth="1"/>
    <col min="5662" max="5662" width="18.5703125" style="1109" customWidth="1"/>
    <col min="5663" max="5664" width="0" style="1109" hidden="1" customWidth="1"/>
    <col min="5665" max="5665" width="15" style="1109" customWidth="1"/>
    <col min="5666" max="5666" width="18.28515625" style="1109" bestFit="1" customWidth="1"/>
    <col min="5667" max="5667" width="19.5703125" style="1109" bestFit="1" customWidth="1"/>
    <col min="5668" max="5668" width="18.140625" style="1109" bestFit="1" customWidth="1"/>
    <col min="5669" max="5669" width="21" style="1109" bestFit="1" customWidth="1"/>
    <col min="5670" max="5670" width="22.28515625" style="1109" bestFit="1" customWidth="1"/>
    <col min="5671" max="5888" width="9.140625" style="1109"/>
    <col min="5889" max="5889" width="1.140625" style="1109" customWidth="1"/>
    <col min="5890" max="5890" width="44.42578125" style="1109" customWidth="1"/>
    <col min="5891" max="5901" width="0" style="1109" hidden="1" customWidth="1"/>
    <col min="5902" max="5902" width="3" style="1109" customWidth="1"/>
    <col min="5903" max="5917" width="0" style="1109" hidden="1" customWidth="1"/>
    <col min="5918" max="5918" width="18.5703125" style="1109" customWidth="1"/>
    <col min="5919" max="5920" width="0" style="1109" hidden="1" customWidth="1"/>
    <col min="5921" max="5921" width="15" style="1109" customWidth="1"/>
    <col min="5922" max="5922" width="18.28515625" style="1109" bestFit="1" customWidth="1"/>
    <col min="5923" max="5923" width="19.5703125" style="1109" bestFit="1" customWidth="1"/>
    <col min="5924" max="5924" width="18.140625" style="1109" bestFit="1" customWidth="1"/>
    <col min="5925" max="5925" width="21" style="1109" bestFit="1" customWidth="1"/>
    <col min="5926" max="5926" width="22.28515625" style="1109" bestFit="1" customWidth="1"/>
    <col min="5927" max="6144" width="9.140625" style="1109"/>
    <col min="6145" max="6145" width="1.140625" style="1109" customWidth="1"/>
    <col min="6146" max="6146" width="44.42578125" style="1109" customWidth="1"/>
    <col min="6147" max="6157" width="0" style="1109" hidden="1" customWidth="1"/>
    <col min="6158" max="6158" width="3" style="1109" customWidth="1"/>
    <col min="6159" max="6173" width="0" style="1109" hidden="1" customWidth="1"/>
    <col min="6174" max="6174" width="18.5703125" style="1109" customWidth="1"/>
    <col min="6175" max="6176" width="0" style="1109" hidden="1" customWidth="1"/>
    <col min="6177" max="6177" width="15" style="1109" customWidth="1"/>
    <col min="6178" max="6178" width="18.28515625" style="1109" bestFit="1" customWidth="1"/>
    <col min="6179" max="6179" width="19.5703125" style="1109" bestFit="1" customWidth="1"/>
    <col min="6180" max="6180" width="18.140625" style="1109" bestFit="1" customWidth="1"/>
    <col min="6181" max="6181" width="21" style="1109" bestFit="1" customWidth="1"/>
    <col min="6182" max="6182" width="22.28515625" style="1109" bestFit="1" customWidth="1"/>
    <col min="6183" max="6400" width="9.140625" style="1109"/>
    <col min="6401" max="6401" width="1.140625" style="1109" customWidth="1"/>
    <col min="6402" max="6402" width="44.42578125" style="1109" customWidth="1"/>
    <col min="6403" max="6413" width="0" style="1109" hidden="1" customWidth="1"/>
    <col min="6414" max="6414" width="3" style="1109" customWidth="1"/>
    <col min="6415" max="6429" width="0" style="1109" hidden="1" customWidth="1"/>
    <col min="6430" max="6430" width="18.5703125" style="1109" customWidth="1"/>
    <col min="6431" max="6432" width="0" style="1109" hidden="1" customWidth="1"/>
    <col min="6433" max="6433" width="15" style="1109" customWidth="1"/>
    <col min="6434" max="6434" width="18.28515625" style="1109" bestFit="1" customWidth="1"/>
    <col min="6435" max="6435" width="19.5703125" style="1109" bestFit="1" customWidth="1"/>
    <col min="6436" max="6436" width="18.140625" style="1109" bestFit="1" customWidth="1"/>
    <col min="6437" max="6437" width="21" style="1109" bestFit="1" customWidth="1"/>
    <col min="6438" max="6438" width="22.28515625" style="1109" bestFit="1" customWidth="1"/>
    <col min="6439" max="6656" width="9.140625" style="1109"/>
    <col min="6657" max="6657" width="1.140625" style="1109" customWidth="1"/>
    <col min="6658" max="6658" width="44.42578125" style="1109" customWidth="1"/>
    <col min="6659" max="6669" width="0" style="1109" hidden="1" customWidth="1"/>
    <col min="6670" max="6670" width="3" style="1109" customWidth="1"/>
    <col min="6671" max="6685" width="0" style="1109" hidden="1" customWidth="1"/>
    <col min="6686" max="6686" width="18.5703125" style="1109" customWidth="1"/>
    <col min="6687" max="6688" width="0" style="1109" hidden="1" customWidth="1"/>
    <col min="6689" max="6689" width="15" style="1109" customWidth="1"/>
    <col min="6690" max="6690" width="18.28515625" style="1109" bestFit="1" customWidth="1"/>
    <col min="6691" max="6691" width="19.5703125" style="1109" bestFit="1" customWidth="1"/>
    <col min="6692" max="6692" width="18.140625" style="1109" bestFit="1" customWidth="1"/>
    <col min="6693" max="6693" width="21" style="1109" bestFit="1" customWidth="1"/>
    <col min="6694" max="6694" width="22.28515625" style="1109" bestFit="1" customWidth="1"/>
    <col min="6695" max="6912" width="9.140625" style="1109"/>
    <col min="6913" max="6913" width="1.140625" style="1109" customWidth="1"/>
    <col min="6914" max="6914" width="44.42578125" style="1109" customWidth="1"/>
    <col min="6915" max="6925" width="0" style="1109" hidden="1" customWidth="1"/>
    <col min="6926" max="6926" width="3" style="1109" customWidth="1"/>
    <col min="6927" max="6941" width="0" style="1109" hidden="1" customWidth="1"/>
    <col min="6942" max="6942" width="18.5703125" style="1109" customWidth="1"/>
    <col min="6943" max="6944" width="0" style="1109" hidden="1" customWidth="1"/>
    <col min="6945" max="6945" width="15" style="1109" customWidth="1"/>
    <col min="6946" max="6946" width="18.28515625" style="1109" bestFit="1" customWidth="1"/>
    <col min="6947" max="6947" width="19.5703125" style="1109" bestFit="1" customWidth="1"/>
    <col min="6948" max="6948" width="18.140625" style="1109" bestFit="1" customWidth="1"/>
    <col min="6949" max="6949" width="21" style="1109" bestFit="1" customWidth="1"/>
    <col min="6950" max="6950" width="22.28515625" style="1109" bestFit="1" customWidth="1"/>
    <col min="6951" max="7168" width="9.140625" style="1109"/>
    <col min="7169" max="7169" width="1.140625" style="1109" customWidth="1"/>
    <col min="7170" max="7170" width="44.42578125" style="1109" customWidth="1"/>
    <col min="7171" max="7181" width="0" style="1109" hidden="1" customWidth="1"/>
    <col min="7182" max="7182" width="3" style="1109" customWidth="1"/>
    <col min="7183" max="7197" width="0" style="1109" hidden="1" customWidth="1"/>
    <col min="7198" max="7198" width="18.5703125" style="1109" customWidth="1"/>
    <col min="7199" max="7200" width="0" style="1109" hidden="1" customWidth="1"/>
    <col min="7201" max="7201" width="15" style="1109" customWidth="1"/>
    <col min="7202" max="7202" width="18.28515625" style="1109" bestFit="1" customWidth="1"/>
    <col min="7203" max="7203" width="19.5703125" style="1109" bestFit="1" customWidth="1"/>
    <col min="7204" max="7204" width="18.140625" style="1109" bestFit="1" customWidth="1"/>
    <col min="7205" max="7205" width="21" style="1109" bestFit="1" customWidth="1"/>
    <col min="7206" max="7206" width="22.28515625" style="1109" bestFit="1" customWidth="1"/>
    <col min="7207" max="7424" width="9.140625" style="1109"/>
    <col min="7425" max="7425" width="1.140625" style="1109" customWidth="1"/>
    <col min="7426" max="7426" width="44.42578125" style="1109" customWidth="1"/>
    <col min="7427" max="7437" width="0" style="1109" hidden="1" customWidth="1"/>
    <col min="7438" max="7438" width="3" style="1109" customWidth="1"/>
    <col min="7439" max="7453" width="0" style="1109" hidden="1" customWidth="1"/>
    <col min="7454" max="7454" width="18.5703125" style="1109" customWidth="1"/>
    <col min="7455" max="7456" width="0" style="1109" hidden="1" customWidth="1"/>
    <col min="7457" max="7457" width="15" style="1109" customWidth="1"/>
    <col min="7458" max="7458" width="18.28515625" style="1109" bestFit="1" customWidth="1"/>
    <col min="7459" max="7459" width="19.5703125" style="1109" bestFit="1" customWidth="1"/>
    <col min="7460" max="7460" width="18.140625" style="1109" bestFit="1" customWidth="1"/>
    <col min="7461" max="7461" width="21" style="1109" bestFit="1" customWidth="1"/>
    <col min="7462" max="7462" width="22.28515625" style="1109" bestFit="1" customWidth="1"/>
    <col min="7463" max="7680" width="9.140625" style="1109"/>
    <col min="7681" max="7681" width="1.140625" style="1109" customWidth="1"/>
    <col min="7682" max="7682" width="44.42578125" style="1109" customWidth="1"/>
    <col min="7683" max="7693" width="0" style="1109" hidden="1" customWidth="1"/>
    <col min="7694" max="7694" width="3" style="1109" customWidth="1"/>
    <col min="7695" max="7709" width="0" style="1109" hidden="1" customWidth="1"/>
    <col min="7710" max="7710" width="18.5703125" style="1109" customWidth="1"/>
    <col min="7711" max="7712" width="0" style="1109" hidden="1" customWidth="1"/>
    <col min="7713" max="7713" width="15" style="1109" customWidth="1"/>
    <col min="7714" max="7714" width="18.28515625" style="1109" bestFit="1" customWidth="1"/>
    <col min="7715" max="7715" width="19.5703125" style="1109" bestFit="1" customWidth="1"/>
    <col min="7716" max="7716" width="18.140625" style="1109" bestFit="1" customWidth="1"/>
    <col min="7717" max="7717" width="21" style="1109" bestFit="1" customWidth="1"/>
    <col min="7718" max="7718" width="22.28515625" style="1109" bestFit="1" customWidth="1"/>
    <col min="7719" max="7936" width="9.140625" style="1109"/>
    <col min="7937" max="7937" width="1.140625" style="1109" customWidth="1"/>
    <col min="7938" max="7938" width="44.42578125" style="1109" customWidth="1"/>
    <col min="7939" max="7949" width="0" style="1109" hidden="1" customWidth="1"/>
    <col min="7950" max="7950" width="3" style="1109" customWidth="1"/>
    <col min="7951" max="7965" width="0" style="1109" hidden="1" customWidth="1"/>
    <col min="7966" max="7966" width="18.5703125" style="1109" customWidth="1"/>
    <col min="7967" max="7968" width="0" style="1109" hidden="1" customWidth="1"/>
    <col min="7969" max="7969" width="15" style="1109" customWidth="1"/>
    <col min="7970" max="7970" width="18.28515625" style="1109" bestFit="1" customWidth="1"/>
    <col min="7971" max="7971" width="19.5703125" style="1109" bestFit="1" customWidth="1"/>
    <col min="7972" max="7972" width="18.140625" style="1109" bestFit="1" customWidth="1"/>
    <col min="7973" max="7973" width="21" style="1109" bestFit="1" customWidth="1"/>
    <col min="7974" max="7974" width="22.28515625" style="1109" bestFit="1" customWidth="1"/>
    <col min="7975" max="8192" width="9.140625" style="1109"/>
    <col min="8193" max="8193" width="1.140625" style="1109" customWidth="1"/>
    <col min="8194" max="8194" width="44.42578125" style="1109" customWidth="1"/>
    <col min="8195" max="8205" width="0" style="1109" hidden="1" customWidth="1"/>
    <col min="8206" max="8206" width="3" style="1109" customWidth="1"/>
    <col min="8207" max="8221" width="0" style="1109" hidden="1" customWidth="1"/>
    <col min="8222" max="8222" width="18.5703125" style="1109" customWidth="1"/>
    <col min="8223" max="8224" width="0" style="1109" hidden="1" customWidth="1"/>
    <col min="8225" max="8225" width="15" style="1109" customWidth="1"/>
    <col min="8226" max="8226" width="18.28515625" style="1109" bestFit="1" customWidth="1"/>
    <col min="8227" max="8227" width="19.5703125" style="1109" bestFit="1" customWidth="1"/>
    <col min="8228" max="8228" width="18.140625" style="1109" bestFit="1" customWidth="1"/>
    <col min="8229" max="8229" width="21" style="1109" bestFit="1" customWidth="1"/>
    <col min="8230" max="8230" width="22.28515625" style="1109" bestFit="1" customWidth="1"/>
    <col min="8231" max="8448" width="9.140625" style="1109"/>
    <col min="8449" max="8449" width="1.140625" style="1109" customWidth="1"/>
    <col min="8450" max="8450" width="44.42578125" style="1109" customWidth="1"/>
    <col min="8451" max="8461" width="0" style="1109" hidden="1" customWidth="1"/>
    <col min="8462" max="8462" width="3" style="1109" customWidth="1"/>
    <col min="8463" max="8477" width="0" style="1109" hidden="1" customWidth="1"/>
    <col min="8478" max="8478" width="18.5703125" style="1109" customWidth="1"/>
    <col min="8479" max="8480" width="0" style="1109" hidden="1" customWidth="1"/>
    <col min="8481" max="8481" width="15" style="1109" customWidth="1"/>
    <col min="8482" max="8482" width="18.28515625" style="1109" bestFit="1" customWidth="1"/>
    <col min="8483" max="8483" width="19.5703125" style="1109" bestFit="1" customWidth="1"/>
    <col min="8484" max="8484" width="18.140625" style="1109" bestFit="1" customWidth="1"/>
    <col min="8485" max="8485" width="21" style="1109" bestFit="1" customWidth="1"/>
    <col min="8486" max="8486" width="22.28515625" style="1109" bestFit="1" customWidth="1"/>
    <col min="8487" max="8704" width="9.140625" style="1109"/>
    <col min="8705" max="8705" width="1.140625" style="1109" customWidth="1"/>
    <col min="8706" max="8706" width="44.42578125" style="1109" customWidth="1"/>
    <col min="8707" max="8717" width="0" style="1109" hidden="1" customWidth="1"/>
    <col min="8718" max="8718" width="3" style="1109" customWidth="1"/>
    <col min="8719" max="8733" width="0" style="1109" hidden="1" customWidth="1"/>
    <col min="8734" max="8734" width="18.5703125" style="1109" customWidth="1"/>
    <col min="8735" max="8736" width="0" style="1109" hidden="1" customWidth="1"/>
    <col min="8737" max="8737" width="15" style="1109" customWidth="1"/>
    <col min="8738" max="8738" width="18.28515625" style="1109" bestFit="1" customWidth="1"/>
    <col min="8739" max="8739" width="19.5703125" style="1109" bestFit="1" customWidth="1"/>
    <col min="8740" max="8740" width="18.140625" style="1109" bestFit="1" customWidth="1"/>
    <col min="8741" max="8741" width="21" style="1109" bestFit="1" customWidth="1"/>
    <col min="8742" max="8742" width="22.28515625" style="1109" bestFit="1" customWidth="1"/>
    <col min="8743" max="8960" width="9.140625" style="1109"/>
    <col min="8961" max="8961" width="1.140625" style="1109" customWidth="1"/>
    <col min="8962" max="8962" width="44.42578125" style="1109" customWidth="1"/>
    <col min="8963" max="8973" width="0" style="1109" hidden="1" customWidth="1"/>
    <col min="8974" max="8974" width="3" style="1109" customWidth="1"/>
    <col min="8975" max="8989" width="0" style="1109" hidden="1" customWidth="1"/>
    <col min="8990" max="8990" width="18.5703125" style="1109" customWidth="1"/>
    <col min="8991" max="8992" width="0" style="1109" hidden="1" customWidth="1"/>
    <col min="8993" max="8993" width="15" style="1109" customWidth="1"/>
    <col min="8994" max="8994" width="18.28515625" style="1109" bestFit="1" customWidth="1"/>
    <col min="8995" max="8995" width="19.5703125" style="1109" bestFit="1" customWidth="1"/>
    <col min="8996" max="8996" width="18.140625" style="1109" bestFit="1" customWidth="1"/>
    <col min="8997" max="8997" width="21" style="1109" bestFit="1" customWidth="1"/>
    <col min="8998" max="8998" width="22.28515625" style="1109" bestFit="1" customWidth="1"/>
    <col min="8999" max="9216" width="9.140625" style="1109"/>
    <col min="9217" max="9217" width="1.140625" style="1109" customWidth="1"/>
    <col min="9218" max="9218" width="44.42578125" style="1109" customWidth="1"/>
    <col min="9219" max="9229" width="0" style="1109" hidden="1" customWidth="1"/>
    <col min="9230" max="9230" width="3" style="1109" customWidth="1"/>
    <col min="9231" max="9245" width="0" style="1109" hidden="1" customWidth="1"/>
    <col min="9246" max="9246" width="18.5703125" style="1109" customWidth="1"/>
    <col min="9247" max="9248" width="0" style="1109" hidden="1" customWidth="1"/>
    <col min="9249" max="9249" width="15" style="1109" customWidth="1"/>
    <col min="9250" max="9250" width="18.28515625" style="1109" bestFit="1" customWidth="1"/>
    <col min="9251" max="9251" width="19.5703125" style="1109" bestFit="1" customWidth="1"/>
    <col min="9252" max="9252" width="18.140625" style="1109" bestFit="1" customWidth="1"/>
    <col min="9253" max="9253" width="21" style="1109" bestFit="1" customWidth="1"/>
    <col min="9254" max="9254" width="22.28515625" style="1109" bestFit="1" customWidth="1"/>
    <col min="9255" max="9472" width="9.140625" style="1109"/>
    <col min="9473" max="9473" width="1.140625" style="1109" customWidth="1"/>
    <col min="9474" max="9474" width="44.42578125" style="1109" customWidth="1"/>
    <col min="9475" max="9485" width="0" style="1109" hidden="1" customWidth="1"/>
    <col min="9486" max="9486" width="3" style="1109" customWidth="1"/>
    <col min="9487" max="9501" width="0" style="1109" hidden="1" customWidth="1"/>
    <col min="9502" max="9502" width="18.5703125" style="1109" customWidth="1"/>
    <col min="9503" max="9504" width="0" style="1109" hidden="1" customWidth="1"/>
    <col min="9505" max="9505" width="15" style="1109" customWidth="1"/>
    <col min="9506" max="9506" width="18.28515625" style="1109" bestFit="1" customWidth="1"/>
    <col min="9507" max="9507" width="19.5703125" style="1109" bestFit="1" customWidth="1"/>
    <col min="9508" max="9508" width="18.140625" style="1109" bestFit="1" customWidth="1"/>
    <col min="9509" max="9509" width="21" style="1109" bestFit="1" customWidth="1"/>
    <col min="9510" max="9510" width="22.28515625" style="1109" bestFit="1" customWidth="1"/>
    <col min="9511" max="9728" width="9.140625" style="1109"/>
    <col min="9729" max="9729" width="1.140625" style="1109" customWidth="1"/>
    <col min="9730" max="9730" width="44.42578125" style="1109" customWidth="1"/>
    <col min="9731" max="9741" width="0" style="1109" hidden="1" customWidth="1"/>
    <col min="9742" max="9742" width="3" style="1109" customWidth="1"/>
    <col min="9743" max="9757" width="0" style="1109" hidden="1" customWidth="1"/>
    <col min="9758" max="9758" width="18.5703125" style="1109" customWidth="1"/>
    <col min="9759" max="9760" width="0" style="1109" hidden="1" customWidth="1"/>
    <col min="9761" max="9761" width="15" style="1109" customWidth="1"/>
    <col min="9762" max="9762" width="18.28515625" style="1109" bestFit="1" customWidth="1"/>
    <col min="9763" max="9763" width="19.5703125" style="1109" bestFit="1" customWidth="1"/>
    <col min="9764" max="9764" width="18.140625" style="1109" bestFit="1" customWidth="1"/>
    <col min="9765" max="9765" width="21" style="1109" bestFit="1" customWidth="1"/>
    <col min="9766" max="9766" width="22.28515625" style="1109" bestFit="1" customWidth="1"/>
    <col min="9767" max="9984" width="9.140625" style="1109"/>
    <col min="9985" max="9985" width="1.140625" style="1109" customWidth="1"/>
    <col min="9986" max="9986" width="44.42578125" style="1109" customWidth="1"/>
    <col min="9987" max="9997" width="0" style="1109" hidden="1" customWidth="1"/>
    <col min="9998" max="9998" width="3" style="1109" customWidth="1"/>
    <col min="9999" max="10013" width="0" style="1109" hidden="1" customWidth="1"/>
    <col min="10014" max="10014" width="18.5703125" style="1109" customWidth="1"/>
    <col min="10015" max="10016" width="0" style="1109" hidden="1" customWidth="1"/>
    <col min="10017" max="10017" width="15" style="1109" customWidth="1"/>
    <col min="10018" max="10018" width="18.28515625" style="1109" bestFit="1" customWidth="1"/>
    <col min="10019" max="10019" width="19.5703125" style="1109" bestFit="1" customWidth="1"/>
    <col min="10020" max="10020" width="18.140625" style="1109" bestFit="1" customWidth="1"/>
    <col min="10021" max="10021" width="21" style="1109" bestFit="1" customWidth="1"/>
    <col min="10022" max="10022" width="22.28515625" style="1109" bestFit="1" customWidth="1"/>
    <col min="10023" max="10240" width="9.140625" style="1109"/>
    <col min="10241" max="10241" width="1.140625" style="1109" customWidth="1"/>
    <col min="10242" max="10242" width="44.42578125" style="1109" customWidth="1"/>
    <col min="10243" max="10253" width="0" style="1109" hidden="1" customWidth="1"/>
    <col min="10254" max="10254" width="3" style="1109" customWidth="1"/>
    <col min="10255" max="10269" width="0" style="1109" hidden="1" customWidth="1"/>
    <col min="10270" max="10270" width="18.5703125" style="1109" customWidth="1"/>
    <col min="10271" max="10272" width="0" style="1109" hidden="1" customWidth="1"/>
    <col min="10273" max="10273" width="15" style="1109" customWidth="1"/>
    <col min="10274" max="10274" width="18.28515625" style="1109" bestFit="1" customWidth="1"/>
    <col min="10275" max="10275" width="19.5703125" style="1109" bestFit="1" customWidth="1"/>
    <col min="10276" max="10276" width="18.140625" style="1109" bestFit="1" customWidth="1"/>
    <col min="10277" max="10277" width="21" style="1109" bestFit="1" customWidth="1"/>
    <col min="10278" max="10278" width="22.28515625" style="1109" bestFit="1" customWidth="1"/>
    <col min="10279" max="10496" width="9.140625" style="1109"/>
    <col min="10497" max="10497" width="1.140625" style="1109" customWidth="1"/>
    <col min="10498" max="10498" width="44.42578125" style="1109" customWidth="1"/>
    <col min="10499" max="10509" width="0" style="1109" hidden="1" customWidth="1"/>
    <col min="10510" max="10510" width="3" style="1109" customWidth="1"/>
    <col min="10511" max="10525" width="0" style="1109" hidden="1" customWidth="1"/>
    <col min="10526" max="10526" width="18.5703125" style="1109" customWidth="1"/>
    <col min="10527" max="10528" width="0" style="1109" hidden="1" customWidth="1"/>
    <col min="10529" max="10529" width="15" style="1109" customWidth="1"/>
    <col min="10530" max="10530" width="18.28515625" style="1109" bestFit="1" customWidth="1"/>
    <col min="10531" max="10531" width="19.5703125" style="1109" bestFit="1" customWidth="1"/>
    <col min="10532" max="10532" width="18.140625" style="1109" bestFit="1" customWidth="1"/>
    <col min="10533" max="10533" width="21" style="1109" bestFit="1" customWidth="1"/>
    <col min="10534" max="10534" width="22.28515625" style="1109" bestFit="1" customWidth="1"/>
    <col min="10535" max="10752" width="9.140625" style="1109"/>
    <col min="10753" max="10753" width="1.140625" style="1109" customWidth="1"/>
    <col min="10754" max="10754" width="44.42578125" style="1109" customWidth="1"/>
    <col min="10755" max="10765" width="0" style="1109" hidden="1" customWidth="1"/>
    <col min="10766" max="10766" width="3" style="1109" customWidth="1"/>
    <col min="10767" max="10781" width="0" style="1109" hidden="1" customWidth="1"/>
    <col min="10782" max="10782" width="18.5703125" style="1109" customWidth="1"/>
    <col min="10783" max="10784" width="0" style="1109" hidden="1" customWidth="1"/>
    <col min="10785" max="10785" width="15" style="1109" customWidth="1"/>
    <col min="10786" max="10786" width="18.28515625" style="1109" bestFit="1" customWidth="1"/>
    <col min="10787" max="10787" width="19.5703125" style="1109" bestFit="1" customWidth="1"/>
    <col min="10788" max="10788" width="18.140625" style="1109" bestFit="1" customWidth="1"/>
    <col min="10789" max="10789" width="21" style="1109" bestFit="1" customWidth="1"/>
    <col min="10790" max="10790" width="22.28515625" style="1109" bestFit="1" customWidth="1"/>
    <col min="10791" max="11008" width="9.140625" style="1109"/>
    <col min="11009" max="11009" width="1.140625" style="1109" customWidth="1"/>
    <col min="11010" max="11010" width="44.42578125" style="1109" customWidth="1"/>
    <col min="11011" max="11021" width="0" style="1109" hidden="1" customWidth="1"/>
    <col min="11022" max="11022" width="3" style="1109" customWidth="1"/>
    <col min="11023" max="11037" width="0" style="1109" hidden="1" customWidth="1"/>
    <col min="11038" max="11038" width="18.5703125" style="1109" customWidth="1"/>
    <col min="11039" max="11040" width="0" style="1109" hidden="1" customWidth="1"/>
    <col min="11041" max="11041" width="15" style="1109" customWidth="1"/>
    <col min="11042" max="11042" width="18.28515625" style="1109" bestFit="1" customWidth="1"/>
    <col min="11043" max="11043" width="19.5703125" style="1109" bestFit="1" customWidth="1"/>
    <col min="11044" max="11044" width="18.140625" style="1109" bestFit="1" customWidth="1"/>
    <col min="11045" max="11045" width="21" style="1109" bestFit="1" customWidth="1"/>
    <col min="11046" max="11046" width="22.28515625" style="1109" bestFit="1" customWidth="1"/>
    <col min="11047" max="11264" width="9.140625" style="1109"/>
    <col min="11265" max="11265" width="1.140625" style="1109" customWidth="1"/>
    <col min="11266" max="11266" width="44.42578125" style="1109" customWidth="1"/>
    <col min="11267" max="11277" width="0" style="1109" hidden="1" customWidth="1"/>
    <col min="11278" max="11278" width="3" style="1109" customWidth="1"/>
    <col min="11279" max="11293" width="0" style="1109" hidden="1" customWidth="1"/>
    <col min="11294" max="11294" width="18.5703125" style="1109" customWidth="1"/>
    <col min="11295" max="11296" width="0" style="1109" hidden="1" customWidth="1"/>
    <col min="11297" max="11297" width="15" style="1109" customWidth="1"/>
    <col min="11298" max="11298" width="18.28515625" style="1109" bestFit="1" customWidth="1"/>
    <col min="11299" max="11299" width="19.5703125" style="1109" bestFit="1" customWidth="1"/>
    <col min="11300" max="11300" width="18.140625" style="1109" bestFit="1" customWidth="1"/>
    <col min="11301" max="11301" width="21" style="1109" bestFit="1" customWidth="1"/>
    <col min="11302" max="11302" width="22.28515625" style="1109" bestFit="1" customWidth="1"/>
    <col min="11303" max="11520" width="9.140625" style="1109"/>
    <col min="11521" max="11521" width="1.140625" style="1109" customWidth="1"/>
    <col min="11522" max="11522" width="44.42578125" style="1109" customWidth="1"/>
    <col min="11523" max="11533" width="0" style="1109" hidden="1" customWidth="1"/>
    <col min="11534" max="11534" width="3" style="1109" customWidth="1"/>
    <col min="11535" max="11549" width="0" style="1109" hidden="1" customWidth="1"/>
    <col min="11550" max="11550" width="18.5703125" style="1109" customWidth="1"/>
    <col min="11551" max="11552" width="0" style="1109" hidden="1" customWidth="1"/>
    <col min="11553" max="11553" width="15" style="1109" customWidth="1"/>
    <col min="11554" max="11554" width="18.28515625" style="1109" bestFit="1" customWidth="1"/>
    <col min="11555" max="11555" width="19.5703125" style="1109" bestFit="1" customWidth="1"/>
    <col min="11556" max="11556" width="18.140625" style="1109" bestFit="1" customWidth="1"/>
    <col min="11557" max="11557" width="21" style="1109" bestFit="1" customWidth="1"/>
    <col min="11558" max="11558" width="22.28515625" style="1109" bestFit="1" customWidth="1"/>
    <col min="11559" max="11776" width="9.140625" style="1109"/>
    <col min="11777" max="11777" width="1.140625" style="1109" customWidth="1"/>
    <col min="11778" max="11778" width="44.42578125" style="1109" customWidth="1"/>
    <col min="11779" max="11789" width="0" style="1109" hidden="1" customWidth="1"/>
    <col min="11790" max="11790" width="3" style="1109" customWidth="1"/>
    <col min="11791" max="11805" width="0" style="1109" hidden="1" customWidth="1"/>
    <col min="11806" max="11806" width="18.5703125" style="1109" customWidth="1"/>
    <col min="11807" max="11808" width="0" style="1109" hidden="1" customWidth="1"/>
    <col min="11809" max="11809" width="15" style="1109" customWidth="1"/>
    <col min="11810" max="11810" width="18.28515625" style="1109" bestFit="1" customWidth="1"/>
    <col min="11811" max="11811" width="19.5703125" style="1109" bestFit="1" customWidth="1"/>
    <col min="11812" max="11812" width="18.140625" style="1109" bestFit="1" customWidth="1"/>
    <col min="11813" max="11813" width="21" style="1109" bestFit="1" customWidth="1"/>
    <col min="11814" max="11814" width="22.28515625" style="1109" bestFit="1" customWidth="1"/>
    <col min="11815" max="12032" width="9.140625" style="1109"/>
    <col min="12033" max="12033" width="1.140625" style="1109" customWidth="1"/>
    <col min="12034" max="12034" width="44.42578125" style="1109" customWidth="1"/>
    <col min="12035" max="12045" width="0" style="1109" hidden="1" customWidth="1"/>
    <col min="12046" max="12046" width="3" style="1109" customWidth="1"/>
    <col min="12047" max="12061" width="0" style="1109" hidden="1" customWidth="1"/>
    <col min="12062" max="12062" width="18.5703125" style="1109" customWidth="1"/>
    <col min="12063" max="12064" width="0" style="1109" hidden="1" customWidth="1"/>
    <col min="12065" max="12065" width="15" style="1109" customWidth="1"/>
    <col min="12066" max="12066" width="18.28515625" style="1109" bestFit="1" customWidth="1"/>
    <col min="12067" max="12067" width="19.5703125" style="1109" bestFit="1" customWidth="1"/>
    <col min="12068" max="12068" width="18.140625" style="1109" bestFit="1" customWidth="1"/>
    <col min="12069" max="12069" width="21" style="1109" bestFit="1" customWidth="1"/>
    <col min="12070" max="12070" width="22.28515625" style="1109" bestFit="1" customWidth="1"/>
    <col min="12071" max="12288" width="9.140625" style="1109"/>
    <col min="12289" max="12289" width="1.140625" style="1109" customWidth="1"/>
    <col min="12290" max="12290" width="44.42578125" style="1109" customWidth="1"/>
    <col min="12291" max="12301" width="0" style="1109" hidden="1" customWidth="1"/>
    <col min="12302" max="12302" width="3" style="1109" customWidth="1"/>
    <col min="12303" max="12317" width="0" style="1109" hidden="1" customWidth="1"/>
    <col min="12318" max="12318" width="18.5703125" style="1109" customWidth="1"/>
    <col min="12319" max="12320" width="0" style="1109" hidden="1" customWidth="1"/>
    <col min="12321" max="12321" width="15" style="1109" customWidth="1"/>
    <col min="12322" max="12322" width="18.28515625" style="1109" bestFit="1" customWidth="1"/>
    <col min="12323" max="12323" width="19.5703125" style="1109" bestFit="1" customWidth="1"/>
    <col min="12324" max="12324" width="18.140625" style="1109" bestFit="1" customWidth="1"/>
    <col min="12325" max="12325" width="21" style="1109" bestFit="1" customWidth="1"/>
    <col min="12326" max="12326" width="22.28515625" style="1109" bestFit="1" customWidth="1"/>
    <col min="12327" max="12544" width="9.140625" style="1109"/>
    <col min="12545" max="12545" width="1.140625" style="1109" customWidth="1"/>
    <col min="12546" max="12546" width="44.42578125" style="1109" customWidth="1"/>
    <col min="12547" max="12557" width="0" style="1109" hidden="1" customWidth="1"/>
    <col min="12558" max="12558" width="3" style="1109" customWidth="1"/>
    <col min="12559" max="12573" width="0" style="1109" hidden="1" customWidth="1"/>
    <col min="12574" max="12574" width="18.5703125" style="1109" customWidth="1"/>
    <col min="12575" max="12576" width="0" style="1109" hidden="1" customWidth="1"/>
    <col min="12577" max="12577" width="15" style="1109" customWidth="1"/>
    <col min="12578" max="12578" width="18.28515625" style="1109" bestFit="1" customWidth="1"/>
    <col min="12579" max="12579" width="19.5703125" style="1109" bestFit="1" customWidth="1"/>
    <col min="12580" max="12580" width="18.140625" style="1109" bestFit="1" customWidth="1"/>
    <col min="12581" max="12581" width="21" style="1109" bestFit="1" customWidth="1"/>
    <col min="12582" max="12582" width="22.28515625" style="1109" bestFit="1" customWidth="1"/>
    <col min="12583" max="12800" width="9.140625" style="1109"/>
    <col min="12801" max="12801" width="1.140625" style="1109" customWidth="1"/>
    <col min="12802" max="12802" width="44.42578125" style="1109" customWidth="1"/>
    <col min="12803" max="12813" width="0" style="1109" hidden="1" customWidth="1"/>
    <col min="12814" max="12814" width="3" style="1109" customWidth="1"/>
    <col min="12815" max="12829" width="0" style="1109" hidden="1" customWidth="1"/>
    <col min="12830" max="12830" width="18.5703125" style="1109" customWidth="1"/>
    <col min="12831" max="12832" width="0" style="1109" hidden="1" customWidth="1"/>
    <col min="12833" max="12833" width="15" style="1109" customWidth="1"/>
    <col min="12834" max="12834" width="18.28515625" style="1109" bestFit="1" customWidth="1"/>
    <col min="12835" max="12835" width="19.5703125" style="1109" bestFit="1" customWidth="1"/>
    <col min="12836" max="12836" width="18.140625" style="1109" bestFit="1" customWidth="1"/>
    <col min="12837" max="12837" width="21" style="1109" bestFit="1" customWidth="1"/>
    <col min="12838" max="12838" width="22.28515625" style="1109" bestFit="1" customWidth="1"/>
    <col min="12839" max="13056" width="9.140625" style="1109"/>
    <col min="13057" max="13057" width="1.140625" style="1109" customWidth="1"/>
    <col min="13058" max="13058" width="44.42578125" style="1109" customWidth="1"/>
    <col min="13059" max="13069" width="0" style="1109" hidden="1" customWidth="1"/>
    <col min="13070" max="13070" width="3" style="1109" customWidth="1"/>
    <col min="13071" max="13085" width="0" style="1109" hidden="1" customWidth="1"/>
    <col min="13086" max="13086" width="18.5703125" style="1109" customWidth="1"/>
    <col min="13087" max="13088" width="0" style="1109" hidden="1" customWidth="1"/>
    <col min="13089" max="13089" width="15" style="1109" customWidth="1"/>
    <col min="13090" max="13090" width="18.28515625" style="1109" bestFit="1" customWidth="1"/>
    <col min="13091" max="13091" width="19.5703125" style="1109" bestFit="1" customWidth="1"/>
    <col min="13092" max="13092" width="18.140625" style="1109" bestFit="1" customWidth="1"/>
    <col min="13093" max="13093" width="21" style="1109" bestFit="1" customWidth="1"/>
    <col min="13094" max="13094" width="22.28515625" style="1109" bestFit="1" customWidth="1"/>
    <col min="13095" max="13312" width="9.140625" style="1109"/>
    <col min="13313" max="13313" width="1.140625" style="1109" customWidth="1"/>
    <col min="13314" max="13314" width="44.42578125" style="1109" customWidth="1"/>
    <col min="13315" max="13325" width="0" style="1109" hidden="1" customWidth="1"/>
    <col min="13326" max="13326" width="3" style="1109" customWidth="1"/>
    <col min="13327" max="13341" width="0" style="1109" hidden="1" customWidth="1"/>
    <col min="13342" max="13342" width="18.5703125" style="1109" customWidth="1"/>
    <col min="13343" max="13344" width="0" style="1109" hidden="1" customWidth="1"/>
    <col min="13345" max="13345" width="15" style="1109" customWidth="1"/>
    <col min="13346" max="13346" width="18.28515625" style="1109" bestFit="1" customWidth="1"/>
    <col min="13347" max="13347" width="19.5703125" style="1109" bestFit="1" customWidth="1"/>
    <col min="13348" max="13348" width="18.140625" style="1109" bestFit="1" customWidth="1"/>
    <col min="13349" max="13349" width="21" style="1109" bestFit="1" customWidth="1"/>
    <col min="13350" max="13350" width="22.28515625" style="1109" bestFit="1" customWidth="1"/>
    <col min="13351" max="13568" width="9.140625" style="1109"/>
    <col min="13569" max="13569" width="1.140625" style="1109" customWidth="1"/>
    <col min="13570" max="13570" width="44.42578125" style="1109" customWidth="1"/>
    <col min="13571" max="13581" width="0" style="1109" hidden="1" customWidth="1"/>
    <col min="13582" max="13582" width="3" style="1109" customWidth="1"/>
    <col min="13583" max="13597" width="0" style="1109" hidden="1" customWidth="1"/>
    <col min="13598" max="13598" width="18.5703125" style="1109" customWidth="1"/>
    <col min="13599" max="13600" width="0" style="1109" hidden="1" customWidth="1"/>
    <col min="13601" max="13601" width="15" style="1109" customWidth="1"/>
    <col min="13602" max="13602" width="18.28515625" style="1109" bestFit="1" customWidth="1"/>
    <col min="13603" max="13603" width="19.5703125" style="1109" bestFit="1" customWidth="1"/>
    <col min="13604" max="13604" width="18.140625" style="1109" bestFit="1" customWidth="1"/>
    <col min="13605" max="13605" width="21" style="1109" bestFit="1" customWidth="1"/>
    <col min="13606" max="13606" width="22.28515625" style="1109" bestFit="1" customWidth="1"/>
    <col min="13607" max="13824" width="9.140625" style="1109"/>
    <col min="13825" max="13825" width="1.140625" style="1109" customWidth="1"/>
    <col min="13826" max="13826" width="44.42578125" style="1109" customWidth="1"/>
    <col min="13827" max="13837" width="0" style="1109" hidden="1" customWidth="1"/>
    <col min="13838" max="13838" width="3" style="1109" customWidth="1"/>
    <col min="13839" max="13853" width="0" style="1109" hidden="1" customWidth="1"/>
    <col min="13854" max="13854" width="18.5703125" style="1109" customWidth="1"/>
    <col min="13855" max="13856" width="0" style="1109" hidden="1" customWidth="1"/>
    <col min="13857" max="13857" width="15" style="1109" customWidth="1"/>
    <col min="13858" max="13858" width="18.28515625" style="1109" bestFit="1" customWidth="1"/>
    <col min="13859" max="13859" width="19.5703125" style="1109" bestFit="1" customWidth="1"/>
    <col min="13860" max="13860" width="18.140625" style="1109" bestFit="1" customWidth="1"/>
    <col min="13861" max="13861" width="21" style="1109" bestFit="1" customWidth="1"/>
    <col min="13862" max="13862" width="22.28515625" style="1109" bestFit="1" customWidth="1"/>
    <col min="13863" max="14080" width="9.140625" style="1109"/>
    <col min="14081" max="14081" width="1.140625" style="1109" customWidth="1"/>
    <col min="14082" max="14082" width="44.42578125" style="1109" customWidth="1"/>
    <col min="14083" max="14093" width="0" style="1109" hidden="1" customWidth="1"/>
    <col min="14094" max="14094" width="3" style="1109" customWidth="1"/>
    <col min="14095" max="14109" width="0" style="1109" hidden="1" customWidth="1"/>
    <col min="14110" max="14110" width="18.5703125" style="1109" customWidth="1"/>
    <col min="14111" max="14112" width="0" style="1109" hidden="1" customWidth="1"/>
    <col min="14113" max="14113" width="15" style="1109" customWidth="1"/>
    <col min="14114" max="14114" width="18.28515625" style="1109" bestFit="1" customWidth="1"/>
    <col min="14115" max="14115" width="19.5703125" style="1109" bestFit="1" customWidth="1"/>
    <col min="14116" max="14116" width="18.140625" style="1109" bestFit="1" customWidth="1"/>
    <col min="14117" max="14117" width="21" style="1109" bestFit="1" customWidth="1"/>
    <col min="14118" max="14118" width="22.28515625" style="1109" bestFit="1" customWidth="1"/>
    <col min="14119" max="14336" width="9.140625" style="1109"/>
    <col min="14337" max="14337" width="1.140625" style="1109" customWidth="1"/>
    <col min="14338" max="14338" width="44.42578125" style="1109" customWidth="1"/>
    <col min="14339" max="14349" width="0" style="1109" hidden="1" customWidth="1"/>
    <col min="14350" max="14350" width="3" style="1109" customWidth="1"/>
    <col min="14351" max="14365" width="0" style="1109" hidden="1" customWidth="1"/>
    <col min="14366" max="14366" width="18.5703125" style="1109" customWidth="1"/>
    <col min="14367" max="14368" width="0" style="1109" hidden="1" customWidth="1"/>
    <col min="14369" max="14369" width="15" style="1109" customWidth="1"/>
    <col min="14370" max="14370" width="18.28515625" style="1109" bestFit="1" customWidth="1"/>
    <col min="14371" max="14371" width="19.5703125" style="1109" bestFit="1" customWidth="1"/>
    <col min="14372" max="14372" width="18.140625" style="1109" bestFit="1" customWidth="1"/>
    <col min="14373" max="14373" width="21" style="1109" bestFit="1" customWidth="1"/>
    <col min="14374" max="14374" width="22.28515625" style="1109" bestFit="1" customWidth="1"/>
    <col min="14375" max="14592" width="9.140625" style="1109"/>
    <col min="14593" max="14593" width="1.140625" style="1109" customWidth="1"/>
    <col min="14594" max="14594" width="44.42578125" style="1109" customWidth="1"/>
    <col min="14595" max="14605" width="0" style="1109" hidden="1" customWidth="1"/>
    <col min="14606" max="14606" width="3" style="1109" customWidth="1"/>
    <col min="14607" max="14621" width="0" style="1109" hidden="1" customWidth="1"/>
    <col min="14622" max="14622" width="18.5703125" style="1109" customWidth="1"/>
    <col min="14623" max="14624" width="0" style="1109" hidden="1" customWidth="1"/>
    <col min="14625" max="14625" width="15" style="1109" customWidth="1"/>
    <col min="14626" max="14626" width="18.28515625" style="1109" bestFit="1" customWidth="1"/>
    <col min="14627" max="14627" width="19.5703125" style="1109" bestFit="1" customWidth="1"/>
    <col min="14628" max="14628" width="18.140625" style="1109" bestFit="1" customWidth="1"/>
    <col min="14629" max="14629" width="21" style="1109" bestFit="1" customWidth="1"/>
    <col min="14630" max="14630" width="22.28515625" style="1109" bestFit="1" customWidth="1"/>
    <col min="14631" max="14848" width="9.140625" style="1109"/>
    <col min="14849" max="14849" width="1.140625" style="1109" customWidth="1"/>
    <col min="14850" max="14850" width="44.42578125" style="1109" customWidth="1"/>
    <col min="14851" max="14861" width="0" style="1109" hidden="1" customWidth="1"/>
    <col min="14862" max="14862" width="3" style="1109" customWidth="1"/>
    <col min="14863" max="14877" width="0" style="1109" hidden="1" customWidth="1"/>
    <col min="14878" max="14878" width="18.5703125" style="1109" customWidth="1"/>
    <col min="14879" max="14880" width="0" style="1109" hidden="1" customWidth="1"/>
    <col min="14881" max="14881" width="15" style="1109" customWidth="1"/>
    <col min="14882" max="14882" width="18.28515625" style="1109" bestFit="1" customWidth="1"/>
    <col min="14883" max="14883" width="19.5703125" style="1109" bestFit="1" customWidth="1"/>
    <col min="14884" max="14884" width="18.140625" style="1109" bestFit="1" customWidth="1"/>
    <col min="14885" max="14885" width="21" style="1109" bestFit="1" customWidth="1"/>
    <col min="14886" max="14886" width="22.28515625" style="1109" bestFit="1" customWidth="1"/>
    <col min="14887" max="15104" width="9.140625" style="1109"/>
    <col min="15105" max="15105" width="1.140625" style="1109" customWidth="1"/>
    <col min="15106" max="15106" width="44.42578125" style="1109" customWidth="1"/>
    <col min="15107" max="15117" width="0" style="1109" hidden="1" customWidth="1"/>
    <col min="15118" max="15118" width="3" style="1109" customWidth="1"/>
    <col min="15119" max="15133" width="0" style="1109" hidden="1" customWidth="1"/>
    <col min="15134" max="15134" width="18.5703125" style="1109" customWidth="1"/>
    <col min="15135" max="15136" width="0" style="1109" hidden="1" customWidth="1"/>
    <col min="15137" max="15137" width="15" style="1109" customWidth="1"/>
    <col min="15138" max="15138" width="18.28515625" style="1109" bestFit="1" customWidth="1"/>
    <col min="15139" max="15139" width="19.5703125" style="1109" bestFit="1" customWidth="1"/>
    <col min="15140" max="15140" width="18.140625" style="1109" bestFit="1" customWidth="1"/>
    <col min="15141" max="15141" width="21" style="1109" bestFit="1" customWidth="1"/>
    <col min="15142" max="15142" width="22.28515625" style="1109" bestFit="1" customWidth="1"/>
    <col min="15143" max="15360" width="9.140625" style="1109"/>
    <col min="15361" max="15361" width="1.140625" style="1109" customWidth="1"/>
    <col min="15362" max="15362" width="44.42578125" style="1109" customWidth="1"/>
    <col min="15363" max="15373" width="0" style="1109" hidden="1" customWidth="1"/>
    <col min="15374" max="15374" width="3" style="1109" customWidth="1"/>
    <col min="15375" max="15389" width="0" style="1109" hidden="1" customWidth="1"/>
    <col min="15390" max="15390" width="18.5703125" style="1109" customWidth="1"/>
    <col min="15391" max="15392" width="0" style="1109" hidden="1" customWidth="1"/>
    <col min="15393" max="15393" width="15" style="1109" customWidth="1"/>
    <col min="15394" max="15394" width="18.28515625" style="1109" bestFit="1" customWidth="1"/>
    <col min="15395" max="15395" width="19.5703125" style="1109" bestFit="1" customWidth="1"/>
    <col min="15396" max="15396" width="18.140625" style="1109" bestFit="1" customWidth="1"/>
    <col min="15397" max="15397" width="21" style="1109" bestFit="1" customWidth="1"/>
    <col min="15398" max="15398" width="22.28515625" style="1109" bestFit="1" customWidth="1"/>
    <col min="15399" max="15616" width="9.140625" style="1109"/>
    <col min="15617" max="15617" width="1.140625" style="1109" customWidth="1"/>
    <col min="15618" max="15618" width="44.42578125" style="1109" customWidth="1"/>
    <col min="15619" max="15629" width="0" style="1109" hidden="1" customWidth="1"/>
    <col min="15630" max="15630" width="3" style="1109" customWidth="1"/>
    <col min="15631" max="15645" width="0" style="1109" hidden="1" customWidth="1"/>
    <col min="15646" max="15646" width="18.5703125" style="1109" customWidth="1"/>
    <col min="15647" max="15648" width="0" style="1109" hidden="1" customWidth="1"/>
    <col min="15649" max="15649" width="15" style="1109" customWidth="1"/>
    <col min="15650" max="15650" width="18.28515625" style="1109" bestFit="1" customWidth="1"/>
    <col min="15651" max="15651" width="19.5703125" style="1109" bestFit="1" customWidth="1"/>
    <col min="15652" max="15652" width="18.140625" style="1109" bestFit="1" customWidth="1"/>
    <col min="15653" max="15653" width="21" style="1109" bestFit="1" customWidth="1"/>
    <col min="15654" max="15654" width="22.28515625" style="1109" bestFit="1" customWidth="1"/>
    <col min="15655" max="15872" width="9.140625" style="1109"/>
    <col min="15873" max="15873" width="1.140625" style="1109" customWidth="1"/>
    <col min="15874" max="15874" width="44.42578125" style="1109" customWidth="1"/>
    <col min="15875" max="15885" width="0" style="1109" hidden="1" customWidth="1"/>
    <col min="15886" max="15886" width="3" style="1109" customWidth="1"/>
    <col min="15887" max="15901" width="0" style="1109" hidden="1" customWidth="1"/>
    <col min="15902" max="15902" width="18.5703125" style="1109" customWidth="1"/>
    <col min="15903" max="15904" width="0" style="1109" hidden="1" customWidth="1"/>
    <col min="15905" max="15905" width="15" style="1109" customWidth="1"/>
    <col min="15906" max="15906" width="18.28515625" style="1109" bestFit="1" customWidth="1"/>
    <col min="15907" max="15907" width="19.5703125" style="1109" bestFit="1" customWidth="1"/>
    <col min="15908" max="15908" width="18.140625" style="1109" bestFit="1" customWidth="1"/>
    <col min="15909" max="15909" width="21" style="1109" bestFit="1" customWidth="1"/>
    <col min="15910" max="15910" width="22.28515625" style="1109" bestFit="1" customWidth="1"/>
    <col min="15911" max="16128" width="9.140625" style="1109"/>
    <col min="16129" max="16129" width="1.140625" style="1109" customWidth="1"/>
    <col min="16130" max="16130" width="44.42578125" style="1109" customWidth="1"/>
    <col min="16131" max="16141" width="0" style="1109" hidden="1" customWidth="1"/>
    <col min="16142" max="16142" width="3" style="1109" customWidth="1"/>
    <col min="16143" max="16157" width="0" style="1109" hidden="1" customWidth="1"/>
    <col min="16158" max="16158" width="18.5703125" style="1109" customWidth="1"/>
    <col min="16159" max="16160" width="0" style="1109" hidden="1" customWidth="1"/>
    <col min="16161" max="16161" width="15" style="1109" customWidth="1"/>
    <col min="16162" max="16162" width="18.28515625" style="1109" bestFit="1" customWidth="1"/>
    <col min="16163" max="16163" width="19.5703125" style="1109" bestFit="1" customWidth="1"/>
    <col min="16164" max="16164" width="18.140625" style="1109" bestFit="1" customWidth="1"/>
    <col min="16165" max="16165" width="21" style="1109" bestFit="1" customWidth="1"/>
    <col min="16166" max="16166" width="22.28515625" style="1109" bestFit="1" customWidth="1"/>
    <col min="16167" max="16384" width="9.140625" style="1109"/>
  </cols>
  <sheetData>
    <row r="1" spans="2:38">
      <c r="B1" s="6204" t="s">
        <v>2527</v>
      </c>
      <c r="C1" s="6204"/>
      <c r="D1" s="6204"/>
      <c r="E1" s="6204"/>
      <c r="F1" s="6204"/>
      <c r="G1" s="6204"/>
      <c r="H1" s="6204"/>
      <c r="I1" s="6204"/>
      <c r="J1" s="6204"/>
      <c r="K1" s="6204"/>
      <c r="L1" s="6204"/>
      <c r="M1" s="6204"/>
      <c r="N1" s="6204"/>
      <c r="O1" s="6204"/>
      <c r="P1" s="6204"/>
      <c r="Q1" s="6204"/>
      <c r="R1" s="6204"/>
      <c r="S1" s="6204"/>
      <c r="T1" s="6204"/>
      <c r="U1" s="6204"/>
      <c r="V1" s="6204"/>
      <c r="W1" s="6204"/>
      <c r="X1" s="6204"/>
      <c r="Y1" s="6204"/>
      <c r="Z1" s="6204"/>
      <c r="AA1" s="6204"/>
      <c r="AB1" s="6204"/>
      <c r="AC1" s="6204"/>
      <c r="AD1" s="6204"/>
      <c r="AE1" s="6204"/>
      <c r="AF1" s="6204"/>
    </row>
    <row r="2" spans="2:38">
      <c r="B2" s="1911"/>
      <c r="C2" s="1911"/>
      <c r="D2" s="1911"/>
      <c r="E2" s="1911"/>
      <c r="F2" s="1911"/>
      <c r="G2" s="1911"/>
      <c r="H2" s="1911"/>
      <c r="I2" s="1911"/>
      <c r="J2" s="1911"/>
      <c r="K2" s="1911"/>
      <c r="L2" s="1911"/>
      <c r="M2" s="1911"/>
      <c r="N2" s="1911"/>
      <c r="O2" s="1911"/>
      <c r="P2" s="1911"/>
      <c r="Q2" s="1911"/>
    </row>
    <row r="3" spans="2:38">
      <c r="B3" s="1965" t="s">
        <v>2528</v>
      </c>
      <c r="C3" s="1965"/>
      <c r="D3" s="1965"/>
      <c r="E3" s="1965"/>
      <c r="F3" s="1965"/>
      <c r="G3" s="1965"/>
      <c r="H3" s="1965"/>
      <c r="I3" s="1965"/>
      <c r="J3" s="1965"/>
      <c r="K3" s="1965"/>
      <c r="L3" s="1965"/>
      <c r="M3" s="1965"/>
      <c r="N3" s="1965"/>
      <c r="O3" s="1965"/>
      <c r="P3" s="1965"/>
      <c r="Q3" s="1965"/>
      <c r="R3" s="1965"/>
      <c r="S3" s="1965"/>
      <c r="T3" s="1965"/>
      <c r="U3" s="1965"/>
      <c r="V3" s="1965"/>
      <c r="W3" s="1965"/>
      <c r="X3" s="1965"/>
      <c r="Y3" s="1965"/>
      <c r="Z3" s="1965"/>
      <c r="AA3" s="1965"/>
      <c r="AB3" s="1965"/>
      <c r="AC3" s="1965"/>
      <c r="AD3" s="1965"/>
      <c r="AE3" s="1965"/>
      <c r="AF3" s="1965"/>
    </row>
    <row r="4" spans="2:38">
      <c r="B4" s="1111" t="s">
        <v>94</v>
      </c>
      <c r="C4" s="1111" t="s">
        <v>94</v>
      </c>
      <c r="D4" s="1111" t="s">
        <v>94</v>
      </c>
      <c r="E4" s="1111" t="s">
        <v>94</v>
      </c>
      <c r="F4" s="1111" t="s">
        <v>94</v>
      </c>
      <c r="G4" s="1162"/>
      <c r="H4" s="1111" t="s">
        <v>94</v>
      </c>
      <c r="I4" s="1111" t="s">
        <v>94</v>
      </c>
      <c r="J4" s="1111"/>
      <c r="K4" s="1111"/>
      <c r="L4" s="1111"/>
      <c r="M4" s="1111"/>
      <c r="N4" s="1111"/>
      <c r="O4" s="1111"/>
      <c r="P4" s="1111"/>
      <c r="Q4" s="1111"/>
      <c r="R4" s="1111"/>
      <c r="S4" s="1111"/>
      <c r="T4" s="1111"/>
      <c r="U4" s="1111"/>
      <c r="V4" s="1111"/>
      <c r="W4" s="1111"/>
      <c r="Y4" s="1111"/>
      <c r="Z4" s="1111"/>
      <c r="AA4" s="1111"/>
      <c r="AB4" s="1111"/>
      <c r="AC4" s="1111"/>
      <c r="AD4" s="1111"/>
      <c r="AE4" s="1111"/>
      <c r="AF4" s="1111"/>
      <c r="AG4" s="1111"/>
      <c r="AH4" s="1111"/>
      <c r="AI4" s="1111"/>
      <c r="AJ4" s="1111"/>
      <c r="AK4" s="1111"/>
      <c r="AL4" s="1111"/>
    </row>
    <row r="5" spans="2:38">
      <c r="B5" s="6205" t="s">
        <v>809</v>
      </c>
      <c r="C5" s="1966"/>
      <c r="D5" s="1967"/>
      <c r="E5" s="1968" t="s">
        <v>1062</v>
      </c>
      <c r="F5" s="1969" t="s">
        <v>94</v>
      </c>
      <c r="G5" s="1970"/>
      <c r="H5" s="1967"/>
      <c r="I5" s="1968" t="s">
        <v>1063</v>
      </c>
      <c r="J5" s="1971" t="s">
        <v>1064</v>
      </c>
      <c r="K5" s="1972"/>
      <c r="L5" s="1968" t="s">
        <v>2556</v>
      </c>
      <c r="M5" s="1971" t="s">
        <v>2529</v>
      </c>
      <c r="N5" s="1971"/>
      <c r="O5" s="1967"/>
      <c r="P5" s="1968" t="s">
        <v>1063</v>
      </c>
      <c r="Q5" s="1973" t="s">
        <v>1064</v>
      </c>
      <c r="R5" s="1972"/>
      <c r="S5" s="1974" t="s">
        <v>94</v>
      </c>
      <c r="T5" s="1971" t="s">
        <v>2529</v>
      </c>
      <c r="U5" s="1975"/>
      <c r="V5" s="1968" t="s">
        <v>1063</v>
      </c>
      <c r="W5" s="1976" t="s">
        <v>94</v>
      </c>
      <c r="X5" s="1967"/>
      <c r="Y5" s="1968" t="s">
        <v>1063</v>
      </c>
      <c r="Z5" s="1973" t="s">
        <v>1064</v>
      </c>
      <c r="AA5" s="1967"/>
      <c r="AB5" s="1968" t="s">
        <v>2556</v>
      </c>
      <c r="AC5" s="1971" t="s">
        <v>2529</v>
      </c>
      <c r="AD5" s="1975"/>
      <c r="AE5" s="1968" t="s">
        <v>1063</v>
      </c>
      <c r="AF5" s="1973" t="s">
        <v>94</v>
      </c>
      <c r="AG5" s="1972"/>
      <c r="AH5" s="1977" t="s">
        <v>1062</v>
      </c>
      <c r="AI5" s="1971" t="s">
        <v>2529</v>
      </c>
      <c r="AJ5" s="1975"/>
      <c r="AK5" s="1968" t="s">
        <v>1063</v>
      </c>
      <c r="AL5" s="1973" t="s">
        <v>94</v>
      </c>
    </row>
    <row r="6" spans="2:38">
      <c r="B6" s="6206"/>
      <c r="C6" s="1968" t="s">
        <v>1066</v>
      </c>
      <c r="D6" s="1973" t="s">
        <v>1067</v>
      </c>
      <c r="E6" s="1968" t="s">
        <v>1068</v>
      </c>
      <c r="F6" s="1969" t="s">
        <v>1069</v>
      </c>
      <c r="G6" s="1978"/>
      <c r="H6" s="1973" t="s">
        <v>1066</v>
      </c>
      <c r="I6" s="1968" t="s">
        <v>1070</v>
      </c>
      <c r="J6" s="1971" t="s">
        <v>1071</v>
      </c>
      <c r="K6" s="1979" t="s">
        <v>1067</v>
      </c>
      <c r="L6" s="1968" t="s">
        <v>1068</v>
      </c>
      <c r="M6" s="1973" t="s">
        <v>2530</v>
      </c>
      <c r="N6" s="1973"/>
      <c r="O6" s="1973" t="s">
        <v>1066</v>
      </c>
      <c r="P6" s="1968" t="s">
        <v>1070</v>
      </c>
      <c r="Q6" s="1973" t="s">
        <v>1071</v>
      </c>
      <c r="R6" s="1979" t="s">
        <v>94</v>
      </c>
      <c r="S6" s="1968" t="s">
        <v>2556</v>
      </c>
      <c r="T6" s="1973" t="s">
        <v>2530</v>
      </c>
      <c r="U6" s="1973" t="s">
        <v>1066</v>
      </c>
      <c r="V6" s="1968" t="s">
        <v>1070</v>
      </c>
      <c r="W6" s="1973" t="s">
        <v>1064</v>
      </c>
      <c r="X6" s="1973" t="s">
        <v>1066</v>
      </c>
      <c r="Y6" s="1968" t="s">
        <v>1070</v>
      </c>
      <c r="Z6" s="1973" t="s">
        <v>1071</v>
      </c>
      <c r="AA6" s="1973" t="s">
        <v>94</v>
      </c>
      <c r="AB6" s="1968" t="s">
        <v>1073</v>
      </c>
      <c r="AC6" s="1973" t="s">
        <v>2530</v>
      </c>
      <c r="AD6" s="1973" t="s">
        <v>1066</v>
      </c>
      <c r="AE6" s="1968" t="s">
        <v>1070</v>
      </c>
      <c r="AF6" s="1973" t="s">
        <v>1064</v>
      </c>
      <c r="AG6" s="1979" t="s">
        <v>94</v>
      </c>
      <c r="AH6" s="1968" t="s">
        <v>1073</v>
      </c>
      <c r="AI6" s="1973" t="s">
        <v>2530</v>
      </c>
      <c r="AJ6" s="1973" t="s">
        <v>1066</v>
      </c>
      <c r="AK6" s="1968" t="s">
        <v>1070</v>
      </c>
      <c r="AL6" s="1973" t="s">
        <v>1064</v>
      </c>
    </row>
    <row r="7" spans="2:38">
      <c r="B7" s="6206"/>
      <c r="C7" s="1968" t="s">
        <v>1074</v>
      </c>
      <c r="D7" s="1975"/>
      <c r="E7" s="1968" t="s">
        <v>1075</v>
      </c>
      <c r="F7" s="1971" t="s">
        <v>1076</v>
      </c>
      <c r="G7" s="1978"/>
      <c r="H7" s="1973" t="s">
        <v>1077</v>
      </c>
      <c r="I7" s="1968" t="s">
        <v>1071</v>
      </c>
      <c r="J7" s="1971" t="s">
        <v>1078</v>
      </c>
      <c r="K7" s="1972"/>
      <c r="L7" s="1968" t="s">
        <v>2531</v>
      </c>
      <c r="M7" s="1973" t="s">
        <v>1080</v>
      </c>
      <c r="N7" s="1973"/>
      <c r="O7" s="1973" t="s">
        <v>1081</v>
      </c>
      <c r="P7" s="1968" t="s">
        <v>1071</v>
      </c>
      <c r="Q7" s="1973" t="s">
        <v>1082</v>
      </c>
      <c r="R7" s="1979" t="s">
        <v>1067</v>
      </c>
      <c r="S7" s="1968" t="s">
        <v>1068</v>
      </c>
      <c r="T7" s="1973" t="s">
        <v>1080</v>
      </c>
      <c r="U7" s="1973" t="s">
        <v>1084</v>
      </c>
      <c r="V7" s="1968" t="s">
        <v>1071</v>
      </c>
      <c r="W7" s="1973" t="s">
        <v>1071</v>
      </c>
      <c r="X7" s="1973" t="s">
        <v>1081</v>
      </c>
      <c r="Y7" s="1968" t="s">
        <v>1071</v>
      </c>
      <c r="Z7" s="1973" t="s">
        <v>1082</v>
      </c>
      <c r="AA7" s="1973" t="s">
        <v>1067</v>
      </c>
      <c r="AB7" s="1968" t="s">
        <v>1083</v>
      </c>
      <c r="AC7" s="1973" t="s">
        <v>1080</v>
      </c>
      <c r="AD7" s="1973" t="s">
        <v>1086</v>
      </c>
      <c r="AE7" s="1968" t="s">
        <v>1071</v>
      </c>
      <c r="AF7" s="1973" t="s">
        <v>1071</v>
      </c>
      <c r="AG7" s="1979" t="s">
        <v>1067</v>
      </c>
      <c r="AH7" s="1968" t="s">
        <v>1083</v>
      </c>
      <c r="AI7" s="1973" t="s">
        <v>1080</v>
      </c>
      <c r="AJ7" s="1973" t="s">
        <v>2532</v>
      </c>
      <c r="AK7" s="1968" t="s">
        <v>1071</v>
      </c>
      <c r="AL7" s="1973" t="s">
        <v>1071</v>
      </c>
    </row>
    <row r="8" spans="2:38">
      <c r="B8" s="6206"/>
      <c r="C8" s="1966"/>
      <c r="D8" s="1975" t="s">
        <v>94</v>
      </c>
      <c r="E8" s="1968" t="s">
        <v>1088</v>
      </c>
      <c r="F8" s="1971" t="s">
        <v>1089</v>
      </c>
      <c r="G8" s="1978"/>
      <c r="H8" s="1975"/>
      <c r="I8" s="1968" t="s">
        <v>1090</v>
      </c>
      <c r="J8" s="1980"/>
      <c r="K8" s="1972" t="s">
        <v>94</v>
      </c>
      <c r="L8" s="1968"/>
      <c r="M8" s="1973" t="s">
        <v>2557</v>
      </c>
      <c r="N8" s="1973"/>
      <c r="O8" s="1975"/>
      <c r="P8" s="1968" t="s">
        <v>1091</v>
      </c>
      <c r="Q8" s="1981"/>
      <c r="R8" s="1972" t="s">
        <v>94</v>
      </c>
      <c r="S8" s="1968" t="s">
        <v>2531</v>
      </c>
      <c r="T8" s="1973" t="s">
        <v>2557</v>
      </c>
      <c r="U8" s="1975"/>
      <c r="V8" s="1968" t="s">
        <v>2533</v>
      </c>
      <c r="W8" s="1973" t="s">
        <v>1085</v>
      </c>
      <c r="X8" s="1975"/>
      <c r="Y8" s="1968" t="s">
        <v>1091</v>
      </c>
      <c r="Z8" s="1981"/>
      <c r="AA8" s="1975" t="s">
        <v>94</v>
      </c>
      <c r="AB8" s="1968" t="s">
        <v>1079</v>
      </c>
      <c r="AC8" s="1973" t="s">
        <v>2557</v>
      </c>
      <c r="AD8" s="1975"/>
      <c r="AE8" s="1968" t="s">
        <v>2534</v>
      </c>
      <c r="AF8" s="1973" t="s">
        <v>1087</v>
      </c>
      <c r="AG8" s="1972" t="s">
        <v>94</v>
      </c>
      <c r="AH8" s="1968" t="s">
        <v>1079</v>
      </c>
      <c r="AI8" s="1973" t="s">
        <v>2557</v>
      </c>
      <c r="AJ8" s="1975"/>
      <c r="AK8" s="1968" t="s">
        <v>2535</v>
      </c>
      <c r="AL8" s="1973" t="s">
        <v>2536</v>
      </c>
    </row>
    <row r="9" spans="2:38" ht="15.75" thickBot="1">
      <c r="B9" s="6207"/>
      <c r="C9" s="1982" t="s">
        <v>1094</v>
      </c>
      <c r="D9" s="1983" t="s">
        <v>1094</v>
      </c>
      <c r="E9" s="1982" t="s">
        <v>1095</v>
      </c>
      <c r="F9" s="1984" t="s">
        <v>1094</v>
      </c>
      <c r="G9" s="1982"/>
      <c r="H9" s="1983" t="s">
        <v>586</v>
      </c>
      <c r="I9" s="1982" t="s">
        <v>1095</v>
      </c>
      <c r="J9" s="1984" t="s">
        <v>94</v>
      </c>
      <c r="K9" s="1985" t="s">
        <v>586</v>
      </c>
      <c r="L9" s="1983" t="s">
        <v>586</v>
      </c>
      <c r="M9" s="1983" t="s">
        <v>586</v>
      </c>
      <c r="N9" s="1983"/>
      <c r="O9" s="1983" t="s">
        <v>94</v>
      </c>
      <c r="P9" s="1983" t="s">
        <v>586</v>
      </c>
      <c r="Q9" s="1983" t="s">
        <v>586</v>
      </c>
      <c r="R9" s="1985" t="s">
        <v>94</v>
      </c>
      <c r="S9" s="1983" t="s">
        <v>94</v>
      </c>
      <c r="T9" s="1983" t="s">
        <v>94</v>
      </c>
      <c r="U9" s="1983" t="s">
        <v>1095</v>
      </c>
      <c r="V9" s="1983" t="s">
        <v>94</v>
      </c>
      <c r="W9" s="1983" t="s">
        <v>94</v>
      </c>
      <c r="X9" s="1983" t="s">
        <v>94</v>
      </c>
      <c r="Y9" s="1983" t="s">
        <v>586</v>
      </c>
      <c r="Z9" s="1983" t="s">
        <v>586</v>
      </c>
      <c r="AA9" s="1983" t="s">
        <v>1095</v>
      </c>
      <c r="AB9" s="1983" t="s">
        <v>1095</v>
      </c>
      <c r="AC9" s="1983" t="s">
        <v>1095</v>
      </c>
      <c r="AD9" s="1983" t="s">
        <v>1095</v>
      </c>
      <c r="AE9" s="1983" t="s">
        <v>1095</v>
      </c>
      <c r="AF9" s="1983" t="s">
        <v>1095</v>
      </c>
      <c r="AG9" s="1983" t="s">
        <v>1095</v>
      </c>
      <c r="AH9" s="1983" t="s">
        <v>1095</v>
      </c>
      <c r="AI9" s="1983" t="s">
        <v>1095</v>
      </c>
      <c r="AJ9" s="1983" t="s">
        <v>1095</v>
      </c>
      <c r="AK9" s="1983" t="s">
        <v>1095</v>
      </c>
      <c r="AL9" s="1983" t="s">
        <v>1095</v>
      </c>
    </row>
    <row r="10" spans="2:38">
      <c r="B10" s="1986"/>
      <c r="C10" s="1987"/>
      <c r="D10" s="1988"/>
      <c r="E10" s="1987"/>
      <c r="F10" s="1989"/>
      <c r="G10" s="1987"/>
      <c r="H10" s="1988"/>
      <c r="I10" s="1987"/>
      <c r="J10" s="1162"/>
      <c r="K10" s="1990"/>
      <c r="L10" s="1987"/>
      <c r="M10" s="1988"/>
      <c r="N10" s="1988"/>
      <c r="O10" s="1988"/>
      <c r="P10" s="1987"/>
      <c r="Q10" s="1991"/>
      <c r="R10" s="1990"/>
      <c r="S10" s="1987"/>
      <c r="T10" s="1988"/>
      <c r="U10" s="1988"/>
      <c r="V10" s="1987"/>
      <c r="W10" s="1991"/>
      <c r="X10" s="1988"/>
      <c r="Y10" s="1987"/>
      <c r="Z10" s="1991"/>
      <c r="AA10" s="1992"/>
      <c r="AB10" s="1987"/>
      <c r="AC10" s="1988"/>
      <c r="AD10" s="1988"/>
      <c r="AE10" s="1987"/>
      <c r="AF10" s="1991"/>
      <c r="AG10" s="1990"/>
      <c r="AH10" s="1987"/>
      <c r="AI10" s="1988"/>
      <c r="AJ10" s="1988"/>
      <c r="AK10" s="1987"/>
      <c r="AL10" s="1991"/>
    </row>
    <row r="11" spans="2:38">
      <c r="B11" s="1993" t="s">
        <v>1096</v>
      </c>
      <c r="C11" s="1910"/>
      <c r="D11" s="1994"/>
      <c r="E11" s="1910"/>
      <c r="F11" s="1995"/>
      <c r="G11" s="1996"/>
      <c r="H11" s="1994"/>
      <c r="I11" s="1997" t="s">
        <v>1095</v>
      </c>
      <c r="J11" s="1162"/>
      <c r="K11" s="1998"/>
      <c r="L11" s="1910"/>
      <c r="M11" s="1994"/>
      <c r="N11" s="1994"/>
      <c r="O11" s="1994"/>
      <c r="P11" s="1997" t="s">
        <v>94</v>
      </c>
      <c r="Q11" s="1986"/>
      <c r="R11" s="1998"/>
      <c r="S11" s="1910"/>
      <c r="T11" s="1994"/>
      <c r="U11" s="1994"/>
      <c r="V11" s="1997" t="s">
        <v>94</v>
      </c>
      <c r="W11" s="1986"/>
      <c r="X11" s="1994"/>
      <c r="Y11" s="1997" t="s">
        <v>94</v>
      </c>
      <c r="Z11" s="1986"/>
      <c r="AA11" s="1994"/>
      <c r="AB11" s="1910"/>
      <c r="AC11" s="1994"/>
      <c r="AD11" s="1994"/>
      <c r="AE11" s="1997" t="s">
        <v>94</v>
      </c>
      <c r="AF11" s="1986"/>
      <c r="AG11" s="1998"/>
      <c r="AH11" s="1910"/>
      <c r="AI11" s="1994"/>
      <c r="AJ11" s="1994"/>
      <c r="AK11" s="1997" t="s">
        <v>94</v>
      </c>
      <c r="AL11" s="1986"/>
    </row>
    <row r="12" spans="2:38">
      <c r="B12" s="1986" t="s">
        <v>1097</v>
      </c>
      <c r="C12" s="1999">
        <v>41129691.890000001</v>
      </c>
      <c r="D12" s="2000">
        <v>0</v>
      </c>
      <c r="E12" s="1153">
        <v>0</v>
      </c>
      <c r="F12" s="2001">
        <v>0</v>
      </c>
      <c r="G12" s="2002"/>
      <c r="H12" s="2003">
        <v>41129692</v>
      </c>
      <c r="I12" s="2000">
        <v>0</v>
      </c>
      <c r="J12" s="2004">
        <f>+H12-I12</f>
        <v>41129692</v>
      </c>
      <c r="K12" s="2005">
        <v>0</v>
      </c>
      <c r="L12" s="1163">
        <v>0</v>
      </c>
      <c r="M12" s="2003">
        <v>0</v>
      </c>
      <c r="N12" s="2003"/>
      <c r="O12" s="2003">
        <f t="shared" ref="O12:O18" si="0">+H12+K12-L12+M12</f>
        <v>41129692</v>
      </c>
      <c r="P12" s="2003">
        <v>0</v>
      </c>
      <c r="Q12" s="2006">
        <f>+O12-P12</f>
        <v>41129692</v>
      </c>
      <c r="R12" s="2005">
        <v>0</v>
      </c>
      <c r="S12" s="1163">
        <v>0</v>
      </c>
      <c r="T12" s="2003">
        <v>0</v>
      </c>
      <c r="U12" s="2003">
        <f>+O12+R12-S12+T12</f>
        <v>41129692</v>
      </c>
      <c r="V12" s="2003">
        <v>0</v>
      </c>
      <c r="W12" s="2006">
        <f>+U12-V12</f>
        <v>41129692</v>
      </c>
      <c r="X12" s="2003">
        <f t="shared" ref="X12:X18" si="1">+Q12+T12-U12+V12</f>
        <v>0</v>
      </c>
      <c r="Y12" s="2003">
        <v>0</v>
      </c>
      <c r="Z12" s="2006">
        <f>+X12-Y12</f>
        <v>0</v>
      </c>
      <c r="AA12" s="2005">
        <v>0</v>
      </c>
      <c r="AB12" s="1163">
        <v>0</v>
      </c>
      <c r="AC12" s="2003">
        <v>0</v>
      </c>
      <c r="AD12" s="2049">
        <f>+U12+AA12-AB12+AC12</f>
        <v>41129692</v>
      </c>
      <c r="AE12" s="2049">
        <v>0</v>
      </c>
      <c r="AF12" s="2050">
        <f>+AD12-AE12</f>
        <v>41129692</v>
      </c>
      <c r="AG12" s="2051">
        <v>0</v>
      </c>
      <c r="AH12" s="2052">
        <v>0</v>
      </c>
      <c r="AI12" s="2049">
        <v>0</v>
      </c>
      <c r="AJ12" s="2049">
        <f>+AD12+AG12-AH12+AI12</f>
        <v>41129692</v>
      </c>
      <c r="AK12" s="2049">
        <v>0</v>
      </c>
      <c r="AL12" s="2050">
        <f>+AJ12-AK12</f>
        <v>41129692</v>
      </c>
    </row>
    <row r="13" spans="2:38">
      <c r="B13" s="1986" t="s">
        <v>1098</v>
      </c>
      <c r="C13" s="1153">
        <v>771864756.10000002</v>
      </c>
      <c r="D13" s="2000">
        <v>0</v>
      </c>
      <c r="E13" s="1153">
        <v>0</v>
      </c>
      <c r="F13" s="2001">
        <v>0</v>
      </c>
      <c r="G13" s="2002"/>
      <c r="H13" s="2003">
        <v>771864756</v>
      </c>
      <c r="I13" s="2000">
        <v>248034959</v>
      </c>
      <c r="J13" s="2004">
        <f t="shared" ref="J13:J47" si="2">+H13-I13</f>
        <v>523829797</v>
      </c>
      <c r="K13" s="2005">
        <v>0</v>
      </c>
      <c r="L13" s="1163">
        <v>0</v>
      </c>
      <c r="M13" s="2003">
        <v>0</v>
      </c>
      <c r="N13" s="2003" t="s">
        <v>801</v>
      </c>
      <c r="O13" s="2003">
        <f t="shared" si="0"/>
        <v>771864756</v>
      </c>
      <c r="P13" s="2003">
        <v>263037499</v>
      </c>
      <c r="Q13" s="2006">
        <f t="shared" ref="Q13:Q18" si="3">+O13-P13</f>
        <v>508827257</v>
      </c>
      <c r="R13" s="2005">
        <v>0</v>
      </c>
      <c r="S13" s="1163">
        <v>0</v>
      </c>
      <c r="T13" s="2003">
        <v>0</v>
      </c>
      <c r="U13" s="2003">
        <f t="shared" ref="U13:U20" si="4">+O13+R13-S13+T13</f>
        <v>771864756</v>
      </c>
      <c r="V13" s="2003">
        <v>278034017</v>
      </c>
      <c r="W13" s="2006">
        <f t="shared" ref="W13:W18" si="5">+U13-V13</f>
        <v>493830739</v>
      </c>
      <c r="X13" s="2003">
        <f t="shared" si="1"/>
        <v>14996518</v>
      </c>
      <c r="Y13" s="2003">
        <v>263037499</v>
      </c>
      <c r="Z13" s="2006">
        <f t="shared" ref="Z13:Z18" si="6">+X13-Y13</f>
        <v>-248040981</v>
      </c>
      <c r="AA13" s="2005">
        <v>31600</v>
      </c>
      <c r="AB13" s="1163">
        <v>0</v>
      </c>
      <c r="AC13" s="2003">
        <v>0</v>
      </c>
      <c r="AD13" s="2049">
        <f t="shared" ref="AD13:AD18" si="7">+U13+AA13-AB13+AC13</f>
        <v>771896356</v>
      </c>
      <c r="AE13" s="2049">
        <v>302873502</v>
      </c>
      <c r="AF13" s="2050">
        <f t="shared" ref="AF13:AF18" si="8">+AD13-AE13</f>
        <v>469022854</v>
      </c>
      <c r="AG13" s="2051">
        <v>3908429</v>
      </c>
      <c r="AH13" s="2052">
        <v>981547</v>
      </c>
      <c r="AI13" s="2049">
        <v>0</v>
      </c>
      <c r="AJ13" s="2049">
        <f t="shared" ref="AJ13:AJ18" si="9">+AD13+AG13-AH13+AI13</f>
        <v>774823238</v>
      </c>
      <c r="AK13" s="2049">
        <v>326863269</v>
      </c>
      <c r="AL13" s="2050">
        <f t="shared" ref="AL13:AL18" si="10">+AJ13-AK13</f>
        <v>447959969</v>
      </c>
    </row>
    <row r="14" spans="2:38">
      <c r="B14" s="1986" t="s">
        <v>1099</v>
      </c>
      <c r="C14" s="1153">
        <v>44953355.890000001</v>
      </c>
      <c r="D14" s="2000">
        <v>3203947</v>
      </c>
      <c r="E14" s="1153">
        <v>1598809.36</v>
      </c>
      <c r="F14" s="2001">
        <v>0</v>
      </c>
      <c r="G14" s="2002"/>
      <c r="H14" s="2003">
        <v>46558494</v>
      </c>
      <c r="I14" s="2000">
        <v>24075622</v>
      </c>
      <c r="J14" s="2004">
        <f t="shared" si="2"/>
        <v>22482872</v>
      </c>
      <c r="K14" s="2005">
        <v>0</v>
      </c>
      <c r="L14" s="1163">
        <v>0</v>
      </c>
      <c r="M14" s="2003">
        <v>540142</v>
      </c>
      <c r="N14" s="2003"/>
      <c r="O14" s="2003">
        <f t="shared" si="0"/>
        <v>47098636</v>
      </c>
      <c r="P14" s="2003">
        <v>27002241</v>
      </c>
      <c r="Q14" s="2006">
        <f t="shared" si="3"/>
        <v>20096395</v>
      </c>
      <c r="R14" s="2005">
        <v>2914684</v>
      </c>
      <c r="S14" s="1163">
        <v>1940140</v>
      </c>
      <c r="T14" s="2003">
        <v>0</v>
      </c>
      <c r="U14" s="2003">
        <f t="shared" si="4"/>
        <v>48073180</v>
      </c>
      <c r="V14" s="2003">
        <v>26586915</v>
      </c>
      <c r="W14" s="2006">
        <f t="shared" si="5"/>
        <v>21486265</v>
      </c>
      <c r="X14" s="2003">
        <f t="shared" si="1"/>
        <v>-1389870</v>
      </c>
      <c r="Y14" s="2003">
        <v>27002241</v>
      </c>
      <c r="Z14" s="2006">
        <f t="shared" si="6"/>
        <v>-28392111</v>
      </c>
      <c r="AA14" s="2005">
        <v>0</v>
      </c>
      <c r="AB14" s="1163">
        <v>0</v>
      </c>
      <c r="AC14" s="2003">
        <v>0</v>
      </c>
      <c r="AD14" s="2049">
        <f t="shared" si="7"/>
        <v>48073180</v>
      </c>
      <c r="AE14" s="2049">
        <v>27883702</v>
      </c>
      <c r="AF14" s="2050">
        <f t="shared" si="8"/>
        <v>20189478</v>
      </c>
      <c r="AG14" s="2051">
        <v>805406</v>
      </c>
      <c r="AH14" s="2052">
        <v>0</v>
      </c>
      <c r="AI14" s="2049">
        <v>0</v>
      </c>
      <c r="AJ14" s="2049">
        <f t="shared" si="9"/>
        <v>48878586</v>
      </c>
      <c r="AK14" s="2049">
        <v>28891070</v>
      </c>
      <c r="AL14" s="2050">
        <f t="shared" si="10"/>
        <v>19987516</v>
      </c>
    </row>
    <row r="15" spans="2:38">
      <c r="B15" s="1986" t="s">
        <v>1111</v>
      </c>
      <c r="C15" s="1153">
        <v>38379262</v>
      </c>
      <c r="D15" s="2000">
        <v>0</v>
      </c>
      <c r="E15" s="1153">
        <v>0</v>
      </c>
      <c r="F15" s="2001">
        <v>0</v>
      </c>
      <c r="G15" s="2002"/>
      <c r="H15" s="2003">
        <v>38379262</v>
      </c>
      <c r="I15" s="2000">
        <v>28489210</v>
      </c>
      <c r="J15" s="2004">
        <f t="shared" si="2"/>
        <v>9890052</v>
      </c>
      <c r="K15" s="2005">
        <v>0</v>
      </c>
      <c r="L15" s="1163">
        <v>0</v>
      </c>
      <c r="M15" s="2003">
        <v>0</v>
      </c>
      <c r="N15" s="2003"/>
      <c r="O15" s="2003">
        <f t="shared" si="0"/>
        <v>38379262</v>
      </c>
      <c r="P15" s="2003">
        <v>29213375</v>
      </c>
      <c r="Q15" s="2006">
        <f t="shared" si="3"/>
        <v>9165887</v>
      </c>
      <c r="R15" s="2005">
        <v>0</v>
      </c>
      <c r="S15" s="1163">
        <v>0</v>
      </c>
      <c r="T15" s="2003">
        <v>0</v>
      </c>
      <c r="U15" s="2003">
        <f t="shared" si="4"/>
        <v>38379262</v>
      </c>
      <c r="V15" s="2003">
        <v>29504353</v>
      </c>
      <c r="W15" s="2006">
        <f t="shared" si="5"/>
        <v>8874909</v>
      </c>
      <c r="X15" s="2003">
        <f t="shared" si="1"/>
        <v>290978</v>
      </c>
      <c r="Y15" s="2003">
        <v>29213375</v>
      </c>
      <c r="Z15" s="2006">
        <f t="shared" si="6"/>
        <v>-28922397</v>
      </c>
      <c r="AA15" s="2005">
        <v>0</v>
      </c>
      <c r="AB15" s="1163">
        <v>0</v>
      </c>
      <c r="AC15" s="2003">
        <v>0</v>
      </c>
      <c r="AD15" s="2049">
        <f t="shared" si="7"/>
        <v>38379262</v>
      </c>
      <c r="AE15" s="2049">
        <v>29722693</v>
      </c>
      <c r="AF15" s="2050">
        <f t="shared" si="8"/>
        <v>8656569</v>
      </c>
      <c r="AG15" s="2051">
        <v>0</v>
      </c>
      <c r="AH15" s="2052">
        <v>0</v>
      </c>
      <c r="AI15" s="2049">
        <v>0</v>
      </c>
      <c r="AJ15" s="2049">
        <f t="shared" si="9"/>
        <v>38379262</v>
      </c>
      <c r="AK15" s="2049">
        <v>29781949</v>
      </c>
      <c r="AL15" s="2050">
        <f t="shared" si="10"/>
        <v>8597313</v>
      </c>
    </row>
    <row r="16" spans="2:38">
      <c r="B16" s="1986" t="s">
        <v>1101</v>
      </c>
      <c r="C16" s="1153">
        <v>41338843.759999998</v>
      </c>
      <c r="D16" s="2000">
        <f>42188+10071643.44</f>
        <v>10113831.439999999</v>
      </c>
      <c r="E16" s="1153">
        <v>2002143.97</v>
      </c>
      <c r="F16" s="2001">
        <v>217920.46</v>
      </c>
      <c r="G16" s="2002"/>
      <c r="H16" s="2003">
        <v>49668451</v>
      </c>
      <c r="I16" s="2000">
        <v>23474476</v>
      </c>
      <c r="J16" s="2004">
        <f t="shared" si="2"/>
        <v>26193975</v>
      </c>
      <c r="K16" s="2005">
        <v>5605782</v>
      </c>
      <c r="L16" s="2003">
        <v>2111574</v>
      </c>
      <c r="M16" s="2003">
        <v>0</v>
      </c>
      <c r="N16" s="2003"/>
      <c r="O16" s="2003">
        <f t="shared" si="0"/>
        <v>53162659</v>
      </c>
      <c r="P16" s="2003">
        <v>26442689</v>
      </c>
      <c r="Q16" s="2006">
        <f t="shared" si="3"/>
        <v>26719970</v>
      </c>
      <c r="R16" s="2005">
        <v>9928585</v>
      </c>
      <c r="S16" s="2003">
        <v>2134539</v>
      </c>
      <c r="T16" s="2003">
        <v>148451</v>
      </c>
      <c r="U16" s="2003">
        <f t="shared" si="4"/>
        <v>61105156</v>
      </c>
      <c r="V16" s="2003">
        <v>28624397</v>
      </c>
      <c r="W16" s="2006">
        <f t="shared" si="5"/>
        <v>32480759</v>
      </c>
      <c r="X16" s="2003">
        <f t="shared" si="1"/>
        <v>-5612338</v>
      </c>
      <c r="Y16" s="2003">
        <v>26442689</v>
      </c>
      <c r="Z16" s="2006">
        <f t="shared" si="6"/>
        <v>-32055027</v>
      </c>
      <c r="AA16" s="2005">
        <v>4096250</v>
      </c>
      <c r="AB16" s="2003">
        <v>16800219</v>
      </c>
      <c r="AC16" s="2003">
        <v>-85130</v>
      </c>
      <c r="AD16" s="2049">
        <f t="shared" si="7"/>
        <v>48316057</v>
      </c>
      <c r="AE16" s="2049">
        <v>23963970</v>
      </c>
      <c r="AF16" s="2050">
        <f t="shared" si="8"/>
        <v>24352087</v>
      </c>
      <c r="AG16" s="2051">
        <v>6651193</v>
      </c>
      <c r="AH16" s="2049">
        <v>527589</v>
      </c>
      <c r="AI16" s="2049">
        <v>0</v>
      </c>
      <c r="AJ16" s="2049">
        <f t="shared" si="9"/>
        <v>54439661</v>
      </c>
      <c r="AK16" s="2049">
        <v>27742919</v>
      </c>
      <c r="AL16" s="2050">
        <f t="shared" si="10"/>
        <v>26696742</v>
      </c>
    </row>
    <row r="17" spans="2:38">
      <c r="B17" s="1986" t="s">
        <v>1102</v>
      </c>
      <c r="C17" s="1153">
        <v>1961104</v>
      </c>
      <c r="D17" s="2000">
        <v>15751</v>
      </c>
      <c r="E17" s="1153">
        <v>0</v>
      </c>
      <c r="F17" s="2001">
        <v>0</v>
      </c>
      <c r="G17" s="2002"/>
      <c r="H17" s="2003">
        <v>1976855</v>
      </c>
      <c r="I17" s="2000">
        <v>1081718</v>
      </c>
      <c r="J17" s="2004">
        <f t="shared" si="2"/>
        <v>895137</v>
      </c>
      <c r="K17" s="2005">
        <v>0</v>
      </c>
      <c r="L17" s="1163">
        <v>0</v>
      </c>
      <c r="M17" s="2003">
        <v>0</v>
      </c>
      <c r="N17" s="2003"/>
      <c r="O17" s="2003">
        <f t="shared" si="0"/>
        <v>1976855</v>
      </c>
      <c r="P17" s="2003">
        <v>1145378</v>
      </c>
      <c r="Q17" s="2006">
        <f t="shared" si="3"/>
        <v>831477</v>
      </c>
      <c r="R17" s="2005">
        <v>214200</v>
      </c>
      <c r="S17" s="1163">
        <v>2809</v>
      </c>
      <c r="T17" s="2003">
        <v>0</v>
      </c>
      <c r="U17" s="2003">
        <f t="shared" si="4"/>
        <v>2188246</v>
      </c>
      <c r="V17" s="2003">
        <v>1201422</v>
      </c>
      <c r="W17" s="2006">
        <f t="shared" si="5"/>
        <v>986824</v>
      </c>
      <c r="X17" s="2003">
        <f t="shared" si="1"/>
        <v>-155347</v>
      </c>
      <c r="Y17" s="2003">
        <v>1145378</v>
      </c>
      <c r="Z17" s="2006">
        <f t="shared" si="6"/>
        <v>-1300725</v>
      </c>
      <c r="AA17" s="2005">
        <v>22218</v>
      </c>
      <c r="AB17" s="1163">
        <v>0</v>
      </c>
      <c r="AC17" s="2003">
        <v>0</v>
      </c>
      <c r="AD17" s="2049">
        <f t="shared" si="7"/>
        <v>2210464</v>
      </c>
      <c r="AE17" s="2049">
        <v>1262780</v>
      </c>
      <c r="AF17" s="2050">
        <f t="shared" si="8"/>
        <v>947684</v>
      </c>
      <c r="AG17" s="2051">
        <v>1201920</v>
      </c>
      <c r="AH17" s="2052">
        <v>237359</v>
      </c>
      <c r="AI17" s="2049">
        <v>0</v>
      </c>
      <c r="AJ17" s="2049">
        <f t="shared" si="9"/>
        <v>3175025</v>
      </c>
      <c r="AK17" s="2049">
        <v>1111689</v>
      </c>
      <c r="AL17" s="2050">
        <f t="shared" si="10"/>
        <v>2063336</v>
      </c>
    </row>
    <row r="18" spans="2:38">
      <c r="B18" s="1986" t="s">
        <v>1103</v>
      </c>
      <c r="C18" s="1153">
        <v>3158350</v>
      </c>
      <c r="D18" s="2000">
        <v>0</v>
      </c>
      <c r="E18" s="1153">
        <v>0</v>
      </c>
      <c r="F18" s="2001">
        <v>0</v>
      </c>
      <c r="G18" s="2002"/>
      <c r="H18" s="2003">
        <v>3158350</v>
      </c>
      <c r="I18" s="2000">
        <v>492360</v>
      </c>
      <c r="J18" s="2004">
        <f t="shared" si="2"/>
        <v>2665990</v>
      </c>
      <c r="K18" s="2005">
        <v>0</v>
      </c>
      <c r="L18" s="1163">
        <v>0</v>
      </c>
      <c r="M18" s="2003">
        <v>0</v>
      </c>
      <c r="N18" s="2003"/>
      <c r="O18" s="2003">
        <f t="shared" si="0"/>
        <v>3158350</v>
      </c>
      <c r="P18" s="2003">
        <v>520785</v>
      </c>
      <c r="Q18" s="2006">
        <f t="shared" si="3"/>
        <v>2637565</v>
      </c>
      <c r="R18" s="2005">
        <v>0</v>
      </c>
      <c r="S18" s="1163">
        <v>0</v>
      </c>
      <c r="T18" s="2003">
        <v>0</v>
      </c>
      <c r="U18" s="2003">
        <f t="shared" si="4"/>
        <v>3158350</v>
      </c>
      <c r="V18" s="2003">
        <v>549210</v>
      </c>
      <c r="W18" s="2006">
        <f t="shared" si="5"/>
        <v>2609140</v>
      </c>
      <c r="X18" s="2003">
        <f t="shared" si="1"/>
        <v>28425</v>
      </c>
      <c r="Y18" s="2003">
        <v>520785</v>
      </c>
      <c r="Z18" s="2006">
        <f t="shared" si="6"/>
        <v>-492360</v>
      </c>
      <c r="AA18" s="2005">
        <v>0</v>
      </c>
      <c r="AB18" s="1163">
        <v>0</v>
      </c>
      <c r="AC18" s="2003">
        <v>0</v>
      </c>
      <c r="AD18" s="2049">
        <f t="shared" si="7"/>
        <v>3158350</v>
      </c>
      <c r="AE18" s="2049">
        <v>715971</v>
      </c>
      <c r="AF18" s="2050">
        <f t="shared" si="8"/>
        <v>2442379</v>
      </c>
      <c r="AG18" s="2051">
        <v>102038</v>
      </c>
      <c r="AH18" s="2052">
        <v>0</v>
      </c>
      <c r="AI18" s="2049">
        <v>0</v>
      </c>
      <c r="AJ18" s="2049">
        <f t="shared" si="9"/>
        <v>3260388</v>
      </c>
      <c r="AK18" s="2049">
        <v>882732</v>
      </c>
      <c r="AL18" s="2050">
        <f t="shared" si="10"/>
        <v>2377656</v>
      </c>
    </row>
    <row r="19" spans="2:38">
      <c r="B19" s="2007" t="s">
        <v>94</v>
      </c>
      <c r="C19" s="2008" t="s">
        <v>94</v>
      </c>
      <c r="D19" s="2009"/>
      <c r="E19" s="2008" t="s">
        <v>277</v>
      </c>
      <c r="F19" s="2010" t="s">
        <v>94</v>
      </c>
      <c r="G19" s="2002"/>
      <c r="H19" s="2011" t="s">
        <v>94</v>
      </c>
      <c r="I19" s="2012"/>
      <c r="J19" s="2004"/>
      <c r="K19" s="2013"/>
      <c r="L19" s="2014" t="s">
        <v>277</v>
      </c>
      <c r="M19" s="2011" t="s">
        <v>94</v>
      </c>
      <c r="N19" s="2011"/>
      <c r="O19" s="2011" t="s">
        <v>94</v>
      </c>
      <c r="P19" s="2005"/>
      <c r="Q19" s="2006"/>
      <c r="R19" s="2013"/>
      <c r="S19" s="2014" t="s">
        <v>277</v>
      </c>
      <c r="T19" s="2011" t="s">
        <v>94</v>
      </c>
      <c r="U19" s="2011" t="s">
        <v>94</v>
      </c>
      <c r="V19" s="2005"/>
      <c r="W19" s="2006"/>
      <c r="X19" s="2011" t="s">
        <v>94</v>
      </c>
      <c r="Y19" s="2005"/>
      <c r="Z19" s="2006"/>
      <c r="AA19" s="2013"/>
      <c r="AB19" s="2014" t="s">
        <v>277</v>
      </c>
      <c r="AC19" s="2011" t="s">
        <v>94</v>
      </c>
      <c r="AD19" s="2011" t="s">
        <v>94</v>
      </c>
      <c r="AE19" s="2005"/>
      <c r="AF19" s="2006"/>
      <c r="AG19" s="2013"/>
      <c r="AH19" s="2014" t="s">
        <v>277</v>
      </c>
      <c r="AI19" s="2011" t="s">
        <v>94</v>
      </c>
      <c r="AJ19" s="2011" t="s">
        <v>94</v>
      </c>
      <c r="AK19" s="2005"/>
      <c r="AL19" s="2006"/>
    </row>
    <row r="20" spans="2:38">
      <c r="B20" s="2015" t="s">
        <v>499</v>
      </c>
      <c r="C20" s="2016">
        <f t="shared" ref="C20:H20" si="11">SUM(C12:C19)</f>
        <v>942785363.63999999</v>
      </c>
      <c r="D20" s="2016">
        <f t="shared" si="11"/>
        <v>13333529.439999999</v>
      </c>
      <c r="E20" s="2016">
        <f t="shared" si="11"/>
        <v>3600953.33</v>
      </c>
      <c r="F20" s="2017">
        <f t="shared" si="11"/>
        <v>217920.46</v>
      </c>
      <c r="G20" s="2018"/>
      <c r="H20" s="2019">
        <f t="shared" si="11"/>
        <v>952735860</v>
      </c>
      <c r="I20" s="2020">
        <f>SUM(I13:I19)</f>
        <v>325648345</v>
      </c>
      <c r="J20" s="2021">
        <f t="shared" si="2"/>
        <v>627087515</v>
      </c>
      <c r="K20" s="2022">
        <f t="shared" ref="K20:P20" si="12">SUM(K12:K19)</f>
        <v>5605782</v>
      </c>
      <c r="L20" s="2023">
        <f t="shared" si="12"/>
        <v>2111574</v>
      </c>
      <c r="M20" s="2019">
        <f t="shared" si="12"/>
        <v>540142</v>
      </c>
      <c r="N20" s="2019"/>
      <c r="O20" s="2019">
        <f>+H20+K20-L20+M20</f>
        <v>956770210</v>
      </c>
      <c r="P20" s="2019">
        <f t="shared" si="12"/>
        <v>347361967</v>
      </c>
      <c r="Q20" s="2024">
        <f>+O20-P20</f>
        <v>609408243</v>
      </c>
      <c r="R20" s="2022">
        <f>SUM(R12:R19)</f>
        <v>13057469</v>
      </c>
      <c r="S20" s="2023">
        <f>SUM(S12:S19)</f>
        <v>4077488</v>
      </c>
      <c r="T20" s="2019">
        <f>SUM(T12:T19)</f>
        <v>148451</v>
      </c>
      <c r="U20" s="2019">
        <f t="shared" si="4"/>
        <v>965898642</v>
      </c>
      <c r="V20" s="2019">
        <f>SUM(V12:V19)</f>
        <v>364500314</v>
      </c>
      <c r="W20" s="2024">
        <f>+U20-V20</f>
        <v>601398328</v>
      </c>
      <c r="X20" s="2019">
        <f>+Q20+T20-U20+V20</f>
        <v>8158366</v>
      </c>
      <c r="Y20" s="2019">
        <f>SUM(Y12:Y19)</f>
        <v>347361967</v>
      </c>
      <c r="Z20" s="2024">
        <f>+X20-Y20</f>
        <v>-339203601</v>
      </c>
      <c r="AA20" s="2022">
        <f>SUM(AA12:AA19)</f>
        <v>4150068</v>
      </c>
      <c r="AB20" s="2023">
        <f>SUM(AB12:AB19)</f>
        <v>16800219</v>
      </c>
      <c r="AC20" s="2019">
        <f>SUM(AC12:AC19)</f>
        <v>-85130</v>
      </c>
      <c r="AD20" s="2053">
        <f>+U20+AA20-AB20+AC20</f>
        <v>953163361</v>
      </c>
      <c r="AE20" s="2053">
        <f>SUM(AE12:AE19)</f>
        <v>386422618</v>
      </c>
      <c r="AF20" s="2054">
        <f>+AD20-AE20</f>
        <v>566740743</v>
      </c>
      <c r="AG20" s="2055">
        <f>SUM(AG12:AG19)</f>
        <v>12668986</v>
      </c>
      <c r="AH20" s="2056">
        <f>SUM(AH12:AH19)</f>
        <v>1746495</v>
      </c>
      <c r="AI20" s="2053">
        <f>SUM(AI12:AI19)</f>
        <v>0</v>
      </c>
      <c r="AJ20" s="2053">
        <f>+AD20+AG20-AH20+AI20</f>
        <v>964085852</v>
      </c>
      <c r="AK20" s="2053">
        <f>SUM(AK12:AK19)</f>
        <v>415273628</v>
      </c>
      <c r="AL20" s="2054">
        <f>+AJ20-AK20</f>
        <v>548812224</v>
      </c>
    </row>
    <row r="21" spans="2:38">
      <c r="B21" s="1986" t="s">
        <v>94</v>
      </c>
      <c r="C21" s="1153" t="s">
        <v>94</v>
      </c>
      <c r="D21" s="2001" t="s">
        <v>94</v>
      </c>
      <c r="E21" s="2025" t="s">
        <v>94</v>
      </c>
      <c r="F21" s="2001" t="s">
        <v>94</v>
      </c>
      <c r="G21" s="2002"/>
      <c r="H21" s="2000" t="s">
        <v>94</v>
      </c>
      <c r="I21" s="2012"/>
      <c r="J21" s="2004"/>
      <c r="K21" s="2026" t="s">
        <v>94</v>
      </c>
      <c r="L21" s="2027" t="s">
        <v>94</v>
      </c>
      <c r="M21" s="2003" t="s">
        <v>94</v>
      </c>
      <c r="N21" s="2003"/>
      <c r="O21" s="2003" t="s">
        <v>94</v>
      </c>
      <c r="P21" s="2005"/>
      <c r="Q21" s="2006"/>
      <c r="R21" s="2026" t="s">
        <v>94</v>
      </c>
      <c r="S21" s="2027" t="s">
        <v>94</v>
      </c>
      <c r="T21" s="2003" t="s">
        <v>94</v>
      </c>
      <c r="U21" s="2003" t="s">
        <v>94</v>
      </c>
      <c r="V21" s="2005"/>
      <c r="W21" s="2006"/>
      <c r="X21" s="2003" t="s">
        <v>94</v>
      </c>
      <c r="Y21" s="2005"/>
      <c r="Z21" s="2006"/>
      <c r="AA21" s="2026" t="s">
        <v>94</v>
      </c>
      <c r="AB21" s="2027" t="s">
        <v>94</v>
      </c>
      <c r="AC21" s="2003" t="s">
        <v>94</v>
      </c>
      <c r="AD21" s="2049" t="s">
        <v>94</v>
      </c>
      <c r="AE21" s="2051"/>
      <c r="AF21" s="2050"/>
      <c r="AG21" s="2057" t="s">
        <v>94</v>
      </c>
      <c r="AH21" s="2058" t="s">
        <v>94</v>
      </c>
      <c r="AI21" s="2049" t="s">
        <v>94</v>
      </c>
      <c r="AJ21" s="2049" t="s">
        <v>94</v>
      </c>
      <c r="AK21" s="2051"/>
      <c r="AL21" s="2050"/>
    </row>
    <row r="22" spans="2:38">
      <c r="B22" s="1993" t="s">
        <v>1104</v>
      </c>
      <c r="C22" s="1153"/>
      <c r="D22" s="2001"/>
      <c r="E22" s="2000"/>
      <c r="F22" s="2001"/>
      <c r="G22" s="2002"/>
      <c r="H22" s="2000"/>
      <c r="I22" s="2012"/>
      <c r="J22" s="2004" t="s">
        <v>94</v>
      </c>
      <c r="K22" s="2026"/>
      <c r="L22" s="2003"/>
      <c r="M22" s="2003"/>
      <c r="N22" s="2003"/>
      <c r="O22" s="2003"/>
      <c r="P22" s="2005"/>
      <c r="Q22" s="2006" t="s">
        <v>94</v>
      </c>
      <c r="R22" s="2026"/>
      <c r="S22" s="2003"/>
      <c r="T22" s="2003"/>
      <c r="U22" s="2003"/>
      <c r="V22" s="2005"/>
      <c r="W22" s="2006" t="s">
        <v>94</v>
      </c>
      <c r="X22" s="2003"/>
      <c r="Y22" s="2005"/>
      <c r="Z22" s="2006" t="s">
        <v>94</v>
      </c>
      <c r="AA22" s="2026"/>
      <c r="AB22" s="2003"/>
      <c r="AC22" s="2003"/>
      <c r="AD22" s="2049"/>
      <c r="AE22" s="2051"/>
      <c r="AF22" s="2050" t="s">
        <v>94</v>
      </c>
      <c r="AG22" s="2057"/>
      <c r="AH22" s="2049"/>
      <c r="AI22" s="2049"/>
      <c r="AJ22" s="2049"/>
      <c r="AK22" s="2051"/>
      <c r="AL22" s="2050" t="s">
        <v>94</v>
      </c>
    </row>
    <row r="23" spans="2:38">
      <c r="B23" s="1986" t="s">
        <v>1105</v>
      </c>
      <c r="C23" s="1153">
        <v>22953418.100000001</v>
      </c>
      <c r="D23" s="2001">
        <v>0</v>
      </c>
      <c r="E23" s="2000">
        <v>0</v>
      </c>
      <c r="F23" s="2001">
        <v>0</v>
      </c>
      <c r="G23" s="2002"/>
      <c r="H23" s="2003">
        <v>22953418</v>
      </c>
      <c r="I23" s="2000">
        <v>0</v>
      </c>
      <c r="J23" s="2004">
        <f t="shared" si="2"/>
        <v>22953418</v>
      </c>
      <c r="K23" s="2026">
        <v>0</v>
      </c>
      <c r="L23" s="2003">
        <v>0</v>
      </c>
      <c r="M23" s="2003">
        <v>0</v>
      </c>
      <c r="N23" s="2003"/>
      <c r="O23" s="2003">
        <f t="shared" ref="O23:O32" si="13">+H23+K23-L23+M23</f>
        <v>22953418</v>
      </c>
      <c r="P23" s="2003">
        <v>0</v>
      </c>
      <c r="Q23" s="2006">
        <f t="shared" ref="Q23:Q32" si="14">+O23-P23</f>
        <v>22953418</v>
      </c>
      <c r="R23" s="2026">
        <v>0</v>
      </c>
      <c r="S23" s="2003">
        <v>0</v>
      </c>
      <c r="T23" s="2003">
        <v>0</v>
      </c>
      <c r="U23" s="2003">
        <f t="shared" ref="U23:U32" si="15">+O23+R23-S23+T23</f>
        <v>22953418</v>
      </c>
      <c r="V23" s="2003">
        <v>0</v>
      </c>
      <c r="W23" s="2006">
        <f t="shared" ref="W23:W32" si="16">+U23-V23</f>
        <v>22953418</v>
      </c>
      <c r="X23" s="2003">
        <f t="shared" ref="X23:X32" si="17">+Q23+T23-U23+V23</f>
        <v>0</v>
      </c>
      <c r="Y23" s="2003">
        <v>0</v>
      </c>
      <c r="Z23" s="2006">
        <f t="shared" ref="Z23:Z32" si="18">+X23-Y23</f>
        <v>0</v>
      </c>
      <c r="AA23" s="2026">
        <v>0</v>
      </c>
      <c r="AB23" s="2003">
        <v>0</v>
      </c>
      <c r="AC23" s="2003">
        <v>0</v>
      </c>
      <c r="AD23" s="2059">
        <f>+U23+AA23-AB23+AC23</f>
        <v>22953418</v>
      </c>
      <c r="AE23" s="2049">
        <v>0</v>
      </c>
      <c r="AF23" s="2050">
        <f t="shared" ref="AF23:AF32" si="19">+AD23-AE23</f>
        <v>22953418</v>
      </c>
      <c r="AG23" s="2057">
        <v>0</v>
      </c>
      <c r="AH23" s="2049">
        <v>0</v>
      </c>
      <c r="AI23" s="2049">
        <v>0</v>
      </c>
      <c r="AJ23" s="2049">
        <f t="shared" ref="AJ23:AJ32" si="20">+AD23+AG23-AH23+AI23</f>
        <v>22953418</v>
      </c>
      <c r="AK23" s="2049">
        <v>0</v>
      </c>
      <c r="AL23" s="2050">
        <f t="shared" ref="AL23:AL32" si="21">+AJ23-AK23</f>
        <v>22953418</v>
      </c>
    </row>
    <row r="24" spans="2:38">
      <c r="B24" s="1986" t="s">
        <v>1098</v>
      </c>
      <c r="C24" s="1153">
        <v>478996723.49000001</v>
      </c>
      <c r="D24" s="2001">
        <v>35471546.909999996</v>
      </c>
      <c r="E24" s="2000">
        <v>0</v>
      </c>
      <c r="F24" s="2001">
        <v>0</v>
      </c>
      <c r="G24" s="2002"/>
      <c r="H24" s="2003">
        <v>514468270</v>
      </c>
      <c r="I24" s="2000">
        <v>151998008</v>
      </c>
      <c r="J24" s="2004">
        <f t="shared" si="2"/>
        <v>362470262</v>
      </c>
      <c r="K24" s="2026">
        <v>36732835</v>
      </c>
      <c r="L24" s="2028">
        <v>0</v>
      </c>
      <c r="M24" s="2028" t="e">
        <f>+#REF!</f>
        <v>#REF!</v>
      </c>
      <c r="N24" s="2028"/>
      <c r="O24" s="2003" t="e">
        <f t="shared" si="13"/>
        <v>#REF!</v>
      </c>
      <c r="P24" s="2003">
        <v>162481598</v>
      </c>
      <c r="Q24" s="2006" t="e">
        <f t="shared" si="14"/>
        <v>#REF!</v>
      </c>
      <c r="R24" s="2026">
        <v>35334694</v>
      </c>
      <c r="S24" s="2028">
        <v>0</v>
      </c>
      <c r="T24" s="2028">
        <v>0</v>
      </c>
      <c r="U24" s="2003" t="e">
        <f t="shared" si="15"/>
        <v>#REF!</v>
      </c>
      <c r="V24" s="2003">
        <v>172956816</v>
      </c>
      <c r="W24" s="2006" t="e">
        <f t="shared" si="16"/>
        <v>#REF!</v>
      </c>
      <c r="X24" s="2003" t="e">
        <f t="shared" si="17"/>
        <v>#REF!</v>
      </c>
      <c r="Y24" s="2003">
        <v>162481598</v>
      </c>
      <c r="Z24" s="2006" t="e">
        <f t="shared" si="18"/>
        <v>#REF!</v>
      </c>
      <c r="AA24" s="2026">
        <v>39840121</v>
      </c>
      <c r="AB24" s="2028">
        <v>0</v>
      </c>
      <c r="AC24" s="2028">
        <v>0</v>
      </c>
      <c r="AD24" s="2049">
        <v>626375920</v>
      </c>
      <c r="AE24" s="2049">
        <v>192049619</v>
      </c>
      <c r="AF24" s="2050">
        <f t="shared" si="19"/>
        <v>434326301</v>
      </c>
      <c r="AG24" s="2057">
        <v>35295322</v>
      </c>
      <c r="AH24" s="2060">
        <v>0</v>
      </c>
      <c r="AI24" s="2060">
        <v>0</v>
      </c>
      <c r="AJ24" s="2049">
        <f t="shared" si="20"/>
        <v>661671242</v>
      </c>
      <c r="AK24" s="2049">
        <v>212463207</v>
      </c>
      <c r="AL24" s="2050">
        <f t="shared" si="21"/>
        <v>449208035</v>
      </c>
    </row>
    <row r="25" spans="2:38">
      <c r="B25" s="1986" t="s">
        <v>2558</v>
      </c>
      <c r="C25" s="1153">
        <v>6663069242.1099997</v>
      </c>
      <c r="D25" s="2001">
        <v>420563799.88</v>
      </c>
      <c r="E25" s="2000">
        <v>5858422.0599999996</v>
      </c>
      <c r="F25" s="2001">
        <v>0</v>
      </c>
      <c r="G25" s="2029" t="s">
        <v>2537</v>
      </c>
      <c r="H25" s="2003">
        <v>7077774620</v>
      </c>
      <c r="I25" s="2000">
        <v>2498315679</v>
      </c>
      <c r="J25" s="2004">
        <f t="shared" si="2"/>
        <v>4579458941</v>
      </c>
      <c r="K25" s="2026">
        <v>1042383714</v>
      </c>
      <c r="L25" s="2028">
        <v>44378400</v>
      </c>
      <c r="M25" s="2028" t="e">
        <f>+#REF!</f>
        <v>#REF!</v>
      </c>
      <c r="N25" s="2028" t="s">
        <v>2537</v>
      </c>
      <c r="O25" s="2003" t="e">
        <f t="shared" si="13"/>
        <v>#REF!</v>
      </c>
      <c r="P25" s="2003">
        <v>2806030663</v>
      </c>
      <c r="Q25" s="2006" t="e">
        <f t="shared" si="14"/>
        <v>#REF!</v>
      </c>
      <c r="R25" s="2026">
        <v>422921280</v>
      </c>
      <c r="S25" s="2028">
        <v>54781773</v>
      </c>
      <c r="T25" s="2028">
        <v>0</v>
      </c>
      <c r="U25" s="2003" t="e">
        <f t="shared" si="15"/>
        <v>#REF!</v>
      </c>
      <c r="V25" s="2003">
        <v>3088925027</v>
      </c>
      <c r="W25" s="2006" t="e">
        <f t="shared" si="16"/>
        <v>#REF!</v>
      </c>
      <c r="X25" s="2003" t="e">
        <f t="shared" si="17"/>
        <v>#REF!</v>
      </c>
      <c r="Y25" s="2003">
        <v>2806030663</v>
      </c>
      <c r="Z25" s="2006" t="e">
        <f t="shared" si="18"/>
        <v>#REF!</v>
      </c>
      <c r="AA25" s="2026">
        <v>557614909</v>
      </c>
      <c r="AB25" s="2028">
        <v>36113765</v>
      </c>
      <c r="AC25" s="2028">
        <v>0</v>
      </c>
      <c r="AD25" s="2049">
        <v>8965420585</v>
      </c>
      <c r="AE25" s="2049">
        <v>3393718015</v>
      </c>
      <c r="AF25" s="2050">
        <f t="shared" si="19"/>
        <v>5571702570</v>
      </c>
      <c r="AG25" s="2061">
        <v>381152362</v>
      </c>
      <c r="AH25" s="2060">
        <v>32248012</v>
      </c>
      <c r="AI25" s="2060">
        <v>-64049674</v>
      </c>
      <c r="AJ25" s="2049">
        <f t="shared" si="20"/>
        <v>9250275261</v>
      </c>
      <c r="AK25" s="2049">
        <v>3818096941</v>
      </c>
      <c r="AL25" s="2050">
        <f t="shared" si="21"/>
        <v>5432178320</v>
      </c>
    </row>
    <row r="26" spans="2:38">
      <c r="B26" s="1986" t="s">
        <v>1107</v>
      </c>
      <c r="C26" s="1153">
        <v>4069891159.3600001</v>
      </c>
      <c r="D26" s="2001">
        <f>631214584.14+17716893.61+2469652.4</f>
        <v>651401130.14999998</v>
      </c>
      <c r="E26" s="2000">
        <v>4368182</v>
      </c>
      <c r="F26" s="2001">
        <v>0</v>
      </c>
      <c r="G26" s="2002"/>
      <c r="H26" s="2003">
        <v>4716924107</v>
      </c>
      <c r="I26" s="2000">
        <v>1284326664</v>
      </c>
      <c r="J26" s="2004">
        <f t="shared" si="2"/>
        <v>3432597443</v>
      </c>
      <c r="K26" s="2026">
        <v>701139363</v>
      </c>
      <c r="L26" s="2028">
        <v>5634938</v>
      </c>
      <c r="M26" s="2028" t="e">
        <f>+#REF!</f>
        <v>#REF!</v>
      </c>
      <c r="N26" s="2028" t="s">
        <v>2537</v>
      </c>
      <c r="O26" s="2003" t="e">
        <f t="shared" si="13"/>
        <v>#REF!</v>
      </c>
      <c r="P26" s="2003">
        <v>1409067547</v>
      </c>
      <c r="Q26" s="2006" t="e">
        <f t="shared" si="14"/>
        <v>#REF!</v>
      </c>
      <c r="R26" s="2026">
        <v>584268735</v>
      </c>
      <c r="S26" s="2028">
        <v>6922331</v>
      </c>
      <c r="T26" s="2028">
        <v>0</v>
      </c>
      <c r="U26" s="2003" t="e">
        <f t="shared" si="15"/>
        <v>#REF!</v>
      </c>
      <c r="V26" s="2003">
        <v>1532795106</v>
      </c>
      <c r="W26" s="2006" t="e">
        <f t="shared" si="16"/>
        <v>#REF!</v>
      </c>
      <c r="X26" s="2003" t="e">
        <f t="shared" si="17"/>
        <v>#REF!</v>
      </c>
      <c r="Y26" s="2003">
        <v>1409067547</v>
      </c>
      <c r="Z26" s="2006" t="e">
        <f t="shared" si="18"/>
        <v>#REF!</v>
      </c>
      <c r="AA26" s="2026">
        <v>460831508</v>
      </c>
      <c r="AB26" s="2028">
        <v>6200689</v>
      </c>
      <c r="AC26" s="2028">
        <v>-1350000</v>
      </c>
      <c r="AD26" s="2049">
        <v>6443055755</v>
      </c>
      <c r="AE26" s="2049">
        <v>1682908616</v>
      </c>
      <c r="AF26" s="2050">
        <f t="shared" si="19"/>
        <v>4760147139</v>
      </c>
      <c r="AG26" s="2057">
        <v>470892441</v>
      </c>
      <c r="AH26" s="2060">
        <v>5634833</v>
      </c>
      <c r="AI26" s="2060">
        <v>-41750326</v>
      </c>
      <c r="AJ26" s="2049">
        <f t="shared" si="20"/>
        <v>6866563037</v>
      </c>
      <c r="AK26" s="2049">
        <v>1962882252</v>
      </c>
      <c r="AL26" s="2050">
        <f t="shared" si="21"/>
        <v>4903680785</v>
      </c>
    </row>
    <row r="27" spans="2:38">
      <c r="B27" s="1986" t="s">
        <v>1108</v>
      </c>
      <c r="C27" s="1153">
        <v>1584536552.29</v>
      </c>
      <c r="D27" s="2001">
        <v>159815745.63999999</v>
      </c>
      <c r="E27" s="2000">
        <v>4363736.26</v>
      </c>
      <c r="F27" s="2001">
        <v>0</v>
      </c>
      <c r="G27" s="2002"/>
      <c r="H27" s="2003">
        <v>1739988562</v>
      </c>
      <c r="I27" s="2000">
        <v>874881518</v>
      </c>
      <c r="J27" s="2004">
        <f t="shared" si="2"/>
        <v>865107044</v>
      </c>
      <c r="K27" s="2026">
        <v>147247116</v>
      </c>
      <c r="L27" s="2028">
        <v>9856990</v>
      </c>
      <c r="M27" s="2028" t="e">
        <f>+#REF!</f>
        <v>#REF!</v>
      </c>
      <c r="N27" s="2028" t="s">
        <v>2537</v>
      </c>
      <c r="O27" s="2003" t="e">
        <f t="shared" si="13"/>
        <v>#REF!</v>
      </c>
      <c r="P27" s="2003">
        <v>958013695</v>
      </c>
      <c r="Q27" s="2006" t="e">
        <f t="shared" si="14"/>
        <v>#REF!</v>
      </c>
      <c r="R27" s="2026">
        <v>149503268</v>
      </c>
      <c r="S27" s="2028">
        <v>100438989</v>
      </c>
      <c r="T27" s="2028">
        <v>0</v>
      </c>
      <c r="U27" s="2003" t="e">
        <f t="shared" si="15"/>
        <v>#REF!</v>
      </c>
      <c r="V27" s="2003">
        <v>964328293</v>
      </c>
      <c r="W27" s="2006" t="e">
        <f t="shared" si="16"/>
        <v>#REF!</v>
      </c>
      <c r="X27" s="2003" t="e">
        <f t="shared" si="17"/>
        <v>#REF!</v>
      </c>
      <c r="Y27" s="2003">
        <v>958013695</v>
      </c>
      <c r="Z27" s="2006" t="e">
        <f t="shared" si="18"/>
        <v>#REF!</v>
      </c>
      <c r="AA27" s="2026">
        <v>156473760</v>
      </c>
      <c r="AB27" s="2028">
        <v>69869127</v>
      </c>
      <c r="AC27" s="2028">
        <v>-22500000</v>
      </c>
      <c r="AD27" s="2049">
        <v>1990547600</v>
      </c>
      <c r="AE27" s="2049">
        <v>1020687033</v>
      </c>
      <c r="AF27" s="2050">
        <f t="shared" si="19"/>
        <v>969860567</v>
      </c>
      <c r="AG27" s="2057">
        <v>99356824</v>
      </c>
      <c r="AH27" s="2060">
        <v>106578659</v>
      </c>
      <c r="AI27" s="2060">
        <v>0</v>
      </c>
      <c r="AJ27" s="2049">
        <f t="shared" si="20"/>
        <v>1983325765</v>
      </c>
      <c r="AK27" s="2049">
        <v>1080918967</v>
      </c>
      <c r="AL27" s="2050">
        <f t="shared" si="21"/>
        <v>902406798</v>
      </c>
    </row>
    <row r="28" spans="2:38">
      <c r="B28" s="1986" t="s">
        <v>1109</v>
      </c>
      <c r="C28" s="1153">
        <v>395675085.25</v>
      </c>
      <c r="D28" s="2001">
        <v>13592325.84</v>
      </c>
      <c r="E28" s="2000">
        <v>0</v>
      </c>
      <c r="F28" s="2001">
        <v>0</v>
      </c>
      <c r="G28" s="2002"/>
      <c r="H28" s="2003">
        <v>409267411</v>
      </c>
      <c r="I28" s="2000">
        <v>251618201</v>
      </c>
      <c r="J28" s="2004">
        <f t="shared" si="2"/>
        <v>157649210</v>
      </c>
      <c r="K28" s="2026">
        <v>16304978</v>
      </c>
      <c r="L28" s="2028">
        <v>0</v>
      </c>
      <c r="M28" s="2028" t="e">
        <f>+#REF!</f>
        <v>#REF!</v>
      </c>
      <c r="N28" s="2028"/>
      <c r="O28" s="2003" t="e">
        <f t="shared" si="13"/>
        <v>#REF!</v>
      </c>
      <c r="P28" s="2003">
        <v>271429147</v>
      </c>
      <c r="Q28" s="2006" t="e">
        <f t="shared" si="14"/>
        <v>#REF!</v>
      </c>
      <c r="R28" s="2026">
        <v>17688193</v>
      </c>
      <c r="S28" s="2028">
        <v>0</v>
      </c>
      <c r="T28" s="2028">
        <v>0</v>
      </c>
      <c r="U28" s="2003" t="e">
        <f t="shared" si="15"/>
        <v>#REF!</v>
      </c>
      <c r="V28" s="2003">
        <v>290659535</v>
      </c>
      <c r="W28" s="2006" t="e">
        <f t="shared" si="16"/>
        <v>#REF!</v>
      </c>
      <c r="X28" s="2003" t="e">
        <f t="shared" si="17"/>
        <v>#REF!</v>
      </c>
      <c r="Y28" s="2003">
        <v>271429147</v>
      </c>
      <c r="Z28" s="2006" t="e">
        <f t="shared" si="18"/>
        <v>#REF!</v>
      </c>
      <c r="AA28" s="2026">
        <v>7088085</v>
      </c>
      <c r="AB28" s="2028">
        <v>0</v>
      </c>
      <c r="AC28" s="2028">
        <v>-1350000</v>
      </c>
      <c r="AD28" s="2049">
        <v>448998667</v>
      </c>
      <c r="AE28" s="2049">
        <v>307233511</v>
      </c>
      <c r="AF28" s="2050">
        <f t="shared" si="19"/>
        <v>141765156</v>
      </c>
      <c r="AG28" s="2057">
        <v>5556338</v>
      </c>
      <c r="AH28" s="2060">
        <v>0</v>
      </c>
      <c r="AI28" s="2060">
        <v>0</v>
      </c>
      <c r="AJ28" s="2049">
        <f t="shared" si="20"/>
        <v>454555005</v>
      </c>
      <c r="AK28" s="2049">
        <v>321380854</v>
      </c>
      <c r="AL28" s="2050">
        <f t="shared" si="21"/>
        <v>133174151</v>
      </c>
    </row>
    <row r="29" spans="2:38">
      <c r="B29" s="1986" t="s">
        <v>1110</v>
      </c>
      <c r="C29" s="1153">
        <v>510455.52</v>
      </c>
      <c r="D29" s="2001">
        <v>0</v>
      </c>
      <c r="E29" s="2000">
        <v>6769.81</v>
      </c>
      <c r="F29" s="2001">
        <v>0</v>
      </c>
      <c r="G29" s="2002"/>
      <c r="H29" s="2003">
        <v>503686</v>
      </c>
      <c r="I29" s="2000">
        <v>382702</v>
      </c>
      <c r="J29" s="2004">
        <f t="shared" si="2"/>
        <v>120984</v>
      </c>
      <c r="K29" s="2026">
        <v>0</v>
      </c>
      <c r="L29" s="2028">
        <v>37931</v>
      </c>
      <c r="M29" s="2028" t="e">
        <f>+#REF!</f>
        <v>#REF!</v>
      </c>
      <c r="N29" s="2028"/>
      <c r="O29" s="2003" t="e">
        <f t="shared" si="13"/>
        <v>#REF!</v>
      </c>
      <c r="P29" s="2003">
        <v>361092</v>
      </c>
      <c r="Q29" s="2006" t="e">
        <f t="shared" si="14"/>
        <v>#REF!</v>
      </c>
      <c r="R29" s="2026">
        <v>0</v>
      </c>
      <c r="S29" s="2028">
        <v>0</v>
      </c>
      <c r="T29" s="2028" t="e">
        <f>+#REF!</f>
        <v>#REF!</v>
      </c>
      <c r="U29" s="2003" t="e">
        <f t="shared" si="15"/>
        <v>#REF!</v>
      </c>
      <c r="V29" s="2003">
        <v>373621</v>
      </c>
      <c r="W29" s="2006" t="e">
        <f t="shared" si="16"/>
        <v>#REF!</v>
      </c>
      <c r="X29" s="2003" t="e">
        <f t="shared" si="17"/>
        <v>#REF!</v>
      </c>
      <c r="Y29" s="2003">
        <v>361092</v>
      </c>
      <c r="Z29" s="2006" t="e">
        <f t="shared" si="18"/>
        <v>#REF!</v>
      </c>
      <c r="AA29" s="2026">
        <v>0</v>
      </c>
      <c r="AB29" s="2028">
        <v>32838</v>
      </c>
      <c r="AC29" s="2028">
        <v>0</v>
      </c>
      <c r="AD29" s="2049">
        <v>432917</v>
      </c>
      <c r="AE29" s="2049">
        <v>356595</v>
      </c>
      <c r="AF29" s="2050">
        <f t="shared" si="19"/>
        <v>76322</v>
      </c>
      <c r="AG29" s="2057">
        <v>0</v>
      </c>
      <c r="AH29" s="2060">
        <v>12988</v>
      </c>
      <c r="AI29" s="2060">
        <v>0</v>
      </c>
      <c r="AJ29" s="2049">
        <f t="shared" si="20"/>
        <v>419929</v>
      </c>
      <c r="AK29" s="2049">
        <v>344906</v>
      </c>
      <c r="AL29" s="2050">
        <f t="shared" si="21"/>
        <v>75023</v>
      </c>
    </row>
    <row r="30" spans="2:38">
      <c r="B30" s="1986" t="s">
        <v>1099</v>
      </c>
      <c r="C30" s="1153">
        <v>108296444.72</v>
      </c>
      <c r="D30" s="2001">
        <v>34008641</v>
      </c>
      <c r="E30" s="2000">
        <v>8559494.2200000007</v>
      </c>
      <c r="F30" s="2001">
        <v>-162187.68</v>
      </c>
      <c r="G30" s="2002"/>
      <c r="H30" s="2003">
        <v>133583404</v>
      </c>
      <c r="I30" s="2000">
        <v>61023819</v>
      </c>
      <c r="J30" s="2004">
        <f t="shared" si="2"/>
        <v>72559585</v>
      </c>
      <c r="K30" s="2026">
        <v>6825688</v>
      </c>
      <c r="L30" s="2028">
        <v>0</v>
      </c>
      <c r="M30" s="2028" t="e">
        <f>+#REF!</f>
        <v>#REF!</v>
      </c>
      <c r="N30" s="2028"/>
      <c r="O30" s="2003" t="e">
        <f t="shared" si="13"/>
        <v>#REF!</v>
      </c>
      <c r="P30" s="2003">
        <v>74741160</v>
      </c>
      <c r="Q30" s="2006" t="e">
        <f t="shared" si="14"/>
        <v>#REF!</v>
      </c>
      <c r="R30" s="2026">
        <v>10192665</v>
      </c>
      <c r="S30" s="2028">
        <v>6551474</v>
      </c>
      <c r="T30" s="2028" t="e">
        <f>+#REF!</f>
        <v>#REF!</v>
      </c>
      <c r="U30" s="2003" t="e">
        <f t="shared" si="15"/>
        <v>#REF!</v>
      </c>
      <c r="V30" s="2003">
        <v>79891309</v>
      </c>
      <c r="W30" s="2006" t="e">
        <f t="shared" si="16"/>
        <v>#REF!</v>
      </c>
      <c r="X30" s="2003" t="e">
        <f t="shared" si="17"/>
        <v>#REF!</v>
      </c>
      <c r="Y30" s="2003">
        <v>74741160</v>
      </c>
      <c r="Z30" s="2006" t="e">
        <f t="shared" si="18"/>
        <v>#REF!</v>
      </c>
      <c r="AA30" s="2026">
        <v>0</v>
      </c>
      <c r="AB30" s="2028">
        <v>0</v>
      </c>
      <c r="AC30" s="2028">
        <v>0</v>
      </c>
      <c r="AD30" s="2049">
        <v>146095851</v>
      </c>
      <c r="AE30" s="2049">
        <v>90641639</v>
      </c>
      <c r="AF30" s="2050">
        <f t="shared" si="19"/>
        <v>55454212</v>
      </c>
      <c r="AG30" s="2057">
        <v>0</v>
      </c>
      <c r="AH30" s="2060">
        <v>3448389</v>
      </c>
      <c r="AI30" s="2060">
        <v>0</v>
      </c>
      <c r="AJ30" s="2049">
        <f t="shared" si="20"/>
        <v>142647462</v>
      </c>
      <c r="AK30" s="2049">
        <v>97882989</v>
      </c>
      <c r="AL30" s="2050">
        <f t="shared" si="21"/>
        <v>44764473</v>
      </c>
    </row>
    <row r="31" spans="2:38">
      <c r="B31" s="1986" t="s">
        <v>1102</v>
      </c>
      <c r="C31" s="1153">
        <v>162118531.58000001</v>
      </c>
      <c r="D31" s="2000">
        <v>9514940.8200000003</v>
      </c>
      <c r="E31" s="2000">
        <v>2304223.2000000002</v>
      </c>
      <c r="F31" s="2001">
        <v>-119076.46</v>
      </c>
      <c r="G31" s="2002"/>
      <c r="H31" s="2003">
        <v>169210174</v>
      </c>
      <c r="I31" s="2000">
        <v>74659235</v>
      </c>
      <c r="J31" s="2004">
        <f t="shared" si="2"/>
        <v>94550939</v>
      </c>
      <c r="K31" s="2026">
        <v>14801741</v>
      </c>
      <c r="L31" s="2028">
        <v>4354615</v>
      </c>
      <c r="M31" s="2028" t="e">
        <f>+#REF!</f>
        <v>#REF!</v>
      </c>
      <c r="N31" s="2028"/>
      <c r="O31" s="2003" t="e">
        <f t="shared" si="13"/>
        <v>#REF!</v>
      </c>
      <c r="P31" s="2003">
        <v>80126011</v>
      </c>
      <c r="Q31" s="2006" t="e">
        <f t="shared" si="14"/>
        <v>#REF!</v>
      </c>
      <c r="R31" s="2026">
        <v>53990721</v>
      </c>
      <c r="S31" s="2028">
        <v>3015508</v>
      </c>
      <c r="T31" s="2028">
        <v>-612238</v>
      </c>
      <c r="U31" s="2003" t="e">
        <f t="shared" si="15"/>
        <v>#REF!</v>
      </c>
      <c r="V31" s="2003">
        <v>85199136</v>
      </c>
      <c r="W31" s="2006" t="e">
        <f t="shared" si="16"/>
        <v>#REF!</v>
      </c>
      <c r="X31" s="2003" t="e">
        <f t="shared" si="17"/>
        <v>#REF!</v>
      </c>
      <c r="Y31" s="2003">
        <v>80126011</v>
      </c>
      <c r="Z31" s="2006" t="e">
        <f t="shared" si="18"/>
        <v>#REF!</v>
      </c>
      <c r="AA31" s="2026">
        <v>27356662</v>
      </c>
      <c r="AB31" s="2028">
        <v>1696778</v>
      </c>
      <c r="AC31" s="2028">
        <v>0</v>
      </c>
      <c r="AD31" s="2049">
        <v>255830159</v>
      </c>
      <c r="AE31" s="2049">
        <v>94951625</v>
      </c>
      <c r="AF31" s="2050">
        <f t="shared" si="19"/>
        <v>160878534</v>
      </c>
      <c r="AG31" s="2057">
        <v>2288102</v>
      </c>
      <c r="AH31" s="2060">
        <v>621723</v>
      </c>
      <c r="AI31" s="2060">
        <v>0</v>
      </c>
      <c r="AJ31" s="2049">
        <f t="shared" si="20"/>
        <v>257496538</v>
      </c>
      <c r="AK31" s="2049">
        <v>106606751</v>
      </c>
      <c r="AL31" s="2050">
        <f t="shared" si="21"/>
        <v>150889787</v>
      </c>
    </row>
    <row r="32" spans="2:38">
      <c r="B32" s="1986" t="s">
        <v>1101</v>
      </c>
      <c r="C32" s="1153">
        <v>162711353.19</v>
      </c>
      <c r="D32" s="2000">
        <v>29301760.829999998</v>
      </c>
      <c r="E32" s="2000">
        <v>2015559.32</v>
      </c>
      <c r="F32" s="2001">
        <v>-118784.5</v>
      </c>
      <c r="G32" s="2002"/>
      <c r="H32" s="2003">
        <v>189878771</v>
      </c>
      <c r="I32" s="2000">
        <v>97193648</v>
      </c>
      <c r="J32" s="2004">
        <f t="shared" si="2"/>
        <v>92685123</v>
      </c>
      <c r="K32" s="2026">
        <v>29231295</v>
      </c>
      <c r="L32" s="2028">
        <v>458312</v>
      </c>
      <c r="M32" s="2028" t="e">
        <f>+#REF!</f>
        <v>#REF!</v>
      </c>
      <c r="N32" s="2028"/>
      <c r="O32" s="2003" t="e">
        <f t="shared" si="13"/>
        <v>#REF!</v>
      </c>
      <c r="P32" s="2003">
        <v>116853327</v>
      </c>
      <c r="Q32" s="2006" t="e">
        <f t="shared" si="14"/>
        <v>#REF!</v>
      </c>
      <c r="R32" s="2026">
        <v>24594019</v>
      </c>
      <c r="S32" s="2028">
        <v>1804730</v>
      </c>
      <c r="T32" s="2028">
        <v>-235651</v>
      </c>
      <c r="U32" s="2003" t="e">
        <f t="shared" si="15"/>
        <v>#REF!</v>
      </c>
      <c r="V32" s="2003">
        <v>134160862</v>
      </c>
      <c r="W32" s="2006" t="e">
        <f t="shared" si="16"/>
        <v>#REF!</v>
      </c>
      <c r="X32" s="2003" t="e">
        <f t="shared" si="17"/>
        <v>#REF!</v>
      </c>
      <c r="Y32" s="2003">
        <v>116853327</v>
      </c>
      <c r="Z32" s="2006" t="e">
        <f t="shared" si="18"/>
        <v>#REF!</v>
      </c>
      <c r="AA32" s="2026">
        <v>11210444</v>
      </c>
      <c r="AB32" s="2028">
        <v>1558256</v>
      </c>
      <c r="AC32" s="2028">
        <v>-12031550</v>
      </c>
      <c r="AD32" s="2049">
        <v>238809443</v>
      </c>
      <c r="AE32" s="2049">
        <v>208075226</v>
      </c>
      <c r="AF32" s="2050">
        <f t="shared" si="19"/>
        <v>30734217</v>
      </c>
      <c r="AG32" s="2057">
        <v>14180711</v>
      </c>
      <c r="AH32" s="2060">
        <v>2613209</v>
      </c>
      <c r="AI32" s="2060">
        <v>0</v>
      </c>
      <c r="AJ32" s="2049">
        <f t="shared" si="20"/>
        <v>250376945</v>
      </c>
      <c r="AK32" s="2049">
        <v>223779851</v>
      </c>
      <c r="AL32" s="2050">
        <f t="shared" si="21"/>
        <v>26597094</v>
      </c>
    </row>
    <row r="33" spans="2:38">
      <c r="B33" s="2007" t="s">
        <v>94</v>
      </c>
      <c r="C33" s="2008" t="s">
        <v>94</v>
      </c>
      <c r="D33" s="2009" t="s">
        <v>277</v>
      </c>
      <c r="E33" s="2008" t="s">
        <v>94</v>
      </c>
      <c r="F33" s="2010">
        <v>0</v>
      </c>
      <c r="G33" s="2002"/>
      <c r="H33" s="2000"/>
      <c r="I33" s="2009" t="s">
        <v>94</v>
      </c>
      <c r="J33" s="2004"/>
      <c r="K33" s="2013" t="s">
        <v>277</v>
      </c>
      <c r="L33" s="2014" t="s">
        <v>94</v>
      </c>
      <c r="M33" s="2011" t="s">
        <v>94</v>
      </c>
      <c r="N33" s="2003"/>
      <c r="O33" s="2003"/>
      <c r="P33" s="2011" t="s">
        <v>94</v>
      </c>
      <c r="Q33" s="2006"/>
      <c r="R33" s="2013" t="s">
        <v>277</v>
      </c>
      <c r="S33" s="2014" t="s">
        <v>94</v>
      </c>
      <c r="T33" s="2011" t="s">
        <v>94</v>
      </c>
      <c r="U33" s="2003"/>
      <c r="V33" s="2011" t="s">
        <v>94</v>
      </c>
      <c r="W33" s="2006"/>
      <c r="X33" s="2003"/>
      <c r="Y33" s="2011" t="s">
        <v>94</v>
      </c>
      <c r="Z33" s="2006"/>
      <c r="AA33" s="2013" t="s">
        <v>277</v>
      </c>
      <c r="AB33" s="2014" t="s">
        <v>94</v>
      </c>
      <c r="AC33" s="2011" t="s">
        <v>94</v>
      </c>
      <c r="AD33" s="2049"/>
      <c r="AE33" s="2062" t="s">
        <v>94</v>
      </c>
      <c r="AF33" s="2050"/>
      <c r="AG33" s="2063" t="s">
        <v>277</v>
      </c>
      <c r="AH33" s="2064" t="s">
        <v>94</v>
      </c>
      <c r="AI33" s="2062" t="s">
        <v>94</v>
      </c>
      <c r="AJ33" s="2049"/>
      <c r="AK33" s="2062" t="s">
        <v>94</v>
      </c>
      <c r="AL33" s="2050"/>
    </row>
    <row r="34" spans="2:38">
      <c r="B34" s="2015" t="s">
        <v>499</v>
      </c>
      <c r="C34" s="2016">
        <f t="shared" ref="C34:H34" si="22">SUM(C23:C33)</f>
        <v>13648758965.609999</v>
      </c>
      <c r="D34" s="2016">
        <f t="shared" si="22"/>
        <v>1353669891.0699997</v>
      </c>
      <c r="E34" s="2016">
        <f t="shared" si="22"/>
        <v>27476386.870000001</v>
      </c>
      <c r="F34" s="2017">
        <f t="shared" si="22"/>
        <v>-400048.64000000001</v>
      </c>
      <c r="G34" s="2018"/>
      <c r="H34" s="2019">
        <f t="shared" si="22"/>
        <v>14974552423</v>
      </c>
      <c r="I34" s="2020">
        <f>SUM(I24:I33)</f>
        <v>5294399474</v>
      </c>
      <c r="J34" s="2021">
        <f t="shared" si="2"/>
        <v>9680152949</v>
      </c>
      <c r="K34" s="2022">
        <f>SUM(K23:K33)</f>
        <v>1994666730</v>
      </c>
      <c r="L34" s="2030">
        <f>SUM(L23:L33)</f>
        <v>64721186</v>
      </c>
      <c r="M34" s="2019" t="e">
        <f>SUM(M23:M33)</f>
        <v>#REF!</v>
      </c>
      <c r="N34" s="2019" t="s">
        <v>2538</v>
      </c>
      <c r="O34" s="2019" t="e">
        <f>+H34+K34-L34+M34</f>
        <v>#REF!</v>
      </c>
      <c r="P34" s="2024">
        <f>SUM(P23:P33)</f>
        <v>5879104240</v>
      </c>
      <c r="Q34" s="2024" t="e">
        <f>+O34-P34</f>
        <v>#REF!</v>
      </c>
      <c r="R34" s="2022">
        <f>SUM(R23:R33)</f>
        <v>1298493575</v>
      </c>
      <c r="S34" s="2030">
        <f>SUM(S23:S33)</f>
        <v>173514805</v>
      </c>
      <c r="T34" s="2019" t="e">
        <f>SUM(T23:T33)</f>
        <v>#REF!</v>
      </c>
      <c r="U34" s="2019" t="e">
        <f>+O34+R34-S34+T34</f>
        <v>#REF!</v>
      </c>
      <c r="V34" s="2024">
        <f>SUM(V23:V33)</f>
        <v>6349289705</v>
      </c>
      <c r="W34" s="2024" t="e">
        <f>+U34-V34</f>
        <v>#REF!</v>
      </c>
      <c r="X34" s="2019" t="e">
        <f>+Q34+T34-U34+V34</f>
        <v>#REF!</v>
      </c>
      <c r="Y34" s="2024">
        <f>SUM(Y23:Y33)</f>
        <v>5879104240</v>
      </c>
      <c r="Z34" s="2024" t="e">
        <f>+X34-Y34</f>
        <v>#REF!</v>
      </c>
      <c r="AA34" s="2022">
        <f>SUM(AA23:AA33)</f>
        <v>1260415489</v>
      </c>
      <c r="AB34" s="2030">
        <f>SUM(AB23:AB33)</f>
        <v>115471453</v>
      </c>
      <c r="AC34" s="2031">
        <f>SUM(AC23:AC33)</f>
        <v>-37231550</v>
      </c>
      <c r="AD34" s="2053">
        <f>SUM(AD23:AD32)</f>
        <v>19138520315</v>
      </c>
      <c r="AE34" s="2054">
        <f>SUM(AE23:AE33)</f>
        <v>6990621879</v>
      </c>
      <c r="AF34" s="2054">
        <f>+AD34-AE34</f>
        <v>12147898436</v>
      </c>
      <c r="AG34" s="2055">
        <f>SUM(AG23:AG33)</f>
        <v>1008722100</v>
      </c>
      <c r="AH34" s="2065">
        <f>SUM(AH23:AH33)</f>
        <v>151157813</v>
      </c>
      <c r="AI34" s="2066">
        <f>SUM(AI23:AI33)</f>
        <v>-105800000</v>
      </c>
      <c r="AJ34" s="2053">
        <f>+AD34+AG34-AH34+AI34</f>
        <v>19890284602</v>
      </c>
      <c r="AK34" s="2054">
        <f>SUM(AK23:AK33)</f>
        <v>7824356718</v>
      </c>
      <c r="AL34" s="2054">
        <f>+AJ34-AK34</f>
        <v>12065927884</v>
      </c>
    </row>
    <row r="35" spans="2:38">
      <c r="B35" s="1986" t="s">
        <v>94</v>
      </c>
      <c r="C35" s="1153" t="s">
        <v>94</v>
      </c>
      <c r="D35" s="2000" t="s">
        <v>94</v>
      </c>
      <c r="E35" s="1153" t="s">
        <v>94</v>
      </c>
      <c r="F35" s="2001" t="s">
        <v>94</v>
      </c>
      <c r="G35" s="2002"/>
      <c r="H35" s="2000" t="s">
        <v>94</v>
      </c>
      <c r="I35" s="2012"/>
      <c r="J35" s="2004"/>
      <c r="K35" s="2005" t="s">
        <v>94</v>
      </c>
      <c r="L35" s="1163" t="s">
        <v>94</v>
      </c>
      <c r="M35" s="2003" t="s">
        <v>94</v>
      </c>
      <c r="N35" s="2003"/>
      <c r="O35" s="2003" t="s">
        <v>94</v>
      </c>
      <c r="P35" s="2005"/>
      <c r="Q35" s="2006"/>
      <c r="R35" s="2005" t="s">
        <v>94</v>
      </c>
      <c r="S35" s="1163" t="s">
        <v>94</v>
      </c>
      <c r="T35" s="2003" t="s">
        <v>94</v>
      </c>
      <c r="U35" s="2003" t="s">
        <v>94</v>
      </c>
      <c r="V35" s="2005"/>
      <c r="W35" s="2006"/>
      <c r="X35" s="2003" t="s">
        <v>94</v>
      </c>
      <c r="Y35" s="2005"/>
      <c r="Z35" s="2006"/>
      <c r="AA35" s="2005" t="s">
        <v>94</v>
      </c>
      <c r="AB35" s="1163" t="s">
        <v>94</v>
      </c>
      <c r="AC35" s="2003" t="s">
        <v>94</v>
      </c>
      <c r="AD35" s="2003" t="s">
        <v>94</v>
      </c>
      <c r="AE35" s="2005"/>
      <c r="AF35" s="2006"/>
      <c r="AG35" s="2005" t="s">
        <v>94</v>
      </c>
      <c r="AH35" s="1163" t="s">
        <v>94</v>
      </c>
      <c r="AI35" s="2003" t="s">
        <v>94</v>
      </c>
      <c r="AJ35" s="2003" t="s">
        <v>94</v>
      </c>
      <c r="AK35" s="2005"/>
      <c r="AL35" s="2006"/>
    </row>
    <row r="36" spans="2:38">
      <c r="B36" s="1993" t="s">
        <v>869</v>
      </c>
      <c r="C36" s="1153"/>
      <c r="D36" s="2000"/>
      <c r="E36" s="1153"/>
      <c r="F36" s="2001"/>
      <c r="G36" s="2002"/>
      <c r="H36" s="2000"/>
      <c r="I36" s="2012"/>
      <c r="J36" s="2004" t="s">
        <v>94</v>
      </c>
      <c r="K36" s="2005"/>
      <c r="L36" s="1163"/>
      <c r="M36" s="2003"/>
      <c r="N36" s="2003"/>
      <c r="O36" s="2003"/>
      <c r="P36" s="2005"/>
      <c r="Q36" s="2006" t="s">
        <v>94</v>
      </c>
      <c r="R36" s="2005"/>
      <c r="S36" s="1163"/>
      <c r="T36" s="2003"/>
      <c r="U36" s="2003"/>
      <c r="V36" s="2005"/>
      <c r="W36" s="2006" t="s">
        <v>94</v>
      </c>
      <c r="X36" s="2003"/>
      <c r="Y36" s="2005"/>
      <c r="Z36" s="2006" t="s">
        <v>94</v>
      </c>
      <c r="AA36" s="2005"/>
      <c r="AB36" s="1163"/>
      <c r="AC36" s="2003"/>
      <c r="AD36" s="2003"/>
      <c r="AE36" s="2005"/>
      <c r="AF36" s="2006" t="s">
        <v>94</v>
      </c>
      <c r="AG36" s="2005"/>
      <c r="AH36" s="1163"/>
      <c r="AI36" s="2003"/>
      <c r="AJ36" s="2003"/>
      <c r="AK36" s="2005"/>
      <c r="AL36" s="2006" t="s">
        <v>94</v>
      </c>
    </row>
    <row r="37" spans="2:38">
      <c r="B37" s="1986" t="s">
        <v>1097</v>
      </c>
      <c r="C37" s="1153">
        <v>339869079.20999998</v>
      </c>
      <c r="D37" s="2000">
        <v>4871132</v>
      </c>
      <c r="E37" s="1153">
        <v>0</v>
      </c>
      <c r="F37" s="2001">
        <v>0</v>
      </c>
      <c r="G37" s="2002"/>
      <c r="H37" s="2003">
        <v>344740211</v>
      </c>
      <c r="I37" s="2000">
        <v>0</v>
      </c>
      <c r="J37" s="2004">
        <f t="shared" si="2"/>
        <v>344740211</v>
      </c>
      <c r="K37" s="2026">
        <v>11448285</v>
      </c>
      <c r="L37" s="2028">
        <v>0</v>
      </c>
      <c r="M37" s="2028">
        <v>0</v>
      </c>
      <c r="N37" s="2028"/>
      <c r="O37" s="2003">
        <f t="shared" ref="O37:O43" si="23">+H37+K37-L37+M37</f>
        <v>356188496</v>
      </c>
      <c r="P37" s="2003">
        <v>0</v>
      </c>
      <c r="Q37" s="2006">
        <f t="shared" ref="Q37:Q43" si="24">+O37-P37</f>
        <v>356188496</v>
      </c>
      <c r="R37" s="2026">
        <v>0</v>
      </c>
      <c r="S37" s="2028">
        <v>0</v>
      </c>
      <c r="T37" s="2028">
        <v>0</v>
      </c>
      <c r="U37" s="2003">
        <f t="shared" ref="U37:U43" si="25">+O37+R37-S37+T37</f>
        <v>356188496</v>
      </c>
      <c r="V37" s="2003">
        <v>0</v>
      </c>
      <c r="W37" s="2006">
        <f t="shared" ref="W37:W43" si="26">+U37-V37</f>
        <v>356188496</v>
      </c>
      <c r="X37" s="2003">
        <f t="shared" ref="X37:X43" si="27">+Q37+T37-U37+V37</f>
        <v>0</v>
      </c>
      <c r="Y37" s="2003">
        <v>0</v>
      </c>
      <c r="Z37" s="2006">
        <f t="shared" ref="Z37:Z43" si="28">+X37-Y37</f>
        <v>0</v>
      </c>
      <c r="AA37" s="2026">
        <v>0</v>
      </c>
      <c r="AB37" s="2028">
        <v>0</v>
      </c>
      <c r="AC37" s="2028">
        <v>0</v>
      </c>
      <c r="AD37" s="2049">
        <f t="shared" ref="AD37:AD43" si="29">+U37+AA37-AB37+AC37</f>
        <v>356188496</v>
      </c>
      <c r="AE37" s="2049">
        <v>0</v>
      </c>
      <c r="AF37" s="2050">
        <f t="shared" ref="AF37:AF43" si="30">+AD37-AE37</f>
        <v>356188496</v>
      </c>
      <c r="AG37" s="2057">
        <v>0</v>
      </c>
      <c r="AH37" s="2060">
        <v>0</v>
      </c>
      <c r="AI37" s="2060">
        <v>0</v>
      </c>
      <c r="AJ37" s="2049">
        <f t="shared" ref="AJ37:AJ43" si="31">+AD37+AG37-AH37+AI37</f>
        <v>356188496</v>
      </c>
      <c r="AK37" s="2049">
        <v>0</v>
      </c>
      <c r="AL37" s="2050">
        <f t="shared" ref="AL37:AL43" si="32">+AJ37-AK37</f>
        <v>356188496</v>
      </c>
    </row>
    <row r="38" spans="2:38">
      <c r="B38" s="1986" t="s">
        <v>1098</v>
      </c>
      <c r="C38" s="1153">
        <v>1045851038.4400001</v>
      </c>
      <c r="D38" s="2000">
        <v>45123176.630000003</v>
      </c>
      <c r="E38" s="1153">
        <v>0</v>
      </c>
      <c r="F38" s="2001">
        <v>0</v>
      </c>
      <c r="G38" s="2002"/>
      <c r="H38" s="2003">
        <v>1090974215</v>
      </c>
      <c r="I38" s="2000">
        <v>356026501</v>
      </c>
      <c r="J38" s="2004">
        <f t="shared" si="2"/>
        <v>734947714</v>
      </c>
      <c r="K38" s="2026">
        <v>39021363</v>
      </c>
      <c r="L38" s="2028">
        <v>0</v>
      </c>
      <c r="M38" s="2028">
        <v>0</v>
      </c>
      <c r="N38" s="2028"/>
      <c r="O38" s="2003">
        <f t="shared" si="23"/>
        <v>1129995578</v>
      </c>
      <c r="P38" s="2003">
        <v>378843447</v>
      </c>
      <c r="Q38" s="2006">
        <f t="shared" si="24"/>
        <v>751152131</v>
      </c>
      <c r="R38" s="2026">
        <v>34803130</v>
      </c>
      <c r="S38" s="2028">
        <v>0</v>
      </c>
      <c r="T38" s="2028">
        <v>0</v>
      </c>
      <c r="U38" s="2003">
        <f t="shared" si="25"/>
        <v>1164798708</v>
      </c>
      <c r="V38" s="2003">
        <v>401660393</v>
      </c>
      <c r="W38" s="2006">
        <f t="shared" si="26"/>
        <v>763138315</v>
      </c>
      <c r="X38" s="2003">
        <f t="shared" si="27"/>
        <v>-11986184</v>
      </c>
      <c r="Y38" s="2003">
        <v>378843447</v>
      </c>
      <c r="Z38" s="2006">
        <f t="shared" si="28"/>
        <v>-390829631</v>
      </c>
      <c r="AA38" s="2026">
        <v>26971050</v>
      </c>
      <c r="AB38" s="2028">
        <v>0</v>
      </c>
      <c r="AC38" s="2028">
        <v>0</v>
      </c>
      <c r="AD38" s="2049">
        <f t="shared" si="29"/>
        <v>1191769758</v>
      </c>
      <c r="AE38" s="2049">
        <v>425173403</v>
      </c>
      <c r="AF38" s="2050">
        <f t="shared" si="30"/>
        <v>766596355</v>
      </c>
      <c r="AG38" s="2057">
        <v>28176813</v>
      </c>
      <c r="AH38" s="2060">
        <v>0</v>
      </c>
      <c r="AI38" s="2060">
        <v>0</v>
      </c>
      <c r="AJ38" s="2049">
        <f t="shared" si="31"/>
        <v>1219946571</v>
      </c>
      <c r="AK38" s="2049">
        <v>449225833</v>
      </c>
      <c r="AL38" s="2050">
        <f t="shared" si="32"/>
        <v>770720738</v>
      </c>
    </row>
    <row r="39" spans="2:38">
      <c r="B39" s="1986" t="s">
        <v>2559</v>
      </c>
      <c r="C39" s="1153">
        <v>6010933478.1599998</v>
      </c>
      <c r="D39" s="2000">
        <v>2483893495</v>
      </c>
      <c r="E39" s="1153">
        <v>214075886.37</v>
      </c>
      <c r="F39" s="2001">
        <v>0</v>
      </c>
      <c r="G39" s="2029" t="s">
        <v>1685</v>
      </c>
      <c r="H39" s="2003">
        <v>8280751086</v>
      </c>
      <c r="I39" s="2000">
        <v>3690478792</v>
      </c>
      <c r="J39" s="2004">
        <f t="shared" si="2"/>
        <v>4590272294</v>
      </c>
      <c r="K39" s="2032">
        <v>1620736391</v>
      </c>
      <c r="L39" s="2028">
        <v>70033053</v>
      </c>
      <c r="M39" s="2028">
        <v>0</v>
      </c>
      <c r="N39" s="2028" t="s">
        <v>1685</v>
      </c>
      <c r="O39" s="2003">
        <f t="shared" si="23"/>
        <v>9831454424</v>
      </c>
      <c r="P39" s="2003">
        <v>4638446008</v>
      </c>
      <c r="Q39" s="2006">
        <f t="shared" si="24"/>
        <v>5193008416</v>
      </c>
      <c r="R39" s="2032">
        <v>3548344</v>
      </c>
      <c r="S39" s="2028">
        <v>172158732</v>
      </c>
      <c r="T39" s="2028">
        <v>0</v>
      </c>
      <c r="U39" s="2003">
        <f t="shared" si="25"/>
        <v>9662844036</v>
      </c>
      <c r="V39" s="2003">
        <v>5451243543</v>
      </c>
      <c r="W39" s="2006">
        <f t="shared" si="26"/>
        <v>4211600493</v>
      </c>
      <c r="X39" s="2003">
        <f t="shared" si="27"/>
        <v>981407923</v>
      </c>
      <c r="Y39" s="2003">
        <v>4638446008</v>
      </c>
      <c r="Z39" s="2006">
        <f t="shared" si="28"/>
        <v>-3657038085</v>
      </c>
      <c r="AA39" s="2032">
        <v>0</v>
      </c>
      <c r="AB39" s="2028">
        <v>263330933</v>
      </c>
      <c r="AC39" s="2028">
        <v>0</v>
      </c>
      <c r="AD39" s="2049">
        <f t="shared" si="29"/>
        <v>9399513103</v>
      </c>
      <c r="AE39" s="2049">
        <v>5722476954</v>
      </c>
      <c r="AF39" s="2050">
        <f t="shared" si="30"/>
        <v>3677036149</v>
      </c>
      <c r="AG39" s="2057">
        <v>799995</v>
      </c>
      <c r="AH39" s="2060">
        <v>196438063</v>
      </c>
      <c r="AI39" s="2060">
        <v>1265085</v>
      </c>
      <c r="AJ39" s="2049">
        <f t="shared" si="31"/>
        <v>9205140120</v>
      </c>
      <c r="AK39" s="2049">
        <v>5859884265</v>
      </c>
      <c r="AL39" s="2050">
        <f t="shared" si="32"/>
        <v>3345255855</v>
      </c>
    </row>
    <row r="40" spans="2:38">
      <c r="B40" s="1986" t="s">
        <v>1099</v>
      </c>
      <c r="C40" s="1153">
        <v>102764360.31</v>
      </c>
      <c r="D40" s="2000">
        <v>4321136</v>
      </c>
      <c r="E40" s="1153">
        <v>3240606.57</v>
      </c>
      <c r="F40" s="2001">
        <v>162187.68</v>
      </c>
      <c r="G40" s="2002"/>
      <c r="H40" s="2003">
        <v>104007077</v>
      </c>
      <c r="I40" s="2000">
        <v>71544327</v>
      </c>
      <c r="J40" s="2004">
        <f t="shared" si="2"/>
        <v>32462750</v>
      </c>
      <c r="K40" s="2026">
        <v>0</v>
      </c>
      <c r="L40" s="2028">
        <v>1141214</v>
      </c>
      <c r="M40" s="2028">
        <v>-2735710</v>
      </c>
      <c r="N40" s="2028"/>
      <c r="O40" s="2003">
        <f t="shared" si="23"/>
        <v>100130153</v>
      </c>
      <c r="P40" s="2003">
        <v>79583496</v>
      </c>
      <c r="Q40" s="2006">
        <f t="shared" si="24"/>
        <v>20546657</v>
      </c>
      <c r="R40" s="2026">
        <v>8740452</v>
      </c>
      <c r="S40" s="2028">
        <v>5409222</v>
      </c>
      <c r="T40" s="2028">
        <v>0</v>
      </c>
      <c r="U40" s="2003">
        <f t="shared" si="25"/>
        <v>103461383</v>
      </c>
      <c r="V40" s="2003">
        <v>77285749</v>
      </c>
      <c r="W40" s="2006">
        <f t="shared" si="26"/>
        <v>26175634</v>
      </c>
      <c r="X40" s="2003">
        <f t="shared" si="27"/>
        <v>-5628977</v>
      </c>
      <c r="Y40" s="2003">
        <v>79583496</v>
      </c>
      <c r="Z40" s="2006">
        <f t="shared" si="28"/>
        <v>-85212473</v>
      </c>
      <c r="AA40" s="2026">
        <v>3269107</v>
      </c>
      <c r="AB40" s="2028">
        <v>262299</v>
      </c>
      <c r="AC40" s="2028">
        <v>0</v>
      </c>
      <c r="AD40" s="2049">
        <f t="shared" si="29"/>
        <v>106468191</v>
      </c>
      <c r="AE40" s="2049">
        <v>79581092</v>
      </c>
      <c r="AF40" s="2050">
        <f t="shared" si="30"/>
        <v>26887099</v>
      </c>
      <c r="AG40" s="2057">
        <v>12198592</v>
      </c>
      <c r="AH40" s="2060">
        <v>1981692</v>
      </c>
      <c r="AI40" s="2060">
        <v>0</v>
      </c>
      <c r="AJ40" s="2049">
        <f t="shared" si="31"/>
        <v>116685091</v>
      </c>
      <c r="AK40" s="2049">
        <v>80396921</v>
      </c>
      <c r="AL40" s="2050">
        <f t="shared" si="32"/>
        <v>36288170</v>
      </c>
    </row>
    <row r="41" spans="2:38">
      <c r="B41" s="1986" t="s">
        <v>1111</v>
      </c>
      <c r="C41" s="1153">
        <v>36526612.729999997</v>
      </c>
      <c r="D41" s="2000">
        <v>12804625.82</v>
      </c>
      <c r="E41" s="1153">
        <v>11900.2</v>
      </c>
      <c r="F41" s="2001">
        <v>0</v>
      </c>
      <c r="G41" s="2002"/>
      <c r="H41" s="2003">
        <v>49319339</v>
      </c>
      <c r="I41" s="2000">
        <v>20261897</v>
      </c>
      <c r="J41" s="2004">
        <f t="shared" si="2"/>
        <v>29057442</v>
      </c>
      <c r="K41" s="2026">
        <v>46980</v>
      </c>
      <c r="L41" s="2028">
        <v>0</v>
      </c>
      <c r="M41" s="2028">
        <v>0</v>
      </c>
      <c r="N41" s="2028"/>
      <c r="O41" s="2003">
        <f t="shared" si="23"/>
        <v>49366319</v>
      </c>
      <c r="P41" s="2003">
        <v>21957687</v>
      </c>
      <c r="Q41" s="2006">
        <f t="shared" si="24"/>
        <v>27408632</v>
      </c>
      <c r="R41" s="2026">
        <v>0</v>
      </c>
      <c r="S41" s="2028">
        <v>0</v>
      </c>
      <c r="T41" s="2028">
        <v>0</v>
      </c>
      <c r="U41" s="2003">
        <f t="shared" si="25"/>
        <v>49366319</v>
      </c>
      <c r="V41" s="2003">
        <v>23461939</v>
      </c>
      <c r="W41" s="2006">
        <f t="shared" si="26"/>
        <v>25904380</v>
      </c>
      <c r="X41" s="2003">
        <f t="shared" si="27"/>
        <v>1504252</v>
      </c>
      <c r="Y41" s="2003">
        <v>21957687</v>
      </c>
      <c r="Z41" s="2006">
        <f t="shared" si="28"/>
        <v>-20453435</v>
      </c>
      <c r="AA41" s="2026">
        <v>0</v>
      </c>
      <c r="AB41" s="2028">
        <v>0</v>
      </c>
      <c r="AC41" s="2028">
        <v>0</v>
      </c>
      <c r="AD41" s="2049">
        <f t="shared" si="29"/>
        <v>49366319</v>
      </c>
      <c r="AE41" s="2049">
        <v>24966191</v>
      </c>
      <c r="AF41" s="2050">
        <f t="shared" si="30"/>
        <v>24400128</v>
      </c>
      <c r="AG41" s="2057">
        <v>0</v>
      </c>
      <c r="AH41" s="2060">
        <v>28006628</v>
      </c>
      <c r="AI41" s="2060">
        <v>0</v>
      </c>
      <c r="AJ41" s="2049">
        <f t="shared" si="31"/>
        <v>21359691</v>
      </c>
      <c r="AK41" s="2049">
        <v>4007523</v>
      </c>
      <c r="AL41" s="2050">
        <f t="shared" si="32"/>
        <v>17352168</v>
      </c>
    </row>
    <row r="42" spans="2:38">
      <c r="B42" s="1986" t="s">
        <v>1102</v>
      </c>
      <c r="C42" s="1153">
        <v>84812221.219999999</v>
      </c>
      <c r="D42" s="2000">
        <v>415246</v>
      </c>
      <c r="E42" s="1153">
        <v>657700.31999999995</v>
      </c>
      <c r="F42" s="2001">
        <v>0</v>
      </c>
      <c r="G42" s="2002"/>
      <c r="H42" s="2003">
        <v>84569767</v>
      </c>
      <c r="I42" s="2000">
        <v>53344262</v>
      </c>
      <c r="J42" s="2004">
        <f t="shared" si="2"/>
        <v>31225505</v>
      </c>
      <c r="K42" s="2026">
        <v>6207700</v>
      </c>
      <c r="L42" s="2028">
        <v>2660672</v>
      </c>
      <c r="M42" s="2028">
        <v>0</v>
      </c>
      <c r="N42" s="2028"/>
      <c r="O42" s="2003">
        <f t="shared" si="23"/>
        <v>88116795</v>
      </c>
      <c r="P42" s="2003">
        <v>54781905</v>
      </c>
      <c r="Q42" s="2006">
        <f t="shared" si="24"/>
        <v>33334890</v>
      </c>
      <c r="R42" s="2026">
        <v>1968732</v>
      </c>
      <c r="S42" s="2028">
        <v>5238610</v>
      </c>
      <c r="T42" s="2028">
        <v>0</v>
      </c>
      <c r="U42" s="2003">
        <f t="shared" si="25"/>
        <v>84846917</v>
      </c>
      <c r="V42" s="2003">
        <v>53579597</v>
      </c>
      <c r="W42" s="2006">
        <f t="shared" si="26"/>
        <v>31267320</v>
      </c>
      <c r="X42" s="2003">
        <f t="shared" si="27"/>
        <v>2067570</v>
      </c>
      <c r="Y42" s="2003">
        <v>54781905</v>
      </c>
      <c r="Z42" s="2006">
        <f t="shared" si="28"/>
        <v>-52714335</v>
      </c>
      <c r="AA42" s="2026">
        <v>1384100</v>
      </c>
      <c r="AB42" s="2028">
        <v>137222</v>
      </c>
      <c r="AC42" s="2028">
        <v>0</v>
      </c>
      <c r="AD42" s="2049">
        <f t="shared" si="29"/>
        <v>86093795</v>
      </c>
      <c r="AE42" s="2049">
        <v>56612355</v>
      </c>
      <c r="AF42" s="2050">
        <f t="shared" si="30"/>
        <v>29481440</v>
      </c>
      <c r="AG42" s="2057">
        <v>755842</v>
      </c>
      <c r="AH42" s="2060">
        <v>1892719</v>
      </c>
      <c r="AI42" s="2060">
        <v>0</v>
      </c>
      <c r="AJ42" s="2049">
        <f t="shared" si="31"/>
        <v>84956918</v>
      </c>
      <c r="AK42" s="2049">
        <v>57610035</v>
      </c>
      <c r="AL42" s="2050">
        <f t="shared" si="32"/>
        <v>27346883</v>
      </c>
    </row>
    <row r="43" spans="2:38">
      <c r="B43" s="1986" t="s">
        <v>1101</v>
      </c>
      <c r="C43" s="1153">
        <v>91546653.099999994</v>
      </c>
      <c r="D43" s="2000">
        <f>14598951.82+27000</f>
        <v>14625951.82</v>
      </c>
      <c r="E43" s="1153">
        <v>14471567.050000001</v>
      </c>
      <c r="F43" s="2001">
        <v>19940.5</v>
      </c>
      <c r="G43" s="2002"/>
      <c r="H43" s="2003">
        <v>91720978</v>
      </c>
      <c r="I43" s="2000">
        <v>56599367</v>
      </c>
      <c r="J43" s="2033">
        <f t="shared" si="2"/>
        <v>35121611</v>
      </c>
      <c r="K43" s="2003">
        <v>40837874</v>
      </c>
      <c r="L43" s="2028">
        <v>16551205</v>
      </c>
      <c r="M43" s="2028">
        <v>16587</v>
      </c>
      <c r="N43" s="2028"/>
      <c r="O43" s="2003">
        <f t="shared" si="23"/>
        <v>116024234</v>
      </c>
      <c r="P43" s="2003">
        <v>55357094</v>
      </c>
      <c r="Q43" s="2034">
        <f t="shared" si="24"/>
        <v>60667140</v>
      </c>
      <c r="R43" s="2003">
        <v>37214852</v>
      </c>
      <c r="S43" s="2028">
        <v>7520658</v>
      </c>
      <c r="T43" s="2028">
        <v>699438</v>
      </c>
      <c r="U43" s="2003">
        <f t="shared" si="25"/>
        <v>146417866</v>
      </c>
      <c r="V43" s="2003">
        <v>60760459</v>
      </c>
      <c r="W43" s="2034">
        <f t="shared" si="26"/>
        <v>85657407</v>
      </c>
      <c r="X43" s="2003">
        <f t="shared" si="27"/>
        <v>-24290829</v>
      </c>
      <c r="Y43" s="2003">
        <v>55357094</v>
      </c>
      <c r="Z43" s="2034">
        <f t="shared" si="28"/>
        <v>-79647923</v>
      </c>
      <c r="AA43" s="2003">
        <v>4343933</v>
      </c>
      <c r="AB43" s="2028">
        <v>2333208</v>
      </c>
      <c r="AC43" s="2028">
        <v>16680</v>
      </c>
      <c r="AD43" s="2049">
        <f t="shared" si="29"/>
        <v>148445271</v>
      </c>
      <c r="AE43" s="2049">
        <v>73271299</v>
      </c>
      <c r="AF43" s="2050">
        <f t="shared" si="30"/>
        <v>75173972</v>
      </c>
      <c r="AG43" s="2049">
        <v>9517794</v>
      </c>
      <c r="AH43" s="2060">
        <v>12733315</v>
      </c>
      <c r="AI43" s="2060">
        <v>0</v>
      </c>
      <c r="AJ43" s="2049">
        <f t="shared" si="31"/>
        <v>145229750</v>
      </c>
      <c r="AK43" s="2049">
        <v>76100776</v>
      </c>
      <c r="AL43" s="2067">
        <f t="shared" si="32"/>
        <v>69128974</v>
      </c>
    </row>
    <row r="44" spans="2:38">
      <c r="B44" s="2007" t="s">
        <v>94</v>
      </c>
      <c r="C44" s="2008" t="s">
        <v>94</v>
      </c>
      <c r="D44" s="2009" t="s">
        <v>94</v>
      </c>
      <c r="E44" s="2008" t="s">
        <v>277</v>
      </c>
      <c r="F44" s="2010" t="s">
        <v>94</v>
      </c>
      <c r="G44" s="2002"/>
      <c r="H44" s="2011" t="s">
        <v>94</v>
      </c>
      <c r="I44" s="2035" t="s">
        <v>94</v>
      </c>
      <c r="J44" s="2004"/>
      <c r="K44" s="2013" t="s">
        <v>94</v>
      </c>
      <c r="L44" s="2014" t="s">
        <v>277</v>
      </c>
      <c r="M44" s="2011" t="s">
        <v>94</v>
      </c>
      <c r="N44" s="2011"/>
      <c r="O44" s="2011" t="s">
        <v>94</v>
      </c>
      <c r="P44" s="2036" t="s">
        <v>94</v>
      </c>
      <c r="Q44" s="2006"/>
      <c r="R44" s="2013" t="s">
        <v>94</v>
      </c>
      <c r="S44" s="2014" t="s">
        <v>277</v>
      </c>
      <c r="T44" s="2011" t="s">
        <v>94</v>
      </c>
      <c r="U44" s="2011" t="s">
        <v>94</v>
      </c>
      <c r="V44" s="2036" t="s">
        <v>94</v>
      </c>
      <c r="W44" s="2006"/>
      <c r="X44" s="2011" t="s">
        <v>94</v>
      </c>
      <c r="Y44" s="2036" t="s">
        <v>94</v>
      </c>
      <c r="Z44" s="2006"/>
      <c r="AA44" s="2013" t="s">
        <v>94</v>
      </c>
      <c r="AB44" s="2014" t="s">
        <v>277</v>
      </c>
      <c r="AC44" s="2011" t="s">
        <v>94</v>
      </c>
      <c r="AD44" s="2062" t="s">
        <v>94</v>
      </c>
      <c r="AE44" s="2068" t="s">
        <v>94</v>
      </c>
      <c r="AF44" s="2050"/>
      <c r="AG44" s="2063" t="s">
        <v>94</v>
      </c>
      <c r="AH44" s="2064" t="s">
        <v>277</v>
      </c>
      <c r="AI44" s="2062" t="s">
        <v>94</v>
      </c>
      <c r="AJ44" s="2062" t="s">
        <v>94</v>
      </c>
      <c r="AK44" s="2068" t="s">
        <v>94</v>
      </c>
      <c r="AL44" s="2050"/>
    </row>
    <row r="45" spans="2:38">
      <c r="B45" s="2015" t="s">
        <v>499</v>
      </c>
      <c r="C45" s="2016">
        <f>SUM(C37:C44)</f>
        <v>7712303443.1700001</v>
      </c>
      <c r="D45" s="2016">
        <f>SUM(D36:D44)</f>
        <v>2566054763.2700005</v>
      </c>
      <c r="E45" s="2016">
        <f>SUM(E36:E44)</f>
        <v>232457660.50999999</v>
      </c>
      <c r="F45" s="2017">
        <f>SUM(F36:F44)</f>
        <v>182128.18</v>
      </c>
      <c r="G45" s="2018"/>
      <c r="H45" s="2022">
        <f>SUM(H36:H44)</f>
        <v>10046082673</v>
      </c>
      <c r="I45" s="2020">
        <f>SUM(I37:I44)</f>
        <v>4248255146</v>
      </c>
      <c r="J45" s="2037">
        <f t="shared" si="2"/>
        <v>5797827527</v>
      </c>
      <c r="K45" s="2022">
        <f>SUM(K36:K44)</f>
        <v>1718298593</v>
      </c>
      <c r="L45" s="2030">
        <f>SUM(L36:L44)</f>
        <v>90386144</v>
      </c>
      <c r="M45" s="2030">
        <f>SUM(M36:M44)</f>
        <v>-2719123</v>
      </c>
      <c r="N45" s="2030"/>
      <c r="O45" s="2019">
        <f>+H45+K45-L45+M45</f>
        <v>11671275999</v>
      </c>
      <c r="P45" s="2024">
        <f>SUM(P37:P44)</f>
        <v>5228969637</v>
      </c>
      <c r="Q45" s="2024">
        <f>+O45-P45</f>
        <v>6442306362</v>
      </c>
      <c r="R45" s="2022">
        <f>SUM(R36:R44)</f>
        <v>86275510</v>
      </c>
      <c r="S45" s="2030">
        <f>SUM(S36:S44)</f>
        <v>190327222</v>
      </c>
      <c r="T45" s="2030">
        <f>SUM(T36:T44)</f>
        <v>699438</v>
      </c>
      <c r="U45" s="2019">
        <f>+O45+R45-S45+T45</f>
        <v>11567923725</v>
      </c>
      <c r="V45" s="2024">
        <f>SUM(V37:V44)</f>
        <v>6067991680</v>
      </c>
      <c r="W45" s="2024">
        <f>+U45-V45</f>
        <v>5499932045</v>
      </c>
      <c r="X45" s="2019">
        <f>+Q45+T45-U45+V45</f>
        <v>943073755</v>
      </c>
      <c r="Y45" s="2024">
        <f>SUM(Y37:Y44)</f>
        <v>5228969637</v>
      </c>
      <c r="Z45" s="2024">
        <f>+X45-Y45</f>
        <v>-4285895882</v>
      </c>
      <c r="AA45" s="2022">
        <f>SUM(AA36:AA44)</f>
        <v>35968190</v>
      </c>
      <c r="AB45" s="2030">
        <f>SUM(AB36:AB44)</f>
        <v>266063662</v>
      </c>
      <c r="AC45" s="2030">
        <f>SUM(AC36:AC44)</f>
        <v>16680</v>
      </c>
      <c r="AD45" s="2053">
        <f>+U45+AA45-AB45+AC45</f>
        <v>11337844933</v>
      </c>
      <c r="AE45" s="2054">
        <f>SUM(AE37:AE44)</f>
        <v>6382081294</v>
      </c>
      <c r="AF45" s="2054">
        <f>+AD45-AE45</f>
        <v>4955763639</v>
      </c>
      <c r="AG45" s="2055">
        <f>SUM(AG36:AG44)</f>
        <v>51449036</v>
      </c>
      <c r="AH45" s="2069">
        <f>SUM(AH36:AH44)</f>
        <v>241052417</v>
      </c>
      <c r="AI45" s="2070">
        <f>SUM(AI36:AI44)</f>
        <v>1265085</v>
      </c>
      <c r="AJ45" s="2053">
        <f>+AD45+AG45-AH45+AI45</f>
        <v>11149506637</v>
      </c>
      <c r="AK45" s="2054">
        <f>SUM(AK37:AK44)</f>
        <v>6527225353</v>
      </c>
      <c r="AL45" s="2054">
        <f>+AJ45-AK45</f>
        <v>4622281284</v>
      </c>
    </row>
    <row r="46" spans="2:38">
      <c r="B46" s="1986" t="s">
        <v>94</v>
      </c>
      <c r="C46" s="1153"/>
      <c r="D46" s="2000" t="s">
        <v>94</v>
      </c>
      <c r="E46" s="1153" t="s">
        <v>94</v>
      </c>
      <c r="F46" s="2001" t="s">
        <v>94</v>
      </c>
      <c r="G46" s="2002"/>
      <c r="H46" s="2012" t="s">
        <v>94</v>
      </c>
      <c r="I46" s="2038"/>
      <c r="J46" s="2039"/>
      <c r="K46" s="2005" t="s">
        <v>94</v>
      </c>
      <c r="L46" s="1163" t="s">
        <v>94</v>
      </c>
      <c r="M46" s="2003" t="s">
        <v>94</v>
      </c>
      <c r="N46" s="2003"/>
      <c r="O46" s="2003" t="s">
        <v>94</v>
      </c>
      <c r="P46" s="2034"/>
      <c r="Q46" s="2006"/>
      <c r="R46" s="2005" t="s">
        <v>94</v>
      </c>
      <c r="S46" s="1163" t="s">
        <v>94</v>
      </c>
      <c r="T46" s="2003" t="s">
        <v>94</v>
      </c>
      <c r="U46" s="2003" t="s">
        <v>94</v>
      </c>
      <c r="V46" s="2034"/>
      <c r="W46" s="2006"/>
      <c r="X46" s="2003" t="s">
        <v>94</v>
      </c>
      <c r="Y46" s="2034"/>
      <c r="Z46" s="2006"/>
      <c r="AA46" s="2005" t="s">
        <v>94</v>
      </c>
      <c r="AB46" s="1163" t="s">
        <v>94</v>
      </c>
      <c r="AC46" s="2003" t="s">
        <v>94</v>
      </c>
      <c r="AD46" s="2049" t="s">
        <v>94</v>
      </c>
      <c r="AE46" s="2067"/>
      <c r="AF46" s="2050"/>
      <c r="AG46" s="2051" t="s">
        <v>94</v>
      </c>
      <c r="AH46" s="2052" t="s">
        <v>94</v>
      </c>
      <c r="AI46" s="2049" t="s">
        <v>94</v>
      </c>
      <c r="AJ46" s="2049" t="s">
        <v>94</v>
      </c>
      <c r="AK46" s="2067"/>
      <c r="AL46" s="2050"/>
    </row>
    <row r="47" spans="2:38">
      <c r="B47" s="2040" t="s">
        <v>1112</v>
      </c>
      <c r="C47" s="2000">
        <f>+C45+C34+C20</f>
        <v>22303847772.419998</v>
      </c>
      <c r="D47" s="1153">
        <f>D45+D34+D20</f>
        <v>3933058183.7800002</v>
      </c>
      <c r="E47" s="2000">
        <f>+E45+E34+E20</f>
        <v>263535000.71000001</v>
      </c>
      <c r="F47" s="2001">
        <f>+F45+F34+F20</f>
        <v>0</v>
      </c>
      <c r="G47" s="2018"/>
      <c r="H47" s="2022">
        <f>+H45+H34+H20</f>
        <v>25973370956</v>
      </c>
      <c r="I47" s="2000">
        <f>+I45+I34+I20</f>
        <v>9868302965</v>
      </c>
      <c r="J47" s="2037">
        <f t="shared" si="2"/>
        <v>16105067991</v>
      </c>
      <c r="K47" s="2041">
        <f>K45+K34+K20</f>
        <v>3718571105</v>
      </c>
      <c r="L47" s="2030">
        <f>+L45+L34+L20</f>
        <v>157218904</v>
      </c>
      <c r="M47" s="2030" t="e">
        <f>+M45+M34+M20</f>
        <v>#REF!</v>
      </c>
      <c r="N47" s="2030"/>
      <c r="O47" s="2019" t="e">
        <f>+H47+K47-L47+M47</f>
        <v>#REF!</v>
      </c>
      <c r="P47" s="2019">
        <f>+P45+P34+P20</f>
        <v>11455435844</v>
      </c>
      <c r="Q47" s="2024" t="e">
        <f>+O47-P47</f>
        <v>#REF!</v>
      </c>
      <c r="R47" s="2041">
        <f>R45+R34+R20</f>
        <v>1397826554</v>
      </c>
      <c r="S47" s="2030">
        <f>+S45+S34+S20</f>
        <v>367919515</v>
      </c>
      <c r="T47" s="2030" t="e">
        <f>+T45+T34+T20</f>
        <v>#REF!</v>
      </c>
      <c r="U47" s="2019" t="e">
        <f>+O47+R47-S47+T47</f>
        <v>#REF!</v>
      </c>
      <c r="V47" s="2019">
        <f>+V45+V34+V20</f>
        <v>12781781699</v>
      </c>
      <c r="W47" s="2024" t="e">
        <f>+U47-V47</f>
        <v>#REF!</v>
      </c>
      <c r="X47" s="2019" t="e">
        <f>+Q47+T47-U47+V47</f>
        <v>#REF!</v>
      </c>
      <c r="Y47" s="2019">
        <f>+Y45+Y34+Y20</f>
        <v>11455435844</v>
      </c>
      <c r="Z47" s="2024" t="e">
        <f>+X47-Y47</f>
        <v>#REF!</v>
      </c>
      <c r="AA47" s="2041">
        <f>AA45+AA34+AA20</f>
        <v>1300533747</v>
      </c>
      <c r="AB47" s="2030">
        <f>+AB45+AB34+AB20</f>
        <v>398335334</v>
      </c>
      <c r="AC47" s="2030">
        <f>+AC45+AC34+AC20</f>
        <v>-37300000</v>
      </c>
      <c r="AD47" s="2053">
        <f>+AD45+AD34+AD20</f>
        <v>31429528609</v>
      </c>
      <c r="AE47" s="2053">
        <f>+AE45+AE34+AE20</f>
        <v>13759125791</v>
      </c>
      <c r="AF47" s="2054">
        <f>+AD47-AE47</f>
        <v>17670402818</v>
      </c>
      <c r="AG47" s="2071">
        <f>AG45+AG34+AG20</f>
        <v>1072840122</v>
      </c>
      <c r="AH47" s="2070">
        <f>+AH45+AH34+AH20</f>
        <v>393956725</v>
      </c>
      <c r="AI47" s="2070">
        <f>+AI45+AI34+AI20</f>
        <v>-104534915</v>
      </c>
      <c r="AJ47" s="2053">
        <f>+AD47+AG47-AH47+AI47</f>
        <v>32003877091</v>
      </c>
      <c r="AK47" s="2053">
        <f>+AK45+AK34+AK20</f>
        <v>14766855699</v>
      </c>
      <c r="AL47" s="2054">
        <f>+AJ47-AK47</f>
        <v>17237021392</v>
      </c>
    </row>
    <row r="48" spans="2:38" ht="15.75" thickBot="1">
      <c r="B48" s="2042" t="s">
        <v>94</v>
      </c>
      <c r="C48" s="2043" t="s">
        <v>94</v>
      </c>
      <c r="D48" s="2044" t="s">
        <v>94</v>
      </c>
      <c r="E48" s="2043" t="s">
        <v>94</v>
      </c>
      <c r="F48" s="2045" t="s">
        <v>94</v>
      </c>
      <c r="G48" s="2046"/>
      <c r="H48" s="2047" t="s">
        <v>94</v>
      </c>
      <c r="I48" s="2044"/>
      <c r="J48" s="2045"/>
      <c r="K48" s="2047" t="s">
        <v>94</v>
      </c>
      <c r="L48" s="2043" t="s">
        <v>94</v>
      </c>
      <c r="M48" s="2044" t="s">
        <v>94</v>
      </c>
      <c r="N48" s="2044"/>
      <c r="O48" s="2044" t="s">
        <v>94</v>
      </c>
      <c r="P48" s="2044"/>
      <c r="Q48" s="2044"/>
      <c r="R48" s="2047" t="s">
        <v>94</v>
      </c>
      <c r="S48" s="2043" t="s">
        <v>94</v>
      </c>
      <c r="T48" s="2044" t="s">
        <v>94</v>
      </c>
      <c r="U48" s="2044" t="s">
        <v>94</v>
      </c>
      <c r="V48" s="2044"/>
      <c r="W48" s="2044"/>
      <c r="X48" s="2044" t="s">
        <v>94</v>
      </c>
      <c r="Y48" s="2044"/>
      <c r="Z48" s="2044"/>
      <c r="AA48" s="2047" t="s">
        <v>94</v>
      </c>
      <c r="AB48" s="2043" t="s">
        <v>94</v>
      </c>
      <c r="AC48" s="2044" t="s">
        <v>94</v>
      </c>
      <c r="AD48" s="2044" t="s">
        <v>94</v>
      </c>
      <c r="AE48" s="2044"/>
      <c r="AF48" s="2044"/>
      <c r="AG48" s="2047" t="s">
        <v>94</v>
      </c>
      <c r="AH48" s="2043" t="s">
        <v>94</v>
      </c>
      <c r="AI48" s="2044" t="s">
        <v>94</v>
      </c>
      <c r="AJ48" s="2044" t="s">
        <v>94</v>
      </c>
      <c r="AK48" s="2044"/>
      <c r="AL48" s="2044"/>
    </row>
    <row r="49" spans="2:10">
      <c r="I49" s="1162"/>
      <c r="J49" s="1162"/>
    </row>
    <row r="50" spans="2:10">
      <c r="B50" s="2048" t="s">
        <v>2553</v>
      </c>
    </row>
    <row r="52" spans="2:10">
      <c r="B52" s="1109" t="s">
        <v>2554</v>
      </c>
    </row>
    <row r="53" spans="2:10">
      <c r="B53" s="1109" t="s">
        <v>2555</v>
      </c>
    </row>
    <row r="55" spans="2:10">
      <c r="B55" s="1109" t="s">
        <v>2539</v>
      </c>
    </row>
    <row r="57" spans="2:10">
      <c r="B57" s="1109" t="s">
        <v>2540</v>
      </c>
    </row>
  </sheetData>
  <mergeCells count="2">
    <mergeCell ref="B1:AF1"/>
    <mergeCell ref="B5:B9"/>
  </mergeCells>
  <printOptions horizontalCentered="1" verticalCentered="1"/>
  <pageMargins left="0" right="0" top="0.23622047244094491" bottom="0.23622047244094491" header="0.31496062992125984" footer="0.31496062992125984"/>
  <pageSetup paperSize="9" scale="66" orientation="landscape" horizontalDpi="180" verticalDpi="180" r:id="rId1"/>
</worksheet>
</file>

<file path=xl/worksheets/sheet109.xml><?xml version="1.0" encoding="utf-8"?>
<worksheet xmlns="http://schemas.openxmlformats.org/spreadsheetml/2006/main" xmlns:r="http://schemas.openxmlformats.org/officeDocument/2006/relationships">
  <sheetPr codeName="Sheet88">
    <pageSetUpPr fitToPage="1"/>
  </sheetPr>
  <dimension ref="A1:K48"/>
  <sheetViews>
    <sheetView showGridLines="0" view="pageBreakPreview" zoomScale="60" workbookViewId="0">
      <selection activeCell="B47" sqref="B47"/>
    </sheetView>
  </sheetViews>
  <sheetFormatPr defaultRowHeight="15"/>
  <cols>
    <col min="1" max="1" width="36.5703125" style="1518" customWidth="1"/>
    <col min="2" max="2" width="20.85546875" style="1518" customWidth="1"/>
    <col min="3" max="4" width="13.42578125" style="1518" bestFit="1" customWidth="1"/>
    <col min="5" max="5" width="9.7109375" style="1518" customWidth="1"/>
    <col min="6" max="6" width="16.28515625" style="1518" bestFit="1" customWidth="1"/>
    <col min="7" max="8" width="14.85546875" style="1518" bestFit="1" customWidth="1"/>
    <col min="9" max="9" width="16.28515625" style="1518" bestFit="1" customWidth="1"/>
    <col min="10" max="10" width="10.42578125" style="1518" customWidth="1"/>
    <col min="11" max="11" width="13.42578125" style="1518" customWidth="1"/>
    <col min="12" max="256" width="9.140625" style="1518"/>
    <col min="257" max="257" width="36.5703125" style="1518" customWidth="1"/>
    <col min="258" max="258" width="12" style="1518" bestFit="1" customWidth="1"/>
    <col min="259" max="260" width="9.140625" style="1518"/>
    <col min="261" max="261" width="9.7109375" style="1518" customWidth="1"/>
    <col min="262" max="262" width="12" style="1518" bestFit="1" customWidth="1"/>
    <col min="263" max="264" width="10" style="1518" bestFit="1" customWidth="1"/>
    <col min="265" max="265" width="12" style="1518" bestFit="1" customWidth="1"/>
    <col min="266" max="266" width="9.140625" style="1518"/>
    <col min="267" max="267" width="11" style="1518" customWidth="1"/>
    <col min="268" max="512" width="9.140625" style="1518"/>
    <col min="513" max="513" width="36.5703125" style="1518" customWidth="1"/>
    <col min="514" max="514" width="12" style="1518" bestFit="1" customWidth="1"/>
    <col min="515" max="516" width="9.140625" style="1518"/>
    <col min="517" max="517" width="9.7109375" style="1518" customWidth="1"/>
    <col min="518" max="518" width="12" style="1518" bestFit="1" customWidth="1"/>
    <col min="519" max="520" width="10" style="1518" bestFit="1" customWidth="1"/>
    <col min="521" max="521" width="12" style="1518" bestFit="1" customWidth="1"/>
    <col min="522" max="522" width="9.140625" style="1518"/>
    <col min="523" max="523" width="11" style="1518" customWidth="1"/>
    <col min="524" max="768" width="9.140625" style="1518"/>
    <col min="769" max="769" width="36.5703125" style="1518" customWidth="1"/>
    <col min="770" max="770" width="12" style="1518" bestFit="1" customWidth="1"/>
    <col min="771" max="772" width="9.140625" style="1518"/>
    <col min="773" max="773" width="9.7109375" style="1518" customWidth="1"/>
    <col min="774" max="774" width="12" style="1518" bestFit="1" customWidth="1"/>
    <col min="775" max="776" width="10" style="1518" bestFit="1" customWidth="1"/>
    <col min="777" max="777" width="12" style="1518" bestFit="1" customWidth="1"/>
    <col min="778" max="778" width="9.140625" style="1518"/>
    <col min="779" max="779" width="11" style="1518" customWidth="1"/>
    <col min="780" max="1024" width="9.140625" style="1518"/>
    <col min="1025" max="1025" width="36.5703125" style="1518" customWidth="1"/>
    <col min="1026" max="1026" width="12" style="1518" bestFit="1" customWidth="1"/>
    <col min="1027" max="1028" width="9.140625" style="1518"/>
    <col min="1029" max="1029" width="9.7109375" style="1518" customWidth="1"/>
    <col min="1030" max="1030" width="12" style="1518" bestFit="1" customWidth="1"/>
    <col min="1031" max="1032" width="10" style="1518" bestFit="1" customWidth="1"/>
    <col min="1033" max="1033" width="12" style="1518" bestFit="1" customWidth="1"/>
    <col min="1034" max="1034" width="9.140625" style="1518"/>
    <col min="1035" max="1035" width="11" style="1518" customWidth="1"/>
    <col min="1036" max="1280" width="9.140625" style="1518"/>
    <col min="1281" max="1281" width="36.5703125" style="1518" customWidth="1"/>
    <col min="1282" max="1282" width="12" style="1518" bestFit="1" customWidth="1"/>
    <col min="1283" max="1284" width="9.140625" style="1518"/>
    <col min="1285" max="1285" width="9.7109375" style="1518" customWidth="1"/>
    <col min="1286" max="1286" width="12" style="1518" bestFit="1" customWidth="1"/>
    <col min="1287" max="1288" width="10" style="1518" bestFit="1" customWidth="1"/>
    <col min="1289" max="1289" width="12" style="1518" bestFit="1" customWidth="1"/>
    <col min="1290" max="1290" width="9.140625" style="1518"/>
    <col min="1291" max="1291" width="11" style="1518" customWidth="1"/>
    <col min="1292" max="1536" width="9.140625" style="1518"/>
    <col min="1537" max="1537" width="36.5703125" style="1518" customWidth="1"/>
    <col min="1538" max="1538" width="12" style="1518" bestFit="1" customWidth="1"/>
    <col min="1539" max="1540" width="9.140625" style="1518"/>
    <col min="1541" max="1541" width="9.7109375" style="1518" customWidth="1"/>
    <col min="1542" max="1542" width="12" style="1518" bestFit="1" customWidth="1"/>
    <col min="1543" max="1544" width="10" style="1518" bestFit="1" customWidth="1"/>
    <col min="1545" max="1545" width="12" style="1518" bestFit="1" customWidth="1"/>
    <col min="1546" max="1546" width="9.140625" style="1518"/>
    <col min="1547" max="1547" width="11" style="1518" customWidth="1"/>
    <col min="1548" max="1792" width="9.140625" style="1518"/>
    <col min="1793" max="1793" width="36.5703125" style="1518" customWidth="1"/>
    <col min="1794" max="1794" width="12" style="1518" bestFit="1" customWidth="1"/>
    <col min="1795" max="1796" width="9.140625" style="1518"/>
    <col min="1797" max="1797" width="9.7109375" style="1518" customWidth="1"/>
    <col min="1798" max="1798" width="12" style="1518" bestFit="1" customWidth="1"/>
    <col min="1799" max="1800" width="10" style="1518" bestFit="1" customWidth="1"/>
    <col min="1801" max="1801" width="12" style="1518" bestFit="1" customWidth="1"/>
    <col min="1802" max="1802" width="9.140625" style="1518"/>
    <col min="1803" max="1803" width="11" style="1518" customWidth="1"/>
    <col min="1804" max="2048" width="9.140625" style="1518"/>
    <col min="2049" max="2049" width="36.5703125" style="1518" customWidth="1"/>
    <col min="2050" max="2050" width="12" style="1518" bestFit="1" customWidth="1"/>
    <col min="2051" max="2052" width="9.140625" style="1518"/>
    <col min="2053" max="2053" width="9.7109375" style="1518" customWidth="1"/>
    <col min="2054" max="2054" width="12" style="1518" bestFit="1" customWidth="1"/>
    <col min="2055" max="2056" width="10" style="1518" bestFit="1" customWidth="1"/>
    <col min="2057" max="2057" width="12" style="1518" bestFit="1" customWidth="1"/>
    <col min="2058" max="2058" width="9.140625" style="1518"/>
    <col min="2059" max="2059" width="11" style="1518" customWidth="1"/>
    <col min="2060" max="2304" width="9.140625" style="1518"/>
    <col min="2305" max="2305" width="36.5703125" style="1518" customWidth="1"/>
    <col min="2306" max="2306" width="12" style="1518" bestFit="1" customWidth="1"/>
    <col min="2307" max="2308" width="9.140625" style="1518"/>
    <col min="2309" max="2309" width="9.7109375" style="1518" customWidth="1"/>
    <col min="2310" max="2310" width="12" style="1518" bestFit="1" customWidth="1"/>
    <col min="2311" max="2312" width="10" style="1518" bestFit="1" customWidth="1"/>
    <col min="2313" max="2313" width="12" style="1518" bestFit="1" customWidth="1"/>
    <col min="2314" max="2314" width="9.140625" style="1518"/>
    <col min="2315" max="2315" width="11" style="1518" customWidth="1"/>
    <col min="2316" max="2560" width="9.140625" style="1518"/>
    <col min="2561" max="2561" width="36.5703125" style="1518" customWidth="1"/>
    <col min="2562" max="2562" width="12" style="1518" bestFit="1" customWidth="1"/>
    <col min="2563" max="2564" width="9.140625" style="1518"/>
    <col min="2565" max="2565" width="9.7109375" style="1518" customWidth="1"/>
    <col min="2566" max="2566" width="12" style="1518" bestFit="1" customWidth="1"/>
    <col min="2567" max="2568" width="10" style="1518" bestFit="1" customWidth="1"/>
    <col min="2569" max="2569" width="12" style="1518" bestFit="1" customWidth="1"/>
    <col min="2570" max="2570" width="9.140625" style="1518"/>
    <col min="2571" max="2571" width="11" style="1518" customWidth="1"/>
    <col min="2572" max="2816" width="9.140625" style="1518"/>
    <col min="2817" max="2817" width="36.5703125" style="1518" customWidth="1"/>
    <col min="2818" max="2818" width="12" style="1518" bestFit="1" customWidth="1"/>
    <col min="2819" max="2820" width="9.140625" style="1518"/>
    <col min="2821" max="2821" width="9.7109375" style="1518" customWidth="1"/>
    <col min="2822" max="2822" width="12" style="1518" bestFit="1" customWidth="1"/>
    <col min="2823" max="2824" width="10" style="1518" bestFit="1" customWidth="1"/>
    <col min="2825" max="2825" width="12" style="1518" bestFit="1" customWidth="1"/>
    <col min="2826" max="2826" width="9.140625" style="1518"/>
    <col min="2827" max="2827" width="11" style="1518" customWidth="1"/>
    <col min="2828" max="3072" width="9.140625" style="1518"/>
    <col min="3073" max="3073" width="36.5703125" style="1518" customWidth="1"/>
    <col min="3074" max="3074" width="12" style="1518" bestFit="1" customWidth="1"/>
    <col min="3075" max="3076" width="9.140625" style="1518"/>
    <col min="3077" max="3077" width="9.7109375" style="1518" customWidth="1"/>
    <col min="3078" max="3078" width="12" style="1518" bestFit="1" customWidth="1"/>
    <col min="3079" max="3080" width="10" style="1518" bestFit="1" customWidth="1"/>
    <col min="3081" max="3081" width="12" style="1518" bestFit="1" customWidth="1"/>
    <col min="3082" max="3082" width="9.140625" style="1518"/>
    <col min="3083" max="3083" width="11" style="1518" customWidth="1"/>
    <col min="3084" max="3328" width="9.140625" style="1518"/>
    <col min="3329" max="3329" width="36.5703125" style="1518" customWidth="1"/>
    <col min="3330" max="3330" width="12" style="1518" bestFit="1" customWidth="1"/>
    <col min="3331" max="3332" width="9.140625" style="1518"/>
    <col min="3333" max="3333" width="9.7109375" style="1518" customWidth="1"/>
    <col min="3334" max="3334" width="12" style="1518" bestFit="1" customWidth="1"/>
    <col min="3335" max="3336" width="10" style="1518" bestFit="1" customWidth="1"/>
    <col min="3337" max="3337" width="12" style="1518" bestFit="1" customWidth="1"/>
    <col min="3338" max="3338" width="9.140625" style="1518"/>
    <col min="3339" max="3339" width="11" style="1518" customWidth="1"/>
    <col min="3340" max="3584" width="9.140625" style="1518"/>
    <col min="3585" max="3585" width="36.5703125" style="1518" customWidth="1"/>
    <col min="3586" max="3586" width="12" style="1518" bestFit="1" customWidth="1"/>
    <col min="3587" max="3588" width="9.140625" style="1518"/>
    <col min="3589" max="3589" width="9.7109375" style="1518" customWidth="1"/>
    <col min="3590" max="3590" width="12" style="1518" bestFit="1" customWidth="1"/>
    <col min="3591" max="3592" width="10" style="1518" bestFit="1" customWidth="1"/>
    <col min="3593" max="3593" width="12" style="1518" bestFit="1" customWidth="1"/>
    <col min="3594" max="3594" width="9.140625" style="1518"/>
    <col min="3595" max="3595" width="11" style="1518" customWidth="1"/>
    <col min="3596" max="3840" width="9.140625" style="1518"/>
    <col min="3841" max="3841" width="36.5703125" style="1518" customWidth="1"/>
    <col min="3842" max="3842" width="12" style="1518" bestFit="1" customWidth="1"/>
    <col min="3843" max="3844" width="9.140625" style="1518"/>
    <col min="3845" max="3845" width="9.7109375" style="1518" customWidth="1"/>
    <col min="3846" max="3846" width="12" style="1518" bestFit="1" customWidth="1"/>
    <col min="3847" max="3848" width="10" style="1518" bestFit="1" customWidth="1"/>
    <col min="3849" max="3849" width="12" style="1518" bestFit="1" customWidth="1"/>
    <col min="3850" max="3850" width="9.140625" style="1518"/>
    <col min="3851" max="3851" width="11" style="1518" customWidth="1"/>
    <col min="3852" max="4096" width="9.140625" style="1518"/>
    <col min="4097" max="4097" width="36.5703125" style="1518" customWidth="1"/>
    <col min="4098" max="4098" width="12" style="1518" bestFit="1" customWidth="1"/>
    <col min="4099" max="4100" width="9.140625" style="1518"/>
    <col min="4101" max="4101" width="9.7109375" style="1518" customWidth="1"/>
    <col min="4102" max="4102" width="12" style="1518" bestFit="1" customWidth="1"/>
    <col min="4103" max="4104" width="10" style="1518" bestFit="1" customWidth="1"/>
    <col min="4105" max="4105" width="12" style="1518" bestFit="1" customWidth="1"/>
    <col min="4106" max="4106" width="9.140625" style="1518"/>
    <col min="4107" max="4107" width="11" style="1518" customWidth="1"/>
    <col min="4108" max="4352" width="9.140625" style="1518"/>
    <col min="4353" max="4353" width="36.5703125" style="1518" customWidth="1"/>
    <col min="4354" max="4354" width="12" style="1518" bestFit="1" customWidth="1"/>
    <col min="4355" max="4356" width="9.140625" style="1518"/>
    <col min="4357" max="4357" width="9.7109375" style="1518" customWidth="1"/>
    <col min="4358" max="4358" width="12" style="1518" bestFit="1" customWidth="1"/>
    <col min="4359" max="4360" width="10" style="1518" bestFit="1" customWidth="1"/>
    <col min="4361" max="4361" width="12" style="1518" bestFit="1" customWidth="1"/>
    <col min="4362" max="4362" width="9.140625" style="1518"/>
    <col min="4363" max="4363" width="11" style="1518" customWidth="1"/>
    <col min="4364" max="4608" width="9.140625" style="1518"/>
    <col min="4609" max="4609" width="36.5703125" style="1518" customWidth="1"/>
    <col min="4610" max="4610" width="12" style="1518" bestFit="1" customWidth="1"/>
    <col min="4611" max="4612" width="9.140625" style="1518"/>
    <col min="4613" max="4613" width="9.7109375" style="1518" customWidth="1"/>
    <col min="4614" max="4614" width="12" style="1518" bestFit="1" customWidth="1"/>
    <col min="4615" max="4616" width="10" style="1518" bestFit="1" customWidth="1"/>
    <col min="4617" max="4617" width="12" style="1518" bestFit="1" customWidth="1"/>
    <col min="4618" max="4618" width="9.140625" style="1518"/>
    <col min="4619" max="4619" width="11" style="1518" customWidth="1"/>
    <col min="4620" max="4864" width="9.140625" style="1518"/>
    <col min="4865" max="4865" width="36.5703125" style="1518" customWidth="1"/>
    <col min="4866" max="4866" width="12" style="1518" bestFit="1" customWidth="1"/>
    <col min="4867" max="4868" width="9.140625" style="1518"/>
    <col min="4869" max="4869" width="9.7109375" style="1518" customWidth="1"/>
    <col min="4870" max="4870" width="12" style="1518" bestFit="1" customWidth="1"/>
    <col min="4871" max="4872" width="10" style="1518" bestFit="1" customWidth="1"/>
    <col min="4873" max="4873" width="12" style="1518" bestFit="1" customWidth="1"/>
    <col min="4874" max="4874" width="9.140625" style="1518"/>
    <col min="4875" max="4875" width="11" style="1518" customWidth="1"/>
    <col min="4876" max="5120" width="9.140625" style="1518"/>
    <col min="5121" max="5121" width="36.5703125" style="1518" customWidth="1"/>
    <col min="5122" max="5122" width="12" style="1518" bestFit="1" customWidth="1"/>
    <col min="5123" max="5124" width="9.140625" style="1518"/>
    <col min="5125" max="5125" width="9.7109375" style="1518" customWidth="1"/>
    <col min="5126" max="5126" width="12" style="1518" bestFit="1" customWidth="1"/>
    <col min="5127" max="5128" width="10" style="1518" bestFit="1" customWidth="1"/>
    <col min="5129" max="5129" width="12" style="1518" bestFit="1" customWidth="1"/>
    <col min="5130" max="5130" width="9.140625" style="1518"/>
    <col min="5131" max="5131" width="11" style="1518" customWidth="1"/>
    <col min="5132" max="5376" width="9.140625" style="1518"/>
    <col min="5377" max="5377" width="36.5703125" style="1518" customWidth="1"/>
    <col min="5378" max="5378" width="12" style="1518" bestFit="1" customWidth="1"/>
    <col min="5379" max="5380" width="9.140625" style="1518"/>
    <col min="5381" max="5381" width="9.7109375" style="1518" customWidth="1"/>
    <col min="5382" max="5382" width="12" style="1518" bestFit="1" customWidth="1"/>
    <col min="5383" max="5384" width="10" style="1518" bestFit="1" customWidth="1"/>
    <col min="5385" max="5385" width="12" style="1518" bestFit="1" customWidth="1"/>
    <col min="5386" max="5386" width="9.140625" style="1518"/>
    <col min="5387" max="5387" width="11" style="1518" customWidth="1"/>
    <col min="5388" max="5632" width="9.140625" style="1518"/>
    <col min="5633" max="5633" width="36.5703125" style="1518" customWidth="1"/>
    <col min="5634" max="5634" width="12" style="1518" bestFit="1" customWidth="1"/>
    <col min="5635" max="5636" width="9.140625" style="1518"/>
    <col min="5637" max="5637" width="9.7109375" style="1518" customWidth="1"/>
    <col min="5638" max="5638" width="12" style="1518" bestFit="1" customWidth="1"/>
    <col min="5639" max="5640" width="10" style="1518" bestFit="1" customWidth="1"/>
    <col min="5641" max="5641" width="12" style="1518" bestFit="1" customWidth="1"/>
    <col min="5642" max="5642" width="9.140625" style="1518"/>
    <col min="5643" max="5643" width="11" style="1518" customWidth="1"/>
    <col min="5644" max="5888" width="9.140625" style="1518"/>
    <col min="5889" max="5889" width="36.5703125" style="1518" customWidth="1"/>
    <col min="5890" max="5890" width="12" style="1518" bestFit="1" customWidth="1"/>
    <col min="5891" max="5892" width="9.140625" style="1518"/>
    <col min="5893" max="5893" width="9.7109375" style="1518" customWidth="1"/>
    <col min="5894" max="5894" width="12" style="1518" bestFit="1" customWidth="1"/>
    <col min="5895" max="5896" width="10" style="1518" bestFit="1" customWidth="1"/>
    <col min="5897" max="5897" width="12" style="1518" bestFit="1" customWidth="1"/>
    <col min="5898" max="5898" width="9.140625" style="1518"/>
    <col min="5899" max="5899" width="11" style="1518" customWidth="1"/>
    <col min="5900" max="6144" width="9.140625" style="1518"/>
    <col min="6145" max="6145" width="36.5703125" style="1518" customWidth="1"/>
    <col min="6146" max="6146" width="12" style="1518" bestFit="1" customWidth="1"/>
    <col min="6147" max="6148" width="9.140625" style="1518"/>
    <col min="6149" max="6149" width="9.7109375" style="1518" customWidth="1"/>
    <col min="6150" max="6150" width="12" style="1518" bestFit="1" customWidth="1"/>
    <col min="6151" max="6152" width="10" style="1518" bestFit="1" customWidth="1"/>
    <col min="6153" max="6153" width="12" style="1518" bestFit="1" customWidth="1"/>
    <col min="6154" max="6154" width="9.140625" style="1518"/>
    <col min="6155" max="6155" width="11" style="1518" customWidth="1"/>
    <col min="6156" max="6400" width="9.140625" style="1518"/>
    <col min="6401" max="6401" width="36.5703125" style="1518" customWidth="1"/>
    <col min="6402" max="6402" width="12" style="1518" bestFit="1" customWidth="1"/>
    <col min="6403" max="6404" width="9.140625" style="1518"/>
    <col min="6405" max="6405" width="9.7109375" style="1518" customWidth="1"/>
    <col min="6406" max="6406" width="12" style="1518" bestFit="1" customWidth="1"/>
    <col min="6407" max="6408" width="10" style="1518" bestFit="1" customWidth="1"/>
    <col min="6409" max="6409" width="12" style="1518" bestFit="1" customWidth="1"/>
    <col min="6410" max="6410" width="9.140625" style="1518"/>
    <col min="6411" max="6411" width="11" style="1518" customWidth="1"/>
    <col min="6412" max="6656" width="9.140625" style="1518"/>
    <col min="6657" max="6657" width="36.5703125" style="1518" customWidth="1"/>
    <col min="6658" max="6658" width="12" style="1518" bestFit="1" customWidth="1"/>
    <col min="6659" max="6660" width="9.140625" style="1518"/>
    <col min="6661" max="6661" width="9.7109375" style="1518" customWidth="1"/>
    <col min="6662" max="6662" width="12" style="1518" bestFit="1" customWidth="1"/>
    <col min="6663" max="6664" width="10" style="1518" bestFit="1" customWidth="1"/>
    <col min="6665" max="6665" width="12" style="1518" bestFit="1" customWidth="1"/>
    <col min="6666" max="6666" width="9.140625" style="1518"/>
    <col min="6667" max="6667" width="11" style="1518" customWidth="1"/>
    <col min="6668" max="6912" width="9.140625" style="1518"/>
    <col min="6913" max="6913" width="36.5703125" style="1518" customWidth="1"/>
    <col min="6914" max="6914" width="12" style="1518" bestFit="1" customWidth="1"/>
    <col min="6915" max="6916" width="9.140625" style="1518"/>
    <col min="6917" max="6917" width="9.7109375" style="1518" customWidth="1"/>
    <col min="6918" max="6918" width="12" style="1518" bestFit="1" customWidth="1"/>
    <col min="6919" max="6920" width="10" style="1518" bestFit="1" customWidth="1"/>
    <col min="6921" max="6921" width="12" style="1518" bestFit="1" customWidth="1"/>
    <col min="6922" max="6922" width="9.140625" style="1518"/>
    <col min="6923" max="6923" width="11" style="1518" customWidth="1"/>
    <col min="6924" max="7168" width="9.140625" style="1518"/>
    <col min="7169" max="7169" width="36.5703125" style="1518" customWidth="1"/>
    <col min="7170" max="7170" width="12" style="1518" bestFit="1" customWidth="1"/>
    <col min="7171" max="7172" width="9.140625" style="1518"/>
    <col min="7173" max="7173" width="9.7109375" style="1518" customWidth="1"/>
    <col min="7174" max="7174" width="12" style="1518" bestFit="1" customWidth="1"/>
    <col min="7175" max="7176" width="10" style="1518" bestFit="1" customWidth="1"/>
    <col min="7177" max="7177" width="12" style="1518" bestFit="1" customWidth="1"/>
    <col min="7178" max="7178" width="9.140625" style="1518"/>
    <col min="7179" max="7179" width="11" style="1518" customWidth="1"/>
    <col min="7180" max="7424" width="9.140625" style="1518"/>
    <col min="7425" max="7425" width="36.5703125" style="1518" customWidth="1"/>
    <col min="7426" max="7426" width="12" style="1518" bestFit="1" customWidth="1"/>
    <col min="7427" max="7428" width="9.140625" style="1518"/>
    <col min="7429" max="7429" width="9.7109375" style="1518" customWidth="1"/>
    <col min="7430" max="7430" width="12" style="1518" bestFit="1" customWidth="1"/>
    <col min="7431" max="7432" width="10" style="1518" bestFit="1" customWidth="1"/>
    <col min="7433" max="7433" width="12" style="1518" bestFit="1" customWidth="1"/>
    <col min="7434" max="7434" width="9.140625" style="1518"/>
    <col min="7435" max="7435" width="11" style="1518" customWidth="1"/>
    <col min="7436" max="7680" width="9.140625" style="1518"/>
    <col min="7681" max="7681" width="36.5703125" style="1518" customWidth="1"/>
    <col min="7682" max="7682" width="12" style="1518" bestFit="1" customWidth="1"/>
    <col min="7683" max="7684" width="9.140625" style="1518"/>
    <col min="7685" max="7685" width="9.7109375" style="1518" customWidth="1"/>
    <col min="7686" max="7686" width="12" style="1518" bestFit="1" customWidth="1"/>
    <col min="7687" max="7688" width="10" style="1518" bestFit="1" customWidth="1"/>
    <col min="7689" max="7689" width="12" style="1518" bestFit="1" customWidth="1"/>
    <col min="7690" max="7690" width="9.140625" style="1518"/>
    <col min="7691" max="7691" width="11" style="1518" customWidth="1"/>
    <col min="7692" max="7936" width="9.140625" style="1518"/>
    <col min="7937" max="7937" width="36.5703125" style="1518" customWidth="1"/>
    <col min="7938" max="7938" width="12" style="1518" bestFit="1" customWidth="1"/>
    <col min="7939" max="7940" width="9.140625" style="1518"/>
    <col min="7941" max="7941" width="9.7109375" style="1518" customWidth="1"/>
    <col min="7942" max="7942" width="12" style="1518" bestFit="1" customWidth="1"/>
    <col min="7943" max="7944" width="10" style="1518" bestFit="1" customWidth="1"/>
    <col min="7945" max="7945" width="12" style="1518" bestFit="1" customWidth="1"/>
    <col min="7946" max="7946" width="9.140625" style="1518"/>
    <col min="7947" max="7947" width="11" style="1518" customWidth="1"/>
    <col min="7948" max="8192" width="9.140625" style="1518"/>
    <col min="8193" max="8193" width="36.5703125" style="1518" customWidth="1"/>
    <col min="8194" max="8194" width="12" style="1518" bestFit="1" customWidth="1"/>
    <col min="8195" max="8196" width="9.140625" style="1518"/>
    <col min="8197" max="8197" width="9.7109375" style="1518" customWidth="1"/>
    <col min="8198" max="8198" width="12" style="1518" bestFit="1" customWidth="1"/>
    <col min="8199" max="8200" width="10" style="1518" bestFit="1" customWidth="1"/>
    <col min="8201" max="8201" width="12" style="1518" bestFit="1" customWidth="1"/>
    <col min="8202" max="8202" width="9.140625" style="1518"/>
    <col min="8203" max="8203" width="11" style="1518" customWidth="1"/>
    <col min="8204" max="8448" width="9.140625" style="1518"/>
    <col min="8449" max="8449" width="36.5703125" style="1518" customWidth="1"/>
    <col min="8450" max="8450" width="12" style="1518" bestFit="1" customWidth="1"/>
    <col min="8451" max="8452" width="9.140625" style="1518"/>
    <col min="8453" max="8453" width="9.7109375" style="1518" customWidth="1"/>
    <col min="8454" max="8454" width="12" style="1518" bestFit="1" customWidth="1"/>
    <col min="8455" max="8456" width="10" style="1518" bestFit="1" customWidth="1"/>
    <col min="8457" max="8457" width="12" style="1518" bestFit="1" customWidth="1"/>
    <col min="8458" max="8458" width="9.140625" style="1518"/>
    <col min="8459" max="8459" width="11" style="1518" customWidth="1"/>
    <col min="8460" max="8704" width="9.140625" style="1518"/>
    <col min="8705" max="8705" width="36.5703125" style="1518" customWidth="1"/>
    <col min="8706" max="8706" width="12" style="1518" bestFit="1" customWidth="1"/>
    <col min="8707" max="8708" width="9.140625" style="1518"/>
    <col min="8709" max="8709" width="9.7109375" style="1518" customWidth="1"/>
    <col min="8710" max="8710" width="12" style="1518" bestFit="1" customWidth="1"/>
    <col min="8711" max="8712" width="10" style="1518" bestFit="1" customWidth="1"/>
    <col min="8713" max="8713" width="12" style="1518" bestFit="1" customWidth="1"/>
    <col min="8714" max="8714" width="9.140625" style="1518"/>
    <col min="8715" max="8715" width="11" style="1518" customWidth="1"/>
    <col min="8716" max="8960" width="9.140625" style="1518"/>
    <col min="8961" max="8961" width="36.5703125" style="1518" customWidth="1"/>
    <col min="8962" max="8962" width="12" style="1518" bestFit="1" customWidth="1"/>
    <col min="8963" max="8964" width="9.140625" style="1518"/>
    <col min="8965" max="8965" width="9.7109375" style="1518" customWidth="1"/>
    <col min="8966" max="8966" width="12" style="1518" bestFit="1" customWidth="1"/>
    <col min="8967" max="8968" width="10" style="1518" bestFit="1" customWidth="1"/>
    <col min="8969" max="8969" width="12" style="1518" bestFit="1" customWidth="1"/>
    <col min="8970" max="8970" width="9.140625" style="1518"/>
    <col min="8971" max="8971" width="11" style="1518" customWidth="1"/>
    <col min="8972" max="9216" width="9.140625" style="1518"/>
    <col min="9217" max="9217" width="36.5703125" style="1518" customWidth="1"/>
    <col min="9218" max="9218" width="12" style="1518" bestFit="1" customWidth="1"/>
    <col min="9219" max="9220" width="9.140625" style="1518"/>
    <col min="9221" max="9221" width="9.7109375" style="1518" customWidth="1"/>
    <col min="9222" max="9222" width="12" style="1518" bestFit="1" customWidth="1"/>
    <col min="9223" max="9224" width="10" style="1518" bestFit="1" customWidth="1"/>
    <col min="9225" max="9225" width="12" style="1518" bestFit="1" customWidth="1"/>
    <col min="9226" max="9226" width="9.140625" style="1518"/>
    <col min="9227" max="9227" width="11" style="1518" customWidth="1"/>
    <col min="9228" max="9472" width="9.140625" style="1518"/>
    <col min="9473" max="9473" width="36.5703125" style="1518" customWidth="1"/>
    <col min="9474" max="9474" width="12" style="1518" bestFit="1" customWidth="1"/>
    <col min="9475" max="9476" width="9.140625" style="1518"/>
    <col min="9477" max="9477" width="9.7109375" style="1518" customWidth="1"/>
    <col min="9478" max="9478" width="12" style="1518" bestFit="1" customWidth="1"/>
    <col min="9479" max="9480" width="10" style="1518" bestFit="1" customWidth="1"/>
    <col min="9481" max="9481" width="12" style="1518" bestFit="1" customWidth="1"/>
    <col min="9482" max="9482" width="9.140625" style="1518"/>
    <col min="9483" max="9483" width="11" style="1518" customWidth="1"/>
    <col min="9484" max="9728" width="9.140625" style="1518"/>
    <col min="9729" max="9729" width="36.5703125" style="1518" customWidth="1"/>
    <col min="9730" max="9730" width="12" style="1518" bestFit="1" customWidth="1"/>
    <col min="9731" max="9732" width="9.140625" style="1518"/>
    <col min="9733" max="9733" width="9.7109375" style="1518" customWidth="1"/>
    <col min="9734" max="9734" width="12" style="1518" bestFit="1" customWidth="1"/>
    <col min="9735" max="9736" width="10" style="1518" bestFit="1" customWidth="1"/>
    <col min="9737" max="9737" width="12" style="1518" bestFit="1" customWidth="1"/>
    <col min="9738" max="9738" width="9.140625" style="1518"/>
    <col min="9739" max="9739" width="11" style="1518" customWidth="1"/>
    <col min="9740" max="9984" width="9.140625" style="1518"/>
    <col min="9985" max="9985" width="36.5703125" style="1518" customWidth="1"/>
    <col min="9986" max="9986" width="12" style="1518" bestFit="1" customWidth="1"/>
    <col min="9987" max="9988" width="9.140625" style="1518"/>
    <col min="9989" max="9989" width="9.7109375" style="1518" customWidth="1"/>
    <col min="9990" max="9990" width="12" style="1518" bestFit="1" customWidth="1"/>
    <col min="9991" max="9992" width="10" style="1518" bestFit="1" customWidth="1"/>
    <col min="9993" max="9993" width="12" style="1518" bestFit="1" customWidth="1"/>
    <col min="9994" max="9994" width="9.140625" style="1518"/>
    <col min="9995" max="9995" width="11" style="1518" customWidth="1"/>
    <col min="9996" max="10240" width="9.140625" style="1518"/>
    <col min="10241" max="10241" width="36.5703125" style="1518" customWidth="1"/>
    <col min="10242" max="10242" width="12" style="1518" bestFit="1" customWidth="1"/>
    <col min="10243" max="10244" width="9.140625" style="1518"/>
    <col min="10245" max="10245" width="9.7109375" style="1518" customWidth="1"/>
    <col min="10246" max="10246" width="12" style="1518" bestFit="1" customWidth="1"/>
    <col min="10247" max="10248" width="10" style="1518" bestFit="1" customWidth="1"/>
    <col min="10249" max="10249" width="12" style="1518" bestFit="1" customWidth="1"/>
    <col min="10250" max="10250" width="9.140625" style="1518"/>
    <col min="10251" max="10251" width="11" style="1518" customWidth="1"/>
    <col min="10252" max="10496" width="9.140625" style="1518"/>
    <col min="10497" max="10497" width="36.5703125" style="1518" customWidth="1"/>
    <col min="10498" max="10498" width="12" style="1518" bestFit="1" customWidth="1"/>
    <col min="10499" max="10500" width="9.140625" style="1518"/>
    <col min="10501" max="10501" width="9.7109375" style="1518" customWidth="1"/>
    <col min="10502" max="10502" width="12" style="1518" bestFit="1" customWidth="1"/>
    <col min="10503" max="10504" width="10" style="1518" bestFit="1" customWidth="1"/>
    <col min="10505" max="10505" width="12" style="1518" bestFit="1" customWidth="1"/>
    <col min="10506" max="10506" width="9.140625" style="1518"/>
    <col min="10507" max="10507" width="11" style="1518" customWidth="1"/>
    <col min="10508" max="10752" width="9.140625" style="1518"/>
    <col min="10753" max="10753" width="36.5703125" style="1518" customWidth="1"/>
    <col min="10754" max="10754" width="12" style="1518" bestFit="1" customWidth="1"/>
    <col min="10755" max="10756" width="9.140625" style="1518"/>
    <col min="10757" max="10757" width="9.7109375" style="1518" customWidth="1"/>
    <col min="10758" max="10758" width="12" style="1518" bestFit="1" customWidth="1"/>
    <col min="10759" max="10760" width="10" style="1518" bestFit="1" customWidth="1"/>
    <col min="10761" max="10761" width="12" style="1518" bestFit="1" customWidth="1"/>
    <col min="10762" max="10762" width="9.140625" style="1518"/>
    <col min="10763" max="10763" width="11" style="1518" customWidth="1"/>
    <col min="10764" max="11008" width="9.140625" style="1518"/>
    <col min="11009" max="11009" width="36.5703125" style="1518" customWidth="1"/>
    <col min="11010" max="11010" width="12" style="1518" bestFit="1" customWidth="1"/>
    <col min="11011" max="11012" width="9.140625" style="1518"/>
    <col min="11013" max="11013" width="9.7109375" style="1518" customWidth="1"/>
    <col min="11014" max="11014" width="12" style="1518" bestFit="1" customWidth="1"/>
    <col min="11015" max="11016" width="10" style="1518" bestFit="1" customWidth="1"/>
    <col min="11017" max="11017" width="12" style="1518" bestFit="1" customWidth="1"/>
    <col min="11018" max="11018" width="9.140625" style="1518"/>
    <col min="11019" max="11019" width="11" style="1518" customWidth="1"/>
    <col min="11020" max="11264" width="9.140625" style="1518"/>
    <col min="11265" max="11265" width="36.5703125" style="1518" customWidth="1"/>
    <col min="11266" max="11266" width="12" style="1518" bestFit="1" customWidth="1"/>
    <col min="11267" max="11268" width="9.140625" style="1518"/>
    <col min="11269" max="11269" width="9.7109375" style="1518" customWidth="1"/>
    <col min="11270" max="11270" width="12" style="1518" bestFit="1" customWidth="1"/>
    <col min="11271" max="11272" width="10" style="1518" bestFit="1" customWidth="1"/>
    <col min="11273" max="11273" width="12" style="1518" bestFit="1" customWidth="1"/>
    <col min="11274" max="11274" width="9.140625" style="1518"/>
    <col min="11275" max="11275" width="11" style="1518" customWidth="1"/>
    <col min="11276" max="11520" width="9.140625" style="1518"/>
    <col min="11521" max="11521" width="36.5703125" style="1518" customWidth="1"/>
    <col min="11522" max="11522" width="12" style="1518" bestFit="1" customWidth="1"/>
    <col min="11523" max="11524" width="9.140625" style="1518"/>
    <col min="11525" max="11525" width="9.7109375" style="1518" customWidth="1"/>
    <col min="11526" max="11526" width="12" style="1518" bestFit="1" customWidth="1"/>
    <col min="11527" max="11528" width="10" style="1518" bestFit="1" customWidth="1"/>
    <col min="11529" max="11529" width="12" style="1518" bestFit="1" customWidth="1"/>
    <col min="11530" max="11530" width="9.140625" style="1518"/>
    <col min="11531" max="11531" width="11" style="1518" customWidth="1"/>
    <col min="11532" max="11776" width="9.140625" style="1518"/>
    <col min="11777" max="11777" width="36.5703125" style="1518" customWidth="1"/>
    <col min="11778" max="11778" width="12" style="1518" bestFit="1" customWidth="1"/>
    <col min="11779" max="11780" width="9.140625" style="1518"/>
    <col min="11781" max="11781" width="9.7109375" style="1518" customWidth="1"/>
    <col min="11782" max="11782" width="12" style="1518" bestFit="1" customWidth="1"/>
    <col min="11783" max="11784" width="10" style="1518" bestFit="1" customWidth="1"/>
    <col min="11785" max="11785" width="12" style="1518" bestFit="1" customWidth="1"/>
    <col min="11786" max="11786" width="9.140625" style="1518"/>
    <col min="11787" max="11787" width="11" style="1518" customWidth="1"/>
    <col min="11788" max="12032" width="9.140625" style="1518"/>
    <col min="12033" max="12033" width="36.5703125" style="1518" customWidth="1"/>
    <col min="12034" max="12034" width="12" style="1518" bestFit="1" customWidth="1"/>
    <col min="12035" max="12036" width="9.140625" style="1518"/>
    <col min="12037" max="12037" width="9.7109375" style="1518" customWidth="1"/>
    <col min="12038" max="12038" width="12" style="1518" bestFit="1" customWidth="1"/>
    <col min="12039" max="12040" width="10" style="1518" bestFit="1" customWidth="1"/>
    <col min="12041" max="12041" width="12" style="1518" bestFit="1" customWidth="1"/>
    <col min="12042" max="12042" width="9.140625" style="1518"/>
    <col min="12043" max="12043" width="11" style="1518" customWidth="1"/>
    <col min="12044" max="12288" width="9.140625" style="1518"/>
    <col min="12289" max="12289" width="36.5703125" style="1518" customWidth="1"/>
    <col min="12290" max="12290" width="12" style="1518" bestFit="1" customWidth="1"/>
    <col min="12291" max="12292" width="9.140625" style="1518"/>
    <col min="12293" max="12293" width="9.7109375" style="1518" customWidth="1"/>
    <col min="12294" max="12294" width="12" style="1518" bestFit="1" customWidth="1"/>
    <col min="12295" max="12296" width="10" style="1518" bestFit="1" customWidth="1"/>
    <col min="12297" max="12297" width="12" style="1518" bestFit="1" customWidth="1"/>
    <col min="12298" max="12298" width="9.140625" style="1518"/>
    <col min="12299" max="12299" width="11" style="1518" customWidth="1"/>
    <col min="12300" max="12544" width="9.140625" style="1518"/>
    <col min="12545" max="12545" width="36.5703125" style="1518" customWidth="1"/>
    <col min="12546" max="12546" width="12" style="1518" bestFit="1" customWidth="1"/>
    <col min="12547" max="12548" width="9.140625" style="1518"/>
    <col min="12549" max="12549" width="9.7109375" style="1518" customWidth="1"/>
    <col min="12550" max="12550" width="12" style="1518" bestFit="1" customWidth="1"/>
    <col min="12551" max="12552" width="10" style="1518" bestFit="1" customWidth="1"/>
    <col min="12553" max="12553" width="12" style="1518" bestFit="1" customWidth="1"/>
    <col min="12554" max="12554" width="9.140625" style="1518"/>
    <col min="12555" max="12555" width="11" style="1518" customWidth="1"/>
    <col min="12556" max="12800" width="9.140625" style="1518"/>
    <col min="12801" max="12801" width="36.5703125" style="1518" customWidth="1"/>
    <col min="12802" max="12802" width="12" style="1518" bestFit="1" customWidth="1"/>
    <col min="12803" max="12804" width="9.140625" style="1518"/>
    <col min="12805" max="12805" width="9.7109375" style="1518" customWidth="1"/>
    <col min="12806" max="12806" width="12" style="1518" bestFit="1" customWidth="1"/>
    <col min="12807" max="12808" width="10" style="1518" bestFit="1" customWidth="1"/>
    <col min="12809" max="12809" width="12" style="1518" bestFit="1" customWidth="1"/>
    <col min="12810" max="12810" width="9.140625" style="1518"/>
    <col min="12811" max="12811" width="11" style="1518" customWidth="1"/>
    <col min="12812" max="13056" width="9.140625" style="1518"/>
    <col min="13057" max="13057" width="36.5703125" style="1518" customWidth="1"/>
    <col min="13058" max="13058" width="12" style="1518" bestFit="1" customWidth="1"/>
    <col min="13059" max="13060" width="9.140625" style="1518"/>
    <col min="13061" max="13061" width="9.7109375" style="1518" customWidth="1"/>
    <col min="13062" max="13062" width="12" style="1518" bestFit="1" customWidth="1"/>
    <col min="13063" max="13064" width="10" style="1518" bestFit="1" customWidth="1"/>
    <col min="13065" max="13065" width="12" style="1518" bestFit="1" customWidth="1"/>
    <col min="13066" max="13066" width="9.140625" style="1518"/>
    <col min="13067" max="13067" width="11" style="1518" customWidth="1"/>
    <col min="13068" max="13312" width="9.140625" style="1518"/>
    <col min="13313" max="13313" width="36.5703125" style="1518" customWidth="1"/>
    <col min="13314" max="13314" width="12" style="1518" bestFit="1" customWidth="1"/>
    <col min="13315" max="13316" width="9.140625" style="1518"/>
    <col min="13317" max="13317" width="9.7109375" style="1518" customWidth="1"/>
    <col min="13318" max="13318" width="12" style="1518" bestFit="1" customWidth="1"/>
    <col min="13319" max="13320" width="10" style="1518" bestFit="1" customWidth="1"/>
    <col min="13321" max="13321" width="12" style="1518" bestFit="1" customWidth="1"/>
    <col min="13322" max="13322" width="9.140625" style="1518"/>
    <col min="13323" max="13323" width="11" style="1518" customWidth="1"/>
    <col min="13324" max="13568" width="9.140625" style="1518"/>
    <col min="13569" max="13569" width="36.5703125" style="1518" customWidth="1"/>
    <col min="13570" max="13570" width="12" style="1518" bestFit="1" customWidth="1"/>
    <col min="13571" max="13572" width="9.140625" style="1518"/>
    <col min="13573" max="13573" width="9.7109375" style="1518" customWidth="1"/>
    <col min="13574" max="13574" width="12" style="1518" bestFit="1" customWidth="1"/>
    <col min="13575" max="13576" width="10" style="1518" bestFit="1" customWidth="1"/>
    <col min="13577" max="13577" width="12" style="1518" bestFit="1" customWidth="1"/>
    <col min="13578" max="13578" width="9.140625" style="1518"/>
    <col min="13579" max="13579" width="11" style="1518" customWidth="1"/>
    <col min="13580" max="13824" width="9.140625" style="1518"/>
    <col min="13825" max="13825" width="36.5703125" style="1518" customWidth="1"/>
    <col min="13826" max="13826" width="12" style="1518" bestFit="1" customWidth="1"/>
    <col min="13827" max="13828" width="9.140625" style="1518"/>
    <col min="13829" max="13829" width="9.7109375" style="1518" customWidth="1"/>
    <col min="13830" max="13830" width="12" style="1518" bestFit="1" customWidth="1"/>
    <col min="13831" max="13832" width="10" style="1518" bestFit="1" customWidth="1"/>
    <col min="13833" max="13833" width="12" style="1518" bestFit="1" customWidth="1"/>
    <col min="13834" max="13834" width="9.140625" style="1518"/>
    <col min="13835" max="13835" width="11" style="1518" customWidth="1"/>
    <col min="13836" max="14080" width="9.140625" style="1518"/>
    <col min="14081" max="14081" width="36.5703125" style="1518" customWidth="1"/>
    <col min="14082" max="14082" width="12" style="1518" bestFit="1" customWidth="1"/>
    <col min="14083" max="14084" width="9.140625" style="1518"/>
    <col min="14085" max="14085" width="9.7109375" style="1518" customWidth="1"/>
    <col min="14086" max="14086" width="12" style="1518" bestFit="1" customWidth="1"/>
    <col min="14087" max="14088" width="10" style="1518" bestFit="1" customWidth="1"/>
    <col min="14089" max="14089" width="12" style="1518" bestFit="1" customWidth="1"/>
    <col min="14090" max="14090" width="9.140625" style="1518"/>
    <col min="14091" max="14091" width="11" style="1518" customWidth="1"/>
    <col min="14092" max="14336" width="9.140625" style="1518"/>
    <col min="14337" max="14337" width="36.5703125" style="1518" customWidth="1"/>
    <col min="14338" max="14338" width="12" style="1518" bestFit="1" customWidth="1"/>
    <col min="14339" max="14340" width="9.140625" style="1518"/>
    <col min="14341" max="14341" width="9.7109375" style="1518" customWidth="1"/>
    <col min="14342" max="14342" width="12" style="1518" bestFit="1" customWidth="1"/>
    <col min="14343" max="14344" width="10" style="1518" bestFit="1" customWidth="1"/>
    <col min="14345" max="14345" width="12" style="1518" bestFit="1" customWidth="1"/>
    <col min="14346" max="14346" width="9.140625" style="1518"/>
    <col min="14347" max="14347" width="11" style="1518" customWidth="1"/>
    <col min="14348" max="14592" width="9.140625" style="1518"/>
    <col min="14593" max="14593" width="36.5703125" style="1518" customWidth="1"/>
    <col min="14594" max="14594" width="12" style="1518" bestFit="1" customWidth="1"/>
    <col min="14595" max="14596" width="9.140625" style="1518"/>
    <col min="14597" max="14597" width="9.7109375" style="1518" customWidth="1"/>
    <col min="14598" max="14598" width="12" style="1518" bestFit="1" customWidth="1"/>
    <col min="14599" max="14600" width="10" style="1518" bestFit="1" customWidth="1"/>
    <col min="14601" max="14601" width="12" style="1518" bestFit="1" customWidth="1"/>
    <col min="14602" max="14602" width="9.140625" style="1518"/>
    <col min="14603" max="14603" width="11" style="1518" customWidth="1"/>
    <col min="14604" max="14848" width="9.140625" style="1518"/>
    <col min="14849" max="14849" width="36.5703125" style="1518" customWidth="1"/>
    <col min="14850" max="14850" width="12" style="1518" bestFit="1" customWidth="1"/>
    <col min="14851" max="14852" width="9.140625" style="1518"/>
    <col min="14853" max="14853" width="9.7109375" style="1518" customWidth="1"/>
    <col min="14854" max="14854" width="12" style="1518" bestFit="1" customWidth="1"/>
    <col min="14855" max="14856" width="10" style="1518" bestFit="1" customWidth="1"/>
    <col min="14857" max="14857" width="12" style="1518" bestFit="1" customWidth="1"/>
    <col min="14858" max="14858" width="9.140625" style="1518"/>
    <col min="14859" max="14859" width="11" style="1518" customWidth="1"/>
    <col min="14860" max="15104" width="9.140625" style="1518"/>
    <col min="15105" max="15105" width="36.5703125" style="1518" customWidth="1"/>
    <col min="15106" max="15106" width="12" style="1518" bestFit="1" customWidth="1"/>
    <col min="15107" max="15108" width="9.140625" style="1518"/>
    <col min="15109" max="15109" width="9.7109375" style="1518" customWidth="1"/>
    <col min="15110" max="15110" width="12" style="1518" bestFit="1" customWidth="1"/>
    <col min="15111" max="15112" width="10" style="1518" bestFit="1" customWidth="1"/>
    <col min="15113" max="15113" width="12" style="1518" bestFit="1" customWidth="1"/>
    <col min="15114" max="15114" width="9.140625" style="1518"/>
    <col min="15115" max="15115" width="11" style="1518" customWidth="1"/>
    <col min="15116" max="15360" width="9.140625" style="1518"/>
    <col min="15361" max="15361" width="36.5703125" style="1518" customWidth="1"/>
    <col min="15362" max="15362" width="12" style="1518" bestFit="1" customWidth="1"/>
    <col min="15363" max="15364" width="9.140625" style="1518"/>
    <col min="15365" max="15365" width="9.7109375" style="1518" customWidth="1"/>
    <col min="15366" max="15366" width="12" style="1518" bestFit="1" customWidth="1"/>
    <col min="15367" max="15368" width="10" style="1518" bestFit="1" customWidth="1"/>
    <col min="15369" max="15369" width="12" style="1518" bestFit="1" customWidth="1"/>
    <col min="15370" max="15370" width="9.140625" style="1518"/>
    <col min="15371" max="15371" width="11" style="1518" customWidth="1"/>
    <col min="15372" max="15616" width="9.140625" style="1518"/>
    <col min="15617" max="15617" width="36.5703125" style="1518" customWidth="1"/>
    <col min="15618" max="15618" width="12" style="1518" bestFit="1" customWidth="1"/>
    <col min="15619" max="15620" width="9.140625" style="1518"/>
    <col min="15621" max="15621" width="9.7109375" style="1518" customWidth="1"/>
    <col min="15622" max="15622" width="12" style="1518" bestFit="1" customWidth="1"/>
    <col min="15623" max="15624" width="10" style="1518" bestFit="1" customWidth="1"/>
    <col min="15625" max="15625" width="12" style="1518" bestFit="1" customWidth="1"/>
    <col min="15626" max="15626" width="9.140625" style="1518"/>
    <col min="15627" max="15627" width="11" style="1518" customWidth="1"/>
    <col min="15628" max="15872" width="9.140625" style="1518"/>
    <col min="15873" max="15873" width="36.5703125" style="1518" customWidth="1"/>
    <col min="15874" max="15874" width="12" style="1518" bestFit="1" customWidth="1"/>
    <col min="15875" max="15876" width="9.140625" style="1518"/>
    <col min="15877" max="15877" width="9.7109375" style="1518" customWidth="1"/>
    <col min="15878" max="15878" width="12" style="1518" bestFit="1" customWidth="1"/>
    <col min="15879" max="15880" width="10" style="1518" bestFit="1" customWidth="1"/>
    <col min="15881" max="15881" width="12" style="1518" bestFit="1" customWidth="1"/>
    <col min="15882" max="15882" width="9.140625" style="1518"/>
    <col min="15883" max="15883" width="11" style="1518" customWidth="1"/>
    <col min="15884" max="16128" width="9.140625" style="1518"/>
    <col min="16129" max="16129" width="36.5703125" style="1518" customWidth="1"/>
    <col min="16130" max="16130" width="12" style="1518" bestFit="1" customWidth="1"/>
    <col min="16131" max="16132" width="9.140625" style="1518"/>
    <col min="16133" max="16133" width="9.7109375" style="1518" customWidth="1"/>
    <col min="16134" max="16134" width="12" style="1518" bestFit="1" customWidth="1"/>
    <col min="16135" max="16136" width="10" style="1518" bestFit="1" customWidth="1"/>
    <col min="16137" max="16137" width="12" style="1518" bestFit="1" customWidth="1"/>
    <col min="16138" max="16138" width="9.140625" style="1518"/>
    <col min="16139" max="16139" width="11" style="1518" customWidth="1"/>
    <col min="16140" max="16384" width="9.140625" style="1518"/>
  </cols>
  <sheetData>
    <row r="1" spans="1:11" ht="15.75" thickBot="1">
      <c r="A1" s="6208" t="s">
        <v>2093</v>
      </c>
      <c r="B1" s="6209"/>
      <c r="C1" s="6209"/>
      <c r="D1" s="6209"/>
      <c r="E1" s="6209"/>
      <c r="F1" s="6209"/>
      <c r="G1" s="6209"/>
      <c r="H1" s="6209"/>
      <c r="I1" s="6209"/>
      <c r="J1" s="6210"/>
    </row>
    <row r="3" spans="1:11" ht="57">
      <c r="A3" s="2134" t="s">
        <v>2066</v>
      </c>
      <c r="B3" s="2134" t="s">
        <v>2072</v>
      </c>
      <c r="C3" s="2134" t="s">
        <v>717</v>
      </c>
      <c r="D3" s="2134" t="s">
        <v>2073</v>
      </c>
      <c r="E3" s="2134" t="s">
        <v>2074</v>
      </c>
      <c r="F3" s="2134" t="s">
        <v>2075</v>
      </c>
      <c r="G3" s="2134" t="s">
        <v>2076</v>
      </c>
      <c r="H3" s="2134" t="s">
        <v>2077</v>
      </c>
      <c r="I3" s="2134" t="s">
        <v>2078</v>
      </c>
      <c r="J3" s="2134" t="s">
        <v>2079</v>
      </c>
      <c r="K3" s="2134" t="s">
        <v>2080</v>
      </c>
    </row>
    <row r="4" spans="1:11" hidden="1">
      <c r="A4" s="2135"/>
      <c r="B4" s="2135"/>
      <c r="C4" s="2135"/>
      <c r="D4" s="2135"/>
      <c r="E4" s="2135"/>
      <c r="F4" s="2135"/>
      <c r="G4" s="2135"/>
      <c r="H4" s="2135"/>
      <c r="I4" s="2135"/>
      <c r="J4" s="2135"/>
      <c r="K4" s="2136"/>
    </row>
    <row r="5" spans="1:11" hidden="1">
      <c r="A5" s="1530"/>
      <c r="B5" s="1530"/>
      <c r="C5" s="1530"/>
      <c r="D5" s="1530"/>
      <c r="E5" s="1530"/>
      <c r="F5" s="1530"/>
      <c r="G5" s="1530"/>
      <c r="H5" s="1530"/>
      <c r="I5" s="1530"/>
      <c r="J5" s="1530"/>
      <c r="K5" s="1531"/>
    </row>
    <row r="6" spans="1:11">
      <c r="A6" s="2137" t="s">
        <v>1097</v>
      </c>
      <c r="B6" s="2137">
        <f>[113]SUMMARY!G8</f>
        <v>22953418</v>
      </c>
      <c r="C6" s="2137">
        <f>[113]SUMMARY!H8</f>
        <v>0</v>
      </c>
      <c r="D6" s="2137">
        <f>[113]SUMMARY!I8</f>
        <v>0</v>
      </c>
      <c r="E6" s="2137">
        <f>[113]SUMMARY!J8</f>
        <v>0</v>
      </c>
      <c r="F6" s="2137">
        <f>[113]SUMMARY!K8</f>
        <v>22953418</v>
      </c>
      <c r="G6" s="2137">
        <f>[113]SUMMARY!L8</f>
        <v>0</v>
      </c>
      <c r="H6" s="2137">
        <f>[113]SUMMARY!M8</f>
        <v>0</v>
      </c>
      <c r="I6" s="2137">
        <f>[113]SUMMARY!N8</f>
        <v>22953418</v>
      </c>
      <c r="J6" s="2137">
        <f>[113]SUMMARY!O8</f>
        <v>0</v>
      </c>
      <c r="K6" s="2138">
        <f>[113]SUMMARY!P8</f>
        <v>0</v>
      </c>
    </row>
    <row r="7" spans="1:11" hidden="1">
      <c r="A7" s="1530"/>
      <c r="B7" s="1530"/>
      <c r="C7" s="1530"/>
      <c r="D7" s="1530"/>
      <c r="E7" s="1530"/>
      <c r="F7" s="1530"/>
      <c r="G7" s="1530"/>
      <c r="H7" s="1530"/>
      <c r="I7" s="1530"/>
      <c r="J7" s="1530"/>
      <c r="K7" s="1531"/>
    </row>
    <row r="8" spans="1:11">
      <c r="A8" s="1530" t="s">
        <v>2089</v>
      </c>
      <c r="B8" s="1530">
        <f>[113]SUMMARY!G10</f>
        <v>626226454</v>
      </c>
      <c r="C8" s="1530">
        <f>[113]SUMMARY!H10</f>
        <v>0</v>
      </c>
      <c r="D8" s="1530">
        <f>[113]SUMMARY!I10</f>
        <v>0</v>
      </c>
      <c r="E8" s="1530">
        <f>[113]SUMMARY!J10</f>
        <v>0</v>
      </c>
      <c r="F8" s="1530">
        <f>[113]SUMMARY!K10</f>
        <v>626226454</v>
      </c>
      <c r="G8" s="1530">
        <f>[113]SUMMARY!L10</f>
        <v>0</v>
      </c>
      <c r="H8" s="1530">
        <f>[113]SUMMARY!M10</f>
        <v>0</v>
      </c>
      <c r="I8" s="1530">
        <f>[113]SUMMARY!N10</f>
        <v>626226454</v>
      </c>
      <c r="J8" s="1530">
        <f>[113]SUMMARY!O10</f>
        <v>0</v>
      </c>
      <c r="K8" s="2139">
        <f>[113]SUMMARY!P10</f>
        <v>20409358.398800001</v>
      </c>
    </row>
    <row r="9" spans="1:11">
      <c r="A9" s="1530" t="s">
        <v>2094</v>
      </c>
      <c r="B9" s="1530">
        <f>[113]SUMMARY!G12</f>
        <v>149466</v>
      </c>
      <c r="C9" s="1530">
        <f>[113]SUMMARY!H12</f>
        <v>0</v>
      </c>
      <c r="D9" s="1530">
        <f>[113]SUMMARY!I12</f>
        <v>0</v>
      </c>
      <c r="E9" s="1530">
        <f>[113]SUMMARY!J12</f>
        <v>0</v>
      </c>
      <c r="F9" s="1530">
        <f>[113]SUMMARY!K12</f>
        <v>149466</v>
      </c>
      <c r="G9" s="1530">
        <f>[113]SUMMARY!L12</f>
        <v>0</v>
      </c>
      <c r="H9" s="1530">
        <f>[113]SUMMARY!M12</f>
        <v>0</v>
      </c>
      <c r="I9" s="1530">
        <f>[113]SUMMARY!N12</f>
        <v>149466</v>
      </c>
      <c r="J9" s="1530">
        <f>[113]SUMMARY!O12</f>
        <v>0</v>
      </c>
      <c r="K9" s="2139">
        <f>[113]SUMMARY!P12</f>
        <v>4229.1747999999998</v>
      </c>
    </row>
    <row r="10" spans="1:11">
      <c r="A10" s="2137" t="s">
        <v>1098</v>
      </c>
      <c r="B10" s="2137">
        <f>SUM(B8:B9)</f>
        <v>626375920</v>
      </c>
      <c r="C10" s="2137">
        <f t="shared" ref="C10:K10" si="0">SUM(C8:C9)</f>
        <v>0</v>
      </c>
      <c r="D10" s="2137">
        <f t="shared" si="0"/>
        <v>0</v>
      </c>
      <c r="E10" s="2137">
        <f t="shared" si="0"/>
        <v>0</v>
      </c>
      <c r="F10" s="2137">
        <f t="shared" si="0"/>
        <v>626375920</v>
      </c>
      <c r="G10" s="2137">
        <f t="shared" si="0"/>
        <v>0</v>
      </c>
      <c r="H10" s="2137">
        <f t="shared" si="0"/>
        <v>0</v>
      </c>
      <c r="I10" s="2137">
        <f t="shared" si="0"/>
        <v>626375920</v>
      </c>
      <c r="J10" s="2137">
        <f t="shared" si="0"/>
        <v>0</v>
      </c>
      <c r="K10" s="2140">
        <f t="shared" si="0"/>
        <v>20413587.573600002</v>
      </c>
    </row>
    <row r="11" spans="1:11" hidden="1">
      <c r="A11" s="1530"/>
      <c r="B11" s="1530"/>
      <c r="C11" s="1530"/>
      <c r="D11" s="1530"/>
      <c r="E11" s="1530"/>
      <c r="F11" s="1530"/>
      <c r="G11" s="1530"/>
      <c r="H11" s="1530"/>
      <c r="I11" s="1530"/>
      <c r="J11" s="1530"/>
      <c r="K11" s="2139"/>
    </row>
    <row r="12" spans="1:11">
      <c r="A12" s="1530" t="s">
        <v>2095</v>
      </c>
      <c r="B12" s="1530">
        <f>[113]SUMMARY!G40</f>
        <v>446717774</v>
      </c>
      <c r="C12" s="1530">
        <f>[113]SUMMARY!H40</f>
        <v>0</v>
      </c>
      <c r="D12" s="1530">
        <f>[113]SUMMARY!I40</f>
        <v>0</v>
      </c>
      <c r="E12" s="1530">
        <f>[113]SUMMARY!J40</f>
        <v>0</v>
      </c>
      <c r="F12" s="1530">
        <f>[113]SUMMARY!K40</f>
        <v>446717774</v>
      </c>
      <c r="G12" s="1530">
        <f>[113]SUMMARY!L40</f>
        <v>0</v>
      </c>
      <c r="H12" s="1530">
        <f>[113]SUMMARY!M40</f>
        <v>0</v>
      </c>
      <c r="I12" s="1530">
        <f>[113]SUMMARY!N40</f>
        <v>446717774</v>
      </c>
      <c r="J12" s="1530">
        <f>[113]SUMMARY!O40</f>
        <v>0</v>
      </c>
      <c r="K12" s="2139">
        <f>[113]SUMMARY!P40</f>
        <v>67007666.099999994</v>
      </c>
    </row>
    <row r="13" spans="1:11">
      <c r="A13" s="1530" t="s">
        <v>2096</v>
      </c>
      <c r="B13" s="1530">
        <f>[113]SUMMARY!G42</f>
        <v>4789388028</v>
      </c>
      <c r="C13" s="1530">
        <f>[113]SUMMARY!H42</f>
        <v>0</v>
      </c>
      <c r="D13" s="1530">
        <f>[113]SUMMARY!I42</f>
        <v>26580503</v>
      </c>
      <c r="E13" s="1530">
        <f>[113]SUMMARY!J42</f>
        <v>0</v>
      </c>
      <c r="F13" s="1530">
        <f>[113]SUMMARY!K42</f>
        <v>4762807525</v>
      </c>
      <c r="G13" s="1530">
        <f>[113]SUMMARY!L42</f>
        <v>241063000</v>
      </c>
      <c r="H13" s="1530">
        <f>[113]SUMMARY!M42</f>
        <v>0</v>
      </c>
      <c r="I13" s="1530">
        <f>[113]SUMMARY!N42</f>
        <v>4521744525</v>
      </c>
      <c r="J13" s="1530">
        <f>[113]SUMMARY!O42</f>
        <v>0</v>
      </c>
      <c r="K13" s="2139">
        <f>[113]SUMMARY!P42</f>
        <v>192491363.38079998</v>
      </c>
    </row>
    <row r="14" spans="1:11">
      <c r="A14" s="1530" t="s">
        <v>1951</v>
      </c>
      <c r="B14" s="1530">
        <f>[113]SUMMARY!G44</f>
        <v>3190039346.3499999</v>
      </c>
      <c r="C14" s="1530">
        <f>[113]SUMMARY!H44</f>
        <v>0</v>
      </c>
      <c r="D14" s="1530">
        <f>[113]SUMMARY!I44</f>
        <v>9328192</v>
      </c>
      <c r="E14" s="1530">
        <f>[113]SUMMARY!J44</f>
        <v>0</v>
      </c>
      <c r="F14" s="1530">
        <f>[113]SUMMARY!K44</f>
        <v>3180711154.3499999</v>
      </c>
      <c r="G14" s="1530">
        <f>[113]SUMMARY!L44</f>
        <v>145781500</v>
      </c>
      <c r="H14" s="1530">
        <f>[113]SUMMARY!M44</f>
        <v>0</v>
      </c>
      <c r="I14" s="1530">
        <f>[113]SUMMARY!N44</f>
        <v>3034929654.3499999</v>
      </c>
      <c r="J14" s="1530">
        <f>[113]SUMMARY!O44</f>
        <v>0</v>
      </c>
      <c r="K14" s="2139">
        <f>[113]SUMMARY!P44</f>
        <v>158839504.154396</v>
      </c>
    </row>
    <row r="15" spans="1:11">
      <c r="A15" s="1530" t="s">
        <v>2097</v>
      </c>
      <c r="B15" s="1530">
        <f>[113]SUMMARY!G46</f>
        <v>416948754</v>
      </c>
      <c r="C15" s="1530">
        <f>[113]SUMMARY!H46</f>
        <v>0</v>
      </c>
      <c r="D15" s="1530">
        <f>[113]SUMMARY!I46</f>
        <v>0</v>
      </c>
      <c r="E15" s="1530">
        <f>[113]SUMMARY!J46</f>
        <v>0</v>
      </c>
      <c r="F15" s="1530">
        <f>[113]SUMMARY!K46</f>
        <v>416948754</v>
      </c>
      <c r="G15" s="1530">
        <f>[113]SUMMARY!L46</f>
        <v>0</v>
      </c>
      <c r="H15" s="1530">
        <f>[113]SUMMARY!M46</f>
        <v>0</v>
      </c>
      <c r="I15" s="1530">
        <f>[113]SUMMARY!N46</f>
        <v>416948754</v>
      </c>
      <c r="J15" s="1530">
        <f>[113]SUMMARY!O46</f>
        <v>0</v>
      </c>
      <c r="K15" s="2139">
        <f>[113]SUMMARY!P46</f>
        <v>37678562.099999994</v>
      </c>
    </row>
    <row r="16" spans="1:11">
      <c r="A16" s="1530" t="s">
        <v>1953</v>
      </c>
      <c r="B16" s="1530">
        <f>[113]SUMMARY!G48</f>
        <v>64269317</v>
      </c>
      <c r="C16" s="1530">
        <f>[113]SUMMARY!H48</f>
        <v>0</v>
      </c>
      <c r="D16" s="1530">
        <f>[113]SUMMARY!I48</f>
        <v>0</v>
      </c>
      <c r="E16" s="1530">
        <f>[113]SUMMARY!J48</f>
        <v>0</v>
      </c>
      <c r="F16" s="1530">
        <f>[113]SUMMARY!K48</f>
        <v>64269317</v>
      </c>
      <c r="G16" s="1530">
        <f>[113]SUMMARY!L48</f>
        <v>0</v>
      </c>
      <c r="H16" s="1530">
        <f>[113]SUMMARY!M48</f>
        <v>0</v>
      </c>
      <c r="I16" s="1530">
        <f>[113]SUMMARY!N48</f>
        <v>64269317</v>
      </c>
      <c r="J16" s="1530">
        <f>[113]SUMMARY!O48</f>
        <v>0</v>
      </c>
      <c r="K16" s="2139">
        <f>[113]SUMMARY!P48</f>
        <v>1631472.5855999999</v>
      </c>
    </row>
    <row r="17" spans="1:11">
      <c r="A17" s="1530" t="s">
        <v>2098</v>
      </c>
      <c r="B17" s="1530">
        <f>[113]SUMMARY!G50</f>
        <v>94171129</v>
      </c>
      <c r="C17" s="1530">
        <f>[113]SUMMARY!H50</f>
        <v>0</v>
      </c>
      <c r="D17" s="1530">
        <f>[113]SUMMARY!I50</f>
        <v>205067</v>
      </c>
      <c r="E17" s="1530">
        <f>[113]SUMMARY!J50</f>
        <v>0</v>
      </c>
      <c r="F17" s="1530">
        <f>[113]SUMMARY!K50</f>
        <v>93966062</v>
      </c>
      <c r="G17" s="1530">
        <f>[113]SUMMARY!L50</f>
        <v>0</v>
      </c>
      <c r="H17" s="1530">
        <f>[113]SUMMARY!M50</f>
        <v>0</v>
      </c>
      <c r="I17" s="1530">
        <f>[113]SUMMARY!N50</f>
        <v>93966062</v>
      </c>
      <c r="J17" s="1530">
        <f>[113]SUMMARY!O50</f>
        <v>0</v>
      </c>
      <c r="K17" s="2139">
        <f>[113]SUMMARY!P50</f>
        <v>4855801.7147999993</v>
      </c>
    </row>
    <row r="18" spans="1:11">
      <c r="A18" s="2137" t="s">
        <v>1106</v>
      </c>
      <c r="B18" s="2137">
        <f>SUM(B12:B17)</f>
        <v>9001534348.3500004</v>
      </c>
      <c r="C18" s="2137">
        <f t="shared" ref="C18:K18" si="1">SUM(C12:C17)</f>
        <v>0</v>
      </c>
      <c r="D18" s="2137">
        <f t="shared" si="1"/>
        <v>36113762</v>
      </c>
      <c r="E18" s="2137">
        <f t="shared" si="1"/>
        <v>0</v>
      </c>
      <c r="F18" s="2137">
        <f t="shared" si="1"/>
        <v>8965420586.3500004</v>
      </c>
      <c r="G18" s="2137">
        <f t="shared" si="1"/>
        <v>386844500</v>
      </c>
      <c r="H18" s="2137">
        <f t="shared" si="1"/>
        <v>0</v>
      </c>
      <c r="I18" s="2137">
        <f t="shared" si="1"/>
        <v>8578576086.3500004</v>
      </c>
      <c r="J18" s="2137">
        <f t="shared" si="1"/>
        <v>0</v>
      </c>
      <c r="K18" s="2138">
        <f t="shared" si="1"/>
        <v>462504370.03559601</v>
      </c>
    </row>
    <row r="19" spans="1:11" hidden="1">
      <c r="A19" s="1530"/>
      <c r="B19" s="1530"/>
      <c r="C19" s="1530"/>
      <c r="D19" s="1530"/>
      <c r="E19" s="1530"/>
      <c r="F19" s="1530"/>
      <c r="G19" s="1530"/>
      <c r="H19" s="1530"/>
      <c r="I19" s="1530"/>
      <c r="J19" s="1530"/>
      <c r="K19" s="2139"/>
    </row>
    <row r="20" spans="1:11">
      <c r="A20" s="1530" t="s">
        <v>2099</v>
      </c>
      <c r="B20" s="1530">
        <f>[113]SUMMARY!G30</f>
        <v>6198998243</v>
      </c>
      <c r="C20" s="1530">
        <f>[113]SUMMARY!H30</f>
        <v>1350000</v>
      </c>
      <c r="D20" s="1530">
        <f>[113]SUMMARY!I30</f>
        <v>3277689</v>
      </c>
      <c r="E20" s="1530">
        <f>[113]SUMMARY!J30</f>
        <v>0</v>
      </c>
      <c r="F20" s="1530">
        <f>[113]SUMMARY!K30</f>
        <v>6194370554</v>
      </c>
      <c r="G20" s="1530">
        <f>[113]SUMMARY!L30</f>
        <v>175078000</v>
      </c>
      <c r="H20" s="1530">
        <f>[113]SUMMARY!M30</f>
        <v>648320217</v>
      </c>
      <c r="I20" s="1530">
        <f>[113]SUMMARY!N30</f>
        <v>5370972337</v>
      </c>
      <c r="J20" s="1530">
        <f>[113]SUMMARY!O30</f>
        <v>0</v>
      </c>
      <c r="K20" s="2139">
        <f>[113]SUMMARY!P30</f>
        <v>275394834.53369999</v>
      </c>
    </row>
    <row r="21" spans="1:11">
      <c r="A21" s="1530" t="s">
        <v>2100</v>
      </c>
      <c r="B21" s="1530">
        <f>[113]SUMMARY!G32</f>
        <v>251608194</v>
      </c>
      <c r="C21" s="1530">
        <f>[113]SUMMARY!H32</f>
        <v>0</v>
      </c>
      <c r="D21" s="1530">
        <f>[113]SUMMARY!I32</f>
        <v>2923000</v>
      </c>
      <c r="E21" s="1530">
        <f>[113]SUMMARY!J32</f>
        <v>0</v>
      </c>
      <c r="F21" s="1530">
        <f>[113]SUMMARY!K32</f>
        <v>248685194</v>
      </c>
      <c r="G21" s="1530">
        <f>[113]SUMMARY!L32</f>
        <v>7177000</v>
      </c>
      <c r="H21" s="1530">
        <f>[113]SUMMARY!M32</f>
        <v>0</v>
      </c>
      <c r="I21" s="1530">
        <f>[113]SUMMARY!N32</f>
        <v>241508194</v>
      </c>
      <c r="J21" s="1530">
        <f>[113]SUMMARY!O32</f>
        <v>0</v>
      </c>
      <c r="K21" s="2139">
        <f>[113]SUMMARY!P32</f>
        <v>12014103.560999999</v>
      </c>
    </row>
    <row r="22" spans="1:11">
      <c r="A22" s="2137" t="s">
        <v>2099</v>
      </c>
      <c r="B22" s="2137">
        <f>SUM(B20:B21)</f>
        <v>6450606437</v>
      </c>
      <c r="C22" s="2137">
        <f t="shared" ref="C22:K22" si="2">SUM(C20:C21)</f>
        <v>1350000</v>
      </c>
      <c r="D22" s="2137">
        <f t="shared" si="2"/>
        <v>6200689</v>
      </c>
      <c r="E22" s="2137">
        <f t="shared" si="2"/>
        <v>0</v>
      </c>
      <c r="F22" s="2137">
        <f t="shared" si="2"/>
        <v>6443055748</v>
      </c>
      <c r="G22" s="2137">
        <f t="shared" si="2"/>
        <v>182255000</v>
      </c>
      <c r="H22" s="2137">
        <f t="shared" si="2"/>
        <v>648320217</v>
      </c>
      <c r="I22" s="2137">
        <f t="shared" si="2"/>
        <v>5612480531</v>
      </c>
      <c r="J22" s="2137">
        <f t="shared" si="2"/>
        <v>0</v>
      </c>
      <c r="K22" s="2138">
        <f t="shared" si="2"/>
        <v>287408938.09469998</v>
      </c>
    </row>
    <row r="23" spans="1:11" hidden="1">
      <c r="A23" s="1530"/>
      <c r="B23" s="1530"/>
      <c r="C23" s="1530"/>
      <c r="D23" s="1530"/>
      <c r="E23" s="1530"/>
      <c r="F23" s="1530"/>
      <c r="G23" s="1530"/>
      <c r="H23" s="1530"/>
      <c r="I23" s="1530"/>
      <c r="J23" s="1530"/>
      <c r="K23" s="2139"/>
    </row>
    <row r="24" spans="1:11">
      <c r="A24" s="1530" t="s">
        <v>2101</v>
      </c>
      <c r="B24" s="1530">
        <f>[113]SUMMARY!G36</f>
        <v>710865187</v>
      </c>
      <c r="C24" s="1530">
        <f>[113]SUMMARY!H36</f>
        <v>0</v>
      </c>
      <c r="D24" s="1530">
        <f>[113]SUMMARY!I36</f>
        <v>0</v>
      </c>
      <c r="E24" s="1530">
        <f>[113]SUMMARY!J36</f>
        <v>0</v>
      </c>
      <c r="F24" s="1530">
        <f>[113]SUMMARY!K36</f>
        <v>710865187</v>
      </c>
      <c r="G24" s="1530">
        <f>[113]SUMMARY!L36</f>
        <v>50225000</v>
      </c>
      <c r="H24" s="1530">
        <f>[113]SUMMARY!M36</f>
        <v>0</v>
      </c>
      <c r="I24" s="1530">
        <f>[113]SUMMARY!N36</f>
        <v>660640187</v>
      </c>
      <c r="J24" s="1530">
        <f>[113]SUMMARY!O36</f>
        <v>0</v>
      </c>
      <c r="K24" s="2139">
        <f>[113]SUMMARY!P36</f>
        <v>17093615.5656</v>
      </c>
    </row>
    <row r="25" spans="1:11">
      <c r="A25" s="1530" t="s">
        <v>2102</v>
      </c>
      <c r="B25" s="1530">
        <f>[113]SUMMARY!G38</f>
        <v>1302182412</v>
      </c>
      <c r="C25" s="1530">
        <f>[113]SUMMARY!H38</f>
        <v>22500000</v>
      </c>
      <c r="D25" s="1530">
        <f>[113]SUMMARY!I38</f>
        <v>0</v>
      </c>
      <c r="E25" s="1530">
        <f>[113]SUMMARY!J38</f>
        <v>0</v>
      </c>
      <c r="F25" s="1530">
        <f>[113]SUMMARY!K38</f>
        <v>1279682412</v>
      </c>
      <c r="G25" s="1530">
        <f>[113]SUMMARY!L38</f>
        <v>74225000</v>
      </c>
      <c r="H25" s="1530">
        <f>[113]SUMMARY!M38</f>
        <v>0</v>
      </c>
      <c r="I25" s="1530">
        <f>[113]SUMMARY!N38</f>
        <v>1205457412</v>
      </c>
      <c r="J25" s="1530">
        <f>[113]SUMMARY!O38</f>
        <v>0</v>
      </c>
      <c r="K25" s="2139">
        <f>[113]SUMMARY!P38</f>
        <v>131652779.24250001</v>
      </c>
    </row>
    <row r="26" spans="1:11">
      <c r="A26" s="2137" t="s">
        <v>1108</v>
      </c>
      <c r="B26" s="2137">
        <f>SUM(B24:B25)</f>
        <v>2013047599</v>
      </c>
      <c r="C26" s="2137">
        <f t="shared" ref="C26:K26" si="3">SUM(C24:C25)</f>
        <v>22500000</v>
      </c>
      <c r="D26" s="2137">
        <f t="shared" si="3"/>
        <v>0</v>
      </c>
      <c r="E26" s="2137">
        <f t="shared" si="3"/>
        <v>0</v>
      </c>
      <c r="F26" s="2137">
        <f t="shared" si="3"/>
        <v>1990547599</v>
      </c>
      <c r="G26" s="2137">
        <f t="shared" si="3"/>
        <v>124450000</v>
      </c>
      <c r="H26" s="2137">
        <f t="shared" si="3"/>
        <v>0</v>
      </c>
      <c r="I26" s="2137">
        <f t="shared" si="3"/>
        <v>1866097599</v>
      </c>
      <c r="J26" s="2137">
        <f t="shared" si="3"/>
        <v>0</v>
      </c>
      <c r="K26" s="2138">
        <f t="shared" si="3"/>
        <v>148746394.80810001</v>
      </c>
    </row>
    <row r="27" spans="1:11" hidden="1">
      <c r="A27" s="1530"/>
      <c r="B27" s="1530"/>
      <c r="C27" s="1530"/>
      <c r="D27" s="1530"/>
      <c r="E27" s="1530"/>
      <c r="F27" s="1530"/>
      <c r="G27" s="1530"/>
      <c r="H27" s="1530"/>
      <c r="I27" s="1530"/>
      <c r="J27" s="1530"/>
      <c r="K27" s="2139"/>
    </row>
    <row r="28" spans="1:11">
      <c r="A28" s="2137" t="s">
        <v>1109</v>
      </c>
      <c r="B28" s="2137">
        <f>[113]SUMMARY!G34</f>
        <v>450348667</v>
      </c>
      <c r="C28" s="2137">
        <f>[113]SUMMARY!H34</f>
        <v>1350000</v>
      </c>
      <c r="D28" s="2137">
        <f>[113]SUMMARY!I34</f>
        <v>0</v>
      </c>
      <c r="E28" s="2137">
        <f>[113]SUMMARY!J34</f>
        <v>0</v>
      </c>
      <c r="F28" s="2137">
        <f>[113]SUMMARY!K34</f>
        <v>448998667</v>
      </c>
      <c r="G28" s="2137">
        <f>[113]SUMMARY!L34</f>
        <v>0</v>
      </c>
      <c r="H28" s="2137">
        <f>[113]SUMMARY!M34</f>
        <v>0</v>
      </c>
      <c r="I28" s="2137">
        <f>[113]SUMMARY!N34</f>
        <v>448998667</v>
      </c>
      <c r="J28" s="2137">
        <f>[113]SUMMARY!O34</f>
        <v>0</v>
      </c>
      <c r="K28" s="2140">
        <f>[113]SUMMARY!P34</f>
        <v>14147343.009599997</v>
      </c>
    </row>
    <row r="29" spans="1:11" hidden="1">
      <c r="A29" s="1530"/>
      <c r="B29" s="1530"/>
      <c r="C29" s="1530"/>
      <c r="D29" s="1530"/>
      <c r="E29" s="1530"/>
      <c r="F29" s="1530"/>
      <c r="G29" s="1530"/>
      <c r="H29" s="1530"/>
      <c r="I29" s="1530"/>
      <c r="J29" s="1530"/>
      <c r="K29" s="2139"/>
    </row>
    <row r="30" spans="1:11">
      <c r="A30" s="2137" t="s">
        <v>2103</v>
      </c>
      <c r="B30" s="2137">
        <f>[113]SUMMARY!G52</f>
        <v>465756</v>
      </c>
      <c r="C30" s="2137">
        <f>[113]SUMMARY!H52</f>
        <v>0</v>
      </c>
      <c r="D30" s="2137">
        <f>[113]SUMMARY!I52</f>
        <v>32838</v>
      </c>
      <c r="E30" s="2137">
        <f>[113]SUMMARY!J52</f>
        <v>0</v>
      </c>
      <c r="F30" s="2137">
        <f>[113]SUMMARY!K52</f>
        <v>432918</v>
      </c>
      <c r="G30" s="2137">
        <f>[113]SUMMARY!L52</f>
        <v>0</v>
      </c>
      <c r="H30" s="2137">
        <f>[113]SUMMARY!M52</f>
        <v>0</v>
      </c>
      <c r="I30" s="2137">
        <f>[113]SUMMARY!N52</f>
        <v>432918</v>
      </c>
      <c r="J30" s="2137">
        <f>[113]SUMMARY!O52</f>
        <v>0</v>
      </c>
      <c r="K30" s="2140">
        <f>[113]SUMMARY!P52</f>
        <v>0</v>
      </c>
    </row>
    <row r="31" spans="1:11" hidden="1">
      <c r="A31" s="1530"/>
      <c r="B31" s="1530"/>
      <c r="C31" s="1530"/>
      <c r="D31" s="1530"/>
      <c r="E31" s="1530"/>
      <c r="F31" s="1530"/>
      <c r="G31" s="1530"/>
      <c r="H31" s="1530"/>
      <c r="I31" s="1530"/>
      <c r="J31" s="1530"/>
      <c r="K31" s="2139"/>
    </row>
    <row r="32" spans="1:11">
      <c r="A32" s="2137" t="s">
        <v>1099</v>
      </c>
      <c r="B32" s="2137">
        <f>[113]SUMMARY!G14</f>
        <v>146095852</v>
      </c>
      <c r="C32" s="2137">
        <f>[113]SUMMARY!H14</f>
        <v>0</v>
      </c>
      <c r="D32" s="2137">
        <f>[113]SUMMARY!I14</f>
        <v>0</v>
      </c>
      <c r="E32" s="2137">
        <f>[113]SUMMARY!J14</f>
        <v>0</v>
      </c>
      <c r="F32" s="2137">
        <f>[113]SUMMARY!K14</f>
        <v>146095852</v>
      </c>
      <c r="G32" s="2137">
        <f>[113]SUMMARY!L14</f>
        <v>0</v>
      </c>
      <c r="H32" s="2137">
        <f>[113]SUMMARY!M14</f>
        <v>0</v>
      </c>
      <c r="I32" s="2137">
        <f>[113]SUMMARY!N14</f>
        <v>146095852</v>
      </c>
      <c r="J32" s="2137">
        <f>[113]SUMMARY!O14</f>
        <v>0</v>
      </c>
      <c r="K32" s="2140">
        <f>[113]SUMMARY!P14</f>
        <v>10344899.5875</v>
      </c>
    </row>
    <row r="33" spans="1:11" hidden="1">
      <c r="A33" s="1530"/>
      <c r="B33" s="1530"/>
      <c r="C33" s="1530"/>
      <c r="D33" s="1530"/>
      <c r="E33" s="1530"/>
      <c r="F33" s="1530"/>
      <c r="G33" s="1530"/>
      <c r="H33" s="1530"/>
      <c r="I33" s="1530"/>
      <c r="J33" s="1530"/>
      <c r="K33" s="2139"/>
    </row>
    <row r="34" spans="1:11">
      <c r="A34" s="1530" t="s">
        <v>1956</v>
      </c>
      <c r="B34" s="1530">
        <f>[113]SUMMARY!G16</f>
        <v>237563872</v>
      </c>
      <c r="C34" s="1530">
        <f>[113]SUMMARY!H16</f>
        <v>0</v>
      </c>
      <c r="D34" s="1530">
        <f>[113]SUMMARY!I16</f>
        <v>101614</v>
      </c>
      <c r="E34" s="1530">
        <f>[113]SUMMARY!J16</f>
        <v>0</v>
      </c>
      <c r="F34" s="1530">
        <f>[113]SUMMARY!K16</f>
        <v>237462258</v>
      </c>
      <c r="G34" s="1530">
        <f>[113]SUMMARY!L16</f>
        <v>0</v>
      </c>
      <c r="H34" s="1530">
        <f>[113]SUMMARY!M16</f>
        <v>0</v>
      </c>
      <c r="I34" s="1530">
        <f>[113]SUMMARY!N16</f>
        <v>237462258</v>
      </c>
      <c r="J34" s="1530">
        <f>[113]SUMMARY!O16</f>
        <v>0</v>
      </c>
      <c r="K34" s="2139">
        <f>[113]SUMMARY!P16</f>
        <v>11047734.773999998</v>
      </c>
    </row>
    <row r="35" spans="1:11">
      <c r="A35" s="1530" t="s">
        <v>2104</v>
      </c>
      <c r="B35" s="1530">
        <f>[113]SUMMARY!G26</f>
        <v>17110545</v>
      </c>
      <c r="C35" s="1530">
        <f>[113]SUMMARY!H26</f>
        <v>0</v>
      </c>
      <c r="D35" s="1530">
        <f>[113]SUMMARY!I26</f>
        <v>0</v>
      </c>
      <c r="E35" s="1530">
        <f>[113]SUMMARY!J26</f>
        <v>0</v>
      </c>
      <c r="F35" s="1530">
        <f>[113]SUMMARY!K26</f>
        <v>17110545</v>
      </c>
      <c r="G35" s="1530">
        <f>[113]SUMMARY!L26</f>
        <v>0</v>
      </c>
      <c r="H35" s="1530">
        <f>[113]SUMMARY!M26</f>
        <v>0</v>
      </c>
      <c r="I35" s="1530">
        <f>[113]SUMMARY!N26</f>
        <v>17110545</v>
      </c>
      <c r="J35" s="1530">
        <f>[113]SUMMARY!O26</f>
        <v>0</v>
      </c>
      <c r="K35" s="2139">
        <f>[113]SUMMARY!P26</f>
        <v>1166940.75</v>
      </c>
    </row>
    <row r="36" spans="1:11">
      <c r="A36" s="1530" t="s">
        <v>2105</v>
      </c>
      <c r="B36" s="1530">
        <f>[113]SUMMARY!G54</f>
        <v>2852516</v>
      </c>
      <c r="C36" s="1530">
        <f>[113]SUMMARY!H54</f>
        <v>0</v>
      </c>
      <c r="D36" s="1530">
        <f>[113]SUMMARY!I54</f>
        <v>1595164</v>
      </c>
      <c r="E36" s="1530">
        <f>[113]SUMMARY!J54</f>
        <v>0</v>
      </c>
      <c r="F36" s="1530">
        <f>[113]SUMMARY!K54</f>
        <v>1257352</v>
      </c>
      <c r="G36" s="1530">
        <f>[113]SUMMARY!L54</f>
        <v>0</v>
      </c>
      <c r="H36" s="1530">
        <f>[113]SUMMARY!M54</f>
        <v>0</v>
      </c>
      <c r="I36" s="1530">
        <f>[113]SUMMARY!N54</f>
        <v>1257352</v>
      </c>
      <c r="J36" s="1530">
        <f>[113]SUMMARY!O54</f>
        <v>0</v>
      </c>
      <c r="K36" s="2139">
        <f>[113]SUMMARY!P54</f>
        <v>0</v>
      </c>
    </row>
    <row r="37" spans="1:11">
      <c r="A37" s="2137" t="s">
        <v>1102</v>
      </c>
      <c r="B37" s="2137">
        <f>SUM(B34:B36)</f>
        <v>257526933</v>
      </c>
      <c r="C37" s="2137">
        <f t="shared" ref="C37:K37" si="4">SUM(C34:C36)</f>
        <v>0</v>
      </c>
      <c r="D37" s="2137">
        <f t="shared" si="4"/>
        <v>1696778</v>
      </c>
      <c r="E37" s="2137">
        <f t="shared" si="4"/>
        <v>0</v>
      </c>
      <c r="F37" s="2137">
        <f t="shared" si="4"/>
        <v>255830155</v>
      </c>
      <c r="G37" s="2137">
        <f t="shared" si="4"/>
        <v>0</v>
      </c>
      <c r="H37" s="2137">
        <f t="shared" si="4"/>
        <v>0</v>
      </c>
      <c r="I37" s="2137">
        <f t="shared" si="4"/>
        <v>255830155</v>
      </c>
      <c r="J37" s="2137">
        <f t="shared" si="4"/>
        <v>0</v>
      </c>
      <c r="K37" s="2140">
        <f t="shared" si="4"/>
        <v>12214675.523999998</v>
      </c>
    </row>
    <row r="38" spans="1:11" hidden="1">
      <c r="A38" s="1530"/>
      <c r="B38" s="1530"/>
      <c r="C38" s="1530"/>
      <c r="D38" s="1530"/>
      <c r="E38" s="1530"/>
      <c r="F38" s="1530"/>
      <c r="G38" s="1530"/>
      <c r="H38" s="1530"/>
      <c r="I38" s="1530"/>
      <c r="J38" s="1530"/>
      <c r="K38" s="2139"/>
    </row>
    <row r="39" spans="1:11">
      <c r="A39" s="1530" t="s">
        <v>1958</v>
      </c>
      <c r="B39" s="1530">
        <f>[113]SUMMARY!G18</f>
        <v>23400257</v>
      </c>
      <c r="C39" s="1530">
        <f>[113]SUMMARY!H18</f>
        <v>0</v>
      </c>
      <c r="D39" s="1530">
        <f>[113]SUMMARY!I18</f>
        <v>0</v>
      </c>
      <c r="E39" s="1530">
        <f>[113]SUMMARY!J18</f>
        <v>0</v>
      </c>
      <c r="F39" s="1530">
        <f>[113]SUMMARY!K18</f>
        <v>23400257</v>
      </c>
      <c r="G39" s="1530">
        <f>[113]SUMMARY!L18</f>
        <v>0</v>
      </c>
      <c r="H39" s="1530">
        <f>[113]SUMMARY!M18</f>
        <v>0</v>
      </c>
      <c r="I39" s="1530">
        <f>[113]SUMMARY!N18</f>
        <v>23400257</v>
      </c>
      <c r="J39" s="1530">
        <f>[113]SUMMARY!O18</f>
        <v>0</v>
      </c>
      <c r="K39" s="2139">
        <f>[113]SUMMARY!P18</f>
        <v>1420846.4856</v>
      </c>
    </row>
    <row r="40" spans="1:11">
      <c r="A40" s="1530" t="s">
        <v>2090</v>
      </c>
      <c r="B40" s="1530">
        <f>[113]SUMMARY!G20</f>
        <v>19232674</v>
      </c>
      <c r="C40" s="1530">
        <f>[113]SUMMARY!H20</f>
        <v>0</v>
      </c>
      <c r="D40" s="1530">
        <f>[113]SUMMARY!I20</f>
        <v>299654</v>
      </c>
      <c r="E40" s="1530">
        <f>[113]SUMMARY!J20</f>
        <v>0</v>
      </c>
      <c r="F40" s="1530">
        <f>[113]SUMMARY!K20</f>
        <v>18933020</v>
      </c>
      <c r="G40" s="1530">
        <f>[113]SUMMARY!L20</f>
        <v>0</v>
      </c>
      <c r="H40" s="1530">
        <f>[113]SUMMARY!M20</f>
        <v>0</v>
      </c>
      <c r="I40" s="1530">
        <f>[113]SUMMARY!N20</f>
        <v>18933020</v>
      </c>
      <c r="J40" s="1530">
        <f>[113]SUMMARY!O20</f>
        <v>0</v>
      </c>
      <c r="K40" s="2139">
        <f>[113]SUMMARY!P20</f>
        <v>289442.01</v>
      </c>
    </row>
    <row r="41" spans="1:11">
      <c r="A41" s="1530" t="s">
        <v>2091</v>
      </c>
      <c r="B41" s="1530">
        <f>[113]SUMMARY!G22</f>
        <v>171068021</v>
      </c>
      <c r="C41" s="1530">
        <f>[113]SUMMARY!H22</f>
        <v>12100000</v>
      </c>
      <c r="D41" s="1530">
        <f>[113]SUMMARY!I22</f>
        <v>1241221</v>
      </c>
      <c r="E41" s="1530">
        <f>[113]SUMMARY!J22</f>
        <v>0</v>
      </c>
      <c r="F41" s="1530">
        <f>[113]SUMMARY!K22</f>
        <v>157726800</v>
      </c>
      <c r="G41" s="1530">
        <f>[113]SUMMARY!L22</f>
        <v>0</v>
      </c>
      <c r="H41" s="1530">
        <f>[113]SUMMARY!M22</f>
        <v>0</v>
      </c>
      <c r="I41" s="1530">
        <f>[113]SUMMARY!N22</f>
        <v>157726800</v>
      </c>
      <c r="J41" s="1530">
        <f>[113]SUMMARY!O22</f>
        <v>0</v>
      </c>
      <c r="K41" s="2139">
        <f>[113]SUMMARY!P22</f>
        <v>13019131.199999999</v>
      </c>
    </row>
    <row r="42" spans="1:11">
      <c r="A42" s="1530" t="s">
        <v>2106</v>
      </c>
      <c r="B42" s="1530">
        <f>[113]SUMMARY!G24</f>
        <v>17259667</v>
      </c>
      <c r="C42" s="1530">
        <f>[113]SUMMARY!H24</f>
        <v>0</v>
      </c>
      <c r="D42" s="1530">
        <f>[113]SUMMARY!I24</f>
        <v>0</v>
      </c>
      <c r="E42" s="1530">
        <f>[113]SUMMARY!J24</f>
        <v>0</v>
      </c>
      <c r="F42" s="1530">
        <f>[113]SUMMARY!K24</f>
        <v>17259667</v>
      </c>
      <c r="G42" s="1530">
        <f>[113]SUMMARY!L24</f>
        <v>0</v>
      </c>
      <c r="H42" s="1530">
        <f>[113]SUMMARY!M24</f>
        <v>0</v>
      </c>
      <c r="I42" s="1530">
        <f>[113]SUMMARY!N24</f>
        <v>17259667</v>
      </c>
      <c r="J42" s="1530">
        <f>[113]SUMMARY!O24</f>
        <v>0</v>
      </c>
      <c r="K42" s="2139">
        <f>[113]SUMMARY!P24</f>
        <v>1983554.7</v>
      </c>
    </row>
    <row r="43" spans="1:11">
      <c r="A43" s="1530" t="s">
        <v>2107</v>
      </c>
      <c r="B43" s="1530">
        <f>[113]SUMMARY!G28</f>
        <v>1434612</v>
      </c>
      <c r="C43" s="1530">
        <f>[113]SUMMARY!H28</f>
        <v>0</v>
      </c>
      <c r="D43" s="1530">
        <f>[113]SUMMARY!I28</f>
        <v>0</v>
      </c>
      <c r="E43" s="1530">
        <f>[113]SUMMARY!J28</f>
        <v>0</v>
      </c>
      <c r="F43" s="1530">
        <f>[113]SUMMARY!K28</f>
        <v>1434612</v>
      </c>
      <c r="G43" s="1530">
        <f>[113]SUMMARY!L28</f>
        <v>0</v>
      </c>
      <c r="H43" s="1530">
        <f>[113]SUMMARY!M28</f>
        <v>0</v>
      </c>
      <c r="I43" s="1530">
        <f>[113]SUMMARY!N28</f>
        <v>1434612</v>
      </c>
      <c r="J43" s="1530">
        <f>[113]SUMMARY!O28</f>
        <v>0</v>
      </c>
      <c r="K43" s="2139">
        <f>[113]SUMMARY!P28</f>
        <v>87807.510000000009</v>
      </c>
    </row>
    <row r="44" spans="1:11">
      <c r="A44" s="1530" t="s">
        <v>2108</v>
      </c>
      <c r="B44" s="1530">
        <f>[113]SUMMARY!G56</f>
        <v>20004019</v>
      </c>
      <c r="C44" s="1530">
        <f>[113]SUMMARY!H56</f>
        <v>0</v>
      </c>
      <c r="D44" s="1530">
        <f>[113]SUMMARY!I56</f>
        <v>17381</v>
      </c>
      <c r="E44" s="1530">
        <f>[113]SUMMARY!J56</f>
        <v>68450</v>
      </c>
      <c r="F44" s="1530">
        <f>[113]SUMMARY!K56</f>
        <v>20055088</v>
      </c>
      <c r="G44" s="1530">
        <f>[113]SUMMARY!L56</f>
        <v>0</v>
      </c>
      <c r="H44" s="1530">
        <f>[113]SUMMARY!M56</f>
        <v>0</v>
      </c>
      <c r="I44" s="1530">
        <f>[113]SUMMARY!N56</f>
        <v>20055088</v>
      </c>
      <c r="J44" s="1530">
        <f>[113]SUMMARY!O56</f>
        <v>0</v>
      </c>
      <c r="K44" s="2139">
        <f>[113]SUMMARY!P56</f>
        <v>1146145.8018999998</v>
      </c>
    </row>
    <row r="45" spans="1:11">
      <c r="A45" s="2137" t="s">
        <v>1101</v>
      </c>
      <c r="B45" s="2137">
        <f>SUM(B39:B44)</f>
        <v>252399250</v>
      </c>
      <c r="C45" s="2137">
        <f t="shared" ref="C45:K45" si="5">SUM(C39:C44)</f>
        <v>12100000</v>
      </c>
      <c r="D45" s="2137">
        <f t="shared" si="5"/>
        <v>1558256</v>
      </c>
      <c r="E45" s="2137">
        <f t="shared" si="5"/>
        <v>68450</v>
      </c>
      <c r="F45" s="2137">
        <f t="shared" si="5"/>
        <v>238809444</v>
      </c>
      <c r="G45" s="2137">
        <f t="shared" si="5"/>
        <v>0</v>
      </c>
      <c r="H45" s="2137">
        <f t="shared" si="5"/>
        <v>0</v>
      </c>
      <c r="I45" s="2137">
        <f t="shared" si="5"/>
        <v>238809444</v>
      </c>
      <c r="J45" s="2137">
        <f t="shared" si="5"/>
        <v>0</v>
      </c>
      <c r="K45" s="2140">
        <f t="shared" si="5"/>
        <v>17946927.7075</v>
      </c>
    </row>
    <row r="46" spans="1:11" hidden="1">
      <c r="A46" s="1530"/>
      <c r="B46" s="1530"/>
      <c r="C46" s="1530"/>
      <c r="D46" s="1530"/>
      <c r="E46" s="1530"/>
      <c r="F46" s="1530"/>
      <c r="G46" s="1530"/>
      <c r="H46" s="1530"/>
      <c r="I46" s="1530"/>
      <c r="J46" s="1530"/>
      <c r="K46" s="1531"/>
    </row>
    <row r="47" spans="1:11" ht="23.25" customHeight="1" thickBot="1">
      <c r="A47" s="2141" t="s">
        <v>2092</v>
      </c>
      <c r="B47" s="2141">
        <f>+B6+B10+B18+B22+B26+B28+B30+B32+B37+B45</f>
        <v>19221354180.349998</v>
      </c>
      <c r="C47" s="2141">
        <f t="shared" ref="C47:K47" si="6">+C6+C10+C18+C22+C26+C28+C30+C32+C37+C45</f>
        <v>37300000</v>
      </c>
      <c r="D47" s="2141">
        <f t="shared" si="6"/>
        <v>45602323</v>
      </c>
      <c r="E47" s="2141">
        <f t="shared" si="6"/>
        <v>68450</v>
      </c>
      <c r="F47" s="2141">
        <f t="shared" si="6"/>
        <v>19138520307.349998</v>
      </c>
      <c r="G47" s="2141">
        <f t="shared" si="6"/>
        <v>693549500</v>
      </c>
      <c r="H47" s="2141">
        <f t="shared" si="6"/>
        <v>648320217</v>
      </c>
      <c r="I47" s="2141">
        <f t="shared" si="6"/>
        <v>17796650590.349998</v>
      </c>
      <c r="J47" s="2141">
        <f t="shared" si="6"/>
        <v>0</v>
      </c>
      <c r="K47" s="2142">
        <f t="shared" si="6"/>
        <v>973727136.34059608</v>
      </c>
    </row>
    <row r="48" spans="1:11" ht="15.75" thickTop="1"/>
  </sheetData>
  <mergeCells count="1">
    <mergeCell ref="A1:J1"/>
  </mergeCells>
  <pageMargins left="0.70866141732283505" right="0.70866141732283505" top="0.74803149606299202" bottom="0.74803149606299202" header="0.31496062992126" footer="0.31496062992126"/>
  <pageSetup paperSize="9" scale="46" orientation="portrait" horizontalDpi="180" verticalDpi="180" r:id="rId1"/>
</worksheet>
</file>

<file path=xl/worksheets/sheet11.xml><?xml version="1.0" encoding="utf-8"?>
<worksheet xmlns="http://schemas.openxmlformats.org/spreadsheetml/2006/main" xmlns:r="http://schemas.openxmlformats.org/officeDocument/2006/relationships">
  <sheetPr codeName="Sheet11"/>
  <dimension ref="B1:K56"/>
  <sheetViews>
    <sheetView topLeftCell="A34" workbookViewId="0">
      <selection activeCell="P48" sqref="P48"/>
    </sheetView>
  </sheetViews>
  <sheetFormatPr defaultRowHeight="15"/>
  <cols>
    <col min="8" max="8" width="16" customWidth="1"/>
    <col min="9" max="9" width="11" customWidth="1"/>
    <col min="10" max="10" width="14.42578125" customWidth="1"/>
    <col min="11" max="11" width="15.140625" customWidth="1"/>
  </cols>
  <sheetData>
    <row r="1" spans="2:11" ht="15.75" thickBot="1"/>
    <row r="2" spans="2:11">
      <c r="B2" s="5402" t="s">
        <v>77</v>
      </c>
      <c r="C2" s="5403"/>
      <c r="D2" s="5403"/>
      <c r="E2" s="5403"/>
      <c r="F2" s="5403"/>
      <c r="G2" s="5404"/>
    </row>
    <row r="3" spans="2:11" ht="45.75" customHeight="1">
      <c r="B3" s="7" t="s">
        <v>1</v>
      </c>
      <c r="C3" s="7" t="s">
        <v>2</v>
      </c>
      <c r="D3" s="7" t="s">
        <v>62</v>
      </c>
      <c r="E3" s="7"/>
      <c r="F3" s="7" t="s">
        <v>4</v>
      </c>
      <c r="G3" s="7" t="s">
        <v>5</v>
      </c>
      <c r="H3" s="7" t="s">
        <v>6</v>
      </c>
      <c r="I3" s="7" t="s">
        <v>7</v>
      </c>
      <c r="J3" s="7" t="s">
        <v>8</v>
      </c>
      <c r="K3" s="7" t="s">
        <v>63</v>
      </c>
    </row>
    <row r="4" spans="2:11">
      <c r="B4" s="1"/>
      <c r="C4" s="1"/>
      <c r="D4" s="1" t="s">
        <v>12</v>
      </c>
      <c r="E4" s="1" t="s">
        <v>13</v>
      </c>
      <c r="F4" s="1"/>
      <c r="G4" s="1"/>
      <c r="H4" s="1"/>
      <c r="I4" s="1"/>
      <c r="J4" s="1"/>
      <c r="K4" s="1"/>
    </row>
    <row r="5" spans="2:11">
      <c r="B5" s="1" t="s">
        <v>14</v>
      </c>
      <c r="C5" s="1" t="s">
        <v>15</v>
      </c>
      <c r="D5" s="1">
        <v>299</v>
      </c>
      <c r="E5" s="1">
        <v>0</v>
      </c>
      <c r="F5" s="1">
        <v>-12917</v>
      </c>
      <c r="G5" s="1">
        <v>-5683.4800000000005</v>
      </c>
      <c r="H5" s="1">
        <v>824.2</v>
      </c>
      <c r="I5" s="1">
        <v>-1550.04</v>
      </c>
      <c r="J5" s="1">
        <v>-6409.3200000000006</v>
      </c>
      <c r="K5" s="1">
        <v>0.49619261438414497</v>
      </c>
    </row>
    <row r="6" spans="2:11">
      <c r="B6" s="1" t="s">
        <v>16</v>
      </c>
      <c r="C6" s="1" t="s">
        <v>17</v>
      </c>
      <c r="D6" s="1">
        <v>280383</v>
      </c>
      <c r="E6" s="1">
        <v>14257</v>
      </c>
      <c r="F6" s="1">
        <v>56485974</v>
      </c>
      <c r="G6" s="1">
        <v>116373908.97</v>
      </c>
      <c r="H6" s="5399">
        <v>60770020.460000001</v>
      </c>
      <c r="I6" s="1">
        <v>31081092.350000001</v>
      </c>
      <c r="J6" s="5399">
        <v>714650640.90999997</v>
      </c>
      <c r="K6" s="1">
        <v>5.2342291908448493</v>
      </c>
    </row>
    <row r="7" spans="2:11">
      <c r="B7" s="1"/>
      <c r="C7" s="1" t="s">
        <v>18</v>
      </c>
      <c r="D7" s="1">
        <v>327992</v>
      </c>
      <c r="E7" s="1">
        <v>23615</v>
      </c>
      <c r="F7" s="1">
        <v>43571451</v>
      </c>
      <c r="G7" s="1">
        <v>166015925.85000002</v>
      </c>
      <c r="H7" s="5400"/>
      <c r="I7" s="1">
        <v>44896160.149999999</v>
      </c>
      <c r="J7" s="5400"/>
      <c r="K7" s="1"/>
    </row>
    <row r="8" spans="2:11">
      <c r="B8" s="1"/>
      <c r="C8" s="1" t="s">
        <v>19</v>
      </c>
      <c r="D8" s="1">
        <v>40126</v>
      </c>
      <c r="E8" s="1">
        <v>18011</v>
      </c>
      <c r="F8" s="1">
        <v>11627239</v>
      </c>
      <c r="G8" s="1">
        <v>62322438.140000001</v>
      </c>
      <c r="H8" s="5400"/>
      <c r="I8" s="1">
        <v>16753714.559999999</v>
      </c>
      <c r="J8" s="5400"/>
      <c r="K8" s="1"/>
    </row>
    <row r="9" spans="2:11">
      <c r="B9" s="1"/>
      <c r="C9" s="1" t="s">
        <v>20</v>
      </c>
      <c r="D9" s="1">
        <v>10684</v>
      </c>
      <c r="E9" s="1">
        <v>26547</v>
      </c>
      <c r="F9" s="1">
        <v>24849411</v>
      </c>
      <c r="G9" s="1">
        <v>170466928.38000003</v>
      </c>
      <c r="H9" s="5401"/>
      <c r="I9" s="1">
        <v>45970452.050000004</v>
      </c>
      <c r="J9" s="5401"/>
      <c r="K9" s="1"/>
    </row>
    <row r="10" spans="2:11">
      <c r="B10" s="1" t="s">
        <v>21</v>
      </c>
      <c r="C10" s="1" t="s">
        <v>22</v>
      </c>
      <c r="D10" s="1">
        <v>182738</v>
      </c>
      <c r="E10" s="1">
        <v>15435</v>
      </c>
      <c r="F10" s="1">
        <v>-10971</v>
      </c>
      <c r="G10" s="1">
        <v>-43884</v>
      </c>
      <c r="H10" s="5399">
        <v>63078504.799999997</v>
      </c>
      <c r="I10" s="1"/>
      <c r="J10" s="5399">
        <v>636918130.69999993</v>
      </c>
      <c r="K10" s="1">
        <v>9.2082917706961478</v>
      </c>
    </row>
    <row r="11" spans="2:11">
      <c r="B11" s="1"/>
      <c r="C11" s="1" t="s">
        <v>19</v>
      </c>
      <c r="D11" s="1">
        <v>19516</v>
      </c>
      <c r="E11" s="1">
        <v>5675</v>
      </c>
      <c r="F11" s="1">
        <v>-2607</v>
      </c>
      <c r="G11" s="1">
        <v>-15642</v>
      </c>
      <c r="H11" s="5400"/>
      <c r="I11" s="1"/>
      <c r="J11" s="5400"/>
      <c r="K11" s="1"/>
    </row>
    <row r="12" spans="2:11">
      <c r="B12" s="1"/>
      <c r="C12" s="1" t="s">
        <v>23</v>
      </c>
      <c r="D12" s="1">
        <v>10819</v>
      </c>
      <c r="E12" s="1">
        <v>9477</v>
      </c>
      <c r="F12" s="1">
        <v>-4985</v>
      </c>
      <c r="G12" s="1">
        <v>-34396.5</v>
      </c>
      <c r="H12" s="5400"/>
      <c r="I12" s="1"/>
      <c r="J12" s="5400"/>
      <c r="K12" s="1"/>
    </row>
    <row r="13" spans="2:11">
      <c r="B13" s="1"/>
      <c r="C13" s="1" t="s">
        <v>24</v>
      </c>
      <c r="D13" s="1">
        <v>2242</v>
      </c>
      <c r="E13" s="1">
        <v>12044</v>
      </c>
      <c r="F13" s="1">
        <v>-12143</v>
      </c>
      <c r="G13" s="1">
        <v>-92286.8</v>
      </c>
      <c r="H13" s="5400"/>
      <c r="I13" s="1"/>
      <c r="J13" s="5400"/>
      <c r="K13" s="1"/>
    </row>
    <row r="14" spans="2:11">
      <c r="B14" s="1"/>
      <c r="C14" s="1" t="s">
        <v>25</v>
      </c>
      <c r="D14" s="1">
        <v>202254</v>
      </c>
      <c r="E14" s="1">
        <v>21110</v>
      </c>
      <c r="F14" s="1">
        <v>42269716</v>
      </c>
      <c r="G14" s="1">
        <v>232483438</v>
      </c>
      <c r="H14" s="5400"/>
      <c r="I14" s="1">
        <v>62559179.68</v>
      </c>
      <c r="J14" s="5400"/>
      <c r="K14" s="1"/>
    </row>
    <row r="15" spans="2:11">
      <c r="B15" s="1"/>
      <c r="C15" s="1" t="s">
        <v>26</v>
      </c>
      <c r="D15" s="1">
        <v>13061</v>
      </c>
      <c r="E15" s="1">
        <v>21521</v>
      </c>
      <c r="F15" s="1">
        <v>26928882</v>
      </c>
      <c r="G15" s="1">
        <v>219739677.12</v>
      </c>
      <c r="H15" s="5401"/>
      <c r="I15" s="1">
        <v>59243540.400000006</v>
      </c>
      <c r="J15" s="5401"/>
      <c r="K15" s="1"/>
    </row>
    <row r="16" spans="2:11">
      <c r="B16" s="1" t="s">
        <v>27</v>
      </c>
      <c r="C16" s="1" t="s">
        <v>28</v>
      </c>
      <c r="D16" s="1">
        <v>65</v>
      </c>
      <c r="E16" s="1">
        <v>5935</v>
      </c>
      <c r="F16" s="1">
        <v>19497014</v>
      </c>
      <c r="G16" s="1">
        <v>155976112</v>
      </c>
      <c r="H16" s="1">
        <v>21468041.120000001</v>
      </c>
      <c r="I16" s="1">
        <v>41918580.100000001</v>
      </c>
      <c r="J16" s="1">
        <v>219362733.22</v>
      </c>
      <c r="K16" s="1">
        <v>11.251093794157402</v>
      </c>
    </row>
    <row r="17" spans="2:11">
      <c r="B17" s="1" t="s">
        <v>29</v>
      </c>
      <c r="C17" s="1" t="s">
        <v>28</v>
      </c>
      <c r="D17" s="1">
        <v>2</v>
      </c>
      <c r="E17" s="1">
        <v>2633</v>
      </c>
      <c r="F17" s="1">
        <v>38096630</v>
      </c>
      <c r="G17" s="1">
        <v>308201736.69999999</v>
      </c>
      <c r="H17" s="1">
        <v>35855157.390000001</v>
      </c>
      <c r="I17" s="1">
        <v>83050653.400000006</v>
      </c>
      <c r="J17" s="1">
        <v>427107547.49000001</v>
      </c>
      <c r="K17" s="1">
        <v>11.211163493726348</v>
      </c>
    </row>
    <row r="18" spans="2:11">
      <c r="B18" s="1" t="s">
        <v>30</v>
      </c>
      <c r="C18" s="1" t="s">
        <v>22</v>
      </c>
      <c r="D18" s="1">
        <v>2546</v>
      </c>
      <c r="E18" s="1">
        <v>3126</v>
      </c>
      <c r="F18" s="1">
        <v>-238</v>
      </c>
      <c r="G18" s="1">
        <v>-880.6</v>
      </c>
      <c r="H18" s="5399">
        <v>2979514.36</v>
      </c>
      <c r="I18" s="1"/>
      <c r="J18" s="5399">
        <v>32918269.419999998</v>
      </c>
      <c r="K18" s="1">
        <v>8.7800009815340889</v>
      </c>
    </row>
    <row r="19" spans="2:11">
      <c r="B19" s="1"/>
      <c r="C19" s="1" t="s">
        <v>19</v>
      </c>
      <c r="D19" s="1">
        <v>175</v>
      </c>
      <c r="E19" s="1">
        <v>731</v>
      </c>
      <c r="F19" s="1">
        <v>-46</v>
      </c>
      <c r="G19" s="1">
        <v>-253</v>
      </c>
      <c r="H19" s="5400"/>
      <c r="I19" s="1"/>
      <c r="J19" s="5400"/>
      <c r="K19" s="1"/>
    </row>
    <row r="20" spans="2:11">
      <c r="B20" s="1"/>
      <c r="C20" s="1" t="s">
        <v>23</v>
      </c>
      <c r="D20" s="1">
        <v>90</v>
      </c>
      <c r="E20" s="1">
        <v>1046</v>
      </c>
      <c r="F20" s="1">
        <v>-77</v>
      </c>
      <c r="G20" s="1">
        <v>-458.15000000000003</v>
      </c>
      <c r="H20" s="5400"/>
      <c r="I20" s="1"/>
      <c r="J20" s="5400"/>
      <c r="K20" s="1"/>
    </row>
    <row r="21" spans="2:11">
      <c r="B21" s="1"/>
      <c r="C21" s="1" t="s">
        <v>24</v>
      </c>
      <c r="D21" s="1">
        <v>27</v>
      </c>
      <c r="E21" s="1">
        <v>1013</v>
      </c>
      <c r="F21" s="1">
        <v>-97</v>
      </c>
      <c r="G21" s="1">
        <v>-620.80000000000007</v>
      </c>
      <c r="H21" s="5400"/>
      <c r="I21" s="1"/>
      <c r="J21" s="5400"/>
      <c r="K21" s="1"/>
    </row>
    <row r="22" spans="2:11">
      <c r="B22" s="1"/>
      <c r="C22" s="1" t="s">
        <v>25</v>
      </c>
      <c r="D22" s="1">
        <v>2721</v>
      </c>
      <c r="E22" s="1">
        <v>3857</v>
      </c>
      <c r="F22" s="1">
        <v>1789421</v>
      </c>
      <c r="G22" s="1">
        <v>9322883.4100000001</v>
      </c>
      <c r="H22" s="5400"/>
      <c r="I22" s="1">
        <v>2505189.4</v>
      </c>
      <c r="J22" s="5400"/>
      <c r="K22" s="1"/>
    </row>
    <row r="23" spans="2:11">
      <c r="B23" s="1"/>
      <c r="C23" s="1" t="s">
        <v>26</v>
      </c>
      <c r="D23" s="1">
        <v>117</v>
      </c>
      <c r="E23" s="1">
        <v>2059</v>
      </c>
      <c r="F23" s="1">
        <v>1960270</v>
      </c>
      <c r="G23" s="1">
        <v>14270765.6</v>
      </c>
      <c r="H23" s="5401"/>
      <c r="I23" s="1">
        <v>3842129.1999999997</v>
      </c>
      <c r="J23" s="5401"/>
      <c r="K23" s="1"/>
    </row>
    <row r="24" spans="2:11">
      <c r="B24" s="1" t="s">
        <v>31</v>
      </c>
      <c r="C24" s="1" t="s">
        <v>28</v>
      </c>
      <c r="D24" s="1">
        <v>8</v>
      </c>
      <c r="E24" s="1">
        <v>1207</v>
      </c>
      <c r="F24" s="1">
        <v>4278049</v>
      </c>
      <c r="G24" s="1">
        <v>27892879.479999997</v>
      </c>
      <c r="H24" s="1">
        <v>5245003.33</v>
      </c>
      <c r="I24" s="1">
        <v>7486585.75</v>
      </c>
      <c r="J24" s="1">
        <v>40624468.559999995</v>
      </c>
      <c r="K24" s="1">
        <v>9.496026941252893</v>
      </c>
    </row>
    <row r="25" spans="2:11">
      <c r="B25" s="1" t="s">
        <v>32</v>
      </c>
      <c r="C25" s="1" t="s">
        <v>28</v>
      </c>
      <c r="D25" s="1">
        <v>1</v>
      </c>
      <c r="E25" s="1">
        <v>125</v>
      </c>
      <c r="F25" s="1">
        <v>3928220</v>
      </c>
      <c r="G25" s="1">
        <v>25101325.799999997</v>
      </c>
      <c r="H25" s="1">
        <v>2689778.4</v>
      </c>
      <c r="I25" s="1">
        <v>6756538.3999999994</v>
      </c>
      <c r="J25" s="1">
        <v>34547642.599999994</v>
      </c>
      <c r="K25" s="1">
        <v>8.7947321178549043</v>
      </c>
    </row>
    <row r="26" spans="2:11">
      <c r="B26" s="1" t="s">
        <v>33</v>
      </c>
      <c r="C26" s="1" t="s">
        <v>28</v>
      </c>
      <c r="D26" s="1">
        <v>774</v>
      </c>
      <c r="E26" s="1">
        <v>147</v>
      </c>
      <c r="F26" s="1">
        <v>175451</v>
      </c>
      <c r="G26" s="1">
        <v>2061577.95</v>
      </c>
      <c r="H26" s="1">
        <v>331047.59000000003</v>
      </c>
      <c r="I26" s="1">
        <v>554684.28</v>
      </c>
      <c r="J26" s="1">
        <v>2947309.8200000003</v>
      </c>
      <c r="K26" s="1">
        <v>16.798478321582667</v>
      </c>
    </row>
    <row r="27" spans="2:11">
      <c r="B27" s="1" t="s">
        <v>34</v>
      </c>
      <c r="C27" s="1" t="s">
        <v>28</v>
      </c>
      <c r="D27" s="1">
        <v>0</v>
      </c>
      <c r="E27" s="1">
        <v>0</v>
      </c>
      <c r="F27" s="1">
        <v>2310792.0099999998</v>
      </c>
      <c r="G27" s="1">
        <v>13079082.7766</v>
      </c>
      <c r="H27" s="1">
        <v>1799416.48</v>
      </c>
      <c r="I27" s="1">
        <v>3512403.8551999996</v>
      </c>
      <c r="J27" s="1">
        <v>18390903.1118</v>
      </c>
      <c r="K27" s="1">
        <v>7.9587011865252215</v>
      </c>
    </row>
    <row r="28" spans="2:11">
      <c r="B28" s="1" t="s">
        <v>35</v>
      </c>
      <c r="C28" s="1" t="s">
        <v>28</v>
      </c>
      <c r="D28" s="1">
        <v>538</v>
      </c>
      <c r="E28" s="1">
        <v>125</v>
      </c>
      <c r="F28" s="1">
        <v>319378</v>
      </c>
      <c r="G28" s="1">
        <v>1807679.48</v>
      </c>
      <c r="H28" s="1">
        <v>212235.92</v>
      </c>
      <c r="I28" s="1">
        <v>485454.56</v>
      </c>
      <c r="J28" s="1">
        <v>2505369.96</v>
      </c>
      <c r="K28" s="1">
        <v>7.844528928104002</v>
      </c>
    </row>
    <row r="29" spans="2:11">
      <c r="B29" s="1" t="s">
        <v>36</v>
      </c>
      <c r="C29" s="1" t="s">
        <v>28</v>
      </c>
      <c r="D29" s="1">
        <v>1</v>
      </c>
      <c r="E29" s="1">
        <v>3</v>
      </c>
      <c r="F29" s="1">
        <v>152109</v>
      </c>
      <c r="G29" s="1">
        <v>491312.07</v>
      </c>
      <c r="H29" s="1">
        <v>38740</v>
      </c>
      <c r="I29" s="1">
        <v>132334.82999999999</v>
      </c>
      <c r="J29" s="1">
        <v>662386.9</v>
      </c>
      <c r="K29" s="1">
        <v>4.3546857845360893</v>
      </c>
    </row>
    <row r="30" spans="2:11">
      <c r="B30" s="1" t="s">
        <v>37</v>
      </c>
      <c r="C30" s="1" t="s">
        <v>28</v>
      </c>
      <c r="D30" s="1">
        <v>114</v>
      </c>
      <c r="E30" s="1">
        <v>1459</v>
      </c>
      <c r="F30" s="1">
        <v>3074513</v>
      </c>
      <c r="G30" s="1">
        <v>28869677.07</v>
      </c>
      <c r="H30" s="1">
        <v>1924412.93</v>
      </c>
      <c r="I30" s="1">
        <v>7778517.8899999997</v>
      </c>
      <c r="J30" s="1">
        <v>38572607.890000001</v>
      </c>
      <c r="K30" s="1">
        <v>12.545924473241779</v>
      </c>
    </row>
    <row r="31" spans="2:11">
      <c r="B31" s="1" t="s">
        <v>38</v>
      </c>
      <c r="C31" s="1" t="s">
        <v>28</v>
      </c>
      <c r="D31" s="1">
        <v>8</v>
      </c>
      <c r="E31" s="1">
        <v>15</v>
      </c>
      <c r="F31" s="1">
        <v>102982</v>
      </c>
      <c r="G31" s="1">
        <v>319244.2</v>
      </c>
      <c r="H31" s="1">
        <v>3450</v>
      </c>
      <c r="I31" s="1">
        <v>85475.06</v>
      </c>
      <c r="J31" s="1">
        <v>408169.26</v>
      </c>
      <c r="K31" s="1">
        <v>3.9635010001747881</v>
      </c>
    </row>
    <row r="32" spans="2:11">
      <c r="B32" s="1" t="s">
        <v>39</v>
      </c>
      <c r="C32" s="1" t="s">
        <v>28</v>
      </c>
      <c r="D32" s="1">
        <v>1397</v>
      </c>
      <c r="E32" s="1">
        <v>567</v>
      </c>
      <c r="F32" s="1">
        <v>1259080</v>
      </c>
      <c r="G32" s="1">
        <v>8561744</v>
      </c>
      <c r="H32" s="1">
        <v>486299.99</v>
      </c>
      <c r="I32" s="1">
        <v>2304116.4</v>
      </c>
      <c r="J32" s="1">
        <v>11352160.390000001</v>
      </c>
      <c r="K32" s="1">
        <v>9.0162343854242781</v>
      </c>
    </row>
    <row r="33" spans="2:11">
      <c r="B33" s="1" t="s">
        <v>40</v>
      </c>
      <c r="C33" s="1" t="s">
        <v>28</v>
      </c>
      <c r="D33" s="1">
        <v>3</v>
      </c>
      <c r="E33" s="1">
        <v>384</v>
      </c>
      <c r="F33" s="1">
        <v>4306075</v>
      </c>
      <c r="G33" s="1">
        <v>29281310</v>
      </c>
      <c r="H33" s="1">
        <v>3765773.5</v>
      </c>
      <c r="I33" s="1">
        <v>7880117.25</v>
      </c>
      <c r="J33" s="1">
        <v>40927200.75</v>
      </c>
      <c r="K33" s="1">
        <v>9.504525757215097</v>
      </c>
    </row>
    <row r="34" spans="2:11">
      <c r="B34" s="1" t="s">
        <v>41</v>
      </c>
      <c r="C34" s="1" t="s">
        <v>28</v>
      </c>
      <c r="D34" s="1">
        <v>0</v>
      </c>
      <c r="E34" s="1">
        <v>39</v>
      </c>
      <c r="F34" s="1">
        <v>12964543</v>
      </c>
      <c r="G34" s="1">
        <v>76490803.700000003</v>
      </c>
      <c r="H34" s="1">
        <v>8344405.5</v>
      </c>
      <c r="I34" s="1">
        <v>20613623.370000001</v>
      </c>
      <c r="J34" s="1">
        <v>105448832.57000001</v>
      </c>
      <c r="K34" s="1">
        <v>8.133632829942405</v>
      </c>
    </row>
    <row r="35" spans="2:11">
      <c r="B35" s="1" t="s">
        <v>42</v>
      </c>
      <c r="C35" s="1" t="s">
        <v>28</v>
      </c>
      <c r="D35" s="1">
        <v>0</v>
      </c>
      <c r="E35" s="1">
        <v>101</v>
      </c>
      <c r="F35" s="1">
        <v>28963639</v>
      </c>
      <c r="G35" s="1">
        <v>183919107.64999998</v>
      </c>
      <c r="H35" s="1">
        <v>17700292.41</v>
      </c>
      <c r="I35" s="1">
        <v>49527822.689999998</v>
      </c>
      <c r="J35" s="1">
        <v>251147222.74999997</v>
      </c>
      <c r="K35" s="1">
        <v>8.6711211512476023</v>
      </c>
    </row>
    <row r="36" spans="2:11">
      <c r="B36" s="1" t="s">
        <v>43</v>
      </c>
      <c r="C36" s="1" t="s">
        <v>28</v>
      </c>
      <c r="D36" s="1">
        <v>0</v>
      </c>
      <c r="E36" s="1">
        <v>11</v>
      </c>
      <c r="F36" s="1">
        <v>2619196</v>
      </c>
      <c r="G36" s="1">
        <v>8905266.4000000004</v>
      </c>
      <c r="H36" s="1">
        <v>1487522.8</v>
      </c>
      <c r="I36" s="1">
        <v>2383468.36</v>
      </c>
      <c r="J36" s="1">
        <v>12776257.560000001</v>
      </c>
      <c r="K36" s="1">
        <v>4.877931075032186</v>
      </c>
    </row>
    <row r="37" spans="2:11">
      <c r="B37" s="1" t="s">
        <v>44</v>
      </c>
      <c r="C37" s="1" t="s">
        <v>28</v>
      </c>
      <c r="D37" s="1">
        <v>0</v>
      </c>
      <c r="E37" s="1">
        <v>5</v>
      </c>
      <c r="F37" s="1">
        <v>392809</v>
      </c>
      <c r="G37" s="1">
        <v>3397797.85</v>
      </c>
      <c r="H37" s="1">
        <v>1141.67</v>
      </c>
      <c r="I37" s="1">
        <v>915244.97</v>
      </c>
      <c r="J37" s="1">
        <v>4314184.49</v>
      </c>
      <c r="K37" s="1">
        <v>10.982906425260115</v>
      </c>
    </row>
    <row r="38" spans="2:11">
      <c r="B38" s="1" t="s">
        <v>45</v>
      </c>
      <c r="C38" s="1" t="s">
        <v>28</v>
      </c>
      <c r="D38" s="1">
        <v>0</v>
      </c>
      <c r="E38" s="1">
        <v>10</v>
      </c>
      <c r="F38" s="1">
        <v>3855402</v>
      </c>
      <c r="G38" s="1">
        <v>21590251.199999999</v>
      </c>
      <c r="H38" s="1">
        <v>1723545</v>
      </c>
      <c r="I38" s="1">
        <v>5821657.0200000005</v>
      </c>
      <c r="J38" s="1">
        <v>29135453.219999999</v>
      </c>
      <c r="K38" s="1">
        <v>7.5570467671075541</v>
      </c>
    </row>
    <row r="39" spans="2:11">
      <c r="B39" s="1" t="s">
        <v>46</v>
      </c>
      <c r="C39" s="1"/>
      <c r="D39" s="1"/>
      <c r="E39" s="1"/>
      <c r="F39" s="1"/>
      <c r="G39" s="1">
        <v>-10799076.699999999</v>
      </c>
      <c r="H39" s="1">
        <v>377115.33</v>
      </c>
      <c r="I39" s="1">
        <v>-458186.96</v>
      </c>
      <c r="J39" s="1">
        <v>-10880148.33</v>
      </c>
      <c r="K39" s="1"/>
    </row>
    <row r="40" spans="2:11">
      <c r="B40" s="1" t="s">
        <v>47</v>
      </c>
      <c r="C40" s="1"/>
      <c r="D40" s="1">
        <v>880548</v>
      </c>
      <c r="E40" s="1">
        <v>143743</v>
      </c>
      <c r="F40" s="1">
        <v>335734165.00999999</v>
      </c>
      <c r="G40" s="1">
        <v>1875949691.7665997</v>
      </c>
      <c r="H40" s="1">
        <v>230282243.18000007</v>
      </c>
      <c r="I40" s="1">
        <v>507598998.9752</v>
      </c>
      <c r="J40" s="1">
        <v>2613830933.9217997</v>
      </c>
      <c r="K40" s="1">
        <v>7.7854183646872688</v>
      </c>
    </row>
    <row r="41" spans="2:11">
      <c r="B41" s="1"/>
      <c r="C41" s="1"/>
      <c r="D41" s="1"/>
      <c r="E41" s="1"/>
      <c r="F41" s="1"/>
      <c r="G41" s="1"/>
      <c r="H41" s="1"/>
      <c r="I41" s="1" t="s">
        <v>48</v>
      </c>
      <c r="J41" s="1">
        <v>12479230.220000001</v>
      </c>
      <c r="K41" s="1"/>
    </row>
    <row r="42" spans="2:11">
      <c r="B42" s="1"/>
      <c r="C42" s="1"/>
      <c r="D42" s="1"/>
      <c r="E42" s="1"/>
      <c r="F42" s="1"/>
      <c r="G42" s="1"/>
      <c r="H42" s="1"/>
      <c r="I42" s="1" t="s">
        <v>49</v>
      </c>
      <c r="J42" s="1">
        <v>477365898.11000001</v>
      </c>
      <c r="K42" s="1"/>
    </row>
    <row r="43" spans="2:11">
      <c r="B43" s="1"/>
      <c r="C43" s="1"/>
      <c r="D43" s="1"/>
      <c r="E43" s="1"/>
      <c r="F43" s="1"/>
      <c r="G43" s="1"/>
      <c r="H43" s="1"/>
      <c r="I43" s="1" t="s">
        <v>50</v>
      </c>
      <c r="J43" s="1">
        <v>-196349.76</v>
      </c>
      <c r="K43" s="1"/>
    </row>
    <row r="44" spans="2:11">
      <c r="B44" s="1"/>
      <c r="C44" s="1"/>
      <c r="D44" s="1"/>
      <c r="E44" s="1"/>
      <c r="F44" s="1"/>
      <c r="G44" s="1"/>
      <c r="H44" s="1"/>
      <c r="I44" s="1" t="s">
        <v>51</v>
      </c>
      <c r="J44" s="1">
        <v>11805549.83</v>
      </c>
      <c r="K44" s="1"/>
    </row>
    <row r="45" spans="2:11">
      <c r="B45" s="1"/>
      <c r="C45" s="1"/>
      <c r="D45" s="1"/>
      <c r="E45" s="1"/>
      <c r="F45" s="1"/>
      <c r="G45" s="1"/>
      <c r="H45" s="1"/>
      <c r="I45" s="1" t="s">
        <v>52</v>
      </c>
      <c r="J45" s="1">
        <v>9546660.8300000001</v>
      </c>
      <c r="K45" s="1"/>
    </row>
    <row r="46" spans="2:11">
      <c r="B46" s="1"/>
      <c r="C46" s="1"/>
      <c r="D46" s="1"/>
      <c r="E46" s="1"/>
      <c r="F46" s="1"/>
      <c r="G46" s="1"/>
      <c r="H46" s="1"/>
      <c r="I46" s="1" t="s">
        <v>47</v>
      </c>
      <c r="J46" s="1">
        <v>3124831923.1517992</v>
      </c>
      <c r="K46" s="1"/>
    </row>
    <row r="47" spans="2:11">
      <c r="B47" s="1"/>
      <c r="C47" s="1"/>
      <c r="D47" s="1"/>
      <c r="E47" s="1"/>
      <c r="F47" s="1"/>
      <c r="G47" s="1"/>
      <c r="H47" s="1"/>
      <c r="I47" s="1" t="s">
        <v>53</v>
      </c>
      <c r="J47" s="1">
        <v>-11245022.279999999</v>
      </c>
      <c r="K47" s="1"/>
    </row>
    <row r="48" spans="2:11">
      <c r="B48" s="1"/>
      <c r="C48" s="1"/>
      <c r="D48" s="1"/>
      <c r="E48" s="1"/>
      <c r="F48" s="1"/>
      <c r="G48" s="1"/>
      <c r="H48" s="1"/>
      <c r="I48" s="1" t="s">
        <v>54</v>
      </c>
      <c r="J48" s="1">
        <v>-60833393.520000003</v>
      </c>
      <c r="K48" s="1"/>
    </row>
    <row r="49" spans="2:11">
      <c r="B49" s="1"/>
      <c r="C49" s="1"/>
      <c r="D49" s="1"/>
      <c r="E49" s="1"/>
      <c r="F49" s="1"/>
      <c r="G49" s="1"/>
      <c r="H49" s="1"/>
      <c r="I49" s="1" t="s">
        <v>55</v>
      </c>
      <c r="J49" s="1">
        <v>-319050.40999999997</v>
      </c>
      <c r="K49" s="1"/>
    </row>
    <row r="50" spans="2:11">
      <c r="B50" s="1"/>
      <c r="C50" s="1"/>
      <c r="D50" s="1"/>
      <c r="E50" s="1"/>
      <c r="F50" s="1"/>
      <c r="G50" s="1"/>
      <c r="H50" s="1"/>
      <c r="I50" s="1" t="s">
        <v>56</v>
      </c>
      <c r="J50" s="1">
        <v>0</v>
      </c>
      <c r="K50" s="1"/>
    </row>
    <row r="51" spans="2:11">
      <c r="B51" s="1"/>
      <c r="C51" s="1"/>
      <c r="D51" s="1"/>
      <c r="E51" s="1"/>
      <c r="F51" s="1"/>
      <c r="G51" s="1"/>
      <c r="H51" s="1"/>
      <c r="I51" s="1" t="s">
        <v>57</v>
      </c>
      <c r="J51" s="1">
        <v>3052434456.9417992</v>
      </c>
      <c r="K51" s="1"/>
    </row>
    <row r="52" spans="2:11">
      <c r="B52" s="1"/>
      <c r="C52" s="1"/>
      <c r="D52" s="1"/>
      <c r="E52" s="1"/>
      <c r="F52" s="1"/>
      <c r="G52" s="1"/>
      <c r="H52" s="1"/>
      <c r="I52" s="1" t="s">
        <v>58</v>
      </c>
      <c r="J52" s="1">
        <v>9.307458843393924</v>
      </c>
      <c r="K52" s="1"/>
    </row>
    <row r="53" spans="2:11">
      <c r="B53" s="1"/>
      <c r="C53" s="1"/>
      <c r="D53" s="1"/>
      <c r="E53" s="1"/>
      <c r="F53" s="1"/>
      <c r="G53" s="1"/>
      <c r="H53" s="1"/>
      <c r="I53" s="1" t="s">
        <v>59</v>
      </c>
      <c r="J53" s="1">
        <v>42773528.280000001</v>
      </c>
      <c r="K53" s="1"/>
    </row>
    <row r="54" spans="2:11">
      <c r="B54" s="1"/>
      <c r="C54" s="1"/>
      <c r="D54" s="1"/>
      <c r="E54" s="1"/>
      <c r="F54" s="1"/>
      <c r="G54" s="1"/>
      <c r="H54" s="1"/>
      <c r="I54" s="1" t="s">
        <v>60</v>
      </c>
      <c r="J54" s="1">
        <v>3167605451.4317994</v>
      </c>
      <c r="K54" s="1"/>
    </row>
    <row r="55" spans="2:11">
      <c r="B55" s="1"/>
      <c r="C55" s="1"/>
      <c r="D55" s="1"/>
      <c r="E55" s="1"/>
      <c r="F55" s="1"/>
      <c r="G55" s="1"/>
      <c r="H55" s="1"/>
      <c r="I55" s="1" t="s">
        <v>58</v>
      </c>
      <c r="J55" s="1"/>
      <c r="K55" s="1"/>
    </row>
    <row r="56" spans="2:11">
      <c r="B56" s="1"/>
      <c r="C56" s="1"/>
      <c r="D56" s="1"/>
      <c r="E56" s="1"/>
      <c r="F56" s="1"/>
      <c r="G56" s="1"/>
      <c r="H56" s="1"/>
      <c r="I56" s="1"/>
      <c r="J56" s="1">
        <v>9.4348618090072875</v>
      </c>
      <c r="K56" s="1"/>
    </row>
  </sheetData>
  <mergeCells count="7">
    <mergeCell ref="H18:H23"/>
    <mergeCell ref="J18:J23"/>
    <mergeCell ref="B2:G2"/>
    <mergeCell ref="H6:H9"/>
    <mergeCell ref="J6:J9"/>
    <mergeCell ref="H10:H15"/>
    <mergeCell ref="J10:J15"/>
  </mergeCells>
  <pageMargins left="0.7" right="0.7" top="0.75" bottom="0.75" header="0.3" footer="0.3"/>
</worksheet>
</file>

<file path=xl/worksheets/sheet110.xml><?xml version="1.0" encoding="utf-8"?>
<worksheet xmlns="http://schemas.openxmlformats.org/spreadsheetml/2006/main" xmlns:r="http://schemas.openxmlformats.org/officeDocument/2006/relationships">
  <sheetPr codeName="Sheet89">
    <pageSetUpPr fitToPage="1"/>
  </sheetPr>
  <dimension ref="A1:O109"/>
  <sheetViews>
    <sheetView showGridLines="0" view="pageBreakPreview" topLeftCell="A3" zoomScale="67" zoomScaleSheetLayoutView="67" workbookViewId="0">
      <selection activeCell="R12" sqref="R12"/>
    </sheetView>
  </sheetViews>
  <sheetFormatPr defaultRowHeight="15.75"/>
  <cols>
    <col min="1" max="1" width="4.140625" style="266" customWidth="1"/>
    <col min="2" max="2" width="45.140625" style="266" customWidth="1"/>
    <col min="3" max="3" width="11.5703125" style="266" customWidth="1"/>
    <col min="4" max="4" width="0" style="266" hidden="1" customWidth="1"/>
    <col min="5" max="5" width="11.140625" style="266" customWidth="1"/>
    <col min="6" max="6" width="6.28515625" style="266" hidden="1" customWidth="1"/>
    <col min="7" max="7" width="15.42578125" style="266" hidden="1" customWidth="1"/>
    <col min="8" max="8" width="6" style="266" hidden="1" customWidth="1"/>
    <col min="9" max="9" width="8.7109375" style="266" customWidth="1"/>
    <col min="10" max="10" width="9.140625" style="266"/>
    <col min="11" max="11" width="13.42578125" style="266" customWidth="1"/>
    <col min="12" max="12" width="9.85546875" style="266" customWidth="1"/>
    <col min="13" max="13" width="14.140625" style="266" customWidth="1"/>
    <col min="14" max="14" width="5.5703125" style="266" customWidth="1"/>
    <col min="15" max="256" width="9.140625" style="266"/>
    <col min="257" max="257" width="4.140625" style="266" customWidth="1"/>
    <col min="258" max="258" width="45.140625" style="266" customWidth="1"/>
    <col min="259" max="259" width="11.5703125" style="266" customWidth="1"/>
    <col min="260" max="260" width="0" style="266" hidden="1" customWidth="1"/>
    <col min="261" max="261" width="11.140625" style="266" customWidth="1"/>
    <col min="262" max="263" width="6.28515625" style="266" customWidth="1"/>
    <col min="264" max="264" width="6" style="266" customWidth="1"/>
    <col min="265" max="265" width="8.7109375" style="266" customWidth="1"/>
    <col min="266" max="266" width="9.140625" style="266"/>
    <col min="267" max="267" width="9" style="266" bestFit="1" customWidth="1"/>
    <col min="268" max="268" width="9.85546875" style="266" customWidth="1"/>
    <col min="269" max="269" width="10.5703125" style="266" customWidth="1"/>
    <col min="270" max="270" width="5.5703125" style="266" customWidth="1"/>
    <col min="271" max="512" width="9.140625" style="266"/>
    <col min="513" max="513" width="4.140625" style="266" customWidth="1"/>
    <col min="514" max="514" width="45.140625" style="266" customWidth="1"/>
    <col min="515" max="515" width="11.5703125" style="266" customWidth="1"/>
    <col min="516" max="516" width="0" style="266" hidden="1" customWidth="1"/>
    <col min="517" max="517" width="11.140625" style="266" customWidth="1"/>
    <col min="518" max="519" width="6.28515625" style="266" customWidth="1"/>
    <col min="520" max="520" width="6" style="266" customWidth="1"/>
    <col min="521" max="521" width="8.7109375" style="266" customWidth="1"/>
    <col min="522" max="522" width="9.140625" style="266"/>
    <col min="523" max="523" width="9" style="266" bestFit="1" customWidth="1"/>
    <col min="524" max="524" width="9.85546875" style="266" customWidth="1"/>
    <col min="525" max="525" width="10.5703125" style="266" customWidth="1"/>
    <col min="526" max="526" width="5.5703125" style="266" customWidth="1"/>
    <col min="527" max="768" width="9.140625" style="266"/>
    <col min="769" max="769" width="4.140625" style="266" customWidth="1"/>
    <col min="770" max="770" width="45.140625" style="266" customWidth="1"/>
    <col min="771" max="771" width="11.5703125" style="266" customWidth="1"/>
    <col min="772" max="772" width="0" style="266" hidden="1" customWidth="1"/>
    <col min="773" max="773" width="11.140625" style="266" customWidth="1"/>
    <col min="774" max="775" width="6.28515625" style="266" customWidth="1"/>
    <col min="776" max="776" width="6" style="266" customWidth="1"/>
    <col min="777" max="777" width="8.7109375" style="266" customWidth="1"/>
    <col min="778" max="778" width="9.140625" style="266"/>
    <col min="779" max="779" width="9" style="266" bestFit="1" customWidth="1"/>
    <col min="780" max="780" width="9.85546875" style="266" customWidth="1"/>
    <col min="781" max="781" width="10.5703125" style="266" customWidth="1"/>
    <col min="782" max="782" width="5.5703125" style="266" customWidth="1"/>
    <col min="783" max="1024" width="9.140625" style="266"/>
    <col min="1025" max="1025" width="4.140625" style="266" customWidth="1"/>
    <col min="1026" max="1026" width="45.140625" style="266" customWidth="1"/>
    <col min="1027" max="1027" width="11.5703125" style="266" customWidth="1"/>
    <col min="1028" max="1028" width="0" style="266" hidden="1" customWidth="1"/>
    <col min="1029" max="1029" width="11.140625" style="266" customWidth="1"/>
    <col min="1030" max="1031" width="6.28515625" style="266" customWidth="1"/>
    <col min="1032" max="1032" width="6" style="266" customWidth="1"/>
    <col min="1033" max="1033" width="8.7109375" style="266" customWidth="1"/>
    <col min="1034" max="1034" width="9.140625" style="266"/>
    <col min="1035" max="1035" width="9" style="266" bestFit="1" customWidth="1"/>
    <col min="1036" max="1036" width="9.85546875" style="266" customWidth="1"/>
    <col min="1037" max="1037" width="10.5703125" style="266" customWidth="1"/>
    <col min="1038" max="1038" width="5.5703125" style="266" customWidth="1"/>
    <col min="1039" max="1280" width="9.140625" style="266"/>
    <col min="1281" max="1281" width="4.140625" style="266" customWidth="1"/>
    <col min="1282" max="1282" width="45.140625" style="266" customWidth="1"/>
    <col min="1283" max="1283" width="11.5703125" style="266" customWidth="1"/>
    <col min="1284" max="1284" width="0" style="266" hidden="1" customWidth="1"/>
    <col min="1285" max="1285" width="11.140625" style="266" customWidth="1"/>
    <col min="1286" max="1287" width="6.28515625" style="266" customWidth="1"/>
    <col min="1288" max="1288" width="6" style="266" customWidth="1"/>
    <col min="1289" max="1289" width="8.7109375" style="266" customWidth="1"/>
    <col min="1290" max="1290" width="9.140625" style="266"/>
    <col min="1291" max="1291" width="9" style="266" bestFit="1" customWidth="1"/>
    <col min="1292" max="1292" width="9.85546875" style="266" customWidth="1"/>
    <col min="1293" max="1293" width="10.5703125" style="266" customWidth="1"/>
    <col min="1294" max="1294" width="5.5703125" style="266" customWidth="1"/>
    <col min="1295" max="1536" width="9.140625" style="266"/>
    <col min="1537" max="1537" width="4.140625" style="266" customWidth="1"/>
    <col min="1538" max="1538" width="45.140625" style="266" customWidth="1"/>
    <col min="1539" max="1539" width="11.5703125" style="266" customWidth="1"/>
    <col min="1540" max="1540" width="0" style="266" hidden="1" customWidth="1"/>
    <col min="1541" max="1541" width="11.140625" style="266" customWidth="1"/>
    <col min="1542" max="1543" width="6.28515625" style="266" customWidth="1"/>
    <col min="1544" max="1544" width="6" style="266" customWidth="1"/>
    <col min="1545" max="1545" width="8.7109375" style="266" customWidth="1"/>
    <col min="1546" max="1546" width="9.140625" style="266"/>
    <col min="1547" max="1547" width="9" style="266" bestFit="1" customWidth="1"/>
    <col min="1548" max="1548" width="9.85546875" style="266" customWidth="1"/>
    <col min="1549" max="1549" width="10.5703125" style="266" customWidth="1"/>
    <col min="1550" max="1550" width="5.5703125" style="266" customWidth="1"/>
    <col min="1551" max="1792" width="9.140625" style="266"/>
    <col min="1793" max="1793" width="4.140625" style="266" customWidth="1"/>
    <col min="1794" max="1794" width="45.140625" style="266" customWidth="1"/>
    <col min="1795" max="1795" width="11.5703125" style="266" customWidth="1"/>
    <col min="1796" max="1796" width="0" style="266" hidden="1" customWidth="1"/>
    <col min="1797" max="1797" width="11.140625" style="266" customWidth="1"/>
    <col min="1798" max="1799" width="6.28515625" style="266" customWidth="1"/>
    <col min="1800" max="1800" width="6" style="266" customWidth="1"/>
    <col min="1801" max="1801" width="8.7109375" style="266" customWidth="1"/>
    <col min="1802" max="1802" width="9.140625" style="266"/>
    <col min="1803" max="1803" width="9" style="266" bestFit="1" customWidth="1"/>
    <col min="1804" max="1804" width="9.85546875" style="266" customWidth="1"/>
    <col min="1805" max="1805" width="10.5703125" style="266" customWidth="1"/>
    <col min="1806" max="1806" width="5.5703125" style="266" customWidth="1"/>
    <col min="1807" max="2048" width="9.140625" style="266"/>
    <col min="2049" max="2049" width="4.140625" style="266" customWidth="1"/>
    <col min="2050" max="2050" width="45.140625" style="266" customWidth="1"/>
    <col min="2051" max="2051" width="11.5703125" style="266" customWidth="1"/>
    <col min="2052" max="2052" width="0" style="266" hidden="1" customWidth="1"/>
    <col min="2053" max="2053" width="11.140625" style="266" customWidth="1"/>
    <col min="2054" max="2055" width="6.28515625" style="266" customWidth="1"/>
    <col min="2056" max="2056" width="6" style="266" customWidth="1"/>
    <col min="2057" max="2057" width="8.7109375" style="266" customWidth="1"/>
    <col min="2058" max="2058" width="9.140625" style="266"/>
    <col min="2059" max="2059" width="9" style="266" bestFit="1" customWidth="1"/>
    <col min="2060" max="2060" width="9.85546875" style="266" customWidth="1"/>
    <col min="2061" max="2061" width="10.5703125" style="266" customWidth="1"/>
    <col min="2062" max="2062" width="5.5703125" style="266" customWidth="1"/>
    <col min="2063" max="2304" width="9.140625" style="266"/>
    <col min="2305" max="2305" width="4.140625" style="266" customWidth="1"/>
    <col min="2306" max="2306" width="45.140625" style="266" customWidth="1"/>
    <col min="2307" max="2307" width="11.5703125" style="266" customWidth="1"/>
    <col min="2308" max="2308" width="0" style="266" hidden="1" customWidth="1"/>
    <col min="2309" max="2309" width="11.140625" style="266" customWidth="1"/>
    <col min="2310" max="2311" width="6.28515625" style="266" customWidth="1"/>
    <col min="2312" max="2312" width="6" style="266" customWidth="1"/>
    <col min="2313" max="2313" width="8.7109375" style="266" customWidth="1"/>
    <col min="2314" max="2314" width="9.140625" style="266"/>
    <col min="2315" max="2315" width="9" style="266" bestFit="1" customWidth="1"/>
    <col min="2316" max="2316" width="9.85546875" style="266" customWidth="1"/>
    <col min="2317" max="2317" width="10.5703125" style="266" customWidth="1"/>
    <col min="2318" max="2318" width="5.5703125" style="266" customWidth="1"/>
    <col min="2319" max="2560" width="9.140625" style="266"/>
    <col min="2561" max="2561" width="4.140625" style="266" customWidth="1"/>
    <col min="2562" max="2562" width="45.140625" style="266" customWidth="1"/>
    <col min="2563" max="2563" width="11.5703125" style="266" customWidth="1"/>
    <col min="2564" max="2564" width="0" style="266" hidden="1" customWidth="1"/>
    <col min="2565" max="2565" width="11.140625" style="266" customWidth="1"/>
    <col min="2566" max="2567" width="6.28515625" style="266" customWidth="1"/>
    <col min="2568" max="2568" width="6" style="266" customWidth="1"/>
    <col min="2569" max="2569" width="8.7109375" style="266" customWidth="1"/>
    <col min="2570" max="2570" width="9.140625" style="266"/>
    <col min="2571" max="2571" width="9" style="266" bestFit="1" customWidth="1"/>
    <col min="2572" max="2572" width="9.85546875" style="266" customWidth="1"/>
    <col min="2573" max="2573" width="10.5703125" style="266" customWidth="1"/>
    <col min="2574" max="2574" width="5.5703125" style="266" customWidth="1"/>
    <col min="2575" max="2816" width="9.140625" style="266"/>
    <col min="2817" max="2817" width="4.140625" style="266" customWidth="1"/>
    <col min="2818" max="2818" width="45.140625" style="266" customWidth="1"/>
    <col min="2819" max="2819" width="11.5703125" style="266" customWidth="1"/>
    <col min="2820" max="2820" width="0" style="266" hidden="1" customWidth="1"/>
    <col min="2821" max="2821" width="11.140625" style="266" customWidth="1"/>
    <col min="2822" max="2823" width="6.28515625" style="266" customWidth="1"/>
    <col min="2824" max="2824" width="6" style="266" customWidth="1"/>
    <col min="2825" max="2825" width="8.7109375" style="266" customWidth="1"/>
    <col min="2826" max="2826" width="9.140625" style="266"/>
    <col min="2827" max="2827" width="9" style="266" bestFit="1" customWidth="1"/>
    <col min="2828" max="2828" width="9.85546875" style="266" customWidth="1"/>
    <col min="2829" max="2829" width="10.5703125" style="266" customWidth="1"/>
    <col min="2830" max="2830" width="5.5703125" style="266" customWidth="1"/>
    <col min="2831" max="3072" width="9.140625" style="266"/>
    <col min="3073" max="3073" width="4.140625" style="266" customWidth="1"/>
    <col min="3074" max="3074" width="45.140625" style="266" customWidth="1"/>
    <col min="3075" max="3075" width="11.5703125" style="266" customWidth="1"/>
    <col min="3076" max="3076" width="0" style="266" hidden="1" customWidth="1"/>
    <col min="3077" max="3077" width="11.140625" style="266" customWidth="1"/>
    <col min="3078" max="3079" width="6.28515625" style="266" customWidth="1"/>
    <col min="3080" max="3080" width="6" style="266" customWidth="1"/>
    <col min="3081" max="3081" width="8.7109375" style="266" customWidth="1"/>
    <col min="3082" max="3082" width="9.140625" style="266"/>
    <col min="3083" max="3083" width="9" style="266" bestFit="1" customWidth="1"/>
    <col min="3084" max="3084" width="9.85546875" style="266" customWidth="1"/>
    <col min="3085" max="3085" width="10.5703125" style="266" customWidth="1"/>
    <col min="3086" max="3086" width="5.5703125" style="266" customWidth="1"/>
    <col min="3087" max="3328" width="9.140625" style="266"/>
    <col min="3329" max="3329" width="4.140625" style="266" customWidth="1"/>
    <col min="3330" max="3330" width="45.140625" style="266" customWidth="1"/>
    <col min="3331" max="3331" width="11.5703125" style="266" customWidth="1"/>
    <col min="3332" max="3332" width="0" style="266" hidden="1" customWidth="1"/>
    <col min="3333" max="3333" width="11.140625" style="266" customWidth="1"/>
    <col min="3334" max="3335" width="6.28515625" style="266" customWidth="1"/>
    <col min="3336" max="3336" width="6" style="266" customWidth="1"/>
    <col min="3337" max="3337" width="8.7109375" style="266" customWidth="1"/>
    <col min="3338" max="3338" width="9.140625" style="266"/>
    <col min="3339" max="3339" width="9" style="266" bestFit="1" customWidth="1"/>
    <col min="3340" max="3340" width="9.85546875" style="266" customWidth="1"/>
    <col min="3341" max="3341" width="10.5703125" style="266" customWidth="1"/>
    <col min="3342" max="3342" width="5.5703125" style="266" customWidth="1"/>
    <col min="3343" max="3584" width="9.140625" style="266"/>
    <col min="3585" max="3585" width="4.140625" style="266" customWidth="1"/>
    <col min="3586" max="3586" width="45.140625" style="266" customWidth="1"/>
    <col min="3587" max="3587" width="11.5703125" style="266" customWidth="1"/>
    <col min="3588" max="3588" width="0" style="266" hidden="1" customWidth="1"/>
    <col min="3589" max="3589" width="11.140625" style="266" customWidth="1"/>
    <col min="3590" max="3591" width="6.28515625" style="266" customWidth="1"/>
    <col min="3592" max="3592" width="6" style="266" customWidth="1"/>
    <col min="3593" max="3593" width="8.7109375" style="266" customWidth="1"/>
    <col min="3594" max="3594" width="9.140625" style="266"/>
    <col min="3595" max="3595" width="9" style="266" bestFit="1" customWidth="1"/>
    <col min="3596" max="3596" width="9.85546875" style="266" customWidth="1"/>
    <col min="3597" max="3597" width="10.5703125" style="266" customWidth="1"/>
    <col min="3598" max="3598" width="5.5703125" style="266" customWidth="1"/>
    <col min="3599" max="3840" width="9.140625" style="266"/>
    <col min="3841" max="3841" width="4.140625" style="266" customWidth="1"/>
    <col min="3842" max="3842" width="45.140625" style="266" customWidth="1"/>
    <col min="3843" max="3843" width="11.5703125" style="266" customWidth="1"/>
    <col min="3844" max="3844" width="0" style="266" hidden="1" customWidth="1"/>
    <col min="3845" max="3845" width="11.140625" style="266" customWidth="1"/>
    <col min="3846" max="3847" width="6.28515625" style="266" customWidth="1"/>
    <col min="3848" max="3848" width="6" style="266" customWidth="1"/>
    <col min="3849" max="3849" width="8.7109375" style="266" customWidth="1"/>
    <col min="3850" max="3850" width="9.140625" style="266"/>
    <col min="3851" max="3851" width="9" style="266" bestFit="1" customWidth="1"/>
    <col min="3852" max="3852" width="9.85546875" style="266" customWidth="1"/>
    <col min="3853" max="3853" width="10.5703125" style="266" customWidth="1"/>
    <col min="3854" max="3854" width="5.5703125" style="266" customWidth="1"/>
    <col min="3855" max="4096" width="9.140625" style="266"/>
    <col min="4097" max="4097" width="4.140625" style="266" customWidth="1"/>
    <col min="4098" max="4098" width="45.140625" style="266" customWidth="1"/>
    <col min="4099" max="4099" width="11.5703125" style="266" customWidth="1"/>
    <col min="4100" max="4100" width="0" style="266" hidden="1" customWidth="1"/>
    <col min="4101" max="4101" width="11.140625" style="266" customWidth="1"/>
    <col min="4102" max="4103" width="6.28515625" style="266" customWidth="1"/>
    <col min="4104" max="4104" width="6" style="266" customWidth="1"/>
    <col min="4105" max="4105" width="8.7109375" style="266" customWidth="1"/>
    <col min="4106" max="4106" width="9.140625" style="266"/>
    <col min="4107" max="4107" width="9" style="266" bestFit="1" customWidth="1"/>
    <col min="4108" max="4108" width="9.85546875" style="266" customWidth="1"/>
    <col min="4109" max="4109" width="10.5703125" style="266" customWidth="1"/>
    <col min="4110" max="4110" width="5.5703125" style="266" customWidth="1"/>
    <col min="4111" max="4352" width="9.140625" style="266"/>
    <col min="4353" max="4353" width="4.140625" style="266" customWidth="1"/>
    <col min="4354" max="4354" width="45.140625" style="266" customWidth="1"/>
    <col min="4355" max="4355" width="11.5703125" style="266" customWidth="1"/>
    <col min="4356" max="4356" width="0" style="266" hidden="1" customWidth="1"/>
    <col min="4357" max="4357" width="11.140625" style="266" customWidth="1"/>
    <col min="4358" max="4359" width="6.28515625" style="266" customWidth="1"/>
    <col min="4360" max="4360" width="6" style="266" customWidth="1"/>
    <col min="4361" max="4361" width="8.7109375" style="266" customWidth="1"/>
    <col min="4362" max="4362" width="9.140625" style="266"/>
    <col min="4363" max="4363" width="9" style="266" bestFit="1" customWidth="1"/>
    <col min="4364" max="4364" width="9.85546875" style="266" customWidth="1"/>
    <col min="4365" max="4365" width="10.5703125" style="266" customWidth="1"/>
    <col min="4366" max="4366" width="5.5703125" style="266" customWidth="1"/>
    <col min="4367" max="4608" width="9.140625" style="266"/>
    <col min="4609" max="4609" width="4.140625" style="266" customWidth="1"/>
    <col min="4610" max="4610" width="45.140625" style="266" customWidth="1"/>
    <col min="4611" max="4611" width="11.5703125" style="266" customWidth="1"/>
    <col min="4612" max="4612" width="0" style="266" hidden="1" customWidth="1"/>
    <col min="4613" max="4613" width="11.140625" style="266" customWidth="1"/>
    <col min="4614" max="4615" width="6.28515625" style="266" customWidth="1"/>
    <col min="4616" max="4616" width="6" style="266" customWidth="1"/>
    <col min="4617" max="4617" width="8.7109375" style="266" customWidth="1"/>
    <col min="4618" max="4618" width="9.140625" style="266"/>
    <col min="4619" max="4619" width="9" style="266" bestFit="1" customWidth="1"/>
    <col min="4620" max="4620" width="9.85546875" style="266" customWidth="1"/>
    <col min="4621" max="4621" width="10.5703125" style="266" customWidth="1"/>
    <col min="4622" max="4622" width="5.5703125" style="266" customWidth="1"/>
    <col min="4623" max="4864" width="9.140625" style="266"/>
    <col min="4865" max="4865" width="4.140625" style="266" customWidth="1"/>
    <col min="4866" max="4866" width="45.140625" style="266" customWidth="1"/>
    <col min="4867" max="4867" width="11.5703125" style="266" customWidth="1"/>
    <col min="4868" max="4868" width="0" style="266" hidden="1" customWidth="1"/>
    <col min="4869" max="4869" width="11.140625" style="266" customWidth="1"/>
    <col min="4870" max="4871" width="6.28515625" style="266" customWidth="1"/>
    <col min="4872" max="4872" width="6" style="266" customWidth="1"/>
    <col min="4873" max="4873" width="8.7109375" style="266" customWidth="1"/>
    <col min="4874" max="4874" width="9.140625" style="266"/>
    <col min="4875" max="4875" width="9" style="266" bestFit="1" customWidth="1"/>
    <col min="4876" max="4876" width="9.85546875" style="266" customWidth="1"/>
    <col min="4877" max="4877" width="10.5703125" style="266" customWidth="1"/>
    <col min="4878" max="4878" width="5.5703125" style="266" customWidth="1"/>
    <col min="4879" max="5120" width="9.140625" style="266"/>
    <col min="5121" max="5121" width="4.140625" style="266" customWidth="1"/>
    <col min="5122" max="5122" width="45.140625" style="266" customWidth="1"/>
    <col min="5123" max="5123" width="11.5703125" style="266" customWidth="1"/>
    <col min="5124" max="5124" width="0" style="266" hidden="1" customWidth="1"/>
    <col min="5125" max="5125" width="11.140625" style="266" customWidth="1"/>
    <col min="5126" max="5127" width="6.28515625" style="266" customWidth="1"/>
    <col min="5128" max="5128" width="6" style="266" customWidth="1"/>
    <col min="5129" max="5129" width="8.7109375" style="266" customWidth="1"/>
    <col min="5130" max="5130" width="9.140625" style="266"/>
    <col min="5131" max="5131" width="9" style="266" bestFit="1" customWidth="1"/>
    <col min="5132" max="5132" width="9.85546875" style="266" customWidth="1"/>
    <col min="5133" max="5133" width="10.5703125" style="266" customWidth="1"/>
    <col min="5134" max="5134" width="5.5703125" style="266" customWidth="1"/>
    <col min="5135" max="5376" width="9.140625" style="266"/>
    <col min="5377" max="5377" width="4.140625" style="266" customWidth="1"/>
    <col min="5378" max="5378" width="45.140625" style="266" customWidth="1"/>
    <col min="5379" max="5379" width="11.5703125" style="266" customWidth="1"/>
    <col min="5380" max="5380" width="0" style="266" hidden="1" customWidth="1"/>
    <col min="5381" max="5381" width="11.140625" style="266" customWidth="1"/>
    <col min="5382" max="5383" width="6.28515625" style="266" customWidth="1"/>
    <col min="5384" max="5384" width="6" style="266" customWidth="1"/>
    <col min="5385" max="5385" width="8.7109375" style="266" customWidth="1"/>
    <col min="5386" max="5386" width="9.140625" style="266"/>
    <col min="5387" max="5387" width="9" style="266" bestFit="1" customWidth="1"/>
    <col min="5388" max="5388" width="9.85546875" style="266" customWidth="1"/>
    <col min="5389" max="5389" width="10.5703125" style="266" customWidth="1"/>
    <col min="5390" max="5390" width="5.5703125" style="266" customWidth="1"/>
    <col min="5391" max="5632" width="9.140625" style="266"/>
    <col min="5633" max="5633" width="4.140625" style="266" customWidth="1"/>
    <col min="5634" max="5634" width="45.140625" style="266" customWidth="1"/>
    <col min="5635" max="5635" width="11.5703125" style="266" customWidth="1"/>
    <col min="5636" max="5636" width="0" style="266" hidden="1" customWidth="1"/>
    <col min="5637" max="5637" width="11.140625" style="266" customWidth="1"/>
    <col min="5638" max="5639" width="6.28515625" style="266" customWidth="1"/>
    <col min="5640" max="5640" width="6" style="266" customWidth="1"/>
    <col min="5641" max="5641" width="8.7109375" style="266" customWidth="1"/>
    <col min="5642" max="5642" width="9.140625" style="266"/>
    <col min="5643" max="5643" width="9" style="266" bestFit="1" customWidth="1"/>
    <col min="5644" max="5644" width="9.85546875" style="266" customWidth="1"/>
    <col min="5645" max="5645" width="10.5703125" style="266" customWidth="1"/>
    <col min="5646" max="5646" width="5.5703125" style="266" customWidth="1"/>
    <col min="5647" max="5888" width="9.140625" style="266"/>
    <col min="5889" max="5889" width="4.140625" style="266" customWidth="1"/>
    <col min="5890" max="5890" width="45.140625" style="266" customWidth="1"/>
    <col min="5891" max="5891" width="11.5703125" style="266" customWidth="1"/>
    <col min="5892" max="5892" width="0" style="266" hidden="1" customWidth="1"/>
    <col min="5893" max="5893" width="11.140625" style="266" customWidth="1"/>
    <col min="5894" max="5895" width="6.28515625" style="266" customWidth="1"/>
    <col min="5896" max="5896" width="6" style="266" customWidth="1"/>
    <col min="5897" max="5897" width="8.7109375" style="266" customWidth="1"/>
    <col min="5898" max="5898" width="9.140625" style="266"/>
    <col min="5899" max="5899" width="9" style="266" bestFit="1" customWidth="1"/>
    <col min="5900" max="5900" width="9.85546875" style="266" customWidth="1"/>
    <col min="5901" max="5901" width="10.5703125" style="266" customWidth="1"/>
    <col min="5902" max="5902" width="5.5703125" style="266" customWidth="1"/>
    <col min="5903" max="6144" width="9.140625" style="266"/>
    <col min="6145" max="6145" width="4.140625" style="266" customWidth="1"/>
    <col min="6146" max="6146" width="45.140625" style="266" customWidth="1"/>
    <col min="6147" max="6147" width="11.5703125" style="266" customWidth="1"/>
    <col min="6148" max="6148" width="0" style="266" hidden="1" customWidth="1"/>
    <col min="6149" max="6149" width="11.140625" style="266" customWidth="1"/>
    <col min="6150" max="6151" width="6.28515625" style="266" customWidth="1"/>
    <col min="6152" max="6152" width="6" style="266" customWidth="1"/>
    <col min="6153" max="6153" width="8.7109375" style="266" customWidth="1"/>
    <col min="6154" max="6154" width="9.140625" style="266"/>
    <col min="6155" max="6155" width="9" style="266" bestFit="1" customWidth="1"/>
    <col min="6156" max="6156" width="9.85546875" style="266" customWidth="1"/>
    <col min="6157" max="6157" width="10.5703125" style="266" customWidth="1"/>
    <col min="6158" max="6158" width="5.5703125" style="266" customWidth="1"/>
    <col min="6159" max="6400" width="9.140625" style="266"/>
    <col min="6401" max="6401" width="4.140625" style="266" customWidth="1"/>
    <col min="6402" max="6402" width="45.140625" style="266" customWidth="1"/>
    <col min="6403" max="6403" width="11.5703125" style="266" customWidth="1"/>
    <col min="6404" max="6404" width="0" style="266" hidden="1" customWidth="1"/>
    <col min="6405" max="6405" width="11.140625" style="266" customWidth="1"/>
    <col min="6406" max="6407" width="6.28515625" style="266" customWidth="1"/>
    <col min="6408" max="6408" width="6" style="266" customWidth="1"/>
    <col min="6409" max="6409" width="8.7109375" style="266" customWidth="1"/>
    <col min="6410" max="6410" width="9.140625" style="266"/>
    <col min="6411" max="6411" width="9" style="266" bestFit="1" customWidth="1"/>
    <col min="6412" max="6412" width="9.85546875" style="266" customWidth="1"/>
    <col min="6413" max="6413" width="10.5703125" style="266" customWidth="1"/>
    <col min="6414" max="6414" width="5.5703125" style="266" customWidth="1"/>
    <col min="6415" max="6656" width="9.140625" style="266"/>
    <col min="6657" max="6657" width="4.140625" style="266" customWidth="1"/>
    <col min="6658" max="6658" width="45.140625" style="266" customWidth="1"/>
    <col min="6659" max="6659" width="11.5703125" style="266" customWidth="1"/>
    <col min="6660" max="6660" width="0" style="266" hidden="1" customWidth="1"/>
    <col min="6661" max="6661" width="11.140625" style="266" customWidth="1"/>
    <col min="6662" max="6663" width="6.28515625" style="266" customWidth="1"/>
    <col min="6664" max="6664" width="6" style="266" customWidth="1"/>
    <col min="6665" max="6665" width="8.7109375" style="266" customWidth="1"/>
    <col min="6666" max="6666" width="9.140625" style="266"/>
    <col min="6667" max="6667" width="9" style="266" bestFit="1" customWidth="1"/>
    <col min="6668" max="6668" width="9.85546875" style="266" customWidth="1"/>
    <col min="6669" max="6669" width="10.5703125" style="266" customWidth="1"/>
    <col min="6670" max="6670" width="5.5703125" style="266" customWidth="1"/>
    <col min="6671" max="6912" width="9.140625" style="266"/>
    <col min="6913" max="6913" width="4.140625" style="266" customWidth="1"/>
    <col min="6914" max="6914" width="45.140625" style="266" customWidth="1"/>
    <col min="6915" max="6915" width="11.5703125" style="266" customWidth="1"/>
    <col min="6916" max="6916" width="0" style="266" hidden="1" customWidth="1"/>
    <col min="6917" max="6917" width="11.140625" style="266" customWidth="1"/>
    <col min="6918" max="6919" width="6.28515625" style="266" customWidth="1"/>
    <col min="6920" max="6920" width="6" style="266" customWidth="1"/>
    <col min="6921" max="6921" width="8.7109375" style="266" customWidth="1"/>
    <col min="6922" max="6922" width="9.140625" style="266"/>
    <col min="6923" max="6923" width="9" style="266" bestFit="1" customWidth="1"/>
    <col min="6924" max="6924" width="9.85546875" style="266" customWidth="1"/>
    <col min="6925" max="6925" width="10.5703125" style="266" customWidth="1"/>
    <col min="6926" max="6926" width="5.5703125" style="266" customWidth="1"/>
    <col min="6927" max="7168" width="9.140625" style="266"/>
    <col min="7169" max="7169" width="4.140625" style="266" customWidth="1"/>
    <col min="7170" max="7170" width="45.140625" style="266" customWidth="1"/>
    <col min="7171" max="7171" width="11.5703125" style="266" customWidth="1"/>
    <col min="7172" max="7172" width="0" style="266" hidden="1" customWidth="1"/>
    <col min="7173" max="7173" width="11.140625" style="266" customWidth="1"/>
    <col min="7174" max="7175" width="6.28515625" style="266" customWidth="1"/>
    <col min="7176" max="7176" width="6" style="266" customWidth="1"/>
    <col min="7177" max="7177" width="8.7109375" style="266" customWidth="1"/>
    <col min="7178" max="7178" width="9.140625" style="266"/>
    <col min="7179" max="7179" width="9" style="266" bestFit="1" customWidth="1"/>
    <col min="7180" max="7180" width="9.85546875" style="266" customWidth="1"/>
    <col min="7181" max="7181" width="10.5703125" style="266" customWidth="1"/>
    <col min="7182" max="7182" width="5.5703125" style="266" customWidth="1"/>
    <col min="7183" max="7424" width="9.140625" style="266"/>
    <col min="7425" max="7425" width="4.140625" style="266" customWidth="1"/>
    <col min="7426" max="7426" width="45.140625" style="266" customWidth="1"/>
    <col min="7427" max="7427" width="11.5703125" style="266" customWidth="1"/>
    <col min="7428" max="7428" width="0" style="266" hidden="1" customWidth="1"/>
    <col min="7429" max="7429" width="11.140625" style="266" customWidth="1"/>
    <col min="7430" max="7431" width="6.28515625" style="266" customWidth="1"/>
    <col min="7432" max="7432" width="6" style="266" customWidth="1"/>
    <col min="7433" max="7433" width="8.7109375" style="266" customWidth="1"/>
    <col min="7434" max="7434" width="9.140625" style="266"/>
    <col min="7435" max="7435" width="9" style="266" bestFit="1" customWidth="1"/>
    <col min="7436" max="7436" width="9.85546875" style="266" customWidth="1"/>
    <col min="7437" max="7437" width="10.5703125" style="266" customWidth="1"/>
    <col min="7438" max="7438" width="5.5703125" style="266" customWidth="1"/>
    <col min="7439" max="7680" width="9.140625" style="266"/>
    <col min="7681" max="7681" width="4.140625" style="266" customWidth="1"/>
    <col min="7682" max="7682" width="45.140625" style="266" customWidth="1"/>
    <col min="7683" max="7683" width="11.5703125" style="266" customWidth="1"/>
    <col min="7684" max="7684" width="0" style="266" hidden="1" customWidth="1"/>
    <col min="7685" max="7685" width="11.140625" style="266" customWidth="1"/>
    <col min="7686" max="7687" width="6.28515625" style="266" customWidth="1"/>
    <col min="7688" max="7688" width="6" style="266" customWidth="1"/>
    <col min="7689" max="7689" width="8.7109375" style="266" customWidth="1"/>
    <col min="7690" max="7690" width="9.140625" style="266"/>
    <col min="7691" max="7691" width="9" style="266" bestFit="1" customWidth="1"/>
    <col min="7692" max="7692" width="9.85546875" style="266" customWidth="1"/>
    <col min="7693" max="7693" width="10.5703125" style="266" customWidth="1"/>
    <col min="7694" max="7694" width="5.5703125" style="266" customWidth="1"/>
    <col min="7695" max="7936" width="9.140625" style="266"/>
    <col min="7937" max="7937" width="4.140625" style="266" customWidth="1"/>
    <col min="7938" max="7938" width="45.140625" style="266" customWidth="1"/>
    <col min="7939" max="7939" width="11.5703125" style="266" customWidth="1"/>
    <col min="7940" max="7940" width="0" style="266" hidden="1" customWidth="1"/>
    <col min="7941" max="7941" width="11.140625" style="266" customWidth="1"/>
    <col min="7942" max="7943" width="6.28515625" style="266" customWidth="1"/>
    <col min="7944" max="7944" width="6" style="266" customWidth="1"/>
    <col min="7945" max="7945" width="8.7109375" style="266" customWidth="1"/>
    <col min="7946" max="7946" width="9.140625" style="266"/>
    <col min="7947" max="7947" width="9" style="266" bestFit="1" customWidth="1"/>
    <col min="7948" max="7948" width="9.85546875" style="266" customWidth="1"/>
    <col min="7949" max="7949" width="10.5703125" style="266" customWidth="1"/>
    <col min="7950" max="7950" width="5.5703125" style="266" customWidth="1"/>
    <col min="7951" max="8192" width="9.140625" style="266"/>
    <col min="8193" max="8193" width="4.140625" style="266" customWidth="1"/>
    <col min="8194" max="8194" width="45.140625" style="266" customWidth="1"/>
    <col min="8195" max="8195" width="11.5703125" style="266" customWidth="1"/>
    <col min="8196" max="8196" width="0" style="266" hidden="1" customWidth="1"/>
    <col min="8197" max="8197" width="11.140625" style="266" customWidth="1"/>
    <col min="8198" max="8199" width="6.28515625" style="266" customWidth="1"/>
    <col min="8200" max="8200" width="6" style="266" customWidth="1"/>
    <col min="8201" max="8201" width="8.7109375" style="266" customWidth="1"/>
    <col min="8202" max="8202" width="9.140625" style="266"/>
    <col min="8203" max="8203" width="9" style="266" bestFit="1" customWidth="1"/>
    <col min="8204" max="8204" width="9.85546875" style="266" customWidth="1"/>
    <col min="8205" max="8205" width="10.5703125" style="266" customWidth="1"/>
    <col min="8206" max="8206" width="5.5703125" style="266" customWidth="1"/>
    <col min="8207" max="8448" width="9.140625" style="266"/>
    <col min="8449" max="8449" width="4.140625" style="266" customWidth="1"/>
    <col min="8450" max="8450" width="45.140625" style="266" customWidth="1"/>
    <col min="8451" max="8451" width="11.5703125" style="266" customWidth="1"/>
    <col min="8452" max="8452" width="0" style="266" hidden="1" customWidth="1"/>
    <col min="8453" max="8453" width="11.140625" style="266" customWidth="1"/>
    <col min="8454" max="8455" width="6.28515625" style="266" customWidth="1"/>
    <col min="8456" max="8456" width="6" style="266" customWidth="1"/>
    <col min="8457" max="8457" width="8.7109375" style="266" customWidth="1"/>
    <col min="8458" max="8458" width="9.140625" style="266"/>
    <col min="8459" max="8459" width="9" style="266" bestFit="1" customWidth="1"/>
    <col min="8460" max="8460" width="9.85546875" style="266" customWidth="1"/>
    <col min="8461" max="8461" width="10.5703125" style="266" customWidth="1"/>
    <col min="8462" max="8462" width="5.5703125" style="266" customWidth="1"/>
    <col min="8463" max="8704" width="9.140625" style="266"/>
    <col min="8705" max="8705" width="4.140625" style="266" customWidth="1"/>
    <col min="8706" max="8706" width="45.140625" style="266" customWidth="1"/>
    <col min="8707" max="8707" width="11.5703125" style="266" customWidth="1"/>
    <col min="8708" max="8708" width="0" style="266" hidden="1" customWidth="1"/>
    <col min="8709" max="8709" width="11.140625" style="266" customWidth="1"/>
    <col min="8710" max="8711" width="6.28515625" style="266" customWidth="1"/>
    <col min="8712" max="8712" width="6" style="266" customWidth="1"/>
    <col min="8713" max="8713" width="8.7109375" style="266" customWidth="1"/>
    <col min="8714" max="8714" width="9.140625" style="266"/>
    <col min="8715" max="8715" width="9" style="266" bestFit="1" customWidth="1"/>
    <col min="8716" max="8716" width="9.85546875" style="266" customWidth="1"/>
    <col min="8717" max="8717" width="10.5703125" style="266" customWidth="1"/>
    <col min="8718" max="8718" width="5.5703125" style="266" customWidth="1"/>
    <col min="8719" max="8960" width="9.140625" style="266"/>
    <col min="8961" max="8961" width="4.140625" style="266" customWidth="1"/>
    <col min="8962" max="8962" width="45.140625" style="266" customWidth="1"/>
    <col min="8963" max="8963" width="11.5703125" style="266" customWidth="1"/>
    <col min="8964" max="8964" width="0" style="266" hidden="1" customWidth="1"/>
    <col min="8965" max="8965" width="11.140625" style="266" customWidth="1"/>
    <col min="8966" max="8967" width="6.28515625" style="266" customWidth="1"/>
    <col min="8968" max="8968" width="6" style="266" customWidth="1"/>
    <col min="8969" max="8969" width="8.7109375" style="266" customWidth="1"/>
    <col min="8970" max="8970" width="9.140625" style="266"/>
    <col min="8971" max="8971" width="9" style="266" bestFit="1" customWidth="1"/>
    <col min="8972" max="8972" width="9.85546875" style="266" customWidth="1"/>
    <col min="8973" max="8973" width="10.5703125" style="266" customWidth="1"/>
    <col min="8974" max="8974" width="5.5703125" style="266" customWidth="1"/>
    <col min="8975" max="9216" width="9.140625" style="266"/>
    <col min="9217" max="9217" width="4.140625" style="266" customWidth="1"/>
    <col min="9218" max="9218" width="45.140625" style="266" customWidth="1"/>
    <col min="9219" max="9219" width="11.5703125" style="266" customWidth="1"/>
    <col min="9220" max="9220" width="0" style="266" hidden="1" customWidth="1"/>
    <col min="9221" max="9221" width="11.140625" style="266" customWidth="1"/>
    <col min="9222" max="9223" width="6.28515625" style="266" customWidth="1"/>
    <col min="9224" max="9224" width="6" style="266" customWidth="1"/>
    <col min="9225" max="9225" width="8.7109375" style="266" customWidth="1"/>
    <col min="9226" max="9226" width="9.140625" style="266"/>
    <col min="9227" max="9227" width="9" style="266" bestFit="1" customWidth="1"/>
    <col min="9228" max="9228" width="9.85546875" style="266" customWidth="1"/>
    <col min="9229" max="9229" width="10.5703125" style="266" customWidth="1"/>
    <col min="9230" max="9230" width="5.5703125" style="266" customWidth="1"/>
    <col min="9231" max="9472" width="9.140625" style="266"/>
    <col min="9473" max="9473" width="4.140625" style="266" customWidth="1"/>
    <col min="9474" max="9474" width="45.140625" style="266" customWidth="1"/>
    <col min="9475" max="9475" width="11.5703125" style="266" customWidth="1"/>
    <col min="9476" max="9476" width="0" style="266" hidden="1" customWidth="1"/>
    <col min="9477" max="9477" width="11.140625" style="266" customWidth="1"/>
    <col min="9478" max="9479" width="6.28515625" style="266" customWidth="1"/>
    <col min="9480" max="9480" width="6" style="266" customWidth="1"/>
    <col min="9481" max="9481" width="8.7109375" style="266" customWidth="1"/>
    <col min="9482" max="9482" width="9.140625" style="266"/>
    <col min="9483" max="9483" width="9" style="266" bestFit="1" customWidth="1"/>
    <col min="9484" max="9484" width="9.85546875" style="266" customWidth="1"/>
    <col min="9485" max="9485" width="10.5703125" style="266" customWidth="1"/>
    <col min="9486" max="9486" width="5.5703125" style="266" customWidth="1"/>
    <col min="9487" max="9728" width="9.140625" style="266"/>
    <col min="9729" max="9729" width="4.140625" style="266" customWidth="1"/>
    <col min="9730" max="9730" width="45.140625" style="266" customWidth="1"/>
    <col min="9731" max="9731" width="11.5703125" style="266" customWidth="1"/>
    <col min="9732" max="9732" width="0" style="266" hidden="1" customWidth="1"/>
    <col min="9733" max="9733" width="11.140625" style="266" customWidth="1"/>
    <col min="9734" max="9735" width="6.28515625" style="266" customWidth="1"/>
    <col min="9736" max="9736" width="6" style="266" customWidth="1"/>
    <col min="9737" max="9737" width="8.7109375" style="266" customWidth="1"/>
    <col min="9738" max="9738" width="9.140625" style="266"/>
    <col min="9739" max="9739" width="9" style="266" bestFit="1" customWidth="1"/>
    <col min="9740" max="9740" width="9.85546875" style="266" customWidth="1"/>
    <col min="9741" max="9741" width="10.5703125" style="266" customWidth="1"/>
    <col min="9742" max="9742" width="5.5703125" style="266" customWidth="1"/>
    <col min="9743" max="9984" width="9.140625" style="266"/>
    <col min="9985" max="9985" width="4.140625" style="266" customWidth="1"/>
    <col min="9986" max="9986" width="45.140625" style="266" customWidth="1"/>
    <col min="9987" max="9987" width="11.5703125" style="266" customWidth="1"/>
    <col min="9988" max="9988" width="0" style="266" hidden="1" customWidth="1"/>
    <col min="9989" max="9989" width="11.140625" style="266" customWidth="1"/>
    <col min="9990" max="9991" width="6.28515625" style="266" customWidth="1"/>
    <col min="9992" max="9992" width="6" style="266" customWidth="1"/>
    <col min="9993" max="9993" width="8.7109375" style="266" customWidth="1"/>
    <col min="9994" max="9994" width="9.140625" style="266"/>
    <col min="9995" max="9995" width="9" style="266" bestFit="1" customWidth="1"/>
    <col min="9996" max="9996" width="9.85546875" style="266" customWidth="1"/>
    <col min="9997" max="9997" width="10.5703125" style="266" customWidth="1"/>
    <col min="9998" max="9998" width="5.5703125" style="266" customWidth="1"/>
    <col min="9999" max="10240" width="9.140625" style="266"/>
    <col min="10241" max="10241" width="4.140625" style="266" customWidth="1"/>
    <col min="10242" max="10242" width="45.140625" style="266" customWidth="1"/>
    <col min="10243" max="10243" width="11.5703125" style="266" customWidth="1"/>
    <col min="10244" max="10244" width="0" style="266" hidden="1" customWidth="1"/>
    <col min="10245" max="10245" width="11.140625" style="266" customWidth="1"/>
    <col min="10246" max="10247" width="6.28515625" style="266" customWidth="1"/>
    <col min="10248" max="10248" width="6" style="266" customWidth="1"/>
    <col min="10249" max="10249" width="8.7109375" style="266" customWidth="1"/>
    <col min="10250" max="10250" width="9.140625" style="266"/>
    <col min="10251" max="10251" width="9" style="266" bestFit="1" customWidth="1"/>
    <col min="10252" max="10252" width="9.85546875" style="266" customWidth="1"/>
    <col min="10253" max="10253" width="10.5703125" style="266" customWidth="1"/>
    <col min="10254" max="10254" width="5.5703125" style="266" customWidth="1"/>
    <col min="10255" max="10496" width="9.140625" style="266"/>
    <col min="10497" max="10497" width="4.140625" style="266" customWidth="1"/>
    <col min="10498" max="10498" width="45.140625" style="266" customWidth="1"/>
    <col min="10499" max="10499" width="11.5703125" style="266" customWidth="1"/>
    <col min="10500" max="10500" width="0" style="266" hidden="1" customWidth="1"/>
    <col min="10501" max="10501" width="11.140625" style="266" customWidth="1"/>
    <col min="10502" max="10503" width="6.28515625" style="266" customWidth="1"/>
    <col min="10504" max="10504" width="6" style="266" customWidth="1"/>
    <col min="10505" max="10505" width="8.7109375" style="266" customWidth="1"/>
    <col min="10506" max="10506" width="9.140625" style="266"/>
    <col min="10507" max="10507" width="9" style="266" bestFit="1" customWidth="1"/>
    <col min="10508" max="10508" width="9.85546875" style="266" customWidth="1"/>
    <col min="10509" max="10509" width="10.5703125" style="266" customWidth="1"/>
    <col min="10510" max="10510" width="5.5703125" style="266" customWidth="1"/>
    <col min="10511" max="10752" width="9.140625" style="266"/>
    <col min="10753" max="10753" width="4.140625" style="266" customWidth="1"/>
    <col min="10754" max="10754" width="45.140625" style="266" customWidth="1"/>
    <col min="10755" max="10755" width="11.5703125" style="266" customWidth="1"/>
    <col min="10756" max="10756" width="0" style="266" hidden="1" customWidth="1"/>
    <col min="10757" max="10757" width="11.140625" style="266" customWidth="1"/>
    <col min="10758" max="10759" width="6.28515625" style="266" customWidth="1"/>
    <col min="10760" max="10760" width="6" style="266" customWidth="1"/>
    <col min="10761" max="10761" width="8.7109375" style="266" customWidth="1"/>
    <col min="10762" max="10762" width="9.140625" style="266"/>
    <col min="10763" max="10763" width="9" style="266" bestFit="1" customWidth="1"/>
    <col min="10764" max="10764" width="9.85546875" style="266" customWidth="1"/>
    <col min="10765" max="10765" width="10.5703125" style="266" customWidth="1"/>
    <col min="10766" max="10766" width="5.5703125" style="266" customWidth="1"/>
    <col min="10767" max="11008" width="9.140625" style="266"/>
    <col min="11009" max="11009" width="4.140625" style="266" customWidth="1"/>
    <col min="11010" max="11010" width="45.140625" style="266" customWidth="1"/>
    <col min="11011" max="11011" width="11.5703125" style="266" customWidth="1"/>
    <col min="11012" max="11012" width="0" style="266" hidden="1" customWidth="1"/>
    <col min="11013" max="11013" width="11.140625" style="266" customWidth="1"/>
    <col min="11014" max="11015" width="6.28515625" style="266" customWidth="1"/>
    <col min="11016" max="11016" width="6" style="266" customWidth="1"/>
    <col min="11017" max="11017" width="8.7109375" style="266" customWidth="1"/>
    <col min="11018" max="11018" width="9.140625" style="266"/>
    <col min="11019" max="11019" width="9" style="266" bestFit="1" customWidth="1"/>
    <col min="11020" max="11020" width="9.85546875" style="266" customWidth="1"/>
    <col min="11021" max="11021" width="10.5703125" style="266" customWidth="1"/>
    <col min="11022" max="11022" width="5.5703125" style="266" customWidth="1"/>
    <col min="11023" max="11264" width="9.140625" style="266"/>
    <col min="11265" max="11265" width="4.140625" style="266" customWidth="1"/>
    <col min="11266" max="11266" width="45.140625" style="266" customWidth="1"/>
    <col min="11267" max="11267" width="11.5703125" style="266" customWidth="1"/>
    <col min="11268" max="11268" width="0" style="266" hidden="1" customWidth="1"/>
    <col min="11269" max="11269" width="11.140625" style="266" customWidth="1"/>
    <col min="11270" max="11271" width="6.28515625" style="266" customWidth="1"/>
    <col min="11272" max="11272" width="6" style="266" customWidth="1"/>
    <col min="11273" max="11273" width="8.7109375" style="266" customWidth="1"/>
    <col min="11274" max="11274" width="9.140625" style="266"/>
    <col min="11275" max="11275" width="9" style="266" bestFit="1" customWidth="1"/>
    <col min="11276" max="11276" width="9.85546875" style="266" customWidth="1"/>
    <col min="11277" max="11277" width="10.5703125" style="266" customWidth="1"/>
    <col min="11278" max="11278" width="5.5703125" style="266" customWidth="1"/>
    <col min="11279" max="11520" width="9.140625" style="266"/>
    <col min="11521" max="11521" width="4.140625" style="266" customWidth="1"/>
    <col min="11522" max="11522" width="45.140625" style="266" customWidth="1"/>
    <col min="11523" max="11523" width="11.5703125" style="266" customWidth="1"/>
    <col min="11524" max="11524" width="0" style="266" hidden="1" customWidth="1"/>
    <col min="11525" max="11525" width="11.140625" style="266" customWidth="1"/>
    <col min="11526" max="11527" width="6.28515625" style="266" customWidth="1"/>
    <col min="11528" max="11528" width="6" style="266" customWidth="1"/>
    <col min="11529" max="11529" width="8.7109375" style="266" customWidth="1"/>
    <col min="11530" max="11530" width="9.140625" style="266"/>
    <col min="11531" max="11531" width="9" style="266" bestFit="1" customWidth="1"/>
    <col min="11532" max="11532" width="9.85546875" style="266" customWidth="1"/>
    <col min="11533" max="11533" width="10.5703125" style="266" customWidth="1"/>
    <col min="11534" max="11534" width="5.5703125" style="266" customWidth="1"/>
    <col min="11535" max="11776" width="9.140625" style="266"/>
    <col min="11777" max="11777" width="4.140625" style="266" customWidth="1"/>
    <col min="11778" max="11778" width="45.140625" style="266" customWidth="1"/>
    <col min="11779" max="11779" width="11.5703125" style="266" customWidth="1"/>
    <col min="11780" max="11780" width="0" style="266" hidden="1" customWidth="1"/>
    <col min="11781" max="11781" width="11.140625" style="266" customWidth="1"/>
    <col min="11782" max="11783" width="6.28515625" style="266" customWidth="1"/>
    <col min="11784" max="11784" width="6" style="266" customWidth="1"/>
    <col min="11785" max="11785" width="8.7109375" style="266" customWidth="1"/>
    <col min="11786" max="11786" width="9.140625" style="266"/>
    <col min="11787" max="11787" width="9" style="266" bestFit="1" customWidth="1"/>
    <col min="11788" max="11788" width="9.85546875" style="266" customWidth="1"/>
    <col min="11789" max="11789" width="10.5703125" style="266" customWidth="1"/>
    <col min="11790" max="11790" width="5.5703125" style="266" customWidth="1"/>
    <col min="11791" max="12032" width="9.140625" style="266"/>
    <col min="12033" max="12033" width="4.140625" style="266" customWidth="1"/>
    <col min="12034" max="12034" width="45.140625" style="266" customWidth="1"/>
    <col min="12035" max="12035" width="11.5703125" style="266" customWidth="1"/>
    <col min="12036" max="12036" width="0" style="266" hidden="1" customWidth="1"/>
    <col min="12037" max="12037" width="11.140625" style="266" customWidth="1"/>
    <col min="12038" max="12039" width="6.28515625" style="266" customWidth="1"/>
    <col min="12040" max="12040" width="6" style="266" customWidth="1"/>
    <col min="12041" max="12041" width="8.7109375" style="266" customWidth="1"/>
    <col min="12042" max="12042" width="9.140625" style="266"/>
    <col min="12043" max="12043" width="9" style="266" bestFit="1" customWidth="1"/>
    <col min="12044" max="12044" width="9.85546875" style="266" customWidth="1"/>
    <col min="12045" max="12045" width="10.5703125" style="266" customWidth="1"/>
    <col min="12046" max="12046" width="5.5703125" style="266" customWidth="1"/>
    <col min="12047" max="12288" width="9.140625" style="266"/>
    <col min="12289" max="12289" width="4.140625" style="266" customWidth="1"/>
    <col min="12290" max="12290" width="45.140625" style="266" customWidth="1"/>
    <col min="12291" max="12291" width="11.5703125" style="266" customWidth="1"/>
    <col min="12292" max="12292" width="0" style="266" hidden="1" customWidth="1"/>
    <col min="12293" max="12293" width="11.140625" style="266" customWidth="1"/>
    <col min="12294" max="12295" width="6.28515625" style="266" customWidth="1"/>
    <col min="12296" max="12296" width="6" style="266" customWidth="1"/>
    <col min="12297" max="12297" width="8.7109375" style="266" customWidth="1"/>
    <col min="12298" max="12298" width="9.140625" style="266"/>
    <col min="12299" max="12299" width="9" style="266" bestFit="1" customWidth="1"/>
    <col min="12300" max="12300" width="9.85546875" style="266" customWidth="1"/>
    <col min="12301" max="12301" width="10.5703125" style="266" customWidth="1"/>
    <col min="12302" max="12302" width="5.5703125" style="266" customWidth="1"/>
    <col min="12303" max="12544" width="9.140625" style="266"/>
    <col min="12545" max="12545" width="4.140625" style="266" customWidth="1"/>
    <col min="12546" max="12546" width="45.140625" style="266" customWidth="1"/>
    <col min="12547" max="12547" width="11.5703125" style="266" customWidth="1"/>
    <col min="12548" max="12548" width="0" style="266" hidden="1" customWidth="1"/>
    <col min="12549" max="12549" width="11.140625" style="266" customWidth="1"/>
    <col min="12550" max="12551" width="6.28515625" style="266" customWidth="1"/>
    <col min="12552" max="12552" width="6" style="266" customWidth="1"/>
    <col min="12553" max="12553" width="8.7109375" style="266" customWidth="1"/>
    <col min="12554" max="12554" width="9.140625" style="266"/>
    <col min="12555" max="12555" width="9" style="266" bestFit="1" customWidth="1"/>
    <col min="12556" max="12556" width="9.85546875" style="266" customWidth="1"/>
    <col min="12557" max="12557" width="10.5703125" style="266" customWidth="1"/>
    <col min="12558" max="12558" width="5.5703125" style="266" customWidth="1"/>
    <col min="12559" max="12800" width="9.140625" style="266"/>
    <col min="12801" max="12801" width="4.140625" style="266" customWidth="1"/>
    <col min="12802" max="12802" width="45.140625" style="266" customWidth="1"/>
    <col min="12803" max="12803" width="11.5703125" style="266" customWidth="1"/>
    <col min="12804" max="12804" width="0" style="266" hidden="1" customWidth="1"/>
    <col min="12805" max="12805" width="11.140625" style="266" customWidth="1"/>
    <col min="12806" max="12807" width="6.28515625" style="266" customWidth="1"/>
    <col min="12808" max="12808" width="6" style="266" customWidth="1"/>
    <col min="12809" max="12809" width="8.7109375" style="266" customWidth="1"/>
    <col min="12810" max="12810" width="9.140625" style="266"/>
    <col min="12811" max="12811" width="9" style="266" bestFit="1" customWidth="1"/>
    <col min="12812" max="12812" width="9.85546875" style="266" customWidth="1"/>
    <col min="12813" max="12813" width="10.5703125" style="266" customWidth="1"/>
    <col min="12814" max="12814" width="5.5703125" style="266" customWidth="1"/>
    <col min="12815" max="13056" width="9.140625" style="266"/>
    <col min="13057" max="13057" width="4.140625" style="266" customWidth="1"/>
    <col min="13058" max="13058" width="45.140625" style="266" customWidth="1"/>
    <col min="13059" max="13059" width="11.5703125" style="266" customWidth="1"/>
    <col min="13060" max="13060" width="0" style="266" hidden="1" customWidth="1"/>
    <col min="13061" max="13061" width="11.140625" style="266" customWidth="1"/>
    <col min="13062" max="13063" width="6.28515625" style="266" customWidth="1"/>
    <col min="13064" max="13064" width="6" style="266" customWidth="1"/>
    <col min="13065" max="13065" width="8.7109375" style="266" customWidth="1"/>
    <col min="13066" max="13066" width="9.140625" style="266"/>
    <col min="13067" max="13067" width="9" style="266" bestFit="1" customWidth="1"/>
    <col min="13068" max="13068" width="9.85546875" style="266" customWidth="1"/>
    <col min="13069" max="13069" width="10.5703125" style="266" customWidth="1"/>
    <col min="13070" max="13070" width="5.5703125" style="266" customWidth="1"/>
    <col min="13071" max="13312" width="9.140625" style="266"/>
    <col min="13313" max="13313" width="4.140625" style="266" customWidth="1"/>
    <col min="13314" max="13314" width="45.140625" style="266" customWidth="1"/>
    <col min="13315" max="13315" width="11.5703125" style="266" customWidth="1"/>
    <col min="13316" max="13316" width="0" style="266" hidden="1" customWidth="1"/>
    <col min="13317" max="13317" width="11.140625" style="266" customWidth="1"/>
    <col min="13318" max="13319" width="6.28515625" style="266" customWidth="1"/>
    <col min="13320" max="13320" width="6" style="266" customWidth="1"/>
    <col min="13321" max="13321" width="8.7109375" style="266" customWidth="1"/>
    <col min="13322" max="13322" width="9.140625" style="266"/>
    <col min="13323" max="13323" width="9" style="266" bestFit="1" customWidth="1"/>
    <col min="13324" max="13324" width="9.85546875" style="266" customWidth="1"/>
    <col min="13325" max="13325" width="10.5703125" style="266" customWidth="1"/>
    <col min="13326" max="13326" width="5.5703125" style="266" customWidth="1"/>
    <col min="13327" max="13568" width="9.140625" style="266"/>
    <col min="13569" max="13569" width="4.140625" style="266" customWidth="1"/>
    <col min="13570" max="13570" width="45.140625" style="266" customWidth="1"/>
    <col min="13571" max="13571" width="11.5703125" style="266" customWidth="1"/>
    <col min="13572" max="13572" width="0" style="266" hidden="1" customWidth="1"/>
    <col min="13573" max="13573" width="11.140625" style="266" customWidth="1"/>
    <col min="13574" max="13575" width="6.28515625" style="266" customWidth="1"/>
    <col min="13576" max="13576" width="6" style="266" customWidth="1"/>
    <col min="13577" max="13577" width="8.7109375" style="266" customWidth="1"/>
    <col min="13578" max="13578" width="9.140625" style="266"/>
    <col min="13579" max="13579" width="9" style="266" bestFit="1" customWidth="1"/>
    <col min="13580" max="13580" width="9.85546875" style="266" customWidth="1"/>
    <col min="13581" max="13581" width="10.5703125" style="266" customWidth="1"/>
    <col min="13582" max="13582" width="5.5703125" style="266" customWidth="1"/>
    <col min="13583" max="13824" width="9.140625" style="266"/>
    <col min="13825" max="13825" width="4.140625" style="266" customWidth="1"/>
    <col min="13826" max="13826" width="45.140625" style="266" customWidth="1"/>
    <col min="13827" max="13827" width="11.5703125" style="266" customWidth="1"/>
    <col min="13828" max="13828" width="0" style="266" hidden="1" customWidth="1"/>
    <col min="13829" max="13829" width="11.140625" style="266" customWidth="1"/>
    <col min="13830" max="13831" width="6.28515625" style="266" customWidth="1"/>
    <col min="13832" max="13832" width="6" style="266" customWidth="1"/>
    <col min="13833" max="13833" width="8.7109375" style="266" customWidth="1"/>
    <col min="13834" max="13834" width="9.140625" style="266"/>
    <col min="13835" max="13835" width="9" style="266" bestFit="1" customWidth="1"/>
    <col min="13836" max="13836" width="9.85546875" style="266" customWidth="1"/>
    <col min="13837" max="13837" width="10.5703125" style="266" customWidth="1"/>
    <col min="13838" max="13838" width="5.5703125" style="266" customWidth="1"/>
    <col min="13839" max="14080" width="9.140625" style="266"/>
    <col min="14081" max="14081" width="4.140625" style="266" customWidth="1"/>
    <col min="14082" max="14082" width="45.140625" style="266" customWidth="1"/>
    <col min="14083" max="14083" width="11.5703125" style="266" customWidth="1"/>
    <col min="14084" max="14084" width="0" style="266" hidden="1" customWidth="1"/>
    <col min="14085" max="14085" width="11.140625" style="266" customWidth="1"/>
    <col min="14086" max="14087" width="6.28515625" style="266" customWidth="1"/>
    <col min="14088" max="14088" width="6" style="266" customWidth="1"/>
    <col min="14089" max="14089" width="8.7109375" style="266" customWidth="1"/>
    <col min="14090" max="14090" width="9.140625" style="266"/>
    <col min="14091" max="14091" width="9" style="266" bestFit="1" customWidth="1"/>
    <col min="14092" max="14092" width="9.85546875" style="266" customWidth="1"/>
    <col min="14093" max="14093" width="10.5703125" style="266" customWidth="1"/>
    <col min="14094" max="14094" width="5.5703125" style="266" customWidth="1"/>
    <col min="14095" max="14336" width="9.140625" style="266"/>
    <col min="14337" max="14337" width="4.140625" style="266" customWidth="1"/>
    <col min="14338" max="14338" width="45.140625" style="266" customWidth="1"/>
    <col min="14339" max="14339" width="11.5703125" style="266" customWidth="1"/>
    <col min="14340" max="14340" width="0" style="266" hidden="1" customWidth="1"/>
    <col min="14341" max="14341" width="11.140625" style="266" customWidth="1"/>
    <col min="14342" max="14343" width="6.28515625" style="266" customWidth="1"/>
    <col min="14344" max="14344" width="6" style="266" customWidth="1"/>
    <col min="14345" max="14345" width="8.7109375" style="266" customWidth="1"/>
    <col min="14346" max="14346" width="9.140625" style="266"/>
    <col min="14347" max="14347" width="9" style="266" bestFit="1" customWidth="1"/>
    <col min="14348" max="14348" width="9.85546875" style="266" customWidth="1"/>
    <col min="14349" max="14349" width="10.5703125" style="266" customWidth="1"/>
    <col min="14350" max="14350" width="5.5703125" style="266" customWidth="1"/>
    <col min="14351" max="14592" width="9.140625" style="266"/>
    <col min="14593" max="14593" width="4.140625" style="266" customWidth="1"/>
    <col min="14594" max="14594" width="45.140625" style="266" customWidth="1"/>
    <col min="14595" max="14595" width="11.5703125" style="266" customWidth="1"/>
    <col min="14596" max="14596" width="0" style="266" hidden="1" customWidth="1"/>
    <col min="14597" max="14597" width="11.140625" style="266" customWidth="1"/>
    <col min="14598" max="14599" width="6.28515625" style="266" customWidth="1"/>
    <col min="14600" max="14600" width="6" style="266" customWidth="1"/>
    <col min="14601" max="14601" width="8.7109375" style="266" customWidth="1"/>
    <col min="14602" max="14602" width="9.140625" style="266"/>
    <col min="14603" max="14603" width="9" style="266" bestFit="1" customWidth="1"/>
    <col min="14604" max="14604" width="9.85546875" style="266" customWidth="1"/>
    <col min="14605" max="14605" width="10.5703125" style="266" customWidth="1"/>
    <col min="14606" max="14606" width="5.5703125" style="266" customWidth="1"/>
    <col min="14607" max="14848" width="9.140625" style="266"/>
    <col min="14849" max="14849" width="4.140625" style="266" customWidth="1"/>
    <col min="14850" max="14850" width="45.140625" style="266" customWidth="1"/>
    <col min="14851" max="14851" width="11.5703125" style="266" customWidth="1"/>
    <col min="14852" max="14852" width="0" style="266" hidden="1" customWidth="1"/>
    <col min="14853" max="14853" width="11.140625" style="266" customWidth="1"/>
    <col min="14854" max="14855" width="6.28515625" style="266" customWidth="1"/>
    <col min="14856" max="14856" width="6" style="266" customWidth="1"/>
    <col min="14857" max="14857" width="8.7109375" style="266" customWidth="1"/>
    <col min="14858" max="14858" width="9.140625" style="266"/>
    <col min="14859" max="14859" width="9" style="266" bestFit="1" customWidth="1"/>
    <col min="14860" max="14860" width="9.85546875" style="266" customWidth="1"/>
    <col min="14861" max="14861" width="10.5703125" style="266" customWidth="1"/>
    <col min="14862" max="14862" width="5.5703125" style="266" customWidth="1"/>
    <col min="14863" max="15104" width="9.140625" style="266"/>
    <col min="15105" max="15105" width="4.140625" style="266" customWidth="1"/>
    <col min="15106" max="15106" width="45.140625" style="266" customWidth="1"/>
    <col min="15107" max="15107" width="11.5703125" style="266" customWidth="1"/>
    <col min="15108" max="15108" width="0" style="266" hidden="1" customWidth="1"/>
    <col min="15109" max="15109" width="11.140625" style="266" customWidth="1"/>
    <col min="15110" max="15111" width="6.28515625" style="266" customWidth="1"/>
    <col min="15112" max="15112" width="6" style="266" customWidth="1"/>
    <col min="15113" max="15113" width="8.7109375" style="266" customWidth="1"/>
    <col min="15114" max="15114" width="9.140625" style="266"/>
    <col min="15115" max="15115" width="9" style="266" bestFit="1" customWidth="1"/>
    <col min="15116" max="15116" width="9.85546875" style="266" customWidth="1"/>
    <col min="15117" max="15117" width="10.5703125" style="266" customWidth="1"/>
    <col min="15118" max="15118" width="5.5703125" style="266" customWidth="1"/>
    <col min="15119" max="15360" width="9.140625" style="266"/>
    <col min="15361" max="15361" width="4.140625" style="266" customWidth="1"/>
    <col min="15362" max="15362" width="45.140625" style="266" customWidth="1"/>
    <col min="15363" max="15363" width="11.5703125" style="266" customWidth="1"/>
    <col min="15364" max="15364" width="0" style="266" hidden="1" customWidth="1"/>
    <col min="15365" max="15365" width="11.140625" style="266" customWidth="1"/>
    <col min="15366" max="15367" width="6.28515625" style="266" customWidth="1"/>
    <col min="15368" max="15368" width="6" style="266" customWidth="1"/>
    <col min="15369" max="15369" width="8.7109375" style="266" customWidth="1"/>
    <col min="15370" max="15370" width="9.140625" style="266"/>
    <col min="15371" max="15371" width="9" style="266" bestFit="1" customWidth="1"/>
    <col min="15372" max="15372" width="9.85546875" style="266" customWidth="1"/>
    <col min="15373" max="15373" width="10.5703125" style="266" customWidth="1"/>
    <col min="15374" max="15374" width="5.5703125" style="266" customWidth="1"/>
    <col min="15375" max="15616" width="9.140625" style="266"/>
    <col min="15617" max="15617" width="4.140625" style="266" customWidth="1"/>
    <col min="15618" max="15618" width="45.140625" style="266" customWidth="1"/>
    <col min="15619" max="15619" width="11.5703125" style="266" customWidth="1"/>
    <col min="15620" max="15620" width="0" style="266" hidden="1" customWidth="1"/>
    <col min="15621" max="15621" width="11.140625" style="266" customWidth="1"/>
    <col min="15622" max="15623" width="6.28515625" style="266" customWidth="1"/>
    <col min="15624" max="15624" width="6" style="266" customWidth="1"/>
    <col min="15625" max="15625" width="8.7109375" style="266" customWidth="1"/>
    <col min="15626" max="15626" width="9.140625" style="266"/>
    <col min="15627" max="15627" width="9" style="266" bestFit="1" customWidth="1"/>
    <col min="15628" max="15628" width="9.85546875" style="266" customWidth="1"/>
    <col min="15629" max="15629" width="10.5703125" style="266" customWidth="1"/>
    <col min="15630" max="15630" width="5.5703125" style="266" customWidth="1"/>
    <col min="15631" max="15872" width="9.140625" style="266"/>
    <col min="15873" max="15873" width="4.140625" style="266" customWidth="1"/>
    <col min="15874" max="15874" width="45.140625" style="266" customWidth="1"/>
    <col min="15875" max="15875" width="11.5703125" style="266" customWidth="1"/>
    <col min="15876" max="15876" width="0" style="266" hidden="1" customWidth="1"/>
    <col min="15877" max="15877" width="11.140625" style="266" customWidth="1"/>
    <col min="15878" max="15879" width="6.28515625" style="266" customWidth="1"/>
    <col min="15880" max="15880" width="6" style="266" customWidth="1"/>
    <col min="15881" max="15881" width="8.7109375" style="266" customWidth="1"/>
    <col min="15882" max="15882" width="9.140625" style="266"/>
    <col min="15883" max="15883" width="9" style="266" bestFit="1" customWidth="1"/>
    <col min="15884" max="15884" width="9.85546875" style="266" customWidth="1"/>
    <col min="15885" max="15885" width="10.5703125" style="266" customWidth="1"/>
    <col min="15886" max="15886" width="5.5703125" style="266" customWidth="1"/>
    <col min="15887" max="16128" width="9.140625" style="266"/>
    <col min="16129" max="16129" width="4.140625" style="266" customWidth="1"/>
    <col min="16130" max="16130" width="45.140625" style="266" customWidth="1"/>
    <col min="16131" max="16131" width="11.5703125" style="266" customWidth="1"/>
    <col min="16132" max="16132" width="0" style="266" hidden="1" customWidth="1"/>
    <col min="16133" max="16133" width="11.140625" style="266" customWidth="1"/>
    <col min="16134" max="16135" width="6.28515625" style="266" customWidth="1"/>
    <col min="16136" max="16136" width="6" style="266" customWidth="1"/>
    <col min="16137" max="16137" width="8.7109375" style="266" customWidth="1"/>
    <col min="16138" max="16138" width="9.140625" style="266"/>
    <col min="16139" max="16139" width="9" style="266" bestFit="1" customWidth="1"/>
    <col min="16140" max="16140" width="9.85546875" style="266" customWidth="1"/>
    <col min="16141" max="16141" width="10.5703125" style="266" customWidth="1"/>
    <col min="16142" max="16142" width="5.5703125" style="266" customWidth="1"/>
    <col min="16143" max="16384" width="9.140625" style="266"/>
  </cols>
  <sheetData>
    <row r="1" spans="1:13" hidden="1"/>
    <row r="2" spans="1:13" hidden="1">
      <c r="M2" s="267"/>
    </row>
    <row r="3" spans="1:13">
      <c r="B3" s="265" t="s">
        <v>653</v>
      </c>
    </row>
    <row r="4" spans="1:13">
      <c r="B4" s="265"/>
      <c r="G4" s="777" t="s">
        <v>151</v>
      </c>
    </row>
    <row r="5" spans="1:13" ht="16.5" thickBot="1">
      <c r="A5" s="88"/>
      <c r="B5" s="89"/>
      <c r="C5" s="89" t="s">
        <v>94</v>
      </c>
      <c r="D5" s="89"/>
      <c r="E5" s="89" t="s">
        <v>654</v>
      </c>
      <c r="F5" s="327"/>
      <c r="G5" s="307"/>
      <c r="H5" s="327"/>
      <c r="I5" s="327"/>
      <c r="J5" s="375"/>
      <c r="K5" s="376"/>
      <c r="L5" s="376"/>
      <c r="M5" s="377"/>
    </row>
    <row r="6" spans="1:13">
      <c r="A6" s="365" t="s">
        <v>450</v>
      </c>
      <c r="B6" s="365" t="s">
        <v>81</v>
      </c>
      <c r="C6" s="366" t="s">
        <v>655</v>
      </c>
      <c r="D6" s="365" t="s">
        <v>656</v>
      </c>
      <c r="E6" s="378" t="s">
        <v>314</v>
      </c>
      <c r="F6" s="367" t="s">
        <v>341</v>
      </c>
      <c r="G6" s="379" t="s">
        <v>657</v>
      </c>
      <c r="H6" s="368" t="s">
        <v>492</v>
      </c>
      <c r="I6" s="379" t="s">
        <v>658</v>
      </c>
      <c r="J6" s="308" t="s">
        <v>658</v>
      </c>
      <c r="K6" s="308" t="s">
        <v>658</v>
      </c>
      <c r="L6" s="308" t="s">
        <v>658</v>
      </c>
      <c r="M6" s="380"/>
    </row>
    <row r="7" spans="1:13">
      <c r="A7" s="369" t="s">
        <v>452</v>
      </c>
      <c r="B7" s="369"/>
      <c r="C7" s="370" t="s">
        <v>452</v>
      </c>
      <c r="D7" s="371" t="s">
        <v>659</v>
      </c>
      <c r="E7" s="372" t="s">
        <v>380</v>
      </c>
      <c r="F7" s="308"/>
      <c r="G7" s="308"/>
      <c r="H7" s="316" t="s">
        <v>263</v>
      </c>
      <c r="I7" s="308" t="s">
        <v>660</v>
      </c>
      <c r="J7" s="308" t="s">
        <v>660</v>
      </c>
      <c r="K7" s="308" t="s">
        <v>660</v>
      </c>
      <c r="L7" s="308" t="s">
        <v>660</v>
      </c>
      <c r="M7" s="381" t="s">
        <v>260</v>
      </c>
    </row>
    <row r="8" spans="1:13">
      <c r="A8" s="373"/>
      <c r="B8" s="374"/>
      <c r="C8" s="374"/>
      <c r="D8" s="374"/>
      <c r="E8" s="373"/>
      <c r="F8" s="319"/>
      <c r="G8" s="319"/>
      <c r="H8" s="314"/>
      <c r="I8" s="319" t="s">
        <v>661</v>
      </c>
      <c r="J8" s="319" t="s">
        <v>662</v>
      </c>
      <c r="K8" s="319" t="s">
        <v>663</v>
      </c>
      <c r="L8" s="319" t="s">
        <v>267</v>
      </c>
      <c r="M8" s="319"/>
    </row>
    <row r="9" spans="1:13" ht="31.5">
      <c r="A9" s="93">
        <v>1</v>
      </c>
      <c r="B9" s="94" t="s">
        <v>664</v>
      </c>
      <c r="C9" s="95">
        <v>8</v>
      </c>
      <c r="D9" s="96">
        <v>2323.67</v>
      </c>
      <c r="E9" s="103">
        <v>2189.2199999999998</v>
      </c>
      <c r="F9" s="42" t="s">
        <v>94</v>
      </c>
      <c r="G9" s="42" t="s">
        <v>94</v>
      </c>
      <c r="H9" s="324" t="s">
        <v>94</v>
      </c>
      <c r="I9" s="382">
        <f>[43]Sheet9A!O47</f>
        <v>689.15000000000009</v>
      </c>
      <c r="J9" s="382">
        <f>[43]Sheet9A!P47</f>
        <v>698.28</v>
      </c>
      <c r="K9" s="382">
        <f>[43]Sheet9A!Q47</f>
        <v>646.39</v>
      </c>
      <c r="L9" s="382">
        <f>[43]Sheet9A!R47</f>
        <v>592.66000000000008</v>
      </c>
      <c r="M9" s="44">
        <f>I9+J9+K9+L9</f>
        <v>2626.4800000000005</v>
      </c>
    </row>
    <row r="10" spans="1:13">
      <c r="A10" s="92">
        <v>2</v>
      </c>
      <c r="B10" s="97" t="s">
        <v>199</v>
      </c>
      <c r="C10" s="98" t="s">
        <v>665</v>
      </c>
      <c r="D10" s="1097">
        <v>242.72</v>
      </c>
      <c r="E10" s="101">
        <f>E11+E12+E13</f>
        <v>341.68000000000006</v>
      </c>
      <c r="F10" s="42"/>
      <c r="G10" s="42"/>
      <c r="H10" s="326"/>
      <c r="I10" s="44">
        <f>I11+I12+I13</f>
        <v>65.790000000000006</v>
      </c>
      <c r="J10" s="44">
        <f>J11+J12+J13</f>
        <v>103.89</v>
      </c>
      <c r="K10" s="44">
        <f>K11+K12+K13</f>
        <v>113.46000000000001</v>
      </c>
      <c r="L10" s="44">
        <f>L11+L12+L13</f>
        <v>107.61</v>
      </c>
      <c r="M10" s="44">
        <f t="shared" ref="M10:M43" si="0">I10+J10+K10+L10</f>
        <v>390.75</v>
      </c>
    </row>
    <row r="11" spans="1:13">
      <c r="A11" s="92">
        <f>+A10+0.1</f>
        <v>2.1</v>
      </c>
      <c r="B11" s="97" t="s">
        <v>179</v>
      </c>
      <c r="C11" s="98" t="s">
        <v>94</v>
      </c>
      <c r="D11" s="1097">
        <v>142.94</v>
      </c>
      <c r="E11" s="101">
        <v>220.75</v>
      </c>
      <c r="F11" s="321"/>
      <c r="G11" s="321"/>
      <c r="H11" s="323"/>
      <c r="I11" s="331">
        <v>43.36</v>
      </c>
      <c r="J11" s="331">
        <v>71.13</v>
      </c>
      <c r="K11" s="331">
        <v>86.51</v>
      </c>
      <c r="L11" s="331">
        <f>[43]Sheet10!J115</f>
        <v>51.629999999999995</v>
      </c>
      <c r="M11" s="44">
        <f t="shared" si="0"/>
        <v>252.63</v>
      </c>
    </row>
    <row r="12" spans="1:13">
      <c r="A12" s="92">
        <f>+A11+0.1</f>
        <v>2.2000000000000002</v>
      </c>
      <c r="B12" s="97" t="s">
        <v>181</v>
      </c>
      <c r="C12" s="98" t="s">
        <v>94</v>
      </c>
      <c r="D12" s="1097">
        <v>72.510000000000005</v>
      </c>
      <c r="E12" s="101">
        <v>85.09</v>
      </c>
      <c r="F12" s="42"/>
      <c r="G12" s="42"/>
      <c r="H12" s="326"/>
      <c r="I12" s="44">
        <v>14.82</v>
      </c>
      <c r="J12" s="44">
        <v>20.86</v>
      </c>
      <c r="K12" s="44">
        <v>17.53</v>
      </c>
      <c r="L12" s="44">
        <f>[43]Sheet10!J45</f>
        <v>42.210000000000008</v>
      </c>
      <c r="M12" s="44">
        <f t="shared" si="0"/>
        <v>95.420000000000016</v>
      </c>
    </row>
    <row r="13" spans="1:13">
      <c r="A13" s="92">
        <f>+A12+0.1</f>
        <v>2.3000000000000003</v>
      </c>
      <c r="B13" s="97" t="s">
        <v>183</v>
      </c>
      <c r="C13" s="98" t="s">
        <v>94</v>
      </c>
      <c r="D13" s="1097">
        <v>27.28</v>
      </c>
      <c r="E13" s="101">
        <v>35.840000000000003</v>
      </c>
      <c r="F13" s="321"/>
      <c r="G13" s="321"/>
      <c r="H13" s="323"/>
      <c r="I13" s="331">
        <v>7.61</v>
      </c>
      <c r="J13" s="331">
        <v>11.9</v>
      </c>
      <c r="K13" s="331">
        <v>9.42</v>
      </c>
      <c r="L13" s="331">
        <f>[43]Sheet10!J73</f>
        <v>13.77</v>
      </c>
      <c r="M13" s="44">
        <f t="shared" si="0"/>
        <v>42.7</v>
      </c>
    </row>
    <row r="14" spans="1:13" ht="31.5">
      <c r="A14" s="92">
        <v>3</v>
      </c>
      <c r="B14" s="97" t="s">
        <v>200</v>
      </c>
      <c r="C14" s="98" t="s">
        <v>94</v>
      </c>
      <c r="D14" s="1097">
        <v>42.78</v>
      </c>
      <c r="E14" s="101">
        <v>60.46</v>
      </c>
      <c r="F14" s="42"/>
      <c r="G14" s="42"/>
      <c r="H14" s="326"/>
      <c r="I14" s="42">
        <v>0</v>
      </c>
      <c r="J14" s="42">
        <v>0</v>
      </c>
      <c r="K14" s="42">
        <v>94.73</v>
      </c>
      <c r="L14" s="42">
        <v>-3.57</v>
      </c>
      <c r="M14" s="44">
        <f t="shared" si="0"/>
        <v>91.160000000000011</v>
      </c>
    </row>
    <row r="15" spans="1:13" ht="31.5">
      <c r="A15" s="92">
        <v>4</v>
      </c>
      <c r="B15" s="97" t="s">
        <v>201</v>
      </c>
      <c r="C15" s="98">
        <v>10</v>
      </c>
      <c r="D15" s="1097">
        <v>14.83</v>
      </c>
      <c r="E15" s="101">
        <v>11.01</v>
      </c>
      <c r="F15" s="321"/>
      <c r="G15" s="321"/>
      <c r="H15" s="323"/>
      <c r="I15" s="331">
        <v>1.38</v>
      </c>
      <c r="J15" s="331">
        <v>0.93</v>
      </c>
      <c r="K15" s="331">
        <v>0.46</v>
      </c>
      <c r="L15" s="331">
        <v>5.66</v>
      </c>
      <c r="M15" s="44">
        <f t="shared" si="0"/>
        <v>8.43</v>
      </c>
    </row>
    <row r="16" spans="1:13">
      <c r="A16" s="92">
        <v>5</v>
      </c>
      <c r="B16" s="97" t="s">
        <v>666</v>
      </c>
      <c r="C16" s="98" t="s">
        <v>94</v>
      </c>
      <c r="D16" s="1097">
        <v>3.94</v>
      </c>
      <c r="E16" s="101">
        <v>0</v>
      </c>
      <c r="F16" s="42"/>
      <c r="G16" s="42"/>
      <c r="H16" s="326"/>
      <c r="I16" s="42">
        <v>0</v>
      </c>
      <c r="J16" s="42">
        <v>0</v>
      </c>
      <c r="K16" s="42">
        <v>0</v>
      </c>
      <c r="L16" s="42">
        <v>0</v>
      </c>
      <c r="M16" s="44">
        <f t="shared" si="0"/>
        <v>0</v>
      </c>
    </row>
    <row r="17" spans="1:13">
      <c r="A17" s="92">
        <v>5.0999999999999996</v>
      </c>
      <c r="B17" s="97" t="s">
        <v>667</v>
      </c>
      <c r="C17" s="98">
        <v>11</v>
      </c>
      <c r="D17" s="1097">
        <v>0</v>
      </c>
      <c r="E17" s="101">
        <v>22.55</v>
      </c>
      <c r="F17" s="321"/>
      <c r="G17" s="321"/>
      <c r="H17" s="323"/>
      <c r="I17" s="321">
        <v>8.42</v>
      </c>
      <c r="J17" s="321">
        <v>9.27</v>
      </c>
      <c r="K17" s="331">
        <v>3.67</v>
      </c>
      <c r="L17" s="331">
        <v>2.79</v>
      </c>
      <c r="M17" s="44">
        <f t="shared" si="0"/>
        <v>24.15</v>
      </c>
    </row>
    <row r="18" spans="1:13">
      <c r="A18" s="92">
        <v>5.2</v>
      </c>
      <c r="B18" s="97" t="s">
        <v>204</v>
      </c>
      <c r="C18" s="98"/>
      <c r="D18" s="1097">
        <v>14.13</v>
      </c>
      <c r="E18" s="101">
        <v>14.29</v>
      </c>
      <c r="F18" s="42"/>
      <c r="G18" s="42"/>
      <c r="H18" s="326"/>
      <c r="I18" s="42">
        <v>0</v>
      </c>
      <c r="J18" s="42">
        <v>0</v>
      </c>
      <c r="K18" s="42">
        <v>0</v>
      </c>
      <c r="L18" s="42">
        <v>23.18</v>
      </c>
      <c r="M18" s="44">
        <f t="shared" si="0"/>
        <v>23.18</v>
      </c>
    </row>
    <row r="19" spans="1:13">
      <c r="A19" s="92">
        <v>6</v>
      </c>
      <c r="B19" s="97" t="s">
        <v>205</v>
      </c>
      <c r="C19" s="98" t="s">
        <v>94</v>
      </c>
      <c r="D19" s="1097">
        <v>0.04</v>
      </c>
      <c r="E19" s="101">
        <v>0</v>
      </c>
      <c r="F19" s="321"/>
      <c r="G19" s="321"/>
      <c r="H19" s="323"/>
      <c r="I19" s="321">
        <v>0</v>
      </c>
      <c r="J19" s="321">
        <v>0</v>
      </c>
      <c r="K19" s="321">
        <v>0</v>
      </c>
      <c r="L19" s="321">
        <v>5.69</v>
      </c>
      <c r="M19" s="44">
        <f t="shared" si="0"/>
        <v>5.69</v>
      </c>
    </row>
    <row r="20" spans="1:13">
      <c r="A20" s="92">
        <v>7</v>
      </c>
      <c r="B20" s="97" t="s">
        <v>668</v>
      </c>
      <c r="C20" s="98" t="s">
        <v>94</v>
      </c>
      <c r="D20" s="1097">
        <v>0</v>
      </c>
      <c r="E20" s="101">
        <v>54.5</v>
      </c>
      <c r="F20" s="42"/>
      <c r="G20" s="42"/>
      <c r="H20" s="326"/>
      <c r="I20" s="42">
        <v>16.16</v>
      </c>
      <c r="J20" s="44">
        <v>21.4</v>
      </c>
      <c r="K20" s="42">
        <v>21.85</v>
      </c>
      <c r="L20" s="42">
        <v>18.97</v>
      </c>
      <c r="M20" s="44">
        <f t="shared" si="0"/>
        <v>78.38</v>
      </c>
    </row>
    <row r="21" spans="1:13">
      <c r="A21" s="92">
        <v>8</v>
      </c>
      <c r="B21" s="97" t="s">
        <v>207</v>
      </c>
      <c r="C21" s="98">
        <v>12</v>
      </c>
      <c r="D21" s="1097">
        <v>0</v>
      </c>
      <c r="E21" s="101">
        <v>0</v>
      </c>
      <c r="F21" s="321"/>
      <c r="G21" s="321"/>
      <c r="H21" s="323"/>
      <c r="I21" s="321">
        <v>0</v>
      </c>
      <c r="J21" s="321">
        <v>0</v>
      </c>
      <c r="K21" s="321">
        <v>0</v>
      </c>
      <c r="L21" s="321">
        <v>0</v>
      </c>
      <c r="M21" s="44">
        <f t="shared" si="0"/>
        <v>0</v>
      </c>
    </row>
    <row r="22" spans="1:13">
      <c r="A22" s="92">
        <v>9</v>
      </c>
      <c r="B22" s="97" t="s">
        <v>669</v>
      </c>
      <c r="C22" s="98" t="s">
        <v>94</v>
      </c>
      <c r="D22" s="1097">
        <v>108.78</v>
      </c>
      <c r="E22" s="101">
        <v>107.85</v>
      </c>
      <c r="F22" s="42"/>
      <c r="G22" s="42"/>
      <c r="H22" s="326"/>
      <c r="I22" s="44">
        <v>26.97</v>
      </c>
      <c r="J22" s="44">
        <v>26.96</v>
      </c>
      <c r="K22" s="44">
        <v>26.96</v>
      </c>
      <c r="L22" s="44">
        <v>26.96</v>
      </c>
      <c r="M22" s="44">
        <f t="shared" si="0"/>
        <v>107.85</v>
      </c>
    </row>
    <row r="23" spans="1:13">
      <c r="A23" s="92">
        <v>10</v>
      </c>
      <c r="B23" s="97" t="s">
        <v>670</v>
      </c>
      <c r="C23" s="98" t="s">
        <v>94</v>
      </c>
      <c r="D23" s="1097">
        <v>109.61</v>
      </c>
      <c r="E23" s="101">
        <v>127.64</v>
      </c>
      <c r="F23" s="336"/>
      <c r="G23" s="321"/>
      <c r="H23" s="323"/>
      <c r="I23" s="340">
        <v>38.46</v>
      </c>
      <c r="J23" s="340">
        <v>51.54</v>
      </c>
      <c r="K23" s="340">
        <v>51.54</v>
      </c>
      <c r="L23" s="340">
        <v>51.67</v>
      </c>
      <c r="M23" s="44">
        <f t="shared" si="0"/>
        <v>193.20999999999998</v>
      </c>
    </row>
    <row r="24" spans="1:13">
      <c r="A24" s="92">
        <v>11</v>
      </c>
      <c r="B24" s="97" t="s">
        <v>622</v>
      </c>
      <c r="C24" s="98" t="s">
        <v>94</v>
      </c>
      <c r="D24" s="1097">
        <v>0.74</v>
      </c>
      <c r="E24" s="101">
        <v>0.96</v>
      </c>
      <c r="F24" s="42"/>
      <c r="G24" s="42"/>
      <c r="H24" s="326"/>
      <c r="I24" s="335">
        <v>0.23</v>
      </c>
      <c r="J24" s="335">
        <v>0.15</v>
      </c>
      <c r="K24" s="335">
        <v>0.22</v>
      </c>
      <c r="L24" s="335">
        <v>0.15</v>
      </c>
      <c r="M24" s="44">
        <f t="shared" si="0"/>
        <v>0.75</v>
      </c>
    </row>
    <row r="25" spans="1:13">
      <c r="A25" s="92">
        <v>11</v>
      </c>
      <c r="B25" s="97" t="s">
        <v>208</v>
      </c>
      <c r="C25" s="98" t="s">
        <v>94</v>
      </c>
      <c r="D25" s="1097">
        <v>3.11</v>
      </c>
      <c r="E25" s="101">
        <v>4.34</v>
      </c>
      <c r="F25" s="321"/>
      <c r="G25" s="321"/>
      <c r="H25" s="323"/>
      <c r="I25" s="340">
        <v>0</v>
      </c>
      <c r="J25" s="340">
        <v>0</v>
      </c>
      <c r="K25" s="340">
        <v>0</v>
      </c>
      <c r="L25" s="340">
        <v>4.62</v>
      </c>
      <c r="M25" s="44">
        <f t="shared" si="0"/>
        <v>4.62</v>
      </c>
    </row>
    <row r="26" spans="1:13" ht="31.5" hidden="1">
      <c r="A26" s="92">
        <v>12</v>
      </c>
      <c r="B26" s="97" t="s">
        <v>671</v>
      </c>
      <c r="C26" s="98" t="s">
        <v>94</v>
      </c>
      <c r="D26" s="1097">
        <v>0</v>
      </c>
      <c r="E26" s="101">
        <v>0</v>
      </c>
      <c r="F26" s="42"/>
      <c r="G26" s="42"/>
      <c r="H26" s="326"/>
      <c r="I26" s="335">
        <v>0</v>
      </c>
      <c r="J26" s="335">
        <v>0</v>
      </c>
      <c r="K26" s="383">
        <v>0</v>
      </c>
      <c r="L26" s="335">
        <v>0</v>
      </c>
      <c r="M26" s="44">
        <f t="shared" si="0"/>
        <v>0</v>
      </c>
    </row>
    <row r="27" spans="1:13" hidden="1">
      <c r="A27" s="92">
        <v>13</v>
      </c>
      <c r="B27" s="97" t="s">
        <v>672</v>
      </c>
      <c r="C27" s="98"/>
      <c r="D27" s="1097">
        <v>0</v>
      </c>
      <c r="E27" s="101">
        <v>0</v>
      </c>
      <c r="F27" s="321"/>
      <c r="G27" s="321"/>
      <c r="H27" s="323"/>
      <c r="I27" s="321">
        <v>0</v>
      </c>
      <c r="J27" s="321">
        <v>0</v>
      </c>
      <c r="K27" s="321">
        <v>0</v>
      </c>
      <c r="L27" s="321">
        <v>0</v>
      </c>
      <c r="M27" s="44">
        <f t="shared" si="0"/>
        <v>0</v>
      </c>
    </row>
    <row r="28" spans="1:13" hidden="1">
      <c r="A28" s="92">
        <v>14</v>
      </c>
      <c r="B28" s="97" t="s">
        <v>673</v>
      </c>
      <c r="C28" s="98"/>
      <c r="D28" s="1097">
        <v>0</v>
      </c>
      <c r="E28" s="101">
        <v>0</v>
      </c>
      <c r="F28" s="42"/>
      <c r="G28" s="42"/>
      <c r="H28" s="326"/>
      <c r="I28" s="42">
        <v>0</v>
      </c>
      <c r="J28" s="42">
        <v>0</v>
      </c>
      <c r="K28" s="42">
        <v>0</v>
      </c>
      <c r="L28" s="42">
        <v>0</v>
      </c>
      <c r="M28" s="44">
        <f t="shared" si="0"/>
        <v>0</v>
      </c>
    </row>
    <row r="29" spans="1:13" hidden="1">
      <c r="A29" s="92">
        <v>15</v>
      </c>
      <c r="B29" s="97" t="s">
        <v>674</v>
      </c>
      <c r="C29" s="98"/>
      <c r="D29" s="1097">
        <v>0</v>
      </c>
      <c r="E29" s="101">
        <v>0</v>
      </c>
      <c r="F29" s="321"/>
      <c r="G29" s="321" t="s">
        <v>94</v>
      </c>
      <c r="H29" s="323"/>
      <c r="I29" s="321">
        <v>0</v>
      </c>
      <c r="J29" s="321">
        <v>0</v>
      </c>
      <c r="K29" s="321">
        <v>0</v>
      </c>
      <c r="L29" s="321">
        <v>0</v>
      </c>
      <c r="M29" s="44">
        <f t="shared" si="0"/>
        <v>0</v>
      </c>
    </row>
    <row r="30" spans="1:13">
      <c r="A30" s="92">
        <v>15</v>
      </c>
      <c r="B30" s="97" t="s">
        <v>209</v>
      </c>
      <c r="C30" s="95"/>
      <c r="D30" s="1098">
        <f t="shared" ref="D30:I30" si="1">SUM(D9:D29)-D10</f>
        <v>2864.360000000001</v>
      </c>
      <c r="E30" s="103">
        <v>2934.5</v>
      </c>
      <c r="F30" s="103">
        <f t="shared" si="1"/>
        <v>0</v>
      </c>
      <c r="G30" s="103">
        <f t="shared" si="1"/>
        <v>0</v>
      </c>
      <c r="H30" s="103">
        <f t="shared" si="1"/>
        <v>0</v>
      </c>
      <c r="I30" s="103">
        <f t="shared" si="1"/>
        <v>846.56000000000017</v>
      </c>
      <c r="J30" s="103">
        <f>SUM(J9:J29)-J10</f>
        <v>912.41999999999985</v>
      </c>
      <c r="K30" s="103">
        <f>SUM(K9:K29)-K10</f>
        <v>959.28</v>
      </c>
      <c r="L30" s="103">
        <f>SUM(L9:L29)-L10</f>
        <v>836.39</v>
      </c>
      <c r="M30" s="44">
        <f>I30+J30+K30+L30</f>
        <v>3554.65</v>
      </c>
    </row>
    <row r="31" spans="1:13">
      <c r="A31" s="92">
        <v>16</v>
      </c>
      <c r="B31" s="97" t="s">
        <v>252</v>
      </c>
      <c r="C31" s="95" t="s">
        <v>94</v>
      </c>
      <c r="D31" s="96">
        <v>100.53</v>
      </c>
      <c r="E31" s="103">
        <v>122.02</v>
      </c>
      <c r="F31" s="321"/>
      <c r="G31" s="321"/>
      <c r="H31" s="323"/>
      <c r="I31" s="321">
        <v>0</v>
      </c>
      <c r="J31" s="321">
        <v>0</v>
      </c>
      <c r="K31" s="321">
        <v>0</v>
      </c>
      <c r="L31" s="321">
        <v>125.82</v>
      </c>
      <c r="M31" s="44">
        <f>L31</f>
        <v>125.82</v>
      </c>
    </row>
    <row r="32" spans="1:13">
      <c r="A32" s="104">
        <v>17</v>
      </c>
      <c r="B32" s="2143" t="s">
        <v>210</v>
      </c>
      <c r="C32" s="99" t="s">
        <v>94</v>
      </c>
      <c r="D32" s="102">
        <v>4.91</v>
      </c>
      <c r="E32" s="108">
        <v>5.28</v>
      </c>
      <c r="F32" s="336"/>
      <c r="G32" s="336"/>
      <c r="H32" s="324"/>
      <c r="I32" s="336">
        <v>0</v>
      </c>
      <c r="J32" s="336">
        <v>0</v>
      </c>
      <c r="K32" s="336">
        <v>0</v>
      </c>
      <c r="L32" s="336">
        <v>5.28</v>
      </c>
      <c r="M32" s="382">
        <f t="shared" si="0"/>
        <v>5.28</v>
      </c>
    </row>
    <row r="33" spans="1:15">
      <c r="A33" s="2144">
        <v>15</v>
      </c>
      <c r="B33" s="2145" t="s">
        <v>211</v>
      </c>
      <c r="C33" s="2146"/>
      <c r="D33" s="1080">
        <f t="shared" ref="D33:I33" si="2">SUM(D30:D32)</f>
        <v>2969.8000000000011</v>
      </c>
      <c r="E33" s="1080">
        <v>3061.8</v>
      </c>
      <c r="F33" s="1080">
        <f t="shared" si="2"/>
        <v>0</v>
      </c>
      <c r="G33" s="1080">
        <f t="shared" si="2"/>
        <v>0</v>
      </c>
      <c r="H33" s="1080">
        <f t="shared" si="2"/>
        <v>0</v>
      </c>
      <c r="I33" s="1080">
        <f t="shared" si="2"/>
        <v>846.56000000000017</v>
      </c>
      <c r="J33" s="1080">
        <f>SUM(J30:J32)</f>
        <v>912.41999999999985</v>
      </c>
      <c r="K33" s="1080">
        <f>SUM(K30:K32)</f>
        <v>959.28</v>
      </c>
      <c r="L33" s="1080">
        <f>SUM(L30:L32)</f>
        <v>967.49</v>
      </c>
      <c r="M33" s="1080">
        <f>SUM(M30:M32)</f>
        <v>3685.7500000000005</v>
      </c>
    </row>
    <row r="34" spans="1:15" ht="16.5" hidden="1" thickBot="1">
      <c r="A34" s="1099"/>
      <c r="B34" s="97" t="s">
        <v>675</v>
      </c>
      <c r="C34" s="98"/>
      <c r="D34" s="1100">
        <v>72.62</v>
      </c>
      <c r="E34" s="101">
        <v>0</v>
      </c>
      <c r="F34" s="384"/>
      <c r="G34" s="384"/>
      <c r="H34" s="385"/>
      <c r="I34" s="384">
        <v>0</v>
      </c>
      <c r="J34" s="384">
        <v>0</v>
      </c>
      <c r="K34" s="384">
        <v>0</v>
      </c>
      <c r="L34" s="384">
        <v>0</v>
      </c>
      <c r="M34" s="1584">
        <f t="shared" si="0"/>
        <v>0</v>
      </c>
    </row>
    <row r="35" spans="1:15" hidden="1">
      <c r="A35" s="1099"/>
      <c r="B35" s="97" t="s">
        <v>676</v>
      </c>
      <c r="C35" s="95"/>
      <c r="D35" s="1101">
        <v>276.38</v>
      </c>
      <c r="E35" s="1102">
        <v>0</v>
      </c>
      <c r="F35" s="321"/>
      <c r="G35" s="321"/>
      <c r="H35" s="323"/>
      <c r="I35" s="321">
        <v>0</v>
      </c>
      <c r="J35" s="321">
        <v>0</v>
      </c>
      <c r="K35" s="321">
        <v>0</v>
      </c>
      <c r="L35" s="321">
        <v>0</v>
      </c>
      <c r="M35" s="44">
        <f t="shared" si="0"/>
        <v>0</v>
      </c>
    </row>
    <row r="36" spans="1:15" hidden="1">
      <c r="A36" s="1099"/>
      <c r="B36" s="97" t="s">
        <v>677</v>
      </c>
      <c r="C36" s="100"/>
      <c r="D36" s="103">
        <v>-38.76</v>
      </c>
      <c r="E36" s="103">
        <v>0</v>
      </c>
      <c r="F36" s="42"/>
      <c r="G36" s="42"/>
      <c r="H36" s="326"/>
      <c r="I36" s="42">
        <v>0</v>
      </c>
      <c r="J36" s="42">
        <v>0</v>
      </c>
      <c r="K36" s="42">
        <v>0</v>
      </c>
      <c r="L36" s="42">
        <v>0</v>
      </c>
      <c r="M36" s="44">
        <f t="shared" si="0"/>
        <v>0</v>
      </c>
    </row>
    <row r="37" spans="1:15" hidden="1">
      <c r="A37" s="93"/>
      <c r="B37" s="97" t="s">
        <v>47</v>
      </c>
      <c r="C37" s="95"/>
      <c r="D37" s="1097">
        <f>SUM(D33:D36)</f>
        <v>3280.0400000000009</v>
      </c>
      <c r="E37" s="101">
        <v>0</v>
      </c>
      <c r="F37" s="384"/>
      <c r="G37" s="384"/>
      <c r="H37" s="385"/>
      <c r="I37" s="384">
        <v>0</v>
      </c>
      <c r="J37" s="384">
        <v>0</v>
      </c>
      <c r="K37" s="384">
        <v>0</v>
      </c>
      <c r="L37" s="384">
        <v>0</v>
      </c>
      <c r="M37" s="44">
        <f t="shared" si="0"/>
        <v>0</v>
      </c>
    </row>
    <row r="38" spans="1:15">
      <c r="A38" s="92">
        <v>16</v>
      </c>
      <c r="B38" s="97" t="s">
        <v>212</v>
      </c>
      <c r="C38" s="95" t="s">
        <v>94</v>
      </c>
      <c r="D38" s="96">
        <v>55.53</v>
      </c>
      <c r="E38" s="103">
        <v>48.09</v>
      </c>
      <c r="F38" s="42"/>
      <c r="G38" s="42"/>
      <c r="H38" s="326"/>
      <c r="I38" s="42">
        <v>13.45</v>
      </c>
      <c r="J38" s="42">
        <v>12.92</v>
      </c>
      <c r="K38" s="44">
        <v>14.5</v>
      </c>
      <c r="L38" s="44">
        <v>19.62</v>
      </c>
      <c r="M38" s="44">
        <f>I38+J38+K38+L38</f>
        <v>60.489999999999995</v>
      </c>
    </row>
    <row r="39" spans="1:15" hidden="1">
      <c r="A39" s="92">
        <v>17</v>
      </c>
      <c r="B39" s="97" t="s">
        <v>678</v>
      </c>
      <c r="C39" s="99"/>
      <c r="D39" s="102"/>
      <c r="E39" s="103"/>
      <c r="F39" s="321"/>
      <c r="G39" s="321"/>
      <c r="H39" s="323"/>
      <c r="I39" s="321" t="s">
        <v>94</v>
      </c>
      <c r="J39" s="321" t="s">
        <v>94</v>
      </c>
      <c r="K39" s="321" t="s">
        <v>94</v>
      </c>
      <c r="L39" s="321" t="s">
        <v>94</v>
      </c>
      <c r="M39" s="44"/>
    </row>
    <row r="40" spans="1:15" hidden="1">
      <c r="A40" s="92">
        <v>18</v>
      </c>
      <c r="B40" s="97" t="s">
        <v>679</v>
      </c>
      <c r="C40" s="99"/>
      <c r="D40" s="102"/>
      <c r="E40" s="103">
        <v>0</v>
      </c>
      <c r="F40" s="42"/>
      <c r="G40" s="42"/>
      <c r="H40" s="326"/>
      <c r="I40" s="42"/>
      <c r="J40" s="42"/>
      <c r="K40" s="42"/>
      <c r="L40" s="42"/>
      <c r="M40" s="44">
        <f t="shared" si="0"/>
        <v>0</v>
      </c>
    </row>
    <row r="41" spans="1:15" hidden="1">
      <c r="A41" s="92">
        <v>19</v>
      </c>
      <c r="B41" s="97" t="s">
        <v>680</v>
      </c>
      <c r="C41" s="99"/>
      <c r="D41" s="102"/>
      <c r="E41" s="103"/>
      <c r="F41" s="321"/>
      <c r="G41" s="321"/>
      <c r="H41" s="323"/>
      <c r="I41" s="321" t="s">
        <v>94</v>
      </c>
      <c r="J41" s="321" t="s">
        <v>94</v>
      </c>
      <c r="K41" s="321" t="s">
        <v>94</v>
      </c>
      <c r="L41" s="321" t="s">
        <v>94</v>
      </c>
      <c r="M41" s="44"/>
    </row>
    <row r="42" spans="1:15" ht="31.5" hidden="1">
      <c r="A42" s="92">
        <v>20</v>
      </c>
      <c r="B42" s="97" t="s">
        <v>681</v>
      </c>
      <c r="C42" s="99"/>
      <c r="D42" s="102"/>
      <c r="E42" s="103"/>
      <c r="F42" s="42"/>
      <c r="G42" s="42"/>
      <c r="H42" s="326"/>
      <c r="I42" s="42"/>
      <c r="J42" s="42"/>
      <c r="K42" s="42"/>
      <c r="L42" s="42"/>
      <c r="M42" s="103"/>
    </row>
    <row r="43" spans="1:15" hidden="1">
      <c r="A43" s="104"/>
      <c r="B43" s="105"/>
      <c r="C43" s="106"/>
      <c r="D43" s="107"/>
      <c r="E43" s="108">
        <v>0</v>
      </c>
      <c r="F43" s="321"/>
      <c r="G43" s="321"/>
      <c r="H43" s="323"/>
      <c r="I43" s="321"/>
      <c r="J43" s="321"/>
      <c r="K43" s="321"/>
      <c r="L43" s="321"/>
      <c r="M43" s="44">
        <f t="shared" si="0"/>
        <v>0</v>
      </c>
    </row>
    <row r="44" spans="1:15">
      <c r="A44" s="1103">
        <v>21</v>
      </c>
      <c r="B44" s="1104" t="s">
        <v>682</v>
      </c>
      <c r="C44" s="109"/>
      <c r="D44" s="1098">
        <f>D37-D38</f>
        <v>3224.5100000000007</v>
      </c>
      <c r="E44" s="103">
        <v>3013.71</v>
      </c>
      <c r="F44" s="42"/>
      <c r="G44" s="42"/>
      <c r="H44" s="326"/>
      <c r="I44" s="103">
        <f>I33-I38</f>
        <v>833.11000000000013</v>
      </c>
      <c r="J44" s="103">
        <f>J33-J38</f>
        <v>899.49999999999989</v>
      </c>
      <c r="K44" s="103">
        <f>K33-K38</f>
        <v>944.78</v>
      </c>
      <c r="L44" s="103">
        <f>L33-L38</f>
        <v>947.87</v>
      </c>
      <c r="M44" s="103">
        <f>M33-M38</f>
        <v>3625.2600000000007</v>
      </c>
    </row>
    <row r="45" spans="1:15" hidden="1">
      <c r="A45" s="104"/>
      <c r="B45" s="386"/>
      <c r="C45" s="91"/>
      <c r="D45" s="90"/>
      <c r="E45" s="90"/>
      <c r="F45" s="387"/>
      <c r="G45" s="387"/>
      <c r="H45" s="336"/>
      <c r="I45" s="321" t="s">
        <v>277</v>
      </c>
      <c r="J45" s="321" t="s">
        <v>277</v>
      </c>
      <c r="K45" s="321" t="s">
        <v>277</v>
      </c>
      <c r="L45" s="321" t="s">
        <v>277</v>
      </c>
      <c r="M45" s="44"/>
    </row>
    <row r="46" spans="1:15">
      <c r="A46" s="1105">
        <v>22</v>
      </c>
      <c r="B46" s="1106" t="s">
        <v>683</v>
      </c>
      <c r="C46" s="341"/>
      <c r="D46" s="328"/>
      <c r="E46" s="328">
        <v>2561.89</v>
      </c>
      <c r="F46" s="328"/>
      <c r="G46" s="328"/>
      <c r="H46" s="42"/>
      <c r="I46" s="44">
        <v>795.43</v>
      </c>
      <c r="J46" s="42">
        <v>1057.6400000000001</v>
      </c>
      <c r="K46" s="44">
        <v>1018</v>
      </c>
      <c r="L46" s="42">
        <v>765.86</v>
      </c>
      <c r="M46" s="395">
        <f>I46+J46+K46+L46</f>
        <v>3636.9300000000003</v>
      </c>
      <c r="N46" s="1555"/>
      <c r="O46" s="388"/>
    </row>
    <row r="47" spans="1:15" hidden="1">
      <c r="A47" s="321"/>
      <c r="B47" s="267"/>
      <c r="C47" s="343"/>
      <c r="D47" s="330"/>
      <c r="E47" s="330">
        <v>0</v>
      </c>
      <c r="F47" s="330"/>
      <c r="G47" s="330"/>
      <c r="H47" s="321"/>
      <c r="I47" s="321" t="s">
        <v>94</v>
      </c>
      <c r="J47" s="321" t="s">
        <v>94</v>
      </c>
      <c r="K47" s="321" t="s">
        <v>94</v>
      </c>
      <c r="L47" s="321" t="s">
        <v>94</v>
      </c>
      <c r="M47" s="44">
        <f>M45-M43</f>
        <v>0</v>
      </c>
    </row>
    <row r="48" spans="1:15">
      <c r="A48" s="42">
        <v>23</v>
      </c>
      <c r="B48" s="327" t="s">
        <v>684</v>
      </c>
      <c r="C48" s="341"/>
      <c r="D48" s="328"/>
      <c r="E48" s="395">
        <v>-451.82000000000016</v>
      </c>
      <c r="F48" s="328"/>
      <c r="G48" s="328" t="s">
        <v>94</v>
      </c>
      <c r="H48" s="42"/>
      <c r="I48" s="395">
        <f>I46-I44</f>
        <v>-37.680000000000177</v>
      </c>
      <c r="J48" s="395">
        <f>J46-J44</f>
        <v>158.14000000000021</v>
      </c>
      <c r="K48" s="44">
        <f>K46-K44</f>
        <v>73.220000000000027</v>
      </c>
      <c r="L48" s="44">
        <f>L46-L44</f>
        <v>-182.01</v>
      </c>
      <c r="M48" s="44">
        <f>M46-M44</f>
        <v>11.669999999999618</v>
      </c>
    </row>
    <row r="49" spans="2:12">
      <c r="I49" s="266" t="s">
        <v>94</v>
      </c>
      <c r="J49" s="266" t="s">
        <v>94</v>
      </c>
      <c r="L49" s="388"/>
    </row>
    <row r="50" spans="2:12">
      <c r="B50" s="332"/>
      <c r="L50" s="266" t="s">
        <v>94</v>
      </c>
    </row>
    <row r="51" spans="2:12">
      <c r="B51" s="332"/>
    </row>
    <row r="56" spans="2:12">
      <c r="B56" s="266" t="s">
        <v>94</v>
      </c>
    </row>
    <row r="57" spans="2:12">
      <c r="B57" s="266" t="s">
        <v>94</v>
      </c>
    </row>
    <row r="69" spans="1:9">
      <c r="I69" s="266" t="s">
        <v>94</v>
      </c>
    </row>
    <row r="70" spans="1:9">
      <c r="A70" s="266" t="s">
        <v>685</v>
      </c>
    </row>
    <row r="71" spans="1:9">
      <c r="A71" s="266" t="s">
        <v>94</v>
      </c>
    </row>
    <row r="73" spans="1:9">
      <c r="A73" s="266" t="s">
        <v>94</v>
      </c>
    </row>
    <row r="74" spans="1:9">
      <c r="A74" s="266" t="s">
        <v>94</v>
      </c>
    </row>
    <row r="75" spans="1:9">
      <c r="A75" s="266" t="s">
        <v>94</v>
      </c>
    </row>
    <row r="76" spans="1:9">
      <c r="A76" s="266" t="s">
        <v>94</v>
      </c>
    </row>
    <row r="77" spans="1:9">
      <c r="A77" s="266" t="s">
        <v>94</v>
      </c>
    </row>
    <row r="78" spans="1:9">
      <c r="A78" s="266" t="s">
        <v>94</v>
      </c>
    </row>
    <row r="79" spans="1:9">
      <c r="A79" s="266" t="s">
        <v>94</v>
      </c>
    </row>
    <row r="80" spans="1:9">
      <c r="A80" s="266" t="s">
        <v>94</v>
      </c>
    </row>
    <row r="81" spans="1:1">
      <c r="A81" s="266" t="s">
        <v>94</v>
      </c>
    </row>
    <row r="82" spans="1:1">
      <c r="A82" s="266" t="s">
        <v>686</v>
      </c>
    </row>
    <row r="83" spans="1:1">
      <c r="A83" s="266" t="s">
        <v>94</v>
      </c>
    </row>
    <row r="84" spans="1:1">
      <c r="A84" s="266" t="s">
        <v>94</v>
      </c>
    </row>
    <row r="85" spans="1:1">
      <c r="A85" s="266" t="s">
        <v>94</v>
      </c>
    </row>
    <row r="86" spans="1:1">
      <c r="A86" s="266" t="s">
        <v>94</v>
      </c>
    </row>
    <row r="87" spans="1:1">
      <c r="A87" s="266" t="s">
        <v>94</v>
      </c>
    </row>
    <row r="88" spans="1:1">
      <c r="A88" s="266" t="s">
        <v>94</v>
      </c>
    </row>
    <row r="89" spans="1:1">
      <c r="A89" s="266" t="s">
        <v>94</v>
      </c>
    </row>
    <row r="90" spans="1:1">
      <c r="A90" s="266" t="s">
        <v>94</v>
      </c>
    </row>
    <row r="91" spans="1:1">
      <c r="A91" s="266" t="s">
        <v>94</v>
      </c>
    </row>
    <row r="92" spans="1:1">
      <c r="A92" s="266" t="s">
        <v>94</v>
      </c>
    </row>
    <row r="93" spans="1:1">
      <c r="A93" s="266" t="s">
        <v>94</v>
      </c>
    </row>
    <row r="94" spans="1:1">
      <c r="A94" s="266" t="s">
        <v>94</v>
      </c>
    </row>
    <row r="95" spans="1:1">
      <c r="A95" s="266" t="s">
        <v>94</v>
      </c>
    </row>
    <row r="96" spans="1:1">
      <c r="A96" s="266" t="s">
        <v>94</v>
      </c>
    </row>
    <row r="97" spans="1:1">
      <c r="A97" s="266" t="s">
        <v>94</v>
      </c>
    </row>
    <row r="98" spans="1:1">
      <c r="A98" s="266" t="s">
        <v>94</v>
      </c>
    </row>
    <row r="99" spans="1:1">
      <c r="A99" s="266" t="s">
        <v>94</v>
      </c>
    </row>
    <row r="100" spans="1:1">
      <c r="A100" s="266" t="s">
        <v>94</v>
      </c>
    </row>
    <row r="101" spans="1:1">
      <c r="A101" s="266" t="s">
        <v>94</v>
      </c>
    </row>
    <row r="102" spans="1:1">
      <c r="A102" s="266" t="s">
        <v>94</v>
      </c>
    </row>
    <row r="103" spans="1:1">
      <c r="A103" s="266" t="s">
        <v>94</v>
      </c>
    </row>
    <row r="104" spans="1:1">
      <c r="A104" s="266" t="s">
        <v>94</v>
      </c>
    </row>
    <row r="105" spans="1:1">
      <c r="A105" s="266" t="s">
        <v>94</v>
      </c>
    </row>
    <row r="106" spans="1:1">
      <c r="A106" s="266" t="s">
        <v>94</v>
      </c>
    </row>
    <row r="107" spans="1:1">
      <c r="A107" s="266" t="s">
        <v>94</v>
      </c>
    </row>
    <row r="108" spans="1:1">
      <c r="A108" s="266" t="s">
        <v>94</v>
      </c>
    </row>
    <row r="109" spans="1:1">
      <c r="A109" s="266" t="s">
        <v>94</v>
      </c>
    </row>
  </sheetData>
  <sheetProtection selectLockedCells="1" selectUnlockedCells="1"/>
  <pageMargins left="0.27013888888888898" right="0.3" top="1" bottom="1" header="0.51180555555555596" footer="0.51180555555555596"/>
  <pageSetup paperSize="9" scale="73" firstPageNumber="0" orientation="portrait" horizontalDpi="300" verticalDpi="300" r:id="rId1"/>
  <headerFooter alignWithMargins="0"/>
</worksheet>
</file>

<file path=xl/worksheets/sheet111.xml><?xml version="1.0" encoding="utf-8"?>
<worksheet xmlns="http://schemas.openxmlformats.org/spreadsheetml/2006/main" xmlns:r="http://schemas.openxmlformats.org/officeDocument/2006/relationships">
  <sheetPr codeName="Sheet90"/>
  <dimension ref="A1:O71"/>
  <sheetViews>
    <sheetView showGridLines="0" view="pageBreakPreview" zoomScale="70" zoomScaleSheetLayoutView="70" workbookViewId="0">
      <pane xSplit="17" ySplit="9" topLeftCell="R10" activePane="bottomRight" state="frozen"/>
      <selection pane="topRight" activeCell="R1" sqref="R1"/>
      <selection pane="bottomLeft" activeCell="A10" sqref="A10"/>
      <selection pane="bottomRight" activeCell="O31" sqref="O31"/>
    </sheetView>
  </sheetViews>
  <sheetFormatPr defaultRowHeight="15.75"/>
  <cols>
    <col min="1" max="1" width="6.140625" style="266" customWidth="1"/>
    <col min="2" max="2" width="41" style="266" customWidth="1"/>
    <col min="3" max="3" width="12.7109375" style="266" customWidth="1"/>
    <col min="4" max="4" width="4.7109375" style="266" hidden="1" customWidth="1"/>
    <col min="5" max="5" width="3" style="266" hidden="1" customWidth="1"/>
    <col min="6" max="6" width="11.140625" style="266" hidden="1" customWidth="1"/>
    <col min="7" max="7" width="0.28515625" style="266" hidden="1" customWidth="1"/>
    <col min="8" max="8" width="5.7109375" style="266" hidden="1" customWidth="1"/>
    <col min="9" max="9" width="4" style="266" hidden="1" customWidth="1"/>
    <col min="10" max="10" width="12.42578125" style="266" customWidth="1"/>
    <col min="11" max="11" width="7.7109375" style="266" customWidth="1"/>
    <col min="12" max="12" width="29" style="266" customWidth="1"/>
    <col min="13" max="13" width="19.7109375" style="266" customWidth="1"/>
    <col min="14" max="14" width="12" style="266" hidden="1" customWidth="1"/>
    <col min="15" max="256" width="9.140625" style="266"/>
    <col min="257" max="257" width="6.140625" style="266" customWidth="1"/>
    <col min="258" max="258" width="41" style="266" customWidth="1"/>
    <col min="259" max="259" width="10" style="266" customWidth="1"/>
    <col min="260" max="260" width="4.7109375" style="266" customWidth="1"/>
    <col min="261" max="261" width="3" style="266" customWidth="1"/>
    <col min="262" max="262" width="11.140625" style="266" customWidth="1"/>
    <col min="263" max="263" width="0.28515625" style="266" customWidth="1"/>
    <col min="264" max="264" width="5.7109375" style="266" customWidth="1"/>
    <col min="265" max="265" width="4" style="266" customWidth="1"/>
    <col min="266" max="266" width="7.28515625" style="266" customWidth="1"/>
    <col min="267" max="267" width="7.7109375" style="266" customWidth="1"/>
    <col min="268" max="268" width="7.85546875" style="266" customWidth="1"/>
    <col min="269" max="269" width="9.140625" style="266"/>
    <col min="270" max="270" width="12" style="266" customWidth="1"/>
    <col min="271" max="512" width="9.140625" style="266"/>
    <col min="513" max="513" width="6.140625" style="266" customWidth="1"/>
    <col min="514" max="514" width="41" style="266" customWidth="1"/>
    <col min="515" max="515" width="10" style="266" customWidth="1"/>
    <col min="516" max="516" width="4.7109375" style="266" customWidth="1"/>
    <col min="517" max="517" width="3" style="266" customWidth="1"/>
    <col min="518" max="518" width="11.140625" style="266" customWidth="1"/>
    <col min="519" max="519" width="0.28515625" style="266" customWidth="1"/>
    <col min="520" max="520" width="5.7109375" style="266" customWidth="1"/>
    <col min="521" max="521" width="4" style="266" customWidth="1"/>
    <col min="522" max="522" width="7.28515625" style="266" customWidth="1"/>
    <col min="523" max="523" width="7.7109375" style="266" customWidth="1"/>
    <col min="524" max="524" width="7.85546875" style="266" customWidth="1"/>
    <col min="525" max="525" width="9.140625" style="266"/>
    <col min="526" max="526" width="12" style="266" customWidth="1"/>
    <col min="527" max="768" width="9.140625" style="266"/>
    <col min="769" max="769" width="6.140625" style="266" customWidth="1"/>
    <col min="770" max="770" width="41" style="266" customWidth="1"/>
    <col min="771" max="771" width="10" style="266" customWidth="1"/>
    <col min="772" max="772" width="4.7109375" style="266" customWidth="1"/>
    <col min="773" max="773" width="3" style="266" customWidth="1"/>
    <col min="774" max="774" width="11.140625" style="266" customWidth="1"/>
    <col min="775" max="775" width="0.28515625" style="266" customWidth="1"/>
    <col min="776" max="776" width="5.7109375" style="266" customWidth="1"/>
    <col min="777" max="777" width="4" style="266" customWidth="1"/>
    <col min="778" max="778" width="7.28515625" style="266" customWidth="1"/>
    <col min="779" max="779" width="7.7109375" style="266" customWidth="1"/>
    <col min="780" max="780" width="7.85546875" style="266" customWidth="1"/>
    <col min="781" max="781" width="9.140625" style="266"/>
    <col min="782" max="782" width="12" style="266" customWidth="1"/>
    <col min="783" max="1024" width="9.140625" style="266"/>
    <col min="1025" max="1025" width="6.140625" style="266" customWidth="1"/>
    <col min="1026" max="1026" width="41" style="266" customWidth="1"/>
    <col min="1027" max="1027" width="10" style="266" customWidth="1"/>
    <col min="1028" max="1028" width="4.7109375" style="266" customWidth="1"/>
    <col min="1029" max="1029" width="3" style="266" customWidth="1"/>
    <col min="1030" max="1030" width="11.140625" style="266" customWidth="1"/>
    <col min="1031" max="1031" width="0.28515625" style="266" customWidth="1"/>
    <col min="1032" max="1032" width="5.7109375" style="266" customWidth="1"/>
    <col min="1033" max="1033" width="4" style="266" customWidth="1"/>
    <col min="1034" max="1034" width="7.28515625" style="266" customWidth="1"/>
    <col min="1035" max="1035" width="7.7109375" style="266" customWidth="1"/>
    <col min="1036" max="1036" width="7.85546875" style="266" customWidth="1"/>
    <col min="1037" max="1037" width="9.140625" style="266"/>
    <col min="1038" max="1038" width="12" style="266" customWidth="1"/>
    <col min="1039" max="1280" width="9.140625" style="266"/>
    <col min="1281" max="1281" width="6.140625" style="266" customWidth="1"/>
    <col min="1282" max="1282" width="41" style="266" customWidth="1"/>
    <col min="1283" max="1283" width="10" style="266" customWidth="1"/>
    <col min="1284" max="1284" width="4.7109375" style="266" customWidth="1"/>
    <col min="1285" max="1285" width="3" style="266" customWidth="1"/>
    <col min="1286" max="1286" width="11.140625" style="266" customWidth="1"/>
    <col min="1287" max="1287" width="0.28515625" style="266" customWidth="1"/>
    <col min="1288" max="1288" width="5.7109375" style="266" customWidth="1"/>
    <col min="1289" max="1289" width="4" style="266" customWidth="1"/>
    <col min="1290" max="1290" width="7.28515625" style="266" customWidth="1"/>
    <col min="1291" max="1291" width="7.7109375" style="266" customWidth="1"/>
    <col min="1292" max="1292" width="7.85546875" style="266" customWidth="1"/>
    <col min="1293" max="1293" width="9.140625" style="266"/>
    <col min="1294" max="1294" width="12" style="266" customWidth="1"/>
    <col min="1295" max="1536" width="9.140625" style="266"/>
    <col min="1537" max="1537" width="6.140625" style="266" customWidth="1"/>
    <col min="1538" max="1538" width="41" style="266" customWidth="1"/>
    <col min="1539" max="1539" width="10" style="266" customWidth="1"/>
    <col min="1540" max="1540" width="4.7109375" style="266" customWidth="1"/>
    <col min="1541" max="1541" width="3" style="266" customWidth="1"/>
    <col min="1542" max="1542" width="11.140625" style="266" customWidth="1"/>
    <col min="1543" max="1543" width="0.28515625" style="266" customWidth="1"/>
    <col min="1544" max="1544" width="5.7109375" style="266" customWidth="1"/>
    <col min="1545" max="1545" width="4" style="266" customWidth="1"/>
    <col min="1546" max="1546" width="7.28515625" style="266" customWidth="1"/>
    <col min="1547" max="1547" width="7.7109375" style="266" customWidth="1"/>
    <col min="1548" max="1548" width="7.85546875" style="266" customWidth="1"/>
    <col min="1549" max="1549" width="9.140625" style="266"/>
    <col min="1550" max="1550" width="12" style="266" customWidth="1"/>
    <col min="1551" max="1792" width="9.140625" style="266"/>
    <col min="1793" max="1793" width="6.140625" style="266" customWidth="1"/>
    <col min="1794" max="1794" width="41" style="266" customWidth="1"/>
    <col min="1795" max="1795" width="10" style="266" customWidth="1"/>
    <col min="1796" max="1796" width="4.7109375" style="266" customWidth="1"/>
    <col min="1797" max="1797" width="3" style="266" customWidth="1"/>
    <col min="1798" max="1798" width="11.140625" style="266" customWidth="1"/>
    <col min="1799" max="1799" width="0.28515625" style="266" customWidth="1"/>
    <col min="1800" max="1800" width="5.7109375" style="266" customWidth="1"/>
    <col min="1801" max="1801" width="4" style="266" customWidth="1"/>
    <col min="1802" max="1802" width="7.28515625" style="266" customWidth="1"/>
    <col min="1803" max="1803" width="7.7109375" style="266" customWidth="1"/>
    <col min="1804" max="1804" width="7.85546875" style="266" customWidth="1"/>
    <col min="1805" max="1805" width="9.140625" style="266"/>
    <col min="1806" max="1806" width="12" style="266" customWidth="1"/>
    <col min="1807" max="2048" width="9.140625" style="266"/>
    <col min="2049" max="2049" width="6.140625" style="266" customWidth="1"/>
    <col min="2050" max="2050" width="41" style="266" customWidth="1"/>
    <col min="2051" max="2051" width="10" style="266" customWidth="1"/>
    <col min="2052" max="2052" width="4.7109375" style="266" customWidth="1"/>
    <col min="2053" max="2053" width="3" style="266" customWidth="1"/>
    <col min="2054" max="2054" width="11.140625" style="266" customWidth="1"/>
    <col min="2055" max="2055" width="0.28515625" style="266" customWidth="1"/>
    <col min="2056" max="2056" width="5.7109375" style="266" customWidth="1"/>
    <col min="2057" max="2057" width="4" style="266" customWidth="1"/>
    <col min="2058" max="2058" width="7.28515625" style="266" customWidth="1"/>
    <col min="2059" max="2059" width="7.7109375" style="266" customWidth="1"/>
    <col min="2060" max="2060" width="7.85546875" style="266" customWidth="1"/>
    <col min="2061" max="2061" width="9.140625" style="266"/>
    <col min="2062" max="2062" width="12" style="266" customWidth="1"/>
    <col min="2063" max="2304" width="9.140625" style="266"/>
    <col min="2305" max="2305" width="6.140625" style="266" customWidth="1"/>
    <col min="2306" max="2306" width="41" style="266" customWidth="1"/>
    <col min="2307" max="2307" width="10" style="266" customWidth="1"/>
    <col min="2308" max="2308" width="4.7109375" style="266" customWidth="1"/>
    <col min="2309" max="2309" width="3" style="266" customWidth="1"/>
    <col min="2310" max="2310" width="11.140625" style="266" customWidth="1"/>
    <col min="2311" max="2311" width="0.28515625" style="266" customWidth="1"/>
    <col min="2312" max="2312" width="5.7109375" style="266" customWidth="1"/>
    <col min="2313" max="2313" width="4" style="266" customWidth="1"/>
    <col min="2314" max="2314" width="7.28515625" style="266" customWidth="1"/>
    <col min="2315" max="2315" width="7.7109375" style="266" customWidth="1"/>
    <col min="2316" max="2316" width="7.85546875" style="266" customWidth="1"/>
    <col min="2317" max="2317" width="9.140625" style="266"/>
    <col min="2318" max="2318" width="12" style="266" customWidth="1"/>
    <col min="2319" max="2560" width="9.140625" style="266"/>
    <col min="2561" max="2561" width="6.140625" style="266" customWidth="1"/>
    <col min="2562" max="2562" width="41" style="266" customWidth="1"/>
    <col min="2563" max="2563" width="10" style="266" customWidth="1"/>
    <col min="2564" max="2564" width="4.7109375" style="266" customWidth="1"/>
    <col min="2565" max="2565" width="3" style="266" customWidth="1"/>
    <col min="2566" max="2566" width="11.140625" style="266" customWidth="1"/>
    <col min="2567" max="2567" width="0.28515625" style="266" customWidth="1"/>
    <col min="2568" max="2568" width="5.7109375" style="266" customWidth="1"/>
    <col min="2569" max="2569" width="4" style="266" customWidth="1"/>
    <col min="2570" max="2570" width="7.28515625" style="266" customWidth="1"/>
    <col min="2571" max="2571" width="7.7109375" style="266" customWidth="1"/>
    <col min="2572" max="2572" width="7.85546875" style="266" customWidth="1"/>
    <col min="2573" max="2573" width="9.140625" style="266"/>
    <col min="2574" max="2574" width="12" style="266" customWidth="1"/>
    <col min="2575" max="2816" width="9.140625" style="266"/>
    <col min="2817" max="2817" width="6.140625" style="266" customWidth="1"/>
    <col min="2818" max="2818" width="41" style="266" customWidth="1"/>
    <col min="2819" max="2819" width="10" style="266" customWidth="1"/>
    <col min="2820" max="2820" width="4.7109375" style="266" customWidth="1"/>
    <col min="2821" max="2821" width="3" style="266" customWidth="1"/>
    <col min="2822" max="2822" width="11.140625" style="266" customWidth="1"/>
    <col min="2823" max="2823" width="0.28515625" style="266" customWidth="1"/>
    <col min="2824" max="2824" width="5.7109375" style="266" customWidth="1"/>
    <col min="2825" max="2825" width="4" style="266" customWidth="1"/>
    <col min="2826" max="2826" width="7.28515625" style="266" customWidth="1"/>
    <col min="2827" max="2827" width="7.7109375" style="266" customWidth="1"/>
    <col min="2828" max="2828" width="7.85546875" style="266" customWidth="1"/>
    <col min="2829" max="2829" width="9.140625" style="266"/>
    <col min="2830" max="2830" width="12" style="266" customWidth="1"/>
    <col min="2831" max="3072" width="9.140625" style="266"/>
    <col min="3073" max="3073" width="6.140625" style="266" customWidth="1"/>
    <col min="3074" max="3074" width="41" style="266" customWidth="1"/>
    <col min="3075" max="3075" width="10" style="266" customWidth="1"/>
    <col min="3076" max="3076" width="4.7109375" style="266" customWidth="1"/>
    <col min="3077" max="3077" width="3" style="266" customWidth="1"/>
    <col min="3078" max="3078" width="11.140625" style="266" customWidth="1"/>
    <col min="3079" max="3079" width="0.28515625" style="266" customWidth="1"/>
    <col min="3080" max="3080" width="5.7109375" style="266" customWidth="1"/>
    <col min="3081" max="3081" width="4" style="266" customWidth="1"/>
    <col min="3082" max="3082" width="7.28515625" style="266" customWidth="1"/>
    <col min="3083" max="3083" width="7.7109375" style="266" customWidth="1"/>
    <col min="3084" max="3084" width="7.85546875" style="266" customWidth="1"/>
    <col min="3085" max="3085" width="9.140625" style="266"/>
    <col min="3086" max="3086" width="12" style="266" customWidth="1"/>
    <col min="3087" max="3328" width="9.140625" style="266"/>
    <col min="3329" max="3329" width="6.140625" style="266" customWidth="1"/>
    <col min="3330" max="3330" width="41" style="266" customWidth="1"/>
    <col min="3331" max="3331" width="10" style="266" customWidth="1"/>
    <col min="3332" max="3332" width="4.7109375" style="266" customWidth="1"/>
    <col min="3333" max="3333" width="3" style="266" customWidth="1"/>
    <col min="3334" max="3334" width="11.140625" style="266" customWidth="1"/>
    <col min="3335" max="3335" width="0.28515625" style="266" customWidth="1"/>
    <col min="3336" max="3336" width="5.7109375" style="266" customWidth="1"/>
    <col min="3337" max="3337" width="4" style="266" customWidth="1"/>
    <col min="3338" max="3338" width="7.28515625" style="266" customWidth="1"/>
    <col min="3339" max="3339" width="7.7109375" style="266" customWidth="1"/>
    <col min="3340" max="3340" width="7.85546875" style="266" customWidth="1"/>
    <col min="3341" max="3341" width="9.140625" style="266"/>
    <col min="3342" max="3342" width="12" style="266" customWidth="1"/>
    <col min="3343" max="3584" width="9.140625" style="266"/>
    <col min="3585" max="3585" width="6.140625" style="266" customWidth="1"/>
    <col min="3586" max="3586" width="41" style="266" customWidth="1"/>
    <col min="3587" max="3587" width="10" style="266" customWidth="1"/>
    <col min="3588" max="3588" width="4.7109375" style="266" customWidth="1"/>
    <col min="3589" max="3589" width="3" style="266" customWidth="1"/>
    <col min="3590" max="3590" width="11.140625" style="266" customWidth="1"/>
    <col min="3591" max="3591" width="0.28515625" style="266" customWidth="1"/>
    <col min="3592" max="3592" width="5.7109375" style="266" customWidth="1"/>
    <col min="3593" max="3593" width="4" style="266" customWidth="1"/>
    <col min="3594" max="3594" width="7.28515625" style="266" customWidth="1"/>
    <col min="3595" max="3595" width="7.7109375" style="266" customWidth="1"/>
    <col min="3596" max="3596" width="7.85546875" style="266" customWidth="1"/>
    <col min="3597" max="3597" width="9.140625" style="266"/>
    <col min="3598" max="3598" width="12" style="266" customWidth="1"/>
    <col min="3599" max="3840" width="9.140625" style="266"/>
    <col min="3841" max="3841" width="6.140625" style="266" customWidth="1"/>
    <col min="3842" max="3842" width="41" style="266" customWidth="1"/>
    <col min="3843" max="3843" width="10" style="266" customWidth="1"/>
    <col min="3844" max="3844" width="4.7109375" style="266" customWidth="1"/>
    <col min="3845" max="3845" width="3" style="266" customWidth="1"/>
    <col min="3846" max="3846" width="11.140625" style="266" customWidth="1"/>
    <col min="3847" max="3847" width="0.28515625" style="266" customWidth="1"/>
    <col min="3848" max="3848" width="5.7109375" style="266" customWidth="1"/>
    <col min="3849" max="3849" width="4" style="266" customWidth="1"/>
    <col min="3850" max="3850" width="7.28515625" style="266" customWidth="1"/>
    <col min="3851" max="3851" width="7.7109375" style="266" customWidth="1"/>
    <col min="3852" max="3852" width="7.85546875" style="266" customWidth="1"/>
    <col min="3853" max="3853" width="9.140625" style="266"/>
    <col min="3854" max="3854" width="12" style="266" customWidth="1"/>
    <col min="3855" max="4096" width="9.140625" style="266"/>
    <col min="4097" max="4097" width="6.140625" style="266" customWidth="1"/>
    <col min="4098" max="4098" width="41" style="266" customWidth="1"/>
    <col min="4099" max="4099" width="10" style="266" customWidth="1"/>
    <col min="4100" max="4100" width="4.7109375" style="266" customWidth="1"/>
    <col min="4101" max="4101" width="3" style="266" customWidth="1"/>
    <col min="4102" max="4102" width="11.140625" style="266" customWidth="1"/>
    <col min="4103" max="4103" width="0.28515625" style="266" customWidth="1"/>
    <col min="4104" max="4104" width="5.7109375" style="266" customWidth="1"/>
    <col min="4105" max="4105" width="4" style="266" customWidth="1"/>
    <col min="4106" max="4106" width="7.28515625" style="266" customWidth="1"/>
    <col min="4107" max="4107" width="7.7109375" style="266" customWidth="1"/>
    <col min="4108" max="4108" width="7.85546875" style="266" customWidth="1"/>
    <col min="4109" max="4109" width="9.140625" style="266"/>
    <col min="4110" max="4110" width="12" style="266" customWidth="1"/>
    <col min="4111" max="4352" width="9.140625" style="266"/>
    <col min="4353" max="4353" width="6.140625" style="266" customWidth="1"/>
    <col min="4354" max="4354" width="41" style="266" customWidth="1"/>
    <col min="4355" max="4355" width="10" style="266" customWidth="1"/>
    <col min="4356" max="4356" width="4.7109375" style="266" customWidth="1"/>
    <col min="4357" max="4357" width="3" style="266" customWidth="1"/>
    <col min="4358" max="4358" width="11.140625" style="266" customWidth="1"/>
    <col min="4359" max="4359" width="0.28515625" style="266" customWidth="1"/>
    <col min="4360" max="4360" width="5.7109375" style="266" customWidth="1"/>
    <col min="4361" max="4361" width="4" style="266" customWidth="1"/>
    <col min="4362" max="4362" width="7.28515625" style="266" customWidth="1"/>
    <col min="4363" max="4363" width="7.7109375" style="266" customWidth="1"/>
    <col min="4364" max="4364" width="7.85546875" style="266" customWidth="1"/>
    <col min="4365" max="4365" width="9.140625" style="266"/>
    <col min="4366" max="4366" width="12" style="266" customWidth="1"/>
    <col min="4367" max="4608" width="9.140625" style="266"/>
    <col min="4609" max="4609" width="6.140625" style="266" customWidth="1"/>
    <col min="4610" max="4610" width="41" style="266" customWidth="1"/>
    <col min="4611" max="4611" width="10" style="266" customWidth="1"/>
    <col min="4612" max="4612" width="4.7109375" style="266" customWidth="1"/>
    <col min="4613" max="4613" width="3" style="266" customWidth="1"/>
    <col min="4614" max="4614" width="11.140625" style="266" customWidth="1"/>
    <col min="4615" max="4615" width="0.28515625" style="266" customWidth="1"/>
    <col min="4616" max="4616" width="5.7109375" style="266" customWidth="1"/>
    <col min="4617" max="4617" width="4" style="266" customWidth="1"/>
    <col min="4618" max="4618" width="7.28515625" style="266" customWidth="1"/>
    <col min="4619" max="4619" width="7.7109375" style="266" customWidth="1"/>
    <col min="4620" max="4620" width="7.85546875" style="266" customWidth="1"/>
    <col min="4621" max="4621" width="9.140625" style="266"/>
    <col min="4622" max="4622" width="12" style="266" customWidth="1"/>
    <col min="4623" max="4864" width="9.140625" style="266"/>
    <col min="4865" max="4865" width="6.140625" style="266" customWidth="1"/>
    <col min="4866" max="4866" width="41" style="266" customWidth="1"/>
    <col min="4867" max="4867" width="10" style="266" customWidth="1"/>
    <col min="4868" max="4868" width="4.7109375" style="266" customWidth="1"/>
    <col min="4869" max="4869" width="3" style="266" customWidth="1"/>
    <col min="4870" max="4870" width="11.140625" style="266" customWidth="1"/>
    <col min="4871" max="4871" width="0.28515625" style="266" customWidth="1"/>
    <col min="4872" max="4872" width="5.7109375" style="266" customWidth="1"/>
    <col min="4873" max="4873" width="4" style="266" customWidth="1"/>
    <col min="4874" max="4874" width="7.28515625" style="266" customWidth="1"/>
    <col min="4875" max="4875" width="7.7109375" style="266" customWidth="1"/>
    <col min="4876" max="4876" width="7.85546875" style="266" customWidth="1"/>
    <col min="4877" max="4877" width="9.140625" style="266"/>
    <col min="4878" max="4878" width="12" style="266" customWidth="1"/>
    <col min="4879" max="5120" width="9.140625" style="266"/>
    <col min="5121" max="5121" width="6.140625" style="266" customWidth="1"/>
    <col min="5122" max="5122" width="41" style="266" customWidth="1"/>
    <col min="5123" max="5123" width="10" style="266" customWidth="1"/>
    <col min="5124" max="5124" width="4.7109375" style="266" customWidth="1"/>
    <col min="5125" max="5125" width="3" style="266" customWidth="1"/>
    <col min="5126" max="5126" width="11.140625" style="266" customWidth="1"/>
    <col min="5127" max="5127" width="0.28515625" style="266" customWidth="1"/>
    <col min="5128" max="5128" width="5.7109375" style="266" customWidth="1"/>
    <col min="5129" max="5129" width="4" style="266" customWidth="1"/>
    <col min="5130" max="5130" width="7.28515625" style="266" customWidth="1"/>
    <col min="5131" max="5131" width="7.7109375" style="266" customWidth="1"/>
    <col min="5132" max="5132" width="7.85546875" style="266" customWidth="1"/>
    <col min="5133" max="5133" width="9.140625" style="266"/>
    <col min="5134" max="5134" width="12" style="266" customWidth="1"/>
    <col min="5135" max="5376" width="9.140625" style="266"/>
    <col min="5377" max="5377" width="6.140625" style="266" customWidth="1"/>
    <col min="5378" max="5378" width="41" style="266" customWidth="1"/>
    <col min="5379" max="5379" width="10" style="266" customWidth="1"/>
    <col min="5380" max="5380" width="4.7109375" style="266" customWidth="1"/>
    <col min="5381" max="5381" width="3" style="266" customWidth="1"/>
    <col min="5382" max="5382" width="11.140625" style="266" customWidth="1"/>
    <col min="5383" max="5383" width="0.28515625" style="266" customWidth="1"/>
    <col min="5384" max="5384" width="5.7109375" style="266" customWidth="1"/>
    <col min="5385" max="5385" width="4" style="266" customWidth="1"/>
    <col min="5386" max="5386" width="7.28515625" style="266" customWidth="1"/>
    <col min="5387" max="5387" width="7.7109375" style="266" customWidth="1"/>
    <col min="5388" max="5388" width="7.85546875" style="266" customWidth="1"/>
    <col min="5389" max="5389" width="9.140625" style="266"/>
    <col min="5390" max="5390" width="12" style="266" customWidth="1"/>
    <col min="5391" max="5632" width="9.140625" style="266"/>
    <col min="5633" max="5633" width="6.140625" style="266" customWidth="1"/>
    <col min="5634" max="5634" width="41" style="266" customWidth="1"/>
    <col min="5635" max="5635" width="10" style="266" customWidth="1"/>
    <col min="5636" max="5636" width="4.7109375" style="266" customWidth="1"/>
    <col min="5637" max="5637" width="3" style="266" customWidth="1"/>
    <col min="5638" max="5638" width="11.140625" style="266" customWidth="1"/>
    <col min="5639" max="5639" width="0.28515625" style="266" customWidth="1"/>
    <col min="5640" max="5640" width="5.7109375" style="266" customWidth="1"/>
    <col min="5641" max="5641" width="4" style="266" customWidth="1"/>
    <col min="5642" max="5642" width="7.28515625" style="266" customWidth="1"/>
    <col min="5643" max="5643" width="7.7109375" style="266" customWidth="1"/>
    <col min="5644" max="5644" width="7.85546875" style="266" customWidth="1"/>
    <col min="5645" max="5645" width="9.140625" style="266"/>
    <col min="5646" max="5646" width="12" style="266" customWidth="1"/>
    <col min="5647" max="5888" width="9.140625" style="266"/>
    <col min="5889" max="5889" width="6.140625" style="266" customWidth="1"/>
    <col min="5890" max="5890" width="41" style="266" customWidth="1"/>
    <col min="5891" max="5891" width="10" style="266" customWidth="1"/>
    <col min="5892" max="5892" width="4.7109375" style="266" customWidth="1"/>
    <col min="5893" max="5893" width="3" style="266" customWidth="1"/>
    <col min="5894" max="5894" width="11.140625" style="266" customWidth="1"/>
    <col min="5895" max="5895" width="0.28515625" style="266" customWidth="1"/>
    <col min="5896" max="5896" width="5.7109375" style="266" customWidth="1"/>
    <col min="5897" max="5897" width="4" style="266" customWidth="1"/>
    <col min="5898" max="5898" width="7.28515625" style="266" customWidth="1"/>
    <col min="5899" max="5899" width="7.7109375" style="266" customWidth="1"/>
    <col min="5900" max="5900" width="7.85546875" style="266" customWidth="1"/>
    <col min="5901" max="5901" width="9.140625" style="266"/>
    <col min="5902" max="5902" width="12" style="266" customWidth="1"/>
    <col min="5903" max="6144" width="9.140625" style="266"/>
    <col min="6145" max="6145" width="6.140625" style="266" customWidth="1"/>
    <col min="6146" max="6146" width="41" style="266" customWidth="1"/>
    <col min="6147" max="6147" width="10" style="266" customWidth="1"/>
    <col min="6148" max="6148" width="4.7109375" style="266" customWidth="1"/>
    <col min="6149" max="6149" width="3" style="266" customWidth="1"/>
    <col min="6150" max="6150" width="11.140625" style="266" customWidth="1"/>
    <col min="6151" max="6151" width="0.28515625" style="266" customWidth="1"/>
    <col min="6152" max="6152" width="5.7109375" style="266" customWidth="1"/>
    <col min="6153" max="6153" width="4" style="266" customWidth="1"/>
    <col min="6154" max="6154" width="7.28515625" style="266" customWidth="1"/>
    <col min="6155" max="6155" width="7.7109375" style="266" customWidth="1"/>
    <col min="6156" max="6156" width="7.85546875" style="266" customWidth="1"/>
    <col min="6157" max="6157" width="9.140625" style="266"/>
    <col min="6158" max="6158" width="12" style="266" customWidth="1"/>
    <col min="6159" max="6400" width="9.140625" style="266"/>
    <col min="6401" max="6401" width="6.140625" style="266" customWidth="1"/>
    <col min="6402" max="6402" width="41" style="266" customWidth="1"/>
    <col min="6403" max="6403" width="10" style="266" customWidth="1"/>
    <col min="6404" max="6404" width="4.7109375" style="266" customWidth="1"/>
    <col min="6405" max="6405" width="3" style="266" customWidth="1"/>
    <col min="6406" max="6406" width="11.140625" style="266" customWidth="1"/>
    <col min="6407" max="6407" width="0.28515625" style="266" customWidth="1"/>
    <col min="6408" max="6408" width="5.7109375" style="266" customWidth="1"/>
    <col min="6409" max="6409" width="4" style="266" customWidth="1"/>
    <col min="6410" max="6410" width="7.28515625" style="266" customWidth="1"/>
    <col min="6411" max="6411" width="7.7109375" style="266" customWidth="1"/>
    <col min="6412" max="6412" width="7.85546875" style="266" customWidth="1"/>
    <col min="6413" max="6413" width="9.140625" style="266"/>
    <col min="6414" max="6414" width="12" style="266" customWidth="1"/>
    <col min="6415" max="6656" width="9.140625" style="266"/>
    <col min="6657" max="6657" width="6.140625" style="266" customWidth="1"/>
    <col min="6658" max="6658" width="41" style="266" customWidth="1"/>
    <col min="6659" max="6659" width="10" style="266" customWidth="1"/>
    <col min="6660" max="6660" width="4.7109375" style="266" customWidth="1"/>
    <col min="6661" max="6661" width="3" style="266" customWidth="1"/>
    <col min="6662" max="6662" width="11.140625" style="266" customWidth="1"/>
    <col min="6663" max="6663" width="0.28515625" style="266" customWidth="1"/>
    <col min="6664" max="6664" width="5.7109375" style="266" customWidth="1"/>
    <col min="6665" max="6665" width="4" style="266" customWidth="1"/>
    <col min="6666" max="6666" width="7.28515625" style="266" customWidth="1"/>
    <col min="6667" max="6667" width="7.7109375" style="266" customWidth="1"/>
    <col min="6668" max="6668" width="7.85546875" style="266" customWidth="1"/>
    <col min="6669" max="6669" width="9.140625" style="266"/>
    <col min="6670" max="6670" width="12" style="266" customWidth="1"/>
    <col min="6671" max="6912" width="9.140625" style="266"/>
    <col min="6913" max="6913" width="6.140625" style="266" customWidth="1"/>
    <col min="6914" max="6914" width="41" style="266" customWidth="1"/>
    <col min="6915" max="6915" width="10" style="266" customWidth="1"/>
    <col min="6916" max="6916" width="4.7109375" style="266" customWidth="1"/>
    <col min="6917" max="6917" width="3" style="266" customWidth="1"/>
    <col min="6918" max="6918" width="11.140625" style="266" customWidth="1"/>
    <col min="6919" max="6919" width="0.28515625" style="266" customWidth="1"/>
    <col min="6920" max="6920" width="5.7109375" style="266" customWidth="1"/>
    <col min="6921" max="6921" width="4" style="266" customWidth="1"/>
    <col min="6922" max="6922" width="7.28515625" style="266" customWidth="1"/>
    <col min="6923" max="6923" width="7.7109375" style="266" customWidth="1"/>
    <col min="6924" max="6924" width="7.85546875" style="266" customWidth="1"/>
    <col min="6925" max="6925" width="9.140625" style="266"/>
    <col min="6926" max="6926" width="12" style="266" customWidth="1"/>
    <col min="6927" max="7168" width="9.140625" style="266"/>
    <col min="7169" max="7169" width="6.140625" style="266" customWidth="1"/>
    <col min="7170" max="7170" width="41" style="266" customWidth="1"/>
    <col min="7171" max="7171" width="10" style="266" customWidth="1"/>
    <col min="7172" max="7172" width="4.7109375" style="266" customWidth="1"/>
    <col min="7173" max="7173" width="3" style="266" customWidth="1"/>
    <col min="7174" max="7174" width="11.140625" style="266" customWidth="1"/>
    <col min="7175" max="7175" width="0.28515625" style="266" customWidth="1"/>
    <col min="7176" max="7176" width="5.7109375" style="266" customWidth="1"/>
    <col min="7177" max="7177" width="4" style="266" customWidth="1"/>
    <col min="7178" max="7178" width="7.28515625" style="266" customWidth="1"/>
    <col min="7179" max="7179" width="7.7109375" style="266" customWidth="1"/>
    <col min="7180" max="7180" width="7.85546875" style="266" customWidth="1"/>
    <col min="7181" max="7181" width="9.140625" style="266"/>
    <col min="7182" max="7182" width="12" style="266" customWidth="1"/>
    <col min="7183" max="7424" width="9.140625" style="266"/>
    <col min="7425" max="7425" width="6.140625" style="266" customWidth="1"/>
    <col min="7426" max="7426" width="41" style="266" customWidth="1"/>
    <col min="7427" max="7427" width="10" style="266" customWidth="1"/>
    <col min="7428" max="7428" width="4.7109375" style="266" customWidth="1"/>
    <col min="7429" max="7429" width="3" style="266" customWidth="1"/>
    <col min="7430" max="7430" width="11.140625" style="266" customWidth="1"/>
    <col min="7431" max="7431" width="0.28515625" style="266" customWidth="1"/>
    <col min="7432" max="7432" width="5.7109375" style="266" customWidth="1"/>
    <col min="7433" max="7433" width="4" style="266" customWidth="1"/>
    <col min="7434" max="7434" width="7.28515625" style="266" customWidth="1"/>
    <col min="7435" max="7435" width="7.7109375" style="266" customWidth="1"/>
    <col min="7436" max="7436" width="7.85546875" style="266" customWidth="1"/>
    <col min="7437" max="7437" width="9.140625" style="266"/>
    <col min="7438" max="7438" width="12" style="266" customWidth="1"/>
    <col min="7439" max="7680" width="9.140625" style="266"/>
    <col min="7681" max="7681" width="6.140625" style="266" customWidth="1"/>
    <col min="7682" max="7682" width="41" style="266" customWidth="1"/>
    <col min="7683" max="7683" width="10" style="266" customWidth="1"/>
    <col min="7684" max="7684" width="4.7109375" style="266" customWidth="1"/>
    <col min="7685" max="7685" width="3" style="266" customWidth="1"/>
    <col min="7686" max="7686" width="11.140625" style="266" customWidth="1"/>
    <col min="7687" max="7687" width="0.28515625" style="266" customWidth="1"/>
    <col min="7688" max="7688" width="5.7109375" style="266" customWidth="1"/>
    <col min="7689" max="7689" width="4" style="266" customWidth="1"/>
    <col min="7690" max="7690" width="7.28515625" style="266" customWidth="1"/>
    <col min="7691" max="7691" width="7.7109375" style="266" customWidth="1"/>
    <col min="7692" max="7692" width="7.85546875" style="266" customWidth="1"/>
    <col min="7693" max="7693" width="9.140625" style="266"/>
    <col min="7694" max="7694" width="12" style="266" customWidth="1"/>
    <col min="7695" max="7936" width="9.140625" style="266"/>
    <col min="7937" max="7937" width="6.140625" style="266" customWidth="1"/>
    <col min="7938" max="7938" width="41" style="266" customWidth="1"/>
    <col min="7939" max="7939" width="10" style="266" customWidth="1"/>
    <col min="7940" max="7940" width="4.7109375" style="266" customWidth="1"/>
    <col min="7941" max="7941" width="3" style="266" customWidth="1"/>
    <col min="7942" max="7942" width="11.140625" style="266" customWidth="1"/>
    <col min="7943" max="7943" width="0.28515625" style="266" customWidth="1"/>
    <col min="7944" max="7944" width="5.7109375" style="266" customWidth="1"/>
    <col min="7945" max="7945" width="4" style="266" customWidth="1"/>
    <col min="7946" max="7946" width="7.28515625" style="266" customWidth="1"/>
    <col min="7947" max="7947" width="7.7109375" style="266" customWidth="1"/>
    <col min="7948" max="7948" width="7.85546875" style="266" customWidth="1"/>
    <col min="7949" max="7949" width="9.140625" style="266"/>
    <col min="7950" max="7950" width="12" style="266" customWidth="1"/>
    <col min="7951" max="8192" width="9.140625" style="266"/>
    <col min="8193" max="8193" width="6.140625" style="266" customWidth="1"/>
    <col min="8194" max="8194" width="41" style="266" customWidth="1"/>
    <col min="8195" max="8195" width="10" style="266" customWidth="1"/>
    <col min="8196" max="8196" width="4.7109375" style="266" customWidth="1"/>
    <col min="8197" max="8197" width="3" style="266" customWidth="1"/>
    <col min="8198" max="8198" width="11.140625" style="266" customWidth="1"/>
    <col min="8199" max="8199" width="0.28515625" style="266" customWidth="1"/>
    <col min="8200" max="8200" width="5.7109375" style="266" customWidth="1"/>
    <col min="8201" max="8201" width="4" style="266" customWidth="1"/>
    <col min="8202" max="8202" width="7.28515625" style="266" customWidth="1"/>
    <col min="8203" max="8203" width="7.7109375" style="266" customWidth="1"/>
    <col min="8204" max="8204" width="7.85546875" style="266" customWidth="1"/>
    <col min="8205" max="8205" width="9.140625" style="266"/>
    <col min="8206" max="8206" width="12" style="266" customWidth="1"/>
    <col min="8207" max="8448" width="9.140625" style="266"/>
    <col min="8449" max="8449" width="6.140625" style="266" customWidth="1"/>
    <col min="8450" max="8450" width="41" style="266" customWidth="1"/>
    <col min="8451" max="8451" width="10" style="266" customWidth="1"/>
    <col min="8452" max="8452" width="4.7109375" style="266" customWidth="1"/>
    <col min="8453" max="8453" width="3" style="266" customWidth="1"/>
    <col min="8454" max="8454" width="11.140625" style="266" customWidth="1"/>
    <col min="8455" max="8455" width="0.28515625" style="266" customWidth="1"/>
    <col min="8456" max="8456" width="5.7109375" style="266" customWidth="1"/>
    <col min="8457" max="8457" width="4" style="266" customWidth="1"/>
    <col min="8458" max="8458" width="7.28515625" style="266" customWidth="1"/>
    <col min="8459" max="8459" width="7.7109375" style="266" customWidth="1"/>
    <col min="8460" max="8460" width="7.85546875" style="266" customWidth="1"/>
    <col min="8461" max="8461" width="9.140625" style="266"/>
    <col min="8462" max="8462" width="12" style="266" customWidth="1"/>
    <col min="8463" max="8704" width="9.140625" style="266"/>
    <col min="8705" max="8705" width="6.140625" style="266" customWidth="1"/>
    <col min="8706" max="8706" width="41" style="266" customWidth="1"/>
    <col min="8707" max="8707" width="10" style="266" customWidth="1"/>
    <col min="8708" max="8708" width="4.7109375" style="266" customWidth="1"/>
    <col min="8709" max="8709" width="3" style="266" customWidth="1"/>
    <col min="8710" max="8710" width="11.140625" style="266" customWidth="1"/>
    <col min="8711" max="8711" width="0.28515625" style="266" customWidth="1"/>
    <col min="8712" max="8712" width="5.7109375" style="266" customWidth="1"/>
    <col min="8713" max="8713" width="4" style="266" customWidth="1"/>
    <col min="8714" max="8714" width="7.28515625" style="266" customWidth="1"/>
    <col min="8715" max="8715" width="7.7109375" style="266" customWidth="1"/>
    <col min="8716" max="8716" width="7.85546875" style="266" customWidth="1"/>
    <col min="8717" max="8717" width="9.140625" style="266"/>
    <col min="8718" max="8718" width="12" style="266" customWidth="1"/>
    <col min="8719" max="8960" width="9.140625" style="266"/>
    <col min="8961" max="8961" width="6.140625" style="266" customWidth="1"/>
    <col min="8962" max="8962" width="41" style="266" customWidth="1"/>
    <col min="8963" max="8963" width="10" style="266" customWidth="1"/>
    <col min="8964" max="8964" width="4.7109375" style="266" customWidth="1"/>
    <col min="8965" max="8965" width="3" style="266" customWidth="1"/>
    <col min="8966" max="8966" width="11.140625" style="266" customWidth="1"/>
    <col min="8967" max="8967" width="0.28515625" style="266" customWidth="1"/>
    <col min="8968" max="8968" width="5.7109375" style="266" customWidth="1"/>
    <col min="8969" max="8969" width="4" style="266" customWidth="1"/>
    <col min="8970" max="8970" width="7.28515625" style="266" customWidth="1"/>
    <col min="8971" max="8971" width="7.7109375" style="266" customWidth="1"/>
    <col min="8972" max="8972" width="7.85546875" style="266" customWidth="1"/>
    <col min="8973" max="8973" width="9.140625" style="266"/>
    <col min="8974" max="8974" width="12" style="266" customWidth="1"/>
    <col min="8975" max="9216" width="9.140625" style="266"/>
    <col min="9217" max="9217" width="6.140625" style="266" customWidth="1"/>
    <col min="9218" max="9218" width="41" style="266" customWidth="1"/>
    <col min="9219" max="9219" width="10" style="266" customWidth="1"/>
    <col min="9220" max="9220" width="4.7109375" style="266" customWidth="1"/>
    <col min="9221" max="9221" width="3" style="266" customWidth="1"/>
    <col min="9222" max="9222" width="11.140625" style="266" customWidth="1"/>
    <col min="9223" max="9223" width="0.28515625" style="266" customWidth="1"/>
    <col min="9224" max="9224" width="5.7109375" style="266" customWidth="1"/>
    <col min="9225" max="9225" width="4" style="266" customWidth="1"/>
    <col min="9226" max="9226" width="7.28515625" style="266" customWidth="1"/>
    <col min="9227" max="9227" width="7.7109375" style="266" customWidth="1"/>
    <col min="9228" max="9228" width="7.85546875" style="266" customWidth="1"/>
    <col min="9229" max="9229" width="9.140625" style="266"/>
    <col min="9230" max="9230" width="12" style="266" customWidth="1"/>
    <col min="9231" max="9472" width="9.140625" style="266"/>
    <col min="9473" max="9473" width="6.140625" style="266" customWidth="1"/>
    <col min="9474" max="9474" width="41" style="266" customWidth="1"/>
    <col min="9475" max="9475" width="10" style="266" customWidth="1"/>
    <col min="9476" max="9476" width="4.7109375" style="266" customWidth="1"/>
    <col min="9477" max="9477" width="3" style="266" customWidth="1"/>
    <col min="9478" max="9478" width="11.140625" style="266" customWidth="1"/>
    <col min="9479" max="9479" width="0.28515625" style="266" customWidth="1"/>
    <col min="9480" max="9480" width="5.7109375" style="266" customWidth="1"/>
    <col min="9481" max="9481" width="4" style="266" customWidth="1"/>
    <col min="9482" max="9482" width="7.28515625" style="266" customWidth="1"/>
    <col min="9483" max="9483" width="7.7109375" style="266" customWidth="1"/>
    <col min="9484" max="9484" width="7.85546875" style="266" customWidth="1"/>
    <col min="9485" max="9485" width="9.140625" style="266"/>
    <col min="9486" max="9486" width="12" style="266" customWidth="1"/>
    <col min="9487" max="9728" width="9.140625" style="266"/>
    <col min="9729" max="9729" width="6.140625" style="266" customWidth="1"/>
    <col min="9730" max="9730" width="41" style="266" customWidth="1"/>
    <col min="9731" max="9731" width="10" style="266" customWidth="1"/>
    <col min="9732" max="9732" width="4.7109375" style="266" customWidth="1"/>
    <col min="9733" max="9733" width="3" style="266" customWidth="1"/>
    <col min="9734" max="9734" width="11.140625" style="266" customWidth="1"/>
    <col min="9735" max="9735" width="0.28515625" style="266" customWidth="1"/>
    <col min="9736" max="9736" width="5.7109375" style="266" customWidth="1"/>
    <col min="9737" max="9737" width="4" style="266" customWidth="1"/>
    <col min="9738" max="9738" width="7.28515625" style="266" customWidth="1"/>
    <col min="9739" max="9739" width="7.7109375" style="266" customWidth="1"/>
    <col min="9740" max="9740" width="7.85546875" style="266" customWidth="1"/>
    <col min="9741" max="9741" width="9.140625" style="266"/>
    <col min="9742" max="9742" width="12" style="266" customWidth="1"/>
    <col min="9743" max="9984" width="9.140625" style="266"/>
    <col min="9985" max="9985" width="6.140625" style="266" customWidth="1"/>
    <col min="9986" max="9986" width="41" style="266" customWidth="1"/>
    <col min="9987" max="9987" width="10" style="266" customWidth="1"/>
    <col min="9988" max="9988" width="4.7109375" style="266" customWidth="1"/>
    <col min="9989" max="9989" width="3" style="266" customWidth="1"/>
    <col min="9990" max="9990" width="11.140625" style="266" customWidth="1"/>
    <col min="9991" max="9991" width="0.28515625" style="266" customWidth="1"/>
    <col min="9992" max="9992" width="5.7109375" style="266" customWidth="1"/>
    <col min="9993" max="9993" width="4" style="266" customWidth="1"/>
    <col min="9994" max="9994" width="7.28515625" style="266" customWidth="1"/>
    <col min="9995" max="9995" width="7.7109375" style="266" customWidth="1"/>
    <col min="9996" max="9996" width="7.85546875" style="266" customWidth="1"/>
    <col min="9997" max="9997" width="9.140625" style="266"/>
    <col min="9998" max="9998" width="12" style="266" customWidth="1"/>
    <col min="9999" max="10240" width="9.140625" style="266"/>
    <col min="10241" max="10241" width="6.140625" style="266" customWidth="1"/>
    <col min="10242" max="10242" width="41" style="266" customWidth="1"/>
    <col min="10243" max="10243" width="10" style="266" customWidth="1"/>
    <col min="10244" max="10244" width="4.7109375" style="266" customWidth="1"/>
    <col min="10245" max="10245" width="3" style="266" customWidth="1"/>
    <col min="10246" max="10246" width="11.140625" style="266" customWidth="1"/>
    <col min="10247" max="10247" width="0.28515625" style="266" customWidth="1"/>
    <col min="10248" max="10248" width="5.7109375" style="266" customWidth="1"/>
    <col min="10249" max="10249" width="4" style="266" customWidth="1"/>
    <col min="10250" max="10250" width="7.28515625" style="266" customWidth="1"/>
    <col min="10251" max="10251" width="7.7109375" style="266" customWidth="1"/>
    <col min="10252" max="10252" width="7.85546875" style="266" customWidth="1"/>
    <col min="10253" max="10253" width="9.140625" style="266"/>
    <col min="10254" max="10254" width="12" style="266" customWidth="1"/>
    <col min="10255" max="10496" width="9.140625" style="266"/>
    <col min="10497" max="10497" width="6.140625" style="266" customWidth="1"/>
    <col min="10498" max="10498" width="41" style="266" customWidth="1"/>
    <col min="10499" max="10499" width="10" style="266" customWidth="1"/>
    <col min="10500" max="10500" width="4.7109375" style="266" customWidth="1"/>
    <col min="10501" max="10501" width="3" style="266" customWidth="1"/>
    <col min="10502" max="10502" width="11.140625" style="266" customWidth="1"/>
    <col min="10503" max="10503" width="0.28515625" style="266" customWidth="1"/>
    <col min="10504" max="10504" width="5.7109375" style="266" customWidth="1"/>
    <col min="10505" max="10505" width="4" style="266" customWidth="1"/>
    <col min="10506" max="10506" width="7.28515625" style="266" customWidth="1"/>
    <col min="10507" max="10507" width="7.7109375" style="266" customWidth="1"/>
    <col min="10508" max="10508" width="7.85546875" style="266" customWidth="1"/>
    <col min="10509" max="10509" width="9.140625" style="266"/>
    <col min="10510" max="10510" width="12" style="266" customWidth="1"/>
    <col min="10511" max="10752" width="9.140625" style="266"/>
    <col min="10753" max="10753" width="6.140625" style="266" customWidth="1"/>
    <col min="10754" max="10754" width="41" style="266" customWidth="1"/>
    <col min="10755" max="10755" width="10" style="266" customWidth="1"/>
    <col min="10756" max="10756" width="4.7109375" style="266" customWidth="1"/>
    <col min="10757" max="10757" width="3" style="266" customWidth="1"/>
    <col min="10758" max="10758" width="11.140625" style="266" customWidth="1"/>
    <col min="10759" max="10759" width="0.28515625" style="266" customWidth="1"/>
    <col min="10760" max="10760" width="5.7109375" style="266" customWidth="1"/>
    <col min="10761" max="10761" width="4" style="266" customWidth="1"/>
    <col min="10762" max="10762" width="7.28515625" style="266" customWidth="1"/>
    <col min="10763" max="10763" width="7.7109375" style="266" customWidth="1"/>
    <col min="10764" max="10764" width="7.85546875" style="266" customWidth="1"/>
    <col min="10765" max="10765" width="9.140625" style="266"/>
    <col min="10766" max="10766" width="12" style="266" customWidth="1"/>
    <col min="10767" max="11008" width="9.140625" style="266"/>
    <col min="11009" max="11009" width="6.140625" style="266" customWidth="1"/>
    <col min="11010" max="11010" width="41" style="266" customWidth="1"/>
    <col min="11011" max="11011" width="10" style="266" customWidth="1"/>
    <col min="11012" max="11012" width="4.7109375" style="266" customWidth="1"/>
    <col min="11013" max="11013" width="3" style="266" customWidth="1"/>
    <col min="11014" max="11014" width="11.140625" style="266" customWidth="1"/>
    <col min="11015" max="11015" width="0.28515625" style="266" customWidth="1"/>
    <col min="11016" max="11016" width="5.7109375" style="266" customWidth="1"/>
    <col min="11017" max="11017" width="4" style="266" customWidth="1"/>
    <col min="11018" max="11018" width="7.28515625" style="266" customWidth="1"/>
    <col min="11019" max="11019" width="7.7109375" style="266" customWidth="1"/>
    <col min="11020" max="11020" width="7.85546875" style="266" customWidth="1"/>
    <col min="11021" max="11021" width="9.140625" style="266"/>
    <col min="11022" max="11022" width="12" style="266" customWidth="1"/>
    <col min="11023" max="11264" width="9.140625" style="266"/>
    <col min="11265" max="11265" width="6.140625" style="266" customWidth="1"/>
    <col min="11266" max="11266" width="41" style="266" customWidth="1"/>
    <col min="11267" max="11267" width="10" style="266" customWidth="1"/>
    <col min="11268" max="11268" width="4.7109375" style="266" customWidth="1"/>
    <col min="11269" max="11269" width="3" style="266" customWidth="1"/>
    <col min="11270" max="11270" width="11.140625" style="266" customWidth="1"/>
    <col min="11271" max="11271" width="0.28515625" style="266" customWidth="1"/>
    <col min="11272" max="11272" width="5.7109375" style="266" customWidth="1"/>
    <col min="11273" max="11273" width="4" style="266" customWidth="1"/>
    <col min="11274" max="11274" width="7.28515625" style="266" customWidth="1"/>
    <col min="11275" max="11275" width="7.7109375" style="266" customWidth="1"/>
    <col min="11276" max="11276" width="7.85546875" style="266" customWidth="1"/>
    <col min="11277" max="11277" width="9.140625" style="266"/>
    <col min="11278" max="11278" width="12" style="266" customWidth="1"/>
    <col min="11279" max="11520" width="9.140625" style="266"/>
    <col min="11521" max="11521" width="6.140625" style="266" customWidth="1"/>
    <col min="11522" max="11522" width="41" style="266" customWidth="1"/>
    <col min="11523" max="11523" width="10" style="266" customWidth="1"/>
    <col min="11524" max="11524" width="4.7109375" style="266" customWidth="1"/>
    <col min="11525" max="11525" width="3" style="266" customWidth="1"/>
    <col min="11526" max="11526" width="11.140625" style="266" customWidth="1"/>
    <col min="11527" max="11527" width="0.28515625" style="266" customWidth="1"/>
    <col min="11528" max="11528" width="5.7109375" style="266" customWidth="1"/>
    <col min="11529" max="11529" width="4" style="266" customWidth="1"/>
    <col min="11530" max="11530" width="7.28515625" style="266" customWidth="1"/>
    <col min="11531" max="11531" width="7.7109375" style="266" customWidth="1"/>
    <col min="11532" max="11532" width="7.85546875" style="266" customWidth="1"/>
    <col min="11533" max="11533" width="9.140625" style="266"/>
    <col min="11534" max="11534" width="12" style="266" customWidth="1"/>
    <col min="11535" max="11776" width="9.140625" style="266"/>
    <col min="11777" max="11777" width="6.140625" style="266" customWidth="1"/>
    <col min="11778" max="11778" width="41" style="266" customWidth="1"/>
    <col min="11779" max="11779" width="10" style="266" customWidth="1"/>
    <col min="11780" max="11780" width="4.7109375" style="266" customWidth="1"/>
    <col min="11781" max="11781" width="3" style="266" customWidth="1"/>
    <col min="11782" max="11782" width="11.140625" style="266" customWidth="1"/>
    <col min="11783" max="11783" width="0.28515625" style="266" customWidth="1"/>
    <col min="11784" max="11784" width="5.7109375" style="266" customWidth="1"/>
    <col min="11785" max="11785" width="4" style="266" customWidth="1"/>
    <col min="11786" max="11786" width="7.28515625" style="266" customWidth="1"/>
    <col min="11787" max="11787" width="7.7109375" style="266" customWidth="1"/>
    <col min="11788" max="11788" width="7.85546875" style="266" customWidth="1"/>
    <col min="11789" max="11789" width="9.140625" style="266"/>
    <col min="11790" max="11790" width="12" style="266" customWidth="1"/>
    <col min="11791" max="12032" width="9.140625" style="266"/>
    <col min="12033" max="12033" width="6.140625" style="266" customWidth="1"/>
    <col min="12034" max="12034" width="41" style="266" customWidth="1"/>
    <col min="12035" max="12035" width="10" style="266" customWidth="1"/>
    <col min="12036" max="12036" width="4.7109375" style="266" customWidth="1"/>
    <col min="12037" max="12037" width="3" style="266" customWidth="1"/>
    <col min="12038" max="12038" width="11.140625" style="266" customWidth="1"/>
    <col min="12039" max="12039" width="0.28515625" style="266" customWidth="1"/>
    <col min="12040" max="12040" width="5.7109375" style="266" customWidth="1"/>
    <col min="12041" max="12041" width="4" style="266" customWidth="1"/>
    <col min="12042" max="12042" width="7.28515625" style="266" customWidth="1"/>
    <col min="12043" max="12043" width="7.7109375" style="266" customWidth="1"/>
    <col min="12044" max="12044" width="7.85546875" style="266" customWidth="1"/>
    <col min="12045" max="12045" width="9.140625" style="266"/>
    <col min="12046" max="12046" width="12" style="266" customWidth="1"/>
    <col min="12047" max="12288" width="9.140625" style="266"/>
    <col min="12289" max="12289" width="6.140625" style="266" customWidth="1"/>
    <col min="12290" max="12290" width="41" style="266" customWidth="1"/>
    <col min="12291" max="12291" width="10" style="266" customWidth="1"/>
    <col min="12292" max="12292" width="4.7109375" style="266" customWidth="1"/>
    <col min="12293" max="12293" width="3" style="266" customWidth="1"/>
    <col min="12294" max="12294" width="11.140625" style="266" customWidth="1"/>
    <col min="12295" max="12295" width="0.28515625" style="266" customWidth="1"/>
    <col min="12296" max="12296" width="5.7109375" style="266" customWidth="1"/>
    <col min="12297" max="12297" width="4" style="266" customWidth="1"/>
    <col min="12298" max="12298" width="7.28515625" style="266" customWidth="1"/>
    <col min="12299" max="12299" width="7.7109375" style="266" customWidth="1"/>
    <col min="12300" max="12300" width="7.85546875" style="266" customWidth="1"/>
    <col min="12301" max="12301" width="9.140625" style="266"/>
    <col min="12302" max="12302" width="12" style="266" customWidth="1"/>
    <col min="12303" max="12544" width="9.140625" style="266"/>
    <col min="12545" max="12545" width="6.140625" style="266" customWidth="1"/>
    <col min="12546" max="12546" width="41" style="266" customWidth="1"/>
    <col min="12547" max="12547" width="10" style="266" customWidth="1"/>
    <col min="12548" max="12548" width="4.7109375" style="266" customWidth="1"/>
    <col min="12549" max="12549" width="3" style="266" customWidth="1"/>
    <col min="12550" max="12550" width="11.140625" style="266" customWidth="1"/>
    <col min="12551" max="12551" width="0.28515625" style="266" customWidth="1"/>
    <col min="12552" max="12552" width="5.7109375" style="266" customWidth="1"/>
    <col min="12553" max="12553" width="4" style="266" customWidth="1"/>
    <col min="12554" max="12554" width="7.28515625" style="266" customWidth="1"/>
    <col min="12555" max="12555" width="7.7109375" style="266" customWidth="1"/>
    <col min="12556" max="12556" width="7.85546875" style="266" customWidth="1"/>
    <col min="12557" max="12557" width="9.140625" style="266"/>
    <col min="12558" max="12558" width="12" style="266" customWidth="1"/>
    <col min="12559" max="12800" width="9.140625" style="266"/>
    <col min="12801" max="12801" width="6.140625" style="266" customWidth="1"/>
    <col min="12802" max="12802" width="41" style="266" customWidth="1"/>
    <col min="12803" max="12803" width="10" style="266" customWidth="1"/>
    <col min="12804" max="12804" width="4.7109375" style="266" customWidth="1"/>
    <col min="12805" max="12805" width="3" style="266" customWidth="1"/>
    <col min="12806" max="12806" width="11.140625" style="266" customWidth="1"/>
    <col min="12807" max="12807" width="0.28515625" style="266" customWidth="1"/>
    <col min="12808" max="12808" width="5.7109375" style="266" customWidth="1"/>
    <col min="12809" max="12809" width="4" style="266" customWidth="1"/>
    <col min="12810" max="12810" width="7.28515625" style="266" customWidth="1"/>
    <col min="12811" max="12811" width="7.7109375" style="266" customWidth="1"/>
    <col min="12812" max="12812" width="7.85546875" style="266" customWidth="1"/>
    <col min="12813" max="12813" width="9.140625" style="266"/>
    <col min="12814" max="12814" width="12" style="266" customWidth="1"/>
    <col min="12815" max="13056" width="9.140625" style="266"/>
    <col min="13057" max="13057" width="6.140625" style="266" customWidth="1"/>
    <col min="13058" max="13058" width="41" style="266" customWidth="1"/>
    <col min="13059" max="13059" width="10" style="266" customWidth="1"/>
    <col min="13060" max="13060" width="4.7109375" style="266" customWidth="1"/>
    <col min="13061" max="13061" width="3" style="266" customWidth="1"/>
    <col min="13062" max="13062" width="11.140625" style="266" customWidth="1"/>
    <col min="13063" max="13063" width="0.28515625" style="266" customWidth="1"/>
    <col min="13064" max="13064" width="5.7109375" style="266" customWidth="1"/>
    <col min="13065" max="13065" width="4" style="266" customWidth="1"/>
    <col min="13066" max="13066" width="7.28515625" style="266" customWidth="1"/>
    <col min="13067" max="13067" width="7.7109375" style="266" customWidth="1"/>
    <col min="13068" max="13068" width="7.85546875" style="266" customWidth="1"/>
    <col min="13069" max="13069" width="9.140625" style="266"/>
    <col min="13070" max="13070" width="12" style="266" customWidth="1"/>
    <col min="13071" max="13312" width="9.140625" style="266"/>
    <col min="13313" max="13313" width="6.140625" style="266" customWidth="1"/>
    <col min="13314" max="13314" width="41" style="266" customWidth="1"/>
    <col min="13315" max="13315" width="10" style="266" customWidth="1"/>
    <col min="13316" max="13316" width="4.7109375" style="266" customWidth="1"/>
    <col min="13317" max="13317" width="3" style="266" customWidth="1"/>
    <col min="13318" max="13318" width="11.140625" style="266" customWidth="1"/>
    <col min="13319" max="13319" width="0.28515625" style="266" customWidth="1"/>
    <col min="13320" max="13320" width="5.7109375" style="266" customWidth="1"/>
    <col min="13321" max="13321" width="4" style="266" customWidth="1"/>
    <col min="13322" max="13322" width="7.28515625" style="266" customWidth="1"/>
    <col min="13323" max="13323" width="7.7109375" style="266" customWidth="1"/>
    <col min="13324" max="13324" width="7.85546875" style="266" customWidth="1"/>
    <col min="13325" max="13325" width="9.140625" style="266"/>
    <col min="13326" max="13326" width="12" style="266" customWidth="1"/>
    <col min="13327" max="13568" width="9.140625" style="266"/>
    <col min="13569" max="13569" width="6.140625" style="266" customWidth="1"/>
    <col min="13570" max="13570" width="41" style="266" customWidth="1"/>
    <col min="13571" max="13571" width="10" style="266" customWidth="1"/>
    <col min="13572" max="13572" width="4.7109375" style="266" customWidth="1"/>
    <col min="13573" max="13573" width="3" style="266" customWidth="1"/>
    <col min="13574" max="13574" width="11.140625" style="266" customWidth="1"/>
    <col min="13575" max="13575" width="0.28515625" style="266" customWidth="1"/>
    <col min="13576" max="13576" width="5.7109375" style="266" customWidth="1"/>
    <col min="13577" max="13577" width="4" style="266" customWidth="1"/>
    <col min="13578" max="13578" width="7.28515625" style="266" customWidth="1"/>
    <col min="13579" max="13579" width="7.7109375" style="266" customWidth="1"/>
    <col min="13580" max="13580" width="7.85546875" style="266" customWidth="1"/>
    <col min="13581" max="13581" width="9.140625" style="266"/>
    <col min="13582" max="13582" width="12" style="266" customWidth="1"/>
    <col min="13583" max="13824" width="9.140625" style="266"/>
    <col min="13825" max="13825" width="6.140625" style="266" customWidth="1"/>
    <col min="13826" max="13826" width="41" style="266" customWidth="1"/>
    <col min="13827" max="13827" width="10" style="266" customWidth="1"/>
    <col min="13828" max="13828" width="4.7109375" style="266" customWidth="1"/>
    <col min="13829" max="13829" width="3" style="266" customWidth="1"/>
    <col min="13830" max="13830" width="11.140625" style="266" customWidth="1"/>
    <col min="13831" max="13831" width="0.28515625" style="266" customWidth="1"/>
    <col min="13832" max="13832" width="5.7109375" style="266" customWidth="1"/>
    <col min="13833" max="13833" width="4" style="266" customWidth="1"/>
    <col min="13834" max="13834" width="7.28515625" style="266" customWidth="1"/>
    <col min="13835" max="13835" width="7.7109375" style="266" customWidth="1"/>
    <col min="13836" max="13836" width="7.85546875" style="266" customWidth="1"/>
    <col min="13837" max="13837" width="9.140625" style="266"/>
    <col min="13838" max="13838" width="12" style="266" customWidth="1"/>
    <col min="13839" max="14080" width="9.140625" style="266"/>
    <col min="14081" max="14081" width="6.140625" style="266" customWidth="1"/>
    <col min="14082" max="14082" width="41" style="266" customWidth="1"/>
    <col min="14083" max="14083" width="10" style="266" customWidth="1"/>
    <col min="14084" max="14084" width="4.7109375" style="266" customWidth="1"/>
    <col min="14085" max="14085" width="3" style="266" customWidth="1"/>
    <col min="14086" max="14086" width="11.140625" style="266" customWidth="1"/>
    <col min="14087" max="14087" width="0.28515625" style="266" customWidth="1"/>
    <col min="14088" max="14088" width="5.7109375" style="266" customWidth="1"/>
    <col min="14089" max="14089" width="4" style="266" customWidth="1"/>
    <col min="14090" max="14090" width="7.28515625" style="266" customWidth="1"/>
    <col min="14091" max="14091" width="7.7109375" style="266" customWidth="1"/>
    <col min="14092" max="14092" width="7.85546875" style="266" customWidth="1"/>
    <col min="14093" max="14093" width="9.140625" style="266"/>
    <col min="14094" max="14094" width="12" style="266" customWidth="1"/>
    <col min="14095" max="14336" width="9.140625" style="266"/>
    <col min="14337" max="14337" width="6.140625" style="266" customWidth="1"/>
    <col min="14338" max="14338" width="41" style="266" customWidth="1"/>
    <col min="14339" max="14339" width="10" style="266" customWidth="1"/>
    <col min="14340" max="14340" width="4.7109375" style="266" customWidth="1"/>
    <col min="14341" max="14341" width="3" style="266" customWidth="1"/>
    <col min="14342" max="14342" width="11.140625" style="266" customWidth="1"/>
    <col min="14343" max="14343" width="0.28515625" style="266" customWidth="1"/>
    <col min="14344" max="14344" width="5.7109375" style="266" customWidth="1"/>
    <col min="14345" max="14345" width="4" style="266" customWidth="1"/>
    <col min="14346" max="14346" width="7.28515625" style="266" customWidth="1"/>
    <col min="14347" max="14347" width="7.7109375" style="266" customWidth="1"/>
    <col min="14348" max="14348" width="7.85546875" style="266" customWidth="1"/>
    <col min="14349" max="14349" width="9.140625" style="266"/>
    <col min="14350" max="14350" width="12" style="266" customWidth="1"/>
    <col min="14351" max="14592" width="9.140625" style="266"/>
    <col min="14593" max="14593" width="6.140625" style="266" customWidth="1"/>
    <col min="14594" max="14594" width="41" style="266" customWidth="1"/>
    <col min="14595" max="14595" width="10" style="266" customWidth="1"/>
    <col min="14596" max="14596" width="4.7109375" style="266" customWidth="1"/>
    <col min="14597" max="14597" width="3" style="266" customWidth="1"/>
    <col min="14598" max="14598" width="11.140625" style="266" customWidth="1"/>
    <col min="14599" max="14599" width="0.28515625" style="266" customWidth="1"/>
    <col min="14600" max="14600" width="5.7109375" style="266" customWidth="1"/>
    <col min="14601" max="14601" width="4" style="266" customWidth="1"/>
    <col min="14602" max="14602" width="7.28515625" style="266" customWidth="1"/>
    <col min="14603" max="14603" width="7.7109375" style="266" customWidth="1"/>
    <col min="14604" max="14604" width="7.85546875" style="266" customWidth="1"/>
    <col min="14605" max="14605" width="9.140625" style="266"/>
    <col min="14606" max="14606" width="12" style="266" customWidth="1"/>
    <col min="14607" max="14848" width="9.140625" style="266"/>
    <col min="14849" max="14849" width="6.140625" style="266" customWidth="1"/>
    <col min="14850" max="14850" width="41" style="266" customWidth="1"/>
    <col min="14851" max="14851" width="10" style="266" customWidth="1"/>
    <col min="14852" max="14852" width="4.7109375" style="266" customWidth="1"/>
    <col min="14853" max="14853" width="3" style="266" customWidth="1"/>
    <col min="14854" max="14854" width="11.140625" style="266" customWidth="1"/>
    <col min="14855" max="14855" width="0.28515625" style="266" customWidth="1"/>
    <col min="14856" max="14856" width="5.7109375" style="266" customWidth="1"/>
    <col min="14857" max="14857" width="4" style="266" customWidth="1"/>
    <col min="14858" max="14858" width="7.28515625" style="266" customWidth="1"/>
    <col min="14859" max="14859" width="7.7109375" style="266" customWidth="1"/>
    <col min="14860" max="14860" width="7.85546875" style="266" customWidth="1"/>
    <col min="14861" max="14861" width="9.140625" style="266"/>
    <col min="14862" max="14862" width="12" style="266" customWidth="1"/>
    <col min="14863" max="15104" width="9.140625" style="266"/>
    <col min="15105" max="15105" width="6.140625" style="266" customWidth="1"/>
    <col min="15106" max="15106" width="41" style="266" customWidth="1"/>
    <col min="15107" max="15107" width="10" style="266" customWidth="1"/>
    <col min="15108" max="15108" width="4.7109375" style="266" customWidth="1"/>
    <col min="15109" max="15109" width="3" style="266" customWidth="1"/>
    <col min="15110" max="15110" width="11.140625" style="266" customWidth="1"/>
    <col min="15111" max="15111" width="0.28515625" style="266" customWidth="1"/>
    <col min="15112" max="15112" width="5.7109375" style="266" customWidth="1"/>
    <col min="15113" max="15113" width="4" style="266" customWidth="1"/>
    <col min="15114" max="15114" width="7.28515625" style="266" customWidth="1"/>
    <col min="15115" max="15115" width="7.7109375" style="266" customWidth="1"/>
    <col min="15116" max="15116" width="7.85546875" style="266" customWidth="1"/>
    <col min="15117" max="15117" width="9.140625" style="266"/>
    <col min="15118" max="15118" width="12" style="266" customWidth="1"/>
    <col min="15119" max="15360" width="9.140625" style="266"/>
    <col min="15361" max="15361" width="6.140625" style="266" customWidth="1"/>
    <col min="15362" max="15362" width="41" style="266" customWidth="1"/>
    <col min="15363" max="15363" width="10" style="266" customWidth="1"/>
    <col min="15364" max="15364" width="4.7109375" style="266" customWidth="1"/>
    <col min="15365" max="15365" width="3" style="266" customWidth="1"/>
    <col min="15366" max="15366" width="11.140625" style="266" customWidth="1"/>
    <col min="15367" max="15367" width="0.28515625" style="266" customWidth="1"/>
    <col min="15368" max="15368" width="5.7109375" style="266" customWidth="1"/>
    <col min="15369" max="15369" width="4" style="266" customWidth="1"/>
    <col min="15370" max="15370" width="7.28515625" style="266" customWidth="1"/>
    <col min="15371" max="15371" width="7.7109375" style="266" customWidth="1"/>
    <col min="15372" max="15372" width="7.85546875" style="266" customWidth="1"/>
    <col min="15373" max="15373" width="9.140625" style="266"/>
    <col min="15374" max="15374" width="12" style="266" customWidth="1"/>
    <col min="15375" max="15616" width="9.140625" style="266"/>
    <col min="15617" max="15617" width="6.140625" style="266" customWidth="1"/>
    <col min="15618" max="15618" width="41" style="266" customWidth="1"/>
    <col min="15619" max="15619" width="10" style="266" customWidth="1"/>
    <col min="15620" max="15620" width="4.7109375" style="266" customWidth="1"/>
    <col min="15621" max="15621" width="3" style="266" customWidth="1"/>
    <col min="15622" max="15622" width="11.140625" style="266" customWidth="1"/>
    <col min="15623" max="15623" width="0.28515625" style="266" customWidth="1"/>
    <col min="15624" max="15624" width="5.7109375" style="266" customWidth="1"/>
    <col min="15625" max="15625" width="4" style="266" customWidth="1"/>
    <col min="15626" max="15626" width="7.28515625" style="266" customWidth="1"/>
    <col min="15627" max="15627" width="7.7109375" style="266" customWidth="1"/>
    <col min="15628" max="15628" width="7.85546875" style="266" customWidth="1"/>
    <col min="15629" max="15629" width="9.140625" style="266"/>
    <col min="15630" max="15630" width="12" style="266" customWidth="1"/>
    <col min="15631" max="15872" width="9.140625" style="266"/>
    <col min="15873" max="15873" width="6.140625" style="266" customWidth="1"/>
    <col min="15874" max="15874" width="41" style="266" customWidth="1"/>
    <col min="15875" max="15875" width="10" style="266" customWidth="1"/>
    <col min="15876" max="15876" width="4.7109375" style="266" customWidth="1"/>
    <col min="15877" max="15877" width="3" style="266" customWidth="1"/>
    <col min="15878" max="15878" width="11.140625" style="266" customWidth="1"/>
    <col min="15879" max="15879" width="0.28515625" style="266" customWidth="1"/>
    <col min="15880" max="15880" width="5.7109375" style="266" customWidth="1"/>
    <col min="15881" max="15881" width="4" style="266" customWidth="1"/>
    <col min="15882" max="15882" width="7.28515625" style="266" customWidth="1"/>
    <col min="15883" max="15883" width="7.7109375" style="266" customWidth="1"/>
    <col min="15884" max="15884" width="7.85546875" style="266" customWidth="1"/>
    <col min="15885" max="15885" width="9.140625" style="266"/>
    <col min="15886" max="15886" width="12" style="266" customWidth="1"/>
    <col min="15887" max="16128" width="9.140625" style="266"/>
    <col min="16129" max="16129" width="6.140625" style="266" customWidth="1"/>
    <col min="16130" max="16130" width="41" style="266" customWidth="1"/>
    <col min="16131" max="16131" width="10" style="266" customWidth="1"/>
    <col min="16132" max="16132" width="4.7109375" style="266" customWidth="1"/>
    <col min="16133" max="16133" width="3" style="266" customWidth="1"/>
    <col min="16134" max="16134" width="11.140625" style="266" customWidth="1"/>
    <col min="16135" max="16135" width="0.28515625" style="266" customWidth="1"/>
    <col min="16136" max="16136" width="5.7109375" style="266" customWidth="1"/>
    <col min="16137" max="16137" width="4" style="266" customWidth="1"/>
    <col min="16138" max="16138" width="7.28515625" style="266" customWidth="1"/>
    <col min="16139" max="16139" width="7.7109375" style="266" customWidth="1"/>
    <col min="16140" max="16140" width="7.85546875" style="266" customWidth="1"/>
    <col min="16141" max="16141" width="9.140625" style="266"/>
    <col min="16142" max="16142" width="12" style="266" customWidth="1"/>
    <col min="16143" max="16384" width="9.140625" style="266"/>
  </cols>
  <sheetData>
    <row r="1" spans="1:15" s="267" customFormat="1"/>
    <row r="2" spans="1:15">
      <c r="A2" s="330" t="s">
        <v>1057</v>
      </c>
      <c r="B2" s="267"/>
      <c r="C2" s="267"/>
      <c r="D2" s="267"/>
      <c r="E2" s="267"/>
      <c r="F2" s="267"/>
      <c r="G2" s="267"/>
      <c r="H2" s="267"/>
      <c r="I2" s="267"/>
      <c r="J2" s="267"/>
      <c r="K2" s="267"/>
      <c r="L2" s="267"/>
      <c r="M2" s="267"/>
      <c r="N2" s="323"/>
    </row>
    <row r="3" spans="1:15">
      <c r="A3" s="348"/>
      <c r="B3" s="307"/>
      <c r="C3" s="307"/>
      <c r="D3" s="307"/>
      <c r="E3" s="307"/>
      <c r="F3" s="307"/>
      <c r="G3" s="307"/>
      <c r="H3" s="307"/>
      <c r="I3" s="307"/>
      <c r="J3" s="307"/>
      <c r="K3" s="307"/>
      <c r="L3" s="307"/>
      <c r="M3" s="267"/>
      <c r="N3" s="385"/>
    </row>
    <row r="4" spans="1:15">
      <c r="A4" s="379"/>
      <c r="B4" s="309"/>
      <c r="C4" s="379"/>
      <c r="D4" s="309"/>
      <c r="E4" s="309"/>
      <c r="F4" s="309"/>
      <c r="G4" s="309"/>
      <c r="H4" s="309"/>
      <c r="I4" s="309"/>
      <c r="J4" s="309"/>
      <c r="K4" s="309"/>
      <c r="L4" s="309"/>
      <c r="M4" s="6060" t="s">
        <v>1047</v>
      </c>
      <c r="N4" s="311"/>
    </row>
    <row r="5" spans="1:15">
      <c r="A5" s="308" t="s">
        <v>371</v>
      </c>
      <c r="B5" s="309" t="s">
        <v>372</v>
      </c>
      <c r="C5" s="1571" t="s">
        <v>314</v>
      </c>
      <c r="D5" s="1573" t="s">
        <v>2421</v>
      </c>
      <c r="E5" s="1573"/>
      <c r="F5" s="1573"/>
      <c r="G5" s="1573"/>
      <c r="H5" s="1573"/>
      <c r="I5" s="1573"/>
      <c r="J5" s="6219" t="s">
        <v>2422</v>
      </c>
      <c r="K5" s="6219"/>
      <c r="L5" s="6220"/>
      <c r="M5" s="6061"/>
      <c r="N5" s="312"/>
      <c r="O5" s="266" t="s">
        <v>94</v>
      </c>
    </row>
    <row r="6" spans="1:15">
      <c r="A6" s="310"/>
      <c r="B6" s="310"/>
      <c r="C6" s="1829" t="s">
        <v>1044</v>
      </c>
      <c r="D6" s="314" t="s">
        <v>1045</v>
      </c>
      <c r="E6" s="314"/>
      <c r="F6" s="314"/>
      <c r="G6" s="314"/>
      <c r="H6" s="314"/>
      <c r="I6" s="314"/>
      <c r="J6" s="6221" t="s">
        <v>1046</v>
      </c>
      <c r="K6" s="6221"/>
      <c r="L6" s="6222"/>
      <c r="M6" s="6215"/>
      <c r="N6" s="315"/>
    </row>
    <row r="7" spans="1:15">
      <c r="A7" s="308"/>
      <c r="B7" s="309"/>
      <c r="C7" s="1829" t="s">
        <v>380</v>
      </c>
      <c r="D7" s="391"/>
      <c r="E7" s="391"/>
      <c r="F7" s="391"/>
      <c r="G7" s="391"/>
      <c r="H7" s="391"/>
      <c r="I7" s="392"/>
      <c r="J7" s="317"/>
      <c r="K7" s="317"/>
      <c r="L7" s="391"/>
      <c r="M7" s="1572" t="s">
        <v>1048</v>
      </c>
      <c r="N7" s="318"/>
    </row>
    <row r="8" spans="1:15">
      <c r="A8" s="308"/>
      <c r="B8" s="309"/>
      <c r="C8" s="1559"/>
      <c r="D8" s="6211" t="s">
        <v>261</v>
      </c>
      <c r="E8" s="6212"/>
      <c r="F8" s="6213" t="s">
        <v>1049</v>
      </c>
      <c r="G8" s="6213"/>
      <c r="H8" s="6050" t="s">
        <v>520</v>
      </c>
      <c r="I8" s="6216"/>
      <c r="J8" s="6059" t="s">
        <v>264</v>
      </c>
      <c r="K8" s="6059" t="s">
        <v>265</v>
      </c>
      <c r="L8" s="6217" t="s">
        <v>266</v>
      </c>
      <c r="M8" s="1561" t="s">
        <v>1050</v>
      </c>
      <c r="N8" s="311"/>
    </row>
    <row r="9" spans="1:15">
      <c r="A9" s="319"/>
      <c r="B9" s="314"/>
      <c r="C9" s="1588"/>
      <c r="D9" s="314"/>
      <c r="E9" s="315"/>
      <c r="F9" s="314"/>
      <c r="G9" s="314"/>
      <c r="H9" s="313"/>
      <c r="I9" s="314"/>
      <c r="J9" s="6059"/>
      <c r="K9" s="6059"/>
      <c r="L9" s="6218"/>
      <c r="M9" s="1560" t="s">
        <v>1051</v>
      </c>
      <c r="N9" s="315"/>
    </row>
    <row r="10" spans="1:15">
      <c r="A10" s="321"/>
      <c r="C10" s="321"/>
      <c r="D10" s="6214" t="s">
        <v>525</v>
      </c>
      <c r="E10" s="6214"/>
      <c r="F10" s="393" t="s">
        <v>1052</v>
      </c>
      <c r="H10" s="394" t="s">
        <v>1053</v>
      </c>
      <c r="I10" s="267"/>
      <c r="J10" s="269"/>
      <c r="K10" s="269"/>
      <c r="L10" s="267"/>
      <c r="M10" s="1562" t="s">
        <v>1054</v>
      </c>
      <c r="N10" s="324" t="s">
        <v>383</v>
      </c>
    </row>
    <row r="11" spans="1:15" ht="15.6" customHeight="1">
      <c r="A11" s="325">
        <v>1</v>
      </c>
      <c r="B11" s="327" t="s">
        <v>388</v>
      </c>
      <c r="C11" s="42">
        <v>4.3499999999999996</v>
      </c>
      <c r="D11" s="327"/>
      <c r="E11" s="326"/>
      <c r="F11" s="327"/>
      <c r="G11" s="327"/>
      <c r="H11" s="328"/>
      <c r="I11" s="327"/>
      <c r="J11" s="273">
        <v>0</v>
      </c>
      <c r="K11" s="273">
        <v>0</v>
      </c>
      <c r="L11" s="342">
        <v>0</v>
      </c>
      <c r="M11" s="1563">
        <v>0</v>
      </c>
      <c r="N11" s="377"/>
      <c r="O11" s="388"/>
    </row>
    <row r="12" spans="1:15">
      <c r="A12" s="329">
        <v>2</v>
      </c>
      <c r="B12" s="266" t="s">
        <v>389</v>
      </c>
      <c r="C12" s="331">
        <v>97.24</v>
      </c>
      <c r="E12" s="323"/>
      <c r="H12" s="330"/>
      <c r="I12" s="323"/>
      <c r="J12" s="396">
        <v>0.18</v>
      </c>
      <c r="K12" s="396">
        <v>0.6</v>
      </c>
      <c r="L12" s="396">
        <v>0.54</v>
      </c>
      <c r="M12" s="1564">
        <v>2.67</v>
      </c>
      <c r="N12" s="377"/>
      <c r="O12" s="388"/>
    </row>
    <row r="13" spans="1:15" hidden="1">
      <c r="A13" s="325">
        <v>3</v>
      </c>
      <c r="B13" s="327" t="s">
        <v>390</v>
      </c>
      <c r="C13" s="42"/>
      <c r="D13" s="327"/>
      <c r="E13" s="326"/>
      <c r="F13" s="327"/>
      <c r="G13" s="327"/>
      <c r="H13" s="328"/>
      <c r="I13" s="326"/>
      <c r="J13" s="328"/>
      <c r="K13" s="328"/>
      <c r="L13" s="328"/>
      <c r="M13" s="1565"/>
      <c r="N13" s="377"/>
      <c r="O13" s="388"/>
    </row>
    <row r="14" spans="1:15" hidden="1">
      <c r="A14" s="329">
        <v>4</v>
      </c>
      <c r="B14" s="334" t="s">
        <v>391</v>
      </c>
      <c r="C14" s="321"/>
      <c r="E14" s="323"/>
      <c r="H14" s="330"/>
      <c r="I14" s="323"/>
      <c r="J14" s="330"/>
      <c r="K14" s="330"/>
      <c r="L14" s="330"/>
      <c r="M14" s="1566"/>
      <c r="N14" s="377"/>
      <c r="O14" s="388"/>
    </row>
    <row r="15" spans="1:15" hidden="1">
      <c r="A15" s="325">
        <v>5</v>
      </c>
      <c r="B15" s="327" t="s">
        <v>392</v>
      </c>
      <c r="C15" s="42"/>
      <c r="D15" s="327"/>
      <c r="E15" s="326"/>
      <c r="F15" s="327"/>
      <c r="G15" s="327"/>
      <c r="H15" s="328"/>
      <c r="I15" s="326"/>
      <c r="J15" s="328"/>
      <c r="K15" s="328"/>
      <c r="L15" s="328"/>
      <c r="M15" s="1565"/>
      <c r="N15" s="377"/>
      <c r="O15" s="388"/>
    </row>
    <row r="16" spans="1:15">
      <c r="A16" s="329">
        <v>6</v>
      </c>
      <c r="B16" s="334" t="s">
        <v>393</v>
      </c>
      <c r="C16" s="321">
        <v>843.24</v>
      </c>
      <c r="E16" s="323"/>
      <c r="H16" s="330"/>
      <c r="I16" s="323"/>
      <c r="J16" s="396">
        <v>-0.08</v>
      </c>
      <c r="K16" s="396">
        <v>4.3</v>
      </c>
      <c r="L16" s="396">
        <v>3.13</v>
      </c>
      <c r="M16" s="1564">
        <v>39.46</v>
      </c>
      <c r="N16" s="377"/>
      <c r="O16" s="388"/>
    </row>
    <row r="17" spans="1:15" hidden="1">
      <c r="A17" s="333" t="s">
        <v>233</v>
      </c>
      <c r="B17" s="327" t="s">
        <v>394</v>
      </c>
      <c r="C17" s="42"/>
      <c r="D17" s="327"/>
      <c r="E17" s="326"/>
      <c r="F17" s="327"/>
      <c r="G17" s="327"/>
      <c r="H17" s="328"/>
      <c r="I17" s="326"/>
      <c r="J17" s="328"/>
      <c r="K17" s="328"/>
      <c r="L17" s="328"/>
      <c r="M17" s="1565"/>
      <c r="N17" s="377"/>
    </row>
    <row r="18" spans="1:15" hidden="1">
      <c r="A18" s="321"/>
      <c r="B18" s="334" t="s">
        <v>395</v>
      </c>
      <c r="C18" s="321"/>
      <c r="E18" s="323"/>
      <c r="H18" s="330"/>
      <c r="I18" s="323"/>
      <c r="J18" s="330"/>
      <c r="K18" s="330"/>
      <c r="L18" s="330"/>
      <c r="M18" s="1566"/>
      <c r="N18" s="377"/>
    </row>
    <row r="19" spans="1:15" hidden="1">
      <c r="A19" s="42"/>
      <c r="B19" s="327" t="s">
        <v>396</v>
      </c>
      <c r="C19" s="42"/>
      <c r="D19" s="327"/>
      <c r="E19" s="326"/>
      <c r="F19" s="327"/>
      <c r="G19" s="327"/>
      <c r="H19" s="328"/>
      <c r="I19" s="326"/>
      <c r="J19" s="328"/>
      <c r="K19" s="328"/>
      <c r="L19" s="328"/>
      <c r="M19" s="1565"/>
      <c r="N19" s="377"/>
    </row>
    <row r="20" spans="1:15" hidden="1">
      <c r="A20" s="321"/>
      <c r="B20" s="334" t="s">
        <v>397</v>
      </c>
      <c r="C20" s="321"/>
      <c r="E20" s="323"/>
      <c r="H20" s="330"/>
      <c r="I20" s="323"/>
      <c r="J20" s="330"/>
      <c r="K20" s="330"/>
      <c r="L20" s="330"/>
      <c r="M20" s="1566"/>
      <c r="N20" s="377"/>
    </row>
    <row r="21" spans="1:15" hidden="1">
      <c r="A21" s="42"/>
      <c r="B21" s="327" t="s">
        <v>398</v>
      </c>
      <c r="C21" s="42"/>
      <c r="D21" s="327"/>
      <c r="E21" s="326"/>
      <c r="F21" s="327"/>
      <c r="G21" s="327"/>
      <c r="H21" s="328"/>
      <c r="I21" s="326"/>
      <c r="J21" s="328"/>
      <c r="K21" s="328"/>
      <c r="L21" s="328"/>
      <c r="M21" s="1565"/>
      <c r="N21" s="377"/>
    </row>
    <row r="22" spans="1:15" hidden="1">
      <c r="A22" s="321"/>
      <c r="B22" s="334" t="s">
        <v>399</v>
      </c>
      <c r="C22" s="321"/>
      <c r="E22" s="323"/>
      <c r="H22" s="330"/>
      <c r="I22" s="323"/>
      <c r="J22" s="330"/>
      <c r="K22" s="330"/>
      <c r="L22" s="330"/>
      <c r="M22" s="1566"/>
      <c r="N22" s="377"/>
    </row>
    <row r="23" spans="1:15" hidden="1">
      <c r="A23" s="42"/>
      <c r="B23" s="327" t="s">
        <v>400</v>
      </c>
      <c r="C23" s="42"/>
      <c r="D23" s="327"/>
      <c r="E23" s="326"/>
      <c r="F23" s="327"/>
      <c r="G23" s="327"/>
      <c r="H23" s="328"/>
      <c r="I23" s="326"/>
      <c r="J23" s="328"/>
      <c r="K23" s="328"/>
      <c r="L23" s="328"/>
      <c r="M23" s="1565"/>
      <c r="N23" s="377"/>
    </row>
    <row r="24" spans="1:15" hidden="1">
      <c r="A24" s="321"/>
      <c r="B24" s="334" t="s">
        <v>401</v>
      </c>
      <c r="C24" s="321"/>
      <c r="E24" s="323"/>
      <c r="H24" s="330"/>
      <c r="I24" s="323"/>
      <c r="J24" s="330"/>
      <c r="K24" s="330"/>
      <c r="L24" s="330"/>
      <c r="M24" s="1566"/>
      <c r="N24" s="377"/>
    </row>
    <row r="25" spans="1:15" hidden="1">
      <c r="A25" s="42"/>
      <c r="B25" s="327" t="s">
        <v>402</v>
      </c>
      <c r="C25" s="42"/>
      <c r="D25" s="327"/>
      <c r="E25" s="326"/>
      <c r="F25" s="327"/>
      <c r="G25" s="327"/>
      <c r="H25" s="328"/>
      <c r="I25" s="326"/>
      <c r="J25" s="328"/>
      <c r="K25" s="328"/>
      <c r="L25" s="328"/>
      <c r="M25" s="1565"/>
      <c r="N25" s="377"/>
    </row>
    <row r="26" spans="1:15" hidden="1">
      <c r="A26" s="330"/>
      <c r="B26" s="335" t="s">
        <v>403</v>
      </c>
      <c r="D26" s="328"/>
      <c r="E26" s="326"/>
      <c r="H26" s="330"/>
      <c r="I26" s="323"/>
      <c r="J26" s="330"/>
      <c r="K26" s="330"/>
      <c r="L26" s="330"/>
      <c r="M26" s="1566"/>
      <c r="N26" s="377"/>
    </row>
    <row r="27" spans="1:15" hidden="1">
      <c r="A27" s="42"/>
      <c r="B27" s="327" t="s">
        <v>404</v>
      </c>
      <c r="C27" s="42"/>
      <c r="D27" s="327"/>
      <c r="E27" s="326"/>
      <c r="F27" s="327"/>
      <c r="G27" s="327"/>
      <c r="H27" s="328"/>
      <c r="I27" s="326"/>
      <c r="J27" s="328"/>
      <c r="K27" s="328"/>
      <c r="L27" s="328"/>
      <c r="M27" s="1565"/>
      <c r="N27" s="377"/>
    </row>
    <row r="28" spans="1:15" hidden="1">
      <c r="A28" s="336"/>
      <c r="B28" s="334" t="s">
        <v>405</v>
      </c>
      <c r="C28" s="336"/>
      <c r="F28" s="387"/>
      <c r="G28" s="324"/>
      <c r="J28" s="387"/>
      <c r="K28" s="387"/>
      <c r="L28" s="387"/>
      <c r="M28" s="1567"/>
      <c r="N28" s="377"/>
    </row>
    <row r="29" spans="1:15" hidden="1">
      <c r="A29" s="42"/>
      <c r="B29" s="327" t="s">
        <v>406</v>
      </c>
      <c r="C29" s="42"/>
      <c r="D29" s="327"/>
      <c r="E29" s="327"/>
      <c r="F29" s="328"/>
      <c r="G29" s="326"/>
      <c r="H29" s="327"/>
      <c r="I29" s="327"/>
      <c r="J29" s="328"/>
      <c r="K29" s="328"/>
      <c r="L29" s="328"/>
      <c r="M29" s="1565"/>
      <c r="N29" s="377"/>
    </row>
    <row r="30" spans="1:15">
      <c r="A30" s="338" t="s">
        <v>234</v>
      </c>
      <c r="B30" s="334" t="s">
        <v>407</v>
      </c>
      <c r="C30" s="321"/>
      <c r="F30" s="330"/>
      <c r="G30" s="323"/>
      <c r="J30" s="330"/>
      <c r="K30" s="330"/>
      <c r="L30" s="330"/>
      <c r="M30" s="1566"/>
      <c r="N30" s="377"/>
    </row>
    <row r="31" spans="1:15">
      <c r="A31" s="42"/>
      <c r="B31" s="327" t="s">
        <v>2423</v>
      </c>
      <c r="C31" s="42">
        <v>598.9799999999999</v>
      </c>
      <c r="D31" s="327"/>
      <c r="E31" s="327"/>
      <c r="F31" s="328"/>
      <c r="G31" s="326"/>
      <c r="H31" s="327"/>
      <c r="I31" s="327"/>
      <c r="J31" s="395">
        <v>0.92</v>
      </c>
      <c r="K31" s="395">
        <v>1.3</v>
      </c>
      <c r="L31" s="395">
        <v>3.56</v>
      </c>
      <c r="M31" s="1563">
        <v>25.06</v>
      </c>
      <c r="N31" s="377"/>
      <c r="O31" s="388">
        <f>+J31+K31+L31+M31</f>
        <v>30.84</v>
      </c>
    </row>
    <row r="32" spans="1:15" hidden="1">
      <c r="A32" s="321"/>
      <c r="B32" s="334" t="s">
        <v>408</v>
      </c>
      <c r="C32" s="321"/>
      <c r="F32" s="330"/>
      <c r="G32" s="323"/>
      <c r="J32" s="330"/>
      <c r="K32" s="330"/>
      <c r="L32" s="330"/>
      <c r="M32" s="1566"/>
      <c r="N32" s="377"/>
    </row>
    <row r="33" spans="1:15" hidden="1">
      <c r="A33" s="42"/>
      <c r="B33" s="327" t="s">
        <v>409</v>
      </c>
      <c r="C33" s="42"/>
      <c r="D33" s="327"/>
      <c r="E33" s="327"/>
      <c r="F33" s="328"/>
      <c r="G33" s="326"/>
      <c r="H33" s="327"/>
      <c r="I33" s="327"/>
      <c r="J33" s="328"/>
      <c r="K33" s="328"/>
      <c r="L33" s="328"/>
      <c r="M33" s="1565"/>
      <c r="N33" s="377"/>
      <c r="O33" s="388"/>
    </row>
    <row r="34" spans="1:15" hidden="1">
      <c r="A34" s="321"/>
      <c r="B34" s="334" t="s">
        <v>410</v>
      </c>
      <c r="C34" s="321"/>
      <c r="F34" s="330"/>
      <c r="G34" s="323"/>
      <c r="J34" s="330"/>
      <c r="K34" s="330"/>
      <c r="L34" s="330"/>
      <c r="M34" s="1566"/>
      <c r="N34" s="377"/>
    </row>
    <row r="35" spans="1:15" hidden="1">
      <c r="A35" s="42"/>
      <c r="B35" s="327" t="s">
        <v>411</v>
      </c>
      <c r="C35" s="42"/>
      <c r="D35" s="327"/>
      <c r="E35" s="327"/>
      <c r="F35" s="328"/>
      <c r="G35" s="326"/>
      <c r="H35" s="327"/>
      <c r="I35" s="327"/>
      <c r="J35" s="328"/>
      <c r="K35" s="328"/>
      <c r="L35" s="328"/>
      <c r="M35" s="1565"/>
      <c r="N35" s="377"/>
    </row>
    <row r="36" spans="1:15" hidden="1">
      <c r="A36" s="321"/>
      <c r="B36" s="334" t="s">
        <v>412</v>
      </c>
      <c r="C36" s="321"/>
      <c r="F36" s="330"/>
      <c r="G36" s="323"/>
      <c r="J36" s="330"/>
      <c r="K36" s="330"/>
      <c r="L36" s="330"/>
      <c r="M36" s="1566"/>
      <c r="N36" s="377"/>
    </row>
    <row r="37" spans="1:15" hidden="1">
      <c r="A37" s="42"/>
      <c r="B37" s="327" t="s">
        <v>409</v>
      </c>
      <c r="C37" s="42"/>
      <c r="D37" s="327"/>
      <c r="E37" s="327"/>
      <c r="F37" s="328"/>
      <c r="G37" s="326"/>
      <c r="H37" s="327"/>
      <c r="I37" s="327"/>
      <c r="J37" s="328"/>
      <c r="K37" s="328"/>
      <c r="L37" s="328"/>
      <c r="M37" s="1565"/>
      <c r="N37" s="377"/>
    </row>
    <row r="38" spans="1:15" hidden="1">
      <c r="A38" s="321"/>
      <c r="B38" s="334" t="s">
        <v>410</v>
      </c>
      <c r="C38" s="321"/>
      <c r="F38" s="330"/>
      <c r="G38" s="323"/>
      <c r="J38" s="330"/>
      <c r="K38" s="330"/>
      <c r="L38" s="330"/>
      <c r="M38" s="1566"/>
      <c r="N38" s="377"/>
    </row>
    <row r="39" spans="1:15" hidden="1">
      <c r="A39" s="42"/>
      <c r="B39" s="327" t="s">
        <v>411</v>
      </c>
      <c r="C39" s="42"/>
      <c r="D39" s="327"/>
      <c r="E39" s="327"/>
      <c r="F39" s="328"/>
      <c r="G39" s="326"/>
      <c r="H39" s="327"/>
      <c r="I39" s="327"/>
      <c r="J39" s="328"/>
      <c r="K39" s="328"/>
      <c r="L39" s="328"/>
      <c r="M39" s="1565"/>
      <c r="N39" s="377"/>
    </row>
    <row r="40" spans="1:15" hidden="1">
      <c r="A40" s="321"/>
      <c r="B40" s="334" t="s">
        <v>413</v>
      </c>
      <c r="C40" s="321"/>
      <c r="F40" s="330"/>
      <c r="G40" s="323"/>
      <c r="J40" s="330"/>
      <c r="K40" s="330"/>
      <c r="L40" s="330"/>
      <c r="M40" s="1566"/>
      <c r="N40" s="377"/>
    </row>
    <row r="41" spans="1:15" hidden="1">
      <c r="A41" s="42"/>
      <c r="B41" s="327" t="s">
        <v>409</v>
      </c>
      <c r="C41" s="42"/>
      <c r="D41" s="327"/>
      <c r="E41" s="327"/>
      <c r="F41" s="328"/>
      <c r="G41" s="326"/>
      <c r="H41" s="327"/>
      <c r="I41" s="327"/>
      <c r="J41" s="328"/>
      <c r="K41" s="328"/>
      <c r="L41" s="328"/>
      <c r="M41" s="1565"/>
      <c r="N41" s="377"/>
    </row>
    <row r="42" spans="1:15" hidden="1">
      <c r="A42" s="321"/>
      <c r="B42" s="334" t="s">
        <v>410</v>
      </c>
      <c r="C42" s="321"/>
      <c r="F42" s="330"/>
      <c r="G42" s="323"/>
      <c r="J42" s="330"/>
      <c r="K42" s="330"/>
      <c r="L42" s="330"/>
      <c r="M42" s="1566"/>
      <c r="N42" s="377"/>
    </row>
    <row r="43" spans="1:15" hidden="1">
      <c r="A43" s="42"/>
      <c r="B43" s="327" t="s">
        <v>411</v>
      </c>
      <c r="C43" s="42"/>
      <c r="D43" s="327"/>
      <c r="E43" s="327"/>
      <c r="F43" s="328"/>
      <c r="G43" s="326"/>
      <c r="H43" s="327"/>
      <c r="I43" s="327"/>
      <c r="J43" s="328"/>
      <c r="K43" s="328"/>
      <c r="L43" s="328"/>
      <c r="M43" s="1565"/>
      <c r="N43" s="377"/>
    </row>
    <row r="44" spans="1:15" hidden="1">
      <c r="A44" s="321"/>
      <c r="C44" s="321"/>
      <c r="F44" s="330"/>
      <c r="G44" s="323"/>
      <c r="J44" s="330"/>
      <c r="K44" s="330"/>
      <c r="L44" s="330"/>
      <c r="M44" s="1566"/>
      <c r="N44" s="377"/>
    </row>
    <row r="45" spans="1:15" hidden="1">
      <c r="A45" s="42"/>
      <c r="B45" s="327" t="s">
        <v>414</v>
      </c>
      <c r="C45" s="42"/>
      <c r="D45" s="327"/>
      <c r="E45" s="327"/>
      <c r="F45" s="328"/>
      <c r="G45" s="326"/>
      <c r="H45" s="327"/>
      <c r="I45" s="327"/>
      <c r="J45" s="328"/>
      <c r="K45" s="328"/>
      <c r="L45" s="328"/>
      <c r="M45" s="1565"/>
      <c r="N45" s="377"/>
    </row>
    <row r="46" spans="1:15" hidden="1">
      <c r="A46" s="321"/>
      <c r="B46" s="334" t="s">
        <v>415</v>
      </c>
      <c r="C46" s="321"/>
      <c r="F46" s="330"/>
      <c r="G46" s="323"/>
      <c r="J46" s="330"/>
      <c r="K46" s="330"/>
      <c r="L46" s="330"/>
      <c r="M46" s="1566"/>
      <c r="N46" s="377"/>
    </row>
    <row r="47" spans="1:15" hidden="1">
      <c r="A47" s="42"/>
      <c r="B47" s="327" t="s">
        <v>416</v>
      </c>
      <c r="C47" s="42"/>
      <c r="D47" s="327"/>
      <c r="E47" s="327"/>
      <c r="F47" s="328"/>
      <c r="G47" s="326"/>
      <c r="H47" s="327"/>
      <c r="I47" s="327"/>
      <c r="J47" s="328"/>
      <c r="K47" s="328"/>
      <c r="L47" s="328"/>
      <c r="M47" s="1565"/>
      <c r="N47" s="377"/>
    </row>
    <row r="48" spans="1:15" hidden="1">
      <c r="A48" s="321"/>
      <c r="B48" s="334" t="s">
        <v>417</v>
      </c>
      <c r="C48" s="321"/>
      <c r="F48" s="330"/>
      <c r="G48" s="323"/>
      <c r="J48" s="330"/>
      <c r="K48" s="330"/>
      <c r="L48" s="330"/>
      <c r="M48" s="1566"/>
      <c r="N48" s="377"/>
    </row>
    <row r="49" spans="1:15" hidden="1">
      <c r="A49" s="42"/>
      <c r="B49" s="327" t="s">
        <v>418</v>
      </c>
      <c r="C49" s="42"/>
      <c r="D49" s="327"/>
      <c r="E49" s="327"/>
      <c r="F49" s="328"/>
      <c r="G49" s="326"/>
      <c r="H49" s="327"/>
      <c r="I49" s="327"/>
      <c r="J49" s="328"/>
      <c r="K49" s="328"/>
      <c r="L49" s="328"/>
      <c r="M49" s="1565"/>
      <c r="N49" s="377"/>
    </row>
    <row r="50" spans="1:15" hidden="1">
      <c r="A50" s="328"/>
      <c r="B50" s="339" t="s">
        <v>419</v>
      </c>
      <c r="C50" s="327"/>
      <c r="D50" s="328"/>
      <c r="E50" s="326"/>
      <c r="F50" s="327"/>
      <c r="G50" s="327"/>
      <c r="H50" s="387"/>
      <c r="I50" s="326"/>
      <c r="J50" s="42"/>
      <c r="K50" s="42"/>
      <c r="L50" s="328"/>
      <c r="M50" s="1565"/>
      <c r="N50" s="377"/>
    </row>
    <row r="51" spans="1:15" hidden="1">
      <c r="A51" s="330"/>
      <c r="B51" s="42" t="s">
        <v>416</v>
      </c>
      <c r="D51" s="330"/>
      <c r="E51" s="323"/>
      <c r="H51" s="328"/>
      <c r="I51" s="323"/>
      <c r="J51" s="321"/>
      <c r="K51" s="321"/>
      <c r="L51" s="330"/>
      <c r="M51" s="1566"/>
      <c r="N51" s="377"/>
    </row>
    <row r="52" spans="1:15" hidden="1">
      <c r="A52" s="328"/>
      <c r="B52" s="339" t="s">
        <v>417</v>
      </c>
      <c r="C52" s="327"/>
      <c r="D52" s="328"/>
      <c r="E52" s="326"/>
      <c r="F52" s="327"/>
      <c r="G52" s="327"/>
      <c r="H52" s="330"/>
      <c r="I52" s="326"/>
      <c r="J52" s="42"/>
      <c r="K52" s="42"/>
      <c r="L52" s="328"/>
      <c r="M52" s="1565"/>
      <c r="N52" s="377"/>
    </row>
    <row r="53" spans="1:15" hidden="1">
      <c r="A53" s="330"/>
      <c r="B53" s="42" t="s">
        <v>418</v>
      </c>
      <c r="D53" s="330"/>
      <c r="E53" s="323"/>
      <c r="H53" s="328"/>
      <c r="I53" s="323"/>
      <c r="J53" s="321"/>
      <c r="K53" s="321"/>
      <c r="L53" s="330"/>
      <c r="M53" s="1566"/>
      <c r="N53" s="377"/>
    </row>
    <row r="54" spans="1:15" hidden="1">
      <c r="A54" s="328"/>
      <c r="B54" s="340" t="s">
        <v>420</v>
      </c>
      <c r="C54" s="327"/>
      <c r="D54" s="328"/>
      <c r="E54" s="326"/>
      <c r="F54" s="327"/>
      <c r="G54" s="327"/>
      <c r="H54" s="330"/>
      <c r="I54" s="326"/>
      <c r="J54" s="42"/>
      <c r="K54" s="42"/>
      <c r="L54" s="328"/>
      <c r="M54" s="1565"/>
      <c r="N54" s="377"/>
    </row>
    <row r="55" spans="1:15" hidden="1">
      <c r="A55" s="330"/>
      <c r="B55" s="42" t="s">
        <v>416</v>
      </c>
      <c r="D55" s="330"/>
      <c r="E55" s="323"/>
      <c r="H55" s="328"/>
      <c r="I55" s="323"/>
      <c r="J55" s="321"/>
      <c r="K55" s="321"/>
      <c r="L55" s="330"/>
      <c r="M55" s="1566"/>
      <c r="N55" s="377"/>
    </row>
    <row r="56" spans="1:15" hidden="1">
      <c r="A56" s="328"/>
      <c r="B56" s="340" t="s">
        <v>417</v>
      </c>
      <c r="C56" s="327"/>
      <c r="D56" s="328"/>
      <c r="E56" s="326"/>
      <c r="F56" s="327"/>
      <c r="G56" s="327"/>
      <c r="H56" s="328"/>
      <c r="I56" s="326"/>
      <c r="J56" s="42"/>
      <c r="K56" s="42"/>
      <c r="L56" s="328"/>
      <c r="M56" s="1565"/>
      <c r="N56" s="377"/>
    </row>
    <row r="57" spans="1:15" hidden="1">
      <c r="A57" s="330"/>
      <c r="B57" s="42" t="s">
        <v>418</v>
      </c>
      <c r="D57" s="330"/>
      <c r="E57" s="323"/>
      <c r="H57" s="330"/>
      <c r="I57" s="323"/>
      <c r="J57" s="321" t="s">
        <v>94</v>
      </c>
      <c r="K57" s="321" t="s">
        <v>94</v>
      </c>
      <c r="L57" s="330" t="s">
        <v>94</v>
      </c>
      <c r="M57" s="1566" t="s">
        <v>94</v>
      </c>
      <c r="N57" s="377"/>
    </row>
    <row r="58" spans="1:15">
      <c r="A58" s="341">
        <v>7</v>
      </c>
      <c r="B58" s="42" t="s">
        <v>421</v>
      </c>
      <c r="C58" s="327">
        <v>192.64</v>
      </c>
      <c r="D58" s="328"/>
      <c r="E58" s="326" t="s">
        <v>94</v>
      </c>
      <c r="F58" s="327"/>
      <c r="G58" s="327"/>
      <c r="H58" s="328"/>
      <c r="I58" s="326"/>
      <c r="J58" s="44">
        <v>2.1800000000000002</v>
      </c>
      <c r="K58" s="42">
        <v>5.84</v>
      </c>
      <c r="L58" s="395">
        <v>4.12</v>
      </c>
      <c r="M58" s="1563">
        <v>5.26</v>
      </c>
      <c r="N58" s="377"/>
      <c r="O58" s="388">
        <f t="shared" ref="O58:O66" si="0">+J58+K58+L58+M58</f>
        <v>17.399999999999999</v>
      </c>
    </row>
    <row r="59" spans="1:15">
      <c r="A59" s="343">
        <v>8</v>
      </c>
      <c r="B59" s="321" t="s">
        <v>422</v>
      </c>
      <c r="C59" s="266">
        <v>44.330000000000005</v>
      </c>
      <c r="D59" s="330"/>
      <c r="E59" s="323"/>
      <c r="H59" s="330"/>
      <c r="I59" s="323"/>
      <c r="J59" s="331">
        <v>0.06</v>
      </c>
      <c r="K59" s="331">
        <v>0.24</v>
      </c>
      <c r="L59" s="396">
        <v>0.08</v>
      </c>
      <c r="M59" s="1564">
        <v>0.61</v>
      </c>
      <c r="N59" s="377"/>
      <c r="O59" s="388">
        <f t="shared" si="0"/>
        <v>0.99</v>
      </c>
    </row>
    <row r="60" spans="1:15">
      <c r="A60" s="341">
        <v>9</v>
      </c>
      <c r="B60" s="42" t="s">
        <v>423</v>
      </c>
      <c r="C60" s="342">
        <v>17.010000000000002</v>
      </c>
      <c r="D60" s="328"/>
      <c r="E60" s="326"/>
      <c r="F60" s="327"/>
      <c r="G60" s="327"/>
      <c r="H60" s="328"/>
      <c r="I60" s="326"/>
      <c r="J60" s="44">
        <v>0</v>
      </c>
      <c r="K60" s="44">
        <v>0</v>
      </c>
      <c r="L60" s="395">
        <v>0</v>
      </c>
      <c r="M60" s="1563">
        <v>0</v>
      </c>
      <c r="N60" s="377"/>
      <c r="O60" s="388">
        <f t="shared" si="0"/>
        <v>0</v>
      </c>
    </row>
    <row r="61" spans="1:15">
      <c r="A61" s="343">
        <v>10</v>
      </c>
      <c r="B61" s="321" t="s">
        <v>444</v>
      </c>
      <c r="C61" s="388">
        <v>27.17</v>
      </c>
      <c r="D61" s="330"/>
      <c r="E61" s="323"/>
      <c r="H61" s="330"/>
      <c r="I61" s="323"/>
      <c r="J61" s="340">
        <v>0.31</v>
      </c>
      <c r="K61" s="340">
        <v>0.25</v>
      </c>
      <c r="L61" s="1556">
        <v>0.21</v>
      </c>
      <c r="M61" s="1568">
        <v>0.55000000000000004</v>
      </c>
      <c r="N61" s="377"/>
      <c r="O61" s="388">
        <f t="shared" si="0"/>
        <v>1.32</v>
      </c>
    </row>
    <row r="62" spans="1:15">
      <c r="A62" s="341">
        <v>11</v>
      </c>
      <c r="B62" s="42" t="s">
        <v>425</v>
      </c>
      <c r="C62" s="327">
        <v>23.13</v>
      </c>
      <c r="D62" s="328"/>
      <c r="E62" s="326"/>
      <c r="F62" s="327"/>
      <c r="G62" s="327"/>
      <c r="H62" s="328"/>
      <c r="I62" s="326"/>
      <c r="J62" s="42">
        <v>0.23</v>
      </c>
      <c r="K62" s="42">
        <v>1.88</v>
      </c>
      <c r="L62" s="328">
        <v>0.56999999999999995</v>
      </c>
      <c r="M62" s="1563">
        <v>-1.7</v>
      </c>
      <c r="N62" s="377"/>
      <c r="O62" s="388">
        <f t="shared" si="0"/>
        <v>0.97999999999999976</v>
      </c>
    </row>
    <row r="63" spans="1:15">
      <c r="A63" s="343">
        <v>12</v>
      </c>
      <c r="B63" s="42" t="s">
        <v>426</v>
      </c>
      <c r="C63" s="334">
        <v>0.05</v>
      </c>
      <c r="D63" s="330"/>
      <c r="E63" s="323"/>
      <c r="H63" s="330"/>
      <c r="I63" s="323"/>
      <c r="J63" s="397">
        <v>0</v>
      </c>
      <c r="K63" s="397">
        <v>0</v>
      </c>
      <c r="L63" s="1557">
        <v>0</v>
      </c>
      <c r="M63" s="1569">
        <v>0</v>
      </c>
      <c r="N63" s="377"/>
      <c r="O63" s="388">
        <f t="shared" si="0"/>
        <v>0</v>
      </c>
    </row>
    <row r="64" spans="1:15">
      <c r="A64" s="341">
        <v>13</v>
      </c>
      <c r="B64" s="42" t="s">
        <v>427</v>
      </c>
      <c r="C64" s="327">
        <v>0.16</v>
      </c>
      <c r="D64" s="328"/>
      <c r="E64" s="326"/>
      <c r="F64" s="327"/>
      <c r="G64" s="327"/>
      <c r="H64" s="328"/>
      <c r="I64" s="326"/>
      <c r="J64" s="44">
        <v>0</v>
      </c>
      <c r="K64" s="44">
        <v>0</v>
      </c>
      <c r="L64" s="395">
        <v>0</v>
      </c>
      <c r="M64" s="1563">
        <v>0</v>
      </c>
      <c r="N64" s="377"/>
      <c r="O64" s="388">
        <f t="shared" si="0"/>
        <v>0</v>
      </c>
    </row>
    <row r="65" spans="1:15">
      <c r="A65" s="343">
        <v>14</v>
      </c>
      <c r="B65" s="321" t="s">
        <v>428</v>
      </c>
      <c r="C65" s="334">
        <v>3.09</v>
      </c>
      <c r="D65" s="330"/>
      <c r="E65" s="323"/>
      <c r="H65" s="330"/>
      <c r="I65" s="323"/>
      <c r="J65" s="340">
        <v>3.53</v>
      </c>
      <c r="K65" s="340">
        <v>2.0299999999999998</v>
      </c>
      <c r="L65" s="1557">
        <v>0.1</v>
      </c>
      <c r="M65" s="1568">
        <v>18.25</v>
      </c>
      <c r="N65" s="377"/>
      <c r="O65" s="388">
        <f t="shared" si="0"/>
        <v>23.91</v>
      </c>
    </row>
    <row r="66" spans="1:15">
      <c r="A66" s="328"/>
      <c r="B66" s="42" t="s">
        <v>47</v>
      </c>
      <c r="C66" s="327">
        <f>SUM(C11:C65)</f>
        <v>1851.3899999999999</v>
      </c>
      <c r="D66" s="328" t="s">
        <v>94</v>
      </c>
      <c r="E66" s="327" t="s">
        <v>94</v>
      </c>
      <c r="F66" s="328" t="s">
        <v>94</v>
      </c>
      <c r="G66" s="327" t="s">
        <v>94</v>
      </c>
      <c r="H66" s="328" t="s">
        <v>94</v>
      </c>
      <c r="I66" s="326" t="s">
        <v>94</v>
      </c>
      <c r="J66" s="42">
        <f>SUM(J11:J65)</f>
        <v>7.33</v>
      </c>
      <c r="K66" s="42">
        <f>SUM(K11:K65)</f>
        <v>16.440000000000001</v>
      </c>
      <c r="L66" s="328">
        <f>SUM(L11:L65)</f>
        <v>12.310000000000002</v>
      </c>
      <c r="M66" s="1570">
        <f>SUM(M11:M65)</f>
        <v>90.16</v>
      </c>
      <c r="N66" s="377"/>
      <c r="O66" s="388">
        <f t="shared" si="0"/>
        <v>126.24000000000001</v>
      </c>
    </row>
    <row r="68" spans="1:15">
      <c r="B68" s="332" t="s">
        <v>295</v>
      </c>
    </row>
    <row r="69" spans="1:15">
      <c r="B69" s="332" t="s">
        <v>296</v>
      </c>
    </row>
    <row r="70" spans="1:15">
      <c r="B70" s="266" t="s">
        <v>1055</v>
      </c>
    </row>
    <row r="71" spans="1:15">
      <c r="B71" s="266" t="s">
        <v>1056</v>
      </c>
    </row>
  </sheetData>
  <sheetProtection selectLockedCells="1" selectUnlockedCells="1"/>
  <mergeCells count="10">
    <mergeCell ref="D8:E8"/>
    <mergeCell ref="F8:G8"/>
    <mergeCell ref="D10:E10"/>
    <mergeCell ref="M4:M6"/>
    <mergeCell ref="H8:I8"/>
    <mergeCell ref="J8:J9"/>
    <mergeCell ref="K8:K9"/>
    <mergeCell ref="L8:L9"/>
    <mergeCell ref="J5:L5"/>
    <mergeCell ref="J6:L6"/>
  </mergeCells>
  <pageMargins left="0.19685039370078741" right="0.23622047244094491" top="0.98425196850393704" bottom="0.98425196850393704" header="0.51181102362204722" footer="0.51181102362204722"/>
  <pageSetup paperSize="9" scale="67" firstPageNumber="0" orientation="portrait" horizontalDpi="300" verticalDpi="300" r:id="rId1"/>
  <headerFooter alignWithMargins="0"/>
</worksheet>
</file>

<file path=xl/worksheets/sheet112.xml><?xml version="1.0" encoding="utf-8"?>
<worksheet xmlns="http://schemas.openxmlformats.org/spreadsheetml/2006/main" xmlns:r="http://schemas.openxmlformats.org/officeDocument/2006/relationships">
  <sheetPr codeName="Sheet91"/>
  <dimension ref="A1:G16"/>
  <sheetViews>
    <sheetView showGridLines="0" view="pageBreakPreview" zoomScale="60" workbookViewId="0">
      <selection activeCell="F10" sqref="F10"/>
    </sheetView>
  </sheetViews>
  <sheetFormatPr defaultRowHeight="15"/>
  <cols>
    <col min="1" max="1" width="14.7109375" customWidth="1"/>
    <col min="2" max="2" width="35.5703125" customWidth="1"/>
    <col min="3" max="3" width="15.42578125" customWidth="1"/>
    <col min="4" max="4" width="17.42578125" customWidth="1"/>
    <col min="5" max="5" width="19.5703125" customWidth="1"/>
    <col min="6" max="6" width="17.85546875" customWidth="1"/>
    <col min="7" max="7" width="16.28515625" customWidth="1"/>
  </cols>
  <sheetData>
    <row r="1" spans="1:7" ht="15" customHeight="1">
      <c r="A1" s="6047" t="s">
        <v>2121</v>
      </c>
      <c r="B1" s="6047"/>
      <c r="C1" s="6047"/>
      <c r="D1" s="6047"/>
      <c r="E1" s="6047"/>
      <c r="F1" s="6047"/>
      <c r="G1" s="6047"/>
    </row>
    <row r="2" spans="1:7" ht="15" customHeight="1">
      <c r="A2" s="897"/>
      <c r="B2" s="898"/>
      <c r="C2" s="899"/>
      <c r="D2" s="899"/>
      <c r="E2" s="899"/>
      <c r="F2" s="899" t="s">
        <v>151</v>
      </c>
      <c r="G2" s="899"/>
    </row>
    <row r="3" spans="1:7" ht="30" customHeight="1">
      <c r="A3" s="6085"/>
      <c r="B3" s="6087"/>
      <c r="C3" s="5841" t="s">
        <v>2122</v>
      </c>
      <c r="D3" s="5841"/>
      <c r="E3" s="5841" t="s">
        <v>2123</v>
      </c>
      <c r="F3" s="5841"/>
      <c r="G3" s="900" t="s">
        <v>2124</v>
      </c>
    </row>
    <row r="4" spans="1:7" ht="44.25" customHeight="1">
      <c r="A4" s="872" t="s">
        <v>575</v>
      </c>
      <c r="B4" s="872" t="s">
        <v>2125</v>
      </c>
      <c r="C4" s="480" t="s">
        <v>2126</v>
      </c>
      <c r="D4" s="480" t="s">
        <v>2127</v>
      </c>
      <c r="E4" s="480" t="s">
        <v>2126</v>
      </c>
      <c r="F4" s="480" t="s">
        <v>2127</v>
      </c>
      <c r="G4" s="894" t="s">
        <v>2128</v>
      </c>
    </row>
    <row r="5" spans="1:7" ht="46.5" customHeight="1">
      <c r="A5" s="810">
        <v>1</v>
      </c>
      <c r="B5" s="901" t="s">
        <v>2129</v>
      </c>
      <c r="C5" s="815">
        <v>32.83</v>
      </c>
      <c r="D5" s="815">
        <v>48.41</v>
      </c>
      <c r="E5" s="815">
        <v>32.83</v>
      </c>
      <c r="F5" s="815">
        <v>21.56</v>
      </c>
      <c r="G5" s="815">
        <v>0.83</v>
      </c>
    </row>
    <row r="6" spans="1:7" ht="34.5" customHeight="1">
      <c r="A6" s="6049">
        <v>2</v>
      </c>
      <c r="B6" s="6045" t="s">
        <v>2130</v>
      </c>
      <c r="C6" s="6223">
        <v>42.6</v>
      </c>
      <c r="D6" s="6223">
        <v>23.17</v>
      </c>
      <c r="E6" s="6223">
        <v>42.6</v>
      </c>
      <c r="F6" s="6223">
        <v>11.86</v>
      </c>
      <c r="G6" s="815"/>
    </row>
    <row r="7" spans="1:7" ht="15.75" hidden="1">
      <c r="A7" s="6049"/>
      <c r="B7" s="6045"/>
      <c r="C7" s="6223"/>
      <c r="D7" s="6223"/>
      <c r="E7" s="6223"/>
      <c r="F7" s="6223"/>
      <c r="G7" s="815">
        <v>0.46</v>
      </c>
    </row>
    <row r="8" spans="1:7" ht="47.25">
      <c r="A8" s="810">
        <v>3</v>
      </c>
      <c r="B8" s="901" t="s">
        <v>2131</v>
      </c>
      <c r="C8" s="815">
        <v>95.8</v>
      </c>
      <c r="D8" s="815">
        <v>22.38</v>
      </c>
      <c r="E8" s="815">
        <v>95.8</v>
      </c>
      <c r="F8" s="815">
        <v>22.37</v>
      </c>
      <c r="G8" s="815">
        <v>0</v>
      </c>
    </row>
    <row r="9" spans="1:7" ht="55.5" customHeight="1">
      <c r="A9" s="810">
        <v>4</v>
      </c>
      <c r="B9" s="901" t="s">
        <v>2132</v>
      </c>
      <c r="C9" s="815">
        <v>47.59</v>
      </c>
      <c r="D9" s="815">
        <v>25.23</v>
      </c>
      <c r="E9" s="815">
        <v>47.59</v>
      </c>
      <c r="F9" s="815">
        <v>25.18</v>
      </c>
      <c r="G9" s="815">
        <v>0</v>
      </c>
    </row>
    <row r="10" spans="1:7" ht="67.5" customHeight="1">
      <c r="A10" s="810">
        <v>5</v>
      </c>
      <c r="B10" s="901" t="s">
        <v>2133</v>
      </c>
      <c r="C10" s="815">
        <v>21.74</v>
      </c>
      <c r="D10" s="815">
        <v>11.1</v>
      </c>
      <c r="E10" s="815">
        <v>21.74</v>
      </c>
      <c r="F10" s="815">
        <v>6.01</v>
      </c>
      <c r="G10" s="815">
        <v>0</v>
      </c>
    </row>
    <row r="11" spans="1:7" ht="24" customHeight="1">
      <c r="A11" s="810">
        <v>6</v>
      </c>
      <c r="B11" s="901" t="s">
        <v>576</v>
      </c>
      <c r="C11" s="815">
        <v>19.34</v>
      </c>
      <c r="D11" s="815">
        <v>9.94</v>
      </c>
      <c r="E11" s="815">
        <v>19.34</v>
      </c>
      <c r="F11" s="815">
        <v>9.94</v>
      </c>
      <c r="G11" s="815">
        <v>0</v>
      </c>
    </row>
    <row r="12" spans="1:7" ht="40.5" customHeight="1">
      <c r="A12" s="810">
        <v>7</v>
      </c>
      <c r="B12" s="901" t="s">
        <v>2134</v>
      </c>
      <c r="C12" s="815">
        <v>23.48</v>
      </c>
      <c r="D12" s="815">
        <v>0</v>
      </c>
      <c r="E12" s="815">
        <v>10.96</v>
      </c>
      <c r="F12" s="815">
        <v>0</v>
      </c>
      <c r="G12" s="815">
        <v>0</v>
      </c>
    </row>
    <row r="13" spans="1:7" ht="33" customHeight="1">
      <c r="A13" s="810">
        <v>8</v>
      </c>
      <c r="B13" s="901" t="s">
        <v>603</v>
      </c>
      <c r="C13" s="815">
        <v>4.3600000000000003</v>
      </c>
      <c r="D13" s="815">
        <v>5.07</v>
      </c>
      <c r="E13" s="815">
        <v>4.3600000000000003</v>
      </c>
      <c r="F13" s="815">
        <v>0.7</v>
      </c>
      <c r="G13" s="815">
        <v>0.03</v>
      </c>
    </row>
    <row r="14" spans="1:7" ht="131.25" customHeight="1">
      <c r="A14" s="815">
        <v>9</v>
      </c>
      <c r="B14" s="482" t="s">
        <v>2135</v>
      </c>
      <c r="C14" s="815">
        <v>3.3</v>
      </c>
      <c r="D14" s="815">
        <v>2.33</v>
      </c>
      <c r="E14" s="815">
        <v>3.3</v>
      </c>
      <c r="F14" s="815">
        <v>2.33</v>
      </c>
      <c r="G14" s="815">
        <v>0</v>
      </c>
    </row>
    <row r="15" spans="1:7" ht="15.75">
      <c r="A15" s="484"/>
      <c r="B15" s="895" t="s">
        <v>260</v>
      </c>
      <c r="C15" s="905">
        <v>291.04000000000002</v>
      </c>
      <c r="D15" s="905">
        <v>147.63</v>
      </c>
      <c r="E15" s="905">
        <v>278.52</v>
      </c>
      <c r="F15" s="905">
        <v>99.95</v>
      </c>
      <c r="G15" s="905" t="s">
        <v>2136</v>
      </c>
    </row>
    <row r="16" spans="1:7" ht="15.75">
      <c r="A16" s="484"/>
      <c r="B16" s="895" t="s">
        <v>2137</v>
      </c>
      <c r="C16" s="905">
        <v>298.11</v>
      </c>
      <c r="D16" s="905"/>
      <c r="E16" s="905">
        <v>297.27999999999997</v>
      </c>
      <c r="F16" s="905">
        <v>99.95</v>
      </c>
      <c r="G16" s="905"/>
    </row>
  </sheetData>
  <mergeCells count="10">
    <mergeCell ref="A1:G1"/>
    <mergeCell ref="A3:B3"/>
    <mergeCell ref="C3:D3"/>
    <mergeCell ref="E3:F3"/>
    <mergeCell ref="A6:A7"/>
    <mergeCell ref="B6:B7"/>
    <mergeCell ref="C6:C7"/>
    <mergeCell ref="D6:D7"/>
    <mergeCell ref="E6:E7"/>
    <mergeCell ref="F6:F7"/>
  </mergeCells>
  <pageMargins left="0.7" right="0.7" top="0.75" bottom="0.75" header="0.3" footer="0.3"/>
  <pageSetup scale="61" orientation="portrait" r:id="rId1"/>
</worksheet>
</file>

<file path=xl/worksheets/sheet113.xml><?xml version="1.0" encoding="utf-8"?>
<worksheet xmlns="http://schemas.openxmlformats.org/spreadsheetml/2006/main" xmlns:r="http://schemas.openxmlformats.org/officeDocument/2006/relationships">
  <sheetPr transitionEvaluation="1" codeName="Sheet92"/>
  <dimension ref="A2:Q209"/>
  <sheetViews>
    <sheetView showGridLines="0" view="pageBreakPreview" zoomScale="60" zoomScaleNormal="70" workbookViewId="0">
      <selection activeCell="I103" sqref="I103"/>
    </sheetView>
  </sheetViews>
  <sheetFormatPr defaultColWidth="11" defaultRowHeight="26.25" customHeight="1"/>
  <cols>
    <col min="1" max="1" width="3.7109375" style="616" customWidth="1"/>
    <col min="2" max="2" width="24.140625" style="616" customWidth="1"/>
    <col min="3" max="3" width="5.28515625" style="616" customWidth="1"/>
    <col min="4" max="4" width="62.5703125" style="616" customWidth="1"/>
    <col min="5" max="5" width="6.5703125" style="616" customWidth="1"/>
    <col min="6" max="6" width="5.85546875" style="616" customWidth="1"/>
    <col min="7" max="7" width="22.140625" style="616" customWidth="1"/>
    <col min="8" max="8" width="23.140625" style="616" customWidth="1"/>
    <col min="9" max="9" width="22.85546875" style="616" customWidth="1"/>
    <col min="10" max="10" width="5.28515625" style="616" customWidth="1"/>
    <col min="11" max="11" width="73.140625" style="616" customWidth="1"/>
    <col min="12" max="12" width="27.5703125" style="616" customWidth="1"/>
    <col min="13" max="13" width="24.5703125" style="616" customWidth="1"/>
    <col min="14" max="14" width="4" style="616" customWidth="1"/>
    <col min="15" max="15" width="10.140625" style="616" customWidth="1"/>
    <col min="16" max="256" width="11" style="616"/>
    <col min="257" max="257" width="3.7109375" style="616" customWidth="1"/>
    <col min="258" max="258" width="24.140625" style="616" customWidth="1"/>
    <col min="259" max="259" width="5.28515625" style="616" customWidth="1"/>
    <col min="260" max="260" width="62.5703125" style="616" customWidth="1"/>
    <col min="261" max="261" width="6.5703125" style="616" customWidth="1"/>
    <col min="262" max="262" width="5.85546875" style="616" customWidth="1"/>
    <col min="263" max="263" width="22.140625" style="616" customWidth="1"/>
    <col min="264" max="264" width="23.140625" style="616" customWidth="1"/>
    <col min="265" max="265" width="22.85546875" style="616" customWidth="1"/>
    <col min="266" max="266" width="5.28515625" style="616" customWidth="1"/>
    <col min="267" max="267" width="73.140625" style="616" customWidth="1"/>
    <col min="268" max="268" width="27.5703125" style="616" customWidth="1"/>
    <col min="269" max="269" width="24.5703125" style="616" customWidth="1"/>
    <col min="270" max="270" width="4" style="616" customWidth="1"/>
    <col min="271" max="271" width="10.140625" style="616" customWidth="1"/>
    <col min="272" max="512" width="11" style="616"/>
    <col min="513" max="513" width="3.7109375" style="616" customWidth="1"/>
    <col min="514" max="514" width="24.140625" style="616" customWidth="1"/>
    <col min="515" max="515" width="5.28515625" style="616" customWidth="1"/>
    <col min="516" max="516" width="62.5703125" style="616" customWidth="1"/>
    <col min="517" max="517" width="6.5703125" style="616" customWidth="1"/>
    <col min="518" max="518" width="5.85546875" style="616" customWidth="1"/>
    <col min="519" max="519" width="22.140625" style="616" customWidth="1"/>
    <col min="520" max="520" width="23.140625" style="616" customWidth="1"/>
    <col min="521" max="521" width="22.85546875" style="616" customWidth="1"/>
    <col min="522" max="522" width="5.28515625" style="616" customWidth="1"/>
    <col min="523" max="523" width="73.140625" style="616" customWidth="1"/>
    <col min="524" max="524" width="27.5703125" style="616" customWidth="1"/>
    <col min="525" max="525" width="24.5703125" style="616" customWidth="1"/>
    <col min="526" max="526" width="4" style="616" customWidth="1"/>
    <col min="527" max="527" width="10.140625" style="616" customWidth="1"/>
    <col min="528" max="768" width="11" style="616"/>
    <col min="769" max="769" width="3.7109375" style="616" customWidth="1"/>
    <col min="770" max="770" width="24.140625" style="616" customWidth="1"/>
    <col min="771" max="771" width="5.28515625" style="616" customWidth="1"/>
    <col min="772" max="772" width="62.5703125" style="616" customWidth="1"/>
    <col min="773" max="773" width="6.5703125" style="616" customWidth="1"/>
    <col min="774" max="774" width="5.85546875" style="616" customWidth="1"/>
    <col min="775" max="775" width="22.140625" style="616" customWidth="1"/>
    <col min="776" max="776" width="23.140625" style="616" customWidth="1"/>
    <col min="777" max="777" width="22.85546875" style="616" customWidth="1"/>
    <col min="778" max="778" width="5.28515625" style="616" customWidth="1"/>
    <col min="779" max="779" width="73.140625" style="616" customWidth="1"/>
    <col min="780" max="780" width="27.5703125" style="616" customWidth="1"/>
    <col min="781" max="781" width="24.5703125" style="616" customWidth="1"/>
    <col min="782" max="782" width="4" style="616" customWidth="1"/>
    <col min="783" max="783" width="10.140625" style="616" customWidth="1"/>
    <col min="784" max="1024" width="11" style="616"/>
    <col min="1025" max="1025" width="3.7109375" style="616" customWidth="1"/>
    <col min="1026" max="1026" width="24.140625" style="616" customWidth="1"/>
    <col min="1027" max="1027" width="5.28515625" style="616" customWidth="1"/>
    <col min="1028" max="1028" width="62.5703125" style="616" customWidth="1"/>
    <col min="1029" max="1029" width="6.5703125" style="616" customWidth="1"/>
    <col min="1030" max="1030" width="5.85546875" style="616" customWidth="1"/>
    <col min="1031" max="1031" width="22.140625" style="616" customWidth="1"/>
    <col min="1032" max="1032" width="23.140625" style="616" customWidth="1"/>
    <col min="1033" max="1033" width="22.85546875" style="616" customWidth="1"/>
    <col min="1034" max="1034" width="5.28515625" style="616" customWidth="1"/>
    <col min="1035" max="1035" width="73.140625" style="616" customWidth="1"/>
    <col min="1036" max="1036" width="27.5703125" style="616" customWidth="1"/>
    <col min="1037" max="1037" width="24.5703125" style="616" customWidth="1"/>
    <col min="1038" max="1038" width="4" style="616" customWidth="1"/>
    <col min="1039" max="1039" width="10.140625" style="616" customWidth="1"/>
    <col min="1040" max="1280" width="11" style="616"/>
    <col min="1281" max="1281" width="3.7109375" style="616" customWidth="1"/>
    <col min="1282" max="1282" width="24.140625" style="616" customWidth="1"/>
    <col min="1283" max="1283" width="5.28515625" style="616" customWidth="1"/>
    <col min="1284" max="1284" width="62.5703125" style="616" customWidth="1"/>
    <col min="1285" max="1285" width="6.5703125" style="616" customWidth="1"/>
    <col min="1286" max="1286" width="5.85546875" style="616" customWidth="1"/>
    <col min="1287" max="1287" width="22.140625" style="616" customWidth="1"/>
    <col min="1288" max="1288" width="23.140625" style="616" customWidth="1"/>
    <col min="1289" max="1289" width="22.85546875" style="616" customWidth="1"/>
    <col min="1290" max="1290" width="5.28515625" style="616" customWidth="1"/>
    <col min="1291" max="1291" width="73.140625" style="616" customWidth="1"/>
    <col min="1292" max="1292" width="27.5703125" style="616" customWidth="1"/>
    <col min="1293" max="1293" width="24.5703125" style="616" customWidth="1"/>
    <col min="1294" max="1294" width="4" style="616" customWidth="1"/>
    <col min="1295" max="1295" width="10.140625" style="616" customWidth="1"/>
    <col min="1296" max="1536" width="11" style="616"/>
    <col min="1537" max="1537" width="3.7109375" style="616" customWidth="1"/>
    <col min="1538" max="1538" width="24.140625" style="616" customWidth="1"/>
    <col min="1539" max="1539" width="5.28515625" style="616" customWidth="1"/>
    <col min="1540" max="1540" width="62.5703125" style="616" customWidth="1"/>
    <col min="1541" max="1541" width="6.5703125" style="616" customWidth="1"/>
    <col min="1542" max="1542" width="5.85546875" style="616" customWidth="1"/>
    <col min="1543" max="1543" width="22.140625" style="616" customWidth="1"/>
    <col min="1544" max="1544" width="23.140625" style="616" customWidth="1"/>
    <col min="1545" max="1545" width="22.85546875" style="616" customWidth="1"/>
    <col min="1546" max="1546" width="5.28515625" style="616" customWidth="1"/>
    <col min="1547" max="1547" width="73.140625" style="616" customWidth="1"/>
    <col min="1548" max="1548" width="27.5703125" style="616" customWidth="1"/>
    <col min="1549" max="1549" width="24.5703125" style="616" customWidth="1"/>
    <col min="1550" max="1550" width="4" style="616" customWidth="1"/>
    <col min="1551" max="1551" width="10.140625" style="616" customWidth="1"/>
    <col min="1552" max="1792" width="11" style="616"/>
    <col min="1793" max="1793" width="3.7109375" style="616" customWidth="1"/>
    <col min="1794" max="1794" width="24.140625" style="616" customWidth="1"/>
    <col min="1795" max="1795" width="5.28515625" style="616" customWidth="1"/>
    <col min="1796" max="1796" width="62.5703125" style="616" customWidth="1"/>
    <col min="1797" max="1797" width="6.5703125" style="616" customWidth="1"/>
    <col min="1798" max="1798" width="5.85546875" style="616" customWidth="1"/>
    <col min="1799" max="1799" width="22.140625" style="616" customWidth="1"/>
    <col min="1800" max="1800" width="23.140625" style="616" customWidth="1"/>
    <col min="1801" max="1801" width="22.85546875" style="616" customWidth="1"/>
    <col min="1802" max="1802" width="5.28515625" style="616" customWidth="1"/>
    <col min="1803" max="1803" width="73.140625" style="616" customWidth="1"/>
    <col min="1804" max="1804" width="27.5703125" style="616" customWidth="1"/>
    <col min="1805" max="1805" width="24.5703125" style="616" customWidth="1"/>
    <col min="1806" max="1806" width="4" style="616" customWidth="1"/>
    <col min="1807" max="1807" width="10.140625" style="616" customWidth="1"/>
    <col min="1808" max="2048" width="11" style="616"/>
    <col min="2049" max="2049" width="3.7109375" style="616" customWidth="1"/>
    <col min="2050" max="2050" width="24.140625" style="616" customWidth="1"/>
    <col min="2051" max="2051" width="5.28515625" style="616" customWidth="1"/>
    <col min="2052" max="2052" width="62.5703125" style="616" customWidth="1"/>
    <col min="2053" max="2053" width="6.5703125" style="616" customWidth="1"/>
    <col min="2054" max="2054" width="5.85546875" style="616" customWidth="1"/>
    <col min="2055" max="2055" width="22.140625" style="616" customWidth="1"/>
    <col min="2056" max="2056" width="23.140625" style="616" customWidth="1"/>
    <col min="2057" max="2057" width="22.85546875" style="616" customWidth="1"/>
    <col min="2058" max="2058" width="5.28515625" style="616" customWidth="1"/>
    <col min="2059" max="2059" width="73.140625" style="616" customWidth="1"/>
    <col min="2060" max="2060" width="27.5703125" style="616" customWidth="1"/>
    <col min="2061" max="2061" width="24.5703125" style="616" customWidth="1"/>
    <col min="2062" max="2062" width="4" style="616" customWidth="1"/>
    <col min="2063" max="2063" width="10.140625" style="616" customWidth="1"/>
    <col min="2064" max="2304" width="11" style="616"/>
    <col min="2305" max="2305" width="3.7109375" style="616" customWidth="1"/>
    <col min="2306" max="2306" width="24.140625" style="616" customWidth="1"/>
    <col min="2307" max="2307" width="5.28515625" style="616" customWidth="1"/>
    <col min="2308" max="2308" width="62.5703125" style="616" customWidth="1"/>
    <col min="2309" max="2309" width="6.5703125" style="616" customWidth="1"/>
    <col min="2310" max="2310" width="5.85546875" style="616" customWidth="1"/>
    <col min="2311" max="2311" width="22.140625" style="616" customWidth="1"/>
    <col min="2312" max="2312" width="23.140625" style="616" customWidth="1"/>
    <col min="2313" max="2313" width="22.85546875" style="616" customWidth="1"/>
    <col min="2314" max="2314" width="5.28515625" style="616" customWidth="1"/>
    <col min="2315" max="2315" width="73.140625" style="616" customWidth="1"/>
    <col min="2316" max="2316" width="27.5703125" style="616" customWidth="1"/>
    <col min="2317" max="2317" width="24.5703125" style="616" customWidth="1"/>
    <col min="2318" max="2318" width="4" style="616" customWidth="1"/>
    <col min="2319" max="2319" width="10.140625" style="616" customWidth="1"/>
    <col min="2320" max="2560" width="11" style="616"/>
    <col min="2561" max="2561" width="3.7109375" style="616" customWidth="1"/>
    <col min="2562" max="2562" width="24.140625" style="616" customWidth="1"/>
    <col min="2563" max="2563" width="5.28515625" style="616" customWidth="1"/>
    <col min="2564" max="2564" width="62.5703125" style="616" customWidth="1"/>
    <col min="2565" max="2565" width="6.5703125" style="616" customWidth="1"/>
    <col min="2566" max="2566" width="5.85546875" style="616" customWidth="1"/>
    <col min="2567" max="2567" width="22.140625" style="616" customWidth="1"/>
    <col min="2568" max="2568" width="23.140625" style="616" customWidth="1"/>
    <col min="2569" max="2569" width="22.85546875" style="616" customWidth="1"/>
    <col min="2570" max="2570" width="5.28515625" style="616" customWidth="1"/>
    <col min="2571" max="2571" width="73.140625" style="616" customWidth="1"/>
    <col min="2572" max="2572" width="27.5703125" style="616" customWidth="1"/>
    <col min="2573" max="2573" width="24.5703125" style="616" customWidth="1"/>
    <col min="2574" max="2574" width="4" style="616" customWidth="1"/>
    <col min="2575" max="2575" width="10.140625" style="616" customWidth="1"/>
    <col min="2576" max="2816" width="11" style="616"/>
    <col min="2817" max="2817" width="3.7109375" style="616" customWidth="1"/>
    <col min="2818" max="2818" width="24.140625" style="616" customWidth="1"/>
    <col min="2819" max="2819" width="5.28515625" style="616" customWidth="1"/>
    <col min="2820" max="2820" width="62.5703125" style="616" customWidth="1"/>
    <col min="2821" max="2821" width="6.5703125" style="616" customWidth="1"/>
    <col min="2822" max="2822" width="5.85546875" style="616" customWidth="1"/>
    <col min="2823" max="2823" width="22.140625" style="616" customWidth="1"/>
    <col min="2824" max="2824" width="23.140625" style="616" customWidth="1"/>
    <col min="2825" max="2825" width="22.85546875" style="616" customWidth="1"/>
    <col min="2826" max="2826" width="5.28515625" style="616" customWidth="1"/>
    <col min="2827" max="2827" width="73.140625" style="616" customWidth="1"/>
    <col min="2828" max="2828" width="27.5703125" style="616" customWidth="1"/>
    <col min="2829" max="2829" width="24.5703125" style="616" customWidth="1"/>
    <col min="2830" max="2830" width="4" style="616" customWidth="1"/>
    <col min="2831" max="2831" width="10.140625" style="616" customWidth="1"/>
    <col min="2832" max="3072" width="11" style="616"/>
    <col min="3073" max="3073" width="3.7109375" style="616" customWidth="1"/>
    <col min="3074" max="3074" width="24.140625" style="616" customWidth="1"/>
    <col min="3075" max="3075" width="5.28515625" style="616" customWidth="1"/>
    <col min="3076" max="3076" width="62.5703125" style="616" customWidth="1"/>
    <col min="3077" max="3077" width="6.5703125" style="616" customWidth="1"/>
    <col min="3078" max="3078" width="5.85546875" style="616" customWidth="1"/>
    <col min="3079" max="3079" width="22.140625" style="616" customWidth="1"/>
    <col min="3080" max="3080" width="23.140625" style="616" customWidth="1"/>
    <col min="3081" max="3081" width="22.85546875" style="616" customWidth="1"/>
    <col min="3082" max="3082" width="5.28515625" style="616" customWidth="1"/>
    <col min="3083" max="3083" width="73.140625" style="616" customWidth="1"/>
    <col min="3084" max="3084" width="27.5703125" style="616" customWidth="1"/>
    <col min="3085" max="3085" width="24.5703125" style="616" customWidth="1"/>
    <col min="3086" max="3086" width="4" style="616" customWidth="1"/>
    <col min="3087" max="3087" width="10.140625" style="616" customWidth="1"/>
    <col min="3088" max="3328" width="11" style="616"/>
    <col min="3329" max="3329" width="3.7109375" style="616" customWidth="1"/>
    <col min="3330" max="3330" width="24.140625" style="616" customWidth="1"/>
    <col min="3331" max="3331" width="5.28515625" style="616" customWidth="1"/>
    <col min="3332" max="3332" width="62.5703125" style="616" customWidth="1"/>
    <col min="3333" max="3333" width="6.5703125" style="616" customWidth="1"/>
    <col min="3334" max="3334" width="5.85546875" style="616" customWidth="1"/>
    <col min="3335" max="3335" width="22.140625" style="616" customWidth="1"/>
    <col min="3336" max="3336" width="23.140625" style="616" customWidth="1"/>
    <col min="3337" max="3337" width="22.85546875" style="616" customWidth="1"/>
    <col min="3338" max="3338" width="5.28515625" style="616" customWidth="1"/>
    <col min="3339" max="3339" width="73.140625" style="616" customWidth="1"/>
    <col min="3340" max="3340" width="27.5703125" style="616" customWidth="1"/>
    <col min="3341" max="3341" width="24.5703125" style="616" customWidth="1"/>
    <col min="3342" max="3342" width="4" style="616" customWidth="1"/>
    <col min="3343" max="3343" width="10.140625" style="616" customWidth="1"/>
    <col min="3344" max="3584" width="11" style="616"/>
    <col min="3585" max="3585" width="3.7109375" style="616" customWidth="1"/>
    <col min="3586" max="3586" width="24.140625" style="616" customWidth="1"/>
    <col min="3587" max="3587" width="5.28515625" style="616" customWidth="1"/>
    <col min="3588" max="3588" width="62.5703125" style="616" customWidth="1"/>
    <col min="3589" max="3589" width="6.5703125" style="616" customWidth="1"/>
    <col min="3590" max="3590" width="5.85546875" style="616" customWidth="1"/>
    <col min="3591" max="3591" width="22.140625" style="616" customWidth="1"/>
    <col min="3592" max="3592" width="23.140625" style="616" customWidth="1"/>
    <col min="3593" max="3593" width="22.85546875" style="616" customWidth="1"/>
    <col min="3594" max="3594" width="5.28515625" style="616" customWidth="1"/>
    <col min="3595" max="3595" width="73.140625" style="616" customWidth="1"/>
    <col min="3596" max="3596" width="27.5703125" style="616" customWidth="1"/>
    <col min="3597" max="3597" width="24.5703125" style="616" customWidth="1"/>
    <col min="3598" max="3598" width="4" style="616" customWidth="1"/>
    <col min="3599" max="3599" width="10.140625" style="616" customWidth="1"/>
    <col min="3600" max="3840" width="11" style="616"/>
    <col min="3841" max="3841" width="3.7109375" style="616" customWidth="1"/>
    <col min="3842" max="3842" width="24.140625" style="616" customWidth="1"/>
    <col min="3843" max="3843" width="5.28515625" style="616" customWidth="1"/>
    <col min="3844" max="3844" width="62.5703125" style="616" customWidth="1"/>
    <col min="3845" max="3845" width="6.5703125" style="616" customWidth="1"/>
    <col min="3846" max="3846" width="5.85546875" style="616" customWidth="1"/>
    <col min="3847" max="3847" width="22.140625" style="616" customWidth="1"/>
    <col min="3848" max="3848" width="23.140625" style="616" customWidth="1"/>
    <col min="3849" max="3849" width="22.85546875" style="616" customWidth="1"/>
    <col min="3850" max="3850" width="5.28515625" style="616" customWidth="1"/>
    <col min="3851" max="3851" width="73.140625" style="616" customWidth="1"/>
    <col min="3852" max="3852" width="27.5703125" style="616" customWidth="1"/>
    <col min="3853" max="3853" width="24.5703125" style="616" customWidth="1"/>
    <col min="3854" max="3854" width="4" style="616" customWidth="1"/>
    <col min="3855" max="3855" width="10.140625" style="616" customWidth="1"/>
    <col min="3856" max="4096" width="11" style="616"/>
    <col min="4097" max="4097" width="3.7109375" style="616" customWidth="1"/>
    <col min="4098" max="4098" width="24.140625" style="616" customWidth="1"/>
    <col min="4099" max="4099" width="5.28515625" style="616" customWidth="1"/>
    <col min="4100" max="4100" width="62.5703125" style="616" customWidth="1"/>
    <col min="4101" max="4101" width="6.5703125" style="616" customWidth="1"/>
    <col min="4102" max="4102" width="5.85546875" style="616" customWidth="1"/>
    <col min="4103" max="4103" width="22.140625" style="616" customWidth="1"/>
    <col min="4104" max="4104" width="23.140625" style="616" customWidth="1"/>
    <col min="4105" max="4105" width="22.85546875" style="616" customWidth="1"/>
    <col min="4106" max="4106" width="5.28515625" style="616" customWidth="1"/>
    <col min="4107" max="4107" width="73.140625" style="616" customWidth="1"/>
    <col min="4108" max="4108" width="27.5703125" style="616" customWidth="1"/>
    <col min="4109" max="4109" width="24.5703125" style="616" customWidth="1"/>
    <col min="4110" max="4110" width="4" style="616" customWidth="1"/>
    <col min="4111" max="4111" width="10.140625" style="616" customWidth="1"/>
    <col min="4112" max="4352" width="11" style="616"/>
    <col min="4353" max="4353" width="3.7109375" style="616" customWidth="1"/>
    <col min="4354" max="4354" width="24.140625" style="616" customWidth="1"/>
    <col min="4355" max="4355" width="5.28515625" style="616" customWidth="1"/>
    <col min="4356" max="4356" width="62.5703125" style="616" customWidth="1"/>
    <col min="4357" max="4357" width="6.5703125" style="616" customWidth="1"/>
    <col min="4358" max="4358" width="5.85546875" style="616" customWidth="1"/>
    <col min="4359" max="4359" width="22.140625" style="616" customWidth="1"/>
    <col min="4360" max="4360" width="23.140625" style="616" customWidth="1"/>
    <col min="4361" max="4361" width="22.85546875" style="616" customWidth="1"/>
    <col min="4362" max="4362" width="5.28515625" style="616" customWidth="1"/>
    <col min="4363" max="4363" width="73.140625" style="616" customWidth="1"/>
    <col min="4364" max="4364" width="27.5703125" style="616" customWidth="1"/>
    <col min="4365" max="4365" width="24.5703125" style="616" customWidth="1"/>
    <col min="4366" max="4366" width="4" style="616" customWidth="1"/>
    <col min="4367" max="4367" width="10.140625" style="616" customWidth="1"/>
    <col min="4368" max="4608" width="11" style="616"/>
    <col min="4609" max="4609" width="3.7109375" style="616" customWidth="1"/>
    <col min="4610" max="4610" width="24.140625" style="616" customWidth="1"/>
    <col min="4611" max="4611" width="5.28515625" style="616" customWidth="1"/>
    <col min="4612" max="4612" width="62.5703125" style="616" customWidth="1"/>
    <col min="4613" max="4613" width="6.5703125" style="616" customWidth="1"/>
    <col min="4614" max="4614" width="5.85546875" style="616" customWidth="1"/>
    <col min="4615" max="4615" width="22.140625" style="616" customWidth="1"/>
    <col min="4616" max="4616" width="23.140625" style="616" customWidth="1"/>
    <col min="4617" max="4617" width="22.85546875" style="616" customWidth="1"/>
    <col min="4618" max="4618" width="5.28515625" style="616" customWidth="1"/>
    <col min="4619" max="4619" width="73.140625" style="616" customWidth="1"/>
    <col min="4620" max="4620" width="27.5703125" style="616" customWidth="1"/>
    <col min="4621" max="4621" width="24.5703125" style="616" customWidth="1"/>
    <col min="4622" max="4622" width="4" style="616" customWidth="1"/>
    <col min="4623" max="4623" width="10.140625" style="616" customWidth="1"/>
    <col min="4624" max="4864" width="11" style="616"/>
    <col min="4865" max="4865" width="3.7109375" style="616" customWidth="1"/>
    <col min="4866" max="4866" width="24.140625" style="616" customWidth="1"/>
    <col min="4867" max="4867" width="5.28515625" style="616" customWidth="1"/>
    <col min="4868" max="4868" width="62.5703125" style="616" customWidth="1"/>
    <col min="4869" max="4869" width="6.5703125" style="616" customWidth="1"/>
    <col min="4870" max="4870" width="5.85546875" style="616" customWidth="1"/>
    <col min="4871" max="4871" width="22.140625" style="616" customWidth="1"/>
    <col min="4872" max="4872" width="23.140625" style="616" customWidth="1"/>
    <col min="4873" max="4873" width="22.85546875" style="616" customWidth="1"/>
    <col min="4874" max="4874" width="5.28515625" style="616" customWidth="1"/>
    <col min="4875" max="4875" width="73.140625" style="616" customWidth="1"/>
    <col min="4876" max="4876" width="27.5703125" style="616" customWidth="1"/>
    <col min="4877" max="4877" width="24.5703125" style="616" customWidth="1"/>
    <col min="4878" max="4878" width="4" style="616" customWidth="1"/>
    <col min="4879" max="4879" width="10.140625" style="616" customWidth="1"/>
    <col min="4880" max="5120" width="11" style="616"/>
    <col min="5121" max="5121" width="3.7109375" style="616" customWidth="1"/>
    <col min="5122" max="5122" width="24.140625" style="616" customWidth="1"/>
    <col min="5123" max="5123" width="5.28515625" style="616" customWidth="1"/>
    <col min="5124" max="5124" width="62.5703125" style="616" customWidth="1"/>
    <col min="5125" max="5125" width="6.5703125" style="616" customWidth="1"/>
    <col min="5126" max="5126" width="5.85546875" style="616" customWidth="1"/>
    <col min="5127" max="5127" width="22.140625" style="616" customWidth="1"/>
    <col min="5128" max="5128" width="23.140625" style="616" customWidth="1"/>
    <col min="5129" max="5129" width="22.85546875" style="616" customWidth="1"/>
    <col min="5130" max="5130" width="5.28515625" style="616" customWidth="1"/>
    <col min="5131" max="5131" width="73.140625" style="616" customWidth="1"/>
    <col min="5132" max="5132" width="27.5703125" style="616" customWidth="1"/>
    <col min="5133" max="5133" width="24.5703125" style="616" customWidth="1"/>
    <col min="5134" max="5134" width="4" style="616" customWidth="1"/>
    <col min="5135" max="5135" width="10.140625" style="616" customWidth="1"/>
    <col min="5136" max="5376" width="11" style="616"/>
    <col min="5377" max="5377" width="3.7109375" style="616" customWidth="1"/>
    <col min="5378" max="5378" width="24.140625" style="616" customWidth="1"/>
    <col min="5379" max="5379" width="5.28515625" style="616" customWidth="1"/>
    <col min="5380" max="5380" width="62.5703125" style="616" customWidth="1"/>
    <col min="5381" max="5381" width="6.5703125" style="616" customWidth="1"/>
    <col min="5382" max="5382" width="5.85546875" style="616" customWidth="1"/>
    <col min="5383" max="5383" width="22.140625" style="616" customWidth="1"/>
    <col min="5384" max="5384" width="23.140625" style="616" customWidth="1"/>
    <col min="5385" max="5385" width="22.85546875" style="616" customWidth="1"/>
    <col min="5386" max="5386" width="5.28515625" style="616" customWidth="1"/>
    <col min="5387" max="5387" width="73.140625" style="616" customWidth="1"/>
    <col min="5388" max="5388" width="27.5703125" style="616" customWidth="1"/>
    <col min="5389" max="5389" width="24.5703125" style="616" customWidth="1"/>
    <col min="5390" max="5390" width="4" style="616" customWidth="1"/>
    <col min="5391" max="5391" width="10.140625" style="616" customWidth="1"/>
    <col min="5392" max="5632" width="11" style="616"/>
    <col min="5633" max="5633" width="3.7109375" style="616" customWidth="1"/>
    <col min="5634" max="5634" width="24.140625" style="616" customWidth="1"/>
    <col min="5635" max="5635" width="5.28515625" style="616" customWidth="1"/>
    <col min="5636" max="5636" width="62.5703125" style="616" customWidth="1"/>
    <col min="5637" max="5637" width="6.5703125" style="616" customWidth="1"/>
    <col min="5638" max="5638" width="5.85546875" style="616" customWidth="1"/>
    <col min="5639" max="5639" width="22.140625" style="616" customWidth="1"/>
    <col min="5640" max="5640" width="23.140625" style="616" customWidth="1"/>
    <col min="5641" max="5641" width="22.85546875" style="616" customWidth="1"/>
    <col min="5642" max="5642" width="5.28515625" style="616" customWidth="1"/>
    <col min="5643" max="5643" width="73.140625" style="616" customWidth="1"/>
    <col min="5644" max="5644" width="27.5703125" style="616" customWidth="1"/>
    <col min="5645" max="5645" width="24.5703125" style="616" customWidth="1"/>
    <col min="5646" max="5646" width="4" style="616" customWidth="1"/>
    <col min="5647" max="5647" width="10.140625" style="616" customWidth="1"/>
    <col min="5648" max="5888" width="11" style="616"/>
    <col min="5889" max="5889" width="3.7109375" style="616" customWidth="1"/>
    <col min="5890" max="5890" width="24.140625" style="616" customWidth="1"/>
    <col min="5891" max="5891" width="5.28515625" style="616" customWidth="1"/>
    <col min="5892" max="5892" width="62.5703125" style="616" customWidth="1"/>
    <col min="5893" max="5893" width="6.5703125" style="616" customWidth="1"/>
    <col min="5894" max="5894" width="5.85546875" style="616" customWidth="1"/>
    <col min="5895" max="5895" width="22.140625" style="616" customWidth="1"/>
    <col min="5896" max="5896" width="23.140625" style="616" customWidth="1"/>
    <col min="5897" max="5897" width="22.85546875" style="616" customWidth="1"/>
    <col min="5898" max="5898" width="5.28515625" style="616" customWidth="1"/>
    <col min="5899" max="5899" width="73.140625" style="616" customWidth="1"/>
    <col min="5900" max="5900" width="27.5703125" style="616" customWidth="1"/>
    <col min="5901" max="5901" width="24.5703125" style="616" customWidth="1"/>
    <col min="5902" max="5902" width="4" style="616" customWidth="1"/>
    <col min="5903" max="5903" width="10.140625" style="616" customWidth="1"/>
    <col min="5904" max="6144" width="11" style="616"/>
    <col min="6145" max="6145" width="3.7109375" style="616" customWidth="1"/>
    <col min="6146" max="6146" width="24.140625" style="616" customWidth="1"/>
    <col min="6147" max="6147" width="5.28515625" style="616" customWidth="1"/>
    <col min="6148" max="6148" width="62.5703125" style="616" customWidth="1"/>
    <col min="6149" max="6149" width="6.5703125" style="616" customWidth="1"/>
    <col min="6150" max="6150" width="5.85546875" style="616" customWidth="1"/>
    <col min="6151" max="6151" width="22.140625" style="616" customWidth="1"/>
    <col min="6152" max="6152" width="23.140625" style="616" customWidth="1"/>
    <col min="6153" max="6153" width="22.85546875" style="616" customWidth="1"/>
    <col min="6154" max="6154" width="5.28515625" style="616" customWidth="1"/>
    <col min="6155" max="6155" width="73.140625" style="616" customWidth="1"/>
    <col min="6156" max="6156" width="27.5703125" style="616" customWidth="1"/>
    <col min="6157" max="6157" width="24.5703125" style="616" customWidth="1"/>
    <col min="6158" max="6158" width="4" style="616" customWidth="1"/>
    <col min="6159" max="6159" width="10.140625" style="616" customWidth="1"/>
    <col min="6160" max="6400" width="11" style="616"/>
    <col min="6401" max="6401" width="3.7109375" style="616" customWidth="1"/>
    <col min="6402" max="6402" width="24.140625" style="616" customWidth="1"/>
    <col min="6403" max="6403" width="5.28515625" style="616" customWidth="1"/>
    <col min="6404" max="6404" width="62.5703125" style="616" customWidth="1"/>
    <col min="6405" max="6405" width="6.5703125" style="616" customWidth="1"/>
    <col min="6406" max="6406" width="5.85546875" style="616" customWidth="1"/>
    <col min="6407" max="6407" width="22.140625" style="616" customWidth="1"/>
    <col min="6408" max="6408" width="23.140625" style="616" customWidth="1"/>
    <col min="6409" max="6409" width="22.85546875" style="616" customWidth="1"/>
    <col min="6410" max="6410" width="5.28515625" style="616" customWidth="1"/>
    <col min="6411" max="6411" width="73.140625" style="616" customWidth="1"/>
    <col min="6412" max="6412" width="27.5703125" style="616" customWidth="1"/>
    <col min="6413" max="6413" width="24.5703125" style="616" customWidth="1"/>
    <col min="6414" max="6414" width="4" style="616" customWidth="1"/>
    <col min="6415" max="6415" width="10.140625" style="616" customWidth="1"/>
    <col min="6416" max="6656" width="11" style="616"/>
    <col min="6657" max="6657" width="3.7109375" style="616" customWidth="1"/>
    <col min="6658" max="6658" width="24.140625" style="616" customWidth="1"/>
    <col min="6659" max="6659" width="5.28515625" style="616" customWidth="1"/>
    <col min="6660" max="6660" width="62.5703125" style="616" customWidth="1"/>
    <col min="6661" max="6661" width="6.5703125" style="616" customWidth="1"/>
    <col min="6662" max="6662" width="5.85546875" style="616" customWidth="1"/>
    <col min="6663" max="6663" width="22.140625" style="616" customWidth="1"/>
    <col min="6664" max="6664" width="23.140625" style="616" customWidth="1"/>
    <col min="6665" max="6665" width="22.85546875" style="616" customWidth="1"/>
    <col min="6666" max="6666" width="5.28515625" style="616" customWidth="1"/>
    <col min="6667" max="6667" width="73.140625" style="616" customWidth="1"/>
    <col min="6668" max="6668" width="27.5703125" style="616" customWidth="1"/>
    <col min="6669" max="6669" width="24.5703125" style="616" customWidth="1"/>
    <col min="6670" max="6670" width="4" style="616" customWidth="1"/>
    <col min="6671" max="6671" width="10.140625" style="616" customWidth="1"/>
    <col min="6672" max="6912" width="11" style="616"/>
    <col min="6913" max="6913" width="3.7109375" style="616" customWidth="1"/>
    <col min="6914" max="6914" width="24.140625" style="616" customWidth="1"/>
    <col min="6915" max="6915" width="5.28515625" style="616" customWidth="1"/>
    <col min="6916" max="6916" width="62.5703125" style="616" customWidth="1"/>
    <col min="6917" max="6917" width="6.5703125" style="616" customWidth="1"/>
    <col min="6918" max="6918" width="5.85546875" style="616" customWidth="1"/>
    <col min="6919" max="6919" width="22.140625" style="616" customWidth="1"/>
    <col min="6920" max="6920" width="23.140625" style="616" customWidth="1"/>
    <col min="6921" max="6921" width="22.85546875" style="616" customWidth="1"/>
    <col min="6922" max="6922" width="5.28515625" style="616" customWidth="1"/>
    <col min="6923" max="6923" width="73.140625" style="616" customWidth="1"/>
    <col min="6924" max="6924" width="27.5703125" style="616" customWidth="1"/>
    <col min="6925" max="6925" width="24.5703125" style="616" customWidth="1"/>
    <col min="6926" max="6926" width="4" style="616" customWidth="1"/>
    <col min="6927" max="6927" width="10.140625" style="616" customWidth="1"/>
    <col min="6928" max="7168" width="11" style="616"/>
    <col min="7169" max="7169" width="3.7109375" style="616" customWidth="1"/>
    <col min="7170" max="7170" width="24.140625" style="616" customWidth="1"/>
    <col min="7171" max="7171" width="5.28515625" style="616" customWidth="1"/>
    <col min="7172" max="7172" width="62.5703125" style="616" customWidth="1"/>
    <col min="7173" max="7173" width="6.5703125" style="616" customWidth="1"/>
    <col min="7174" max="7174" width="5.85546875" style="616" customWidth="1"/>
    <col min="7175" max="7175" width="22.140625" style="616" customWidth="1"/>
    <col min="7176" max="7176" width="23.140625" style="616" customWidth="1"/>
    <col min="7177" max="7177" width="22.85546875" style="616" customWidth="1"/>
    <col min="7178" max="7178" width="5.28515625" style="616" customWidth="1"/>
    <col min="7179" max="7179" width="73.140625" style="616" customWidth="1"/>
    <col min="7180" max="7180" width="27.5703125" style="616" customWidth="1"/>
    <col min="7181" max="7181" width="24.5703125" style="616" customWidth="1"/>
    <col min="7182" max="7182" width="4" style="616" customWidth="1"/>
    <col min="7183" max="7183" width="10.140625" style="616" customWidth="1"/>
    <col min="7184" max="7424" width="11" style="616"/>
    <col min="7425" max="7425" width="3.7109375" style="616" customWidth="1"/>
    <col min="7426" max="7426" width="24.140625" style="616" customWidth="1"/>
    <col min="7427" max="7427" width="5.28515625" style="616" customWidth="1"/>
    <col min="7428" max="7428" width="62.5703125" style="616" customWidth="1"/>
    <col min="7429" max="7429" width="6.5703125" style="616" customWidth="1"/>
    <col min="7430" max="7430" width="5.85546875" style="616" customWidth="1"/>
    <col min="7431" max="7431" width="22.140625" style="616" customWidth="1"/>
    <col min="7432" max="7432" width="23.140625" style="616" customWidth="1"/>
    <col min="7433" max="7433" width="22.85546875" style="616" customWidth="1"/>
    <col min="7434" max="7434" width="5.28515625" style="616" customWidth="1"/>
    <col min="7435" max="7435" width="73.140625" style="616" customWidth="1"/>
    <col min="7436" max="7436" width="27.5703125" style="616" customWidth="1"/>
    <col min="7437" max="7437" width="24.5703125" style="616" customWidth="1"/>
    <col min="7438" max="7438" width="4" style="616" customWidth="1"/>
    <col min="7439" max="7439" width="10.140625" style="616" customWidth="1"/>
    <col min="7440" max="7680" width="11" style="616"/>
    <col min="7681" max="7681" width="3.7109375" style="616" customWidth="1"/>
    <col min="7682" max="7682" width="24.140625" style="616" customWidth="1"/>
    <col min="7683" max="7683" width="5.28515625" style="616" customWidth="1"/>
    <col min="7684" max="7684" width="62.5703125" style="616" customWidth="1"/>
    <col min="7685" max="7685" width="6.5703125" style="616" customWidth="1"/>
    <col min="7686" max="7686" width="5.85546875" style="616" customWidth="1"/>
    <col min="7687" max="7687" width="22.140625" style="616" customWidth="1"/>
    <col min="7688" max="7688" width="23.140625" style="616" customWidth="1"/>
    <col min="7689" max="7689" width="22.85546875" style="616" customWidth="1"/>
    <col min="7690" max="7690" width="5.28515625" style="616" customWidth="1"/>
    <col min="7691" max="7691" width="73.140625" style="616" customWidth="1"/>
    <col min="7692" max="7692" width="27.5703125" style="616" customWidth="1"/>
    <col min="7693" max="7693" width="24.5703125" style="616" customWidth="1"/>
    <col min="7694" max="7694" width="4" style="616" customWidth="1"/>
    <col min="7695" max="7695" width="10.140625" style="616" customWidth="1"/>
    <col min="7696" max="7936" width="11" style="616"/>
    <col min="7937" max="7937" width="3.7109375" style="616" customWidth="1"/>
    <col min="7938" max="7938" width="24.140625" style="616" customWidth="1"/>
    <col min="7939" max="7939" width="5.28515625" style="616" customWidth="1"/>
    <col min="7940" max="7940" width="62.5703125" style="616" customWidth="1"/>
    <col min="7941" max="7941" width="6.5703125" style="616" customWidth="1"/>
    <col min="7942" max="7942" width="5.85546875" style="616" customWidth="1"/>
    <col min="7943" max="7943" width="22.140625" style="616" customWidth="1"/>
    <col min="7944" max="7944" width="23.140625" style="616" customWidth="1"/>
    <col min="7945" max="7945" width="22.85546875" style="616" customWidth="1"/>
    <col min="7946" max="7946" width="5.28515625" style="616" customWidth="1"/>
    <col min="7947" max="7947" width="73.140625" style="616" customWidth="1"/>
    <col min="7948" max="7948" width="27.5703125" style="616" customWidth="1"/>
    <col min="7949" max="7949" width="24.5703125" style="616" customWidth="1"/>
    <col min="7950" max="7950" width="4" style="616" customWidth="1"/>
    <col min="7951" max="7951" width="10.140625" style="616" customWidth="1"/>
    <col min="7952" max="8192" width="11" style="616"/>
    <col min="8193" max="8193" width="3.7109375" style="616" customWidth="1"/>
    <col min="8194" max="8194" width="24.140625" style="616" customWidth="1"/>
    <col min="8195" max="8195" width="5.28515625" style="616" customWidth="1"/>
    <col min="8196" max="8196" width="62.5703125" style="616" customWidth="1"/>
    <col min="8197" max="8197" width="6.5703125" style="616" customWidth="1"/>
    <col min="8198" max="8198" width="5.85546875" style="616" customWidth="1"/>
    <col min="8199" max="8199" width="22.140625" style="616" customWidth="1"/>
    <col min="8200" max="8200" width="23.140625" style="616" customWidth="1"/>
    <col min="8201" max="8201" width="22.85546875" style="616" customWidth="1"/>
    <col min="8202" max="8202" width="5.28515625" style="616" customWidth="1"/>
    <col min="8203" max="8203" width="73.140625" style="616" customWidth="1"/>
    <col min="8204" max="8204" width="27.5703125" style="616" customWidth="1"/>
    <col min="8205" max="8205" width="24.5703125" style="616" customWidth="1"/>
    <col min="8206" max="8206" width="4" style="616" customWidth="1"/>
    <col min="8207" max="8207" width="10.140625" style="616" customWidth="1"/>
    <col min="8208" max="8448" width="11" style="616"/>
    <col min="8449" max="8449" width="3.7109375" style="616" customWidth="1"/>
    <col min="8450" max="8450" width="24.140625" style="616" customWidth="1"/>
    <col min="8451" max="8451" width="5.28515625" style="616" customWidth="1"/>
    <col min="8452" max="8452" width="62.5703125" style="616" customWidth="1"/>
    <col min="8453" max="8453" width="6.5703125" style="616" customWidth="1"/>
    <col min="8454" max="8454" width="5.85546875" style="616" customWidth="1"/>
    <col min="8455" max="8455" width="22.140625" style="616" customWidth="1"/>
    <col min="8456" max="8456" width="23.140625" style="616" customWidth="1"/>
    <col min="8457" max="8457" width="22.85546875" style="616" customWidth="1"/>
    <col min="8458" max="8458" width="5.28515625" style="616" customWidth="1"/>
    <col min="8459" max="8459" width="73.140625" style="616" customWidth="1"/>
    <col min="8460" max="8460" width="27.5703125" style="616" customWidth="1"/>
    <col min="8461" max="8461" width="24.5703125" style="616" customWidth="1"/>
    <col min="8462" max="8462" width="4" style="616" customWidth="1"/>
    <col min="8463" max="8463" width="10.140625" style="616" customWidth="1"/>
    <col min="8464" max="8704" width="11" style="616"/>
    <col min="8705" max="8705" width="3.7109375" style="616" customWidth="1"/>
    <col min="8706" max="8706" width="24.140625" style="616" customWidth="1"/>
    <col min="8707" max="8707" width="5.28515625" style="616" customWidth="1"/>
    <col min="8708" max="8708" width="62.5703125" style="616" customWidth="1"/>
    <col min="8709" max="8709" width="6.5703125" style="616" customWidth="1"/>
    <col min="8710" max="8710" width="5.85546875" style="616" customWidth="1"/>
    <col min="8711" max="8711" width="22.140625" style="616" customWidth="1"/>
    <col min="8712" max="8712" width="23.140625" style="616" customWidth="1"/>
    <col min="8713" max="8713" width="22.85546875" style="616" customWidth="1"/>
    <col min="8714" max="8714" width="5.28515625" style="616" customWidth="1"/>
    <col min="8715" max="8715" width="73.140625" style="616" customWidth="1"/>
    <col min="8716" max="8716" width="27.5703125" style="616" customWidth="1"/>
    <col min="8717" max="8717" width="24.5703125" style="616" customWidth="1"/>
    <col min="8718" max="8718" width="4" style="616" customWidth="1"/>
    <col min="8719" max="8719" width="10.140625" style="616" customWidth="1"/>
    <col min="8720" max="8960" width="11" style="616"/>
    <col min="8961" max="8961" width="3.7109375" style="616" customWidth="1"/>
    <col min="8962" max="8962" width="24.140625" style="616" customWidth="1"/>
    <col min="8963" max="8963" width="5.28515625" style="616" customWidth="1"/>
    <col min="8964" max="8964" width="62.5703125" style="616" customWidth="1"/>
    <col min="8965" max="8965" width="6.5703125" style="616" customWidth="1"/>
    <col min="8966" max="8966" width="5.85546875" style="616" customWidth="1"/>
    <col min="8967" max="8967" width="22.140625" style="616" customWidth="1"/>
    <col min="8968" max="8968" width="23.140625" style="616" customWidth="1"/>
    <col min="8969" max="8969" width="22.85546875" style="616" customWidth="1"/>
    <col min="8970" max="8970" width="5.28515625" style="616" customWidth="1"/>
    <col min="8971" max="8971" width="73.140625" style="616" customWidth="1"/>
    <col min="8972" max="8972" width="27.5703125" style="616" customWidth="1"/>
    <col min="8973" max="8973" width="24.5703125" style="616" customWidth="1"/>
    <col min="8974" max="8974" width="4" style="616" customWidth="1"/>
    <col min="8975" max="8975" width="10.140625" style="616" customWidth="1"/>
    <col min="8976" max="9216" width="11" style="616"/>
    <col min="9217" max="9217" width="3.7109375" style="616" customWidth="1"/>
    <col min="9218" max="9218" width="24.140625" style="616" customWidth="1"/>
    <col min="9219" max="9219" width="5.28515625" style="616" customWidth="1"/>
    <col min="9220" max="9220" width="62.5703125" style="616" customWidth="1"/>
    <col min="9221" max="9221" width="6.5703125" style="616" customWidth="1"/>
    <col min="9222" max="9222" width="5.85546875" style="616" customWidth="1"/>
    <col min="9223" max="9223" width="22.140625" style="616" customWidth="1"/>
    <col min="9224" max="9224" width="23.140625" style="616" customWidth="1"/>
    <col min="9225" max="9225" width="22.85546875" style="616" customWidth="1"/>
    <col min="9226" max="9226" width="5.28515625" style="616" customWidth="1"/>
    <col min="9227" max="9227" width="73.140625" style="616" customWidth="1"/>
    <col min="9228" max="9228" width="27.5703125" style="616" customWidth="1"/>
    <col min="9229" max="9229" width="24.5703125" style="616" customWidth="1"/>
    <col min="9230" max="9230" width="4" style="616" customWidth="1"/>
    <col min="9231" max="9231" width="10.140625" style="616" customWidth="1"/>
    <col min="9232" max="9472" width="11" style="616"/>
    <col min="9473" max="9473" width="3.7109375" style="616" customWidth="1"/>
    <col min="9474" max="9474" width="24.140625" style="616" customWidth="1"/>
    <col min="9475" max="9475" width="5.28515625" style="616" customWidth="1"/>
    <col min="9476" max="9476" width="62.5703125" style="616" customWidth="1"/>
    <col min="9477" max="9477" width="6.5703125" style="616" customWidth="1"/>
    <col min="9478" max="9478" width="5.85546875" style="616" customWidth="1"/>
    <col min="9479" max="9479" width="22.140625" style="616" customWidth="1"/>
    <col min="9480" max="9480" width="23.140625" style="616" customWidth="1"/>
    <col min="9481" max="9481" width="22.85546875" style="616" customWidth="1"/>
    <col min="9482" max="9482" width="5.28515625" style="616" customWidth="1"/>
    <col min="9483" max="9483" width="73.140625" style="616" customWidth="1"/>
    <col min="9484" max="9484" width="27.5703125" style="616" customWidth="1"/>
    <col min="9485" max="9485" width="24.5703125" style="616" customWidth="1"/>
    <col min="9486" max="9486" width="4" style="616" customWidth="1"/>
    <col min="9487" max="9487" width="10.140625" style="616" customWidth="1"/>
    <col min="9488" max="9728" width="11" style="616"/>
    <col min="9729" max="9729" width="3.7109375" style="616" customWidth="1"/>
    <col min="9730" max="9730" width="24.140625" style="616" customWidth="1"/>
    <col min="9731" max="9731" width="5.28515625" style="616" customWidth="1"/>
    <col min="9732" max="9732" width="62.5703125" style="616" customWidth="1"/>
    <col min="9733" max="9733" width="6.5703125" style="616" customWidth="1"/>
    <col min="9734" max="9734" width="5.85546875" style="616" customWidth="1"/>
    <col min="9735" max="9735" width="22.140625" style="616" customWidth="1"/>
    <col min="9736" max="9736" width="23.140625" style="616" customWidth="1"/>
    <col min="9737" max="9737" width="22.85546875" style="616" customWidth="1"/>
    <col min="9738" max="9738" width="5.28515625" style="616" customWidth="1"/>
    <col min="9739" max="9739" width="73.140625" style="616" customWidth="1"/>
    <col min="9740" max="9740" width="27.5703125" style="616" customWidth="1"/>
    <col min="9741" max="9741" width="24.5703125" style="616" customWidth="1"/>
    <col min="9742" max="9742" width="4" style="616" customWidth="1"/>
    <col min="9743" max="9743" width="10.140625" style="616" customWidth="1"/>
    <col min="9744" max="9984" width="11" style="616"/>
    <col min="9985" max="9985" width="3.7109375" style="616" customWidth="1"/>
    <col min="9986" max="9986" width="24.140625" style="616" customWidth="1"/>
    <col min="9987" max="9987" width="5.28515625" style="616" customWidth="1"/>
    <col min="9988" max="9988" width="62.5703125" style="616" customWidth="1"/>
    <col min="9989" max="9989" width="6.5703125" style="616" customWidth="1"/>
    <col min="9990" max="9990" width="5.85546875" style="616" customWidth="1"/>
    <col min="9991" max="9991" width="22.140625" style="616" customWidth="1"/>
    <col min="9992" max="9992" width="23.140625" style="616" customWidth="1"/>
    <col min="9993" max="9993" width="22.85546875" style="616" customWidth="1"/>
    <col min="9994" max="9994" width="5.28515625" style="616" customWidth="1"/>
    <col min="9995" max="9995" width="73.140625" style="616" customWidth="1"/>
    <col min="9996" max="9996" width="27.5703125" style="616" customWidth="1"/>
    <col min="9997" max="9997" width="24.5703125" style="616" customWidth="1"/>
    <col min="9998" max="9998" width="4" style="616" customWidth="1"/>
    <col min="9999" max="9999" width="10.140625" style="616" customWidth="1"/>
    <col min="10000" max="10240" width="11" style="616"/>
    <col min="10241" max="10241" width="3.7109375" style="616" customWidth="1"/>
    <col min="10242" max="10242" width="24.140625" style="616" customWidth="1"/>
    <col min="10243" max="10243" width="5.28515625" style="616" customWidth="1"/>
    <col min="10244" max="10244" width="62.5703125" style="616" customWidth="1"/>
    <col min="10245" max="10245" width="6.5703125" style="616" customWidth="1"/>
    <col min="10246" max="10246" width="5.85546875" style="616" customWidth="1"/>
    <col min="10247" max="10247" width="22.140625" style="616" customWidth="1"/>
    <col min="10248" max="10248" width="23.140625" style="616" customWidth="1"/>
    <col min="10249" max="10249" width="22.85546875" style="616" customWidth="1"/>
    <col min="10250" max="10250" width="5.28515625" style="616" customWidth="1"/>
    <col min="10251" max="10251" width="73.140625" style="616" customWidth="1"/>
    <col min="10252" max="10252" width="27.5703125" style="616" customWidth="1"/>
    <col min="10253" max="10253" width="24.5703125" style="616" customWidth="1"/>
    <col min="10254" max="10254" width="4" style="616" customWidth="1"/>
    <col min="10255" max="10255" width="10.140625" style="616" customWidth="1"/>
    <col min="10256" max="10496" width="11" style="616"/>
    <col min="10497" max="10497" width="3.7109375" style="616" customWidth="1"/>
    <col min="10498" max="10498" width="24.140625" style="616" customWidth="1"/>
    <col min="10499" max="10499" width="5.28515625" style="616" customWidth="1"/>
    <col min="10500" max="10500" width="62.5703125" style="616" customWidth="1"/>
    <col min="10501" max="10501" width="6.5703125" style="616" customWidth="1"/>
    <col min="10502" max="10502" width="5.85546875" style="616" customWidth="1"/>
    <col min="10503" max="10503" width="22.140625" style="616" customWidth="1"/>
    <col min="10504" max="10504" width="23.140625" style="616" customWidth="1"/>
    <col min="10505" max="10505" width="22.85546875" style="616" customWidth="1"/>
    <col min="10506" max="10506" width="5.28515625" style="616" customWidth="1"/>
    <col min="10507" max="10507" width="73.140625" style="616" customWidth="1"/>
    <col min="10508" max="10508" width="27.5703125" style="616" customWidth="1"/>
    <col min="10509" max="10509" width="24.5703125" style="616" customWidth="1"/>
    <col min="10510" max="10510" width="4" style="616" customWidth="1"/>
    <col min="10511" max="10511" width="10.140625" style="616" customWidth="1"/>
    <col min="10512" max="10752" width="11" style="616"/>
    <col min="10753" max="10753" width="3.7109375" style="616" customWidth="1"/>
    <col min="10754" max="10754" width="24.140625" style="616" customWidth="1"/>
    <col min="10755" max="10755" width="5.28515625" style="616" customWidth="1"/>
    <col min="10756" max="10756" width="62.5703125" style="616" customWidth="1"/>
    <col min="10757" max="10757" width="6.5703125" style="616" customWidth="1"/>
    <col min="10758" max="10758" width="5.85546875" style="616" customWidth="1"/>
    <col min="10759" max="10759" width="22.140625" style="616" customWidth="1"/>
    <col min="10760" max="10760" width="23.140625" style="616" customWidth="1"/>
    <col min="10761" max="10761" width="22.85546875" style="616" customWidth="1"/>
    <col min="10762" max="10762" width="5.28515625" style="616" customWidth="1"/>
    <col min="10763" max="10763" width="73.140625" style="616" customWidth="1"/>
    <col min="10764" max="10764" width="27.5703125" style="616" customWidth="1"/>
    <col min="10765" max="10765" width="24.5703125" style="616" customWidth="1"/>
    <col min="10766" max="10766" width="4" style="616" customWidth="1"/>
    <col min="10767" max="10767" width="10.140625" style="616" customWidth="1"/>
    <col min="10768" max="11008" width="11" style="616"/>
    <col min="11009" max="11009" width="3.7109375" style="616" customWidth="1"/>
    <col min="11010" max="11010" width="24.140625" style="616" customWidth="1"/>
    <col min="11011" max="11011" width="5.28515625" style="616" customWidth="1"/>
    <col min="11012" max="11012" width="62.5703125" style="616" customWidth="1"/>
    <col min="11013" max="11013" width="6.5703125" style="616" customWidth="1"/>
    <col min="11014" max="11014" width="5.85546875" style="616" customWidth="1"/>
    <col min="11015" max="11015" width="22.140625" style="616" customWidth="1"/>
    <col min="11016" max="11016" width="23.140625" style="616" customWidth="1"/>
    <col min="11017" max="11017" width="22.85546875" style="616" customWidth="1"/>
    <col min="11018" max="11018" width="5.28515625" style="616" customWidth="1"/>
    <col min="11019" max="11019" width="73.140625" style="616" customWidth="1"/>
    <col min="11020" max="11020" width="27.5703125" style="616" customWidth="1"/>
    <col min="11021" max="11021" width="24.5703125" style="616" customWidth="1"/>
    <col min="11022" max="11022" width="4" style="616" customWidth="1"/>
    <col min="11023" max="11023" width="10.140625" style="616" customWidth="1"/>
    <col min="11024" max="11264" width="11" style="616"/>
    <col min="11265" max="11265" width="3.7109375" style="616" customWidth="1"/>
    <col min="11266" max="11266" width="24.140625" style="616" customWidth="1"/>
    <col min="11267" max="11267" width="5.28515625" style="616" customWidth="1"/>
    <col min="11268" max="11268" width="62.5703125" style="616" customWidth="1"/>
    <col min="11269" max="11269" width="6.5703125" style="616" customWidth="1"/>
    <col min="11270" max="11270" width="5.85546875" style="616" customWidth="1"/>
    <col min="11271" max="11271" width="22.140625" style="616" customWidth="1"/>
    <col min="11272" max="11272" width="23.140625" style="616" customWidth="1"/>
    <col min="11273" max="11273" width="22.85546875" style="616" customWidth="1"/>
    <col min="11274" max="11274" width="5.28515625" style="616" customWidth="1"/>
    <col min="11275" max="11275" width="73.140625" style="616" customWidth="1"/>
    <col min="11276" max="11276" width="27.5703125" style="616" customWidth="1"/>
    <col min="11277" max="11277" width="24.5703125" style="616" customWidth="1"/>
    <col min="11278" max="11278" width="4" style="616" customWidth="1"/>
    <col min="11279" max="11279" width="10.140625" style="616" customWidth="1"/>
    <col min="11280" max="11520" width="11" style="616"/>
    <col min="11521" max="11521" width="3.7109375" style="616" customWidth="1"/>
    <col min="11522" max="11522" width="24.140625" style="616" customWidth="1"/>
    <col min="11523" max="11523" width="5.28515625" style="616" customWidth="1"/>
    <col min="11524" max="11524" width="62.5703125" style="616" customWidth="1"/>
    <col min="11525" max="11525" width="6.5703125" style="616" customWidth="1"/>
    <col min="11526" max="11526" width="5.85546875" style="616" customWidth="1"/>
    <col min="11527" max="11527" width="22.140625" style="616" customWidth="1"/>
    <col min="11528" max="11528" width="23.140625" style="616" customWidth="1"/>
    <col min="11529" max="11529" width="22.85546875" style="616" customWidth="1"/>
    <col min="11530" max="11530" width="5.28515625" style="616" customWidth="1"/>
    <col min="11531" max="11531" width="73.140625" style="616" customWidth="1"/>
    <col min="11532" max="11532" width="27.5703125" style="616" customWidth="1"/>
    <col min="11533" max="11533" width="24.5703125" style="616" customWidth="1"/>
    <col min="11534" max="11534" width="4" style="616" customWidth="1"/>
    <col min="11535" max="11535" width="10.140625" style="616" customWidth="1"/>
    <col min="11536" max="11776" width="11" style="616"/>
    <col min="11777" max="11777" width="3.7109375" style="616" customWidth="1"/>
    <col min="11778" max="11778" width="24.140625" style="616" customWidth="1"/>
    <col min="11779" max="11779" width="5.28515625" style="616" customWidth="1"/>
    <col min="11780" max="11780" width="62.5703125" style="616" customWidth="1"/>
    <col min="11781" max="11781" width="6.5703125" style="616" customWidth="1"/>
    <col min="11782" max="11782" width="5.85546875" style="616" customWidth="1"/>
    <col min="11783" max="11783" width="22.140625" style="616" customWidth="1"/>
    <col min="11784" max="11784" width="23.140625" style="616" customWidth="1"/>
    <col min="11785" max="11785" width="22.85546875" style="616" customWidth="1"/>
    <col min="11786" max="11786" width="5.28515625" style="616" customWidth="1"/>
    <col min="11787" max="11787" width="73.140625" style="616" customWidth="1"/>
    <col min="11788" max="11788" width="27.5703125" style="616" customWidth="1"/>
    <col min="11789" max="11789" width="24.5703125" style="616" customWidth="1"/>
    <col min="11790" max="11790" width="4" style="616" customWidth="1"/>
    <col min="11791" max="11791" width="10.140625" style="616" customWidth="1"/>
    <col min="11792" max="12032" width="11" style="616"/>
    <col min="12033" max="12033" width="3.7109375" style="616" customWidth="1"/>
    <col min="12034" max="12034" width="24.140625" style="616" customWidth="1"/>
    <col min="12035" max="12035" width="5.28515625" style="616" customWidth="1"/>
    <col min="12036" max="12036" width="62.5703125" style="616" customWidth="1"/>
    <col min="12037" max="12037" width="6.5703125" style="616" customWidth="1"/>
    <col min="12038" max="12038" width="5.85546875" style="616" customWidth="1"/>
    <col min="12039" max="12039" width="22.140625" style="616" customWidth="1"/>
    <col min="12040" max="12040" width="23.140625" style="616" customWidth="1"/>
    <col min="12041" max="12041" width="22.85546875" style="616" customWidth="1"/>
    <col min="12042" max="12042" width="5.28515625" style="616" customWidth="1"/>
    <col min="12043" max="12043" width="73.140625" style="616" customWidth="1"/>
    <col min="12044" max="12044" width="27.5703125" style="616" customWidth="1"/>
    <col min="12045" max="12045" width="24.5703125" style="616" customWidth="1"/>
    <col min="12046" max="12046" width="4" style="616" customWidth="1"/>
    <col min="12047" max="12047" width="10.140625" style="616" customWidth="1"/>
    <col min="12048" max="12288" width="11" style="616"/>
    <col min="12289" max="12289" width="3.7109375" style="616" customWidth="1"/>
    <col min="12290" max="12290" width="24.140625" style="616" customWidth="1"/>
    <col min="12291" max="12291" width="5.28515625" style="616" customWidth="1"/>
    <col min="12292" max="12292" width="62.5703125" style="616" customWidth="1"/>
    <col min="12293" max="12293" width="6.5703125" style="616" customWidth="1"/>
    <col min="12294" max="12294" width="5.85546875" style="616" customWidth="1"/>
    <col min="12295" max="12295" width="22.140625" style="616" customWidth="1"/>
    <col min="12296" max="12296" width="23.140625" style="616" customWidth="1"/>
    <col min="12297" max="12297" width="22.85546875" style="616" customWidth="1"/>
    <col min="12298" max="12298" width="5.28515625" style="616" customWidth="1"/>
    <col min="12299" max="12299" width="73.140625" style="616" customWidth="1"/>
    <col min="12300" max="12300" width="27.5703125" style="616" customWidth="1"/>
    <col min="12301" max="12301" width="24.5703125" style="616" customWidth="1"/>
    <col min="12302" max="12302" width="4" style="616" customWidth="1"/>
    <col min="12303" max="12303" width="10.140625" style="616" customWidth="1"/>
    <col min="12304" max="12544" width="11" style="616"/>
    <col min="12545" max="12545" width="3.7109375" style="616" customWidth="1"/>
    <col min="12546" max="12546" width="24.140625" style="616" customWidth="1"/>
    <col min="12547" max="12547" width="5.28515625" style="616" customWidth="1"/>
    <col min="12548" max="12548" width="62.5703125" style="616" customWidth="1"/>
    <col min="12549" max="12549" width="6.5703125" style="616" customWidth="1"/>
    <col min="12550" max="12550" width="5.85546875" style="616" customWidth="1"/>
    <col min="12551" max="12551" width="22.140625" style="616" customWidth="1"/>
    <col min="12552" max="12552" width="23.140625" style="616" customWidth="1"/>
    <col min="12553" max="12553" width="22.85546875" style="616" customWidth="1"/>
    <col min="12554" max="12554" width="5.28515625" style="616" customWidth="1"/>
    <col min="12555" max="12555" width="73.140625" style="616" customWidth="1"/>
    <col min="12556" max="12556" width="27.5703125" style="616" customWidth="1"/>
    <col min="12557" max="12557" width="24.5703125" style="616" customWidth="1"/>
    <col min="12558" max="12558" width="4" style="616" customWidth="1"/>
    <col min="12559" max="12559" width="10.140625" style="616" customWidth="1"/>
    <col min="12560" max="12800" width="11" style="616"/>
    <col min="12801" max="12801" width="3.7109375" style="616" customWidth="1"/>
    <col min="12802" max="12802" width="24.140625" style="616" customWidth="1"/>
    <col min="12803" max="12803" width="5.28515625" style="616" customWidth="1"/>
    <col min="12804" max="12804" width="62.5703125" style="616" customWidth="1"/>
    <col min="12805" max="12805" width="6.5703125" style="616" customWidth="1"/>
    <col min="12806" max="12806" width="5.85546875" style="616" customWidth="1"/>
    <col min="12807" max="12807" width="22.140625" style="616" customWidth="1"/>
    <col min="12808" max="12808" width="23.140625" style="616" customWidth="1"/>
    <col min="12809" max="12809" width="22.85546875" style="616" customWidth="1"/>
    <col min="12810" max="12810" width="5.28515625" style="616" customWidth="1"/>
    <col min="12811" max="12811" width="73.140625" style="616" customWidth="1"/>
    <col min="12812" max="12812" width="27.5703125" style="616" customWidth="1"/>
    <col min="12813" max="12813" width="24.5703125" style="616" customWidth="1"/>
    <col min="12814" max="12814" width="4" style="616" customWidth="1"/>
    <col min="12815" max="12815" width="10.140625" style="616" customWidth="1"/>
    <col min="12816" max="13056" width="11" style="616"/>
    <col min="13057" max="13057" width="3.7109375" style="616" customWidth="1"/>
    <col min="13058" max="13058" width="24.140625" style="616" customWidth="1"/>
    <col min="13059" max="13059" width="5.28515625" style="616" customWidth="1"/>
    <col min="13060" max="13060" width="62.5703125" style="616" customWidth="1"/>
    <col min="13061" max="13061" width="6.5703125" style="616" customWidth="1"/>
    <col min="13062" max="13062" width="5.85546875" style="616" customWidth="1"/>
    <col min="13063" max="13063" width="22.140625" style="616" customWidth="1"/>
    <col min="13064" max="13064" width="23.140625" style="616" customWidth="1"/>
    <col min="13065" max="13065" width="22.85546875" style="616" customWidth="1"/>
    <col min="13066" max="13066" width="5.28515625" style="616" customWidth="1"/>
    <col min="13067" max="13067" width="73.140625" style="616" customWidth="1"/>
    <col min="13068" max="13068" width="27.5703125" style="616" customWidth="1"/>
    <col min="13069" max="13069" width="24.5703125" style="616" customWidth="1"/>
    <col min="13070" max="13070" width="4" style="616" customWidth="1"/>
    <col min="13071" max="13071" width="10.140625" style="616" customWidth="1"/>
    <col min="13072" max="13312" width="11" style="616"/>
    <col min="13313" max="13313" width="3.7109375" style="616" customWidth="1"/>
    <col min="13314" max="13314" width="24.140625" style="616" customWidth="1"/>
    <col min="13315" max="13315" width="5.28515625" style="616" customWidth="1"/>
    <col min="13316" max="13316" width="62.5703125" style="616" customWidth="1"/>
    <col min="13317" max="13317" width="6.5703125" style="616" customWidth="1"/>
    <col min="13318" max="13318" width="5.85546875" style="616" customWidth="1"/>
    <col min="13319" max="13319" width="22.140625" style="616" customWidth="1"/>
    <col min="13320" max="13320" width="23.140625" style="616" customWidth="1"/>
    <col min="13321" max="13321" width="22.85546875" style="616" customWidth="1"/>
    <col min="13322" max="13322" width="5.28515625" style="616" customWidth="1"/>
    <col min="13323" max="13323" width="73.140625" style="616" customWidth="1"/>
    <col min="13324" max="13324" width="27.5703125" style="616" customWidth="1"/>
    <col min="13325" max="13325" width="24.5703125" style="616" customWidth="1"/>
    <col min="13326" max="13326" width="4" style="616" customWidth="1"/>
    <col min="13327" max="13327" width="10.140625" style="616" customWidth="1"/>
    <col min="13328" max="13568" width="11" style="616"/>
    <col min="13569" max="13569" width="3.7109375" style="616" customWidth="1"/>
    <col min="13570" max="13570" width="24.140625" style="616" customWidth="1"/>
    <col min="13571" max="13571" width="5.28515625" style="616" customWidth="1"/>
    <col min="13572" max="13572" width="62.5703125" style="616" customWidth="1"/>
    <col min="13573" max="13573" width="6.5703125" style="616" customWidth="1"/>
    <col min="13574" max="13574" width="5.85546875" style="616" customWidth="1"/>
    <col min="13575" max="13575" width="22.140625" style="616" customWidth="1"/>
    <col min="13576" max="13576" width="23.140625" style="616" customWidth="1"/>
    <col min="13577" max="13577" width="22.85546875" style="616" customWidth="1"/>
    <col min="13578" max="13578" width="5.28515625" style="616" customWidth="1"/>
    <col min="13579" max="13579" width="73.140625" style="616" customWidth="1"/>
    <col min="13580" max="13580" width="27.5703125" style="616" customWidth="1"/>
    <col min="13581" max="13581" width="24.5703125" style="616" customWidth="1"/>
    <col min="13582" max="13582" width="4" style="616" customWidth="1"/>
    <col min="13583" max="13583" width="10.140625" style="616" customWidth="1"/>
    <col min="13584" max="13824" width="11" style="616"/>
    <col min="13825" max="13825" width="3.7109375" style="616" customWidth="1"/>
    <col min="13826" max="13826" width="24.140625" style="616" customWidth="1"/>
    <col min="13827" max="13827" width="5.28515625" style="616" customWidth="1"/>
    <col min="13828" max="13828" width="62.5703125" style="616" customWidth="1"/>
    <col min="13829" max="13829" width="6.5703125" style="616" customWidth="1"/>
    <col min="13830" max="13830" width="5.85546875" style="616" customWidth="1"/>
    <col min="13831" max="13831" width="22.140625" style="616" customWidth="1"/>
    <col min="13832" max="13832" width="23.140625" style="616" customWidth="1"/>
    <col min="13833" max="13833" width="22.85546875" style="616" customWidth="1"/>
    <col min="13834" max="13834" width="5.28515625" style="616" customWidth="1"/>
    <col min="13835" max="13835" width="73.140625" style="616" customWidth="1"/>
    <col min="13836" max="13836" width="27.5703125" style="616" customWidth="1"/>
    <col min="13837" max="13837" width="24.5703125" style="616" customWidth="1"/>
    <col min="13838" max="13838" width="4" style="616" customWidth="1"/>
    <col min="13839" max="13839" width="10.140625" style="616" customWidth="1"/>
    <col min="13840" max="14080" width="11" style="616"/>
    <col min="14081" max="14081" width="3.7109375" style="616" customWidth="1"/>
    <col min="14082" max="14082" width="24.140625" style="616" customWidth="1"/>
    <col min="14083" max="14083" width="5.28515625" style="616" customWidth="1"/>
    <col min="14084" max="14084" width="62.5703125" style="616" customWidth="1"/>
    <col min="14085" max="14085" width="6.5703125" style="616" customWidth="1"/>
    <col min="14086" max="14086" width="5.85546875" style="616" customWidth="1"/>
    <col min="14087" max="14087" width="22.140625" style="616" customWidth="1"/>
    <col min="14088" max="14088" width="23.140625" style="616" customWidth="1"/>
    <col min="14089" max="14089" width="22.85546875" style="616" customWidth="1"/>
    <col min="14090" max="14090" width="5.28515625" style="616" customWidth="1"/>
    <col min="14091" max="14091" width="73.140625" style="616" customWidth="1"/>
    <col min="14092" max="14092" width="27.5703125" style="616" customWidth="1"/>
    <col min="14093" max="14093" width="24.5703125" style="616" customWidth="1"/>
    <col min="14094" max="14094" width="4" style="616" customWidth="1"/>
    <col min="14095" max="14095" width="10.140625" style="616" customWidth="1"/>
    <col min="14096" max="14336" width="11" style="616"/>
    <col min="14337" max="14337" width="3.7109375" style="616" customWidth="1"/>
    <col min="14338" max="14338" width="24.140625" style="616" customWidth="1"/>
    <col min="14339" max="14339" width="5.28515625" style="616" customWidth="1"/>
    <col min="14340" max="14340" width="62.5703125" style="616" customWidth="1"/>
    <col min="14341" max="14341" width="6.5703125" style="616" customWidth="1"/>
    <col min="14342" max="14342" width="5.85546875" style="616" customWidth="1"/>
    <col min="14343" max="14343" width="22.140625" style="616" customWidth="1"/>
    <col min="14344" max="14344" width="23.140625" style="616" customWidth="1"/>
    <col min="14345" max="14345" width="22.85546875" style="616" customWidth="1"/>
    <col min="14346" max="14346" width="5.28515625" style="616" customWidth="1"/>
    <col min="14347" max="14347" width="73.140625" style="616" customWidth="1"/>
    <col min="14348" max="14348" width="27.5703125" style="616" customWidth="1"/>
    <col min="14349" max="14349" width="24.5703125" style="616" customWidth="1"/>
    <col min="14350" max="14350" width="4" style="616" customWidth="1"/>
    <col min="14351" max="14351" width="10.140625" style="616" customWidth="1"/>
    <col min="14352" max="14592" width="11" style="616"/>
    <col min="14593" max="14593" width="3.7109375" style="616" customWidth="1"/>
    <col min="14594" max="14594" width="24.140625" style="616" customWidth="1"/>
    <col min="14595" max="14595" width="5.28515625" style="616" customWidth="1"/>
    <col min="14596" max="14596" width="62.5703125" style="616" customWidth="1"/>
    <col min="14597" max="14597" width="6.5703125" style="616" customWidth="1"/>
    <col min="14598" max="14598" width="5.85546875" style="616" customWidth="1"/>
    <col min="14599" max="14599" width="22.140625" style="616" customWidth="1"/>
    <col min="14600" max="14600" width="23.140625" style="616" customWidth="1"/>
    <col min="14601" max="14601" width="22.85546875" style="616" customWidth="1"/>
    <col min="14602" max="14602" width="5.28515625" style="616" customWidth="1"/>
    <col min="14603" max="14603" width="73.140625" style="616" customWidth="1"/>
    <col min="14604" max="14604" width="27.5703125" style="616" customWidth="1"/>
    <col min="14605" max="14605" width="24.5703125" style="616" customWidth="1"/>
    <col min="14606" max="14606" width="4" style="616" customWidth="1"/>
    <col min="14607" max="14607" width="10.140625" style="616" customWidth="1"/>
    <col min="14608" max="14848" width="11" style="616"/>
    <col min="14849" max="14849" width="3.7109375" style="616" customWidth="1"/>
    <col min="14850" max="14850" width="24.140625" style="616" customWidth="1"/>
    <col min="14851" max="14851" width="5.28515625" style="616" customWidth="1"/>
    <col min="14852" max="14852" width="62.5703125" style="616" customWidth="1"/>
    <col min="14853" max="14853" width="6.5703125" style="616" customWidth="1"/>
    <col min="14854" max="14854" width="5.85546875" style="616" customWidth="1"/>
    <col min="14855" max="14855" width="22.140625" style="616" customWidth="1"/>
    <col min="14856" max="14856" width="23.140625" style="616" customWidth="1"/>
    <col min="14857" max="14857" width="22.85546875" style="616" customWidth="1"/>
    <col min="14858" max="14858" width="5.28515625" style="616" customWidth="1"/>
    <col min="14859" max="14859" width="73.140625" style="616" customWidth="1"/>
    <col min="14860" max="14860" width="27.5703125" style="616" customWidth="1"/>
    <col min="14861" max="14861" width="24.5703125" style="616" customWidth="1"/>
    <col min="14862" max="14862" width="4" style="616" customWidth="1"/>
    <col min="14863" max="14863" width="10.140625" style="616" customWidth="1"/>
    <col min="14864" max="15104" width="11" style="616"/>
    <col min="15105" max="15105" width="3.7109375" style="616" customWidth="1"/>
    <col min="15106" max="15106" width="24.140625" style="616" customWidth="1"/>
    <col min="15107" max="15107" width="5.28515625" style="616" customWidth="1"/>
    <col min="15108" max="15108" width="62.5703125" style="616" customWidth="1"/>
    <col min="15109" max="15109" width="6.5703125" style="616" customWidth="1"/>
    <col min="15110" max="15110" width="5.85546875" style="616" customWidth="1"/>
    <col min="15111" max="15111" width="22.140625" style="616" customWidth="1"/>
    <col min="15112" max="15112" width="23.140625" style="616" customWidth="1"/>
    <col min="15113" max="15113" width="22.85546875" style="616" customWidth="1"/>
    <col min="15114" max="15114" width="5.28515625" style="616" customWidth="1"/>
    <col min="15115" max="15115" width="73.140625" style="616" customWidth="1"/>
    <col min="15116" max="15116" width="27.5703125" style="616" customWidth="1"/>
    <col min="15117" max="15117" width="24.5703125" style="616" customWidth="1"/>
    <col min="15118" max="15118" width="4" style="616" customWidth="1"/>
    <col min="15119" max="15119" width="10.140625" style="616" customWidth="1"/>
    <col min="15120" max="15360" width="11" style="616"/>
    <col min="15361" max="15361" width="3.7109375" style="616" customWidth="1"/>
    <col min="15362" max="15362" width="24.140625" style="616" customWidth="1"/>
    <col min="15363" max="15363" width="5.28515625" style="616" customWidth="1"/>
    <col min="15364" max="15364" width="62.5703125" style="616" customWidth="1"/>
    <col min="15365" max="15365" width="6.5703125" style="616" customWidth="1"/>
    <col min="15366" max="15366" width="5.85546875" style="616" customWidth="1"/>
    <col min="15367" max="15367" width="22.140625" style="616" customWidth="1"/>
    <col min="15368" max="15368" width="23.140625" style="616" customWidth="1"/>
    <col min="15369" max="15369" width="22.85546875" style="616" customWidth="1"/>
    <col min="15370" max="15370" width="5.28515625" style="616" customWidth="1"/>
    <col min="15371" max="15371" width="73.140625" style="616" customWidth="1"/>
    <col min="15372" max="15372" width="27.5703125" style="616" customWidth="1"/>
    <col min="15373" max="15373" width="24.5703125" style="616" customWidth="1"/>
    <col min="15374" max="15374" width="4" style="616" customWidth="1"/>
    <col min="15375" max="15375" width="10.140625" style="616" customWidth="1"/>
    <col min="15376" max="15616" width="11" style="616"/>
    <col min="15617" max="15617" width="3.7109375" style="616" customWidth="1"/>
    <col min="15618" max="15618" width="24.140625" style="616" customWidth="1"/>
    <col min="15619" max="15619" width="5.28515625" style="616" customWidth="1"/>
    <col min="15620" max="15620" width="62.5703125" style="616" customWidth="1"/>
    <col min="15621" max="15621" width="6.5703125" style="616" customWidth="1"/>
    <col min="15622" max="15622" width="5.85546875" style="616" customWidth="1"/>
    <col min="15623" max="15623" width="22.140625" style="616" customWidth="1"/>
    <col min="15624" max="15624" width="23.140625" style="616" customWidth="1"/>
    <col min="15625" max="15625" width="22.85546875" style="616" customWidth="1"/>
    <col min="15626" max="15626" width="5.28515625" style="616" customWidth="1"/>
    <col min="15627" max="15627" width="73.140625" style="616" customWidth="1"/>
    <col min="15628" max="15628" width="27.5703125" style="616" customWidth="1"/>
    <col min="15629" max="15629" width="24.5703125" style="616" customWidth="1"/>
    <col min="15630" max="15630" width="4" style="616" customWidth="1"/>
    <col min="15631" max="15631" width="10.140625" style="616" customWidth="1"/>
    <col min="15632" max="15872" width="11" style="616"/>
    <col min="15873" max="15873" width="3.7109375" style="616" customWidth="1"/>
    <col min="15874" max="15874" width="24.140625" style="616" customWidth="1"/>
    <col min="15875" max="15875" width="5.28515625" style="616" customWidth="1"/>
    <col min="15876" max="15876" width="62.5703125" style="616" customWidth="1"/>
    <col min="15877" max="15877" width="6.5703125" style="616" customWidth="1"/>
    <col min="15878" max="15878" width="5.85546875" style="616" customWidth="1"/>
    <col min="15879" max="15879" width="22.140625" style="616" customWidth="1"/>
    <col min="15880" max="15880" width="23.140625" style="616" customWidth="1"/>
    <col min="15881" max="15881" width="22.85546875" style="616" customWidth="1"/>
    <col min="15882" max="15882" width="5.28515625" style="616" customWidth="1"/>
    <col min="15883" max="15883" width="73.140625" style="616" customWidth="1"/>
    <col min="15884" max="15884" width="27.5703125" style="616" customWidth="1"/>
    <col min="15885" max="15885" width="24.5703125" style="616" customWidth="1"/>
    <col min="15886" max="15886" width="4" style="616" customWidth="1"/>
    <col min="15887" max="15887" width="10.140625" style="616" customWidth="1"/>
    <col min="15888" max="16128" width="11" style="616"/>
    <col min="16129" max="16129" width="3.7109375" style="616" customWidth="1"/>
    <col min="16130" max="16130" width="24.140625" style="616" customWidth="1"/>
    <col min="16131" max="16131" width="5.28515625" style="616" customWidth="1"/>
    <col min="16132" max="16132" width="62.5703125" style="616" customWidth="1"/>
    <col min="16133" max="16133" width="6.5703125" style="616" customWidth="1"/>
    <col min="16134" max="16134" width="5.85546875" style="616" customWidth="1"/>
    <col min="16135" max="16135" width="22.140625" style="616" customWidth="1"/>
    <col min="16136" max="16136" width="23.140625" style="616" customWidth="1"/>
    <col min="16137" max="16137" width="22.85546875" style="616" customWidth="1"/>
    <col min="16138" max="16138" width="5.28515625" style="616" customWidth="1"/>
    <col min="16139" max="16139" width="73.140625" style="616" customWidth="1"/>
    <col min="16140" max="16140" width="27.5703125" style="616" customWidth="1"/>
    <col min="16141" max="16141" width="24.5703125" style="616" customWidth="1"/>
    <col min="16142" max="16142" width="4" style="616" customWidth="1"/>
    <col min="16143" max="16143" width="10.140625" style="616" customWidth="1"/>
    <col min="16144" max="16384" width="11" style="616"/>
  </cols>
  <sheetData>
    <row r="2" spans="1:15" ht="24" customHeight="1">
      <c r="B2" s="616" t="s">
        <v>94</v>
      </c>
      <c r="G2" s="617"/>
      <c r="H2" s="618" t="s">
        <v>1649</v>
      </c>
      <c r="I2" s="619"/>
      <c r="J2" s="619"/>
    </row>
    <row r="3" spans="1:15" ht="26.25" customHeight="1">
      <c r="G3" s="620" t="s">
        <v>1650</v>
      </c>
      <c r="H3" s="619"/>
      <c r="I3" s="619"/>
      <c r="J3" s="619"/>
    </row>
    <row r="4" spans="1:15" ht="21" customHeight="1">
      <c r="G4" s="621"/>
      <c r="H4" s="619"/>
      <c r="I4" s="619"/>
      <c r="J4" s="619"/>
    </row>
    <row r="5" spans="1:15" ht="21" customHeight="1">
      <c r="B5" s="622" t="s">
        <v>808</v>
      </c>
      <c r="C5" s="623"/>
      <c r="D5" s="624" t="s">
        <v>1651</v>
      </c>
      <c r="E5" s="623"/>
      <c r="F5" s="625"/>
      <c r="G5" s="626"/>
      <c r="H5" s="624" t="s">
        <v>810</v>
      </c>
      <c r="I5" s="622" t="s">
        <v>808</v>
      </c>
      <c r="J5" s="623"/>
      <c r="K5" s="624" t="s">
        <v>1083</v>
      </c>
      <c r="L5" s="627"/>
      <c r="M5" s="628" t="s">
        <v>557</v>
      </c>
      <c r="N5" s="629"/>
    </row>
    <row r="6" spans="1:15" ht="22.5" customHeight="1">
      <c r="B6" s="630" t="s">
        <v>586</v>
      </c>
      <c r="C6" s="631"/>
      <c r="D6" s="631"/>
      <c r="E6" s="631"/>
      <c r="F6" s="629"/>
      <c r="G6" s="632" t="s">
        <v>586</v>
      </c>
      <c r="H6" s="633" t="s">
        <v>586</v>
      </c>
      <c r="I6" s="630" t="s">
        <v>586</v>
      </c>
      <c r="J6" s="631"/>
      <c r="K6" s="634"/>
      <c r="L6" s="635" t="s">
        <v>586</v>
      </c>
      <c r="M6" s="632" t="s">
        <v>586</v>
      </c>
      <c r="N6" s="629"/>
      <c r="O6" s="616" t="s">
        <v>94</v>
      </c>
    </row>
    <row r="7" spans="1:15" ht="23.25" customHeight="1">
      <c r="B7" s="636"/>
      <c r="C7" s="637"/>
      <c r="D7" s="638" t="s">
        <v>1652</v>
      </c>
      <c r="E7" s="639"/>
      <c r="F7" s="640"/>
      <c r="G7" s="641"/>
      <c r="H7" s="642"/>
      <c r="I7" s="636"/>
      <c r="J7" s="637"/>
      <c r="K7" s="643" t="s">
        <v>1653</v>
      </c>
      <c r="L7" s="644" t="s">
        <v>94</v>
      </c>
      <c r="M7" s="641"/>
      <c r="N7" s="629"/>
    </row>
    <row r="8" spans="1:15" ht="26.25" customHeight="1">
      <c r="B8" s="636" t="s">
        <v>94</v>
      </c>
      <c r="C8" s="645" t="s">
        <v>1654</v>
      </c>
      <c r="D8" s="639" t="s">
        <v>1655</v>
      </c>
      <c r="E8" s="639"/>
      <c r="F8" s="646"/>
      <c r="G8" s="641" t="s">
        <v>94</v>
      </c>
      <c r="H8" s="637" t="s">
        <v>94</v>
      </c>
      <c r="I8" s="636">
        <v>30564630192</v>
      </c>
      <c r="J8" s="647" t="s">
        <v>1654</v>
      </c>
      <c r="K8" s="639" t="s">
        <v>1656</v>
      </c>
      <c r="L8" s="636">
        <v>31429528606</v>
      </c>
      <c r="M8" s="641" t="s">
        <v>94</v>
      </c>
      <c r="N8" s="629"/>
    </row>
    <row r="9" spans="1:15" ht="26.25" customHeight="1">
      <c r="B9" s="636">
        <v>0</v>
      </c>
      <c r="C9" s="637"/>
      <c r="D9" s="639" t="s">
        <v>1657</v>
      </c>
      <c r="E9" s="639"/>
      <c r="F9" s="646"/>
      <c r="G9" s="641" t="s">
        <v>94</v>
      </c>
      <c r="H9" s="637">
        <v>0</v>
      </c>
      <c r="I9" s="636">
        <v>-12781781699</v>
      </c>
      <c r="J9" s="637"/>
      <c r="K9" s="639" t="s">
        <v>1658</v>
      </c>
      <c r="L9" s="636">
        <v>-13759125791</v>
      </c>
      <c r="M9" s="641"/>
      <c r="N9" s="629" t="s">
        <v>94</v>
      </c>
    </row>
    <row r="10" spans="1:15" ht="26.25" customHeight="1">
      <c r="B10" s="636"/>
      <c r="C10" s="645" t="s">
        <v>1659</v>
      </c>
      <c r="D10" s="639" t="s">
        <v>1660</v>
      </c>
      <c r="E10" s="639"/>
      <c r="F10" s="646"/>
      <c r="G10" s="641"/>
      <c r="H10" s="637" t="s">
        <v>94</v>
      </c>
      <c r="I10" s="648">
        <v>551273601</v>
      </c>
      <c r="J10" s="649" t="s">
        <v>1659</v>
      </c>
      <c r="K10" s="639" t="s">
        <v>1661</v>
      </c>
      <c r="L10" s="648">
        <v>748743995</v>
      </c>
      <c r="M10" s="650" t="s">
        <v>94</v>
      </c>
      <c r="N10" s="629"/>
      <c r="O10" s="651" t="s">
        <v>94</v>
      </c>
    </row>
    <row r="11" spans="1:15" ht="26.25" customHeight="1">
      <c r="B11" s="652">
        <v>0</v>
      </c>
      <c r="C11" s="637"/>
      <c r="D11" s="639" t="s">
        <v>1662</v>
      </c>
      <c r="E11" s="653"/>
      <c r="F11" s="654"/>
      <c r="G11" s="655" t="s">
        <v>94</v>
      </c>
      <c r="H11" s="637">
        <v>0</v>
      </c>
      <c r="I11" s="656">
        <v>18334122094</v>
      </c>
      <c r="J11" s="657"/>
      <c r="L11" s="658" t="s">
        <v>94</v>
      </c>
      <c r="M11" s="659">
        <v>18419146810</v>
      </c>
      <c r="N11" s="629"/>
    </row>
    <row r="12" spans="1:15" ht="26.25" customHeight="1">
      <c r="B12" s="652"/>
      <c r="C12" s="645" t="s">
        <v>1663</v>
      </c>
      <c r="D12" s="639" t="s">
        <v>1664</v>
      </c>
      <c r="E12" s="653"/>
      <c r="F12" s="654"/>
      <c r="G12" s="655"/>
      <c r="H12" s="637"/>
      <c r="I12" s="636" t="s">
        <v>94</v>
      </c>
      <c r="J12" s="649" t="s">
        <v>94</v>
      </c>
      <c r="K12" s="639" t="s">
        <v>94</v>
      </c>
      <c r="L12" s="660" t="s">
        <v>94</v>
      </c>
      <c r="M12" s="641" t="s">
        <v>94</v>
      </c>
      <c r="N12" s="629"/>
    </row>
    <row r="13" spans="1:15" ht="26.25" customHeight="1">
      <c r="A13" s="634"/>
      <c r="B13" s="652">
        <v>0</v>
      </c>
      <c r="C13" s="637"/>
      <c r="D13" s="639" t="s">
        <v>1665</v>
      </c>
      <c r="E13" s="653"/>
      <c r="F13" s="654"/>
      <c r="G13" s="655" t="s">
        <v>94</v>
      </c>
      <c r="H13" s="637">
        <v>0</v>
      </c>
      <c r="I13" s="636" t="s">
        <v>94</v>
      </c>
      <c r="J13" s="649" t="s">
        <v>94</v>
      </c>
      <c r="K13" s="638" t="s">
        <v>1666</v>
      </c>
      <c r="L13" s="661" t="s">
        <v>94</v>
      </c>
      <c r="M13" s="641" t="s">
        <v>94</v>
      </c>
      <c r="N13" s="629"/>
    </row>
    <row r="14" spans="1:15" ht="26.25" customHeight="1">
      <c r="A14" s="634"/>
      <c r="B14" s="636">
        <v>1370570058</v>
      </c>
      <c r="C14" s="645" t="s">
        <v>1667</v>
      </c>
      <c r="D14" s="639" t="s">
        <v>1668</v>
      </c>
      <c r="E14" s="653"/>
      <c r="F14" s="654"/>
      <c r="G14" s="641" t="s">
        <v>94</v>
      </c>
      <c r="H14" s="637">
        <v>1505678106</v>
      </c>
      <c r="I14" s="636">
        <v>135900000</v>
      </c>
      <c r="J14" s="649" t="s">
        <v>1654</v>
      </c>
      <c r="K14" s="639" t="s">
        <v>1669</v>
      </c>
      <c r="L14" s="660">
        <v>110900000</v>
      </c>
      <c r="M14" s="641" t="s">
        <v>94</v>
      </c>
      <c r="N14" s="629"/>
    </row>
    <row r="15" spans="1:15" ht="26.25" customHeight="1">
      <c r="A15" s="634"/>
      <c r="B15" s="636"/>
      <c r="C15" s="645" t="s">
        <v>1670</v>
      </c>
      <c r="D15" s="639" t="s">
        <v>1671</v>
      </c>
      <c r="E15" s="653"/>
      <c r="F15" s="654"/>
      <c r="G15" s="641"/>
      <c r="H15" s="637"/>
      <c r="I15" s="636">
        <v>20000000</v>
      </c>
      <c r="J15" s="649" t="s">
        <v>1659</v>
      </c>
      <c r="K15" s="639" t="s">
        <v>1672</v>
      </c>
      <c r="L15" s="660">
        <v>20000000</v>
      </c>
      <c r="M15" s="641" t="s">
        <v>94</v>
      </c>
      <c r="N15" s="629"/>
    </row>
    <row r="16" spans="1:15" ht="26.25" customHeight="1">
      <c r="A16" s="634"/>
      <c r="B16" s="652">
        <v>548603124</v>
      </c>
      <c r="C16" s="637"/>
      <c r="D16" s="639" t="s">
        <v>1673</v>
      </c>
      <c r="E16" s="653"/>
      <c r="F16" s="654"/>
      <c r="G16" s="655" t="s">
        <v>94</v>
      </c>
      <c r="H16" s="637">
        <v>548603124</v>
      </c>
      <c r="I16" s="636">
        <v>1250</v>
      </c>
      <c r="J16" s="649" t="s">
        <v>1663</v>
      </c>
      <c r="K16" s="639" t="s">
        <v>1674</v>
      </c>
      <c r="L16" s="660">
        <v>1250</v>
      </c>
      <c r="M16" s="641" t="s">
        <v>94</v>
      </c>
      <c r="N16" s="629"/>
      <c r="O16" s="616" t="s">
        <v>94</v>
      </c>
    </row>
    <row r="17" spans="1:15" ht="26.25" customHeight="1">
      <c r="A17" s="634"/>
      <c r="B17" s="636">
        <v>3000000</v>
      </c>
      <c r="C17" s="647" t="s">
        <v>1675</v>
      </c>
      <c r="D17" s="639" t="s">
        <v>1676</v>
      </c>
      <c r="E17" s="653"/>
      <c r="F17" s="654"/>
      <c r="G17" s="641" t="s">
        <v>94</v>
      </c>
      <c r="H17" s="637">
        <v>3000000</v>
      </c>
      <c r="I17" s="636">
        <v>71100000</v>
      </c>
      <c r="J17" s="649" t="s">
        <v>1667</v>
      </c>
      <c r="K17" s="639" t="s">
        <v>1677</v>
      </c>
      <c r="L17" s="660">
        <v>80000000</v>
      </c>
      <c r="M17" s="641" t="s">
        <v>94</v>
      </c>
      <c r="N17" s="629"/>
    </row>
    <row r="18" spans="1:15" ht="26.25" customHeight="1">
      <c r="A18" s="634"/>
      <c r="B18" s="636">
        <v>10240722013</v>
      </c>
      <c r="C18" s="647" t="s">
        <v>1678</v>
      </c>
      <c r="D18" s="639" t="s">
        <v>1679</v>
      </c>
      <c r="E18" s="653" t="s">
        <v>94</v>
      </c>
      <c r="F18" s="654" t="s">
        <v>94</v>
      </c>
      <c r="G18" s="641" t="s">
        <v>94</v>
      </c>
      <c r="H18" s="637">
        <v>10240722013</v>
      </c>
      <c r="I18" s="636">
        <v>16632000</v>
      </c>
      <c r="J18" s="637" t="s">
        <v>1670</v>
      </c>
      <c r="K18" s="639" t="s">
        <v>1680</v>
      </c>
      <c r="L18" s="636">
        <v>52632000</v>
      </c>
      <c r="M18" s="639" t="s">
        <v>94</v>
      </c>
      <c r="N18" s="629"/>
      <c r="O18" s="662" t="s">
        <v>94</v>
      </c>
    </row>
    <row r="19" spans="1:15" ht="26.25" customHeight="1">
      <c r="A19" s="634"/>
      <c r="B19" s="663"/>
      <c r="F19" s="629"/>
      <c r="G19" s="664"/>
      <c r="H19" s="665" t="s">
        <v>94</v>
      </c>
      <c r="I19" s="636">
        <v>110900000</v>
      </c>
      <c r="J19" s="649" t="s">
        <v>1675</v>
      </c>
      <c r="K19" s="639" t="s">
        <v>1681</v>
      </c>
      <c r="L19" s="648">
        <v>154900000</v>
      </c>
      <c r="M19" s="666" t="s">
        <v>94</v>
      </c>
      <c r="N19" s="629"/>
      <c r="O19" s="662" t="s">
        <v>94</v>
      </c>
    </row>
    <row r="20" spans="1:15" ht="26.25" customHeight="1">
      <c r="A20" s="634"/>
      <c r="B20" s="660">
        <v>17807841857</v>
      </c>
      <c r="C20" s="647" t="s">
        <v>1682</v>
      </c>
      <c r="D20" s="639" t="s">
        <v>1683</v>
      </c>
      <c r="E20" s="653" t="s">
        <v>94</v>
      </c>
      <c r="F20" s="654" t="s">
        <v>94</v>
      </c>
      <c r="G20" s="641">
        <v>18747680301</v>
      </c>
      <c r="H20" s="637"/>
      <c r="I20" s="667">
        <v>354533250</v>
      </c>
      <c r="L20" s="663"/>
      <c r="M20" s="668">
        <v>418433250</v>
      </c>
      <c r="N20" s="629"/>
      <c r="O20" s="669"/>
    </row>
    <row r="21" spans="1:15" ht="26.25" customHeight="1">
      <c r="A21" s="634"/>
      <c r="B21" s="660">
        <v>-12781781699</v>
      </c>
      <c r="C21" s="637"/>
      <c r="D21" s="639" t="s">
        <v>1684</v>
      </c>
      <c r="E21" s="670" t="s">
        <v>94</v>
      </c>
      <c r="F21" s="671" t="s">
        <v>1685</v>
      </c>
      <c r="G21" s="672">
        <v>13759125791</v>
      </c>
      <c r="H21" s="673">
        <v>4988554510</v>
      </c>
      <c r="I21" s="636"/>
      <c r="J21" s="637"/>
      <c r="K21" s="674" t="s">
        <v>1686</v>
      </c>
      <c r="L21" s="660"/>
      <c r="M21" s="641"/>
      <c r="N21" s="629"/>
    </row>
    <row r="22" spans="1:15" ht="26.25" customHeight="1">
      <c r="A22" s="634"/>
      <c r="B22" s="661" t="s">
        <v>94</v>
      </c>
      <c r="F22" s="629"/>
      <c r="G22" s="634"/>
      <c r="H22" s="661" t="s">
        <v>94</v>
      </c>
      <c r="I22" s="641">
        <v>600000000</v>
      </c>
      <c r="J22" s="639" t="s">
        <v>1654</v>
      </c>
      <c r="K22" s="641" t="s">
        <v>1687</v>
      </c>
      <c r="L22" s="636">
        <v>600000000</v>
      </c>
      <c r="N22" s="629"/>
      <c r="O22" s="662" t="s">
        <v>94</v>
      </c>
    </row>
    <row r="23" spans="1:15" ht="26.25" customHeight="1">
      <c r="A23" s="634"/>
      <c r="B23" s="663"/>
      <c r="F23" s="629"/>
      <c r="G23" s="664"/>
      <c r="I23" s="636"/>
      <c r="J23" s="637" t="s">
        <v>1659</v>
      </c>
      <c r="K23" s="641" t="s">
        <v>1688</v>
      </c>
      <c r="L23" s="636"/>
      <c r="N23" s="629"/>
    </row>
    <row r="24" spans="1:15" ht="26.25" customHeight="1">
      <c r="A24" s="634"/>
      <c r="B24" s="636">
        <v>4872500000</v>
      </c>
      <c r="C24" s="647" t="s">
        <v>1689</v>
      </c>
      <c r="D24" s="639" t="s">
        <v>842</v>
      </c>
      <c r="E24" s="653" t="s">
        <v>94</v>
      </c>
      <c r="F24" s="654"/>
      <c r="G24" s="641" t="s">
        <v>94</v>
      </c>
      <c r="H24" s="665">
        <v>4872500000</v>
      </c>
      <c r="I24" s="636">
        <v>149773422</v>
      </c>
      <c r="J24" s="637" t="s">
        <v>94</v>
      </c>
      <c r="K24" s="641" t="s">
        <v>1690</v>
      </c>
      <c r="L24" s="641">
        <v>151667415</v>
      </c>
      <c r="N24" s="629"/>
    </row>
    <row r="25" spans="1:15" ht="26.25" customHeight="1">
      <c r="A25" s="634"/>
      <c r="B25" s="636">
        <v>25200000</v>
      </c>
      <c r="C25" s="647" t="s">
        <v>1691</v>
      </c>
      <c r="D25" s="639" t="s">
        <v>1692</v>
      </c>
      <c r="E25" s="653" t="s">
        <v>94</v>
      </c>
      <c r="F25" s="654"/>
      <c r="G25" s="641" t="s">
        <v>94</v>
      </c>
      <c r="H25" s="665">
        <v>25200000</v>
      </c>
      <c r="I25" s="636">
        <v>1094703</v>
      </c>
      <c r="J25" s="649" t="s">
        <v>1663</v>
      </c>
      <c r="K25" s="641" t="s">
        <v>1693</v>
      </c>
      <c r="L25" s="641">
        <v>1094703</v>
      </c>
      <c r="N25" s="629"/>
    </row>
    <row r="26" spans="1:15" ht="26.25" customHeight="1">
      <c r="A26" s="634"/>
      <c r="B26" s="636"/>
      <c r="C26" s="637" t="s">
        <v>1694</v>
      </c>
      <c r="D26" s="639" t="s">
        <v>1695</v>
      </c>
      <c r="E26" s="653"/>
      <c r="F26" s="654" t="s">
        <v>277</v>
      </c>
      <c r="G26" s="641"/>
      <c r="H26" s="634"/>
      <c r="I26" s="636"/>
      <c r="J26" s="649" t="s">
        <v>1667</v>
      </c>
      <c r="K26" s="641" t="s">
        <v>1696</v>
      </c>
      <c r="L26" s="641"/>
      <c r="N26" s="629"/>
    </row>
    <row r="27" spans="1:15" ht="26.25" customHeight="1">
      <c r="A27" s="634"/>
      <c r="B27" s="636">
        <v>1721608607</v>
      </c>
      <c r="C27" s="637"/>
      <c r="D27" s="639" t="s">
        <v>1697</v>
      </c>
      <c r="E27" s="653"/>
      <c r="F27" s="654"/>
      <c r="G27" s="641">
        <v>1756537607</v>
      </c>
      <c r="H27" s="634"/>
      <c r="I27" s="636">
        <v>335080</v>
      </c>
      <c r="J27" s="649"/>
      <c r="K27" s="641" t="s">
        <v>1698</v>
      </c>
      <c r="L27" s="648">
        <v>318080</v>
      </c>
      <c r="N27" s="629"/>
    </row>
    <row r="28" spans="1:15" ht="26.25" customHeight="1">
      <c r="A28" s="634"/>
      <c r="B28" s="636">
        <v>3366762318</v>
      </c>
      <c r="C28" s="637"/>
      <c r="D28" s="675" t="s">
        <v>1699</v>
      </c>
      <c r="E28" s="653"/>
      <c r="F28" s="654"/>
      <c r="G28" s="641">
        <v>3366762318</v>
      </c>
      <c r="H28" s="634"/>
      <c r="I28" s="656">
        <v>751203205</v>
      </c>
      <c r="J28" s="649"/>
      <c r="K28" s="641" t="s">
        <v>94</v>
      </c>
      <c r="L28" s="670" t="s">
        <v>94</v>
      </c>
      <c r="M28" s="659">
        <v>753080198</v>
      </c>
      <c r="N28" s="629"/>
    </row>
    <row r="29" spans="1:15" ht="26.25" customHeight="1">
      <c r="A29" s="634"/>
      <c r="B29" s="636">
        <v>564641913</v>
      </c>
      <c r="C29" s="637"/>
      <c r="D29" s="675" t="s">
        <v>1700</v>
      </c>
      <c r="E29" s="653"/>
      <c r="F29" s="654"/>
      <c r="G29" s="676">
        <v>648320218</v>
      </c>
      <c r="H29" s="637">
        <v>5771620143</v>
      </c>
      <c r="I29" s="652" t="s">
        <v>94</v>
      </c>
      <c r="J29" s="649"/>
      <c r="K29" s="641"/>
      <c r="L29" s="641"/>
      <c r="N29" s="629"/>
    </row>
    <row r="30" spans="1:15" ht="26.25" customHeight="1">
      <c r="A30" s="634"/>
      <c r="B30" s="636" t="s">
        <v>94</v>
      </c>
      <c r="C30" s="637"/>
      <c r="D30" s="639" t="s">
        <v>94</v>
      </c>
      <c r="E30" s="653"/>
      <c r="F30" s="654"/>
      <c r="G30" s="641" t="s">
        <v>94</v>
      </c>
      <c r="H30" s="637" t="s">
        <v>94</v>
      </c>
      <c r="I30" s="663"/>
      <c r="J30" s="637" t="s">
        <v>1670</v>
      </c>
      <c r="K30" s="641" t="s">
        <v>1701</v>
      </c>
      <c r="L30" s="670" t="s">
        <v>94</v>
      </c>
      <c r="M30" s="670" t="s">
        <v>94</v>
      </c>
      <c r="N30" s="629"/>
    </row>
    <row r="31" spans="1:15" ht="26.25" customHeight="1">
      <c r="A31" s="634"/>
      <c r="B31" s="667">
        <v>27739668191</v>
      </c>
      <c r="F31" s="629"/>
      <c r="G31" s="664"/>
      <c r="H31" s="677">
        <v>27955877896</v>
      </c>
      <c r="I31" s="636">
        <v>217706976</v>
      </c>
      <c r="J31" s="637"/>
      <c r="K31" s="641" t="s">
        <v>1702</v>
      </c>
      <c r="M31" s="636">
        <v>365573590</v>
      </c>
      <c r="N31" s="629"/>
    </row>
    <row r="32" spans="1:15" ht="26.25" customHeight="1">
      <c r="A32" s="634"/>
      <c r="B32" s="652" t="s">
        <v>94</v>
      </c>
      <c r="C32" s="637" t="s">
        <v>94</v>
      </c>
      <c r="D32" s="621" t="s">
        <v>1703</v>
      </c>
      <c r="E32" s="653"/>
      <c r="F32" s="654"/>
      <c r="G32" s="655" t="s">
        <v>94</v>
      </c>
      <c r="H32" s="637" t="s">
        <v>94</v>
      </c>
      <c r="I32" s="663"/>
      <c r="J32" s="637"/>
      <c r="K32" s="639"/>
      <c r="L32" s="652"/>
      <c r="M32" s="660" t="s">
        <v>94</v>
      </c>
      <c r="N32" s="629"/>
      <c r="O32" s="616" t="s">
        <v>94</v>
      </c>
    </row>
    <row r="33" spans="1:17" ht="26.25" customHeight="1">
      <c r="A33" s="634"/>
      <c r="B33" s="652" t="s">
        <v>94</v>
      </c>
      <c r="C33" s="637" t="s">
        <v>1654</v>
      </c>
      <c r="D33" s="639" t="s">
        <v>1704</v>
      </c>
      <c r="E33" s="653"/>
      <c r="F33" s="654"/>
      <c r="G33" s="655" t="s">
        <v>94</v>
      </c>
      <c r="H33" s="637"/>
      <c r="I33" s="660">
        <v>6315877</v>
      </c>
      <c r="J33" s="647" t="s">
        <v>1675</v>
      </c>
      <c r="K33" s="639" t="s">
        <v>1705</v>
      </c>
      <c r="L33" s="652" t="s">
        <v>94</v>
      </c>
      <c r="M33" s="670">
        <v>11258439</v>
      </c>
      <c r="N33" s="629"/>
    </row>
    <row r="34" spans="1:17" ht="26.25" customHeight="1">
      <c r="A34" s="634"/>
      <c r="B34" s="646">
        <v>139845489</v>
      </c>
      <c r="C34" s="629"/>
      <c r="D34" s="639" t="s">
        <v>1706</v>
      </c>
      <c r="F34" s="629"/>
      <c r="G34" s="639">
        <v>185968346</v>
      </c>
      <c r="H34" s="629"/>
      <c r="I34" s="636">
        <v>5827398934</v>
      </c>
      <c r="J34" s="647" t="s">
        <v>1678</v>
      </c>
      <c r="K34" s="639" t="s">
        <v>1707</v>
      </c>
      <c r="L34" s="652" t="s">
        <v>94</v>
      </c>
      <c r="M34" s="641">
        <v>6004726633</v>
      </c>
      <c r="N34" s="629"/>
    </row>
    <row r="35" spans="1:17" ht="26.25" customHeight="1">
      <c r="A35" s="634"/>
      <c r="B35" s="652">
        <v>76285642</v>
      </c>
      <c r="C35" s="637" t="s">
        <v>1659</v>
      </c>
      <c r="D35" s="639" t="s">
        <v>1708</v>
      </c>
      <c r="E35" s="653"/>
      <c r="F35" s="654"/>
      <c r="G35" s="655">
        <v>84487447</v>
      </c>
      <c r="H35" s="637"/>
      <c r="I35" s="660"/>
      <c r="J35" s="647" t="s">
        <v>1682</v>
      </c>
      <c r="K35" s="639" t="s">
        <v>1709</v>
      </c>
      <c r="L35" s="652" t="s">
        <v>94</v>
      </c>
      <c r="M35" s="670"/>
      <c r="N35" s="629"/>
    </row>
    <row r="36" spans="1:17" ht="26.25" customHeight="1">
      <c r="A36" s="634"/>
      <c r="B36" s="636">
        <v>1936721338</v>
      </c>
      <c r="C36" s="637" t="s">
        <v>1663</v>
      </c>
      <c r="D36" s="639" t="s">
        <v>1710</v>
      </c>
      <c r="E36" s="639"/>
      <c r="F36" s="678"/>
      <c r="G36" s="676">
        <v>1939921338</v>
      </c>
      <c r="H36" s="665" t="s">
        <v>94</v>
      </c>
      <c r="I36" s="636">
        <v>97062275</v>
      </c>
      <c r="J36" s="637"/>
      <c r="K36" s="639" t="s">
        <v>1711</v>
      </c>
      <c r="L36" s="636">
        <v>122691993</v>
      </c>
      <c r="M36" s="670" t="s">
        <v>94</v>
      </c>
      <c r="N36" s="629"/>
    </row>
    <row r="37" spans="1:17" ht="26.25" customHeight="1">
      <c r="A37" s="634"/>
      <c r="B37" s="656">
        <v>2152852469</v>
      </c>
      <c r="F37" s="629"/>
      <c r="G37" s="664"/>
      <c r="H37" s="679">
        <v>2210377131</v>
      </c>
      <c r="I37" s="636">
        <v>-150158455</v>
      </c>
      <c r="J37" s="637"/>
      <c r="K37" s="639" t="s">
        <v>1712</v>
      </c>
      <c r="L37" s="636">
        <v>-2292119765</v>
      </c>
      <c r="M37" s="670" t="s">
        <v>94</v>
      </c>
      <c r="N37" s="629"/>
    </row>
    <row r="38" spans="1:17" ht="26.25" customHeight="1">
      <c r="A38" s="634"/>
      <c r="B38" s="652"/>
      <c r="C38" s="637"/>
      <c r="D38" s="638" t="s">
        <v>1713</v>
      </c>
      <c r="E38" s="639"/>
      <c r="F38" s="646"/>
      <c r="G38" s="655"/>
      <c r="I38" s="648">
        <v>500</v>
      </c>
      <c r="J38" s="637" t="s">
        <v>94</v>
      </c>
      <c r="K38" s="639" t="s">
        <v>1714</v>
      </c>
      <c r="L38" s="648">
        <v>500</v>
      </c>
      <c r="M38" s="670" t="s">
        <v>94</v>
      </c>
      <c r="N38" s="629"/>
    </row>
    <row r="39" spans="1:17" ht="26.25" customHeight="1">
      <c r="A39" s="634"/>
      <c r="B39" s="636">
        <v>15958338</v>
      </c>
      <c r="C39" s="637"/>
      <c r="D39" s="639" t="s">
        <v>1715</v>
      </c>
      <c r="E39" s="639"/>
      <c r="F39" s="646"/>
      <c r="G39" s="641">
        <v>14362505</v>
      </c>
      <c r="I39" s="667">
        <v>-53095680</v>
      </c>
      <c r="J39" s="637"/>
      <c r="K39" s="639"/>
      <c r="L39" s="640"/>
      <c r="M39" s="659">
        <v>-2169427272</v>
      </c>
      <c r="N39" s="634" t="s">
        <v>94</v>
      </c>
    </row>
    <row r="40" spans="1:17" ht="26.25" customHeight="1">
      <c r="A40" s="634"/>
      <c r="B40" s="636">
        <v>813980700</v>
      </c>
      <c r="C40" s="637"/>
      <c r="D40" s="639" t="s">
        <v>1042</v>
      </c>
      <c r="E40" s="653"/>
      <c r="F40" s="654"/>
      <c r="G40" s="641">
        <v>768759550</v>
      </c>
      <c r="H40" s="671" t="s">
        <v>94</v>
      </c>
      <c r="I40" s="663"/>
      <c r="L40" s="663"/>
      <c r="M40" s="663"/>
      <c r="N40" s="634"/>
    </row>
    <row r="41" spans="1:17" ht="26.25" customHeight="1">
      <c r="A41" s="634"/>
      <c r="B41" s="636">
        <v>0</v>
      </c>
      <c r="D41" s="639" t="s">
        <v>1716</v>
      </c>
      <c r="F41" s="629"/>
      <c r="G41" s="641">
        <v>4000000000</v>
      </c>
      <c r="I41" s="663"/>
      <c r="L41" s="663"/>
      <c r="M41" s="663"/>
      <c r="N41" s="634"/>
    </row>
    <row r="42" spans="1:17" ht="26.25" customHeight="1">
      <c r="A42" s="634"/>
      <c r="B42" s="636">
        <v>379850000</v>
      </c>
      <c r="C42" s="637"/>
      <c r="D42" s="639" t="s">
        <v>1217</v>
      </c>
      <c r="E42" s="653"/>
      <c r="F42" s="654"/>
      <c r="G42" s="641">
        <v>379850000</v>
      </c>
      <c r="H42" s="671" t="s">
        <v>94</v>
      </c>
      <c r="I42" s="663"/>
      <c r="J42" s="629"/>
      <c r="L42" s="663"/>
      <c r="M42" s="663"/>
      <c r="N42" s="629"/>
    </row>
    <row r="43" spans="1:17" ht="26.25" customHeight="1">
      <c r="A43" s="634"/>
      <c r="B43" s="636">
        <v>1250000000</v>
      </c>
      <c r="C43" s="637"/>
      <c r="D43" s="639" t="s">
        <v>1717</v>
      </c>
      <c r="E43" s="653"/>
      <c r="F43" s="654"/>
      <c r="G43" s="641">
        <v>1000000000</v>
      </c>
      <c r="H43" s="671" t="s">
        <v>94</v>
      </c>
      <c r="I43" s="663"/>
      <c r="J43" s="629"/>
      <c r="L43" s="663"/>
      <c r="M43" s="663"/>
      <c r="N43" s="629"/>
    </row>
    <row r="44" spans="1:17" ht="26.25" customHeight="1">
      <c r="A44" s="634"/>
      <c r="B44" s="636">
        <v>16885666668</v>
      </c>
      <c r="C44" s="637"/>
      <c r="D44" s="639" t="s">
        <v>1718</v>
      </c>
      <c r="E44" s="653"/>
      <c r="F44" s="680"/>
      <c r="G44" s="676">
        <v>14140750000</v>
      </c>
      <c r="H44" s="671" t="s">
        <v>94</v>
      </c>
      <c r="I44" s="663"/>
      <c r="J44" s="629"/>
      <c r="L44" s="663"/>
      <c r="M44" s="663"/>
      <c r="N44" s="629"/>
    </row>
    <row r="45" spans="1:17" ht="26.25" customHeight="1">
      <c r="A45" s="634"/>
      <c r="B45" s="667">
        <v>19345455706</v>
      </c>
      <c r="F45" s="629"/>
      <c r="G45" s="664"/>
      <c r="H45" s="667">
        <v>20303722055</v>
      </c>
      <c r="I45" s="636"/>
      <c r="J45" s="637"/>
      <c r="K45" s="639"/>
      <c r="L45" s="636"/>
      <c r="M45" s="670"/>
      <c r="N45" s="629"/>
    </row>
    <row r="46" spans="1:17" ht="26.25" customHeight="1">
      <c r="A46" s="634"/>
      <c r="B46" s="663"/>
      <c r="F46" s="629"/>
      <c r="G46" s="664"/>
      <c r="I46" s="636"/>
      <c r="J46" s="637"/>
      <c r="K46" s="639"/>
      <c r="L46" s="636"/>
      <c r="M46" s="670"/>
      <c r="N46" s="629"/>
    </row>
    <row r="47" spans="1:17" ht="26.25" customHeight="1">
      <c r="A47" s="634"/>
      <c r="B47" s="681">
        <v>49237976366</v>
      </c>
      <c r="C47" s="682"/>
      <c r="D47" s="682" t="s">
        <v>1719</v>
      </c>
      <c r="E47" s="682"/>
      <c r="F47" s="683"/>
      <c r="G47" s="684" t="s">
        <v>94</v>
      </c>
      <c r="H47" s="681">
        <v>50469977082</v>
      </c>
      <c r="I47" s="681">
        <v>25438184656</v>
      </c>
      <c r="J47" s="682"/>
      <c r="K47" s="682" t="s">
        <v>1719</v>
      </c>
      <c r="L47" s="685"/>
      <c r="M47" s="681">
        <v>23802791648</v>
      </c>
      <c r="N47" s="629"/>
      <c r="O47" s="686"/>
      <c r="P47" s="686"/>
      <c r="Q47" s="686"/>
    </row>
    <row r="48" spans="1:17" ht="18.75" customHeight="1">
      <c r="B48" s="687" t="s">
        <v>94</v>
      </c>
      <c r="F48" s="688"/>
      <c r="G48" s="689"/>
      <c r="H48" s="688"/>
      <c r="I48" s="688"/>
      <c r="J48" s="690"/>
      <c r="K48" s="688"/>
      <c r="L48" s="688"/>
      <c r="M48" s="691" t="s">
        <v>845</v>
      </c>
      <c r="N48" s="634"/>
    </row>
    <row r="49" spans="2:14" ht="26.25" customHeight="1">
      <c r="B49" s="692" t="s">
        <v>94</v>
      </c>
      <c r="E49" s="619"/>
      <c r="G49" s="621" t="s">
        <v>1720</v>
      </c>
    </row>
    <row r="50" spans="2:14" ht="26.25" customHeight="1">
      <c r="B50" s="622" t="s">
        <v>808</v>
      </c>
      <c r="C50" s="623"/>
      <c r="D50" s="624" t="s">
        <v>1721</v>
      </c>
      <c r="E50" s="623"/>
      <c r="F50" s="625"/>
      <c r="G50" s="626"/>
      <c r="H50" s="624" t="s">
        <v>810</v>
      </c>
      <c r="I50" s="622" t="s">
        <v>808</v>
      </c>
      <c r="J50" s="625"/>
      <c r="K50" s="624" t="s">
        <v>1083</v>
      </c>
      <c r="L50" s="627"/>
      <c r="M50" s="622" t="s">
        <v>557</v>
      </c>
      <c r="N50" s="629"/>
    </row>
    <row r="51" spans="2:14" ht="22.5" customHeight="1">
      <c r="B51" s="630" t="s">
        <v>586</v>
      </c>
      <c r="C51" s="631"/>
      <c r="D51" s="631" t="s">
        <v>94</v>
      </c>
      <c r="E51" s="631"/>
      <c r="F51" s="625"/>
      <c r="G51" s="632" t="s">
        <v>586</v>
      </c>
      <c r="H51" s="632" t="s">
        <v>586</v>
      </c>
      <c r="I51" s="630" t="s">
        <v>586</v>
      </c>
      <c r="J51" s="693"/>
      <c r="K51" s="694"/>
      <c r="L51" s="630" t="s">
        <v>586</v>
      </c>
      <c r="M51" s="630" t="s">
        <v>586</v>
      </c>
      <c r="N51" s="629"/>
    </row>
    <row r="52" spans="2:14" ht="26.25" customHeight="1">
      <c r="B52" s="660">
        <v>49237976366</v>
      </c>
      <c r="C52" s="637"/>
      <c r="D52" s="639" t="s">
        <v>1722</v>
      </c>
      <c r="E52" s="639"/>
      <c r="F52" s="640"/>
      <c r="G52" s="695"/>
      <c r="H52" s="671">
        <v>50469977082</v>
      </c>
      <c r="I52" s="654">
        <v>25438184656</v>
      </c>
      <c r="J52" s="646"/>
      <c r="K52" s="639" t="s">
        <v>1723</v>
      </c>
      <c r="L52" s="644"/>
      <c r="M52" s="660">
        <v>23802791648</v>
      </c>
      <c r="N52" s="629"/>
    </row>
    <row r="53" spans="2:14" ht="26.25" customHeight="1">
      <c r="B53" s="660"/>
      <c r="C53" s="637"/>
      <c r="D53" s="639"/>
      <c r="E53" s="639"/>
      <c r="F53" s="646"/>
      <c r="G53" s="641"/>
      <c r="H53" s="671"/>
      <c r="I53" s="654"/>
      <c r="J53" s="646"/>
      <c r="K53" s="639"/>
      <c r="L53" s="636"/>
      <c r="M53" s="660"/>
      <c r="N53" s="629"/>
    </row>
    <row r="54" spans="2:14" ht="26.25" customHeight="1">
      <c r="B54" s="636"/>
      <c r="C54" s="637"/>
      <c r="D54" s="621" t="s">
        <v>1724</v>
      </c>
      <c r="E54" s="637"/>
      <c r="F54" s="646"/>
      <c r="G54" s="641"/>
      <c r="H54" s="655" t="s">
        <v>94</v>
      </c>
      <c r="I54" s="646"/>
      <c r="J54" s="646" t="s">
        <v>1682</v>
      </c>
      <c r="K54" s="638" t="s">
        <v>1281</v>
      </c>
      <c r="L54" s="660"/>
      <c r="M54" s="660"/>
      <c r="N54" s="629"/>
    </row>
    <row r="55" spans="2:14" ht="26.25" customHeight="1">
      <c r="B55" s="652" t="s">
        <v>94</v>
      </c>
      <c r="C55" s="696" t="s">
        <v>1725</v>
      </c>
      <c r="D55" s="638" t="s">
        <v>1726</v>
      </c>
      <c r="E55" s="653"/>
      <c r="F55" s="654"/>
      <c r="G55" s="655" t="s">
        <v>94</v>
      </c>
      <c r="H55" s="670"/>
      <c r="I55" s="636">
        <v>31897910</v>
      </c>
      <c r="J55" s="697" t="s">
        <v>1259</v>
      </c>
      <c r="K55" s="639" t="s">
        <v>1727</v>
      </c>
      <c r="L55" s="636">
        <v>31411113</v>
      </c>
      <c r="M55" s="660" t="s">
        <v>94</v>
      </c>
      <c r="N55" s="629"/>
    </row>
    <row r="56" spans="2:14" ht="26.25" customHeight="1">
      <c r="B56" s="636">
        <v>28120996</v>
      </c>
      <c r="C56" s="647" t="s">
        <v>1728</v>
      </c>
      <c r="D56" s="639" t="s">
        <v>1729</v>
      </c>
      <c r="E56" s="653"/>
      <c r="F56" s="654"/>
      <c r="G56" s="641">
        <v>29822833</v>
      </c>
      <c r="H56" s="670"/>
      <c r="I56" s="636">
        <v>195895408</v>
      </c>
      <c r="J56" s="697" t="s">
        <v>1730</v>
      </c>
      <c r="K56" s="639" t="s">
        <v>1288</v>
      </c>
      <c r="L56" s="636">
        <v>193763193</v>
      </c>
      <c r="M56" s="660" t="s">
        <v>94</v>
      </c>
      <c r="N56" s="629"/>
    </row>
    <row r="57" spans="2:14" ht="26.25" customHeight="1">
      <c r="B57" s="636">
        <v>3438990344</v>
      </c>
      <c r="C57" s="647" t="s">
        <v>1731</v>
      </c>
      <c r="D57" s="639" t="s">
        <v>1732</v>
      </c>
      <c r="E57" s="653"/>
      <c r="F57" s="654"/>
      <c r="G57" s="641">
        <v>3531381035</v>
      </c>
      <c r="H57" s="670"/>
      <c r="I57" s="636">
        <v>195923093</v>
      </c>
      <c r="J57" s="698" t="s">
        <v>1733</v>
      </c>
      <c r="K57" s="639" t="s">
        <v>1734</v>
      </c>
      <c r="L57" s="636">
        <v>223133293</v>
      </c>
      <c r="M57" s="660" t="s">
        <v>94</v>
      </c>
      <c r="N57" s="629"/>
    </row>
    <row r="58" spans="2:14" ht="26.25" customHeight="1">
      <c r="B58" s="636">
        <v>2038420205</v>
      </c>
      <c r="C58" s="647" t="s">
        <v>1735</v>
      </c>
      <c r="D58" s="639" t="s">
        <v>1736</v>
      </c>
      <c r="E58" s="653"/>
      <c r="F58" s="654"/>
      <c r="G58" s="641">
        <v>2077063609</v>
      </c>
      <c r="H58" s="670" t="s">
        <v>94</v>
      </c>
      <c r="I58" s="636">
        <v>15323194</v>
      </c>
      <c r="J58" s="697" t="s">
        <v>1737</v>
      </c>
      <c r="K58" s="639" t="s">
        <v>1738</v>
      </c>
      <c r="L58" s="636">
        <v>45422928</v>
      </c>
      <c r="M58" s="660" t="s">
        <v>94</v>
      </c>
      <c r="N58" s="629"/>
    </row>
    <row r="59" spans="2:14" ht="26.25" customHeight="1">
      <c r="B59" s="636">
        <v>335080</v>
      </c>
      <c r="C59" s="647" t="s">
        <v>1739</v>
      </c>
      <c r="D59" s="639" t="s">
        <v>1740</v>
      </c>
      <c r="E59" s="653"/>
      <c r="F59" s="654"/>
      <c r="G59" s="641">
        <v>318080</v>
      </c>
      <c r="H59" s="670" t="s">
        <v>94</v>
      </c>
      <c r="I59" s="636">
        <v>949455268</v>
      </c>
      <c r="J59" s="697" t="s">
        <v>1741</v>
      </c>
      <c r="K59" s="639" t="s">
        <v>1742</v>
      </c>
      <c r="L59" s="636">
        <v>963170491</v>
      </c>
      <c r="M59" s="660"/>
      <c r="N59" s="629"/>
    </row>
    <row r="60" spans="2:14" ht="26.25" customHeight="1">
      <c r="B60" s="659">
        <v>5505866625</v>
      </c>
      <c r="C60" s="637"/>
      <c r="D60" s="639"/>
      <c r="E60" s="639"/>
      <c r="F60" s="646"/>
      <c r="G60" s="641"/>
      <c r="H60" s="659">
        <v>5638585557</v>
      </c>
      <c r="I60" s="636">
        <v>7921810</v>
      </c>
      <c r="J60" s="697" t="s">
        <v>1743</v>
      </c>
      <c r="K60" s="639" t="s">
        <v>1744</v>
      </c>
      <c r="L60" s="636">
        <v>7825640</v>
      </c>
      <c r="M60" s="660" t="s">
        <v>94</v>
      </c>
      <c r="N60" s="629"/>
    </row>
    <row r="61" spans="2:14" ht="26.25" customHeight="1">
      <c r="B61" s="636"/>
      <c r="C61" s="696" t="s">
        <v>1745</v>
      </c>
      <c r="D61" s="638" t="s">
        <v>1746</v>
      </c>
      <c r="E61" s="653"/>
      <c r="F61" s="654"/>
      <c r="G61" s="670" t="s">
        <v>94</v>
      </c>
      <c r="H61" s="671"/>
      <c r="I61" s="636">
        <v>504</v>
      </c>
      <c r="J61" s="697" t="s">
        <v>1747</v>
      </c>
      <c r="K61" s="639" t="s">
        <v>1748</v>
      </c>
      <c r="L61" s="648">
        <v>504</v>
      </c>
      <c r="M61" s="660" t="s">
        <v>94</v>
      </c>
      <c r="N61" s="629"/>
    </row>
    <row r="62" spans="2:14" ht="26.25" customHeight="1">
      <c r="B62" s="636"/>
      <c r="C62" s="637"/>
      <c r="D62" s="639" t="s">
        <v>94</v>
      </c>
      <c r="E62" s="653"/>
      <c r="F62" s="654"/>
      <c r="G62" s="670"/>
      <c r="H62" s="671"/>
      <c r="I62" s="659">
        <v>1396417187</v>
      </c>
      <c r="J62" s="646"/>
      <c r="K62" s="639"/>
      <c r="L62" s="636"/>
      <c r="M62" s="659">
        <v>1464727162</v>
      </c>
      <c r="N62" s="629"/>
    </row>
    <row r="63" spans="2:14" ht="26.25" customHeight="1">
      <c r="B63" s="636">
        <v>603401501</v>
      </c>
      <c r="C63" s="647" t="s">
        <v>1728</v>
      </c>
      <c r="D63" s="639" t="s">
        <v>1749</v>
      </c>
      <c r="E63" s="653"/>
      <c r="F63" s="654"/>
      <c r="G63" s="641">
        <v>676946327</v>
      </c>
      <c r="H63" s="670"/>
      <c r="I63" s="654"/>
      <c r="J63" s="646"/>
      <c r="K63" s="639"/>
      <c r="L63" s="636"/>
      <c r="M63" s="670"/>
      <c r="N63" s="629"/>
    </row>
    <row r="64" spans="2:14" ht="26.25" customHeight="1">
      <c r="B64" s="636">
        <v>3657582606</v>
      </c>
      <c r="C64" s="647" t="s">
        <v>1731</v>
      </c>
      <c r="D64" s="639" t="s">
        <v>194</v>
      </c>
      <c r="E64" s="653"/>
      <c r="F64" s="654"/>
      <c r="G64" s="641">
        <v>3881173959</v>
      </c>
      <c r="H64" s="670"/>
      <c r="I64" s="646"/>
      <c r="J64" s="646"/>
      <c r="K64" s="638" t="s">
        <v>1750</v>
      </c>
      <c r="L64" s="660" t="s">
        <v>94</v>
      </c>
      <c r="M64" s="660"/>
      <c r="N64" s="629"/>
    </row>
    <row r="65" spans="1:15" ht="26.25" customHeight="1">
      <c r="B65" s="636">
        <v>830105050</v>
      </c>
      <c r="C65" s="647" t="s">
        <v>1735</v>
      </c>
      <c r="D65" s="639" t="s">
        <v>1751</v>
      </c>
      <c r="E65" s="653"/>
      <c r="F65" s="654"/>
      <c r="G65" s="641">
        <v>2183885541</v>
      </c>
      <c r="H65" s="670"/>
      <c r="I65" s="636">
        <v>33776210435</v>
      </c>
      <c r="J65" s="646"/>
      <c r="K65" s="639" t="s">
        <v>1752</v>
      </c>
      <c r="L65" s="660"/>
      <c r="M65" s="670">
        <v>38836687614</v>
      </c>
      <c r="N65" s="629"/>
    </row>
    <row r="66" spans="1:15" ht="26.25" customHeight="1">
      <c r="B66" s="636">
        <v>16745</v>
      </c>
      <c r="C66" s="647" t="s">
        <v>1739</v>
      </c>
      <c r="D66" s="639" t="s">
        <v>1753</v>
      </c>
      <c r="E66" s="653"/>
      <c r="F66" s="654"/>
      <c r="G66" s="641">
        <v>16745</v>
      </c>
      <c r="H66" s="671"/>
      <c r="I66" s="636" t="s">
        <v>94</v>
      </c>
      <c r="J66" s="637"/>
      <c r="K66" s="639" t="s">
        <v>94</v>
      </c>
      <c r="L66" s="636"/>
      <c r="M66" s="641" t="s">
        <v>94</v>
      </c>
      <c r="N66" s="629"/>
    </row>
    <row r="67" spans="1:15" ht="26.25" customHeight="1">
      <c r="B67" s="636">
        <v>0</v>
      </c>
      <c r="C67" s="647" t="s">
        <v>1754</v>
      </c>
      <c r="D67" s="639" t="s">
        <v>1755</v>
      </c>
      <c r="E67" s="653"/>
      <c r="F67" s="654"/>
      <c r="G67" s="641">
        <v>0</v>
      </c>
      <c r="H67" s="671"/>
      <c r="I67" s="663"/>
      <c r="L67" s="663"/>
      <c r="M67" s="664"/>
      <c r="N67" s="629"/>
    </row>
    <row r="68" spans="1:15" ht="26.25" customHeight="1">
      <c r="B68" s="636">
        <v>775445260</v>
      </c>
      <c r="C68" s="647" t="s">
        <v>1756</v>
      </c>
      <c r="D68" s="639" t="s">
        <v>1757</v>
      </c>
      <c r="E68" s="653"/>
      <c r="F68" s="654"/>
      <c r="G68" s="641">
        <v>1253114707</v>
      </c>
      <c r="H68" s="671" t="s">
        <v>94</v>
      </c>
      <c r="I68" s="663"/>
      <c r="L68" s="663"/>
      <c r="M68" s="664"/>
      <c r="N68" s="629"/>
      <c r="O68" s="662" t="s">
        <v>94</v>
      </c>
    </row>
    <row r="69" spans="1:15" ht="26.25" customHeight="1">
      <c r="B69" s="659">
        <v>5866551162</v>
      </c>
      <c r="C69" s="647" t="s">
        <v>94</v>
      </c>
      <c r="D69" s="639" t="s">
        <v>94</v>
      </c>
      <c r="E69" s="653"/>
      <c r="F69" s="654"/>
      <c r="G69" s="670" t="s">
        <v>94</v>
      </c>
      <c r="H69" s="659">
        <v>7995137279</v>
      </c>
      <c r="I69" s="663"/>
      <c r="L69" s="663"/>
      <c r="M69" s="664"/>
      <c r="N69" s="699" t="s">
        <v>94</v>
      </c>
    </row>
    <row r="70" spans="1:15" ht="26.25" customHeight="1">
      <c r="B70" s="660"/>
      <c r="C70" s="637"/>
      <c r="D70" s="638" t="s">
        <v>1758</v>
      </c>
      <c r="E70" s="653"/>
      <c r="F70" s="654"/>
      <c r="G70" s="670"/>
      <c r="H70" s="671"/>
      <c r="I70" s="663"/>
      <c r="L70" s="663"/>
      <c r="M70" s="664"/>
      <c r="N70" s="699" t="s">
        <v>94</v>
      </c>
    </row>
    <row r="71" spans="1:15" ht="26.25" customHeight="1">
      <c r="B71" s="636">
        <v>0</v>
      </c>
      <c r="C71" s="647" t="s">
        <v>1728</v>
      </c>
      <c r="D71" s="639" t="s">
        <v>1759</v>
      </c>
      <c r="E71" s="653"/>
      <c r="F71" s="654"/>
      <c r="G71" s="641">
        <v>0</v>
      </c>
      <c r="H71" s="671"/>
      <c r="I71" s="663"/>
      <c r="L71" s="663"/>
      <c r="M71" s="664"/>
      <c r="N71" s="629"/>
    </row>
    <row r="72" spans="1:15" ht="26.25" customHeight="1">
      <c r="B72" s="636">
        <v>247391</v>
      </c>
      <c r="C72" s="647" t="s">
        <v>1731</v>
      </c>
      <c r="D72" s="639" t="s">
        <v>1760</v>
      </c>
      <c r="E72" s="653"/>
      <c r="F72" s="654"/>
      <c r="G72" s="641">
        <v>306046</v>
      </c>
      <c r="H72" s="671"/>
      <c r="I72" s="663"/>
      <c r="L72" s="663"/>
      <c r="M72" s="664"/>
      <c r="N72" s="629"/>
    </row>
    <row r="73" spans="1:15" ht="26.25" customHeight="1">
      <c r="B73" s="636">
        <v>0</v>
      </c>
      <c r="C73" s="647" t="s">
        <v>1735</v>
      </c>
      <c r="D73" s="639" t="s">
        <v>1761</v>
      </c>
      <c r="E73" s="653"/>
      <c r="F73" s="654"/>
      <c r="G73" s="641">
        <v>0</v>
      </c>
      <c r="H73" s="671"/>
      <c r="I73" s="663"/>
      <c r="L73" s="663"/>
      <c r="M73" s="664"/>
      <c r="N73" s="629"/>
    </row>
    <row r="74" spans="1:15" ht="26.25" customHeight="1">
      <c r="B74" s="636">
        <v>70734</v>
      </c>
      <c r="C74" s="647" t="s">
        <v>1739</v>
      </c>
      <c r="D74" s="639" t="s">
        <v>1762</v>
      </c>
      <c r="E74" s="653"/>
      <c r="F74" s="680"/>
      <c r="G74" s="676">
        <v>100460</v>
      </c>
      <c r="H74" s="671" t="s">
        <v>94</v>
      </c>
      <c r="I74" s="663"/>
      <c r="L74" s="663"/>
      <c r="M74" s="664"/>
      <c r="N74" s="629"/>
    </row>
    <row r="75" spans="1:15" ht="26.25" customHeight="1">
      <c r="B75" s="667">
        <v>318125</v>
      </c>
      <c r="F75" s="629"/>
      <c r="G75" s="664"/>
      <c r="H75" s="667">
        <v>406506</v>
      </c>
      <c r="I75" s="663"/>
      <c r="L75" s="663"/>
      <c r="M75" s="664"/>
      <c r="N75" s="629"/>
    </row>
    <row r="76" spans="1:15" ht="26.25" customHeight="1">
      <c r="B76" s="636" t="s">
        <v>94</v>
      </c>
      <c r="C76" s="637"/>
      <c r="D76" s="639" t="s">
        <v>1763</v>
      </c>
      <c r="E76" s="653"/>
      <c r="F76" s="654"/>
      <c r="G76" s="700" t="s">
        <v>94</v>
      </c>
      <c r="H76" s="671"/>
      <c r="I76" s="663"/>
      <c r="L76" s="663"/>
      <c r="M76" s="664"/>
      <c r="N76" s="629"/>
      <c r="O76" s="701">
        <v>13</v>
      </c>
    </row>
    <row r="77" spans="1:15" ht="26.25" customHeight="1">
      <c r="B77" s="660">
        <v>100000</v>
      </c>
      <c r="C77" s="637"/>
      <c r="D77" s="639" t="s">
        <v>1764</v>
      </c>
      <c r="E77" s="653"/>
      <c r="F77" s="654"/>
      <c r="G77" s="670" t="s">
        <v>94</v>
      </c>
      <c r="H77" s="671">
        <v>100000</v>
      </c>
      <c r="I77" s="663"/>
      <c r="L77" s="663"/>
      <c r="M77" s="664"/>
      <c r="N77" s="634"/>
    </row>
    <row r="78" spans="1:15" ht="26.25" customHeight="1">
      <c r="B78" s="663"/>
      <c r="F78" s="629"/>
      <c r="G78" s="664"/>
      <c r="I78" s="636"/>
      <c r="J78" s="637"/>
      <c r="K78" s="639"/>
      <c r="L78" s="636"/>
      <c r="M78" s="641" t="s">
        <v>94</v>
      </c>
      <c r="N78" s="634"/>
    </row>
    <row r="79" spans="1:15" ht="26.25" customHeight="1">
      <c r="B79" s="702">
        <v>60610812278</v>
      </c>
      <c r="C79" s="682"/>
      <c r="D79" s="703" t="s">
        <v>499</v>
      </c>
      <c r="E79" s="682"/>
      <c r="F79" s="683"/>
      <c r="G79" s="704"/>
      <c r="H79" s="705">
        <v>64104206424</v>
      </c>
      <c r="I79" s="706">
        <v>60610812278</v>
      </c>
      <c r="J79" s="682"/>
      <c r="K79" s="703" t="s">
        <v>499</v>
      </c>
      <c r="L79" s="685" t="s">
        <v>94</v>
      </c>
      <c r="M79" s="707">
        <v>64104206424</v>
      </c>
      <c r="N79" s="634"/>
    </row>
    <row r="80" spans="1:15" ht="26.25" customHeight="1">
      <c r="A80" s="634"/>
      <c r="B80" s="6077" t="s">
        <v>1765</v>
      </c>
      <c r="C80" s="6077"/>
      <c r="D80" s="6077"/>
      <c r="E80" s="6077"/>
      <c r="F80" s="6077"/>
      <c r="G80" s="6077"/>
      <c r="H80" s="6077"/>
      <c r="I80" s="673" t="s">
        <v>94</v>
      </c>
      <c r="J80" s="639"/>
      <c r="K80" s="673" t="s">
        <v>94</v>
      </c>
      <c r="M80" s="708" t="s">
        <v>94</v>
      </c>
      <c r="N80" s="634"/>
    </row>
    <row r="81" spans="1:14" ht="26.25" customHeight="1">
      <c r="A81" s="634"/>
      <c r="B81" s="637" t="s">
        <v>1766</v>
      </c>
      <c r="C81" s="639"/>
      <c r="D81" s="639"/>
      <c r="E81" s="639"/>
      <c r="F81" s="639"/>
      <c r="G81" s="639"/>
      <c r="H81" s="653"/>
      <c r="I81" s="639"/>
      <c r="J81" s="639"/>
      <c r="K81" s="639"/>
      <c r="M81" s="709"/>
      <c r="N81" s="634"/>
    </row>
    <row r="82" spans="1:14" ht="26.25" customHeight="1">
      <c r="A82" s="634"/>
      <c r="B82" s="6078" t="s">
        <v>1767</v>
      </c>
      <c r="C82" s="6078"/>
      <c r="D82" s="6078"/>
      <c r="E82" s="6078"/>
      <c r="F82" s="6078"/>
      <c r="G82" s="6078"/>
      <c r="H82" s="6078"/>
      <c r="I82" s="639"/>
      <c r="J82" s="639"/>
      <c r="K82" s="639"/>
      <c r="M82" s="710"/>
      <c r="N82" s="634"/>
    </row>
    <row r="83" spans="1:14" ht="26.25" customHeight="1">
      <c r="A83" s="634"/>
      <c r="B83" s="711" t="s">
        <v>1768</v>
      </c>
      <c r="C83" s="639" t="s">
        <v>1769</v>
      </c>
      <c r="D83" s="639"/>
      <c r="E83" s="639"/>
      <c r="F83" s="639"/>
      <c r="G83" s="639"/>
      <c r="H83" s="639"/>
      <c r="I83" s="673" t="s">
        <v>94</v>
      </c>
      <c r="J83" s="639"/>
      <c r="K83" s="639"/>
      <c r="M83" s="665" t="s">
        <v>94</v>
      </c>
      <c r="N83" s="634"/>
    </row>
    <row r="84" spans="1:14" ht="26.25" customHeight="1">
      <c r="A84" s="634"/>
      <c r="B84" s="712" t="s">
        <v>1770</v>
      </c>
      <c r="C84" s="639" t="s">
        <v>1771</v>
      </c>
      <c r="D84" s="639"/>
      <c r="E84" s="639"/>
      <c r="F84" s="639"/>
      <c r="G84" s="639"/>
      <c r="H84" s="673" t="s">
        <v>94</v>
      </c>
      <c r="I84" s="639"/>
      <c r="J84" s="639"/>
      <c r="K84" s="639"/>
      <c r="M84" s="710"/>
      <c r="N84" s="634"/>
    </row>
    <row r="85" spans="1:14" ht="26.25" customHeight="1">
      <c r="A85" s="634"/>
      <c r="B85" s="713" t="s">
        <v>1772</v>
      </c>
      <c r="C85" s="639" t="s">
        <v>94</v>
      </c>
      <c r="D85" s="639"/>
      <c r="E85" s="639"/>
      <c r="F85" s="639"/>
      <c r="G85" s="639"/>
      <c r="H85" s="639"/>
      <c r="I85" s="639"/>
      <c r="J85" s="639"/>
      <c r="K85" s="639"/>
      <c r="M85" s="710"/>
      <c r="N85" s="634"/>
    </row>
    <row r="86" spans="1:14" ht="26.25" customHeight="1">
      <c r="A86" s="634"/>
      <c r="B86" s="714" t="s">
        <v>1773</v>
      </c>
      <c r="C86" s="639" t="s">
        <v>1774</v>
      </c>
      <c r="D86" s="639"/>
      <c r="E86" s="639"/>
      <c r="F86" s="639"/>
      <c r="G86" s="639"/>
      <c r="H86" s="639"/>
      <c r="I86" s="639"/>
      <c r="J86" s="639"/>
      <c r="K86" s="639"/>
      <c r="M86" s="710"/>
      <c r="N86" s="634"/>
    </row>
    <row r="87" spans="1:14" ht="26.25" customHeight="1">
      <c r="A87" s="634"/>
      <c r="B87" s="713" t="s">
        <v>1775</v>
      </c>
      <c r="C87" s="639" t="s">
        <v>1776</v>
      </c>
      <c r="D87" s="639"/>
      <c r="E87" s="639"/>
      <c r="F87" s="639"/>
      <c r="G87" s="639"/>
      <c r="H87" s="639"/>
      <c r="I87" s="639"/>
      <c r="J87" s="639"/>
      <c r="K87" s="639"/>
      <c r="M87" s="710"/>
      <c r="N87" s="634"/>
    </row>
    <row r="88" spans="1:14" ht="26.25" customHeight="1">
      <c r="B88" s="6079" t="s">
        <v>1777</v>
      </c>
      <c r="C88" s="6079"/>
      <c r="D88" s="6079"/>
      <c r="E88" s="639"/>
      <c r="F88" s="639"/>
      <c r="G88" s="639"/>
      <c r="H88" s="639"/>
      <c r="I88" s="639"/>
      <c r="J88" s="639"/>
      <c r="K88" s="639"/>
      <c r="M88" s="710"/>
      <c r="N88" s="634"/>
    </row>
    <row r="89" spans="1:14" ht="26.25" customHeight="1">
      <c r="B89" s="715"/>
      <c r="C89" s="639"/>
      <c r="D89" s="639"/>
      <c r="E89" s="639"/>
      <c r="F89" s="639"/>
      <c r="G89" s="639"/>
      <c r="H89" s="639"/>
      <c r="I89" s="639"/>
      <c r="J89" s="639"/>
      <c r="K89" s="639"/>
      <c r="M89" s="710"/>
      <c r="N89" s="634"/>
    </row>
    <row r="90" spans="1:14" ht="26.25" hidden="1" customHeight="1">
      <c r="C90" s="716"/>
      <c r="D90" s="717"/>
      <c r="E90" s="716"/>
      <c r="F90" s="718"/>
      <c r="H90" s="719"/>
      <c r="I90" s="717"/>
      <c r="J90" s="716"/>
      <c r="K90" s="718"/>
      <c r="L90" s="716"/>
      <c r="M90" s="710"/>
      <c r="N90" s="634"/>
    </row>
    <row r="91" spans="1:14" ht="26.25" hidden="1" customHeight="1">
      <c r="B91" s="715"/>
      <c r="C91" s="639"/>
      <c r="D91" s="639"/>
      <c r="E91" s="639"/>
      <c r="F91" s="639"/>
      <c r="G91" s="639"/>
      <c r="H91" s="639"/>
      <c r="I91" s="639"/>
      <c r="J91" s="639"/>
      <c r="K91" s="639"/>
      <c r="M91" s="710"/>
      <c r="N91" s="634"/>
    </row>
    <row r="92" spans="1:14" ht="26.25" hidden="1" customHeight="1">
      <c r="B92" s="715"/>
      <c r="C92" s="639"/>
      <c r="D92" s="639"/>
      <c r="E92" s="639"/>
      <c r="F92" s="639"/>
      <c r="G92" s="639"/>
      <c r="H92" s="639"/>
      <c r="I92" s="639"/>
      <c r="J92" s="639"/>
      <c r="K92" s="639"/>
      <c r="M92" s="710"/>
      <c r="N92" s="634"/>
    </row>
    <row r="93" spans="1:14" ht="26.25" hidden="1" customHeight="1">
      <c r="C93" s="639"/>
      <c r="D93" s="639"/>
      <c r="E93" s="639"/>
      <c r="F93" s="639"/>
      <c r="G93" s="639"/>
      <c r="H93" s="639"/>
      <c r="I93" s="720"/>
      <c r="J93" s="639"/>
      <c r="K93" s="639"/>
      <c r="M93" s="710"/>
      <c r="N93" s="634"/>
    </row>
    <row r="94" spans="1:14" ht="26.25" hidden="1" customHeight="1">
      <c r="D94" s="721"/>
      <c r="E94" s="639"/>
      <c r="F94" s="639"/>
      <c r="G94" s="639"/>
      <c r="J94" s="639"/>
      <c r="K94" s="621"/>
      <c r="L94" s="639"/>
      <c r="M94" s="710"/>
      <c r="N94" s="634"/>
    </row>
    <row r="95" spans="1:14" ht="20.25" hidden="1" customHeight="1">
      <c r="A95" s="634"/>
      <c r="D95" s="722"/>
      <c r="E95" s="634"/>
      <c r="F95" s="634"/>
      <c r="G95" s="634"/>
      <c r="J95" s="634"/>
      <c r="K95" s="723"/>
      <c r="L95" s="724"/>
      <c r="M95" s="724"/>
      <c r="N95" s="634"/>
    </row>
    <row r="96" spans="1:14" ht="20.25" hidden="1" customHeight="1">
      <c r="A96" s="634"/>
      <c r="D96" s="722"/>
      <c r="E96" s="634"/>
      <c r="F96" s="634"/>
      <c r="G96" s="634"/>
      <c r="J96" s="634"/>
      <c r="K96" s="723"/>
      <c r="L96" s="724"/>
      <c r="M96" s="724"/>
      <c r="N96" s="634"/>
    </row>
    <row r="97" spans="1:14" ht="20.25" hidden="1" customHeight="1">
      <c r="A97" s="634"/>
      <c r="D97" s="722"/>
      <c r="E97" s="725"/>
      <c r="F97" s="634"/>
      <c r="G97" s="634"/>
      <c r="J97" s="634"/>
      <c r="K97" s="723"/>
      <c r="L97" s="724"/>
      <c r="M97" s="724"/>
      <c r="N97" s="634"/>
    </row>
    <row r="98" spans="1:14" ht="26.25" hidden="1" customHeight="1">
      <c r="B98" s="711"/>
      <c r="D98" s="619"/>
      <c r="E98" s="726"/>
      <c r="F98" s="634"/>
      <c r="G98" s="634"/>
      <c r="H98" s="726"/>
      <c r="I98" s="634"/>
      <c r="J98" s="634"/>
      <c r="K98" s="651"/>
      <c r="L98" s="634"/>
      <c r="M98" s="727"/>
      <c r="N98" s="634"/>
    </row>
    <row r="99" spans="1:14" ht="26.25" hidden="1" customHeight="1">
      <c r="B99" s="728"/>
      <c r="M99" s="634"/>
    </row>
    <row r="100" spans="1:14" ht="26.25" hidden="1" customHeight="1">
      <c r="B100" s="711"/>
      <c r="C100" s="729"/>
      <c r="D100" s="620"/>
      <c r="E100" s="729"/>
      <c r="F100" s="729"/>
      <c r="G100" s="729"/>
      <c r="I100" s="729"/>
      <c r="J100" s="729"/>
      <c r="K100" s="729"/>
      <c r="M100" s="634"/>
    </row>
    <row r="101" spans="1:14" ht="26.25" customHeight="1">
      <c r="B101" s="730" t="s">
        <v>94</v>
      </c>
      <c r="C101" s="686"/>
      <c r="D101" s="686" t="s">
        <v>94</v>
      </c>
      <c r="E101" s="686"/>
      <c r="F101" s="686"/>
      <c r="G101" s="686"/>
      <c r="H101" s="686" t="s">
        <v>277</v>
      </c>
      <c r="I101" s="686"/>
      <c r="J101" s="686"/>
      <c r="K101" s="686" t="s">
        <v>94</v>
      </c>
      <c r="M101" s="616" t="s">
        <v>94</v>
      </c>
    </row>
    <row r="102" spans="1:14" ht="26.25" customHeight="1">
      <c r="C102" s="639"/>
      <c r="D102" s="639"/>
      <c r="E102" s="639"/>
      <c r="F102" s="639"/>
      <c r="G102" s="686"/>
      <c r="H102" s="686"/>
      <c r="I102" s="686"/>
      <c r="J102" s="686"/>
      <c r="K102" s="686"/>
    </row>
    <row r="103" spans="1:14" ht="26.25" customHeight="1">
      <c r="B103" s="620" t="s">
        <v>1779</v>
      </c>
      <c r="C103" s="639"/>
      <c r="D103" s="639"/>
      <c r="E103" s="639"/>
      <c r="F103" s="639"/>
      <c r="G103" s="686"/>
      <c r="H103" s="686"/>
      <c r="I103" s="686"/>
      <c r="J103" s="686"/>
      <c r="K103" s="686"/>
    </row>
    <row r="104" spans="1:14" ht="26.25" customHeight="1">
      <c r="B104" s="639"/>
      <c r="C104" s="639"/>
      <c r="D104" s="639"/>
      <c r="E104" s="639"/>
      <c r="F104" s="639"/>
      <c r="G104" s="686"/>
      <c r="H104" s="686"/>
      <c r="I104" s="686"/>
      <c r="J104" s="686"/>
      <c r="K104" s="686"/>
    </row>
    <row r="105" spans="1:14" ht="26.25" customHeight="1">
      <c r="B105" s="731" t="s">
        <v>1780</v>
      </c>
      <c r="C105" s="731"/>
      <c r="D105" s="731"/>
      <c r="E105" s="731"/>
      <c r="F105" s="731"/>
      <c r="G105" s="731"/>
      <c r="H105" s="731"/>
      <c r="I105" s="686"/>
      <c r="J105" s="686"/>
      <c r="K105" s="686"/>
    </row>
    <row r="106" spans="1:14" ht="26.25" customHeight="1">
      <c r="B106" s="731"/>
      <c r="C106" s="731"/>
      <c r="D106" s="731"/>
      <c r="E106" s="731"/>
      <c r="F106" s="731"/>
      <c r="G106" s="731"/>
      <c r="H106" s="731"/>
      <c r="I106" s="686"/>
      <c r="J106" s="686"/>
      <c r="K106" s="686"/>
    </row>
    <row r="107" spans="1:14" ht="26.25" customHeight="1">
      <c r="B107" s="731" t="s">
        <v>1781</v>
      </c>
      <c r="C107" s="731"/>
      <c r="D107" s="731"/>
      <c r="E107" s="731"/>
      <c r="F107" s="731"/>
      <c r="G107" s="731"/>
      <c r="H107" s="731"/>
      <c r="I107" s="686"/>
      <c r="J107" s="686"/>
      <c r="K107" s="686"/>
    </row>
    <row r="108" spans="1:14" ht="26.25" customHeight="1">
      <c r="B108" s="731" t="s">
        <v>1782</v>
      </c>
      <c r="C108" s="731"/>
      <c r="D108" s="731"/>
      <c r="E108" s="731"/>
      <c r="F108" s="731"/>
      <c r="G108" s="731"/>
      <c r="H108" s="731"/>
      <c r="I108" s="686"/>
      <c r="J108" s="686"/>
      <c r="K108" s="686"/>
    </row>
    <row r="109" spans="1:14" ht="26.25" customHeight="1">
      <c r="B109" s="731"/>
      <c r="C109" s="731"/>
      <c r="D109" s="731"/>
      <c r="E109" s="731"/>
      <c r="F109" s="731"/>
      <c r="G109" s="731"/>
      <c r="H109" s="731"/>
      <c r="I109" s="686" t="s">
        <v>94</v>
      </c>
      <c r="J109" s="686"/>
      <c r="K109" s="686"/>
    </row>
    <row r="110" spans="1:14" ht="26.25" customHeight="1">
      <c r="B110" s="731" t="s">
        <v>1783</v>
      </c>
      <c r="C110" s="731"/>
      <c r="D110" s="731"/>
      <c r="E110" s="731"/>
      <c r="F110" s="731"/>
      <c r="G110" s="731"/>
      <c r="H110" s="731"/>
      <c r="I110" s="686"/>
      <c r="J110" s="686"/>
      <c r="K110" s="686"/>
    </row>
    <row r="111" spans="1:14" ht="26.25" customHeight="1">
      <c r="B111" s="731"/>
      <c r="C111" s="731"/>
      <c r="D111" s="731"/>
      <c r="E111" s="731"/>
      <c r="F111" s="731"/>
      <c r="G111" s="731"/>
      <c r="H111" s="731"/>
      <c r="I111" s="686"/>
      <c r="J111" s="686"/>
      <c r="K111" s="686"/>
    </row>
    <row r="112" spans="1:14" ht="26.25" customHeight="1">
      <c r="B112" s="731" t="s">
        <v>1784</v>
      </c>
      <c r="C112" s="731"/>
      <c r="D112" s="731"/>
      <c r="E112" s="731"/>
      <c r="F112" s="731"/>
      <c r="G112" s="731"/>
      <c r="H112" s="731"/>
      <c r="I112" s="686"/>
      <c r="J112" s="686"/>
      <c r="K112" s="686"/>
    </row>
    <row r="113" spans="2:13" ht="26.25" customHeight="1">
      <c r="B113" s="731" t="s">
        <v>94</v>
      </c>
      <c r="C113" s="731"/>
      <c r="D113" s="731"/>
      <c r="E113" s="731"/>
      <c r="F113" s="731"/>
      <c r="G113" s="731"/>
      <c r="H113" s="731"/>
      <c r="I113" s="686"/>
      <c r="J113" s="686"/>
      <c r="K113" s="686"/>
    </row>
    <row r="114" spans="2:13" ht="26.25" customHeight="1">
      <c r="B114" s="731"/>
      <c r="C114" s="731"/>
      <c r="D114" s="731"/>
      <c r="E114" s="731"/>
      <c r="F114" s="731"/>
      <c r="G114" s="731"/>
      <c r="H114" s="731"/>
      <c r="I114" s="729"/>
      <c r="J114" s="729"/>
      <c r="K114" s="729"/>
    </row>
    <row r="115" spans="2:13" ht="26.25" customHeight="1">
      <c r="B115" s="731" t="s">
        <v>1785</v>
      </c>
      <c r="C115" s="731"/>
      <c r="D115" s="731"/>
      <c r="E115" s="731"/>
      <c r="F115" s="731"/>
      <c r="G115" s="731"/>
      <c r="H115" s="731"/>
      <c r="I115" s="729"/>
      <c r="J115" s="729"/>
      <c r="K115" s="729"/>
    </row>
    <row r="116" spans="2:13" ht="26.25" customHeight="1">
      <c r="B116" s="731" t="s">
        <v>1786</v>
      </c>
      <c r="C116" s="731"/>
      <c r="D116" s="731"/>
      <c r="E116" s="731"/>
      <c r="F116" s="731"/>
      <c r="G116" s="731"/>
      <c r="H116" s="731"/>
      <c r="I116" s="729"/>
      <c r="J116" s="729"/>
      <c r="K116" s="729"/>
    </row>
    <row r="117" spans="2:13" ht="26.25" customHeight="1">
      <c r="B117" s="731"/>
      <c r="C117" s="731"/>
      <c r="D117" s="731"/>
      <c r="E117" s="731"/>
      <c r="F117" s="731"/>
      <c r="G117" s="731"/>
      <c r="H117" s="731"/>
      <c r="I117" s="729"/>
      <c r="J117" s="729"/>
      <c r="K117" s="729"/>
    </row>
    <row r="118" spans="2:13" ht="26.25" customHeight="1">
      <c r="B118" s="731" t="s">
        <v>1787</v>
      </c>
      <c r="C118" s="731"/>
      <c r="D118" s="731"/>
      <c r="E118" s="731"/>
      <c r="F118" s="731"/>
      <c r="G118" s="731"/>
      <c r="H118" s="731"/>
      <c r="I118" s="729"/>
      <c r="J118" s="729"/>
      <c r="K118" s="729"/>
    </row>
    <row r="119" spans="2:13" ht="26.25" customHeight="1">
      <c r="B119" s="731"/>
      <c r="C119" s="731"/>
      <c r="D119" s="731"/>
      <c r="E119" s="731"/>
      <c r="F119" s="731"/>
      <c r="G119" s="731"/>
      <c r="H119" s="731"/>
      <c r="I119" s="729"/>
      <c r="J119" s="729"/>
      <c r="K119" s="729"/>
    </row>
    <row r="120" spans="2:13" ht="26.25" customHeight="1">
      <c r="B120" s="639" t="s">
        <v>94</v>
      </c>
      <c r="C120" s="729" t="s">
        <v>94</v>
      </c>
      <c r="D120" s="729" t="s">
        <v>94</v>
      </c>
      <c r="E120" s="729"/>
      <c r="F120" s="729"/>
      <c r="G120" s="729"/>
      <c r="H120" s="729"/>
      <c r="I120" s="729"/>
      <c r="J120" s="729"/>
      <c r="K120" s="729"/>
      <c r="L120" s="616" t="s">
        <v>94</v>
      </c>
      <c r="M120" s="616" t="s">
        <v>94</v>
      </c>
    </row>
    <row r="121" spans="2:13" ht="26.25" customHeight="1">
      <c r="B121" s="729" t="s">
        <v>94</v>
      </c>
      <c r="D121" s="732"/>
      <c r="E121" s="733" t="s">
        <v>1788</v>
      </c>
      <c r="F121" s="729"/>
      <c r="G121" s="729" t="s">
        <v>94</v>
      </c>
      <c r="H121" s="729"/>
      <c r="I121" s="729"/>
      <c r="J121" s="729"/>
      <c r="K121" s="729"/>
    </row>
    <row r="122" spans="2:13" ht="26.25" customHeight="1">
      <c r="B122" s="729" t="s">
        <v>94</v>
      </c>
      <c r="C122" s="729"/>
      <c r="D122" s="729"/>
      <c r="E122" s="686" t="s">
        <v>1789</v>
      </c>
      <c r="F122" s="729"/>
      <c r="G122" s="729" t="s">
        <v>94</v>
      </c>
      <c r="H122" s="729"/>
      <c r="I122" s="729"/>
      <c r="J122" s="729"/>
      <c r="K122" s="729"/>
    </row>
    <row r="123" spans="2:13" ht="26.25" customHeight="1">
      <c r="B123" s="729"/>
      <c r="C123" s="616" t="s">
        <v>94</v>
      </c>
      <c r="L123" s="616" t="s">
        <v>94</v>
      </c>
    </row>
    <row r="124" spans="2:13" ht="26.25" customHeight="1">
      <c r="B124" s="729"/>
    </row>
    <row r="125" spans="2:13" ht="26.25" customHeight="1">
      <c r="B125" s="729"/>
    </row>
    <row r="126" spans="2:13" ht="26.25" customHeight="1">
      <c r="B126" s="729"/>
    </row>
    <row r="127" spans="2:13" ht="26.25" customHeight="1">
      <c r="B127" s="734" t="s">
        <v>1790</v>
      </c>
    </row>
    <row r="128" spans="2:13" ht="26.25" customHeight="1">
      <c r="B128" s="686" t="s">
        <v>1791</v>
      </c>
    </row>
    <row r="129" spans="2:7" ht="26.25" customHeight="1">
      <c r="B129" s="616" t="s">
        <v>94</v>
      </c>
      <c r="C129" s="631"/>
      <c r="D129" s="735" t="s">
        <v>94</v>
      </c>
      <c r="E129" s="631"/>
      <c r="F129" s="631"/>
    </row>
    <row r="130" spans="2:7" ht="26.25" customHeight="1">
      <c r="C130" s="736" t="s">
        <v>94</v>
      </c>
      <c r="D130" s="736"/>
      <c r="E130" s="736" t="s">
        <v>94</v>
      </c>
      <c r="F130" s="736"/>
      <c r="G130" s="629"/>
    </row>
    <row r="131" spans="2:7" ht="26.25" customHeight="1">
      <c r="B131" s="616" t="s">
        <v>1792</v>
      </c>
      <c r="C131" s="736"/>
      <c r="D131" s="737">
        <f>+(921973815/2)+10386829829</f>
        <v>10847816736.5</v>
      </c>
      <c r="E131" s="737"/>
      <c r="F131" s="736"/>
      <c r="G131" s="629"/>
    </row>
    <row r="132" spans="2:7" ht="26.25" customHeight="1">
      <c r="B132" s="616" t="s">
        <v>1793</v>
      </c>
      <c r="C132" s="736"/>
      <c r="D132" s="737">
        <f>+(921973815/2)+5717919054</f>
        <v>6178905961.5</v>
      </c>
      <c r="E132" s="737">
        <f>+D132+D131</f>
        <v>17026722698</v>
      </c>
      <c r="F132" s="736"/>
      <c r="G132" s="629"/>
    </row>
    <row r="133" spans="2:7" ht="26.25" customHeight="1">
      <c r="B133" s="738" t="s">
        <v>1794</v>
      </c>
      <c r="C133" s="736"/>
      <c r="D133" s="737"/>
      <c r="E133" s="737"/>
      <c r="F133" s="736"/>
      <c r="G133" s="629"/>
    </row>
    <row r="134" spans="2:7" ht="26.25" customHeight="1">
      <c r="B134" s="616" t="s">
        <v>1795</v>
      </c>
      <c r="C134" s="736"/>
      <c r="D134" s="737" t="s">
        <v>94</v>
      </c>
      <c r="E134" s="737"/>
      <c r="F134" s="736"/>
      <c r="G134" s="629"/>
    </row>
    <row r="135" spans="2:7" ht="26.25" customHeight="1">
      <c r="B135" s="631"/>
      <c r="C135" s="736"/>
      <c r="D135" s="737">
        <f>+(234728359/2)+3561382383</f>
        <v>3678746562.5</v>
      </c>
      <c r="E135" s="737"/>
      <c r="F135" s="736"/>
      <c r="G135" s="629"/>
    </row>
    <row r="136" spans="2:7" ht="26.25" customHeight="1">
      <c r="B136" s="736" t="s">
        <v>1796</v>
      </c>
      <c r="C136" s="736"/>
      <c r="D136" s="737">
        <f>+(234728359/2)+2436898077</f>
        <v>2554262256.5</v>
      </c>
      <c r="E136" s="737">
        <f>+D136+D135</f>
        <v>6233008819</v>
      </c>
      <c r="F136" s="736"/>
      <c r="G136" s="629"/>
    </row>
    <row r="137" spans="2:7" ht="26.25" customHeight="1">
      <c r="B137" s="736" t="s">
        <v>868</v>
      </c>
      <c r="C137" s="736"/>
      <c r="D137" s="737">
        <v>3935526674</v>
      </c>
      <c r="E137" s="737"/>
      <c r="F137" s="736"/>
      <c r="G137" s="629"/>
    </row>
    <row r="138" spans="2:7" ht="26.25" customHeight="1">
      <c r="B138" s="736" t="s">
        <v>869</v>
      </c>
      <c r="C138" s="736"/>
      <c r="D138" s="737">
        <v>0</v>
      </c>
      <c r="E138" s="737" t="s">
        <v>94</v>
      </c>
      <c r="F138" s="736"/>
      <c r="G138" s="629"/>
    </row>
    <row r="139" spans="2:7" ht="26.25" customHeight="1">
      <c r="B139" s="736"/>
      <c r="C139" s="736"/>
      <c r="D139" s="737"/>
      <c r="E139" s="737"/>
      <c r="F139" s="736"/>
      <c r="G139" s="629"/>
    </row>
    <row r="140" spans="2:7" ht="26.25" customHeight="1">
      <c r="B140" s="736" t="s">
        <v>1797</v>
      </c>
      <c r="C140" s="736"/>
      <c r="D140" s="737">
        <v>974004244</v>
      </c>
      <c r="E140" s="737">
        <f>+D140/100000</f>
        <v>9740.0424399999993</v>
      </c>
      <c r="F140" s="736"/>
      <c r="G140" s="629"/>
    </row>
    <row r="141" spans="2:7" ht="26.25" customHeight="1">
      <c r="B141" s="736" t="s">
        <v>868</v>
      </c>
      <c r="C141" s="736"/>
      <c r="D141" s="737" t="s">
        <v>94</v>
      </c>
      <c r="E141" s="737"/>
      <c r="F141" s="736"/>
      <c r="G141" s="629"/>
    </row>
    <row r="142" spans="2:7" ht="26.25" customHeight="1">
      <c r="B142" s="736" t="s">
        <v>869</v>
      </c>
      <c r="C142" s="736"/>
      <c r="D142" s="737">
        <v>716192839</v>
      </c>
      <c r="E142" s="737"/>
      <c r="F142" s="736"/>
      <c r="G142" s="629"/>
    </row>
    <row r="143" spans="2:7" ht="26.25" customHeight="1">
      <c r="B143" s="736">
        <v>601</v>
      </c>
      <c r="C143" s="736"/>
      <c r="D143" s="737">
        <v>-2505775890</v>
      </c>
      <c r="E143" s="737">
        <f>+D142+D143</f>
        <v>-1789583051</v>
      </c>
      <c r="F143" s="736"/>
      <c r="G143" s="739" t="s">
        <v>94</v>
      </c>
    </row>
    <row r="144" spans="2:7" ht="26.25" customHeight="1">
      <c r="B144" s="736">
        <v>600</v>
      </c>
      <c r="C144" s="631"/>
      <c r="D144" s="735" t="s">
        <v>94</v>
      </c>
      <c r="E144" s="631"/>
      <c r="F144" s="694"/>
      <c r="G144" s="629"/>
    </row>
    <row r="145" spans="2:9" ht="26.25" customHeight="1">
      <c r="B145" s="736"/>
      <c r="C145" s="634"/>
      <c r="D145" s="740"/>
      <c r="E145" s="634"/>
      <c r="F145" s="634"/>
      <c r="G145" s="634"/>
    </row>
    <row r="146" spans="2:9" ht="26.25" customHeight="1">
      <c r="B146" s="736" t="s">
        <v>1798</v>
      </c>
      <c r="C146" s="634"/>
      <c r="D146" s="740"/>
      <c r="E146" s="741" t="str">
        <f>+H50</f>
        <v>2012-2013</v>
      </c>
      <c r="F146" s="634"/>
      <c r="G146" s="634"/>
    </row>
    <row r="147" spans="2:9" ht="26.25" customHeight="1">
      <c r="B147" s="736"/>
      <c r="D147" s="631"/>
      <c r="E147" s="742" t="s">
        <v>94</v>
      </c>
      <c r="F147" s="631"/>
      <c r="G147" s="631"/>
      <c r="H147" s="631"/>
    </row>
    <row r="148" spans="2:9" ht="26.25" customHeight="1">
      <c r="B148" s="736" t="s">
        <v>1799</v>
      </c>
      <c r="D148" s="743" t="s">
        <v>1132</v>
      </c>
      <c r="E148" s="744"/>
      <c r="F148" s="744"/>
      <c r="G148" s="619"/>
      <c r="H148" s="745"/>
      <c r="I148" s="746"/>
    </row>
    <row r="149" spans="2:9" ht="26.25" customHeight="1">
      <c r="B149" s="736" t="s">
        <v>1800</v>
      </c>
      <c r="D149" s="747"/>
      <c r="E149" s="747" t="s">
        <v>1801</v>
      </c>
      <c r="F149" s="747"/>
      <c r="G149" s="748" t="s">
        <v>868</v>
      </c>
      <c r="H149" s="747" t="s">
        <v>869</v>
      </c>
      <c r="I149" s="746"/>
    </row>
    <row r="150" spans="2:9" ht="26.25" customHeight="1">
      <c r="B150" s="631"/>
      <c r="D150" s="749"/>
      <c r="E150" s="750" t="s">
        <v>1802</v>
      </c>
      <c r="F150" s="750"/>
      <c r="G150" s="751"/>
      <c r="H150" s="752"/>
      <c r="I150" s="746"/>
    </row>
    <row r="151" spans="2:9" ht="26.25" customHeight="1">
      <c r="B151" s="634"/>
      <c r="D151" s="629" t="s">
        <v>1803</v>
      </c>
      <c r="E151" s="753">
        <f>+E132/100000</f>
        <v>170267.22698000001</v>
      </c>
      <c r="F151" s="746"/>
      <c r="G151" s="754">
        <f>+D131/100000</f>
        <v>108478.167365</v>
      </c>
      <c r="H151" s="755">
        <f>+D132/100000</f>
        <v>61789.059614999998</v>
      </c>
      <c r="I151" s="746"/>
    </row>
    <row r="152" spans="2:9" ht="26.25" customHeight="1">
      <c r="B152" s="634"/>
      <c r="D152" s="629" t="s">
        <v>1804</v>
      </c>
      <c r="E152" s="753">
        <f>+E136/100000</f>
        <v>62330.088190000002</v>
      </c>
      <c r="F152" s="746"/>
      <c r="G152" s="754">
        <f>+D135/100000</f>
        <v>36787.465624999997</v>
      </c>
      <c r="H152" s="755">
        <f>+D136/100000</f>
        <v>25542.622565000001</v>
      </c>
      <c r="I152" s="746"/>
    </row>
    <row r="153" spans="2:9" ht="26.25" customHeight="1">
      <c r="D153" s="756" t="s">
        <v>499</v>
      </c>
      <c r="E153" s="757">
        <f>+E151-E152</f>
        <v>107937.13879</v>
      </c>
      <c r="F153" s="757" t="s">
        <v>94</v>
      </c>
      <c r="G153" s="758">
        <f>+G151-G152</f>
        <v>71690.701740000004</v>
      </c>
      <c r="H153" s="759">
        <f>+H151-H152</f>
        <v>36246.437049999993</v>
      </c>
      <c r="I153" s="753" t="s">
        <v>94</v>
      </c>
    </row>
    <row r="154" spans="2:9" ht="26.25" customHeight="1">
      <c r="B154" s="616" t="s">
        <v>94</v>
      </c>
      <c r="D154" s="760"/>
      <c r="E154" s="746"/>
      <c r="F154" s="746"/>
      <c r="G154" s="686"/>
      <c r="H154" s="761"/>
      <c r="I154" s="746"/>
    </row>
    <row r="155" spans="2:9" ht="26.25" customHeight="1">
      <c r="D155" s="629" t="s">
        <v>1805</v>
      </c>
      <c r="E155" s="753">
        <f>+I10/100000</f>
        <v>5512.7360099999996</v>
      </c>
      <c r="F155" s="746"/>
      <c r="G155" s="754">
        <f>+E155*95%</f>
        <v>5237.0992094999992</v>
      </c>
      <c r="H155" s="755">
        <f>+E155*5%</f>
        <v>275.63680049999999</v>
      </c>
      <c r="I155" s="753" t="s">
        <v>94</v>
      </c>
    </row>
    <row r="156" spans="2:9" ht="26.25" customHeight="1">
      <c r="D156" s="629" t="s">
        <v>1806</v>
      </c>
      <c r="E156" s="753">
        <f>+I12/100000</f>
        <v>0</v>
      </c>
      <c r="F156" s="746"/>
      <c r="G156" s="754">
        <f>+E156/2</f>
        <v>0</v>
      </c>
      <c r="H156" s="755">
        <f>+E156/2</f>
        <v>0</v>
      </c>
      <c r="I156" s="753" t="s">
        <v>94</v>
      </c>
    </row>
    <row r="157" spans="2:9" ht="26.25" customHeight="1">
      <c r="D157" s="629" t="s">
        <v>1807</v>
      </c>
      <c r="E157" s="753" t="e">
        <f>+(I14+I15+#REF!+I27+I17)/100000</f>
        <v>#REF!</v>
      </c>
      <c r="F157" s="746"/>
      <c r="G157" s="754" t="e">
        <f>+(E157-(I15/100000))*45%+(I15/100000)</f>
        <v>#REF!</v>
      </c>
      <c r="H157" s="755" t="e">
        <f>+(E157-(I15/100000))*55%</f>
        <v>#REF!</v>
      </c>
      <c r="I157" s="753" t="s">
        <v>94</v>
      </c>
    </row>
    <row r="158" spans="2:9" ht="26.25" customHeight="1">
      <c r="D158" s="629"/>
      <c r="E158" s="753" t="s">
        <v>94</v>
      </c>
      <c r="F158" s="746"/>
      <c r="G158" s="686"/>
      <c r="H158" s="761"/>
      <c r="I158" s="746"/>
    </row>
    <row r="159" spans="2:9" ht="26.25" customHeight="1">
      <c r="D159" s="756" t="s">
        <v>1132</v>
      </c>
      <c r="E159" s="757" t="e">
        <f>SUM(E153:E157)</f>
        <v>#REF!</v>
      </c>
      <c r="F159" s="762"/>
      <c r="G159" s="758" t="e">
        <f>+G157+G156+G155+G153</f>
        <v>#REF!</v>
      </c>
      <c r="H159" s="759" t="e">
        <f>+H157+H156+H155+H153</f>
        <v>#REF!</v>
      </c>
      <c r="I159" s="746"/>
    </row>
    <row r="160" spans="2:9" ht="26.25" customHeight="1">
      <c r="D160" s="629"/>
      <c r="E160" s="746"/>
      <c r="F160" s="746"/>
      <c r="G160" s="686"/>
      <c r="H160" s="761"/>
      <c r="I160" s="746"/>
    </row>
    <row r="161" spans="4:9" ht="26.25" customHeight="1">
      <c r="D161" s="629" t="s">
        <v>1686</v>
      </c>
      <c r="E161" s="753" t="s">
        <v>94</v>
      </c>
      <c r="F161" s="746"/>
      <c r="G161" s="686"/>
      <c r="H161" s="761"/>
      <c r="I161" s="746"/>
    </row>
    <row r="162" spans="4:9" ht="26.25" customHeight="1">
      <c r="D162" s="629" t="s">
        <v>94</v>
      </c>
      <c r="E162" s="746"/>
      <c r="F162" s="746"/>
      <c r="G162" s="686"/>
      <c r="H162" s="761"/>
      <c r="I162" s="746"/>
    </row>
    <row r="163" spans="4:9" ht="26.25" customHeight="1">
      <c r="D163" s="629" t="s">
        <v>1808</v>
      </c>
      <c r="E163" s="763">
        <f>+M38/100000</f>
        <v>0</v>
      </c>
      <c r="F163" s="746"/>
      <c r="G163" s="754">
        <f>+E163*90%</f>
        <v>0</v>
      </c>
      <c r="H163" s="755">
        <f>+E163*10%</f>
        <v>0</v>
      </c>
      <c r="I163" s="746"/>
    </row>
    <row r="164" spans="4:9" ht="26.25" customHeight="1">
      <c r="D164" s="629" t="s">
        <v>1809</v>
      </c>
      <c r="E164" s="763">
        <f>+(D137+D138)/100000</f>
        <v>39355.266739999999</v>
      </c>
      <c r="F164" s="746"/>
      <c r="G164" s="754">
        <f>+E164</f>
        <v>39355.266739999999</v>
      </c>
      <c r="H164" s="755">
        <f>+E15196%</f>
        <v>0</v>
      </c>
      <c r="I164" s="746"/>
    </row>
    <row r="165" spans="4:9" ht="26.25" customHeight="1">
      <c r="D165" s="629" t="s">
        <v>1810</v>
      </c>
      <c r="E165" s="763">
        <f>+(I34/100000)-E164</f>
        <v>18918.722600000001</v>
      </c>
      <c r="F165" s="746"/>
      <c r="G165" s="754">
        <f>+E165*45%</f>
        <v>8513.4251700000004</v>
      </c>
      <c r="H165" s="755">
        <f>+E165*55%</f>
        <v>10405.297430000001</v>
      </c>
      <c r="I165" s="746"/>
    </row>
    <row r="166" spans="4:9" ht="26.25" customHeight="1">
      <c r="D166" s="629" t="s">
        <v>1811</v>
      </c>
      <c r="E166" s="764">
        <f>+M32/100000</f>
        <v>0</v>
      </c>
      <c r="F166" s="746"/>
      <c r="G166" s="754">
        <f>+E166*45%</f>
        <v>0</v>
      </c>
      <c r="H166" s="755">
        <f>+E166*55%</f>
        <v>0</v>
      </c>
      <c r="I166" s="746"/>
    </row>
    <row r="167" spans="4:9" ht="26.25" customHeight="1">
      <c r="D167" s="629" t="s">
        <v>1269</v>
      </c>
      <c r="E167" s="763">
        <f>+(I24+M33+I25)/100000</f>
        <v>1621.2656400000001</v>
      </c>
      <c r="F167" s="746"/>
      <c r="G167" s="754">
        <f>+E167*45%</f>
        <v>729.56953800000008</v>
      </c>
      <c r="H167" s="755">
        <f>+E167*55%</f>
        <v>891.69610200000011</v>
      </c>
      <c r="I167" s="746"/>
    </row>
    <row r="168" spans="4:9" ht="26.25" customHeight="1">
      <c r="D168" s="629"/>
      <c r="E168" s="765" t="s">
        <v>94</v>
      </c>
      <c r="F168" s="746"/>
      <c r="G168" s="754"/>
      <c r="H168" s="755"/>
      <c r="I168" s="746"/>
    </row>
    <row r="169" spans="4:9" ht="26.25" customHeight="1">
      <c r="D169" s="756" t="s">
        <v>1686</v>
      </c>
      <c r="E169" s="757">
        <f>SUM(E163:E167)</f>
        <v>59895.254979999998</v>
      </c>
      <c r="F169" s="757" t="s">
        <v>94</v>
      </c>
      <c r="G169" s="758">
        <f>SUM(G163:G167)</f>
        <v>48598.261448000005</v>
      </c>
      <c r="H169" s="759">
        <f>SUM(H163:H167)</f>
        <v>11296.993532</v>
      </c>
      <c r="I169" s="746"/>
    </row>
    <row r="170" spans="4:9" ht="26.25" customHeight="1">
      <c r="D170" s="629"/>
      <c r="E170" s="746"/>
      <c r="F170" s="746"/>
      <c r="G170" s="754"/>
      <c r="H170" s="755"/>
      <c r="I170" s="746"/>
    </row>
    <row r="171" spans="4:9" ht="26.25" customHeight="1">
      <c r="D171" s="629" t="s">
        <v>1812</v>
      </c>
      <c r="E171" s="753">
        <f>+M61/100000</f>
        <v>0</v>
      </c>
      <c r="F171" s="746"/>
      <c r="G171" s="754">
        <f>+(((I55+I56+I57)*16%)+((I58+I59+I60+I61)*45%))/100000</f>
        <v>5055.0997496</v>
      </c>
      <c r="H171" s="755">
        <f>+E171-G171</f>
        <v>-5055.0997496</v>
      </c>
      <c r="I171" s="746"/>
    </row>
    <row r="172" spans="4:9" ht="26.25" customHeight="1">
      <c r="D172" s="629"/>
      <c r="E172" s="746"/>
      <c r="F172" s="746"/>
      <c r="G172" s="754"/>
      <c r="H172" s="755"/>
      <c r="I172" s="746"/>
    </row>
    <row r="173" spans="4:9" ht="26.25" customHeight="1" thickBot="1">
      <c r="D173" s="766" t="s">
        <v>1813</v>
      </c>
      <c r="E173" s="767" t="e">
        <f>+E171+E169+E159</f>
        <v>#REF!</v>
      </c>
      <c r="F173" s="768"/>
      <c r="G173" s="769" t="e">
        <f>+G171+G169+G159</f>
        <v>#REF!</v>
      </c>
      <c r="H173" s="770" t="e">
        <f>+H171+H169+H159</f>
        <v>#REF!</v>
      </c>
      <c r="I173" s="746"/>
    </row>
    <row r="174" spans="4:9" ht="26.25" customHeight="1">
      <c r="E174" s="686"/>
      <c r="F174" s="686"/>
      <c r="G174" s="686"/>
      <c r="H174" s="686"/>
      <c r="I174" s="686"/>
    </row>
    <row r="175" spans="4:9" ht="26.25" customHeight="1">
      <c r="E175" s="754" t="s">
        <v>94</v>
      </c>
      <c r="F175" s="686" t="s">
        <v>94</v>
      </c>
      <c r="G175" s="754" t="s">
        <v>94</v>
      </c>
      <c r="H175" s="754" t="s">
        <v>94</v>
      </c>
      <c r="I175" s="686"/>
    </row>
    <row r="176" spans="4:9" ht="26.25" customHeight="1">
      <c r="E176" s="771" t="str">
        <f>+E146</f>
        <v>2012-2013</v>
      </c>
      <c r="F176" s="686"/>
      <c r="G176" s="754" t="s">
        <v>94</v>
      </c>
      <c r="H176" s="686" t="s">
        <v>94</v>
      </c>
      <c r="I176" s="686"/>
    </row>
    <row r="177" spans="4:9" ht="26.25" customHeight="1">
      <c r="D177" s="631"/>
      <c r="E177" s="742"/>
      <c r="F177" s="742"/>
      <c r="G177" s="742"/>
      <c r="H177" s="742"/>
      <c r="I177" s="686"/>
    </row>
    <row r="178" spans="4:9" ht="26.25" customHeight="1">
      <c r="D178" s="772" t="s">
        <v>1651</v>
      </c>
      <c r="E178" s="743" t="s">
        <v>1801</v>
      </c>
      <c r="F178" s="743"/>
      <c r="G178" s="773" t="s">
        <v>868</v>
      </c>
      <c r="H178" s="743" t="s">
        <v>869</v>
      </c>
      <c r="I178" s="746"/>
    </row>
    <row r="179" spans="4:9" ht="26.25" customHeight="1">
      <c r="D179" s="774"/>
      <c r="E179" s="750" t="s">
        <v>1814</v>
      </c>
      <c r="F179" s="750"/>
      <c r="G179" s="751"/>
      <c r="H179" s="750"/>
      <c r="I179" s="746"/>
    </row>
    <row r="180" spans="4:9" ht="26.25" customHeight="1">
      <c r="D180" s="772" t="s">
        <v>1815</v>
      </c>
      <c r="E180" s="775"/>
      <c r="F180" s="775"/>
      <c r="G180" s="686"/>
      <c r="H180" s="775"/>
      <c r="I180" s="746"/>
    </row>
    <row r="181" spans="4:9" ht="26.25" customHeight="1">
      <c r="D181" s="629"/>
      <c r="E181" s="746"/>
      <c r="F181" s="746"/>
      <c r="G181" s="686"/>
      <c r="H181" s="746"/>
      <c r="I181" s="746"/>
    </row>
    <row r="182" spans="4:9" ht="26.25" customHeight="1">
      <c r="D182" s="629" t="s">
        <v>1816</v>
      </c>
      <c r="E182" s="753">
        <f>+E143/100000</f>
        <v>-17895.83051</v>
      </c>
      <c r="F182" s="746"/>
      <c r="G182" s="754">
        <f>+D142/100000</f>
        <v>7161.92839</v>
      </c>
      <c r="H182" s="753">
        <f>+D143/100000</f>
        <v>-25057.758900000001</v>
      </c>
      <c r="I182" s="746"/>
    </row>
    <row r="183" spans="4:9" ht="26.25" customHeight="1">
      <c r="D183" s="629" t="s">
        <v>1817</v>
      </c>
      <c r="E183" s="753" t="e">
        <f>+(E173)-(E205+E197+E182)</f>
        <v>#REF!</v>
      </c>
      <c r="F183" s="746"/>
      <c r="G183" s="754" t="e">
        <f>+(G173)-(G205+G197+G182)</f>
        <v>#REF!</v>
      </c>
      <c r="H183" s="753" t="e">
        <f>+(H173)-(H205+H197+H182)</f>
        <v>#REF!</v>
      </c>
      <c r="I183" s="746"/>
    </row>
    <row r="184" spans="4:9" ht="26.25" customHeight="1">
      <c r="D184" s="756" t="s">
        <v>1818</v>
      </c>
      <c r="E184" s="757" t="e">
        <f>+E183+E182</f>
        <v>#REF!</v>
      </c>
      <c r="F184" s="762"/>
      <c r="G184" s="758" t="e">
        <f>+G183+G182</f>
        <v>#REF!</v>
      </c>
      <c r="H184" s="757" t="e">
        <f>+H183+H182</f>
        <v>#REF!</v>
      </c>
      <c r="I184" s="746"/>
    </row>
    <row r="185" spans="4:9" ht="26.25" customHeight="1">
      <c r="D185" s="760"/>
      <c r="E185" s="746"/>
      <c r="F185" s="746"/>
      <c r="G185" s="686"/>
      <c r="H185" s="746"/>
      <c r="I185" s="746"/>
    </row>
    <row r="186" spans="4:9" ht="26.25" customHeight="1">
      <c r="D186" s="629" t="s">
        <v>1819</v>
      </c>
      <c r="E186" s="746" t="s">
        <v>94</v>
      </c>
      <c r="F186" s="746"/>
      <c r="G186" s="754" t="s">
        <v>94</v>
      </c>
      <c r="H186" s="753" t="s">
        <v>94</v>
      </c>
      <c r="I186" s="746"/>
    </row>
    <row r="187" spans="4:9" ht="26.25" customHeight="1">
      <c r="D187" s="629" t="s">
        <v>1820</v>
      </c>
      <c r="E187" s="746" t="e">
        <f>+#REF!/100000</f>
        <v>#REF!</v>
      </c>
      <c r="F187" s="746"/>
      <c r="G187" s="754" t="e">
        <f>+E187/2</f>
        <v>#REF!</v>
      </c>
      <c r="H187" s="753" t="e">
        <f>+E187/2</f>
        <v>#REF!</v>
      </c>
      <c r="I187" s="746"/>
    </row>
    <row r="188" spans="4:9" ht="26.25" customHeight="1">
      <c r="D188" s="629" t="s">
        <v>1821</v>
      </c>
      <c r="E188" s="753" t="e">
        <f>+#REF!/100000</f>
        <v>#REF!</v>
      </c>
      <c r="F188" s="746"/>
      <c r="G188" s="754">
        <v>0</v>
      </c>
      <c r="H188" s="753" t="e">
        <f>+E188</f>
        <v>#REF!</v>
      </c>
      <c r="I188" s="746"/>
    </row>
    <row r="189" spans="4:9" ht="26.25" customHeight="1">
      <c r="D189" s="629" t="str">
        <f>+D40</f>
        <v>World Bank Loan Under MUTP</v>
      </c>
      <c r="E189" s="753">
        <f>+B40/100000</f>
        <v>8139.8069999999998</v>
      </c>
      <c r="F189" s="746"/>
      <c r="G189" s="754">
        <v>0</v>
      </c>
      <c r="H189" s="753">
        <f>+E189</f>
        <v>8139.8069999999998</v>
      </c>
      <c r="I189" s="746"/>
    </row>
    <row r="190" spans="4:9" ht="26.25" customHeight="1">
      <c r="D190" s="629" t="s">
        <v>1822</v>
      </c>
      <c r="E190" s="753">
        <f>+B42/100000</f>
        <v>3798.5</v>
      </c>
      <c r="F190" s="746"/>
      <c r="G190" s="754">
        <f>+E190</f>
        <v>3798.5</v>
      </c>
      <c r="H190" s="753">
        <v>0</v>
      </c>
      <c r="I190" s="746"/>
    </row>
    <row r="191" spans="4:9" ht="26.25" customHeight="1">
      <c r="D191" s="629" t="s">
        <v>1823</v>
      </c>
      <c r="E191" s="746">
        <v>0</v>
      </c>
      <c r="F191" s="746"/>
      <c r="G191" s="754">
        <v>0</v>
      </c>
      <c r="H191" s="753">
        <v>0</v>
      </c>
      <c r="I191" s="746"/>
    </row>
    <row r="192" spans="4:9" ht="26.25" customHeight="1">
      <c r="D192" s="629" t="s">
        <v>1824</v>
      </c>
      <c r="E192" s="753" t="e">
        <f>+#REF!/100000</f>
        <v>#REF!</v>
      </c>
      <c r="F192" s="746"/>
      <c r="G192" s="754" t="e">
        <f>+E192</f>
        <v>#REF!</v>
      </c>
      <c r="H192" s="753" t="e">
        <f>+G192-E192</f>
        <v>#REF!</v>
      </c>
      <c r="I192" s="746"/>
    </row>
    <row r="193" spans="4:9" ht="26.25" customHeight="1">
      <c r="D193" s="629" t="s">
        <v>1825</v>
      </c>
      <c r="E193" s="746">
        <v>0</v>
      </c>
      <c r="F193" s="746"/>
      <c r="G193" s="754">
        <v>0</v>
      </c>
      <c r="H193" s="753">
        <v>0</v>
      </c>
      <c r="I193" s="746"/>
    </row>
    <row r="194" spans="4:9" ht="26.25" customHeight="1">
      <c r="D194" s="629" t="s">
        <v>1826</v>
      </c>
      <c r="E194" s="746">
        <v>0</v>
      </c>
      <c r="F194" s="746"/>
      <c r="G194" s="754">
        <v>0</v>
      </c>
      <c r="H194" s="753">
        <v>0</v>
      </c>
      <c r="I194" s="746"/>
    </row>
    <row r="195" spans="4:9" ht="26.25" customHeight="1">
      <c r="D195" s="629" t="s">
        <v>1827</v>
      </c>
      <c r="E195" s="746">
        <v>0</v>
      </c>
      <c r="F195" s="746"/>
      <c r="G195" s="754">
        <v>0</v>
      </c>
      <c r="H195" s="753">
        <v>0</v>
      </c>
      <c r="I195" s="746"/>
    </row>
    <row r="196" spans="4:9" ht="26.25" customHeight="1">
      <c r="D196" s="629" t="s">
        <v>1828</v>
      </c>
      <c r="E196" s="753">
        <f>+B39/100000</f>
        <v>159.58338000000001</v>
      </c>
      <c r="F196" s="746"/>
      <c r="G196" s="754">
        <f>+E196</f>
        <v>159.58338000000001</v>
      </c>
      <c r="H196" s="753">
        <f>+G196-E196</f>
        <v>0</v>
      </c>
      <c r="I196" s="746"/>
    </row>
    <row r="197" spans="4:9" ht="26.25" customHeight="1">
      <c r="D197" s="756" t="s">
        <v>1829</v>
      </c>
      <c r="E197" s="757" t="e">
        <f>SUM(E187:E196)</f>
        <v>#REF!</v>
      </c>
      <c r="F197" s="762"/>
      <c r="G197" s="758" t="e">
        <f>SUM(G187:G196)</f>
        <v>#REF!</v>
      </c>
      <c r="H197" s="757" t="e">
        <f>SUM(H187:H196)</f>
        <v>#REF!</v>
      </c>
      <c r="I197" s="746"/>
    </row>
    <row r="198" spans="4:9" ht="26.25" customHeight="1">
      <c r="D198" s="629"/>
      <c r="E198" s="746"/>
      <c r="F198" s="746"/>
      <c r="G198" s="754" t="s">
        <v>94</v>
      </c>
      <c r="H198" s="746"/>
      <c r="I198" s="746"/>
    </row>
    <row r="199" spans="4:9" ht="26.25" customHeight="1">
      <c r="D199" s="629" t="s">
        <v>1314</v>
      </c>
      <c r="E199" s="746"/>
      <c r="F199" s="746"/>
      <c r="G199" s="686"/>
      <c r="H199" s="746"/>
      <c r="I199" s="746"/>
    </row>
    <row r="200" spans="4:9" ht="26.25" customHeight="1">
      <c r="D200" s="629"/>
      <c r="E200" s="746"/>
      <c r="F200" s="746"/>
      <c r="G200" s="686"/>
      <c r="H200" s="746"/>
      <c r="I200" s="746"/>
    </row>
    <row r="201" spans="4:9" ht="26.25" customHeight="1">
      <c r="D201" s="629" t="s">
        <v>1830</v>
      </c>
      <c r="E201" s="776">
        <f>+H68/100000</f>
        <v>0</v>
      </c>
      <c r="F201" s="746"/>
      <c r="G201" s="754">
        <f>+((E201-E140)*45%)+E140</f>
        <v>5357.0233419999995</v>
      </c>
      <c r="H201" s="753">
        <f>+(E201-E140)*55%</f>
        <v>-5357.0233420000004</v>
      </c>
      <c r="I201" s="746"/>
    </row>
    <row r="202" spans="4:9" ht="26.25" customHeight="1">
      <c r="D202" s="629" t="s">
        <v>1831</v>
      </c>
      <c r="E202" s="753">
        <f>+B57/100000</f>
        <v>34389.903440000002</v>
      </c>
      <c r="F202" s="746"/>
      <c r="G202" s="754">
        <f>+E202*100%</f>
        <v>34389.903440000002</v>
      </c>
      <c r="H202" s="753">
        <f>+G202-E202</f>
        <v>0</v>
      </c>
      <c r="I202" s="746"/>
    </row>
    <row r="203" spans="4:9" ht="26.25" customHeight="1">
      <c r="D203" s="629" t="s">
        <v>1832</v>
      </c>
      <c r="E203" s="753">
        <f>+(H59-B57)/100000</f>
        <v>-34389.903440000002</v>
      </c>
      <c r="F203" s="746"/>
      <c r="G203" s="754">
        <f>+E203*45%</f>
        <v>-15475.456548000002</v>
      </c>
      <c r="H203" s="753">
        <f>+E203*55%</f>
        <v>-18914.446892000004</v>
      </c>
      <c r="I203" s="746"/>
    </row>
    <row r="204" spans="4:9" ht="26.25" customHeight="1">
      <c r="D204" s="629"/>
      <c r="E204" s="746"/>
      <c r="F204" s="746"/>
      <c r="G204" s="686"/>
      <c r="H204" s="746"/>
      <c r="I204" s="746"/>
    </row>
    <row r="205" spans="4:9" ht="26.25" customHeight="1">
      <c r="D205" s="756" t="s">
        <v>1314</v>
      </c>
      <c r="E205" s="757">
        <f>+E203+E202+E201</f>
        <v>0</v>
      </c>
      <c r="F205" s="762"/>
      <c r="G205" s="758">
        <f>+G203+G202+G201</f>
        <v>24271.470234</v>
      </c>
      <c r="H205" s="757">
        <f>+H203+H202+H201</f>
        <v>-24271.470234000004</v>
      </c>
      <c r="I205" s="746"/>
    </row>
    <row r="206" spans="4:9" ht="26.25" customHeight="1">
      <c r="D206" s="760"/>
      <c r="E206" s="746"/>
      <c r="F206" s="746"/>
      <c r="G206" s="686"/>
      <c r="H206" s="746"/>
      <c r="I206" s="746"/>
    </row>
    <row r="207" spans="4:9" ht="26.25" customHeight="1" thickBot="1">
      <c r="D207" s="766" t="s">
        <v>1833</v>
      </c>
      <c r="E207" s="767" t="e">
        <f>+E205+E197+E184</f>
        <v>#REF!</v>
      </c>
      <c r="F207" s="768"/>
      <c r="G207" s="769" t="e">
        <f>+G205+G197+G184</f>
        <v>#REF!</v>
      </c>
      <c r="H207" s="770" t="e">
        <f>+H205+H197+H184</f>
        <v>#REF!</v>
      </c>
      <c r="I207" s="746"/>
    </row>
    <row r="208" spans="4:9" ht="26.25" customHeight="1">
      <c r="D208" s="686"/>
      <c r="E208" s="686"/>
      <c r="F208" s="686"/>
      <c r="G208" s="686"/>
      <c r="H208" s="686"/>
      <c r="I208" s="686"/>
    </row>
    <row r="209" spans="5:8" ht="26.25" customHeight="1">
      <c r="E209" s="692" t="s">
        <v>94</v>
      </c>
      <c r="F209" s="616" t="s">
        <v>94</v>
      </c>
      <c r="G209" s="692" t="s">
        <v>94</v>
      </c>
      <c r="H209" s="692" t="s">
        <v>94</v>
      </c>
    </row>
  </sheetData>
  <mergeCells count="3">
    <mergeCell ref="B80:H80"/>
    <mergeCell ref="B82:H82"/>
    <mergeCell ref="B88:D88"/>
  </mergeCells>
  <printOptions horizontalCentered="1"/>
  <pageMargins left="0" right="0" top="0.15748031496062992" bottom="0" header="0.11811023622047245" footer="0.11811023622047245"/>
  <pageSetup paperSize="9" scale="43" fitToHeight="0" orientation="landscape" r:id="rId1"/>
  <headerFooter alignWithMargins="0"/>
  <rowBreaks count="3" manualBreakCount="3">
    <brk id="48" min="1" max="13" man="1"/>
    <brk id="125" max="16383" man="1"/>
    <brk id="146" min="1" max="8" man="1"/>
  </rowBreaks>
</worksheet>
</file>

<file path=xl/worksheets/sheet114.xml><?xml version="1.0" encoding="utf-8"?>
<worksheet xmlns="http://schemas.openxmlformats.org/spreadsheetml/2006/main" xmlns:r="http://schemas.openxmlformats.org/officeDocument/2006/relationships">
  <sheetPr codeName="Sheet93"/>
  <dimension ref="A1:I33"/>
  <sheetViews>
    <sheetView showGridLines="0" view="pageBreakPreview" zoomScale="60" workbookViewId="0">
      <selection activeCell="O45" sqref="O45"/>
    </sheetView>
  </sheetViews>
  <sheetFormatPr defaultRowHeight="15"/>
  <cols>
    <col min="1" max="1" width="9.28515625" bestFit="1" customWidth="1"/>
    <col min="2" max="2" width="41.42578125" customWidth="1"/>
    <col min="3" max="5" width="9.28515625" bestFit="1" customWidth="1"/>
    <col min="6" max="6" width="9.42578125" bestFit="1" customWidth="1"/>
    <col min="7" max="9" width="9.28515625" bestFit="1" customWidth="1"/>
  </cols>
  <sheetData>
    <row r="1" spans="1:9">
      <c r="A1" s="5432" t="s">
        <v>709</v>
      </c>
      <c r="B1" s="5432"/>
      <c r="C1" s="5432"/>
      <c r="D1" s="5432"/>
      <c r="E1" s="5432"/>
      <c r="F1" s="5432"/>
      <c r="G1" s="5432"/>
      <c r="H1" s="5432"/>
    </row>
    <row r="2" spans="1:9" hidden="1"/>
    <row r="3" spans="1:9">
      <c r="A3" t="s">
        <v>710</v>
      </c>
      <c r="C3" s="143" t="s">
        <v>711</v>
      </c>
      <c r="D3" s="143"/>
    </row>
    <row r="4" spans="1:9" ht="15.75" thickBot="1"/>
    <row r="5" spans="1:9">
      <c r="A5" s="1258" t="s">
        <v>712</v>
      </c>
      <c r="B5" s="1258" t="s">
        <v>713</v>
      </c>
      <c r="C5" s="1259" t="s">
        <v>714</v>
      </c>
      <c r="D5" s="1259" t="s">
        <v>715</v>
      </c>
      <c r="E5" s="1258" t="s">
        <v>47</v>
      </c>
      <c r="F5" s="1259" t="s">
        <v>563</v>
      </c>
      <c r="G5" s="1259" t="s">
        <v>716</v>
      </c>
      <c r="H5" s="1260">
        <v>0.7</v>
      </c>
      <c r="I5" s="1259" t="s">
        <v>717</v>
      </c>
    </row>
    <row r="6" spans="1:9">
      <c r="A6" s="1261" t="s">
        <v>718</v>
      </c>
      <c r="B6" s="1261"/>
      <c r="C6" s="1262" t="s">
        <v>380</v>
      </c>
      <c r="D6" s="1262" t="s">
        <v>719</v>
      </c>
      <c r="E6" s="1261" t="s">
        <v>720</v>
      </c>
      <c r="F6" s="1262" t="s">
        <v>721</v>
      </c>
      <c r="G6" s="1262" t="s">
        <v>722</v>
      </c>
      <c r="H6" s="1261" t="s">
        <v>723</v>
      </c>
      <c r="I6" s="1262" t="s">
        <v>724</v>
      </c>
    </row>
    <row r="7" spans="1:9">
      <c r="A7" s="1261"/>
      <c r="B7" s="1261"/>
      <c r="C7" s="1262"/>
      <c r="D7" s="1262" t="s">
        <v>725</v>
      </c>
      <c r="E7" s="1261"/>
      <c r="F7" s="1262" t="s">
        <v>557</v>
      </c>
      <c r="G7" s="1262" t="s">
        <v>558</v>
      </c>
      <c r="H7" s="1261" t="s">
        <v>726</v>
      </c>
      <c r="I7" s="1262" t="s">
        <v>727</v>
      </c>
    </row>
    <row r="8" spans="1:9">
      <c r="A8" s="1261"/>
      <c r="B8" s="1261"/>
      <c r="C8" s="1262"/>
      <c r="D8" s="1262" t="s">
        <v>557</v>
      </c>
      <c r="E8" s="1261"/>
      <c r="F8" s="1262"/>
      <c r="G8" s="1262" t="s">
        <v>728</v>
      </c>
      <c r="H8" s="1261"/>
      <c r="I8" s="1262"/>
    </row>
    <row r="9" spans="1:9">
      <c r="A9" s="1261"/>
      <c r="B9" s="1261"/>
      <c r="C9" s="1262"/>
      <c r="D9" s="1262"/>
      <c r="E9" s="1261"/>
      <c r="F9" s="1262"/>
      <c r="G9" s="1262"/>
      <c r="H9" s="1261" t="s">
        <v>729</v>
      </c>
      <c r="I9" s="1262"/>
    </row>
    <row r="10" spans="1:9" ht="15.75" thickBot="1">
      <c r="A10" s="1261"/>
      <c r="B10" s="1261"/>
      <c r="C10" s="1262"/>
      <c r="D10" s="1262"/>
      <c r="E10" s="1261"/>
      <c r="F10" s="1262"/>
      <c r="G10" s="1262"/>
      <c r="H10" s="1261"/>
      <c r="I10" s="1262"/>
    </row>
    <row r="11" spans="1:9" ht="15.75" thickBot="1">
      <c r="A11" s="146">
        <v>1</v>
      </c>
      <c r="B11" s="146">
        <v>2</v>
      </c>
      <c r="C11" s="147">
        <v>3</v>
      </c>
      <c r="D11" s="147">
        <v>4</v>
      </c>
      <c r="E11" s="146">
        <v>5</v>
      </c>
      <c r="F11" s="147">
        <v>6</v>
      </c>
      <c r="G11" s="147">
        <v>7</v>
      </c>
      <c r="H11" s="146">
        <v>8</v>
      </c>
      <c r="I11" s="147">
        <v>9</v>
      </c>
    </row>
    <row r="12" spans="1:9" hidden="1">
      <c r="A12" s="144"/>
      <c r="B12" s="144"/>
      <c r="C12" s="145"/>
      <c r="D12" s="145"/>
      <c r="E12" s="144"/>
      <c r="F12" s="145"/>
      <c r="G12" s="145"/>
      <c r="H12" s="144"/>
      <c r="I12" s="145"/>
    </row>
    <row r="13" spans="1:9" hidden="1">
      <c r="A13" s="144"/>
      <c r="B13" s="144"/>
      <c r="C13" s="145"/>
      <c r="D13" s="145"/>
      <c r="E13" s="144"/>
      <c r="F13" s="145"/>
      <c r="G13" s="145"/>
      <c r="H13" s="144"/>
      <c r="I13" s="145"/>
    </row>
    <row r="14" spans="1:9">
      <c r="A14" s="1" t="s">
        <v>730</v>
      </c>
      <c r="B14" s="1" t="s">
        <v>731</v>
      </c>
      <c r="C14" s="912">
        <v>12.93</v>
      </c>
      <c r="D14" s="912">
        <v>23.66</v>
      </c>
      <c r="E14" s="912">
        <f>+C14+D14</f>
        <v>36.590000000000003</v>
      </c>
      <c r="F14" s="912">
        <v>7.32</v>
      </c>
      <c r="G14" s="912">
        <f>+E14-F14</f>
        <v>29.270000000000003</v>
      </c>
      <c r="H14" s="912">
        <f>F14*70/100</f>
        <v>5.1239999999999997</v>
      </c>
      <c r="I14" s="912">
        <f>H14*11/100/2</f>
        <v>0.28181999999999996</v>
      </c>
    </row>
    <row r="15" spans="1:9" hidden="1">
      <c r="A15" s="1"/>
      <c r="B15" s="1"/>
      <c r="C15" s="912" t="s">
        <v>94</v>
      </c>
      <c r="D15" s="912"/>
      <c r="E15" s="912" t="s">
        <v>94</v>
      </c>
      <c r="F15" s="912" t="s">
        <v>732</v>
      </c>
      <c r="G15" s="912" t="s">
        <v>94</v>
      </c>
      <c r="H15" s="912"/>
      <c r="I15" s="912"/>
    </row>
    <row r="16" spans="1:9">
      <c r="A16" s="1" t="s">
        <v>730</v>
      </c>
      <c r="B16" s="1" t="s">
        <v>733</v>
      </c>
      <c r="C16" s="1263">
        <v>7.62</v>
      </c>
      <c r="D16" s="912">
        <v>13.24</v>
      </c>
      <c r="E16" s="912">
        <f>+C16+D16</f>
        <v>20.86</v>
      </c>
      <c r="F16" s="912">
        <v>13.3</v>
      </c>
      <c r="G16" s="912">
        <f>+E16-F16</f>
        <v>7.5599999999999987</v>
      </c>
      <c r="H16" s="912">
        <f>F16*70/100</f>
        <v>9.31</v>
      </c>
      <c r="I16" s="912">
        <f>H16*11/100/2</f>
        <v>0.51205000000000001</v>
      </c>
    </row>
    <row r="17" spans="1:9" hidden="1">
      <c r="A17" s="1"/>
      <c r="B17" s="1"/>
      <c r="C17" s="912" t="s">
        <v>94</v>
      </c>
      <c r="D17" s="912" t="s">
        <v>94</v>
      </c>
      <c r="E17" s="912" t="s">
        <v>94</v>
      </c>
      <c r="F17" s="912" t="s">
        <v>94</v>
      </c>
      <c r="G17" s="912" t="s">
        <v>94</v>
      </c>
      <c r="H17" s="912"/>
      <c r="I17" s="912"/>
    </row>
    <row r="18" spans="1:9">
      <c r="A18" s="1" t="s">
        <v>730</v>
      </c>
      <c r="B18" s="1" t="s">
        <v>734</v>
      </c>
      <c r="C18" s="912">
        <v>0.01</v>
      </c>
      <c r="D18" s="912">
        <v>30.17</v>
      </c>
      <c r="E18" s="912">
        <f t="shared" ref="E18:E30" si="0">+C18+D18</f>
        <v>30.180000000000003</v>
      </c>
      <c r="F18" s="912">
        <v>30.18</v>
      </c>
      <c r="G18" s="912">
        <f>+E18-F18</f>
        <v>0</v>
      </c>
      <c r="H18" s="912">
        <f>F18*70/100</f>
        <v>21.125999999999998</v>
      </c>
      <c r="I18" s="912">
        <v>0</v>
      </c>
    </row>
    <row r="19" spans="1:9" hidden="1">
      <c r="A19" s="1"/>
      <c r="B19" s="1"/>
      <c r="C19" s="912" t="s">
        <v>94</v>
      </c>
      <c r="D19" s="912"/>
      <c r="E19" s="912" t="s">
        <v>94</v>
      </c>
      <c r="F19" s="912"/>
      <c r="G19" s="912" t="s">
        <v>94</v>
      </c>
      <c r="H19" s="912"/>
      <c r="I19" s="912"/>
    </row>
    <row r="20" spans="1:9">
      <c r="A20" s="1" t="s">
        <v>730</v>
      </c>
      <c r="B20" s="1" t="s">
        <v>735</v>
      </c>
      <c r="C20" s="912">
        <v>0</v>
      </c>
      <c r="D20" s="912">
        <v>30.84</v>
      </c>
      <c r="E20" s="912">
        <f t="shared" si="0"/>
        <v>30.84</v>
      </c>
      <c r="F20" s="912">
        <v>30.84</v>
      </c>
      <c r="G20" s="912">
        <f>+E20-F20</f>
        <v>0</v>
      </c>
      <c r="H20" s="912">
        <f>F20*70/100</f>
        <v>21.588000000000001</v>
      </c>
      <c r="I20" s="912">
        <v>0</v>
      </c>
    </row>
    <row r="21" spans="1:9" hidden="1">
      <c r="A21" s="1"/>
      <c r="B21" s="1"/>
      <c r="C21" s="912" t="s">
        <v>94</v>
      </c>
      <c r="D21" s="912"/>
      <c r="E21" s="912" t="s">
        <v>94</v>
      </c>
      <c r="F21" s="912"/>
      <c r="G21" s="912" t="s">
        <v>94</v>
      </c>
      <c r="H21" s="912"/>
      <c r="I21" s="912"/>
    </row>
    <row r="22" spans="1:9">
      <c r="A22" s="1" t="s">
        <v>730</v>
      </c>
      <c r="B22" s="1" t="s">
        <v>736</v>
      </c>
      <c r="C22" s="912">
        <v>8.07</v>
      </c>
      <c r="D22" s="912">
        <v>9.3699999999999992</v>
      </c>
      <c r="E22" s="912">
        <f t="shared" si="0"/>
        <v>17.439999999999998</v>
      </c>
      <c r="F22" s="912">
        <v>17.440000000000001</v>
      </c>
      <c r="G22" s="912">
        <f>+E22-F22</f>
        <v>0</v>
      </c>
      <c r="H22" s="912">
        <f>F22*70/100</f>
        <v>12.208000000000002</v>
      </c>
      <c r="I22" s="912">
        <v>0</v>
      </c>
    </row>
    <row r="23" spans="1:9" hidden="1">
      <c r="A23" s="1"/>
      <c r="B23" s="1"/>
      <c r="C23" s="912" t="s">
        <v>94</v>
      </c>
      <c r="D23" s="912"/>
      <c r="E23" s="912" t="s">
        <v>94</v>
      </c>
      <c r="F23" s="912"/>
      <c r="G23" s="912" t="s">
        <v>94</v>
      </c>
      <c r="H23" s="912"/>
      <c r="I23" s="912"/>
    </row>
    <row r="24" spans="1:9">
      <c r="A24" s="1" t="s">
        <v>730</v>
      </c>
      <c r="B24" s="1" t="s">
        <v>149</v>
      </c>
      <c r="C24" s="912">
        <v>0</v>
      </c>
      <c r="D24" s="912">
        <v>6.47</v>
      </c>
      <c r="E24" s="912">
        <f t="shared" si="0"/>
        <v>6.47</v>
      </c>
      <c r="F24" s="912">
        <v>6.47</v>
      </c>
      <c r="G24" s="912">
        <f>+E24-F24</f>
        <v>0</v>
      </c>
      <c r="H24" s="912">
        <f>F24*70/100</f>
        <v>4.5289999999999999</v>
      </c>
      <c r="I24" s="912">
        <v>0</v>
      </c>
    </row>
    <row r="25" spans="1:9" hidden="1">
      <c r="A25" s="1"/>
      <c r="B25" s="1"/>
      <c r="C25" s="912" t="s">
        <v>94</v>
      </c>
      <c r="D25" s="912"/>
      <c r="E25" s="912" t="s">
        <v>94</v>
      </c>
      <c r="F25" s="912"/>
      <c r="G25" s="912" t="s">
        <v>94</v>
      </c>
      <c r="H25" s="912"/>
      <c r="I25" s="912"/>
    </row>
    <row r="26" spans="1:9">
      <c r="A26" s="1" t="s">
        <v>730</v>
      </c>
      <c r="B26" s="1" t="s">
        <v>737</v>
      </c>
      <c r="C26" s="912">
        <v>0</v>
      </c>
      <c r="D26" s="912">
        <v>17.399999999999999</v>
      </c>
      <c r="E26" s="912">
        <f t="shared" si="0"/>
        <v>17.399999999999999</v>
      </c>
      <c r="F26" s="912">
        <v>17.399999999999999</v>
      </c>
      <c r="G26" s="912">
        <f>+E26-F26</f>
        <v>0</v>
      </c>
      <c r="H26" s="912">
        <f>F26*70/100</f>
        <v>12.18</v>
      </c>
      <c r="I26" s="912">
        <v>0</v>
      </c>
    </row>
    <row r="27" spans="1:9" hidden="1">
      <c r="A27" s="1"/>
      <c r="B27" s="1"/>
      <c r="C27" s="912" t="s">
        <v>94</v>
      </c>
      <c r="D27" s="912"/>
      <c r="E27" s="912" t="s">
        <v>94</v>
      </c>
      <c r="F27" s="912"/>
      <c r="G27" s="912" t="s">
        <v>94</v>
      </c>
      <c r="H27" s="912"/>
      <c r="I27" s="912"/>
    </row>
    <row r="28" spans="1:9">
      <c r="A28" s="1" t="s">
        <v>738</v>
      </c>
      <c r="B28" s="1" t="s">
        <v>739</v>
      </c>
      <c r="C28" s="912">
        <v>0.06</v>
      </c>
      <c r="D28" s="912">
        <v>3.81</v>
      </c>
      <c r="E28" s="912">
        <f t="shared" si="0"/>
        <v>3.87</v>
      </c>
      <c r="F28" s="912">
        <v>0.99</v>
      </c>
      <c r="G28" s="912">
        <f>+E28-F28</f>
        <v>2.88</v>
      </c>
      <c r="H28" s="912">
        <f>F28*70/100</f>
        <v>0.69299999999999995</v>
      </c>
      <c r="I28" s="912">
        <f>H28*11/100/2</f>
        <v>3.8114999999999996E-2</v>
      </c>
    </row>
    <row r="29" spans="1:9" hidden="1">
      <c r="A29" s="1"/>
      <c r="B29" s="1"/>
      <c r="C29" s="912" t="s">
        <v>94</v>
      </c>
      <c r="D29" s="912"/>
      <c r="E29" s="912" t="s">
        <v>94</v>
      </c>
      <c r="F29" s="912"/>
      <c r="G29" s="912" t="s">
        <v>94</v>
      </c>
      <c r="H29" s="912"/>
      <c r="I29" s="912"/>
    </row>
    <row r="30" spans="1:9" ht="15.75" thickBot="1">
      <c r="A30" s="1" t="s">
        <v>738</v>
      </c>
      <c r="B30" s="1" t="s">
        <v>740</v>
      </c>
      <c r="C30" s="912">
        <v>0</v>
      </c>
      <c r="D30" s="912">
        <v>2.2999999999999998</v>
      </c>
      <c r="E30" s="912">
        <f t="shared" si="0"/>
        <v>2.2999999999999998</v>
      </c>
      <c r="F30" s="912">
        <v>2.2999999999999998</v>
      </c>
      <c r="G30" s="912">
        <f>+E30-F30</f>
        <v>0</v>
      </c>
      <c r="H30" s="912">
        <f>F30*70/100</f>
        <v>1.61</v>
      </c>
      <c r="I30" s="912">
        <v>0</v>
      </c>
    </row>
    <row r="31" spans="1:9" hidden="1">
      <c r="A31" s="144"/>
      <c r="B31" s="144"/>
      <c r="C31" s="148"/>
      <c r="D31" s="148"/>
      <c r="E31" s="149" t="s">
        <v>94</v>
      </c>
      <c r="F31" s="148"/>
      <c r="G31" s="148" t="s">
        <v>94</v>
      </c>
      <c r="H31" s="149"/>
      <c r="I31" s="148"/>
    </row>
    <row r="32" spans="1:9" ht="15.75" hidden="1" thickBot="1">
      <c r="A32" s="144"/>
      <c r="B32" s="144"/>
      <c r="C32" s="148"/>
      <c r="D32" s="148"/>
      <c r="E32" s="149" t="s">
        <v>94</v>
      </c>
      <c r="F32" s="148"/>
      <c r="G32" s="148" t="s">
        <v>94</v>
      </c>
      <c r="H32" s="149"/>
      <c r="I32" s="148"/>
    </row>
    <row r="33" spans="1:9" ht="15.75" thickBot="1">
      <c r="A33" s="150"/>
      <c r="B33" s="151" t="s">
        <v>741</v>
      </c>
      <c r="C33" s="152">
        <f>SUM(C14:C30)</f>
        <v>28.69</v>
      </c>
      <c r="D33" s="152">
        <f>SUM(D14:D30)</f>
        <v>137.26000000000002</v>
      </c>
      <c r="E33" s="153">
        <f>+C33+D33</f>
        <v>165.95000000000002</v>
      </c>
      <c r="F33" s="152">
        <f>SUM(F14:F30)</f>
        <v>126.23999999999998</v>
      </c>
      <c r="G33" s="152">
        <f>SUM(G14:G30)</f>
        <v>39.71</v>
      </c>
      <c r="H33" s="153">
        <f>SUM(H14:H30)</f>
        <v>88.367999999999995</v>
      </c>
      <c r="I33" s="154">
        <f>SUM(I14:I30)</f>
        <v>0.83198499999999997</v>
      </c>
    </row>
  </sheetData>
  <mergeCells count="1">
    <mergeCell ref="A1:H1"/>
  </mergeCells>
  <pageMargins left="0.7" right="0.7" top="0.75" bottom="0.75" header="0.3" footer="0.3"/>
  <pageSetup paperSize="9" scale="61" orientation="portrait" r:id="rId1"/>
</worksheet>
</file>

<file path=xl/worksheets/sheet115.xml><?xml version="1.0" encoding="utf-8"?>
<worksheet xmlns="http://schemas.openxmlformats.org/spreadsheetml/2006/main" xmlns:r="http://schemas.openxmlformats.org/officeDocument/2006/relationships">
  <sheetPr codeName="Sheet94">
    <pageSetUpPr fitToPage="1"/>
  </sheetPr>
  <dimension ref="B3:L20"/>
  <sheetViews>
    <sheetView showGridLines="0" view="pageBreakPreview" zoomScale="60" workbookViewId="0">
      <selection activeCell="I40" sqref="I40"/>
    </sheetView>
  </sheetViews>
  <sheetFormatPr defaultRowHeight="12.75"/>
  <cols>
    <col min="1" max="1" width="2.5703125" style="18" customWidth="1"/>
    <col min="2" max="2" width="9.140625" style="18"/>
    <col min="3" max="3" width="29.85546875" style="18" customWidth="1"/>
    <col min="4" max="4" width="9.140625" style="18"/>
    <col min="5" max="5" width="6.42578125" style="18" customWidth="1"/>
    <col min="6" max="6" width="5.85546875" style="18" customWidth="1"/>
    <col min="7" max="7" width="5.5703125" style="18" customWidth="1"/>
    <col min="8" max="8" width="8" style="18" customWidth="1"/>
    <col min="9" max="9" width="8.42578125" style="18" customWidth="1"/>
    <col min="10" max="10" width="8" style="18" customWidth="1"/>
    <col min="11" max="11" width="17.42578125" style="18" customWidth="1"/>
    <col min="12" max="12" width="11.42578125" style="18" customWidth="1"/>
    <col min="13" max="256" width="9.140625" style="18"/>
    <col min="257" max="257" width="2.5703125" style="18" customWidth="1"/>
    <col min="258" max="258" width="9.140625" style="18"/>
    <col min="259" max="259" width="29.85546875" style="18" customWidth="1"/>
    <col min="260" max="260" width="9.140625" style="18"/>
    <col min="261" max="261" width="6.42578125" style="18" customWidth="1"/>
    <col min="262" max="262" width="5.85546875" style="18" customWidth="1"/>
    <col min="263" max="263" width="5.5703125" style="18" customWidth="1"/>
    <col min="264" max="264" width="8" style="18" customWidth="1"/>
    <col min="265" max="265" width="8.42578125" style="18" customWidth="1"/>
    <col min="266" max="266" width="8" style="18" customWidth="1"/>
    <col min="267" max="267" width="17.42578125" style="18" customWidth="1"/>
    <col min="268" max="268" width="11.42578125" style="18" customWidth="1"/>
    <col min="269" max="512" width="9.140625" style="18"/>
    <col min="513" max="513" width="2.5703125" style="18" customWidth="1"/>
    <col min="514" max="514" width="9.140625" style="18"/>
    <col min="515" max="515" width="29.85546875" style="18" customWidth="1"/>
    <col min="516" max="516" width="9.140625" style="18"/>
    <col min="517" max="517" width="6.42578125" style="18" customWidth="1"/>
    <col min="518" max="518" width="5.85546875" style="18" customWidth="1"/>
    <col min="519" max="519" width="5.5703125" style="18" customWidth="1"/>
    <col min="520" max="520" width="8" style="18" customWidth="1"/>
    <col min="521" max="521" width="8.42578125" style="18" customWidth="1"/>
    <col min="522" max="522" width="8" style="18" customWidth="1"/>
    <col min="523" max="523" width="17.42578125" style="18" customWidth="1"/>
    <col min="524" max="524" width="11.42578125" style="18" customWidth="1"/>
    <col min="525" max="768" width="9.140625" style="18"/>
    <col min="769" max="769" width="2.5703125" style="18" customWidth="1"/>
    <col min="770" max="770" width="9.140625" style="18"/>
    <col min="771" max="771" width="29.85546875" style="18" customWidth="1"/>
    <col min="772" max="772" width="9.140625" style="18"/>
    <col min="773" max="773" width="6.42578125" style="18" customWidth="1"/>
    <col min="774" max="774" width="5.85546875" style="18" customWidth="1"/>
    <col min="775" max="775" width="5.5703125" style="18" customWidth="1"/>
    <col min="776" max="776" width="8" style="18" customWidth="1"/>
    <col min="777" max="777" width="8.42578125" style="18" customWidth="1"/>
    <col min="778" max="778" width="8" style="18" customWidth="1"/>
    <col min="779" max="779" width="17.42578125" style="18" customWidth="1"/>
    <col min="780" max="780" width="11.42578125" style="18" customWidth="1"/>
    <col min="781" max="1024" width="9.140625" style="18"/>
    <col min="1025" max="1025" width="2.5703125" style="18" customWidth="1"/>
    <col min="1026" max="1026" width="9.140625" style="18"/>
    <col min="1027" max="1027" width="29.85546875" style="18" customWidth="1"/>
    <col min="1028" max="1028" width="9.140625" style="18"/>
    <col min="1029" max="1029" width="6.42578125" style="18" customWidth="1"/>
    <col min="1030" max="1030" width="5.85546875" style="18" customWidth="1"/>
    <col min="1031" max="1031" width="5.5703125" style="18" customWidth="1"/>
    <col min="1032" max="1032" width="8" style="18" customWidth="1"/>
    <col min="1033" max="1033" width="8.42578125" style="18" customWidth="1"/>
    <col min="1034" max="1034" width="8" style="18" customWidth="1"/>
    <col min="1035" max="1035" width="17.42578125" style="18" customWidth="1"/>
    <col min="1036" max="1036" width="11.42578125" style="18" customWidth="1"/>
    <col min="1037" max="1280" width="9.140625" style="18"/>
    <col min="1281" max="1281" width="2.5703125" style="18" customWidth="1"/>
    <col min="1282" max="1282" width="9.140625" style="18"/>
    <col min="1283" max="1283" width="29.85546875" style="18" customWidth="1"/>
    <col min="1284" max="1284" width="9.140625" style="18"/>
    <col min="1285" max="1285" width="6.42578125" style="18" customWidth="1"/>
    <col min="1286" max="1286" width="5.85546875" style="18" customWidth="1"/>
    <col min="1287" max="1287" width="5.5703125" style="18" customWidth="1"/>
    <col min="1288" max="1288" width="8" style="18" customWidth="1"/>
    <col min="1289" max="1289" width="8.42578125" style="18" customWidth="1"/>
    <col min="1290" max="1290" width="8" style="18" customWidth="1"/>
    <col min="1291" max="1291" width="17.42578125" style="18" customWidth="1"/>
    <col min="1292" max="1292" width="11.42578125" style="18" customWidth="1"/>
    <col min="1293" max="1536" width="9.140625" style="18"/>
    <col min="1537" max="1537" width="2.5703125" style="18" customWidth="1"/>
    <col min="1538" max="1538" width="9.140625" style="18"/>
    <col min="1539" max="1539" width="29.85546875" style="18" customWidth="1"/>
    <col min="1540" max="1540" width="9.140625" style="18"/>
    <col min="1541" max="1541" width="6.42578125" style="18" customWidth="1"/>
    <col min="1542" max="1542" width="5.85546875" style="18" customWidth="1"/>
    <col min="1543" max="1543" width="5.5703125" style="18" customWidth="1"/>
    <col min="1544" max="1544" width="8" style="18" customWidth="1"/>
    <col min="1545" max="1545" width="8.42578125" style="18" customWidth="1"/>
    <col min="1546" max="1546" width="8" style="18" customWidth="1"/>
    <col min="1547" max="1547" width="17.42578125" style="18" customWidth="1"/>
    <col min="1548" max="1548" width="11.42578125" style="18" customWidth="1"/>
    <col min="1549" max="1792" width="9.140625" style="18"/>
    <col min="1793" max="1793" width="2.5703125" style="18" customWidth="1"/>
    <col min="1794" max="1794" width="9.140625" style="18"/>
    <col min="1795" max="1795" width="29.85546875" style="18" customWidth="1"/>
    <col min="1796" max="1796" width="9.140625" style="18"/>
    <col min="1797" max="1797" width="6.42578125" style="18" customWidth="1"/>
    <col min="1798" max="1798" width="5.85546875" style="18" customWidth="1"/>
    <col min="1799" max="1799" width="5.5703125" style="18" customWidth="1"/>
    <col min="1800" max="1800" width="8" style="18" customWidth="1"/>
    <col min="1801" max="1801" width="8.42578125" style="18" customWidth="1"/>
    <col min="1802" max="1802" width="8" style="18" customWidth="1"/>
    <col min="1803" max="1803" width="17.42578125" style="18" customWidth="1"/>
    <col min="1804" max="1804" width="11.42578125" style="18" customWidth="1"/>
    <col min="1805" max="2048" width="9.140625" style="18"/>
    <col min="2049" max="2049" width="2.5703125" style="18" customWidth="1"/>
    <col min="2050" max="2050" width="9.140625" style="18"/>
    <col min="2051" max="2051" width="29.85546875" style="18" customWidth="1"/>
    <col min="2052" max="2052" width="9.140625" style="18"/>
    <col min="2053" max="2053" width="6.42578125" style="18" customWidth="1"/>
    <col min="2054" max="2054" width="5.85546875" style="18" customWidth="1"/>
    <col min="2055" max="2055" width="5.5703125" style="18" customWidth="1"/>
    <col min="2056" max="2056" width="8" style="18" customWidth="1"/>
    <col min="2057" max="2057" width="8.42578125" style="18" customWidth="1"/>
    <col min="2058" max="2058" width="8" style="18" customWidth="1"/>
    <col min="2059" max="2059" width="17.42578125" style="18" customWidth="1"/>
    <col min="2060" max="2060" width="11.42578125" style="18" customWidth="1"/>
    <col min="2061" max="2304" width="9.140625" style="18"/>
    <col min="2305" max="2305" width="2.5703125" style="18" customWidth="1"/>
    <col min="2306" max="2306" width="9.140625" style="18"/>
    <col min="2307" max="2307" width="29.85546875" style="18" customWidth="1"/>
    <col min="2308" max="2308" width="9.140625" style="18"/>
    <col min="2309" max="2309" width="6.42578125" style="18" customWidth="1"/>
    <col min="2310" max="2310" width="5.85546875" style="18" customWidth="1"/>
    <col min="2311" max="2311" width="5.5703125" style="18" customWidth="1"/>
    <col min="2312" max="2312" width="8" style="18" customWidth="1"/>
    <col min="2313" max="2313" width="8.42578125" style="18" customWidth="1"/>
    <col min="2314" max="2314" width="8" style="18" customWidth="1"/>
    <col min="2315" max="2315" width="17.42578125" style="18" customWidth="1"/>
    <col min="2316" max="2316" width="11.42578125" style="18" customWidth="1"/>
    <col min="2317" max="2560" width="9.140625" style="18"/>
    <col min="2561" max="2561" width="2.5703125" style="18" customWidth="1"/>
    <col min="2562" max="2562" width="9.140625" style="18"/>
    <col min="2563" max="2563" width="29.85546875" style="18" customWidth="1"/>
    <col min="2564" max="2564" width="9.140625" style="18"/>
    <col min="2565" max="2565" width="6.42578125" style="18" customWidth="1"/>
    <col min="2566" max="2566" width="5.85546875" style="18" customWidth="1"/>
    <col min="2567" max="2567" width="5.5703125" style="18" customWidth="1"/>
    <col min="2568" max="2568" width="8" style="18" customWidth="1"/>
    <col min="2569" max="2569" width="8.42578125" style="18" customWidth="1"/>
    <col min="2570" max="2570" width="8" style="18" customWidth="1"/>
    <col min="2571" max="2571" width="17.42578125" style="18" customWidth="1"/>
    <col min="2572" max="2572" width="11.42578125" style="18" customWidth="1"/>
    <col min="2573" max="2816" width="9.140625" style="18"/>
    <col min="2817" max="2817" width="2.5703125" style="18" customWidth="1"/>
    <col min="2818" max="2818" width="9.140625" style="18"/>
    <col min="2819" max="2819" width="29.85546875" style="18" customWidth="1"/>
    <col min="2820" max="2820" width="9.140625" style="18"/>
    <col min="2821" max="2821" width="6.42578125" style="18" customWidth="1"/>
    <col min="2822" max="2822" width="5.85546875" style="18" customWidth="1"/>
    <col min="2823" max="2823" width="5.5703125" style="18" customWidth="1"/>
    <col min="2824" max="2824" width="8" style="18" customWidth="1"/>
    <col min="2825" max="2825" width="8.42578125" style="18" customWidth="1"/>
    <col min="2826" max="2826" width="8" style="18" customWidth="1"/>
    <col min="2827" max="2827" width="17.42578125" style="18" customWidth="1"/>
    <col min="2828" max="2828" width="11.42578125" style="18" customWidth="1"/>
    <col min="2829" max="3072" width="9.140625" style="18"/>
    <col min="3073" max="3073" width="2.5703125" style="18" customWidth="1"/>
    <col min="3074" max="3074" width="9.140625" style="18"/>
    <col min="3075" max="3075" width="29.85546875" style="18" customWidth="1"/>
    <col min="3076" max="3076" width="9.140625" style="18"/>
    <col min="3077" max="3077" width="6.42578125" style="18" customWidth="1"/>
    <col min="3078" max="3078" width="5.85546875" style="18" customWidth="1"/>
    <col min="3079" max="3079" width="5.5703125" style="18" customWidth="1"/>
    <col min="3080" max="3080" width="8" style="18" customWidth="1"/>
    <col min="3081" max="3081" width="8.42578125" style="18" customWidth="1"/>
    <col min="3082" max="3082" width="8" style="18" customWidth="1"/>
    <col min="3083" max="3083" width="17.42578125" style="18" customWidth="1"/>
    <col min="3084" max="3084" width="11.42578125" style="18" customWidth="1"/>
    <col min="3085" max="3328" width="9.140625" style="18"/>
    <col min="3329" max="3329" width="2.5703125" style="18" customWidth="1"/>
    <col min="3330" max="3330" width="9.140625" style="18"/>
    <col min="3331" max="3331" width="29.85546875" style="18" customWidth="1"/>
    <col min="3332" max="3332" width="9.140625" style="18"/>
    <col min="3333" max="3333" width="6.42578125" style="18" customWidth="1"/>
    <col min="3334" max="3334" width="5.85546875" style="18" customWidth="1"/>
    <col min="3335" max="3335" width="5.5703125" style="18" customWidth="1"/>
    <col min="3336" max="3336" width="8" style="18" customWidth="1"/>
    <col min="3337" max="3337" width="8.42578125" style="18" customWidth="1"/>
    <col min="3338" max="3338" width="8" style="18" customWidth="1"/>
    <col min="3339" max="3339" width="17.42578125" style="18" customWidth="1"/>
    <col min="3340" max="3340" width="11.42578125" style="18" customWidth="1"/>
    <col min="3341" max="3584" width="9.140625" style="18"/>
    <col min="3585" max="3585" width="2.5703125" style="18" customWidth="1"/>
    <col min="3586" max="3586" width="9.140625" style="18"/>
    <col min="3587" max="3587" width="29.85546875" style="18" customWidth="1"/>
    <col min="3588" max="3588" width="9.140625" style="18"/>
    <col min="3589" max="3589" width="6.42578125" style="18" customWidth="1"/>
    <col min="3590" max="3590" width="5.85546875" style="18" customWidth="1"/>
    <col min="3591" max="3591" width="5.5703125" style="18" customWidth="1"/>
    <col min="3592" max="3592" width="8" style="18" customWidth="1"/>
    <col min="3593" max="3593" width="8.42578125" style="18" customWidth="1"/>
    <col min="3594" max="3594" width="8" style="18" customWidth="1"/>
    <col min="3595" max="3595" width="17.42578125" style="18" customWidth="1"/>
    <col min="3596" max="3596" width="11.42578125" style="18" customWidth="1"/>
    <col min="3597" max="3840" width="9.140625" style="18"/>
    <col min="3841" max="3841" width="2.5703125" style="18" customWidth="1"/>
    <col min="3842" max="3842" width="9.140625" style="18"/>
    <col min="3843" max="3843" width="29.85546875" style="18" customWidth="1"/>
    <col min="3844" max="3844" width="9.140625" style="18"/>
    <col min="3845" max="3845" width="6.42578125" style="18" customWidth="1"/>
    <col min="3846" max="3846" width="5.85546875" style="18" customWidth="1"/>
    <col min="3847" max="3847" width="5.5703125" style="18" customWidth="1"/>
    <col min="3848" max="3848" width="8" style="18" customWidth="1"/>
    <col min="3849" max="3849" width="8.42578125" style="18" customWidth="1"/>
    <col min="3850" max="3850" width="8" style="18" customWidth="1"/>
    <col min="3851" max="3851" width="17.42578125" style="18" customWidth="1"/>
    <col min="3852" max="3852" width="11.42578125" style="18" customWidth="1"/>
    <col min="3853" max="4096" width="9.140625" style="18"/>
    <col min="4097" max="4097" width="2.5703125" style="18" customWidth="1"/>
    <col min="4098" max="4098" width="9.140625" style="18"/>
    <col min="4099" max="4099" width="29.85546875" style="18" customWidth="1"/>
    <col min="4100" max="4100" width="9.140625" style="18"/>
    <col min="4101" max="4101" width="6.42578125" style="18" customWidth="1"/>
    <col min="4102" max="4102" width="5.85546875" style="18" customWidth="1"/>
    <col min="4103" max="4103" width="5.5703125" style="18" customWidth="1"/>
    <col min="4104" max="4104" width="8" style="18" customWidth="1"/>
    <col min="4105" max="4105" width="8.42578125" style="18" customWidth="1"/>
    <col min="4106" max="4106" width="8" style="18" customWidth="1"/>
    <col min="4107" max="4107" width="17.42578125" style="18" customWidth="1"/>
    <col min="4108" max="4108" width="11.42578125" style="18" customWidth="1"/>
    <col min="4109" max="4352" width="9.140625" style="18"/>
    <col min="4353" max="4353" width="2.5703125" style="18" customWidth="1"/>
    <col min="4354" max="4354" width="9.140625" style="18"/>
    <col min="4355" max="4355" width="29.85546875" style="18" customWidth="1"/>
    <col min="4356" max="4356" width="9.140625" style="18"/>
    <col min="4357" max="4357" width="6.42578125" style="18" customWidth="1"/>
    <col min="4358" max="4358" width="5.85546875" style="18" customWidth="1"/>
    <col min="4359" max="4359" width="5.5703125" style="18" customWidth="1"/>
    <col min="4360" max="4360" width="8" style="18" customWidth="1"/>
    <col min="4361" max="4361" width="8.42578125" style="18" customWidth="1"/>
    <col min="4362" max="4362" width="8" style="18" customWidth="1"/>
    <col min="4363" max="4363" width="17.42578125" style="18" customWidth="1"/>
    <col min="4364" max="4364" width="11.42578125" style="18" customWidth="1"/>
    <col min="4365" max="4608" width="9.140625" style="18"/>
    <col min="4609" max="4609" width="2.5703125" style="18" customWidth="1"/>
    <col min="4610" max="4610" width="9.140625" style="18"/>
    <col min="4611" max="4611" width="29.85546875" style="18" customWidth="1"/>
    <col min="4612" max="4612" width="9.140625" style="18"/>
    <col min="4613" max="4613" width="6.42578125" style="18" customWidth="1"/>
    <col min="4614" max="4614" width="5.85546875" style="18" customWidth="1"/>
    <col min="4615" max="4615" width="5.5703125" style="18" customWidth="1"/>
    <col min="4616" max="4616" width="8" style="18" customWidth="1"/>
    <col min="4617" max="4617" width="8.42578125" style="18" customWidth="1"/>
    <col min="4618" max="4618" width="8" style="18" customWidth="1"/>
    <col min="4619" max="4619" width="17.42578125" style="18" customWidth="1"/>
    <col min="4620" max="4620" width="11.42578125" style="18" customWidth="1"/>
    <col min="4621" max="4864" width="9.140625" style="18"/>
    <col min="4865" max="4865" width="2.5703125" style="18" customWidth="1"/>
    <col min="4866" max="4866" width="9.140625" style="18"/>
    <col min="4867" max="4867" width="29.85546875" style="18" customWidth="1"/>
    <col min="4868" max="4868" width="9.140625" style="18"/>
    <col min="4869" max="4869" width="6.42578125" style="18" customWidth="1"/>
    <col min="4870" max="4870" width="5.85546875" style="18" customWidth="1"/>
    <col min="4871" max="4871" width="5.5703125" style="18" customWidth="1"/>
    <col min="4872" max="4872" width="8" style="18" customWidth="1"/>
    <col min="4873" max="4873" width="8.42578125" style="18" customWidth="1"/>
    <col min="4874" max="4874" width="8" style="18" customWidth="1"/>
    <col min="4875" max="4875" width="17.42578125" style="18" customWidth="1"/>
    <col min="4876" max="4876" width="11.42578125" style="18" customWidth="1"/>
    <col min="4877" max="5120" width="9.140625" style="18"/>
    <col min="5121" max="5121" width="2.5703125" style="18" customWidth="1"/>
    <col min="5122" max="5122" width="9.140625" style="18"/>
    <col min="5123" max="5123" width="29.85546875" style="18" customWidth="1"/>
    <col min="5124" max="5124" width="9.140625" style="18"/>
    <col min="5125" max="5125" width="6.42578125" style="18" customWidth="1"/>
    <col min="5126" max="5126" width="5.85546875" style="18" customWidth="1"/>
    <col min="5127" max="5127" width="5.5703125" style="18" customWidth="1"/>
    <col min="5128" max="5128" width="8" style="18" customWidth="1"/>
    <col min="5129" max="5129" width="8.42578125" style="18" customWidth="1"/>
    <col min="5130" max="5130" width="8" style="18" customWidth="1"/>
    <col min="5131" max="5131" width="17.42578125" style="18" customWidth="1"/>
    <col min="5132" max="5132" width="11.42578125" style="18" customWidth="1"/>
    <col min="5133" max="5376" width="9.140625" style="18"/>
    <col min="5377" max="5377" width="2.5703125" style="18" customWidth="1"/>
    <col min="5378" max="5378" width="9.140625" style="18"/>
    <col min="5379" max="5379" width="29.85546875" style="18" customWidth="1"/>
    <col min="5380" max="5380" width="9.140625" style="18"/>
    <col min="5381" max="5381" width="6.42578125" style="18" customWidth="1"/>
    <col min="5382" max="5382" width="5.85546875" style="18" customWidth="1"/>
    <col min="5383" max="5383" width="5.5703125" style="18" customWidth="1"/>
    <col min="5384" max="5384" width="8" style="18" customWidth="1"/>
    <col min="5385" max="5385" width="8.42578125" style="18" customWidth="1"/>
    <col min="5386" max="5386" width="8" style="18" customWidth="1"/>
    <col min="5387" max="5387" width="17.42578125" style="18" customWidth="1"/>
    <col min="5388" max="5388" width="11.42578125" style="18" customWidth="1"/>
    <col min="5389" max="5632" width="9.140625" style="18"/>
    <col min="5633" max="5633" width="2.5703125" style="18" customWidth="1"/>
    <col min="5634" max="5634" width="9.140625" style="18"/>
    <col min="5635" max="5635" width="29.85546875" style="18" customWidth="1"/>
    <col min="5636" max="5636" width="9.140625" style="18"/>
    <col min="5637" max="5637" width="6.42578125" style="18" customWidth="1"/>
    <col min="5638" max="5638" width="5.85546875" style="18" customWidth="1"/>
    <col min="5639" max="5639" width="5.5703125" style="18" customWidth="1"/>
    <col min="5640" max="5640" width="8" style="18" customWidth="1"/>
    <col min="5641" max="5641" width="8.42578125" style="18" customWidth="1"/>
    <col min="5642" max="5642" width="8" style="18" customWidth="1"/>
    <col min="5643" max="5643" width="17.42578125" style="18" customWidth="1"/>
    <col min="5644" max="5644" width="11.42578125" style="18" customWidth="1"/>
    <col min="5645" max="5888" width="9.140625" style="18"/>
    <col min="5889" max="5889" width="2.5703125" style="18" customWidth="1"/>
    <col min="5890" max="5890" width="9.140625" style="18"/>
    <col min="5891" max="5891" width="29.85546875" style="18" customWidth="1"/>
    <col min="5892" max="5892" width="9.140625" style="18"/>
    <col min="5893" max="5893" width="6.42578125" style="18" customWidth="1"/>
    <col min="5894" max="5894" width="5.85546875" style="18" customWidth="1"/>
    <col min="5895" max="5895" width="5.5703125" style="18" customWidth="1"/>
    <col min="5896" max="5896" width="8" style="18" customWidth="1"/>
    <col min="5897" max="5897" width="8.42578125" style="18" customWidth="1"/>
    <col min="5898" max="5898" width="8" style="18" customWidth="1"/>
    <col min="5899" max="5899" width="17.42578125" style="18" customWidth="1"/>
    <col min="5900" max="5900" width="11.42578125" style="18" customWidth="1"/>
    <col min="5901" max="6144" width="9.140625" style="18"/>
    <col min="6145" max="6145" width="2.5703125" style="18" customWidth="1"/>
    <col min="6146" max="6146" width="9.140625" style="18"/>
    <col min="6147" max="6147" width="29.85546875" style="18" customWidth="1"/>
    <col min="6148" max="6148" width="9.140625" style="18"/>
    <col min="6149" max="6149" width="6.42578125" style="18" customWidth="1"/>
    <col min="6150" max="6150" width="5.85546875" style="18" customWidth="1"/>
    <col min="6151" max="6151" width="5.5703125" style="18" customWidth="1"/>
    <col min="6152" max="6152" width="8" style="18" customWidth="1"/>
    <col min="6153" max="6153" width="8.42578125" style="18" customWidth="1"/>
    <col min="6154" max="6154" width="8" style="18" customWidth="1"/>
    <col min="6155" max="6155" width="17.42578125" style="18" customWidth="1"/>
    <col min="6156" max="6156" width="11.42578125" style="18" customWidth="1"/>
    <col min="6157" max="6400" width="9.140625" style="18"/>
    <col min="6401" max="6401" width="2.5703125" style="18" customWidth="1"/>
    <col min="6402" max="6402" width="9.140625" style="18"/>
    <col min="6403" max="6403" width="29.85546875" style="18" customWidth="1"/>
    <col min="6404" max="6404" width="9.140625" style="18"/>
    <col min="6405" max="6405" width="6.42578125" style="18" customWidth="1"/>
    <col min="6406" max="6406" width="5.85546875" style="18" customWidth="1"/>
    <col min="6407" max="6407" width="5.5703125" style="18" customWidth="1"/>
    <col min="6408" max="6408" width="8" style="18" customWidth="1"/>
    <col min="6409" max="6409" width="8.42578125" style="18" customWidth="1"/>
    <col min="6410" max="6410" width="8" style="18" customWidth="1"/>
    <col min="6411" max="6411" width="17.42578125" style="18" customWidth="1"/>
    <col min="6412" max="6412" width="11.42578125" style="18" customWidth="1"/>
    <col min="6413" max="6656" width="9.140625" style="18"/>
    <col min="6657" max="6657" width="2.5703125" style="18" customWidth="1"/>
    <col min="6658" max="6658" width="9.140625" style="18"/>
    <col min="6659" max="6659" width="29.85546875" style="18" customWidth="1"/>
    <col min="6660" max="6660" width="9.140625" style="18"/>
    <col min="6661" max="6661" width="6.42578125" style="18" customWidth="1"/>
    <col min="6662" max="6662" width="5.85546875" style="18" customWidth="1"/>
    <col min="6663" max="6663" width="5.5703125" style="18" customWidth="1"/>
    <col min="6664" max="6664" width="8" style="18" customWidth="1"/>
    <col min="6665" max="6665" width="8.42578125" style="18" customWidth="1"/>
    <col min="6666" max="6666" width="8" style="18" customWidth="1"/>
    <col min="6667" max="6667" width="17.42578125" style="18" customWidth="1"/>
    <col min="6668" max="6668" width="11.42578125" style="18" customWidth="1"/>
    <col min="6669" max="6912" width="9.140625" style="18"/>
    <col min="6913" max="6913" width="2.5703125" style="18" customWidth="1"/>
    <col min="6914" max="6914" width="9.140625" style="18"/>
    <col min="6915" max="6915" width="29.85546875" style="18" customWidth="1"/>
    <col min="6916" max="6916" width="9.140625" style="18"/>
    <col min="6917" max="6917" width="6.42578125" style="18" customWidth="1"/>
    <col min="6918" max="6918" width="5.85546875" style="18" customWidth="1"/>
    <col min="6919" max="6919" width="5.5703125" style="18" customWidth="1"/>
    <col min="6920" max="6920" width="8" style="18" customWidth="1"/>
    <col min="6921" max="6921" width="8.42578125" style="18" customWidth="1"/>
    <col min="6922" max="6922" width="8" style="18" customWidth="1"/>
    <col min="6923" max="6923" width="17.42578125" style="18" customWidth="1"/>
    <col min="6924" max="6924" width="11.42578125" style="18" customWidth="1"/>
    <col min="6925" max="7168" width="9.140625" style="18"/>
    <col min="7169" max="7169" width="2.5703125" style="18" customWidth="1"/>
    <col min="7170" max="7170" width="9.140625" style="18"/>
    <col min="7171" max="7171" width="29.85546875" style="18" customWidth="1"/>
    <col min="7172" max="7172" width="9.140625" style="18"/>
    <col min="7173" max="7173" width="6.42578125" style="18" customWidth="1"/>
    <col min="7174" max="7174" width="5.85546875" style="18" customWidth="1"/>
    <col min="7175" max="7175" width="5.5703125" style="18" customWidth="1"/>
    <col min="7176" max="7176" width="8" style="18" customWidth="1"/>
    <col min="7177" max="7177" width="8.42578125" style="18" customWidth="1"/>
    <col min="7178" max="7178" width="8" style="18" customWidth="1"/>
    <col min="7179" max="7179" width="17.42578125" style="18" customWidth="1"/>
    <col min="7180" max="7180" width="11.42578125" style="18" customWidth="1"/>
    <col min="7181" max="7424" width="9.140625" style="18"/>
    <col min="7425" max="7425" width="2.5703125" style="18" customWidth="1"/>
    <col min="7426" max="7426" width="9.140625" style="18"/>
    <col min="7427" max="7427" width="29.85546875" style="18" customWidth="1"/>
    <col min="7428" max="7428" width="9.140625" style="18"/>
    <col min="7429" max="7429" width="6.42578125" style="18" customWidth="1"/>
    <col min="7430" max="7430" width="5.85546875" style="18" customWidth="1"/>
    <col min="7431" max="7431" width="5.5703125" style="18" customWidth="1"/>
    <col min="7432" max="7432" width="8" style="18" customWidth="1"/>
    <col min="7433" max="7433" width="8.42578125" style="18" customWidth="1"/>
    <col min="7434" max="7434" width="8" style="18" customWidth="1"/>
    <col min="7435" max="7435" width="17.42578125" style="18" customWidth="1"/>
    <col min="7436" max="7436" width="11.42578125" style="18" customWidth="1"/>
    <col min="7437" max="7680" width="9.140625" style="18"/>
    <col min="7681" max="7681" width="2.5703125" style="18" customWidth="1"/>
    <col min="7682" max="7682" width="9.140625" style="18"/>
    <col min="7683" max="7683" width="29.85546875" style="18" customWidth="1"/>
    <col min="7684" max="7684" width="9.140625" style="18"/>
    <col min="7685" max="7685" width="6.42578125" style="18" customWidth="1"/>
    <col min="7686" max="7686" width="5.85546875" style="18" customWidth="1"/>
    <col min="7687" max="7687" width="5.5703125" style="18" customWidth="1"/>
    <col min="7688" max="7688" width="8" style="18" customWidth="1"/>
    <col min="7689" max="7689" width="8.42578125" style="18" customWidth="1"/>
    <col min="7690" max="7690" width="8" style="18" customWidth="1"/>
    <col min="7691" max="7691" width="17.42578125" style="18" customWidth="1"/>
    <col min="7692" max="7692" width="11.42578125" style="18" customWidth="1"/>
    <col min="7693" max="7936" width="9.140625" style="18"/>
    <col min="7937" max="7937" width="2.5703125" style="18" customWidth="1"/>
    <col min="7938" max="7938" width="9.140625" style="18"/>
    <col min="7939" max="7939" width="29.85546875" style="18" customWidth="1"/>
    <col min="7940" max="7940" width="9.140625" style="18"/>
    <col min="7941" max="7941" width="6.42578125" style="18" customWidth="1"/>
    <col min="7942" max="7942" width="5.85546875" style="18" customWidth="1"/>
    <col min="7943" max="7943" width="5.5703125" style="18" customWidth="1"/>
    <col min="7944" max="7944" width="8" style="18" customWidth="1"/>
    <col min="7945" max="7945" width="8.42578125" style="18" customWidth="1"/>
    <col min="7946" max="7946" width="8" style="18" customWidth="1"/>
    <col min="7947" max="7947" width="17.42578125" style="18" customWidth="1"/>
    <col min="7948" max="7948" width="11.42578125" style="18" customWidth="1"/>
    <col min="7949" max="8192" width="9.140625" style="18"/>
    <col min="8193" max="8193" width="2.5703125" style="18" customWidth="1"/>
    <col min="8194" max="8194" width="9.140625" style="18"/>
    <col min="8195" max="8195" width="29.85546875" style="18" customWidth="1"/>
    <col min="8196" max="8196" width="9.140625" style="18"/>
    <col min="8197" max="8197" width="6.42578125" style="18" customWidth="1"/>
    <col min="8198" max="8198" width="5.85546875" style="18" customWidth="1"/>
    <col min="8199" max="8199" width="5.5703125" style="18" customWidth="1"/>
    <col min="8200" max="8200" width="8" style="18" customWidth="1"/>
    <col min="8201" max="8201" width="8.42578125" style="18" customWidth="1"/>
    <col min="8202" max="8202" width="8" style="18" customWidth="1"/>
    <col min="8203" max="8203" width="17.42578125" style="18" customWidth="1"/>
    <col min="8204" max="8204" width="11.42578125" style="18" customWidth="1"/>
    <col min="8205" max="8448" width="9.140625" style="18"/>
    <col min="8449" max="8449" width="2.5703125" style="18" customWidth="1"/>
    <col min="8450" max="8450" width="9.140625" style="18"/>
    <col min="8451" max="8451" width="29.85546875" style="18" customWidth="1"/>
    <col min="8452" max="8452" width="9.140625" style="18"/>
    <col min="8453" max="8453" width="6.42578125" style="18" customWidth="1"/>
    <col min="8454" max="8454" width="5.85546875" style="18" customWidth="1"/>
    <col min="8455" max="8455" width="5.5703125" style="18" customWidth="1"/>
    <col min="8456" max="8456" width="8" style="18" customWidth="1"/>
    <col min="8457" max="8457" width="8.42578125" style="18" customWidth="1"/>
    <col min="8458" max="8458" width="8" style="18" customWidth="1"/>
    <col min="8459" max="8459" width="17.42578125" style="18" customWidth="1"/>
    <col min="8460" max="8460" width="11.42578125" style="18" customWidth="1"/>
    <col min="8461" max="8704" width="9.140625" style="18"/>
    <col min="8705" max="8705" width="2.5703125" style="18" customWidth="1"/>
    <col min="8706" max="8706" width="9.140625" style="18"/>
    <col min="8707" max="8707" width="29.85546875" style="18" customWidth="1"/>
    <col min="8708" max="8708" width="9.140625" style="18"/>
    <col min="8709" max="8709" width="6.42578125" style="18" customWidth="1"/>
    <col min="8710" max="8710" width="5.85546875" style="18" customWidth="1"/>
    <col min="8711" max="8711" width="5.5703125" style="18" customWidth="1"/>
    <col min="8712" max="8712" width="8" style="18" customWidth="1"/>
    <col min="8713" max="8713" width="8.42578125" style="18" customWidth="1"/>
    <col min="8714" max="8714" width="8" style="18" customWidth="1"/>
    <col min="8715" max="8715" width="17.42578125" style="18" customWidth="1"/>
    <col min="8716" max="8716" width="11.42578125" style="18" customWidth="1"/>
    <col min="8717" max="8960" width="9.140625" style="18"/>
    <col min="8961" max="8961" width="2.5703125" style="18" customWidth="1"/>
    <col min="8962" max="8962" width="9.140625" style="18"/>
    <col min="8963" max="8963" width="29.85546875" style="18" customWidth="1"/>
    <col min="8964" max="8964" width="9.140625" style="18"/>
    <col min="8965" max="8965" width="6.42578125" style="18" customWidth="1"/>
    <col min="8966" max="8966" width="5.85546875" style="18" customWidth="1"/>
    <col min="8967" max="8967" width="5.5703125" style="18" customWidth="1"/>
    <col min="8968" max="8968" width="8" style="18" customWidth="1"/>
    <col min="8969" max="8969" width="8.42578125" style="18" customWidth="1"/>
    <col min="8970" max="8970" width="8" style="18" customWidth="1"/>
    <col min="8971" max="8971" width="17.42578125" style="18" customWidth="1"/>
    <col min="8972" max="8972" width="11.42578125" style="18" customWidth="1"/>
    <col min="8973" max="9216" width="9.140625" style="18"/>
    <col min="9217" max="9217" width="2.5703125" style="18" customWidth="1"/>
    <col min="9218" max="9218" width="9.140625" style="18"/>
    <col min="9219" max="9219" width="29.85546875" style="18" customWidth="1"/>
    <col min="9220" max="9220" width="9.140625" style="18"/>
    <col min="9221" max="9221" width="6.42578125" style="18" customWidth="1"/>
    <col min="9222" max="9222" width="5.85546875" style="18" customWidth="1"/>
    <col min="9223" max="9223" width="5.5703125" style="18" customWidth="1"/>
    <col min="9224" max="9224" width="8" style="18" customWidth="1"/>
    <col min="9225" max="9225" width="8.42578125" style="18" customWidth="1"/>
    <col min="9226" max="9226" width="8" style="18" customWidth="1"/>
    <col min="9227" max="9227" width="17.42578125" style="18" customWidth="1"/>
    <col min="9228" max="9228" width="11.42578125" style="18" customWidth="1"/>
    <col min="9229" max="9472" width="9.140625" style="18"/>
    <col min="9473" max="9473" width="2.5703125" style="18" customWidth="1"/>
    <col min="9474" max="9474" width="9.140625" style="18"/>
    <col min="9475" max="9475" width="29.85546875" style="18" customWidth="1"/>
    <col min="9476" max="9476" width="9.140625" style="18"/>
    <col min="9477" max="9477" width="6.42578125" style="18" customWidth="1"/>
    <col min="9478" max="9478" width="5.85546875" style="18" customWidth="1"/>
    <col min="9479" max="9479" width="5.5703125" style="18" customWidth="1"/>
    <col min="9480" max="9480" width="8" style="18" customWidth="1"/>
    <col min="9481" max="9481" width="8.42578125" style="18" customWidth="1"/>
    <col min="9482" max="9482" width="8" style="18" customWidth="1"/>
    <col min="9483" max="9483" width="17.42578125" style="18" customWidth="1"/>
    <col min="9484" max="9484" width="11.42578125" style="18" customWidth="1"/>
    <col min="9485" max="9728" width="9.140625" style="18"/>
    <col min="9729" max="9729" width="2.5703125" style="18" customWidth="1"/>
    <col min="9730" max="9730" width="9.140625" style="18"/>
    <col min="9731" max="9731" width="29.85546875" style="18" customWidth="1"/>
    <col min="9732" max="9732" width="9.140625" style="18"/>
    <col min="9733" max="9733" width="6.42578125" style="18" customWidth="1"/>
    <col min="9734" max="9734" width="5.85546875" style="18" customWidth="1"/>
    <col min="9735" max="9735" width="5.5703125" style="18" customWidth="1"/>
    <col min="9736" max="9736" width="8" style="18" customWidth="1"/>
    <col min="9737" max="9737" width="8.42578125" style="18" customWidth="1"/>
    <col min="9738" max="9738" width="8" style="18" customWidth="1"/>
    <col min="9739" max="9739" width="17.42578125" style="18" customWidth="1"/>
    <col min="9740" max="9740" width="11.42578125" style="18" customWidth="1"/>
    <col min="9741" max="9984" width="9.140625" style="18"/>
    <col min="9985" max="9985" width="2.5703125" style="18" customWidth="1"/>
    <col min="9986" max="9986" width="9.140625" style="18"/>
    <col min="9987" max="9987" width="29.85546875" style="18" customWidth="1"/>
    <col min="9988" max="9988" width="9.140625" style="18"/>
    <col min="9989" max="9989" width="6.42578125" style="18" customWidth="1"/>
    <col min="9990" max="9990" width="5.85546875" style="18" customWidth="1"/>
    <col min="9991" max="9991" width="5.5703125" style="18" customWidth="1"/>
    <col min="9992" max="9992" width="8" style="18" customWidth="1"/>
    <col min="9993" max="9993" width="8.42578125" style="18" customWidth="1"/>
    <col min="9994" max="9994" width="8" style="18" customWidth="1"/>
    <col min="9995" max="9995" width="17.42578125" style="18" customWidth="1"/>
    <col min="9996" max="9996" width="11.42578125" style="18" customWidth="1"/>
    <col min="9997" max="10240" width="9.140625" style="18"/>
    <col min="10241" max="10241" width="2.5703125" style="18" customWidth="1"/>
    <col min="10242" max="10242" width="9.140625" style="18"/>
    <col min="10243" max="10243" width="29.85546875" style="18" customWidth="1"/>
    <col min="10244" max="10244" width="9.140625" style="18"/>
    <col min="10245" max="10245" width="6.42578125" style="18" customWidth="1"/>
    <col min="10246" max="10246" width="5.85546875" style="18" customWidth="1"/>
    <col min="10247" max="10247" width="5.5703125" style="18" customWidth="1"/>
    <col min="10248" max="10248" width="8" style="18" customWidth="1"/>
    <col min="10249" max="10249" width="8.42578125" style="18" customWidth="1"/>
    <col min="10250" max="10250" width="8" style="18" customWidth="1"/>
    <col min="10251" max="10251" width="17.42578125" style="18" customWidth="1"/>
    <col min="10252" max="10252" width="11.42578125" style="18" customWidth="1"/>
    <col min="10253" max="10496" width="9.140625" style="18"/>
    <col min="10497" max="10497" width="2.5703125" style="18" customWidth="1"/>
    <col min="10498" max="10498" width="9.140625" style="18"/>
    <col min="10499" max="10499" width="29.85546875" style="18" customWidth="1"/>
    <col min="10500" max="10500" width="9.140625" style="18"/>
    <col min="10501" max="10501" width="6.42578125" style="18" customWidth="1"/>
    <col min="10502" max="10502" width="5.85546875" style="18" customWidth="1"/>
    <col min="10503" max="10503" width="5.5703125" style="18" customWidth="1"/>
    <col min="10504" max="10504" width="8" style="18" customWidth="1"/>
    <col min="10505" max="10505" width="8.42578125" style="18" customWidth="1"/>
    <col min="10506" max="10506" width="8" style="18" customWidth="1"/>
    <col min="10507" max="10507" width="17.42578125" style="18" customWidth="1"/>
    <col min="10508" max="10508" width="11.42578125" style="18" customWidth="1"/>
    <col min="10509" max="10752" width="9.140625" style="18"/>
    <col min="10753" max="10753" width="2.5703125" style="18" customWidth="1"/>
    <col min="10754" max="10754" width="9.140625" style="18"/>
    <col min="10755" max="10755" width="29.85546875" style="18" customWidth="1"/>
    <col min="10756" max="10756" width="9.140625" style="18"/>
    <col min="10757" max="10757" width="6.42578125" style="18" customWidth="1"/>
    <col min="10758" max="10758" width="5.85546875" style="18" customWidth="1"/>
    <col min="10759" max="10759" width="5.5703125" style="18" customWidth="1"/>
    <col min="10760" max="10760" width="8" style="18" customWidth="1"/>
    <col min="10761" max="10761" width="8.42578125" style="18" customWidth="1"/>
    <col min="10762" max="10762" width="8" style="18" customWidth="1"/>
    <col min="10763" max="10763" width="17.42578125" style="18" customWidth="1"/>
    <col min="10764" max="10764" width="11.42578125" style="18" customWidth="1"/>
    <col min="10765" max="11008" width="9.140625" style="18"/>
    <col min="11009" max="11009" width="2.5703125" style="18" customWidth="1"/>
    <col min="11010" max="11010" width="9.140625" style="18"/>
    <col min="11011" max="11011" width="29.85546875" style="18" customWidth="1"/>
    <col min="11012" max="11012" width="9.140625" style="18"/>
    <col min="11013" max="11013" width="6.42578125" style="18" customWidth="1"/>
    <col min="11014" max="11014" width="5.85546875" style="18" customWidth="1"/>
    <col min="11015" max="11015" width="5.5703125" style="18" customWidth="1"/>
    <col min="11016" max="11016" width="8" style="18" customWidth="1"/>
    <col min="11017" max="11017" width="8.42578125" style="18" customWidth="1"/>
    <col min="11018" max="11018" width="8" style="18" customWidth="1"/>
    <col min="11019" max="11019" width="17.42578125" style="18" customWidth="1"/>
    <col min="11020" max="11020" width="11.42578125" style="18" customWidth="1"/>
    <col min="11021" max="11264" width="9.140625" style="18"/>
    <col min="11265" max="11265" width="2.5703125" style="18" customWidth="1"/>
    <col min="11266" max="11266" width="9.140625" style="18"/>
    <col min="11267" max="11267" width="29.85546875" style="18" customWidth="1"/>
    <col min="11268" max="11268" width="9.140625" style="18"/>
    <col min="11269" max="11269" width="6.42578125" style="18" customWidth="1"/>
    <col min="11270" max="11270" width="5.85546875" style="18" customWidth="1"/>
    <col min="11271" max="11271" width="5.5703125" style="18" customWidth="1"/>
    <col min="11272" max="11272" width="8" style="18" customWidth="1"/>
    <col min="11273" max="11273" width="8.42578125" style="18" customWidth="1"/>
    <col min="11274" max="11274" width="8" style="18" customWidth="1"/>
    <col min="11275" max="11275" width="17.42578125" style="18" customWidth="1"/>
    <col min="11276" max="11276" width="11.42578125" style="18" customWidth="1"/>
    <col min="11277" max="11520" width="9.140625" style="18"/>
    <col min="11521" max="11521" width="2.5703125" style="18" customWidth="1"/>
    <col min="11522" max="11522" width="9.140625" style="18"/>
    <col min="11523" max="11523" width="29.85546875" style="18" customWidth="1"/>
    <col min="11524" max="11524" width="9.140625" style="18"/>
    <col min="11525" max="11525" width="6.42578125" style="18" customWidth="1"/>
    <col min="11526" max="11526" width="5.85546875" style="18" customWidth="1"/>
    <col min="11527" max="11527" width="5.5703125" style="18" customWidth="1"/>
    <col min="11528" max="11528" width="8" style="18" customWidth="1"/>
    <col min="11529" max="11529" width="8.42578125" style="18" customWidth="1"/>
    <col min="11530" max="11530" width="8" style="18" customWidth="1"/>
    <col min="11531" max="11531" width="17.42578125" style="18" customWidth="1"/>
    <col min="11532" max="11532" width="11.42578125" style="18" customWidth="1"/>
    <col min="11533" max="11776" width="9.140625" style="18"/>
    <col min="11777" max="11777" width="2.5703125" style="18" customWidth="1"/>
    <col min="11778" max="11778" width="9.140625" style="18"/>
    <col min="11779" max="11779" width="29.85546875" style="18" customWidth="1"/>
    <col min="11780" max="11780" width="9.140625" style="18"/>
    <col min="11781" max="11781" width="6.42578125" style="18" customWidth="1"/>
    <col min="11782" max="11782" width="5.85546875" style="18" customWidth="1"/>
    <col min="11783" max="11783" width="5.5703125" style="18" customWidth="1"/>
    <col min="11784" max="11784" width="8" style="18" customWidth="1"/>
    <col min="11785" max="11785" width="8.42578125" style="18" customWidth="1"/>
    <col min="11786" max="11786" width="8" style="18" customWidth="1"/>
    <col min="11787" max="11787" width="17.42578125" style="18" customWidth="1"/>
    <col min="11788" max="11788" width="11.42578125" style="18" customWidth="1"/>
    <col min="11789" max="12032" width="9.140625" style="18"/>
    <col min="12033" max="12033" width="2.5703125" style="18" customWidth="1"/>
    <col min="12034" max="12034" width="9.140625" style="18"/>
    <col min="12035" max="12035" width="29.85546875" style="18" customWidth="1"/>
    <col min="12036" max="12036" width="9.140625" style="18"/>
    <col min="12037" max="12037" width="6.42578125" style="18" customWidth="1"/>
    <col min="12038" max="12038" width="5.85546875" style="18" customWidth="1"/>
    <col min="12039" max="12039" width="5.5703125" style="18" customWidth="1"/>
    <col min="12040" max="12040" width="8" style="18" customWidth="1"/>
    <col min="12041" max="12041" width="8.42578125" style="18" customWidth="1"/>
    <col min="12042" max="12042" width="8" style="18" customWidth="1"/>
    <col min="12043" max="12043" width="17.42578125" style="18" customWidth="1"/>
    <col min="12044" max="12044" width="11.42578125" style="18" customWidth="1"/>
    <col min="12045" max="12288" width="9.140625" style="18"/>
    <col min="12289" max="12289" width="2.5703125" style="18" customWidth="1"/>
    <col min="12290" max="12290" width="9.140625" style="18"/>
    <col min="12291" max="12291" width="29.85546875" style="18" customWidth="1"/>
    <col min="12292" max="12292" width="9.140625" style="18"/>
    <col min="12293" max="12293" width="6.42578125" style="18" customWidth="1"/>
    <col min="12294" max="12294" width="5.85546875" style="18" customWidth="1"/>
    <col min="12295" max="12295" width="5.5703125" style="18" customWidth="1"/>
    <col min="12296" max="12296" width="8" style="18" customWidth="1"/>
    <col min="12297" max="12297" width="8.42578125" style="18" customWidth="1"/>
    <col min="12298" max="12298" width="8" style="18" customWidth="1"/>
    <col min="12299" max="12299" width="17.42578125" style="18" customWidth="1"/>
    <col min="12300" max="12300" width="11.42578125" style="18" customWidth="1"/>
    <col min="12301" max="12544" width="9.140625" style="18"/>
    <col min="12545" max="12545" width="2.5703125" style="18" customWidth="1"/>
    <col min="12546" max="12546" width="9.140625" style="18"/>
    <col min="12547" max="12547" width="29.85546875" style="18" customWidth="1"/>
    <col min="12548" max="12548" width="9.140625" style="18"/>
    <col min="12549" max="12549" width="6.42578125" style="18" customWidth="1"/>
    <col min="12550" max="12550" width="5.85546875" style="18" customWidth="1"/>
    <col min="12551" max="12551" width="5.5703125" style="18" customWidth="1"/>
    <col min="12552" max="12552" width="8" style="18" customWidth="1"/>
    <col min="12553" max="12553" width="8.42578125" style="18" customWidth="1"/>
    <col min="12554" max="12554" width="8" style="18" customWidth="1"/>
    <col min="12555" max="12555" width="17.42578125" style="18" customWidth="1"/>
    <col min="12556" max="12556" width="11.42578125" style="18" customWidth="1"/>
    <col min="12557" max="12800" width="9.140625" style="18"/>
    <col min="12801" max="12801" width="2.5703125" style="18" customWidth="1"/>
    <col min="12802" max="12802" width="9.140625" style="18"/>
    <col min="12803" max="12803" width="29.85546875" style="18" customWidth="1"/>
    <col min="12804" max="12804" width="9.140625" style="18"/>
    <col min="12805" max="12805" width="6.42578125" style="18" customWidth="1"/>
    <col min="12806" max="12806" width="5.85546875" style="18" customWidth="1"/>
    <col min="12807" max="12807" width="5.5703125" style="18" customWidth="1"/>
    <col min="12808" max="12808" width="8" style="18" customWidth="1"/>
    <col min="12809" max="12809" width="8.42578125" style="18" customWidth="1"/>
    <col min="12810" max="12810" width="8" style="18" customWidth="1"/>
    <col min="12811" max="12811" width="17.42578125" style="18" customWidth="1"/>
    <col min="12812" max="12812" width="11.42578125" style="18" customWidth="1"/>
    <col min="12813" max="13056" width="9.140625" style="18"/>
    <col min="13057" max="13057" width="2.5703125" style="18" customWidth="1"/>
    <col min="13058" max="13058" width="9.140625" style="18"/>
    <col min="13059" max="13059" width="29.85546875" style="18" customWidth="1"/>
    <col min="13060" max="13060" width="9.140625" style="18"/>
    <col min="13061" max="13061" width="6.42578125" style="18" customWidth="1"/>
    <col min="13062" max="13062" width="5.85546875" style="18" customWidth="1"/>
    <col min="13063" max="13063" width="5.5703125" style="18" customWidth="1"/>
    <col min="13064" max="13064" width="8" style="18" customWidth="1"/>
    <col min="13065" max="13065" width="8.42578125" style="18" customWidth="1"/>
    <col min="13066" max="13066" width="8" style="18" customWidth="1"/>
    <col min="13067" max="13067" width="17.42578125" style="18" customWidth="1"/>
    <col min="13068" max="13068" width="11.42578125" style="18" customWidth="1"/>
    <col min="13069" max="13312" width="9.140625" style="18"/>
    <col min="13313" max="13313" width="2.5703125" style="18" customWidth="1"/>
    <col min="13314" max="13314" width="9.140625" style="18"/>
    <col min="13315" max="13315" width="29.85546875" style="18" customWidth="1"/>
    <col min="13316" max="13316" width="9.140625" style="18"/>
    <col min="13317" max="13317" width="6.42578125" style="18" customWidth="1"/>
    <col min="13318" max="13318" width="5.85546875" style="18" customWidth="1"/>
    <col min="13319" max="13319" width="5.5703125" style="18" customWidth="1"/>
    <col min="13320" max="13320" width="8" style="18" customWidth="1"/>
    <col min="13321" max="13321" width="8.42578125" style="18" customWidth="1"/>
    <col min="13322" max="13322" width="8" style="18" customWidth="1"/>
    <col min="13323" max="13323" width="17.42578125" style="18" customWidth="1"/>
    <col min="13324" max="13324" width="11.42578125" style="18" customWidth="1"/>
    <col min="13325" max="13568" width="9.140625" style="18"/>
    <col min="13569" max="13569" width="2.5703125" style="18" customWidth="1"/>
    <col min="13570" max="13570" width="9.140625" style="18"/>
    <col min="13571" max="13571" width="29.85546875" style="18" customWidth="1"/>
    <col min="13572" max="13572" width="9.140625" style="18"/>
    <col min="13573" max="13573" width="6.42578125" style="18" customWidth="1"/>
    <col min="13574" max="13574" width="5.85546875" style="18" customWidth="1"/>
    <col min="13575" max="13575" width="5.5703125" style="18" customWidth="1"/>
    <col min="13576" max="13576" width="8" style="18" customWidth="1"/>
    <col min="13577" max="13577" width="8.42578125" style="18" customWidth="1"/>
    <col min="13578" max="13578" width="8" style="18" customWidth="1"/>
    <col min="13579" max="13579" width="17.42578125" style="18" customWidth="1"/>
    <col min="13580" max="13580" width="11.42578125" style="18" customWidth="1"/>
    <col min="13581" max="13824" width="9.140625" style="18"/>
    <col min="13825" max="13825" width="2.5703125" style="18" customWidth="1"/>
    <col min="13826" max="13826" width="9.140625" style="18"/>
    <col min="13827" max="13827" width="29.85546875" style="18" customWidth="1"/>
    <col min="13828" max="13828" width="9.140625" style="18"/>
    <col min="13829" max="13829" width="6.42578125" style="18" customWidth="1"/>
    <col min="13830" max="13830" width="5.85546875" style="18" customWidth="1"/>
    <col min="13831" max="13831" width="5.5703125" style="18" customWidth="1"/>
    <col min="13832" max="13832" width="8" style="18" customWidth="1"/>
    <col min="13833" max="13833" width="8.42578125" style="18" customWidth="1"/>
    <col min="13834" max="13834" width="8" style="18" customWidth="1"/>
    <col min="13835" max="13835" width="17.42578125" style="18" customWidth="1"/>
    <col min="13836" max="13836" width="11.42578125" style="18" customWidth="1"/>
    <col min="13837" max="14080" width="9.140625" style="18"/>
    <col min="14081" max="14081" width="2.5703125" style="18" customWidth="1"/>
    <col min="14082" max="14082" width="9.140625" style="18"/>
    <col min="14083" max="14083" width="29.85546875" style="18" customWidth="1"/>
    <col min="14084" max="14084" width="9.140625" style="18"/>
    <col min="14085" max="14085" width="6.42578125" style="18" customWidth="1"/>
    <col min="14086" max="14086" width="5.85546875" style="18" customWidth="1"/>
    <col min="14087" max="14087" width="5.5703125" style="18" customWidth="1"/>
    <col min="14088" max="14088" width="8" style="18" customWidth="1"/>
    <col min="14089" max="14089" width="8.42578125" style="18" customWidth="1"/>
    <col min="14090" max="14090" width="8" style="18" customWidth="1"/>
    <col min="14091" max="14091" width="17.42578125" style="18" customWidth="1"/>
    <col min="14092" max="14092" width="11.42578125" style="18" customWidth="1"/>
    <col min="14093" max="14336" width="9.140625" style="18"/>
    <col min="14337" max="14337" width="2.5703125" style="18" customWidth="1"/>
    <col min="14338" max="14338" width="9.140625" style="18"/>
    <col min="14339" max="14339" width="29.85546875" style="18" customWidth="1"/>
    <col min="14340" max="14340" width="9.140625" style="18"/>
    <col min="14341" max="14341" width="6.42578125" style="18" customWidth="1"/>
    <col min="14342" max="14342" width="5.85546875" style="18" customWidth="1"/>
    <col min="14343" max="14343" width="5.5703125" style="18" customWidth="1"/>
    <col min="14344" max="14344" width="8" style="18" customWidth="1"/>
    <col min="14345" max="14345" width="8.42578125" style="18" customWidth="1"/>
    <col min="14346" max="14346" width="8" style="18" customWidth="1"/>
    <col min="14347" max="14347" width="17.42578125" style="18" customWidth="1"/>
    <col min="14348" max="14348" width="11.42578125" style="18" customWidth="1"/>
    <col min="14349" max="14592" width="9.140625" style="18"/>
    <col min="14593" max="14593" width="2.5703125" style="18" customWidth="1"/>
    <col min="14594" max="14594" width="9.140625" style="18"/>
    <col min="14595" max="14595" width="29.85546875" style="18" customWidth="1"/>
    <col min="14596" max="14596" width="9.140625" style="18"/>
    <col min="14597" max="14597" width="6.42578125" style="18" customWidth="1"/>
    <col min="14598" max="14598" width="5.85546875" style="18" customWidth="1"/>
    <col min="14599" max="14599" width="5.5703125" style="18" customWidth="1"/>
    <col min="14600" max="14600" width="8" style="18" customWidth="1"/>
    <col min="14601" max="14601" width="8.42578125" style="18" customWidth="1"/>
    <col min="14602" max="14602" width="8" style="18" customWidth="1"/>
    <col min="14603" max="14603" width="17.42578125" style="18" customWidth="1"/>
    <col min="14604" max="14604" width="11.42578125" style="18" customWidth="1"/>
    <col min="14605" max="14848" width="9.140625" style="18"/>
    <col min="14849" max="14849" width="2.5703125" style="18" customWidth="1"/>
    <col min="14850" max="14850" width="9.140625" style="18"/>
    <col min="14851" max="14851" width="29.85546875" style="18" customWidth="1"/>
    <col min="14852" max="14852" width="9.140625" style="18"/>
    <col min="14853" max="14853" width="6.42578125" style="18" customWidth="1"/>
    <col min="14854" max="14854" width="5.85546875" style="18" customWidth="1"/>
    <col min="14855" max="14855" width="5.5703125" style="18" customWidth="1"/>
    <col min="14856" max="14856" width="8" style="18" customWidth="1"/>
    <col min="14857" max="14857" width="8.42578125" style="18" customWidth="1"/>
    <col min="14858" max="14858" width="8" style="18" customWidth="1"/>
    <col min="14859" max="14859" width="17.42578125" style="18" customWidth="1"/>
    <col min="14860" max="14860" width="11.42578125" style="18" customWidth="1"/>
    <col min="14861" max="15104" width="9.140625" style="18"/>
    <col min="15105" max="15105" width="2.5703125" style="18" customWidth="1"/>
    <col min="15106" max="15106" width="9.140625" style="18"/>
    <col min="15107" max="15107" width="29.85546875" style="18" customWidth="1"/>
    <col min="15108" max="15108" width="9.140625" style="18"/>
    <col min="15109" max="15109" width="6.42578125" style="18" customWidth="1"/>
    <col min="15110" max="15110" width="5.85546875" style="18" customWidth="1"/>
    <col min="15111" max="15111" width="5.5703125" style="18" customWidth="1"/>
    <col min="15112" max="15112" width="8" style="18" customWidth="1"/>
    <col min="15113" max="15113" width="8.42578125" style="18" customWidth="1"/>
    <col min="15114" max="15114" width="8" style="18" customWidth="1"/>
    <col min="15115" max="15115" width="17.42578125" style="18" customWidth="1"/>
    <col min="15116" max="15116" width="11.42578125" style="18" customWidth="1"/>
    <col min="15117" max="15360" width="9.140625" style="18"/>
    <col min="15361" max="15361" width="2.5703125" style="18" customWidth="1"/>
    <col min="15362" max="15362" width="9.140625" style="18"/>
    <col min="15363" max="15363" width="29.85546875" style="18" customWidth="1"/>
    <col min="15364" max="15364" width="9.140625" style="18"/>
    <col min="15365" max="15365" width="6.42578125" style="18" customWidth="1"/>
    <col min="15366" max="15366" width="5.85546875" style="18" customWidth="1"/>
    <col min="15367" max="15367" width="5.5703125" style="18" customWidth="1"/>
    <col min="15368" max="15368" width="8" style="18" customWidth="1"/>
    <col min="15369" max="15369" width="8.42578125" style="18" customWidth="1"/>
    <col min="15370" max="15370" width="8" style="18" customWidth="1"/>
    <col min="15371" max="15371" width="17.42578125" style="18" customWidth="1"/>
    <col min="15372" max="15372" width="11.42578125" style="18" customWidth="1"/>
    <col min="15373" max="15616" width="9.140625" style="18"/>
    <col min="15617" max="15617" width="2.5703125" style="18" customWidth="1"/>
    <col min="15618" max="15618" width="9.140625" style="18"/>
    <col min="15619" max="15619" width="29.85546875" style="18" customWidth="1"/>
    <col min="15620" max="15620" width="9.140625" style="18"/>
    <col min="15621" max="15621" width="6.42578125" style="18" customWidth="1"/>
    <col min="15622" max="15622" width="5.85546875" style="18" customWidth="1"/>
    <col min="15623" max="15623" width="5.5703125" style="18" customWidth="1"/>
    <col min="15624" max="15624" width="8" style="18" customWidth="1"/>
    <col min="15625" max="15625" width="8.42578125" style="18" customWidth="1"/>
    <col min="15626" max="15626" width="8" style="18" customWidth="1"/>
    <col min="15627" max="15627" width="17.42578125" style="18" customWidth="1"/>
    <col min="15628" max="15628" width="11.42578125" style="18" customWidth="1"/>
    <col min="15629" max="15872" width="9.140625" style="18"/>
    <col min="15873" max="15873" width="2.5703125" style="18" customWidth="1"/>
    <col min="15874" max="15874" width="9.140625" style="18"/>
    <col min="15875" max="15875" width="29.85546875" style="18" customWidth="1"/>
    <col min="15876" max="15876" width="9.140625" style="18"/>
    <col min="15877" max="15877" width="6.42578125" style="18" customWidth="1"/>
    <col min="15878" max="15878" width="5.85546875" style="18" customWidth="1"/>
    <col min="15879" max="15879" width="5.5703125" style="18" customWidth="1"/>
    <col min="15880" max="15880" width="8" style="18" customWidth="1"/>
    <col min="15881" max="15881" width="8.42578125" style="18" customWidth="1"/>
    <col min="15882" max="15882" width="8" style="18" customWidth="1"/>
    <col min="15883" max="15883" width="17.42578125" style="18" customWidth="1"/>
    <col min="15884" max="15884" width="11.42578125" style="18" customWidth="1"/>
    <col min="15885" max="16128" width="9.140625" style="18"/>
    <col min="16129" max="16129" width="2.5703125" style="18" customWidth="1"/>
    <col min="16130" max="16130" width="9.140625" style="18"/>
    <col min="16131" max="16131" width="29.85546875" style="18" customWidth="1"/>
    <col min="16132" max="16132" width="9.140625" style="18"/>
    <col min="16133" max="16133" width="6.42578125" style="18" customWidth="1"/>
    <col min="16134" max="16134" width="5.85546875" style="18" customWidth="1"/>
    <col min="16135" max="16135" width="5.5703125" style="18" customWidth="1"/>
    <col min="16136" max="16136" width="8" style="18" customWidth="1"/>
    <col min="16137" max="16137" width="8.42578125" style="18" customWidth="1"/>
    <col min="16138" max="16138" width="8" style="18" customWidth="1"/>
    <col min="16139" max="16139" width="17.42578125" style="18" customWidth="1"/>
    <col min="16140" max="16140" width="11.42578125" style="18" customWidth="1"/>
    <col min="16141" max="16384" width="9.140625" style="18"/>
  </cols>
  <sheetData>
    <row r="3" spans="2:12" ht="15">
      <c r="B3" s="35" t="s">
        <v>94</v>
      </c>
      <c r="C3" s="34" t="s">
        <v>486</v>
      </c>
      <c r="D3" s="35"/>
      <c r="E3" s="35"/>
      <c r="F3" s="36"/>
      <c r="G3" s="36"/>
      <c r="H3" s="36"/>
      <c r="I3" s="36"/>
      <c r="J3" s="36"/>
      <c r="K3" s="35" t="s">
        <v>487</v>
      </c>
    </row>
    <row r="4" spans="2:12" ht="15.75" customHeight="1">
      <c r="B4" s="1665" t="s">
        <v>101</v>
      </c>
      <c r="C4" s="1666"/>
      <c r="D4" s="6042" t="s">
        <v>488</v>
      </c>
      <c r="E4" s="6042"/>
      <c r="F4" s="6042"/>
      <c r="G4" s="6042"/>
      <c r="H4" s="6042"/>
      <c r="I4" s="6042"/>
      <c r="J4" s="6042"/>
      <c r="K4" s="6042"/>
      <c r="L4" s="6042"/>
    </row>
    <row r="5" spans="2:12" ht="14.25">
      <c r="B5" s="1667"/>
      <c r="C5" s="412"/>
      <c r="D5" s="1279" t="s">
        <v>314</v>
      </c>
      <c r="E5" s="1661" t="s">
        <v>489</v>
      </c>
      <c r="F5" s="1662" t="s">
        <v>490</v>
      </c>
      <c r="G5" s="1663"/>
      <c r="H5" s="1663"/>
      <c r="I5" s="1663"/>
      <c r="J5" s="1663"/>
      <c r="K5" s="1664"/>
      <c r="L5" s="1668"/>
    </row>
    <row r="6" spans="2:12" ht="15.75" customHeight="1">
      <c r="B6" s="1667"/>
      <c r="C6" s="430" t="s">
        <v>491</v>
      </c>
      <c r="D6" s="131" t="s">
        <v>380</v>
      </c>
      <c r="E6" s="402" t="s">
        <v>341</v>
      </c>
      <c r="F6" s="431" t="s">
        <v>342</v>
      </c>
      <c r="G6" s="431" t="s">
        <v>492</v>
      </c>
      <c r="H6" s="431"/>
      <c r="I6" s="431"/>
      <c r="J6" s="431"/>
      <c r="K6" s="432" t="s">
        <v>493</v>
      </c>
      <c r="L6" s="6060" t="s">
        <v>260</v>
      </c>
    </row>
    <row r="7" spans="2:12" ht="15">
      <c r="B7" s="1669"/>
      <c r="C7" s="1670"/>
      <c r="D7" s="1671" t="s">
        <v>94</v>
      </c>
      <c r="E7" s="1672" t="s">
        <v>94</v>
      </c>
      <c r="F7" s="1671" t="s">
        <v>94</v>
      </c>
      <c r="G7" s="1672" t="s">
        <v>458</v>
      </c>
      <c r="H7" s="1673" t="s">
        <v>264</v>
      </c>
      <c r="I7" s="1673" t="s">
        <v>265</v>
      </c>
      <c r="J7" s="1673" t="s">
        <v>266</v>
      </c>
      <c r="K7" s="1674" t="s">
        <v>494</v>
      </c>
      <c r="L7" s="6062"/>
    </row>
    <row r="8" spans="2:12" ht="15.75">
      <c r="B8" s="38"/>
      <c r="C8" s="38"/>
      <c r="D8" s="38"/>
      <c r="E8" s="38"/>
      <c r="F8" s="38"/>
      <c r="G8" s="38"/>
      <c r="H8" s="38"/>
      <c r="I8" s="38"/>
      <c r="J8" s="38"/>
      <c r="K8" s="47"/>
      <c r="L8" s="384"/>
    </row>
    <row r="9" spans="2:12" ht="15.75">
      <c r="B9" s="6224">
        <v>1</v>
      </c>
      <c r="C9" s="37" t="s">
        <v>495</v>
      </c>
      <c r="D9" s="37">
        <v>22.55</v>
      </c>
      <c r="E9" s="37"/>
      <c r="F9" s="37"/>
      <c r="G9" s="37"/>
      <c r="H9" s="37">
        <v>8.42</v>
      </c>
      <c r="I9" s="37">
        <v>9.27</v>
      </c>
      <c r="J9" s="40">
        <v>3.67</v>
      </c>
      <c r="K9" s="43">
        <v>2.79</v>
      </c>
      <c r="L9" s="44">
        <f>H9+I9+J9+K9</f>
        <v>24.15</v>
      </c>
    </row>
    <row r="10" spans="2:12" ht="15.75">
      <c r="B10" s="6225"/>
      <c r="C10" s="38" t="s">
        <v>496</v>
      </c>
      <c r="D10" s="38"/>
      <c r="E10" s="38"/>
      <c r="F10" s="38"/>
      <c r="G10" s="38"/>
      <c r="H10" s="38"/>
      <c r="I10" s="38"/>
      <c r="J10" s="45"/>
      <c r="K10" s="46"/>
      <c r="L10" s="42"/>
    </row>
    <row r="11" spans="2:12" ht="15.75">
      <c r="B11" s="6224">
        <f>B9+1</f>
        <v>2</v>
      </c>
      <c r="C11" s="37" t="s">
        <v>497</v>
      </c>
      <c r="D11" s="37">
        <v>14.29</v>
      </c>
      <c r="E11" s="37"/>
      <c r="F11" s="37"/>
      <c r="G11" s="37"/>
      <c r="H11" s="37">
        <v>0</v>
      </c>
      <c r="I11" s="37">
        <v>0</v>
      </c>
      <c r="J11" s="40">
        <v>0</v>
      </c>
      <c r="K11" s="43">
        <v>23.18</v>
      </c>
      <c r="L11" s="44">
        <f>H11+I11+J11+K11</f>
        <v>23.18</v>
      </c>
    </row>
    <row r="12" spans="2:12" ht="15.75">
      <c r="B12" s="6226"/>
      <c r="C12" s="37" t="s">
        <v>498</v>
      </c>
      <c r="D12" s="37"/>
      <c r="E12" s="37"/>
      <c r="F12" s="37"/>
      <c r="G12" s="37"/>
      <c r="H12" s="37"/>
      <c r="I12" s="37"/>
      <c r="J12" s="40"/>
      <c r="K12" s="43"/>
      <c r="L12" s="336"/>
    </row>
    <row r="13" spans="2:12" ht="15.75" customHeight="1">
      <c r="B13" s="6227">
        <f>B11+1</f>
        <v>3</v>
      </c>
      <c r="C13" s="434" t="s">
        <v>499</v>
      </c>
      <c r="D13" s="435">
        <v>36.840000000000003</v>
      </c>
      <c r="E13" s="436"/>
      <c r="F13" s="436"/>
      <c r="G13" s="436"/>
      <c r="H13" s="436">
        <f>H11+H9</f>
        <v>8.42</v>
      </c>
      <c r="I13" s="436">
        <f>I11+I9</f>
        <v>9.27</v>
      </c>
      <c r="J13" s="437">
        <f>J11+J9</f>
        <v>3.67</v>
      </c>
      <c r="K13" s="438">
        <f>K11+K9</f>
        <v>25.97</v>
      </c>
      <c r="L13" s="439">
        <f>H13+I13+J13+K13</f>
        <v>47.33</v>
      </c>
    </row>
    <row r="14" spans="2:12" ht="15.75" customHeight="1">
      <c r="B14" s="6228"/>
      <c r="C14" s="433"/>
      <c r="D14" s="38"/>
      <c r="E14" s="38"/>
      <c r="F14" s="38"/>
      <c r="G14" s="38"/>
      <c r="H14" s="38"/>
      <c r="I14" s="38"/>
      <c r="J14" s="38"/>
      <c r="K14" s="47"/>
      <c r="L14" s="384"/>
    </row>
    <row r="16" spans="2:12">
      <c r="C16" s="24"/>
    </row>
    <row r="17" spans="3:7">
      <c r="C17" s="24"/>
    </row>
    <row r="20" spans="3:7">
      <c r="G20" s="25"/>
    </row>
  </sheetData>
  <sheetProtection selectLockedCells="1" selectUnlockedCells="1"/>
  <mergeCells count="5">
    <mergeCell ref="B9:B10"/>
    <mergeCell ref="B11:B12"/>
    <mergeCell ref="B13:B14"/>
    <mergeCell ref="D4:L4"/>
    <mergeCell ref="L6:L7"/>
  </mergeCells>
  <pageMargins left="0.51181102362204722" right="0.27559055118110237" top="0.98425196850393704" bottom="0.98425196850393704" header="0.51181102362204722" footer="0.51181102362204722"/>
  <pageSetup paperSize="9" firstPageNumber="0" orientation="landscape" horizontalDpi="300" verticalDpi="300" r:id="rId1"/>
  <headerFooter alignWithMargins="0"/>
</worksheet>
</file>

<file path=xl/worksheets/sheet116.xml><?xml version="1.0" encoding="utf-8"?>
<worksheet xmlns="http://schemas.openxmlformats.org/spreadsheetml/2006/main" xmlns:r="http://schemas.openxmlformats.org/officeDocument/2006/relationships">
  <sheetPr transitionEvaluation="1" codeName="Sheet95">
    <pageSetUpPr fitToPage="1"/>
  </sheetPr>
  <dimension ref="A1:M17487"/>
  <sheetViews>
    <sheetView showGridLines="0" view="pageBreakPreview" zoomScale="60" zoomScaleNormal="50" workbookViewId="0">
      <selection activeCell="N24" sqref="N24"/>
    </sheetView>
  </sheetViews>
  <sheetFormatPr defaultColWidth="11" defaultRowHeight="23.25" customHeight="1"/>
  <cols>
    <col min="1" max="1" width="70.85546875" style="2651" customWidth="1"/>
    <col min="2" max="2" width="29.7109375" style="2651" customWidth="1"/>
    <col min="3" max="3" width="5.42578125" style="2651" customWidth="1"/>
    <col min="4" max="4" width="24.42578125" style="2651" customWidth="1"/>
    <col min="5" max="5" width="8.7109375" style="2651" customWidth="1"/>
    <col min="6" max="6" width="20.85546875" style="2651" customWidth="1"/>
    <col min="7" max="7" width="25.85546875" style="2651" customWidth="1"/>
    <col min="8" max="8" width="5.5703125" style="2651" customWidth="1"/>
    <col min="9" max="9" width="22.85546875" style="2651" customWidth="1"/>
    <col min="10" max="10" width="29.140625" style="2651" customWidth="1"/>
    <col min="11" max="11" width="4.42578125" style="2651" customWidth="1"/>
    <col min="12" max="12" width="3.28515625" style="2651" customWidth="1"/>
    <col min="13" max="13" width="17" style="2651" customWidth="1"/>
    <col min="14" max="256" width="11" style="2651"/>
    <col min="257" max="257" width="70.85546875" style="2651" customWidth="1"/>
    <col min="258" max="258" width="29.7109375" style="2651" customWidth="1"/>
    <col min="259" max="259" width="5.42578125" style="2651" customWidth="1"/>
    <col min="260" max="260" width="24.42578125" style="2651" customWidth="1"/>
    <col min="261" max="261" width="8.7109375" style="2651" customWidth="1"/>
    <col min="262" max="262" width="20.85546875" style="2651" customWidth="1"/>
    <col min="263" max="263" width="25.85546875" style="2651" customWidth="1"/>
    <col min="264" max="264" width="5.5703125" style="2651" customWidth="1"/>
    <col min="265" max="265" width="22.85546875" style="2651" customWidth="1"/>
    <col min="266" max="266" width="29.140625" style="2651" customWidth="1"/>
    <col min="267" max="267" width="4.42578125" style="2651" customWidth="1"/>
    <col min="268" max="268" width="3.28515625" style="2651" customWidth="1"/>
    <col min="269" max="269" width="17" style="2651" customWidth="1"/>
    <col min="270" max="512" width="11" style="2651"/>
    <col min="513" max="513" width="70.85546875" style="2651" customWidth="1"/>
    <col min="514" max="514" width="29.7109375" style="2651" customWidth="1"/>
    <col min="515" max="515" width="5.42578125" style="2651" customWidth="1"/>
    <col min="516" max="516" width="24.42578125" style="2651" customWidth="1"/>
    <col min="517" max="517" width="8.7109375" style="2651" customWidth="1"/>
    <col min="518" max="518" width="20.85546875" style="2651" customWidth="1"/>
    <col min="519" max="519" width="25.85546875" style="2651" customWidth="1"/>
    <col min="520" max="520" width="5.5703125" style="2651" customWidth="1"/>
    <col min="521" max="521" width="22.85546875" style="2651" customWidth="1"/>
    <col min="522" max="522" width="29.140625" style="2651" customWidth="1"/>
    <col min="523" max="523" width="4.42578125" style="2651" customWidth="1"/>
    <col min="524" max="524" width="3.28515625" style="2651" customWidth="1"/>
    <col min="525" max="525" width="17" style="2651" customWidth="1"/>
    <col min="526" max="768" width="11" style="2651"/>
    <col min="769" max="769" width="70.85546875" style="2651" customWidth="1"/>
    <col min="770" max="770" width="29.7109375" style="2651" customWidth="1"/>
    <col min="771" max="771" width="5.42578125" style="2651" customWidth="1"/>
    <col min="772" max="772" width="24.42578125" style="2651" customWidth="1"/>
    <col min="773" max="773" width="8.7109375" style="2651" customWidth="1"/>
    <col min="774" max="774" width="20.85546875" style="2651" customWidth="1"/>
    <col min="775" max="775" width="25.85546875" style="2651" customWidth="1"/>
    <col min="776" max="776" width="5.5703125" style="2651" customWidth="1"/>
    <col min="777" max="777" width="22.85546875" style="2651" customWidth="1"/>
    <col min="778" max="778" width="29.140625" style="2651" customWidth="1"/>
    <col min="779" max="779" width="4.42578125" style="2651" customWidth="1"/>
    <col min="780" max="780" width="3.28515625" style="2651" customWidth="1"/>
    <col min="781" max="781" width="17" style="2651" customWidth="1"/>
    <col min="782" max="1024" width="11" style="2651"/>
    <col min="1025" max="1025" width="70.85546875" style="2651" customWidth="1"/>
    <col min="1026" max="1026" width="29.7109375" style="2651" customWidth="1"/>
    <col min="1027" max="1027" width="5.42578125" style="2651" customWidth="1"/>
    <col min="1028" max="1028" width="24.42578125" style="2651" customWidth="1"/>
    <col min="1029" max="1029" width="8.7109375" style="2651" customWidth="1"/>
    <col min="1030" max="1030" width="20.85546875" style="2651" customWidth="1"/>
    <col min="1031" max="1031" width="25.85546875" style="2651" customWidth="1"/>
    <col min="1032" max="1032" width="5.5703125" style="2651" customWidth="1"/>
    <col min="1033" max="1033" width="22.85546875" style="2651" customWidth="1"/>
    <col min="1034" max="1034" width="29.140625" style="2651" customWidth="1"/>
    <col min="1035" max="1035" width="4.42578125" style="2651" customWidth="1"/>
    <col min="1036" max="1036" width="3.28515625" style="2651" customWidth="1"/>
    <col min="1037" max="1037" width="17" style="2651" customWidth="1"/>
    <col min="1038" max="1280" width="11" style="2651"/>
    <col min="1281" max="1281" width="70.85546875" style="2651" customWidth="1"/>
    <col min="1282" max="1282" width="29.7109375" style="2651" customWidth="1"/>
    <col min="1283" max="1283" width="5.42578125" style="2651" customWidth="1"/>
    <col min="1284" max="1284" width="24.42578125" style="2651" customWidth="1"/>
    <col min="1285" max="1285" width="8.7109375" style="2651" customWidth="1"/>
    <col min="1286" max="1286" width="20.85546875" style="2651" customWidth="1"/>
    <col min="1287" max="1287" width="25.85546875" style="2651" customWidth="1"/>
    <col min="1288" max="1288" width="5.5703125" style="2651" customWidth="1"/>
    <col min="1289" max="1289" width="22.85546875" style="2651" customWidth="1"/>
    <col min="1290" max="1290" width="29.140625" style="2651" customWidth="1"/>
    <col min="1291" max="1291" width="4.42578125" style="2651" customWidth="1"/>
    <col min="1292" max="1292" width="3.28515625" style="2651" customWidth="1"/>
    <col min="1293" max="1293" width="17" style="2651" customWidth="1"/>
    <col min="1294" max="1536" width="11" style="2651"/>
    <col min="1537" max="1537" width="70.85546875" style="2651" customWidth="1"/>
    <col min="1538" max="1538" width="29.7109375" style="2651" customWidth="1"/>
    <col min="1539" max="1539" width="5.42578125" style="2651" customWidth="1"/>
    <col min="1540" max="1540" width="24.42578125" style="2651" customWidth="1"/>
    <col min="1541" max="1541" width="8.7109375" style="2651" customWidth="1"/>
    <col min="1542" max="1542" width="20.85546875" style="2651" customWidth="1"/>
    <col min="1543" max="1543" width="25.85546875" style="2651" customWidth="1"/>
    <col min="1544" max="1544" width="5.5703125" style="2651" customWidth="1"/>
    <col min="1545" max="1545" width="22.85546875" style="2651" customWidth="1"/>
    <col min="1546" max="1546" width="29.140625" style="2651" customWidth="1"/>
    <col min="1547" max="1547" width="4.42578125" style="2651" customWidth="1"/>
    <col min="1548" max="1548" width="3.28515625" style="2651" customWidth="1"/>
    <col min="1549" max="1549" width="17" style="2651" customWidth="1"/>
    <col min="1550" max="1792" width="11" style="2651"/>
    <col min="1793" max="1793" width="70.85546875" style="2651" customWidth="1"/>
    <col min="1794" max="1794" width="29.7109375" style="2651" customWidth="1"/>
    <col min="1795" max="1795" width="5.42578125" style="2651" customWidth="1"/>
    <col min="1796" max="1796" width="24.42578125" style="2651" customWidth="1"/>
    <col min="1797" max="1797" width="8.7109375" style="2651" customWidth="1"/>
    <col min="1798" max="1798" width="20.85546875" style="2651" customWidth="1"/>
    <col min="1799" max="1799" width="25.85546875" style="2651" customWidth="1"/>
    <col min="1800" max="1800" width="5.5703125" style="2651" customWidth="1"/>
    <col min="1801" max="1801" width="22.85546875" style="2651" customWidth="1"/>
    <col min="1802" max="1802" width="29.140625" style="2651" customWidth="1"/>
    <col min="1803" max="1803" width="4.42578125" style="2651" customWidth="1"/>
    <col min="1804" max="1804" width="3.28515625" style="2651" customWidth="1"/>
    <col min="1805" max="1805" width="17" style="2651" customWidth="1"/>
    <col min="1806" max="2048" width="11" style="2651"/>
    <col min="2049" max="2049" width="70.85546875" style="2651" customWidth="1"/>
    <col min="2050" max="2050" width="29.7109375" style="2651" customWidth="1"/>
    <col min="2051" max="2051" width="5.42578125" style="2651" customWidth="1"/>
    <col min="2052" max="2052" width="24.42578125" style="2651" customWidth="1"/>
    <col min="2053" max="2053" width="8.7109375" style="2651" customWidth="1"/>
    <col min="2054" max="2054" width="20.85546875" style="2651" customWidth="1"/>
    <col min="2055" max="2055" width="25.85546875" style="2651" customWidth="1"/>
    <col min="2056" max="2056" width="5.5703125" style="2651" customWidth="1"/>
    <col min="2057" max="2057" width="22.85546875" style="2651" customWidth="1"/>
    <col min="2058" max="2058" width="29.140625" style="2651" customWidth="1"/>
    <col min="2059" max="2059" width="4.42578125" style="2651" customWidth="1"/>
    <col min="2060" max="2060" width="3.28515625" style="2651" customWidth="1"/>
    <col min="2061" max="2061" width="17" style="2651" customWidth="1"/>
    <col min="2062" max="2304" width="11" style="2651"/>
    <col min="2305" max="2305" width="70.85546875" style="2651" customWidth="1"/>
    <col min="2306" max="2306" width="29.7109375" style="2651" customWidth="1"/>
    <col min="2307" max="2307" width="5.42578125" style="2651" customWidth="1"/>
    <col min="2308" max="2308" width="24.42578125" style="2651" customWidth="1"/>
    <col min="2309" max="2309" width="8.7109375" style="2651" customWidth="1"/>
    <col min="2310" max="2310" width="20.85546875" style="2651" customWidth="1"/>
    <col min="2311" max="2311" width="25.85546875" style="2651" customWidth="1"/>
    <col min="2312" max="2312" width="5.5703125" style="2651" customWidth="1"/>
    <col min="2313" max="2313" width="22.85546875" style="2651" customWidth="1"/>
    <col min="2314" max="2314" width="29.140625" style="2651" customWidth="1"/>
    <col min="2315" max="2315" width="4.42578125" style="2651" customWidth="1"/>
    <col min="2316" max="2316" width="3.28515625" style="2651" customWidth="1"/>
    <col min="2317" max="2317" width="17" style="2651" customWidth="1"/>
    <col min="2318" max="2560" width="11" style="2651"/>
    <col min="2561" max="2561" width="70.85546875" style="2651" customWidth="1"/>
    <col min="2562" max="2562" width="29.7109375" style="2651" customWidth="1"/>
    <col min="2563" max="2563" width="5.42578125" style="2651" customWidth="1"/>
    <col min="2564" max="2564" width="24.42578125" style="2651" customWidth="1"/>
    <col min="2565" max="2565" width="8.7109375" style="2651" customWidth="1"/>
    <col min="2566" max="2566" width="20.85546875" style="2651" customWidth="1"/>
    <col min="2567" max="2567" width="25.85546875" style="2651" customWidth="1"/>
    <col min="2568" max="2568" width="5.5703125" style="2651" customWidth="1"/>
    <col min="2569" max="2569" width="22.85546875" style="2651" customWidth="1"/>
    <col min="2570" max="2570" width="29.140625" style="2651" customWidth="1"/>
    <col min="2571" max="2571" width="4.42578125" style="2651" customWidth="1"/>
    <col min="2572" max="2572" width="3.28515625" style="2651" customWidth="1"/>
    <col min="2573" max="2573" width="17" style="2651" customWidth="1"/>
    <col min="2574" max="2816" width="11" style="2651"/>
    <col min="2817" max="2817" width="70.85546875" style="2651" customWidth="1"/>
    <col min="2818" max="2818" width="29.7109375" style="2651" customWidth="1"/>
    <col min="2819" max="2819" width="5.42578125" style="2651" customWidth="1"/>
    <col min="2820" max="2820" width="24.42578125" style="2651" customWidth="1"/>
    <col min="2821" max="2821" width="8.7109375" style="2651" customWidth="1"/>
    <col min="2822" max="2822" width="20.85546875" style="2651" customWidth="1"/>
    <col min="2823" max="2823" width="25.85546875" style="2651" customWidth="1"/>
    <col min="2824" max="2824" width="5.5703125" style="2651" customWidth="1"/>
    <col min="2825" max="2825" width="22.85546875" style="2651" customWidth="1"/>
    <col min="2826" max="2826" width="29.140625" style="2651" customWidth="1"/>
    <col min="2827" max="2827" width="4.42578125" style="2651" customWidth="1"/>
    <col min="2828" max="2828" width="3.28515625" style="2651" customWidth="1"/>
    <col min="2829" max="2829" width="17" style="2651" customWidth="1"/>
    <col min="2830" max="3072" width="11" style="2651"/>
    <col min="3073" max="3073" width="70.85546875" style="2651" customWidth="1"/>
    <col min="3074" max="3074" width="29.7109375" style="2651" customWidth="1"/>
    <col min="3075" max="3075" width="5.42578125" style="2651" customWidth="1"/>
    <col min="3076" max="3076" width="24.42578125" style="2651" customWidth="1"/>
    <col min="3077" max="3077" width="8.7109375" style="2651" customWidth="1"/>
    <col min="3078" max="3078" width="20.85546875" style="2651" customWidth="1"/>
    <col min="3079" max="3079" width="25.85546875" style="2651" customWidth="1"/>
    <col min="3080" max="3080" width="5.5703125" style="2651" customWidth="1"/>
    <col min="3081" max="3081" width="22.85546875" style="2651" customWidth="1"/>
    <col min="3082" max="3082" width="29.140625" style="2651" customWidth="1"/>
    <col min="3083" max="3083" width="4.42578125" style="2651" customWidth="1"/>
    <col min="3084" max="3084" width="3.28515625" style="2651" customWidth="1"/>
    <col min="3085" max="3085" width="17" style="2651" customWidth="1"/>
    <col min="3086" max="3328" width="11" style="2651"/>
    <col min="3329" max="3329" width="70.85546875" style="2651" customWidth="1"/>
    <col min="3330" max="3330" width="29.7109375" style="2651" customWidth="1"/>
    <col min="3331" max="3331" width="5.42578125" style="2651" customWidth="1"/>
    <col min="3332" max="3332" width="24.42578125" style="2651" customWidth="1"/>
    <col min="3333" max="3333" width="8.7109375" style="2651" customWidth="1"/>
    <col min="3334" max="3334" width="20.85546875" style="2651" customWidth="1"/>
    <col min="3335" max="3335" width="25.85546875" style="2651" customWidth="1"/>
    <col min="3336" max="3336" width="5.5703125" style="2651" customWidth="1"/>
    <col min="3337" max="3337" width="22.85546875" style="2651" customWidth="1"/>
    <col min="3338" max="3338" width="29.140625" style="2651" customWidth="1"/>
    <col min="3339" max="3339" width="4.42578125" style="2651" customWidth="1"/>
    <col min="3340" max="3340" width="3.28515625" style="2651" customWidth="1"/>
    <col min="3341" max="3341" width="17" style="2651" customWidth="1"/>
    <col min="3342" max="3584" width="11" style="2651"/>
    <col min="3585" max="3585" width="70.85546875" style="2651" customWidth="1"/>
    <col min="3586" max="3586" width="29.7109375" style="2651" customWidth="1"/>
    <col min="3587" max="3587" width="5.42578125" style="2651" customWidth="1"/>
    <col min="3588" max="3588" width="24.42578125" style="2651" customWidth="1"/>
    <col min="3589" max="3589" width="8.7109375" style="2651" customWidth="1"/>
    <col min="3590" max="3590" width="20.85546875" style="2651" customWidth="1"/>
    <col min="3591" max="3591" width="25.85546875" style="2651" customWidth="1"/>
    <col min="3592" max="3592" width="5.5703125" style="2651" customWidth="1"/>
    <col min="3593" max="3593" width="22.85546875" style="2651" customWidth="1"/>
    <col min="3594" max="3594" width="29.140625" style="2651" customWidth="1"/>
    <col min="3595" max="3595" width="4.42578125" style="2651" customWidth="1"/>
    <col min="3596" max="3596" width="3.28515625" style="2651" customWidth="1"/>
    <col min="3597" max="3597" width="17" style="2651" customWidth="1"/>
    <col min="3598" max="3840" width="11" style="2651"/>
    <col min="3841" max="3841" width="70.85546875" style="2651" customWidth="1"/>
    <col min="3842" max="3842" width="29.7109375" style="2651" customWidth="1"/>
    <col min="3843" max="3843" width="5.42578125" style="2651" customWidth="1"/>
    <col min="3844" max="3844" width="24.42578125" style="2651" customWidth="1"/>
    <col min="3845" max="3845" width="8.7109375" style="2651" customWidth="1"/>
    <col min="3846" max="3846" width="20.85546875" style="2651" customWidth="1"/>
    <col min="3847" max="3847" width="25.85546875" style="2651" customWidth="1"/>
    <col min="3848" max="3848" width="5.5703125" style="2651" customWidth="1"/>
    <col min="3849" max="3849" width="22.85546875" style="2651" customWidth="1"/>
    <col min="3850" max="3850" width="29.140625" style="2651" customWidth="1"/>
    <col min="3851" max="3851" width="4.42578125" style="2651" customWidth="1"/>
    <col min="3852" max="3852" width="3.28515625" style="2651" customWidth="1"/>
    <col min="3853" max="3853" width="17" style="2651" customWidth="1"/>
    <col min="3854" max="4096" width="11" style="2651"/>
    <col min="4097" max="4097" width="70.85546875" style="2651" customWidth="1"/>
    <col min="4098" max="4098" width="29.7109375" style="2651" customWidth="1"/>
    <col min="4099" max="4099" width="5.42578125" style="2651" customWidth="1"/>
    <col min="4100" max="4100" width="24.42578125" style="2651" customWidth="1"/>
    <col min="4101" max="4101" width="8.7109375" style="2651" customWidth="1"/>
    <col min="4102" max="4102" width="20.85546875" style="2651" customWidth="1"/>
    <col min="4103" max="4103" width="25.85546875" style="2651" customWidth="1"/>
    <col min="4104" max="4104" width="5.5703125" style="2651" customWidth="1"/>
    <col min="4105" max="4105" width="22.85546875" style="2651" customWidth="1"/>
    <col min="4106" max="4106" width="29.140625" style="2651" customWidth="1"/>
    <col min="4107" max="4107" width="4.42578125" style="2651" customWidth="1"/>
    <col min="4108" max="4108" width="3.28515625" style="2651" customWidth="1"/>
    <col min="4109" max="4109" width="17" style="2651" customWidth="1"/>
    <col min="4110" max="4352" width="11" style="2651"/>
    <col min="4353" max="4353" width="70.85546875" style="2651" customWidth="1"/>
    <col min="4354" max="4354" width="29.7109375" style="2651" customWidth="1"/>
    <col min="4355" max="4355" width="5.42578125" style="2651" customWidth="1"/>
    <col min="4356" max="4356" width="24.42578125" style="2651" customWidth="1"/>
    <col min="4357" max="4357" width="8.7109375" style="2651" customWidth="1"/>
    <col min="4358" max="4358" width="20.85546875" style="2651" customWidth="1"/>
    <col min="4359" max="4359" width="25.85546875" style="2651" customWidth="1"/>
    <col min="4360" max="4360" width="5.5703125" style="2651" customWidth="1"/>
    <col min="4361" max="4361" width="22.85546875" style="2651" customWidth="1"/>
    <col min="4362" max="4362" width="29.140625" style="2651" customWidth="1"/>
    <col min="4363" max="4363" width="4.42578125" style="2651" customWidth="1"/>
    <col min="4364" max="4364" width="3.28515625" style="2651" customWidth="1"/>
    <col min="4365" max="4365" width="17" style="2651" customWidth="1"/>
    <col min="4366" max="4608" width="11" style="2651"/>
    <col min="4609" max="4609" width="70.85546875" style="2651" customWidth="1"/>
    <col min="4610" max="4610" width="29.7109375" style="2651" customWidth="1"/>
    <col min="4611" max="4611" width="5.42578125" style="2651" customWidth="1"/>
    <col min="4612" max="4612" width="24.42578125" style="2651" customWidth="1"/>
    <col min="4613" max="4613" width="8.7109375" style="2651" customWidth="1"/>
    <col min="4614" max="4614" width="20.85546875" style="2651" customWidth="1"/>
    <col min="4615" max="4615" width="25.85546875" style="2651" customWidth="1"/>
    <col min="4616" max="4616" width="5.5703125" style="2651" customWidth="1"/>
    <col min="4617" max="4617" width="22.85546875" style="2651" customWidth="1"/>
    <col min="4618" max="4618" width="29.140625" style="2651" customWidth="1"/>
    <col min="4619" max="4619" width="4.42578125" style="2651" customWidth="1"/>
    <col min="4620" max="4620" width="3.28515625" style="2651" customWidth="1"/>
    <col min="4621" max="4621" width="17" style="2651" customWidth="1"/>
    <col min="4622" max="4864" width="11" style="2651"/>
    <col min="4865" max="4865" width="70.85546875" style="2651" customWidth="1"/>
    <col min="4866" max="4866" width="29.7109375" style="2651" customWidth="1"/>
    <col min="4867" max="4867" width="5.42578125" style="2651" customWidth="1"/>
    <col min="4868" max="4868" width="24.42578125" style="2651" customWidth="1"/>
    <col min="4869" max="4869" width="8.7109375" style="2651" customWidth="1"/>
    <col min="4870" max="4870" width="20.85546875" style="2651" customWidth="1"/>
    <col min="4871" max="4871" width="25.85546875" style="2651" customWidth="1"/>
    <col min="4872" max="4872" width="5.5703125" style="2651" customWidth="1"/>
    <col min="4873" max="4873" width="22.85546875" style="2651" customWidth="1"/>
    <col min="4874" max="4874" width="29.140625" style="2651" customWidth="1"/>
    <col min="4875" max="4875" width="4.42578125" style="2651" customWidth="1"/>
    <col min="4876" max="4876" width="3.28515625" style="2651" customWidth="1"/>
    <col min="4877" max="4877" width="17" style="2651" customWidth="1"/>
    <col min="4878" max="5120" width="11" style="2651"/>
    <col min="5121" max="5121" width="70.85546875" style="2651" customWidth="1"/>
    <col min="5122" max="5122" width="29.7109375" style="2651" customWidth="1"/>
    <col min="5123" max="5123" width="5.42578125" style="2651" customWidth="1"/>
    <col min="5124" max="5124" width="24.42578125" style="2651" customWidth="1"/>
    <col min="5125" max="5125" width="8.7109375" style="2651" customWidth="1"/>
    <col min="5126" max="5126" width="20.85546875" style="2651" customWidth="1"/>
    <col min="5127" max="5127" width="25.85546875" style="2651" customWidth="1"/>
    <col min="5128" max="5128" width="5.5703125" style="2651" customWidth="1"/>
    <col min="5129" max="5129" width="22.85546875" style="2651" customWidth="1"/>
    <col min="5130" max="5130" width="29.140625" style="2651" customWidth="1"/>
    <col min="5131" max="5131" width="4.42578125" style="2651" customWidth="1"/>
    <col min="5132" max="5132" width="3.28515625" style="2651" customWidth="1"/>
    <col min="5133" max="5133" width="17" style="2651" customWidth="1"/>
    <col min="5134" max="5376" width="11" style="2651"/>
    <col min="5377" max="5377" width="70.85546875" style="2651" customWidth="1"/>
    <col min="5378" max="5378" width="29.7109375" style="2651" customWidth="1"/>
    <col min="5379" max="5379" width="5.42578125" style="2651" customWidth="1"/>
    <col min="5380" max="5380" width="24.42578125" style="2651" customWidth="1"/>
    <col min="5381" max="5381" width="8.7109375" style="2651" customWidth="1"/>
    <col min="5382" max="5382" width="20.85546875" style="2651" customWidth="1"/>
    <col min="5383" max="5383" width="25.85546875" style="2651" customWidth="1"/>
    <col min="5384" max="5384" width="5.5703125" style="2651" customWidth="1"/>
    <col min="5385" max="5385" width="22.85546875" style="2651" customWidth="1"/>
    <col min="5386" max="5386" width="29.140625" style="2651" customWidth="1"/>
    <col min="5387" max="5387" width="4.42578125" style="2651" customWidth="1"/>
    <col min="5388" max="5388" width="3.28515625" style="2651" customWidth="1"/>
    <col min="5389" max="5389" width="17" style="2651" customWidth="1"/>
    <col min="5390" max="5632" width="11" style="2651"/>
    <col min="5633" max="5633" width="70.85546875" style="2651" customWidth="1"/>
    <col min="5634" max="5634" width="29.7109375" style="2651" customWidth="1"/>
    <col min="5635" max="5635" width="5.42578125" style="2651" customWidth="1"/>
    <col min="5636" max="5636" width="24.42578125" style="2651" customWidth="1"/>
    <col min="5637" max="5637" width="8.7109375" style="2651" customWidth="1"/>
    <col min="5638" max="5638" width="20.85546875" style="2651" customWidth="1"/>
    <col min="5639" max="5639" width="25.85546875" style="2651" customWidth="1"/>
    <col min="5640" max="5640" width="5.5703125" style="2651" customWidth="1"/>
    <col min="5641" max="5641" width="22.85546875" style="2651" customWidth="1"/>
    <col min="5642" max="5642" width="29.140625" style="2651" customWidth="1"/>
    <col min="5643" max="5643" width="4.42578125" style="2651" customWidth="1"/>
    <col min="5644" max="5644" width="3.28515625" style="2651" customWidth="1"/>
    <col min="5645" max="5645" width="17" style="2651" customWidth="1"/>
    <col min="5646" max="5888" width="11" style="2651"/>
    <col min="5889" max="5889" width="70.85546875" style="2651" customWidth="1"/>
    <col min="5890" max="5890" width="29.7109375" style="2651" customWidth="1"/>
    <col min="5891" max="5891" width="5.42578125" style="2651" customWidth="1"/>
    <col min="5892" max="5892" width="24.42578125" style="2651" customWidth="1"/>
    <col min="5893" max="5893" width="8.7109375" style="2651" customWidth="1"/>
    <col min="5894" max="5894" width="20.85546875" style="2651" customWidth="1"/>
    <col min="5895" max="5895" width="25.85546875" style="2651" customWidth="1"/>
    <col min="5896" max="5896" width="5.5703125" style="2651" customWidth="1"/>
    <col min="5897" max="5897" width="22.85546875" style="2651" customWidth="1"/>
    <col min="5898" max="5898" width="29.140625" style="2651" customWidth="1"/>
    <col min="5899" max="5899" width="4.42578125" style="2651" customWidth="1"/>
    <col min="5900" max="5900" width="3.28515625" style="2651" customWidth="1"/>
    <col min="5901" max="5901" width="17" style="2651" customWidth="1"/>
    <col min="5902" max="6144" width="11" style="2651"/>
    <col min="6145" max="6145" width="70.85546875" style="2651" customWidth="1"/>
    <col min="6146" max="6146" width="29.7109375" style="2651" customWidth="1"/>
    <col min="6147" max="6147" width="5.42578125" style="2651" customWidth="1"/>
    <col min="6148" max="6148" width="24.42578125" style="2651" customWidth="1"/>
    <col min="6149" max="6149" width="8.7109375" style="2651" customWidth="1"/>
    <col min="6150" max="6150" width="20.85546875" style="2651" customWidth="1"/>
    <col min="6151" max="6151" width="25.85546875" style="2651" customWidth="1"/>
    <col min="6152" max="6152" width="5.5703125" style="2651" customWidth="1"/>
    <col min="6153" max="6153" width="22.85546875" style="2651" customWidth="1"/>
    <col min="6154" max="6154" width="29.140625" style="2651" customWidth="1"/>
    <col min="6155" max="6155" width="4.42578125" style="2651" customWidth="1"/>
    <col min="6156" max="6156" width="3.28515625" style="2651" customWidth="1"/>
    <col min="6157" max="6157" width="17" style="2651" customWidth="1"/>
    <col min="6158" max="6400" width="11" style="2651"/>
    <col min="6401" max="6401" width="70.85546875" style="2651" customWidth="1"/>
    <col min="6402" max="6402" width="29.7109375" style="2651" customWidth="1"/>
    <col min="6403" max="6403" width="5.42578125" style="2651" customWidth="1"/>
    <col min="6404" max="6404" width="24.42578125" style="2651" customWidth="1"/>
    <col min="6405" max="6405" width="8.7109375" style="2651" customWidth="1"/>
    <col min="6406" max="6406" width="20.85546875" style="2651" customWidth="1"/>
    <col min="6407" max="6407" width="25.85546875" style="2651" customWidth="1"/>
    <col min="6408" max="6408" width="5.5703125" style="2651" customWidth="1"/>
    <col min="6409" max="6409" width="22.85546875" style="2651" customWidth="1"/>
    <col min="6410" max="6410" width="29.140625" style="2651" customWidth="1"/>
    <col min="6411" max="6411" width="4.42578125" style="2651" customWidth="1"/>
    <col min="6412" max="6412" width="3.28515625" style="2651" customWidth="1"/>
    <col min="6413" max="6413" width="17" style="2651" customWidth="1"/>
    <col min="6414" max="6656" width="11" style="2651"/>
    <col min="6657" max="6657" width="70.85546875" style="2651" customWidth="1"/>
    <col min="6658" max="6658" width="29.7109375" style="2651" customWidth="1"/>
    <col min="6659" max="6659" width="5.42578125" style="2651" customWidth="1"/>
    <col min="6660" max="6660" width="24.42578125" style="2651" customWidth="1"/>
    <col min="6661" max="6661" width="8.7109375" style="2651" customWidth="1"/>
    <col min="6662" max="6662" width="20.85546875" style="2651" customWidth="1"/>
    <col min="6663" max="6663" width="25.85546875" style="2651" customWidth="1"/>
    <col min="6664" max="6664" width="5.5703125" style="2651" customWidth="1"/>
    <col min="6665" max="6665" width="22.85546875" style="2651" customWidth="1"/>
    <col min="6666" max="6666" width="29.140625" style="2651" customWidth="1"/>
    <col min="6667" max="6667" width="4.42578125" style="2651" customWidth="1"/>
    <col min="6668" max="6668" width="3.28515625" style="2651" customWidth="1"/>
    <col min="6669" max="6669" width="17" style="2651" customWidth="1"/>
    <col min="6670" max="6912" width="11" style="2651"/>
    <col min="6913" max="6913" width="70.85546875" style="2651" customWidth="1"/>
    <col min="6914" max="6914" width="29.7109375" style="2651" customWidth="1"/>
    <col min="6915" max="6915" width="5.42578125" style="2651" customWidth="1"/>
    <col min="6916" max="6916" width="24.42578125" style="2651" customWidth="1"/>
    <col min="6917" max="6917" width="8.7109375" style="2651" customWidth="1"/>
    <col min="6918" max="6918" width="20.85546875" style="2651" customWidth="1"/>
    <col min="6919" max="6919" width="25.85546875" style="2651" customWidth="1"/>
    <col min="6920" max="6920" width="5.5703125" style="2651" customWidth="1"/>
    <col min="6921" max="6921" width="22.85546875" style="2651" customWidth="1"/>
    <col min="6922" max="6922" width="29.140625" style="2651" customWidth="1"/>
    <col min="6923" max="6923" width="4.42578125" style="2651" customWidth="1"/>
    <col min="6924" max="6924" width="3.28515625" style="2651" customWidth="1"/>
    <col min="6925" max="6925" width="17" style="2651" customWidth="1"/>
    <col min="6926" max="7168" width="11" style="2651"/>
    <col min="7169" max="7169" width="70.85546875" style="2651" customWidth="1"/>
    <col min="7170" max="7170" width="29.7109375" style="2651" customWidth="1"/>
    <col min="7171" max="7171" width="5.42578125" style="2651" customWidth="1"/>
    <col min="7172" max="7172" width="24.42578125" style="2651" customWidth="1"/>
    <col min="7173" max="7173" width="8.7109375" style="2651" customWidth="1"/>
    <col min="7174" max="7174" width="20.85546875" style="2651" customWidth="1"/>
    <col min="7175" max="7175" width="25.85546875" style="2651" customWidth="1"/>
    <col min="7176" max="7176" width="5.5703125" style="2651" customWidth="1"/>
    <col min="7177" max="7177" width="22.85546875" style="2651" customWidth="1"/>
    <col min="7178" max="7178" width="29.140625" style="2651" customWidth="1"/>
    <col min="7179" max="7179" width="4.42578125" style="2651" customWidth="1"/>
    <col min="7180" max="7180" width="3.28515625" style="2651" customWidth="1"/>
    <col min="7181" max="7181" width="17" style="2651" customWidth="1"/>
    <col min="7182" max="7424" width="11" style="2651"/>
    <col min="7425" max="7425" width="70.85546875" style="2651" customWidth="1"/>
    <col min="7426" max="7426" width="29.7109375" style="2651" customWidth="1"/>
    <col min="7427" max="7427" width="5.42578125" style="2651" customWidth="1"/>
    <col min="7428" max="7428" width="24.42578125" style="2651" customWidth="1"/>
    <col min="7429" max="7429" width="8.7109375" style="2651" customWidth="1"/>
    <col min="7430" max="7430" width="20.85546875" style="2651" customWidth="1"/>
    <col min="7431" max="7431" width="25.85546875" style="2651" customWidth="1"/>
    <col min="7432" max="7432" width="5.5703125" style="2651" customWidth="1"/>
    <col min="7433" max="7433" width="22.85546875" style="2651" customWidth="1"/>
    <col min="7434" max="7434" width="29.140625" style="2651" customWidth="1"/>
    <col min="7435" max="7435" width="4.42578125" style="2651" customWidth="1"/>
    <col min="7436" max="7436" width="3.28515625" style="2651" customWidth="1"/>
    <col min="7437" max="7437" width="17" style="2651" customWidth="1"/>
    <col min="7438" max="7680" width="11" style="2651"/>
    <col min="7681" max="7681" width="70.85546875" style="2651" customWidth="1"/>
    <col min="7682" max="7682" width="29.7109375" style="2651" customWidth="1"/>
    <col min="7683" max="7683" width="5.42578125" style="2651" customWidth="1"/>
    <col min="7684" max="7684" width="24.42578125" style="2651" customWidth="1"/>
    <col min="7685" max="7685" width="8.7109375" style="2651" customWidth="1"/>
    <col min="7686" max="7686" width="20.85546875" style="2651" customWidth="1"/>
    <col min="7687" max="7687" width="25.85546875" style="2651" customWidth="1"/>
    <col min="7688" max="7688" width="5.5703125" style="2651" customWidth="1"/>
    <col min="7689" max="7689" width="22.85546875" style="2651" customWidth="1"/>
    <col min="7690" max="7690" width="29.140625" style="2651" customWidth="1"/>
    <col min="7691" max="7691" width="4.42578125" style="2651" customWidth="1"/>
    <col min="7692" max="7692" width="3.28515625" style="2651" customWidth="1"/>
    <col min="7693" max="7693" width="17" style="2651" customWidth="1"/>
    <col min="7694" max="7936" width="11" style="2651"/>
    <col min="7937" max="7937" width="70.85546875" style="2651" customWidth="1"/>
    <col min="7938" max="7938" width="29.7109375" style="2651" customWidth="1"/>
    <col min="7939" max="7939" width="5.42578125" style="2651" customWidth="1"/>
    <col min="7940" max="7940" width="24.42578125" style="2651" customWidth="1"/>
    <col min="7941" max="7941" width="8.7109375" style="2651" customWidth="1"/>
    <col min="7942" max="7942" width="20.85546875" style="2651" customWidth="1"/>
    <col min="7943" max="7943" width="25.85546875" style="2651" customWidth="1"/>
    <col min="7944" max="7944" width="5.5703125" style="2651" customWidth="1"/>
    <col min="7945" max="7945" width="22.85546875" style="2651" customWidth="1"/>
    <col min="7946" max="7946" width="29.140625" style="2651" customWidth="1"/>
    <col min="7947" max="7947" width="4.42578125" style="2651" customWidth="1"/>
    <col min="7948" max="7948" width="3.28515625" style="2651" customWidth="1"/>
    <col min="7949" max="7949" width="17" style="2651" customWidth="1"/>
    <col min="7950" max="8192" width="11" style="2651"/>
    <col min="8193" max="8193" width="70.85546875" style="2651" customWidth="1"/>
    <col min="8194" max="8194" width="29.7109375" style="2651" customWidth="1"/>
    <col min="8195" max="8195" width="5.42578125" style="2651" customWidth="1"/>
    <col min="8196" max="8196" width="24.42578125" style="2651" customWidth="1"/>
    <col min="8197" max="8197" width="8.7109375" style="2651" customWidth="1"/>
    <col min="8198" max="8198" width="20.85546875" style="2651" customWidth="1"/>
    <col min="8199" max="8199" width="25.85546875" style="2651" customWidth="1"/>
    <col min="8200" max="8200" width="5.5703125" style="2651" customWidth="1"/>
    <col min="8201" max="8201" width="22.85546875" style="2651" customWidth="1"/>
    <col min="8202" max="8202" width="29.140625" style="2651" customWidth="1"/>
    <col min="8203" max="8203" width="4.42578125" style="2651" customWidth="1"/>
    <col min="8204" max="8204" width="3.28515625" style="2651" customWidth="1"/>
    <col min="8205" max="8205" width="17" style="2651" customWidth="1"/>
    <col min="8206" max="8448" width="11" style="2651"/>
    <col min="8449" max="8449" width="70.85546875" style="2651" customWidth="1"/>
    <col min="8450" max="8450" width="29.7109375" style="2651" customWidth="1"/>
    <col min="8451" max="8451" width="5.42578125" style="2651" customWidth="1"/>
    <col min="8452" max="8452" width="24.42578125" style="2651" customWidth="1"/>
    <col min="8453" max="8453" width="8.7109375" style="2651" customWidth="1"/>
    <col min="8454" max="8454" width="20.85546875" style="2651" customWidth="1"/>
    <col min="8455" max="8455" width="25.85546875" style="2651" customWidth="1"/>
    <col min="8456" max="8456" width="5.5703125" style="2651" customWidth="1"/>
    <col min="8457" max="8457" width="22.85546875" style="2651" customWidth="1"/>
    <col min="8458" max="8458" width="29.140625" style="2651" customWidth="1"/>
    <col min="8459" max="8459" width="4.42578125" style="2651" customWidth="1"/>
    <col min="8460" max="8460" width="3.28515625" style="2651" customWidth="1"/>
    <col min="8461" max="8461" width="17" style="2651" customWidth="1"/>
    <col min="8462" max="8704" width="11" style="2651"/>
    <col min="8705" max="8705" width="70.85546875" style="2651" customWidth="1"/>
    <col min="8706" max="8706" width="29.7109375" style="2651" customWidth="1"/>
    <col min="8707" max="8707" width="5.42578125" style="2651" customWidth="1"/>
    <col min="8708" max="8708" width="24.42578125" style="2651" customWidth="1"/>
    <col min="8709" max="8709" width="8.7109375" style="2651" customWidth="1"/>
    <col min="8710" max="8710" width="20.85546875" style="2651" customWidth="1"/>
    <col min="8711" max="8711" width="25.85546875" style="2651" customWidth="1"/>
    <col min="8712" max="8712" width="5.5703125" style="2651" customWidth="1"/>
    <col min="8713" max="8713" width="22.85546875" style="2651" customWidth="1"/>
    <col min="8714" max="8714" width="29.140625" style="2651" customWidth="1"/>
    <col min="8715" max="8715" width="4.42578125" style="2651" customWidth="1"/>
    <col min="8716" max="8716" width="3.28515625" style="2651" customWidth="1"/>
    <col min="8717" max="8717" width="17" style="2651" customWidth="1"/>
    <col min="8718" max="8960" width="11" style="2651"/>
    <col min="8961" max="8961" width="70.85546875" style="2651" customWidth="1"/>
    <col min="8962" max="8962" width="29.7109375" style="2651" customWidth="1"/>
    <col min="8963" max="8963" width="5.42578125" style="2651" customWidth="1"/>
    <col min="8964" max="8964" width="24.42578125" style="2651" customWidth="1"/>
    <col min="8965" max="8965" width="8.7109375" style="2651" customWidth="1"/>
    <col min="8966" max="8966" width="20.85546875" style="2651" customWidth="1"/>
    <col min="8967" max="8967" width="25.85546875" style="2651" customWidth="1"/>
    <col min="8968" max="8968" width="5.5703125" style="2651" customWidth="1"/>
    <col min="8969" max="8969" width="22.85546875" style="2651" customWidth="1"/>
    <col min="8970" max="8970" width="29.140625" style="2651" customWidth="1"/>
    <col min="8971" max="8971" width="4.42578125" style="2651" customWidth="1"/>
    <col min="8972" max="8972" width="3.28515625" style="2651" customWidth="1"/>
    <col min="8973" max="8973" width="17" style="2651" customWidth="1"/>
    <col min="8974" max="9216" width="11" style="2651"/>
    <col min="9217" max="9217" width="70.85546875" style="2651" customWidth="1"/>
    <col min="9218" max="9218" width="29.7109375" style="2651" customWidth="1"/>
    <col min="9219" max="9219" width="5.42578125" style="2651" customWidth="1"/>
    <col min="9220" max="9220" width="24.42578125" style="2651" customWidth="1"/>
    <col min="9221" max="9221" width="8.7109375" style="2651" customWidth="1"/>
    <col min="9222" max="9222" width="20.85546875" style="2651" customWidth="1"/>
    <col min="9223" max="9223" width="25.85546875" style="2651" customWidth="1"/>
    <col min="9224" max="9224" width="5.5703125" style="2651" customWidth="1"/>
    <col min="9225" max="9225" width="22.85546875" style="2651" customWidth="1"/>
    <col min="9226" max="9226" width="29.140625" style="2651" customWidth="1"/>
    <col min="9227" max="9227" width="4.42578125" style="2651" customWidth="1"/>
    <col min="9228" max="9228" width="3.28515625" style="2651" customWidth="1"/>
    <col min="9229" max="9229" width="17" style="2651" customWidth="1"/>
    <col min="9230" max="9472" width="11" style="2651"/>
    <col min="9473" max="9473" width="70.85546875" style="2651" customWidth="1"/>
    <col min="9474" max="9474" width="29.7109375" style="2651" customWidth="1"/>
    <col min="9475" max="9475" width="5.42578125" style="2651" customWidth="1"/>
    <col min="9476" max="9476" width="24.42578125" style="2651" customWidth="1"/>
    <col min="9477" max="9477" width="8.7109375" style="2651" customWidth="1"/>
    <col min="9478" max="9478" width="20.85546875" style="2651" customWidth="1"/>
    <col min="9479" max="9479" width="25.85546875" style="2651" customWidth="1"/>
    <col min="9480" max="9480" width="5.5703125" style="2651" customWidth="1"/>
    <col min="9481" max="9481" width="22.85546875" style="2651" customWidth="1"/>
    <col min="9482" max="9482" width="29.140625" style="2651" customWidth="1"/>
    <col min="9483" max="9483" width="4.42578125" style="2651" customWidth="1"/>
    <col min="9484" max="9484" width="3.28515625" style="2651" customWidth="1"/>
    <col min="9485" max="9485" width="17" style="2651" customWidth="1"/>
    <col min="9486" max="9728" width="11" style="2651"/>
    <col min="9729" max="9729" width="70.85546875" style="2651" customWidth="1"/>
    <col min="9730" max="9730" width="29.7109375" style="2651" customWidth="1"/>
    <col min="9731" max="9731" width="5.42578125" style="2651" customWidth="1"/>
    <col min="9732" max="9732" width="24.42578125" style="2651" customWidth="1"/>
    <col min="9733" max="9733" width="8.7109375" style="2651" customWidth="1"/>
    <col min="9734" max="9734" width="20.85546875" style="2651" customWidth="1"/>
    <col min="9735" max="9735" width="25.85546875" style="2651" customWidth="1"/>
    <col min="9736" max="9736" width="5.5703125" style="2651" customWidth="1"/>
    <col min="9737" max="9737" width="22.85546875" style="2651" customWidth="1"/>
    <col min="9738" max="9738" width="29.140625" style="2651" customWidth="1"/>
    <col min="9739" max="9739" width="4.42578125" style="2651" customWidth="1"/>
    <col min="9740" max="9740" width="3.28515625" style="2651" customWidth="1"/>
    <col min="9741" max="9741" width="17" style="2651" customWidth="1"/>
    <col min="9742" max="9984" width="11" style="2651"/>
    <col min="9985" max="9985" width="70.85546875" style="2651" customWidth="1"/>
    <col min="9986" max="9986" width="29.7109375" style="2651" customWidth="1"/>
    <col min="9987" max="9987" width="5.42578125" style="2651" customWidth="1"/>
    <col min="9988" max="9988" width="24.42578125" style="2651" customWidth="1"/>
    <col min="9989" max="9989" width="8.7109375" style="2651" customWidth="1"/>
    <col min="9990" max="9990" width="20.85546875" style="2651" customWidth="1"/>
    <col min="9991" max="9991" width="25.85546875" style="2651" customWidth="1"/>
    <col min="9992" max="9992" width="5.5703125" style="2651" customWidth="1"/>
    <col min="9993" max="9993" width="22.85546875" style="2651" customWidth="1"/>
    <col min="9994" max="9994" width="29.140625" style="2651" customWidth="1"/>
    <col min="9995" max="9995" width="4.42578125" style="2651" customWidth="1"/>
    <col min="9996" max="9996" width="3.28515625" style="2651" customWidth="1"/>
    <col min="9997" max="9997" width="17" style="2651" customWidth="1"/>
    <col min="9998" max="10240" width="11" style="2651"/>
    <col min="10241" max="10241" width="70.85546875" style="2651" customWidth="1"/>
    <col min="10242" max="10242" width="29.7109375" style="2651" customWidth="1"/>
    <col min="10243" max="10243" width="5.42578125" style="2651" customWidth="1"/>
    <col min="10244" max="10244" width="24.42578125" style="2651" customWidth="1"/>
    <col min="10245" max="10245" width="8.7109375" style="2651" customWidth="1"/>
    <col min="10246" max="10246" width="20.85546875" style="2651" customWidth="1"/>
    <col min="10247" max="10247" width="25.85546875" style="2651" customWidth="1"/>
    <col min="10248" max="10248" width="5.5703125" style="2651" customWidth="1"/>
    <col min="10249" max="10249" width="22.85546875" style="2651" customWidth="1"/>
    <col min="10250" max="10250" width="29.140625" style="2651" customWidth="1"/>
    <col min="10251" max="10251" width="4.42578125" style="2651" customWidth="1"/>
    <col min="10252" max="10252" width="3.28515625" style="2651" customWidth="1"/>
    <col min="10253" max="10253" width="17" style="2651" customWidth="1"/>
    <col min="10254" max="10496" width="11" style="2651"/>
    <col min="10497" max="10497" width="70.85546875" style="2651" customWidth="1"/>
    <col min="10498" max="10498" width="29.7109375" style="2651" customWidth="1"/>
    <col min="10499" max="10499" width="5.42578125" style="2651" customWidth="1"/>
    <col min="10500" max="10500" width="24.42578125" style="2651" customWidth="1"/>
    <col min="10501" max="10501" width="8.7109375" style="2651" customWidth="1"/>
    <col min="10502" max="10502" width="20.85546875" style="2651" customWidth="1"/>
    <col min="10503" max="10503" width="25.85546875" style="2651" customWidth="1"/>
    <col min="10504" max="10504" width="5.5703125" style="2651" customWidth="1"/>
    <col min="10505" max="10505" width="22.85546875" style="2651" customWidth="1"/>
    <col min="10506" max="10506" width="29.140625" style="2651" customWidth="1"/>
    <col min="10507" max="10507" width="4.42578125" style="2651" customWidth="1"/>
    <col min="10508" max="10508" width="3.28515625" style="2651" customWidth="1"/>
    <col min="10509" max="10509" width="17" style="2651" customWidth="1"/>
    <col min="10510" max="10752" width="11" style="2651"/>
    <col min="10753" max="10753" width="70.85546875" style="2651" customWidth="1"/>
    <col min="10754" max="10754" width="29.7109375" style="2651" customWidth="1"/>
    <col min="10755" max="10755" width="5.42578125" style="2651" customWidth="1"/>
    <col min="10756" max="10756" width="24.42578125" style="2651" customWidth="1"/>
    <col min="10757" max="10757" width="8.7109375" style="2651" customWidth="1"/>
    <col min="10758" max="10758" width="20.85546875" style="2651" customWidth="1"/>
    <col min="10759" max="10759" width="25.85546875" style="2651" customWidth="1"/>
    <col min="10760" max="10760" width="5.5703125" style="2651" customWidth="1"/>
    <col min="10761" max="10761" width="22.85546875" style="2651" customWidth="1"/>
    <col min="10762" max="10762" width="29.140625" style="2651" customWidth="1"/>
    <col min="10763" max="10763" width="4.42578125" style="2651" customWidth="1"/>
    <col min="10764" max="10764" width="3.28515625" style="2651" customWidth="1"/>
    <col min="10765" max="10765" width="17" style="2651" customWidth="1"/>
    <col min="10766" max="11008" width="11" style="2651"/>
    <col min="11009" max="11009" width="70.85546875" style="2651" customWidth="1"/>
    <col min="11010" max="11010" width="29.7109375" style="2651" customWidth="1"/>
    <col min="11011" max="11011" width="5.42578125" style="2651" customWidth="1"/>
    <col min="11012" max="11012" width="24.42578125" style="2651" customWidth="1"/>
    <col min="11013" max="11013" width="8.7109375" style="2651" customWidth="1"/>
    <col min="11014" max="11014" width="20.85546875" style="2651" customWidth="1"/>
    <col min="11015" max="11015" width="25.85546875" style="2651" customWidth="1"/>
    <col min="11016" max="11016" width="5.5703125" style="2651" customWidth="1"/>
    <col min="11017" max="11017" width="22.85546875" style="2651" customWidth="1"/>
    <col min="11018" max="11018" width="29.140625" style="2651" customWidth="1"/>
    <col min="11019" max="11019" width="4.42578125" style="2651" customWidth="1"/>
    <col min="11020" max="11020" width="3.28515625" style="2651" customWidth="1"/>
    <col min="11021" max="11021" width="17" style="2651" customWidth="1"/>
    <col min="11022" max="11264" width="11" style="2651"/>
    <col min="11265" max="11265" width="70.85546875" style="2651" customWidth="1"/>
    <col min="11266" max="11266" width="29.7109375" style="2651" customWidth="1"/>
    <col min="11267" max="11267" width="5.42578125" style="2651" customWidth="1"/>
    <col min="11268" max="11268" width="24.42578125" style="2651" customWidth="1"/>
    <col min="11269" max="11269" width="8.7109375" style="2651" customWidth="1"/>
    <col min="11270" max="11270" width="20.85546875" style="2651" customWidth="1"/>
    <col min="11271" max="11271" width="25.85546875" style="2651" customWidth="1"/>
    <col min="11272" max="11272" width="5.5703125" style="2651" customWidth="1"/>
    <col min="11273" max="11273" width="22.85546875" style="2651" customWidth="1"/>
    <col min="11274" max="11274" width="29.140625" style="2651" customWidth="1"/>
    <col min="11275" max="11275" width="4.42578125" style="2651" customWidth="1"/>
    <col min="11276" max="11276" width="3.28515625" style="2651" customWidth="1"/>
    <col min="11277" max="11277" width="17" style="2651" customWidth="1"/>
    <col min="11278" max="11520" width="11" style="2651"/>
    <col min="11521" max="11521" width="70.85546875" style="2651" customWidth="1"/>
    <col min="11522" max="11522" width="29.7109375" style="2651" customWidth="1"/>
    <col min="11523" max="11523" width="5.42578125" style="2651" customWidth="1"/>
    <col min="11524" max="11524" width="24.42578125" style="2651" customWidth="1"/>
    <col min="11525" max="11525" width="8.7109375" style="2651" customWidth="1"/>
    <col min="11526" max="11526" width="20.85546875" style="2651" customWidth="1"/>
    <col min="11527" max="11527" width="25.85546875" style="2651" customWidth="1"/>
    <col min="11528" max="11528" width="5.5703125" style="2651" customWidth="1"/>
    <col min="11529" max="11529" width="22.85546875" style="2651" customWidth="1"/>
    <col min="11530" max="11530" width="29.140625" style="2651" customWidth="1"/>
    <col min="11531" max="11531" width="4.42578125" style="2651" customWidth="1"/>
    <col min="11532" max="11532" width="3.28515625" style="2651" customWidth="1"/>
    <col min="11533" max="11533" width="17" style="2651" customWidth="1"/>
    <col min="11534" max="11776" width="11" style="2651"/>
    <col min="11777" max="11777" width="70.85546875" style="2651" customWidth="1"/>
    <col min="11778" max="11778" width="29.7109375" style="2651" customWidth="1"/>
    <col min="11779" max="11779" width="5.42578125" style="2651" customWidth="1"/>
    <col min="11780" max="11780" width="24.42578125" style="2651" customWidth="1"/>
    <col min="11781" max="11781" width="8.7109375" style="2651" customWidth="1"/>
    <col min="11782" max="11782" width="20.85546875" style="2651" customWidth="1"/>
    <col min="11783" max="11783" width="25.85546875" style="2651" customWidth="1"/>
    <col min="11784" max="11784" width="5.5703125" style="2651" customWidth="1"/>
    <col min="11785" max="11785" width="22.85546875" style="2651" customWidth="1"/>
    <col min="11786" max="11786" width="29.140625" style="2651" customWidth="1"/>
    <col min="11787" max="11787" width="4.42578125" style="2651" customWidth="1"/>
    <col min="11788" max="11788" width="3.28515625" style="2651" customWidth="1"/>
    <col min="11789" max="11789" width="17" style="2651" customWidth="1"/>
    <col min="11790" max="12032" width="11" style="2651"/>
    <col min="12033" max="12033" width="70.85546875" style="2651" customWidth="1"/>
    <col min="12034" max="12034" width="29.7109375" style="2651" customWidth="1"/>
    <col min="12035" max="12035" width="5.42578125" style="2651" customWidth="1"/>
    <col min="12036" max="12036" width="24.42578125" style="2651" customWidth="1"/>
    <col min="12037" max="12037" width="8.7109375" style="2651" customWidth="1"/>
    <col min="12038" max="12038" width="20.85546875" style="2651" customWidth="1"/>
    <col min="12039" max="12039" width="25.85546875" style="2651" customWidth="1"/>
    <col min="12040" max="12040" width="5.5703125" style="2651" customWidth="1"/>
    <col min="12041" max="12041" width="22.85546875" style="2651" customWidth="1"/>
    <col min="12042" max="12042" width="29.140625" style="2651" customWidth="1"/>
    <col min="12043" max="12043" width="4.42578125" style="2651" customWidth="1"/>
    <col min="12044" max="12044" width="3.28515625" style="2651" customWidth="1"/>
    <col min="12045" max="12045" width="17" style="2651" customWidth="1"/>
    <col min="12046" max="12288" width="11" style="2651"/>
    <col min="12289" max="12289" width="70.85546875" style="2651" customWidth="1"/>
    <col min="12290" max="12290" width="29.7109375" style="2651" customWidth="1"/>
    <col min="12291" max="12291" width="5.42578125" style="2651" customWidth="1"/>
    <col min="12292" max="12292" width="24.42578125" style="2651" customWidth="1"/>
    <col min="12293" max="12293" width="8.7109375" style="2651" customWidth="1"/>
    <col min="12294" max="12294" width="20.85546875" style="2651" customWidth="1"/>
    <col min="12295" max="12295" width="25.85546875" style="2651" customWidth="1"/>
    <col min="12296" max="12296" width="5.5703125" style="2651" customWidth="1"/>
    <col min="12297" max="12297" width="22.85546875" style="2651" customWidth="1"/>
    <col min="12298" max="12298" width="29.140625" style="2651" customWidth="1"/>
    <col min="12299" max="12299" width="4.42578125" style="2651" customWidth="1"/>
    <col min="12300" max="12300" width="3.28515625" style="2651" customWidth="1"/>
    <col min="12301" max="12301" width="17" style="2651" customWidth="1"/>
    <col min="12302" max="12544" width="11" style="2651"/>
    <col min="12545" max="12545" width="70.85546875" style="2651" customWidth="1"/>
    <col min="12546" max="12546" width="29.7109375" style="2651" customWidth="1"/>
    <col min="12547" max="12547" width="5.42578125" style="2651" customWidth="1"/>
    <col min="12548" max="12548" width="24.42578125" style="2651" customWidth="1"/>
    <col min="12549" max="12549" width="8.7109375" style="2651" customWidth="1"/>
    <col min="12550" max="12550" width="20.85546875" style="2651" customWidth="1"/>
    <col min="12551" max="12551" width="25.85546875" style="2651" customWidth="1"/>
    <col min="12552" max="12552" width="5.5703125" style="2651" customWidth="1"/>
    <col min="12553" max="12553" width="22.85546875" style="2651" customWidth="1"/>
    <col min="12554" max="12554" width="29.140625" style="2651" customWidth="1"/>
    <col min="12555" max="12555" width="4.42578125" style="2651" customWidth="1"/>
    <col min="12556" max="12556" width="3.28515625" style="2651" customWidth="1"/>
    <col min="12557" max="12557" width="17" style="2651" customWidth="1"/>
    <col min="12558" max="12800" width="11" style="2651"/>
    <col min="12801" max="12801" width="70.85546875" style="2651" customWidth="1"/>
    <col min="12802" max="12802" width="29.7109375" style="2651" customWidth="1"/>
    <col min="12803" max="12803" width="5.42578125" style="2651" customWidth="1"/>
    <col min="12804" max="12804" width="24.42578125" style="2651" customWidth="1"/>
    <col min="12805" max="12805" width="8.7109375" style="2651" customWidth="1"/>
    <col min="12806" max="12806" width="20.85546875" style="2651" customWidth="1"/>
    <col min="12807" max="12807" width="25.85546875" style="2651" customWidth="1"/>
    <col min="12808" max="12808" width="5.5703125" style="2651" customWidth="1"/>
    <col min="12809" max="12809" width="22.85546875" style="2651" customWidth="1"/>
    <col min="12810" max="12810" width="29.140625" style="2651" customWidth="1"/>
    <col min="12811" max="12811" width="4.42578125" style="2651" customWidth="1"/>
    <col min="12812" max="12812" width="3.28515625" style="2651" customWidth="1"/>
    <col min="12813" max="12813" width="17" style="2651" customWidth="1"/>
    <col min="12814" max="13056" width="11" style="2651"/>
    <col min="13057" max="13057" width="70.85546875" style="2651" customWidth="1"/>
    <col min="13058" max="13058" width="29.7109375" style="2651" customWidth="1"/>
    <col min="13059" max="13059" width="5.42578125" style="2651" customWidth="1"/>
    <col min="13060" max="13060" width="24.42578125" style="2651" customWidth="1"/>
    <col min="13061" max="13061" width="8.7109375" style="2651" customWidth="1"/>
    <col min="13062" max="13062" width="20.85546875" style="2651" customWidth="1"/>
    <col min="13063" max="13063" width="25.85546875" style="2651" customWidth="1"/>
    <col min="13064" max="13064" width="5.5703125" style="2651" customWidth="1"/>
    <col min="13065" max="13065" width="22.85546875" style="2651" customWidth="1"/>
    <col min="13066" max="13066" width="29.140625" style="2651" customWidth="1"/>
    <col min="13067" max="13067" width="4.42578125" style="2651" customWidth="1"/>
    <col min="13068" max="13068" width="3.28515625" style="2651" customWidth="1"/>
    <col min="13069" max="13069" width="17" style="2651" customWidth="1"/>
    <col min="13070" max="13312" width="11" style="2651"/>
    <col min="13313" max="13313" width="70.85546875" style="2651" customWidth="1"/>
    <col min="13314" max="13314" width="29.7109375" style="2651" customWidth="1"/>
    <col min="13315" max="13315" width="5.42578125" style="2651" customWidth="1"/>
    <col min="13316" max="13316" width="24.42578125" style="2651" customWidth="1"/>
    <col min="13317" max="13317" width="8.7109375" style="2651" customWidth="1"/>
    <col min="13318" max="13318" width="20.85546875" style="2651" customWidth="1"/>
    <col min="13319" max="13319" width="25.85546875" style="2651" customWidth="1"/>
    <col min="13320" max="13320" width="5.5703125" style="2651" customWidth="1"/>
    <col min="13321" max="13321" width="22.85546875" style="2651" customWidth="1"/>
    <col min="13322" max="13322" width="29.140625" style="2651" customWidth="1"/>
    <col min="13323" max="13323" width="4.42578125" style="2651" customWidth="1"/>
    <col min="13324" max="13324" width="3.28515625" style="2651" customWidth="1"/>
    <col min="13325" max="13325" width="17" style="2651" customWidth="1"/>
    <col min="13326" max="13568" width="11" style="2651"/>
    <col min="13569" max="13569" width="70.85546875" style="2651" customWidth="1"/>
    <col min="13570" max="13570" width="29.7109375" style="2651" customWidth="1"/>
    <col min="13571" max="13571" width="5.42578125" style="2651" customWidth="1"/>
    <col min="13572" max="13572" width="24.42578125" style="2651" customWidth="1"/>
    <col min="13573" max="13573" width="8.7109375" style="2651" customWidth="1"/>
    <col min="13574" max="13574" width="20.85546875" style="2651" customWidth="1"/>
    <col min="13575" max="13575" width="25.85546875" style="2651" customWidth="1"/>
    <col min="13576" max="13576" width="5.5703125" style="2651" customWidth="1"/>
    <col min="13577" max="13577" width="22.85546875" style="2651" customWidth="1"/>
    <col min="13578" max="13578" width="29.140625" style="2651" customWidth="1"/>
    <col min="13579" max="13579" width="4.42578125" style="2651" customWidth="1"/>
    <col min="13580" max="13580" width="3.28515625" style="2651" customWidth="1"/>
    <col min="13581" max="13581" width="17" style="2651" customWidth="1"/>
    <col min="13582" max="13824" width="11" style="2651"/>
    <col min="13825" max="13825" width="70.85546875" style="2651" customWidth="1"/>
    <col min="13826" max="13826" width="29.7109375" style="2651" customWidth="1"/>
    <col min="13827" max="13827" width="5.42578125" style="2651" customWidth="1"/>
    <col min="13828" max="13828" width="24.42578125" style="2651" customWidth="1"/>
    <col min="13829" max="13829" width="8.7109375" style="2651" customWidth="1"/>
    <col min="13830" max="13830" width="20.85546875" style="2651" customWidth="1"/>
    <col min="13831" max="13831" width="25.85546875" style="2651" customWidth="1"/>
    <col min="13832" max="13832" width="5.5703125" style="2651" customWidth="1"/>
    <col min="13833" max="13833" width="22.85546875" style="2651" customWidth="1"/>
    <col min="13834" max="13834" width="29.140625" style="2651" customWidth="1"/>
    <col min="13835" max="13835" width="4.42578125" style="2651" customWidth="1"/>
    <col min="13836" max="13836" width="3.28515625" style="2651" customWidth="1"/>
    <col min="13837" max="13837" width="17" style="2651" customWidth="1"/>
    <col min="13838" max="14080" width="11" style="2651"/>
    <col min="14081" max="14081" width="70.85546875" style="2651" customWidth="1"/>
    <col min="14082" max="14082" width="29.7109375" style="2651" customWidth="1"/>
    <col min="14083" max="14083" width="5.42578125" style="2651" customWidth="1"/>
    <col min="14084" max="14084" width="24.42578125" style="2651" customWidth="1"/>
    <col min="14085" max="14085" width="8.7109375" style="2651" customWidth="1"/>
    <col min="14086" max="14086" width="20.85546875" style="2651" customWidth="1"/>
    <col min="14087" max="14087" width="25.85546875" style="2651" customWidth="1"/>
    <col min="14088" max="14088" width="5.5703125" style="2651" customWidth="1"/>
    <col min="14089" max="14089" width="22.85546875" style="2651" customWidth="1"/>
    <col min="14090" max="14090" width="29.140625" style="2651" customWidth="1"/>
    <col min="14091" max="14091" width="4.42578125" style="2651" customWidth="1"/>
    <col min="14092" max="14092" width="3.28515625" style="2651" customWidth="1"/>
    <col min="14093" max="14093" width="17" style="2651" customWidth="1"/>
    <col min="14094" max="14336" width="11" style="2651"/>
    <col min="14337" max="14337" width="70.85546875" style="2651" customWidth="1"/>
    <col min="14338" max="14338" width="29.7109375" style="2651" customWidth="1"/>
    <col min="14339" max="14339" width="5.42578125" style="2651" customWidth="1"/>
    <col min="14340" max="14340" width="24.42578125" style="2651" customWidth="1"/>
    <col min="14341" max="14341" width="8.7109375" style="2651" customWidth="1"/>
    <col min="14342" max="14342" width="20.85546875" style="2651" customWidth="1"/>
    <col min="14343" max="14343" width="25.85546875" style="2651" customWidth="1"/>
    <col min="14344" max="14344" width="5.5703125" style="2651" customWidth="1"/>
    <col min="14345" max="14345" width="22.85546875" style="2651" customWidth="1"/>
    <col min="14346" max="14346" width="29.140625" style="2651" customWidth="1"/>
    <col min="14347" max="14347" width="4.42578125" style="2651" customWidth="1"/>
    <col min="14348" max="14348" width="3.28515625" style="2651" customWidth="1"/>
    <col min="14349" max="14349" width="17" style="2651" customWidth="1"/>
    <col min="14350" max="14592" width="11" style="2651"/>
    <col min="14593" max="14593" width="70.85546875" style="2651" customWidth="1"/>
    <col min="14594" max="14594" width="29.7109375" style="2651" customWidth="1"/>
    <col min="14595" max="14595" width="5.42578125" style="2651" customWidth="1"/>
    <col min="14596" max="14596" width="24.42578125" style="2651" customWidth="1"/>
    <col min="14597" max="14597" width="8.7109375" style="2651" customWidth="1"/>
    <col min="14598" max="14598" width="20.85546875" style="2651" customWidth="1"/>
    <col min="14599" max="14599" width="25.85546875" style="2651" customWidth="1"/>
    <col min="14600" max="14600" width="5.5703125" style="2651" customWidth="1"/>
    <col min="14601" max="14601" width="22.85546875" style="2651" customWidth="1"/>
    <col min="14602" max="14602" width="29.140625" style="2651" customWidth="1"/>
    <col min="14603" max="14603" width="4.42578125" style="2651" customWidth="1"/>
    <col min="14604" max="14604" width="3.28515625" style="2651" customWidth="1"/>
    <col min="14605" max="14605" width="17" style="2651" customWidth="1"/>
    <col min="14606" max="14848" width="11" style="2651"/>
    <col min="14849" max="14849" width="70.85546875" style="2651" customWidth="1"/>
    <col min="14850" max="14850" width="29.7109375" style="2651" customWidth="1"/>
    <col min="14851" max="14851" width="5.42578125" style="2651" customWidth="1"/>
    <col min="14852" max="14852" width="24.42578125" style="2651" customWidth="1"/>
    <col min="14853" max="14853" width="8.7109375" style="2651" customWidth="1"/>
    <col min="14854" max="14854" width="20.85546875" style="2651" customWidth="1"/>
    <col min="14855" max="14855" width="25.85546875" style="2651" customWidth="1"/>
    <col min="14856" max="14856" width="5.5703125" style="2651" customWidth="1"/>
    <col min="14857" max="14857" width="22.85546875" style="2651" customWidth="1"/>
    <col min="14858" max="14858" width="29.140625" style="2651" customWidth="1"/>
    <col min="14859" max="14859" width="4.42578125" style="2651" customWidth="1"/>
    <col min="14860" max="14860" width="3.28515625" style="2651" customWidth="1"/>
    <col min="14861" max="14861" width="17" style="2651" customWidth="1"/>
    <col min="14862" max="15104" width="11" style="2651"/>
    <col min="15105" max="15105" width="70.85546875" style="2651" customWidth="1"/>
    <col min="15106" max="15106" width="29.7109375" style="2651" customWidth="1"/>
    <col min="15107" max="15107" width="5.42578125" style="2651" customWidth="1"/>
    <col min="15108" max="15108" width="24.42578125" style="2651" customWidth="1"/>
    <col min="15109" max="15109" width="8.7109375" style="2651" customWidth="1"/>
    <col min="15110" max="15110" width="20.85546875" style="2651" customWidth="1"/>
    <col min="15111" max="15111" width="25.85546875" style="2651" customWidth="1"/>
    <col min="15112" max="15112" width="5.5703125" style="2651" customWidth="1"/>
    <col min="15113" max="15113" width="22.85546875" style="2651" customWidth="1"/>
    <col min="15114" max="15114" width="29.140625" style="2651" customWidth="1"/>
    <col min="15115" max="15115" width="4.42578125" style="2651" customWidth="1"/>
    <col min="15116" max="15116" width="3.28515625" style="2651" customWidth="1"/>
    <col min="15117" max="15117" width="17" style="2651" customWidth="1"/>
    <col min="15118" max="15360" width="11" style="2651"/>
    <col min="15361" max="15361" width="70.85546875" style="2651" customWidth="1"/>
    <col min="15362" max="15362" width="29.7109375" style="2651" customWidth="1"/>
    <col min="15363" max="15363" width="5.42578125" style="2651" customWidth="1"/>
    <col min="15364" max="15364" width="24.42578125" style="2651" customWidth="1"/>
    <col min="15365" max="15365" width="8.7109375" style="2651" customWidth="1"/>
    <col min="15366" max="15366" width="20.85546875" style="2651" customWidth="1"/>
    <col min="15367" max="15367" width="25.85546875" style="2651" customWidth="1"/>
    <col min="15368" max="15368" width="5.5703125" style="2651" customWidth="1"/>
    <col min="15369" max="15369" width="22.85546875" style="2651" customWidth="1"/>
    <col min="15370" max="15370" width="29.140625" style="2651" customWidth="1"/>
    <col min="15371" max="15371" width="4.42578125" style="2651" customWidth="1"/>
    <col min="15372" max="15372" width="3.28515625" style="2651" customWidth="1"/>
    <col min="15373" max="15373" width="17" style="2651" customWidth="1"/>
    <col min="15374" max="15616" width="11" style="2651"/>
    <col min="15617" max="15617" width="70.85546875" style="2651" customWidth="1"/>
    <col min="15618" max="15618" width="29.7109375" style="2651" customWidth="1"/>
    <col min="15619" max="15619" width="5.42578125" style="2651" customWidth="1"/>
    <col min="15620" max="15620" width="24.42578125" style="2651" customWidth="1"/>
    <col min="15621" max="15621" width="8.7109375" style="2651" customWidth="1"/>
    <col min="15622" max="15622" width="20.85546875" style="2651" customWidth="1"/>
    <col min="15623" max="15623" width="25.85546875" style="2651" customWidth="1"/>
    <col min="15624" max="15624" width="5.5703125" style="2651" customWidth="1"/>
    <col min="15625" max="15625" width="22.85546875" style="2651" customWidth="1"/>
    <col min="15626" max="15626" width="29.140625" style="2651" customWidth="1"/>
    <col min="15627" max="15627" width="4.42578125" style="2651" customWidth="1"/>
    <col min="15628" max="15628" width="3.28515625" style="2651" customWidth="1"/>
    <col min="15629" max="15629" width="17" style="2651" customWidth="1"/>
    <col min="15630" max="15872" width="11" style="2651"/>
    <col min="15873" max="15873" width="70.85546875" style="2651" customWidth="1"/>
    <col min="15874" max="15874" width="29.7109375" style="2651" customWidth="1"/>
    <col min="15875" max="15875" width="5.42578125" style="2651" customWidth="1"/>
    <col min="15876" max="15876" width="24.42578125" style="2651" customWidth="1"/>
    <col min="15877" max="15877" width="8.7109375" style="2651" customWidth="1"/>
    <col min="15878" max="15878" width="20.85546875" style="2651" customWidth="1"/>
    <col min="15879" max="15879" width="25.85546875" style="2651" customWidth="1"/>
    <col min="15880" max="15880" width="5.5703125" style="2651" customWidth="1"/>
    <col min="15881" max="15881" width="22.85546875" style="2651" customWidth="1"/>
    <col min="15882" max="15882" width="29.140625" style="2651" customWidth="1"/>
    <col min="15883" max="15883" width="4.42578125" style="2651" customWidth="1"/>
    <col min="15884" max="15884" width="3.28515625" style="2651" customWidth="1"/>
    <col min="15885" max="15885" width="17" style="2651" customWidth="1"/>
    <col min="15886" max="16128" width="11" style="2651"/>
    <col min="16129" max="16129" width="70.85546875" style="2651" customWidth="1"/>
    <col min="16130" max="16130" width="29.7109375" style="2651" customWidth="1"/>
    <col min="16131" max="16131" width="5.42578125" style="2651" customWidth="1"/>
    <col min="16132" max="16132" width="24.42578125" style="2651" customWidth="1"/>
    <col min="16133" max="16133" width="8.7109375" style="2651" customWidth="1"/>
    <col min="16134" max="16134" width="20.85546875" style="2651" customWidth="1"/>
    <col min="16135" max="16135" width="25.85546875" style="2651" customWidth="1"/>
    <col min="16136" max="16136" width="5.5703125" style="2651" customWidth="1"/>
    <col min="16137" max="16137" width="22.85546875" style="2651" customWidth="1"/>
    <col min="16138" max="16138" width="29.140625" style="2651" customWidth="1"/>
    <col min="16139" max="16139" width="4.42578125" style="2651" customWidth="1"/>
    <col min="16140" max="16140" width="3.28515625" style="2651" customWidth="1"/>
    <col min="16141" max="16141" width="17" style="2651" customWidth="1"/>
    <col min="16142" max="16384" width="11" style="2651"/>
  </cols>
  <sheetData>
    <row r="1" spans="1:13" ht="26.25" customHeight="1">
      <c r="B1" s="2651" t="s">
        <v>94</v>
      </c>
      <c r="D1" s="2652" t="s">
        <v>2024</v>
      </c>
    </row>
    <row r="2" spans="1:13" ht="22.5">
      <c r="A2" s="2652" t="s">
        <v>2025</v>
      </c>
      <c r="B2" s="2653"/>
      <c r="C2" s="2653"/>
      <c r="D2" s="2654"/>
      <c r="E2" s="2653"/>
      <c r="F2" s="2653"/>
      <c r="G2" s="2653"/>
      <c r="H2" s="2653"/>
      <c r="I2" s="2653"/>
      <c r="J2" s="2655"/>
      <c r="K2" s="2655"/>
    </row>
    <row r="3" spans="1:13" ht="16.5" customHeight="1">
      <c r="A3" s="2656"/>
      <c r="B3" s="2655"/>
      <c r="C3" s="2653"/>
      <c r="D3" s="2654"/>
      <c r="E3" s="2653"/>
      <c r="F3" s="2653"/>
      <c r="G3" s="2653"/>
      <c r="H3" s="2653"/>
      <c r="I3" s="2653"/>
      <c r="J3" s="2655"/>
      <c r="K3" s="2655"/>
    </row>
    <row r="4" spans="1:13" ht="21.75" customHeight="1">
      <c r="A4" s="6229" t="s">
        <v>1870</v>
      </c>
      <c r="B4" s="2700" t="s">
        <v>2026</v>
      </c>
      <c r="C4" s="2701"/>
      <c r="D4" s="2700" t="s">
        <v>2027</v>
      </c>
      <c r="E4" s="2701"/>
      <c r="F4" s="2700" t="s">
        <v>2028</v>
      </c>
      <c r="G4" s="2700" t="s">
        <v>47</v>
      </c>
      <c r="H4" s="2701"/>
      <c r="I4" s="2702" t="s">
        <v>515</v>
      </c>
      <c r="J4" s="2700" t="s">
        <v>2026</v>
      </c>
      <c r="K4" s="2657"/>
    </row>
    <row r="5" spans="1:13" ht="19.5" customHeight="1">
      <c r="A5" s="6230"/>
      <c r="B5" s="2700" t="s">
        <v>2029</v>
      </c>
      <c r="C5" s="2701"/>
      <c r="D5" s="2700" t="s">
        <v>2030</v>
      </c>
      <c r="E5" s="2701"/>
      <c r="F5" s="2700" t="s">
        <v>2031</v>
      </c>
      <c r="G5" s="2701"/>
      <c r="H5" s="2701"/>
      <c r="I5" s="2702" t="s">
        <v>2032</v>
      </c>
      <c r="J5" s="2700" t="s">
        <v>2033</v>
      </c>
      <c r="K5" s="2657"/>
    </row>
    <row r="6" spans="1:13" ht="20.25" hidden="1" customHeight="1">
      <c r="A6" s="2698" t="s">
        <v>2034</v>
      </c>
      <c r="B6" s="2698" t="s">
        <v>2035</v>
      </c>
      <c r="C6" s="2695"/>
      <c r="D6" s="2696" t="s">
        <v>2036</v>
      </c>
      <c r="E6" s="2695"/>
      <c r="F6" s="2696" t="s">
        <v>2037</v>
      </c>
      <c r="G6" s="2694" t="s">
        <v>2038</v>
      </c>
      <c r="H6" s="2695"/>
      <c r="I6" s="2696" t="s">
        <v>2039</v>
      </c>
      <c r="J6" s="2697" t="s">
        <v>2040</v>
      </c>
      <c r="K6" s="2657"/>
    </row>
    <row r="7" spans="1:13" ht="24" hidden="1" customHeight="1">
      <c r="A7" s="2698" t="s">
        <v>94</v>
      </c>
      <c r="B7" s="2698" t="s">
        <v>586</v>
      </c>
      <c r="C7" s="2698" t="s">
        <v>94</v>
      </c>
      <c r="D7" s="2699" t="s">
        <v>586</v>
      </c>
      <c r="E7" s="2698" t="s">
        <v>94</v>
      </c>
      <c r="F7" s="2699" t="s">
        <v>586</v>
      </c>
      <c r="G7" s="2698" t="s">
        <v>586</v>
      </c>
      <c r="H7" s="2698" t="s">
        <v>94</v>
      </c>
      <c r="I7" s="2699" t="s">
        <v>586</v>
      </c>
      <c r="J7" s="2700" t="s">
        <v>586</v>
      </c>
      <c r="K7" s="2653"/>
      <c r="L7" s="2651" t="s">
        <v>94</v>
      </c>
    </row>
    <row r="8" spans="1:13" ht="23.25" customHeight="1">
      <c r="A8" s="2660" t="s">
        <v>2041</v>
      </c>
      <c r="B8" s="2658">
        <v>0</v>
      </c>
      <c r="C8" s="2657"/>
      <c r="D8" s="2661">
        <v>0</v>
      </c>
      <c r="E8" s="2658"/>
      <c r="F8" s="2661">
        <v>0</v>
      </c>
      <c r="G8" s="2658">
        <f t="shared" ref="G8:G26" si="0">B8+D8+F8</f>
        <v>0</v>
      </c>
      <c r="H8" s="2658"/>
      <c r="I8" s="2662">
        <v>0</v>
      </c>
      <c r="J8" s="2660">
        <f t="shared" ref="J8:J15" si="1">G8-I8</f>
        <v>0</v>
      </c>
      <c r="K8" s="2657"/>
    </row>
    <row r="9" spans="1:13" ht="23.25" customHeight="1">
      <c r="A9" s="2660" t="s">
        <v>2042</v>
      </c>
      <c r="B9" s="2663">
        <v>0</v>
      </c>
      <c r="C9" s="2657"/>
      <c r="D9" s="2662">
        <v>0</v>
      </c>
      <c r="E9" s="2658"/>
      <c r="F9" s="2662">
        <v>0</v>
      </c>
      <c r="G9" s="2658">
        <f t="shared" si="0"/>
        <v>0</v>
      </c>
      <c r="H9" s="2658"/>
      <c r="I9" s="2662">
        <v>0</v>
      </c>
      <c r="J9" s="2664">
        <f>G9-I9</f>
        <v>0</v>
      </c>
      <c r="K9" s="2657"/>
    </row>
    <row r="10" spans="1:13" ht="23.25" customHeight="1">
      <c r="A10" s="2660" t="s">
        <v>2043</v>
      </c>
      <c r="B10" s="2663">
        <v>0</v>
      </c>
      <c r="C10" s="2657"/>
      <c r="D10" s="2662">
        <v>0</v>
      </c>
      <c r="E10" s="2658"/>
      <c r="F10" s="2662">
        <v>0</v>
      </c>
      <c r="G10" s="2658">
        <f t="shared" si="0"/>
        <v>0</v>
      </c>
      <c r="H10" s="2658"/>
      <c r="I10" s="2662">
        <v>0</v>
      </c>
      <c r="J10" s="2664">
        <f>G10-I10</f>
        <v>0</v>
      </c>
      <c r="K10" s="2657"/>
    </row>
    <row r="11" spans="1:13" ht="23.25" customHeight="1">
      <c r="A11" s="2660" t="s">
        <v>135</v>
      </c>
      <c r="B11" s="2663">
        <v>1370570058</v>
      </c>
      <c r="C11" s="2657"/>
      <c r="D11" s="2662">
        <v>136647872</v>
      </c>
      <c r="E11" s="2658" t="s">
        <v>94</v>
      </c>
      <c r="F11" s="2662">
        <v>0</v>
      </c>
      <c r="G11" s="2658">
        <f t="shared" si="0"/>
        <v>1507217930</v>
      </c>
      <c r="H11" s="2658"/>
      <c r="I11" s="2662">
        <v>1539824</v>
      </c>
      <c r="J11" s="2664">
        <f>G11-I11</f>
        <v>1505678106</v>
      </c>
      <c r="K11" s="2657"/>
      <c r="L11" s="2665" t="s">
        <v>94</v>
      </c>
    </row>
    <row r="12" spans="1:13" ht="23.25" customHeight="1">
      <c r="A12" s="2660" t="s">
        <v>2044</v>
      </c>
      <c r="B12" s="2663">
        <v>0</v>
      </c>
      <c r="C12" s="2657"/>
      <c r="D12" s="2662">
        <v>43180246</v>
      </c>
      <c r="E12" s="2658"/>
      <c r="F12" s="2662">
        <v>0</v>
      </c>
      <c r="G12" s="2658">
        <f t="shared" si="0"/>
        <v>43180246</v>
      </c>
      <c r="H12" s="2658"/>
      <c r="I12" s="2662">
        <v>43180246</v>
      </c>
      <c r="J12" s="2664">
        <f>G12-I12</f>
        <v>0</v>
      </c>
      <c r="K12" s="2657"/>
      <c r="M12" s="2693"/>
    </row>
    <row r="13" spans="1:13" ht="23.25" customHeight="1">
      <c r="A13" s="2660" t="s">
        <v>2045</v>
      </c>
      <c r="B13" s="2663">
        <v>70734</v>
      </c>
      <c r="C13" s="2657"/>
      <c r="D13" s="2662">
        <v>1929266</v>
      </c>
      <c r="E13" s="2658" t="s">
        <v>94</v>
      </c>
      <c r="F13" s="2662">
        <v>0</v>
      </c>
      <c r="G13" s="2658">
        <f t="shared" si="0"/>
        <v>2000000</v>
      </c>
      <c r="H13" s="2658"/>
      <c r="I13" s="2662">
        <v>1899540</v>
      </c>
      <c r="J13" s="2664">
        <f t="shared" si="1"/>
        <v>100460</v>
      </c>
      <c r="K13" s="2657"/>
    </row>
    <row r="14" spans="1:13" ht="23.25" customHeight="1">
      <c r="A14" s="2660" t="s">
        <v>2046</v>
      </c>
      <c r="B14" s="2663">
        <v>688448613</v>
      </c>
      <c r="C14" s="2657"/>
      <c r="D14" s="2662">
        <v>46175597</v>
      </c>
      <c r="E14" s="2658"/>
      <c r="F14" s="2662">
        <v>0</v>
      </c>
      <c r="G14" s="2658">
        <f t="shared" si="0"/>
        <v>734624210</v>
      </c>
      <c r="H14" s="2658"/>
      <c r="I14" s="2662">
        <v>52740</v>
      </c>
      <c r="J14" s="2664">
        <f t="shared" si="1"/>
        <v>734571470</v>
      </c>
      <c r="K14" s="2657"/>
      <c r="L14" s="2651" t="s">
        <v>94</v>
      </c>
    </row>
    <row r="15" spans="1:13" ht="23.25" customHeight="1">
      <c r="A15" s="2660" t="s">
        <v>1676</v>
      </c>
      <c r="B15" s="2663">
        <v>3000000</v>
      </c>
      <c r="C15" s="2657"/>
      <c r="D15" s="2662">
        <v>0</v>
      </c>
      <c r="E15" s="2658"/>
      <c r="F15" s="2662">
        <v>0</v>
      </c>
      <c r="G15" s="2658">
        <f t="shared" si="0"/>
        <v>3000000</v>
      </c>
      <c r="H15" s="2658"/>
      <c r="I15" s="2662">
        <v>0</v>
      </c>
      <c r="J15" s="2664">
        <f t="shared" si="1"/>
        <v>3000000</v>
      </c>
      <c r="K15" s="2657"/>
    </row>
    <row r="16" spans="1:13" ht="23.25" customHeight="1">
      <c r="A16" s="2660" t="s">
        <v>2047</v>
      </c>
      <c r="B16" s="2666">
        <v>76285643</v>
      </c>
      <c r="C16" s="2657"/>
      <c r="D16" s="2662">
        <v>0</v>
      </c>
      <c r="E16" s="2658"/>
      <c r="F16" s="2667">
        <f>8984802+4254708</f>
        <v>13239510</v>
      </c>
      <c r="G16" s="2658">
        <f t="shared" si="0"/>
        <v>89525153</v>
      </c>
      <c r="H16" s="2658"/>
      <c r="I16" s="2667">
        <f>4827733+209973</f>
        <v>5037706</v>
      </c>
      <c r="J16" s="2668">
        <f>G16-I16</f>
        <v>84487447</v>
      </c>
      <c r="K16" s="2657" t="s">
        <v>94</v>
      </c>
      <c r="L16" s="2669" t="s">
        <v>94</v>
      </c>
      <c r="M16" s="2651" t="s">
        <v>94</v>
      </c>
    </row>
    <row r="17" spans="1:12" ht="23.25" customHeight="1">
      <c r="A17" s="2660" t="s">
        <v>2048</v>
      </c>
      <c r="B17" s="2663">
        <v>10240722013</v>
      </c>
      <c r="C17" s="2657"/>
      <c r="D17" s="2662">
        <v>0</v>
      </c>
      <c r="E17" s="2658" t="s">
        <v>94</v>
      </c>
      <c r="F17" s="2662">
        <v>0</v>
      </c>
      <c r="G17" s="2658">
        <f t="shared" si="0"/>
        <v>10240722013</v>
      </c>
      <c r="H17" s="2658"/>
      <c r="I17" s="2662">
        <v>0</v>
      </c>
      <c r="J17" s="2668">
        <f>G17-I17</f>
        <v>10240722013</v>
      </c>
      <c r="K17" s="2657"/>
    </row>
    <row r="18" spans="1:12" ht="23.25" customHeight="1">
      <c r="A18" s="2660" t="s">
        <v>2049</v>
      </c>
      <c r="B18" s="2666">
        <v>0</v>
      </c>
      <c r="C18" s="2657"/>
      <c r="D18" s="2667">
        <v>0</v>
      </c>
      <c r="E18" s="2658"/>
      <c r="F18" s="2667">
        <v>0</v>
      </c>
      <c r="G18" s="2658">
        <f t="shared" si="0"/>
        <v>0</v>
      </c>
      <c r="H18" s="2658" t="s">
        <v>94</v>
      </c>
      <c r="I18" s="2662">
        <v>0</v>
      </c>
      <c r="J18" s="2668">
        <f>G18-I18</f>
        <v>0</v>
      </c>
      <c r="K18" s="2657" t="s">
        <v>94</v>
      </c>
    </row>
    <row r="19" spans="1:12" ht="23.25" customHeight="1">
      <c r="A19" s="2660" t="s">
        <v>2050</v>
      </c>
      <c r="B19" s="2666">
        <v>1936721338</v>
      </c>
      <c r="C19" s="2657" t="s">
        <v>94</v>
      </c>
      <c r="D19" s="2662">
        <v>0</v>
      </c>
      <c r="E19" s="2658" t="s">
        <v>94</v>
      </c>
      <c r="F19" s="2662">
        <v>3200000</v>
      </c>
      <c r="G19" s="2658">
        <f t="shared" si="0"/>
        <v>1939921338</v>
      </c>
      <c r="H19" s="2658"/>
      <c r="I19" s="2667">
        <v>0</v>
      </c>
      <c r="J19" s="2668">
        <f>G19-(I19+I27)</f>
        <v>1939921338</v>
      </c>
      <c r="K19" s="2657"/>
      <c r="L19" s="2670"/>
    </row>
    <row r="20" spans="1:12" ht="23.25" customHeight="1">
      <c r="A20" s="2660" t="s">
        <v>2051</v>
      </c>
      <c r="B20" s="2666">
        <v>0</v>
      </c>
      <c r="C20" s="2657"/>
      <c r="D20" s="2662">
        <v>222443887</v>
      </c>
      <c r="E20" s="2658"/>
      <c r="F20" s="2662">
        <v>0</v>
      </c>
      <c r="G20" s="2658">
        <f t="shared" si="0"/>
        <v>222443887</v>
      </c>
      <c r="H20" s="2658"/>
      <c r="I20" s="2667">
        <v>222443887</v>
      </c>
      <c r="J20" s="2668">
        <f>G20-I20</f>
        <v>0</v>
      </c>
      <c r="K20" s="2657"/>
    </row>
    <row r="21" spans="1:12" ht="23.25" customHeight="1">
      <c r="A21" s="2660" t="s">
        <v>2052</v>
      </c>
      <c r="B21" s="2666">
        <v>17807841857</v>
      </c>
      <c r="C21" s="2657"/>
      <c r="D21" s="2667">
        <f>5230907+1532009375+119769</f>
        <v>1537360051</v>
      </c>
      <c r="E21" s="2658"/>
      <c r="F21" s="2667">
        <v>0</v>
      </c>
      <c r="G21" s="2658">
        <f t="shared" si="0"/>
        <v>19345201908</v>
      </c>
      <c r="H21" s="2658" t="s">
        <v>2053</v>
      </c>
      <c r="I21" s="2667">
        <v>342189870</v>
      </c>
      <c r="J21" s="2668">
        <f>G21-(I21+I22)</f>
        <v>18747680301</v>
      </c>
      <c r="K21" s="2657"/>
    </row>
    <row r="22" spans="1:12" ht="23.25" customHeight="1">
      <c r="A22" s="2671"/>
      <c r="B22" s="2663" t="s">
        <v>94</v>
      </c>
      <c r="C22" s="2657"/>
      <c r="D22" s="2662"/>
      <c r="E22" s="2658"/>
      <c r="F22" s="2662" t="s">
        <v>94</v>
      </c>
      <c r="G22" s="2658">
        <f t="shared" si="0"/>
        <v>0</v>
      </c>
      <c r="H22" s="2658"/>
      <c r="I22" s="2667">
        <f>597521607-342189870</f>
        <v>255331737</v>
      </c>
      <c r="J22" s="2664" t="s">
        <v>94</v>
      </c>
      <c r="K22" s="2657"/>
    </row>
    <row r="23" spans="1:12" ht="23.25" customHeight="1">
      <c r="A23" s="2660" t="s">
        <v>1423</v>
      </c>
      <c r="B23" s="2663">
        <v>247391</v>
      </c>
      <c r="C23" s="2657"/>
      <c r="D23" s="2662">
        <v>1810000</v>
      </c>
      <c r="E23" s="2658"/>
      <c r="F23" s="2662">
        <v>0</v>
      </c>
      <c r="G23" s="2658">
        <f t="shared" si="0"/>
        <v>2057391</v>
      </c>
      <c r="H23" s="2658" t="s">
        <v>94</v>
      </c>
      <c r="I23" s="2662">
        <f>1751344+1</f>
        <v>1751345</v>
      </c>
      <c r="J23" s="2664">
        <f>+G23-I23-I24</f>
        <v>306046</v>
      </c>
      <c r="K23" s="2657"/>
      <c r="L23" s="2651" t="s">
        <v>94</v>
      </c>
    </row>
    <row r="24" spans="1:12" ht="23.25" customHeight="1">
      <c r="A24" s="2671"/>
      <c r="B24" s="2663"/>
      <c r="C24" s="2657"/>
      <c r="D24" s="2662"/>
      <c r="E24" s="2658"/>
      <c r="F24" s="2662"/>
      <c r="G24" s="2658">
        <f t="shared" si="0"/>
        <v>0</v>
      </c>
      <c r="H24" s="2658"/>
      <c r="I24" s="2662" t="s">
        <v>94</v>
      </c>
      <c r="J24" s="2664"/>
      <c r="K24" s="2657"/>
    </row>
    <row r="25" spans="1:12" ht="23.25" customHeight="1">
      <c r="A25" s="2660" t="s">
        <v>842</v>
      </c>
      <c r="B25" s="2663">
        <v>4872500000</v>
      </c>
      <c r="C25" s="2657"/>
      <c r="D25" s="2662">
        <v>0</v>
      </c>
      <c r="E25" s="2658"/>
      <c r="F25" s="2662">
        <v>0</v>
      </c>
      <c r="G25" s="2658">
        <f t="shared" si="0"/>
        <v>4872500000</v>
      </c>
      <c r="H25" s="2658"/>
      <c r="I25" s="2662">
        <v>0</v>
      </c>
      <c r="J25" s="2664">
        <f>G25-I25</f>
        <v>4872500000</v>
      </c>
      <c r="K25" s="2657"/>
    </row>
    <row r="26" spans="1:12" ht="23.25" customHeight="1">
      <c r="A26" s="2660" t="s">
        <v>1692</v>
      </c>
      <c r="B26" s="2663">
        <v>25200000</v>
      </c>
      <c r="C26" s="2657"/>
      <c r="D26" s="2662">
        <v>0</v>
      </c>
      <c r="E26" s="2658"/>
      <c r="F26" s="2662">
        <v>0</v>
      </c>
      <c r="G26" s="2658">
        <f t="shared" si="0"/>
        <v>25200000</v>
      </c>
      <c r="H26" s="2658"/>
      <c r="I26" s="2662">
        <v>0</v>
      </c>
      <c r="J26" s="2664">
        <f>G26-I26</f>
        <v>25200000</v>
      </c>
      <c r="K26" s="2657"/>
    </row>
    <row r="27" spans="1:12" ht="23.25" customHeight="1">
      <c r="A27" s="2671"/>
      <c r="B27" s="2663"/>
      <c r="C27" s="2672"/>
      <c r="D27" s="2662"/>
      <c r="E27" s="2673"/>
      <c r="F27" s="2662"/>
      <c r="G27" s="2663"/>
      <c r="H27" s="2673"/>
      <c r="I27" s="2662"/>
      <c r="J27" s="2664"/>
      <c r="K27" s="2653"/>
    </row>
    <row r="28" spans="1:12" ht="23.25" customHeight="1">
      <c r="A28" s="2659" t="s">
        <v>499</v>
      </c>
      <c r="B28" s="2674">
        <f>SUM(B8:B26)</f>
        <v>37021607647</v>
      </c>
      <c r="C28" s="2675" t="s">
        <v>94</v>
      </c>
      <c r="D28" s="2676">
        <f>SUM(D8:D26)</f>
        <v>1989546919</v>
      </c>
      <c r="E28" s="2677" t="s">
        <v>94</v>
      </c>
      <c r="F28" s="2676">
        <f>SUM(F8:F26)</f>
        <v>16439510</v>
      </c>
      <c r="G28" s="2674">
        <f>SUM(G8:G26)</f>
        <v>39027594076</v>
      </c>
      <c r="H28" s="2677" t="s">
        <v>94</v>
      </c>
      <c r="I28" s="2676">
        <f>SUM(I8:I26)</f>
        <v>873426895</v>
      </c>
      <c r="J28" s="2674">
        <f>SUM(J8:J26)</f>
        <v>38154167181</v>
      </c>
      <c r="K28" s="2653"/>
      <c r="L28" s="2665" t="s">
        <v>94</v>
      </c>
    </row>
    <row r="29" spans="1:12" ht="23.25" customHeight="1">
      <c r="A29" s="2678" t="s">
        <v>2054</v>
      </c>
      <c r="B29" s="2679">
        <v>5653012838</v>
      </c>
      <c r="C29" s="2655"/>
      <c r="D29" s="2680"/>
      <c r="E29" s="2661" t="s">
        <v>1685</v>
      </c>
      <c r="F29" s="2679">
        <v>34929000</v>
      </c>
      <c r="G29" s="2664">
        <f>+B29+D29+F29+F30</f>
        <v>5771620143</v>
      </c>
      <c r="H29" s="2661"/>
      <c r="I29" s="2679">
        <v>0</v>
      </c>
      <c r="J29" s="2664">
        <f>G29-I29</f>
        <v>5771620143</v>
      </c>
      <c r="K29" s="2655"/>
    </row>
    <row r="30" spans="1:12" ht="23.25" customHeight="1">
      <c r="A30" s="2681" t="s">
        <v>2055</v>
      </c>
      <c r="B30" s="2682" t="s">
        <v>94</v>
      </c>
      <c r="C30" s="2655"/>
      <c r="D30" s="2680"/>
      <c r="E30" s="2683" t="s">
        <v>2056</v>
      </c>
      <c r="F30" s="2679">
        <v>83678305</v>
      </c>
      <c r="G30" s="2664"/>
      <c r="H30" s="2661"/>
      <c r="I30" s="2679"/>
      <c r="J30" s="2664" t="s">
        <v>94</v>
      </c>
      <c r="K30" s="2655"/>
    </row>
    <row r="31" spans="1:12" ht="23.25" customHeight="1">
      <c r="A31" s="2671" t="s">
        <v>94</v>
      </c>
      <c r="B31" s="2682"/>
      <c r="C31" s="2655"/>
      <c r="D31" s="2680"/>
      <c r="E31" s="2661" t="s">
        <v>94</v>
      </c>
      <c r="F31" s="2679" t="s">
        <v>94</v>
      </c>
      <c r="G31" s="2664"/>
      <c r="H31" s="2661"/>
      <c r="I31" s="2679"/>
      <c r="J31" s="2664"/>
      <c r="K31" s="2655"/>
    </row>
    <row r="32" spans="1:12" ht="23.25" customHeight="1">
      <c r="A32" s="2659" t="s">
        <v>1112</v>
      </c>
      <c r="B32" s="2676">
        <f>B28+B29</f>
        <v>42674620485</v>
      </c>
      <c r="C32" s="2684"/>
      <c r="D32" s="2676">
        <f>+D28+D29</f>
        <v>1989546919</v>
      </c>
      <c r="E32" s="2685"/>
      <c r="F32" s="2676">
        <f>+F28+F29+F30+F31</f>
        <v>135046815</v>
      </c>
      <c r="G32" s="2674">
        <f>+G28+G29</f>
        <v>44799214219</v>
      </c>
      <c r="H32" s="2685"/>
      <c r="I32" s="2676">
        <f>+I29+I28</f>
        <v>873426895</v>
      </c>
      <c r="J32" s="2674">
        <f>+J28+J29</f>
        <v>43925787324</v>
      </c>
      <c r="K32" s="2655"/>
      <c r="L32" s="2665"/>
    </row>
    <row r="33" spans="1:11" ht="25.5" customHeight="1">
      <c r="B33" s="2686" t="s">
        <v>94</v>
      </c>
      <c r="C33" s="2655"/>
      <c r="D33" s="2655"/>
      <c r="E33" s="2655"/>
      <c r="F33" s="2687"/>
      <c r="G33" s="2687"/>
      <c r="H33" s="2655"/>
      <c r="I33" s="2687"/>
      <c r="J33" s="2687"/>
      <c r="K33" s="2655"/>
    </row>
    <row r="34" spans="1:11" ht="30.75" customHeight="1">
      <c r="A34" s="2688" t="s">
        <v>2057</v>
      </c>
      <c r="B34" s="2689"/>
      <c r="C34" s="2655"/>
      <c r="D34" s="2655" t="s">
        <v>94</v>
      </c>
      <c r="E34" s="2655"/>
      <c r="F34" s="2687" t="s">
        <v>94</v>
      </c>
      <c r="G34" s="2687" t="s">
        <v>94</v>
      </c>
      <c r="H34" s="2655"/>
      <c r="I34" s="2687" t="s">
        <v>94</v>
      </c>
      <c r="J34" s="2690" t="s">
        <v>94</v>
      </c>
      <c r="K34" s="2690" t="s">
        <v>94</v>
      </c>
    </row>
    <row r="35" spans="1:11" ht="20.25" customHeight="1">
      <c r="A35" s="2661" t="s">
        <v>2058</v>
      </c>
      <c r="B35" s="2691">
        <f>+F29</f>
        <v>34929000</v>
      </c>
      <c r="C35" s="2655"/>
      <c r="D35" s="2655" t="s">
        <v>94</v>
      </c>
      <c r="E35" s="2655"/>
      <c r="F35" s="2655"/>
      <c r="G35" s="2655"/>
      <c r="H35" s="2655"/>
      <c r="I35" s="2687"/>
      <c r="J35" s="2655"/>
      <c r="K35" s="2655"/>
    </row>
    <row r="36" spans="1:11" ht="20.25" customHeight="1">
      <c r="A36" s="2661" t="s">
        <v>2059</v>
      </c>
      <c r="B36" s="2691">
        <f>+F30</f>
        <v>83678305</v>
      </c>
      <c r="C36" s="2655"/>
      <c r="D36" s="2687" t="s">
        <v>94</v>
      </c>
      <c r="E36" s="2655"/>
      <c r="F36" s="2655"/>
      <c r="G36" s="2655"/>
      <c r="H36" s="2655"/>
      <c r="I36" s="2687" t="s">
        <v>94</v>
      </c>
      <c r="J36" s="2655"/>
      <c r="K36" s="2655"/>
    </row>
    <row r="37" spans="1:11" ht="17.25" customHeight="1">
      <c r="A37" s="2661" t="s">
        <v>94</v>
      </c>
      <c r="B37" s="2691" t="str">
        <f>+F31</f>
        <v xml:space="preserve"> </v>
      </c>
      <c r="C37" s="2653" t="s">
        <v>94</v>
      </c>
      <c r="D37" s="2653" t="s">
        <v>94</v>
      </c>
      <c r="E37" s="2655"/>
      <c r="F37" s="2655"/>
      <c r="G37" s="2655"/>
      <c r="H37" s="2655"/>
      <c r="I37" s="2655"/>
      <c r="J37" s="2655"/>
      <c r="K37" s="2655"/>
    </row>
    <row r="38" spans="1:11" ht="23.25" customHeight="1">
      <c r="A38" s="2656" t="s">
        <v>2060</v>
      </c>
      <c r="B38" s="2685">
        <f>SUM(B35:B37)</f>
        <v>118607305</v>
      </c>
      <c r="C38" s="2653"/>
      <c r="D38" s="2653" t="s">
        <v>94</v>
      </c>
      <c r="E38" s="2655"/>
      <c r="F38" s="2655"/>
      <c r="G38" s="2655"/>
      <c r="H38" s="2655"/>
      <c r="I38" s="2655"/>
      <c r="J38" s="2655"/>
      <c r="K38" s="2655"/>
    </row>
    <row r="39" spans="1:11" ht="23.25" customHeight="1">
      <c r="A39" s="2692" t="s">
        <v>94</v>
      </c>
      <c r="B39" s="2653" t="s">
        <v>94</v>
      </c>
      <c r="C39" s="2655"/>
      <c r="D39" s="2655"/>
      <c r="E39" s="2655"/>
      <c r="F39" s="2655"/>
      <c r="G39" s="2655"/>
      <c r="H39" s="2655"/>
      <c r="I39" s="2655"/>
      <c r="J39" s="2655"/>
      <c r="K39" s="2655"/>
    </row>
    <row r="40" spans="1:11" ht="23.25" customHeight="1">
      <c r="A40" s="2655"/>
      <c r="B40" s="2653"/>
      <c r="C40" s="2655"/>
      <c r="D40" s="2655"/>
      <c r="E40" s="2655"/>
      <c r="F40" s="2655"/>
      <c r="G40" s="2655"/>
      <c r="H40" s="2655"/>
      <c r="I40" s="2655"/>
      <c r="J40" s="2655"/>
      <c r="K40" s="2655"/>
    </row>
    <row r="41" spans="1:11" ht="23.25" customHeight="1">
      <c r="B41" s="2669"/>
    </row>
    <row r="42" spans="1:11" ht="23.25" customHeight="1">
      <c r="B42" s="2669"/>
    </row>
    <row r="43" spans="1:11" ht="23.25" customHeight="1">
      <c r="B43" s="2669"/>
    </row>
    <row r="44" spans="1:11" ht="23.25" customHeight="1">
      <c r="B44" s="2669"/>
    </row>
    <row r="45" spans="1:11" ht="23.25" customHeight="1">
      <c r="B45" s="2669"/>
    </row>
    <row r="46" spans="1:11" ht="23.25" customHeight="1">
      <c r="B46" s="2669"/>
    </row>
    <row r="47" spans="1:11" ht="23.25" customHeight="1">
      <c r="B47" s="2669"/>
    </row>
    <row r="48" spans="1:11" ht="23.25" customHeight="1">
      <c r="B48" s="2669"/>
    </row>
    <row r="49" spans="2:2" ht="23.25" customHeight="1">
      <c r="B49" s="2669"/>
    </row>
    <row r="50" spans="2:2" ht="23.25" customHeight="1">
      <c r="B50" s="2669"/>
    </row>
    <row r="51" spans="2:2" ht="23.25" customHeight="1">
      <c r="B51" s="2669"/>
    </row>
    <row r="52" spans="2:2" ht="23.25" customHeight="1">
      <c r="B52" s="2669"/>
    </row>
    <row r="53" spans="2:2" ht="23.25" customHeight="1">
      <c r="B53" s="2669"/>
    </row>
    <row r="54" spans="2:2" ht="23.25" customHeight="1">
      <c r="B54" s="2669"/>
    </row>
    <row r="55" spans="2:2" ht="23.25" customHeight="1">
      <c r="B55" s="2669"/>
    </row>
    <row r="56" spans="2:2" ht="23.25" customHeight="1">
      <c r="B56" s="2669"/>
    </row>
    <row r="57" spans="2:2" ht="23.25" customHeight="1">
      <c r="B57" s="2669"/>
    </row>
    <row r="58" spans="2:2" ht="23.25" customHeight="1">
      <c r="B58" s="2669"/>
    </row>
    <row r="59" spans="2:2" ht="23.25" customHeight="1">
      <c r="B59" s="2669"/>
    </row>
    <row r="60" spans="2:2" ht="23.25" customHeight="1">
      <c r="B60" s="2669"/>
    </row>
    <row r="61" spans="2:2" ht="23.25" customHeight="1">
      <c r="B61" s="2669"/>
    </row>
    <row r="62" spans="2:2" ht="23.25" customHeight="1">
      <c r="B62" s="2669"/>
    </row>
    <row r="63" spans="2:2" ht="23.25" customHeight="1">
      <c r="B63" s="2669"/>
    </row>
    <row r="64" spans="2:2" ht="23.25" customHeight="1">
      <c r="B64" s="2669"/>
    </row>
    <row r="65" spans="2:2" ht="23.25" customHeight="1">
      <c r="B65" s="2669"/>
    </row>
    <row r="66" spans="2:2" ht="23.25" customHeight="1">
      <c r="B66" s="2669"/>
    </row>
    <row r="67" spans="2:2" ht="23.25" customHeight="1">
      <c r="B67" s="2669"/>
    </row>
    <row r="68" spans="2:2" ht="23.25" customHeight="1">
      <c r="B68" s="2669"/>
    </row>
    <row r="69" spans="2:2" ht="23.25" customHeight="1">
      <c r="B69" s="2669"/>
    </row>
    <row r="70" spans="2:2" ht="23.25" customHeight="1">
      <c r="B70" s="2669"/>
    </row>
    <row r="71" spans="2:2" ht="23.25" customHeight="1">
      <c r="B71" s="2669"/>
    </row>
    <row r="72" spans="2:2" ht="23.25" customHeight="1">
      <c r="B72" s="2669"/>
    </row>
    <row r="73" spans="2:2" ht="23.25" customHeight="1">
      <c r="B73" s="2669"/>
    </row>
    <row r="74" spans="2:2" ht="23.25" customHeight="1">
      <c r="B74" s="2669"/>
    </row>
    <row r="75" spans="2:2" ht="23.25" customHeight="1">
      <c r="B75" s="2669"/>
    </row>
    <row r="76" spans="2:2" ht="23.25" customHeight="1">
      <c r="B76" s="2669"/>
    </row>
    <row r="77" spans="2:2" ht="23.25" customHeight="1">
      <c r="B77" s="2669"/>
    </row>
    <row r="78" spans="2:2" ht="23.25" customHeight="1">
      <c r="B78" s="2669"/>
    </row>
    <row r="79" spans="2:2" ht="23.25" customHeight="1">
      <c r="B79" s="2669"/>
    </row>
    <row r="80" spans="2:2" ht="23.25" customHeight="1">
      <c r="B80" s="2669"/>
    </row>
    <row r="81" spans="2:2" ht="23.25" customHeight="1">
      <c r="B81" s="2669"/>
    </row>
    <row r="82" spans="2:2" ht="23.25" customHeight="1">
      <c r="B82" s="2669"/>
    </row>
    <row r="83" spans="2:2" ht="23.25" customHeight="1">
      <c r="B83" s="2669"/>
    </row>
    <row r="84" spans="2:2" ht="23.25" customHeight="1">
      <c r="B84" s="2669"/>
    </row>
    <row r="85" spans="2:2" ht="23.25" customHeight="1">
      <c r="B85" s="2669"/>
    </row>
    <row r="86" spans="2:2" ht="23.25" customHeight="1">
      <c r="B86" s="2669"/>
    </row>
    <row r="87" spans="2:2" ht="23.25" customHeight="1">
      <c r="B87" s="2669"/>
    </row>
    <row r="88" spans="2:2" ht="23.25" customHeight="1">
      <c r="B88" s="2669"/>
    </row>
    <row r="89" spans="2:2" ht="23.25" customHeight="1">
      <c r="B89" s="2669"/>
    </row>
    <row r="90" spans="2:2" ht="23.25" customHeight="1">
      <c r="B90" s="2669"/>
    </row>
    <row r="91" spans="2:2" ht="23.25" customHeight="1">
      <c r="B91" s="2669"/>
    </row>
    <row r="92" spans="2:2" ht="23.25" customHeight="1">
      <c r="B92" s="2669"/>
    </row>
    <row r="93" spans="2:2" ht="23.25" customHeight="1">
      <c r="B93" s="2669"/>
    </row>
    <row r="94" spans="2:2" ht="23.25" customHeight="1">
      <c r="B94" s="2669"/>
    </row>
    <row r="95" spans="2:2" ht="23.25" customHeight="1">
      <c r="B95" s="2669"/>
    </row>
    <row r="96" spans="2:2" ht="23.25" customHeight="1">
      <c r="B96" s="2669"/>
    </row>
    <row r="97" spans="2:2" ht="23.25" customHeight="1">
      <c r="B97" s="2669"/>
    </row>
    <row r="98" spans="2:2" ht="23.25" customHeight="1">
      <c r="B98" s="2669"/>
    </row>
    <row r="99" spans="2:2" ht="23.25" customHeight="1">
      <c r="B99" s="2669"/>
    </row>
    <row r="100" spans="2:2" ht="23.25" customHeight="1">
      <c r="B100" s="2669"/>
    </row>
    <row r="101" spans="2:2" ht="23.25" customHeight="1">
      <c r="B101" s="2669"/>
    </row>
    <row r="102" spans="2:2" ht="23.25" customHeight="1">
      <c r="B102" s="2669"/>
    </row>
    <row r="103" spans="2:2" ht="23.25" customHeight="1">
      <c r="B103" s="2669"/>
    </row>
    <row r="104" spans="2:2" ht="23.25" customHeight="1">
      <c r="B104" s="2669"/>
    </row>
    <row r="105" spans="2:2" ht="23.25" customHeight="1">
      <c r="B105" s="2669"/>
    </row>
    <row r="106" spans="2:2" ht="23.25" customHeight="1">
      <c r="B106" s="2669"/>
    </row>
    <row r="107" spans="2:2" ht="23.25" customHeight="1">
      <c r="B107" s="2669"/>
    </row>
    <row r="108" spans="2:2" ht="23.25" customHeight="1">
      <c r="B108" s="2669"/>
    </row>
    <row r="109" spans="2:2" ht="23.25" customHeight="1">
      <c r="B109" s="2669"/>
    </row>
    <row r="110" spans="2:2" ht="23.25" customHeight="1">
      <c r="B110" s="2669"/>
    </row>
    <row r="111" spans="2:2" ht="23.25" customHeight="1">
      <c r="B111" s="2669"/>
    </row>
    <row r="112" spans="2:2" ht="23.25" customHeight="1">
      <c r="B112" s="2669"/>
    </row>
    <row r="113" spans="2:2" ht="23.25" customHeight="1">
      <c r="B113" s="2669"/>
    </row>
    <row r="114" spans="2:2" ht="23.25" customHeight="1">
      <c r="B114" s="2669"/>
    </row>
    <row r="115" spans="2:2" ht="23.25" customHeight="1">
      <c r="B115" s="2669"/>
    </row>
    <row r="116" spans="2:2" ht="23.25" customHeight="1">
      <c r="B116" s="2669"/>
    </row>
    <row r="117" spans="2:2" ht="23.25" customHeight="1">
      <c r="B117" s="2669"/>
    </row>
    <row r="118" spans="2:2" ht="23.25" customHeight="1">
      <c r="B118" s="2669"/>
    </row>
    <row r="119" spans="2:2" ht="23.25" customHeight="1">
      <c r="B119" s="2669"/>
    </row>
    <row r="120" spans="2:2" ht="23.25" customHeight="1">
      <c r="B120" s="2669"/>
    </row>
    <row r="121" spans="2:2" ht="23.25" customHeight="1">
      <c r="B121" s="2669"/>
    </row>
    <row r="122" spans="2:2" ht="23.25" customHeight="1">
      <c r="B122" s="2669"/>
    </row>
    <row r="123" spans="2:2" ht="23.25" customHeight="1">
      <c r="B123" s="2669"/>
    </row>
    <row r="124" spans="2:2" ht="23.25" customHeight="1">
      <c r="B124" s="2669"/>
    </row>
    <row r="125" spans="2:2" ht="23.25" customHeight="1">
      <c r="B125" s="2669"/>
    </row>
    <row r="126" spans="2:2" ht="23.25" customHeight="1">
      <c r="B126" s="2669"/>
    </row>
    <row r="127" spans="2:2" ht="23.25" customHeight="1">
      <c r="B127" s="2669"/>
    </row>
    <row r="128" spans="2:2" ht="23.25" customHeight="1">
      <c r="B128" s="2669"/>
    </row>
    <row r="129" spans="2:2" ht="23.25" customHeight="1">
      <c r="B129" s="2669"/>
    </row>
    <row r="130" spans="2:2" ht="23.25" customHeight="1">
      <c r="B130" s="2669"/>
    </row>
    <row r="131" spans="2:2" ht="23.25" customHeight="1">
      <c r="B131" s="2669"/>
    </row>
    <row r="132" spans="2:2" ht="23.25" customHeight="1">
      <c r="B132" s="2669"/>
    </row>
    <row r="133" spans="2:2" ht="23.25" customHeight="1">
      <c r="B133" s="2669"/>
    </row>
    <row r="134" spans="2:2" ht="23.25" customHeight="1">
      <c r="B134" s="2669"/>
    </row>
    <row r="135" spans="2:2" ht="23.25" customHeight="1">
      <c r="B135" s="2669"/>
    </row>
    <row r="136" spans="2:2" ht="23.25" customHeight="1">
      <c r="B136" s="2669"/>
    </row>
    <row r="137" spans="2:2" ht="23.25" customHeight="1">
      <c r="B137" s="2669"/>
    </row>
    <row r="138" spans="2:2" ht="23.25" customHeight="1">
      <c r="B138" s="2669"/>
    </row>
    <row r="139" spans="2:2" ht="23.25" customHeight="1">
      <c r="B139" s="2669"/>
    </row>
    <row r="140" spans="2:2" ht="23.25" customHeight="1">
      <c r="B140" s="2669"/>
    </row>
    <row r="141" spans="2:2" ht="23.25" customHeight="1">
      <c r="B141" s="2669"/>
    </row>
    <row r="142" spans="2:2" ht="23.25" customHeight="1">
      <c r="B142" s="2669"/>
    </row>
    <row r="143" spans="2:2" ht="23.25" customHeight="1">
      <c r="B143" s="2669"/>
    </row>
    <row r="144" spans="2:2" ht="23.25" customHeight="1">
      <c r="B144" s="2669"/>
    </row>
    <row r="145" spans="2:2" ht="23.25" customHeight="1">
      <c r="B145" s="2669"/>
    </row>
    <row r="146" spans="2:2" ht="23.25" customHeight="1">
      <c r="B146" s="2669"/>
    </row>
    <row r="147" spans="2:2" ht="23.25" customHeight="1">
      <c r="B147" s="2669"/>
    </row>
    <row r="148" spans="2:2" ht="23.25" customHeight="1">
      <c r="B148" s="2669"/>
    </row>
    <row r="149" spans="2:2" ht="23.25" customHeight="1">
      <c r="B149" s="2669"/>
    </row>
    <row r="150" spans="2:2" ht="23.25" customHeight="1">
      <c r="B150" s="2669"/>
    </row>
    <row r="151" spans="2:2" ht="23.25" customHeight="1">
      <c r="B151" s="2669"/>
    </row>
    <row r="152" spans="2:2" ht="23.25" customHeight="1">
      <c r="B152" s="2669"/>
    </row>
    <row r="153" spans="2:2" ht="23.25" customHeight="1">
      <c r="B153" s="2669"/>
    </row>
    <row r="154" spans="2:2" ht="23.25" customHeight="1">
      <c r="B154" s="2669"/>
    </row>
    <row r="155" spans="2:2" ht="23.25" customHeight="1">
      <c r="B155" s="2669"/>
    </row>
    <row r="156" spans="2:2" ht="23.25" customHeight="1">
      <c r="B156" s="2669"/>
    </row>
    <row r="157" spans="2:2" ht="23.25" customHeight="1">
      <c r="B157" s="2669"/>
    </row>
    <row r="158" spans="2:2" ht="23.25" customHeight="1">
      <c r="B158" s="2669"/>
    </row>
    <row r="159" spans="2:2" ht="23.25" customHeight="1">
      <c r="B159" s="2669"/>
    </row>
    <row r="160" spans="2:2" ht="23.25" customHeight="1">
      <c r="B160" s="2669"/>
    </row>
    <row r="161" spans="2:2" ht="23.25" customHeight="1">
      <c r="B161" s="2669"/>
    </row>
    <row r="162" spans="2:2" ht="23.25" customHeight="1">
      <c r="B162" s="2669"/>
    </row>
    <row r="163" spans="2:2" ht="23.25" customHeight="1">
      <c r="B163" s="2669"/>
    </row>
    <row r="164" spans="2:2" ht="23.25" customHeight="1">
      <c r="B164" s="2669"/>
    </row>
    <row r="165" spans="2:2" ht="23.25" customHeight="1">
      <c r="B165" s="2669"/>
    </row>
    <row r="166" spans="2:2" ht="23.25" customHeight="1">
      <c r="B166" s="2669"/>
    </row>
    <row r="167" spans="2:2" ht="23.25" customHeight="1">
      <c r="B167" s="2669"/>
    </row>
    <row r="168" spans="2:2" ht="23.25" customHeight="1">
      <c r="B168" s="2669"/>
    </row>
    <row r="169" spans="2:2" ht="23.25" customHeight="1">
      <c r="B169" s="2669"/>
    </row>
    <row r="170" spans="2:2" ht="23.25" customHeight="1">
      <c r="B170" s="2669"/>
    </row>
    <row r="171" spans="2:2" ht="23.25" customHeight="1">
      <c r="B171" s="2669"/>
    </row>
    <row r="172" spans="2:2" ht="23.25" customHeight="1">
      <c r="B172" s="2669"/>
    </row>
    <row r="173" spans="2:2" ht="23.25" customHeight="1">
      <c r="B173" s="2669"/>
    </row>
    <row r="174" spans="2:2" ht="23.25" customHeight="1">
      <c r="B174" s="2669"/>
    </row>
    <row r="175" spans="2:2" ht="23.25" customHeight="1">
      <c r="B175" s="2669"/>
    </row>
    <row r="176" spans="2:2" ht="23.25" customHeight="1">
      <c r="B176" s="2669"/>
    </row>
    <row r="177" spans="2:2" ht="23.25" customHeight="1">
      <c r="B177" s="2669"/>
    </row>
    <row r="178" spans="2:2" ht="23.25" customHeight="1">
      <c r="B178" s="2669"/>
    </row>
    <row r="179" spans="2:2" ht="23.25" customHeight="1">
      <c r="B179" s="2669"/>
    </row>
    <row r="180" spans="2:2" ht="23.25" customHeight="1">
      <c r="B180" s="2669"/>
    </row>
    <row r="181" spans="2:2" ht="23.25" customHeight="1">
      <c r="B181" s="2669"/>
    </row>
    <row r="182" spans="2:2" ht="23.25" customHeight="1">
      <c r="B182" s="2669"/>
    </row>
    <row r="183" spans="2:2" ht="23.25" customHeight="1">
      <c r="B183" s="2669"/>
    </row>
    <row r="184" spans="2:2" ht="23.25" customHeight="1">
      <c r="B184" s="2669"/>
    </row>
    <row r="185" spans="2:2" ht="23.25" customHeight="1">
      <c r="B185" s="2669"/>
    </row>
    <row r="186" spans="2:2" ht="23.25" customHeight="1">
      <c r="B186" s="2669"/>
    </row>
    <row r="187" spans="2:2" ht="23.25" customHeight="1">
      <c r="B187" s="2669"/>
    </row>
    <row r="188" spans="2:2" ht="23.25" customHeight="1">
      <c r="B188" s="2669"/>
    </row>
    <row r="189" spans="2:2" ht="23.25" customHeight="1">
      <c r="B189" s="2669"/>
    </row>
    <row r="190" spans="2:2" ht="23.25" customHeight="1">
      <c r="B190" s="2669"/>
    </row>
    <row r="191" spans="2:2" ht="23.25" customHeight="1">
      <c r="B191" s="2669"/>
    </row>
    <row r="192" spans="2:2" ht="23.25" customHeight="1">
      <c r="B192" s="2669"/>
    </row>
    <row r="193" spans="2:2" ht="23.25" customHeight="1">
      <c r="B193" s="2669"/>
    </row>
    <row r="194" spans="2:2" ht="23.25" customHeight="1">
      <c r="B194" s="2669"/>
    </row>
    <row r="195" spans="2:2" ht="23.25" customHeight="1">
      <c r="B195" s="2669"/>
    </row>
    <row r="196" spans="2:2" ht="23.25" customHeight="1">
      <c r="B196" s="2669"/>
    </row>
    <row r="197" spans="2:2" ht="23.25" customHeight="1">
      <c r="B197" s="2669"/>
    </row>
    <row r="198" spans="2:2" ht="23.25" customHeight="1">
      <c r="B198" s="2669"/>
    </row>
    <row r="199" spans="2:2" ht="23.25" customHeight="1">
      <c r="B199" s="2669"/>
    </row>
    <row r="200" spans="2:2" ht="23.25" customHeight="1">
      <c r="B200" s="2669"/>
    </row>
    <row r="201" spans="2:2" ht="23.25" customHeight="1">
      <c r="B201" s="2669"/>
    </row>
    <row r="202" spans="2:2" ht="23.25" customHeight="1">
      <c r="B202" s="2669"/>
    </row>
    <row r="203" spans="2:2" ht="23.25" customHeight="1">
      <c r="B203" s="2669"/>
    </row>
    <row r="204" spans="2:2" ht="23.25" customHeight="1">
      <c r="B204" s="2669"/>
    </row>
    <row r="205" spans="2:2" ht="23.25" customHeight="1">
      <c r="B205" s="2669"/>
    </row>
    <row r="206" spans="2:2" ht="23.25" customHeight="1">
      <c r="B206" s="2669"/>
    </row>
    <row r="207" spans="2:2" ht="23.25" customHeight="1">
      <c r="B207" s="2669"/>
    </row>
    <row r="208" spans="2:2" ht="23.25" customHeight="1">
      <c r="B208" s="2669"/>
    </row>
    <row r="209" spans="2:2" ht="23.25" customHeight="1">
      <c r="B209" s="2669"/>
    </row>
    <row r="210" spans="2:2" ht="23.25" customHeight="1">
      <c r="B210" s="2669"/>
    </row>
    <row r="211" spans="2:2" ht="23.25" customHeight="1">
      <c r="B211" s="2669"/>
    </row>
    <row r="212" spans="2:2" ht="23.25" customHeight="1">
      <c r="B212" s="2669"/>
    </row>
    <row r="213" spans="2:2" ht="23.25" customHeight="1">
      <c r="B213" s="2669"/>
    </row>
    <row r="214" spans="2:2" ht="23.25" customHeight="1">
      <c r="B214" s="2669"/>
    </row>
    <row r="215" spans="2:2" ht="23.25" customHeight="1">
      <c r="B215" s="2669"/>
    </row>
    <row r="216" spans="2:2" ht="23.25" customHeight="1">
      <c r="B216" s="2669"/>
    </row>
    <row r="217" spans="2:2" ht="23.25" customHeight="1">
      <c r="B217" s="2669"/>
    </row>
    <row r="218" spans="2:2" ht="23.25" customHeight="1">
      <c r="B218" s="2669"/>
    </row>
    <row r="219" spans="2:2" ht="23.25" customHeight="1">
      <c r="B219" s="2669"/>
    </row>
    <row r="220" spans="2:2" ht="23.25" customHeight="1">
      <c r="B220" s="2669"/>
    </row>
    <row r="221" spans="2:2" ht="23.25" customHeight="1">
      <c r="B221" s="2669"/>
    </row>
    <row r="222" spans="2:2" ht="23.25" customHeight="1">
      <c r="B222" s="2669"/>
    </row>
    <row r="223" spans="2:2" ht="23.25" customHeight="1">
      <c r="B223" s="2669"/>
    </row>
    <row r="224" spans="2:2" ht="23.25" customHeight="1">
      <c r="B224" s="2669"/>
    </row>
    <row r="225" spans="2:2" ht="23.25" customHeight="1">
      <c r="B225" s="2669"/>
    </row>
    <row r="226" spans="2:2" ht="23.25" customHeight="1">
      <c r="B226" s="2669"/>
    </row>
    <row r="227" spans="2:2" ht="23.25" customHeight="1">
      <c r="B227" s="2669"/>
    </row>
    <row r="228" spans="2:2" ht="23.25" customHeight="1">
      <c r="B228" s="2669"/>
    </row>
    <row r="229" spans="2:2" ht="23.25" customHeight="1">
      <c r="B229" s="2669"/>
    </row>
    <row r="230" spans="2:2" ht="23.25" customHeight="1">
      <c r="B230" s="2669"/>
    </row>
    <row r="231" spans="2:2" ht="23.25" customHeight="1">
      <c r="B231" s="2669"/>
    </row>
    <row r="232" spans="2:2" ht="23.25" customHeight="1">
      <c r="B232" s="2669"/>
    </row>
    <row r="233" spans="2:2" ht="23.25" customHeight="1">
      <c r="B233" s="2669"/>
    </row>
    <row r="234" spans="2:2" ht="23.25" customHeight="1">
      <c r="B234" s="2669"/>
    </row>
    <row r="235" spans="2:2" ht="23.25" customHeight="1">
      <c r="B235" s="2669"/>
    </row>
    <row r="236" spans="2:2" ht="23.25" customHeight="1">
      <c r="B236" s="2669"/>
    </row>
    <row r="237" spans="2:2" ht="23.25" customHeight="1">
      <c r="B237" s="2669"/>
    </row>
    <row r="238" spans="2:2" ht="23.25" customHeight="1">
      <c r="B238" s="2669"/>
    </row>
    <row r="239" spans="2:2" ht="23.25" customHeight="1">
      <c r="B239" s="2669"/>
    </row>
    <row r="240" spans="2:2" ht="23.25" customHeight="1">
      <c r="B240" s="2669"/>
    </row>
    <row r="241" spans="2:2" ht="23.25" customHeight="1">
      <c r="B241" s="2669"/>
    </row>
    <row r="242" spans="2:2" ht="23.25" customHeight="1">
      <c r="B242" s="2669"/>
    </row>
    <row r="243" spans="2:2" ht="23.25" customHeight="1">
      <c r="B243" s="2669"/>
    </row>
    <row r="244" spans="2:2" ht="23.25" customHeight="1">
      <c r="B244" s="2669"/>
    </row>
    <row r="245" spans="2:2" ht="23.25" customHeight="1">
      <c r="B245" s="2669"/>
    </row>
    <row r="246" spans="2:2" ht="23.25" customHeight="1">
      <c r="B246" s="2669"/>
    </row>
    <row r="247" spans="2:2" ht="23.25" customHeight="1">
      <c r="B247" s="2669"/>
    </row>
    <row r="248" spans="2:2" ht="23.25" customHeight="1">
      <c r="B248" s="2669"/>
    </row>
    <row r="249" spans="2:2" ht="23.25" customHeight="1">
      <c r="B249" s="2669"/>
    </row>
    <row r="250" spans="2:2" ht="23.25" customHeight="1">
      <c r="B250" s="2669"/>
    </row>
    <row r="251" spans="2:2" ht="23.25" customHeight="1">
      <c r="B251" s="2669"/>
    </row>
    <row r="252" spans="2:2" ht="23.25" customHeight="1">
      <c r="B252" s="2669"/>
    </row>
    <row r="253" spans="2:2" ht="23.25" customHeight="1">
      <c r="B253" s="2669"/>
    </row>
    <row r="254" spans="2:2" ht="23.25" customHeight="1">
      <c r="B254" s="2669"/>
    </row>
    <row r="255" spans="2:2" ht="23.25" customHeight="1">
      <c r="B255" s="2669"/>
    </row>
    <row r="256" spans="2:2" ht="23.25" customHeight="1">
      <c r="B256" s="2669"/>
    </row>
    <row r="257" spans="2:2" ht="23.25" customHeight="1">
      <c r="B257" s="2669"/>
    </row>
    <row r="258" spans="2:2" ht="23.25" customHeight="1">
      <c r="B258" s="2669"/>
    </row>
    <row r="259" spans="2:2" ht="23.25" customHeight="1">
      <c r="B259" s="2669"/>
    </row>
    <row r="260" spans="2:2" ht="23.25" customHeight="1">
      <c r="B260" s="2669"/>
    </row>
    <row r="261" spans="2:2" ht="23.25" customHeight="1">
      <c r="B261" s="2669"/>
    </row>
    <row r="262" spans="2:2" ht="23.25" customHeight="1">
      <c r="B262" s="2669"/>
    </row>
    <row r="263" spans="2:2" ht="23.25" customHeight="1">
      <c r="B263" s="2669"/>
    </row>
    <row r="264" spans="2:2" ht="23.25" customHeight="1">
      <c r="B264" s="2669"/>
    </row>
    <row r="265" spans="2:2" ht="23.25" customHeight="1">
      <c r="B265" s="2669"/>
    </row>
    <row r="266" spans="2:2" ht="23.25" customHeight="1">
      <c r="B266" s="2669"/>
    </row>
    <row r="267" spans="2:2" ht="23.25" customHeight="1">
      <c r="B267" s="2669"/>
    </row>
    <row r="268" spans="2:2" ht="23.25" customHeight="1">
      <c r="B268" s="2669"/>
    </row>
    <row r="269" spans="2:2" ht="23.25" customHeight="1">
      <c r="B269" s="2669"/>
    </row>
    <row r="270" spans="2:2" ht="23.25" customHeight="1">
      <c r="B270" s="2669"/>
    </row>
    <row r="271" spans="2:2" ht="23.25" customHeight="1">
      <c r="B271" s="2669"/>
    </row>
    <row r="272" spans="2:2" ht="23.25" customHeight="1">
      <c r="B272" s="2669"/>
    </row>
    <row r="273" spans="2:2" ht="23.25" customHeight="1">
      <c r="B273" s="2669"/>
    </row>
    <row r="274" spans="2:2" ht="23.25" customHeight="1">
      <c r="B274" s="2669"/>
    </row>
    <row r="275" spans="2:2" ht="23.25" customHeight="1">
      <c r="B275" s="2669"/>
    </row>
    <row r="276" spans="2:2" ht="23.25" customHeight="1">
      <c r="B276" s="2669"/>
    </row>
    <row r="277" spans="2:2" ht="23.25" customHeight="1">
      <c r="B277" s="2669"/>
    </row>
    <row r="278" spans="2:2" ht="23.25" customHeight="1">
      <c r="B278" s="2669"/>
    </row>
    <row r="279" spans="2:2" ht="23.25" customHeight="1">
      <c r="B279" s="2669"/>
    </row>
    <row r="280" spans="2:2" ht="23.25" customHeight="1">
      <c r="B280" s="2669"/>
    </row>
    <row r="281" spans="2:2" ht="23.25" customHeight="1">
      <c r="B281" s="2669"/>
    </row>
    <row r="282" spans="2:2" ht="23.25" customHeight="1">
      <c r="B282" s="2669"/>
    </row>
    <row r="283" spans="2:2" ht="23.25" customHeight="1">
      <c r="B283" s="2669"/>
    </row>
    <row r="284" spans="2:2" ht="23.25" customHeight="1">
      <c r="B284" s="2669"/>
    </row>
    <row r="285" spans="2:2" ht="23.25" customHeight="1">
      <c r="B285" s="2669"/>
    </row>
    <row r="286" spans="2:2" ht="23.25" customHeight="1">
      <c r="B286" s="2669"/>
    </row>
    <row r="287" spans="2:2" ht="23.25" customHeight="1">
      <c r="B287" s="2669"/>
    </row>
    <row r="288" spans="2:2" ht="23.25" customHeight="1">
      <c r="B288" s="2669"/>
    </row>
    <row r="289" spans="2:2" ht="23.25" customHeight="1">
      <c r="B289" s="2669"/>
    </row>
    <row r="290" spans="2:2" ht="23.25" customHeight="1">
      <c r="B290" s="2669"/>
    </row>
    <row r="291" spans="2:2" ht="23.25" customHeight="1">
      <c r="B291" s="2669"/>
    </row>
    <row r="292" spans="2:2" ht="23.25" customHeight="1">
      <c r="B292" s="2669"/>
    </row>
    <row r="293" spans="2:2" ht="23.25" customHeight="1">
      <c r="B293" s="2669"/>
    </row>
    <row r="294" spans="2:2" ht="23.25" customHeight="1">
      <c r="B294" s="2669"/>
    </row>
    <row r="295" spans="2:2" ht="23.25" customHeight="1">
      <c r="B295" s="2669"/>
    </row>
    <row r="296" spans="2:2" ht="23.25" customHeight="1">
      <c r="B296" s="2669"/>
    </row>
    <row r="297" spans="2:2" ht="23.25" customHeight="1">
      <c r="B297" s="2669"/>
    </row>
    <row r="298" spans="2:2" ht="23.25" customHeight="1">
      <c r="B298" s="2669"/>
    </row>
    <row r="299" spans="2:2" ht="23.25" customHeight="1">
      <c r="B299" s="2669"/>
    </row>
    <row r="300" spans="2:2" ht="23.25" customHeight="1">
      <c r="B300" s="2669"/>
    </row>
    <row r="301" spans="2:2" ht="23.25" customHeight="1">
      <c r="B301" s="2669"/>
    </row>
    <row r="302" spans="2:2" ht="23.25" customHeight="1">
      <c r="B302" s="2669"/>
    </row>
    <row r="303" spans="2:2" ht="23.25" customHeight="1">
      <c r="B303" s="2669"/>
    </row>
    <row r="304" spans="2:2" ht="23.25" customHeight="1">
      <c r="B304" s="2669"/>
    </row>
    <row r="305" spans="2:2" ht="23.25" customHeight="1">
      <c r="B305" s="2669"/>
    </row>
    <row r="306" spans="2:2" ht="23.25" customHeight="1">
      <c r="B306" s="2669"/>
    </row>
    <row r="307" spans="2:2" ht="23.25" customHeight="1">
      <c r="B307" s="2669"/>
    </row>
    <row r="308" spans="2:2" ht="23.25" customHeight="1">
      <c r="B308" s="2669"/>
    </row>
    <row r="309" spans="2:2" ht="23.25" customHeight="1">
      <c r="B309" s="2669"/>
    </row>
    <row r="310" spans="2:2" ht="23.25" customHeight="1">
      <c r="B310" s="2669"/>
    </row>
    <row r="311" spans="2:2" ht="23.25" customHeight="1">
      <c r="B311" s="2669"/>
    </row>
    <row r="312" spans="2:2" ht="23.25" customHeight="1">
      <c r="B312" s="2669"/>
    </row>
    <row r="313" spans="2:2" ht="23.25" customHeight="1">
      <c r="B313" s="2669"/>
    </row>
    <row r="314" spans="2:2" ht="23.25" customHeight="1">
      <c r="B314" s="2669"/>
    </row>
    <row r="315" spans="2:2" ht="23.25" customHeight="1">
      <c r="B315" s="2669"/>
    </row>
    <row r="316" spans="2:2" ht="23.25" customHeight="1">
      <c r="B316" s="2669"/>
    </row>
    <row r="317" spans="2:2" ht="23.25" customHeight="1">
      <c r="B317" s="2669"/>
    </row>
    <row r="318" spans="2:2" ht="23.25" customHeight="1">
      <c r="B318" s="2669"/>
    </row>
    <row r="319" spans="2:2" ht="23.25" customHeight="1">
      <c r="B319" s="2669"/>
    </row>
    <row r="320" spans="2:2" ht="23.25" customHeight="1">
      <c r="B320" s="2669"/>
    </row>
    <row r="321" spans="2:2" ht="23.25" customHeight="1">
      <c r="B321" s="2669"/>
    </row>
    <row r="322" spans="2:2" ht="23.25" customHeight="1">
      <c r="B322" s="2669"/>
    </row>
    <row r="323" spans="2:2" ht="23.25" customHeight="1">
      <c r="B323" s="2669"/>
    </row>
    <row r="324" spans="2:2" ht="23.25" customHeight="1">
      <c r="B324" s="2669"/>
    </row>
    <row r="325" spans="2:2" ht="23.25" customHeight="1">
      <c r="B325" s="2669"/>
    </row>
    <row r="326" spans="2:2" ht="23.25" customHeight="1">
      <c r="B326" s="2669"/>
    </row>
    <row r="327" spans="2:2" ht="23.25" customHeight="1">
      <c r="B327" s="2669"/>
    </row>
    <row r="328" spans="2:2" ht="23.25" customHeight="1">
      <c r="B328" s="2669"/>
    </row>
    <row r="329" spans="2:2" ht="23.25" customHeight="1">
      <c r="B329" s="2669"/>
    </row>
    <row r="330" spans="2:2" ht="23.25" customHeight="1">
      <c r="B330" s="2669"/>
    </row>
    <row r="331" spans="2:2" ht="23.25" customHeight="1">
      <c r="B331" s="2669"/>
    </row>
    <row r="332" spans="2:2" ht="23.25" customHeight="1">
      <c r="B332" s="2669"/>
    </row>
    <row r="333" spans="2:2" ht="23.25" customHeight="1">
      <c r="B333" s="2669"/>
    </row>
    <row r="334" spans="2:2" ht="23.25" customHeight="1">
      <c r="B334" s="2669"/>
    </row>
    <row r="335" spans="2:2" ht="23.25" customHeight="1">
      <c r="B335" s="2669"/>
    </row>
    <row r="336" spans="2:2" ht="23.25" customHeight="1">
      <c r="B336" s="2669"/>
    </row>
    <row r="337" spans="2:2" ht="23.25" customHeight="1">
      <c r="B337" s="2669"/>
    </row>
    <row r="338" spans="2:2" ht="23.25" customHeight="1">
      <c r="B338" s="2669"/>
    </row>
    <row r="339" spans="2:2" ht="23.25" customHeight="1">
      <c r="B339" s="2669"/>
    </row>
    <row r="340" spans="2:2" ht="23.25" customHeight="1">
      <c r="B340" s="2669"/>
    </row>
    <row r="341" spans="2:2" ht="23.25" customHeight="1">
      <c r="B341" s="2669"/>
    </row>
    <row r="342" spans="2:2" ht="23.25" customHeight="1">
      <c r="B342" s="2669"/>
    </row>
    <row r="343" spans="2:2" ht="23.25" customHeight="1">
      <c r="B343" s="2669"/>
    </row>
    <row r="344" spans="2:2" ht="23.25" customHeight="1">
      <c r="B344" s="2669"/>
    </row>
    <row r="345" spans="2:2" ht="23.25" customHeight="1">
      <c r="B345" s="2669"/>
    </row>
    <row r="346" spans="2:2" ht="23.25" customHeight="1">
      <c r="B346" s="2669"/>
    </row>
    <row r="347" spans="2:2" ht="23.25" customHeight="1">
      <c r="B347" s="2669"/>
    </row>
    <row r="348" spans="2:2" ht="23.25" customHeight="1">
      <c r="B348" s="2669"/>
    </row>
    <row r="349" spans="2:2" ht="23.25" customHeight="1">
      <c r="B349" s="2669"/>
    </row>
    <row r="350" spans="2:2" ht="23.25" customHeight="1">
      <c r="B350" s="2669"/>
    </row>
    <row r="351" spans="2:2" ht="23.25" customHeight="1">
      <c r="B351" s="2669"/>
    </row>
    <row r="352" spans="2:2" ht="23.25" customHeight="1">
      <c r="B352" s="2669"/>
    </row>
    <row r="353" spans="2:2" ht="23.25" customHeight="1">
      <c r="B353" s="2669"/>
    </row>
    <row r="354" spans="2:2" ht="23.25" customHeight="1">
      <c r="B354" s="2669"/>
    </row>
    <row r="355" spans="2:2" ht="23.25" customHeight="1">
      <c r="B355" s="2669"/>
    </row>
    <row r="356" spans="2:2" ht="23.25" customHeight="1">
      <c r="B356" s="2669"/>
    </row>
    <row r="357" spans="2:2" ht="23.25" customHeight="1">
      <c r="B357" s="2669"/>
    </row>
    <row r="358" spans="2:2" ht="23.25" customHeight="1">
      <c r="B358" s="2669"/>
    </row>
    <row r="359" spans="2:2" ht="23.25" customHeight="1">
      <c r="B359" s="2669"/>
    </row>
    <row r="360" spans="2:2" ht="23.25" customHeight="1">
      <c r="B360" s="2669"/>
    </row>
    <row r="361" spans="2:2" ht="23.25" customHeight="1">
      <c r="B361" s="2669"/>
    </row>
    <row r="362" spans="2:2" ht="23.25" customHeight="1">
      <c r="B362" s="2669"/>
    </row>
    <row r="363" spans="2:2" ht="23.25" customHeight="1">
      <c r="B363" s="2669"/>
    </row>
    <row r="364" spans="2:2" ht="23.25" customHeight="1">
      <c r="B364" s="2669"/>
    </row>
    <row r="365" spans="2:2" ht="23.25" customHeight="1">
      <c r="B365" s="2669"/>
    </row>
    <row r="366" spans="2:2" ht="23.25" customHeight="1">
      <c r="B366" s="2669"/>
    </row>
    <row r="367" spans="2:2" ht="23.25" customHeight="1">
      <c r="B367" s="2669"/>
    </row>
    <row r="368" spans="2:2" ht="23.25" customHeight="1">
      <c r="B368" s="2669"/>
    </row>
    <row r="369" spans="2:2" ht="23.25" customHeight="1">
      <c r="B369" s="2669"/>
    </row>
    <row r="370" spans="2:2" ht="23.25" customHeight="1">
      <c r="B370" s="2669"/>
    </row>
    <row r="371" spans="2:2" ht="23.25" customHeight="1">
      <c r="B371" s="2669"/>
    </row>
    <row r="372" spans="2:2" ht="23.25" customHeight="1">
      <c r="B372" s="2669"/>
    </row>
    <row r="373" spans="2:2" ht="23.25" customHeight="1">
      <c r="B373" s="2669"/>
    </row>
    <row r="374" spans="2:2" ht="23.25" customHeight="1">
      <c r="B374" s="2669"/>
    </row>
    <row r="375" spans="2:2" ht="23.25" customHeight="1">
      <c r="B375" s="2669"/>
    </row>
    <row r="376" spans="2:2" ht="23.25" customHeight="1">
      <c r="B376" s="2669"/>
    </row>
    <row r="377" spans="2:2" ht="23.25" customHeight="1">
      <c r="B377" s="2669"/>
    </row>
    <row r="378" spans="2:2" ht="23.25" customHeight="1">
      <c r="B378" s="2669"/>
    </row>
    <row r="379" spans="2:2" ht="23.25" customHeight="1">
      <c r="B379" s="2669"/>
    </row>
    <row r="380" spans="2:2" ht="23.25" customHeight="1">
      <c r="B380" s="2669"/>
    </row>
    <row r="381" spans="2:2" ht="23.25" customHeight="1">
      <c r="B381" s="2669"/>
    </row>
    <row r="382" spans="2:2" ht="23.25" customHeight="1">
      <c r="B382" s="2669"/>
    </row>
    <row r="383" spans="2:2" ht="23.25" customHeight="1">
      <c r="B383" s="2669"/>
    </row>
    <row r="384" spans="2:2" ht="23.25" customHeight="1">
      <c r="B384" s="2669"/>
    </row>
    <row r="385" spans="2:2" ht="23.25" customHeight="1">
      <c r="B385" s="2669"/>
    </row>
    <row r="386" spans="2:2" ht="23.25" customHeight="1">
      <c r="B386" s="2669"/>
    </row>
    <row r="387" spans="2:2" ht="23.25" customHeight="1">
      <c r="B387" s="2669"/>
    </row>
    <row r="388" spans="2:2" ht="23.25" customHeight="1">
      <c r="B388" s="2669"/>
    </row>
    <row r="389" spans="2:2" ht="23.25" customHeight="1">
      <c r="B389" s="2669"/>
    </row>
    <row r="390" spans="2:2" ht="23.25" customHeight="1">
      <c r="B390" s="2669"/>
    </row>
    <row r="391" spans="2:2" ht="23.25" customHeight="1">
      <c r="B391" s="2669"/>
    </row>
    <row r="392" spans="2:2" ht="23.25" customHeight="1">
      <c r="B392" s="2669"/>
    </row>
    <row r="393" spans="2:2" ht="23.25" customHeight="1">
      <c r="B393" s="2669"/>
    </row>
    <row r="394" spans="2:2" ht="23.25" customHeight="1">
      <c r="B394" s="2669"/>
    </row>
    <row r="395" spans="2:2" ht="23.25" customHeight="1">
      <c r="B395" s="2669"/>
    </row>
    <row r="396" spans="2:2" ht="23.25" customHeight="1">
      <c r="B396" s="2669"/>
    </row>
    <row r="397" spans="2:2" ht="23.25" customHeight="1">
      <c r="B397" s="2669"/>
    </row>
    <row r="398" spans="2:2" ht="23.25" customHeight="1">
      <c r="B398" s="2669"/>
    </row>
    <row r="399" spans="2:2" ht="23.25" customHeight="1">
      <c r="B399" s="2669"/>
    </row>
    <row r="400" spans="2:2" ht="23.25" customHeight="1">
      <c r="B400" s="2669"/>
    </row>
    <row r="401" spans="2:2" ht="23.25" customHeight="1">
      <c r="B401" s="2669"/>
    </row>
    <row r="402" spans="2:2" ht="23.25" customHeight="1">
      <c r="B402" s="2669"/>
    </row>
    <row r="403" spans="2:2" ht="23.25" customHeight="1">
      <c r="B403" s="2669"/>
    </row>
    <row r="404" spans="2:2" ht="23.25" customHeight="1">
      <c r="B404" s="2669"/>
    </row>
    <row r="405" spans="2:2" ht="23.25" customHeight="1">
      <c r="B405" s="2669"/>
    </row>
    <row r="406" spans="2:2" ht="23.25" customHeight="1">
      <c r="B406" s="2669"/>
    </row>
    <row r="407" spans="2:2" ht="23.25" customHeight="1">
      <c r="B407" s="2669"/>
    </row>
    <row r="408" spans="2:2" ht="23.25" customHeight="1">
      <c r="B408" s="2669"/>
    </row>
    <row r="409" spans="2:2" ht="23.25" customHeight="1">
      <c r="B409" s="2669"/>
    </row>
    <row r="410" spans="2:2" ht="23.25" customHeight="1">
      <c r="B410" s="2669"/>
    </row>
    <row r="411" spans="2:2" ht="23.25" customHeight="1">
      <c r="B411" s="2669"/>
    </row>
    <row r="412" spans="2:2" ht="23.25" customHeight="1">
      <c r="B412" s="2669"/>
    </row>
    <row r="413" spans="2:2" ht="23.25" customHeight="1">
      <c r="B413" s="2669"/>
    </row>
    <row r="414" spans="2:2" ht="23.25" customHeight="1">
      <c r="B414" s="2669"/>
    </row>
    <row r="415" spans="2:2" ht="23.25" customHeight="1">
      <c r="B415" s="2669"/>
    </row>
    <row r="416" spans="2:2" ht="23.25" customHeight="1">
      <c r="B416" s="2669"/>
    </row>
    <row r="417" spans="2:2" ht="23.25" customHeight="1">
      <c r="B417" s="2669"/>
    </row>
    <row r="418" spans="2:2" ht="23.25" customHeight="1">
      <c r="B418" s="2669"/>
    </row>
    <row r="419" spans="2:2" ht="23.25" customHeight="1">
      <c r="B419" s="2669"/>
    </row>
    <row r="420" spans="2:2" ht="23.25" customHeight="1">
      <c r="B420" s="2669"/>
    </row>
    <row r="421" spans="2:2" ht="23.25" customHeight="1">
      <c r="B421" s="2669"/>
    </row>
    <row r="422" spans="2:2" ht="23.25" customHeight="1">
      <c r="B422" s="2669"/>
    </row>
    <row r="423" spans="2:2" ht="23.25" customHeight="1">
      <c r="B423" s="2669"/>
    </row>
    <row r="424" spans="2:2" ht="23.25" customHeight="1">
      <c r="B424" s="2669"/>
    </row>
    <row r="425" spans="2:2" ht="23.25" customHeight="1">
      <c r="B425" s="2669"/>
    </row>
    <row r="426" spans="2:2" ht="23.25" customHeight="1">
      <c r="B426" s="2669"/>
    </row>
    <row r="427" spans="2:2" ht="23.25" customHeight="1">
      <c r="B427" s="2669"/>
    </row>
    <row r="428" spans="2:2" ht="23.25" customHeight="1">
      <c r="B428" s="2669"/>
    </row>
    <row r="429" spans="2:2" ht="23.25" customHeight="1">
      <c r="B429" s="2669"/>
    </row>
    <row r="430" spans="2:2" ht="23.25" customHeight="1">
      <c r="B430" s="2669"/>
    </row>
    <row r="431" spans="2:2" ht="23.25" customHeight="1">
      <c r="B431" s="2669"/>
    </row>
    <row r="432" spans="2:2" ht="23.25" customHeight="1">
      <c r="B432" s="2669"/>
    </row>
    <row r="433" spans="2:2" ht="23.25" customHeight="1">
      <c r="B433" s="2669"/>
    </row>
    <row r="434" spans="2:2" ht="23.25" customHeight="1">
      <c r="B434" s="2669"/>
    </row>
    <row r="435" spans="2:2" ht="23.25" customHeight="1">
      <c r="B435" s="2669"/>
    </row>
    <row r="436" spans="2:2" ht="23.25" customHeight="1">
      <c r="B436" s="2669"/>
    </row>
    <row r="437" spans="2:2" ht="23.25" customHeight="1">
      <c r="B437" s="2669"/>
    </row>
    <row r="438" spans="2:2" ht="23.25" customHeight="1">
      <c r="B438" s="2669"/>
    </row>
    <row r="439" spans="2:2" ht="23.25" customHeight="1">
      <c r="B439" s="2669"/>
    </row>
    <row r="440" spans="2:2" ht="23.25" customHeight="1">
      <c r="B440" s="2669"/>
    </row>
    <row r="441" spans="2:2" ht="23.25" customHeight="1">
      <c r="B441" s="2669"/>
    </row>
    <row r="442" spans="2:2" ht="23.25" customHeight="1">
      <c r="B442" s="2669"/>
    </row>
    <row r="443" spans="2:2" ht="23.25" customHeight="1">
      <c r="B443" s="2669"/>
    </row>
    <row r="444" spans="2:2" ht="23.25" customHeight="1">
      <c r="B444" s="2669"/>
    </row>
    <row r="445" spans="2:2" ht="23.25" customHeight="1">
      <c r="B445" s="2669"/>
    </row>
    <row r="446" spans="2:2" ht="23.25" customHeight="1">
      <c r="B446" s="2669"/>
    </row>
    <row r="447" spans="2:2" ht="23.25" customHeight="1">
      <c r="B447" s="2669"/>
    </row>
    <row r="448" spans="2:2" ht="23.25" customHeight="1">
      <c r="B448" s="2669"/>
    </row>
    <row r="449" spans="2:2" ht="23.25" customHeight="1">
      <c r="B449" s="2669"/>
    </row>
    <row r="450" spans="2:2" ht="23.25" customHeight="1">
      <c r="B450" s="2669"/>
    </row>
    <row r="451" spans="2:2" ht="23.25" customHeight="1">
      <c r="B451" s="2669"/>
    </row>
    <row r="452" spans="2:2" ht="23.25" customHeight="1">
      <c r="B452" s="2669"/>
    </row>
    <row r="453" spans="2:2" ht="23.25" customHeight="1">
      <c r="B453" s="2669"/>
    </row>
    <row r="454" spans="2:2" ht="23.25" customHeight="1">
      <c r="B454" s="2669"/>
    </row>
    <row r="455" spans="2:2" ht="23.25" customHeight="1">
      <c r="B455" s="2669"/>
    </row>
    <row r="456" spans="2:2" ht="23.25" customHeight="1">
      <c r="B456" s="2669"/>
    </row>
    <row r="457" spans="2:2" ht="23.25" customHeight="1">
      <c r="B457" s="2669"/>
    </row>
    <row r="458" spans="2:2" ht="23.25" customHeight="1">
      <c r="B458" s="2669"/>
    </row>
    <row r="459" spans="2:2" ht="23.25" customHeight="1">
      <c r="B459" s="2669"/>
    </row>
    <row r="460" spans="2:2" ht="23.25" customHeight="1">
      <c r="B460" s="2669"/>
    </row>
    <row r="461" spans="2:2" ht="23.25" customHeight="1">
      <c r="B461" s="2669"/>
    </row>
    <row r="462" spans="2:2" ht="23.25" customHeight="1">
      <c r="B462" s="2669"/>
    </row>
    <row r="463" spans="2:2" ht="23.25" customHeight="1">
      <c r="B463" s="2669"/>
    </row>
    <row r="464" spans="2:2" ht="23.25" customHeight="1">
      <c r="B464" s="2669"/>
    </row>
    <row r="465" spans="2:2" ht="23.25" customHeight="1">
      <c r="B465" s="2669"/>
    </row>
    <row r="466" spans="2:2" ht="23.25" customHeight="1">
      <c r="B466" s="2669"/>
    </row>
    <row r="467" spans="2:2" ht="23.25" customHeight="1">
      <c r="B467" s="2669"/>
    </row>
    <row r="468" spans="2:2" ht="23.25" customHeight="1">
      <c r="B468" s="2669"/>
    </row>
    <row r="469" spans="2:2" ht="23.25" customHeight="1">
      <c r="B469" s="2669"/>
    </row>
    <row r="470" spans="2:2" ht="23.25" customHeight="1">
      <c r="B470" s="2669"/>
    </row>
    <row r="471" spans="2:2" ht="23.25" customHeight="1">
      <c r="B471" s="2669"/>
    </row>
    <row r="472" spans="2:2" ht="23.25" customHeight="1">
      <c r="B472" s="2669"/>
    </row>
    <row r="473" spans="2:2" ht="23.25" customHeight="1">
      <c r="B473" s="2669"/>
    </row>
    <row r="474" spans="2:2" ht="23.25" customHeight="1">
      <c r="B474" s="2669"/>
    </row>
    <row r="475" spans="2:2" ht="23.25" customHeight="1">
      <c r="B475" s="2669"/>
    </row>
    <row r="476" spans="2:2" ht="23.25" customHeight="1">
      <c r="B476" s="2669"/>
    </row>
    <row r="477" spans="2:2" ht="23.25" customHeight="1">
      <c r="B477" s="2669"/>
    </row>
    <row r="478" spans="2:2" ht="23.25" customHeight="1">
      <c r="B478" s="2669"/>
    </row>
    <row r="479" spans="2:2" ht="23.25" customHeight="1">
      <c r="B479" s="2669"/>
    </row>
    <row r="480" spans="2:2" ht="23.25" customHeight="1">
      <c r="B480" s="2669"/>
    </row>
    <row r="481" spans="2:2" ht="23.25" customHeight="1">
      <c r="B481" s="2669"/>
    </row>
    <row r="482" spans="2:2" ht="23.25" customHeight="1">
      <c r="B482" s="2669"/>
    </row>
    <row r="483" spans="2:2" ht="23.25" customHeight="1">
      <c r="B483" s="2669"/>
    </row>
    <row r="484" spans="2:2" ht="23.25" customHeight="1">
      <c r="B484" s="2669"/>
    </row>
    <row r="485" spans="2:2" ht="23.25" customHeight="1">
      <c r="B485" s="2669"/>
    </row>
    <row r="486" spans="2:2" ht="23.25" customHeight="1">
      <c r="B486" s="2669"/>
    </row>
    <row r="487" spans="2:2" ht="23.25" customHeight="1">
      <c r="B487" s="2669"/>
    </row>
    <row r="488" spans="2:2" ht="23.25" customHeight="1">
      <c r="B488" s="2669"/>
    </row>
    <row r="489" spans="2:2" ht="23.25" customHeight="1">
      <c r="B489" s="2669"/>
    </row>
    <row r="490" spans="2:2" ht="23.25" customHeight="1">
      <c r="B490" s="2669"/>
    </row>
    <row r="491" spans="2:2" ht="23.25" customHeight="1">
      <c r="B491" s="2669"/>
    </row>
    <row r="492" spans="2:2" ht="23.25" customHeight="1">
      <c r="B492" s="2669"/>
    </row>
    <row r="493" spans="2:2" ht="23.25" customHeight="1">
      <c r="B493" s="2669"/>
    </row>
    <row r="494" spans="2:2" ht="23.25" customHeight="1">
      <c r="B494" s="2669"/>
    </row>
    <row r="495" spans="2:2" ht="23.25" customHeight="1">
      <c r="B495" s="2669"/>
    </row>
    <row r="496" spans="2:2" ht="23.25" customHeight="1">
      <c r="B496" s="2669"/>
    </row>
    <row r="497" spans="2:2" ht="23.25" customHeight="1">
      <c r="B497" s="2669"/>
    </row>
    <row r="498" spans="2:2" ht="23.25" customHeight="1">
      <c r="B498" s="2669"/>
    </row>
    <row r="499" spans="2:2" ht="23.25" customHeight="1">
      <c r="B499" s="2669"/>
    </row>
    <row r="500" spans="2:2" ht="23.25" customHeight="1">
      <c r="B500" s="2669"/>
    </row>
    <row r="501" spans="2:2" ht="23.25" customHeight="1">
      <c r="B501" s="2669"/>
    </row>
    <row r="502" spans="2:2" ht="23.25" customHeight="1">
      <c r="B502" s="2669"/>
    </row>
    <row r="503" spans="2:2" ht="23.25" customHeight="1">
      <c r="B503" s="2669"/>
    </row>
    <row r="504" spans="2:2" ht="23.25" customHeight="1">
      <c r="B504" s="2669"/>
    </row>
    <row r="505" spans="2:2" ht="23.25" customHeight="1">
      <c r="B505" s="2669"/>
    </row>
    <row r="506" spans="2:2" ht="23.25" customHeight="1">
      <c r="B506" s="2669"/>
    </row>
    <row r="507" spans="2:2" ht="23.25" customHeight="1">
      <c r="B507" s="2669"/>
    </row>
    <row r="508" spans="2:2" ht="23.25" customHeight="1">
      <c r="B508" s="2669"/>
    </row>
    <row r="509" spans="2:2" ht="23.25" customHeight="1">
      <c r="B509" s="2669"/>
    </row>
    <row r="510" spans="2:2" ht="23.25" customHeight="1">
      <c r="B510" s="2669"/>
    </row>
    <row r="511" spans="2:2" ht="23.25" customHeight="1">
      <c r="B511" s="2669"/>
    </row>
    <row r="512" spans="2:2" ht="23.25" customHeight="1">
      <c r="B512" s="2669"/>
    </row>
    <row r="513" spans="2:2" ht="23.25" customHeight="1">
      <c r="B513" s="2669"/>
    </row>
    <row r="514" spans="2:2" ht="23.25" customHeight="1">
      <c r="B514" s="2669"/>
    </row>
    <row r="515" spans="2:2" ht="23.25" customHeight="1">
      <c r="B515" s="2669"/>
    </row>
    <row r="516" spans="2:2" ht="23.25" customHeight="1">
      <c r="B516" s="2669"/>
    </row>
    <row r="517" spans="2:2" ht="23.25" customHeight="1">
      <c r="B517" s="2669"/>
    </row>
    <row r="518" spans="2:2" ht="23.25" customHeight="1">
      <c r="B518" s="2669"/>
    </row>
    <row r="519" spans="2:2" ht="23.25" customHeight="1">
      <c r="B519" s="2669"/>
    </row>
    <row r="520" spans="2:2" ht="23.25" customHeight="1">
      <c r="B520" s="2669"/>
    </row>
    <row r="521" spans="2:2" ht="23.25" customHeight="1">
      <c r="B521" s="2669"/>
    </row>
    <row r="522" spans="2:2" ht="23.25" customHeight="1">
      <c r="B522" s="2669"/>
    </row>
    <row r="523" spans="2:2" ht="23.25" customHeight="1">
      <c r="B523" s="2669"/>
    </row>
    <row r="524" spans="2:2" ht="23.25" customHeight="1">
      <c r="B524" s="2669"/>
    </row>
    <row r="525" spans="2:2" ht="23.25" customHeight="1">
      <c r="B525" s="2669"/>
    </row>
    <row r="526" spans="2:2" ht="23.25" customHeight="1">
      <c r="B526" s="2669"/>
    </row>
    <row r="527" spans="2:2" ht="23.25" customHeight="1">
      <c r="B527" s="2669"/>
    </row>
    <row r="528" spans="2:2" ht="23.25" customHeight="1">
      <c r="B528" s="2669"/>
    </row>
    <row r="529" spans="2:2" ht="23.25" customHeight="1">
      <c r="B529" s="2669"/>
    </row>
    <row r="530" spans="2:2" ht="23.25" customHeight="1">
      <c r="B530" s="2669"/>
    </row>
    <row r="531" spans="2:2" ht="23.25" customHeight="1">
      <c r="B531" s="2669"/>
    </row>
    <row r="532" spans="2:2" ht="23.25" customHeight="1">
      <c r="B532" s="2669"/>
    </row>
    <row r="533" spans="2:2" ht="23.25" customHeight="1">
      <c r="B533" s="2669"/>
    </row>
    <row r="534" spans="2:2" ht="23.25" customHeight="1">
      <c r="B534" s="2669"/>
    </row>
    <row r="535" spans="2:2" ht="23.25" customHeight="1">
      <c r="B535" s="2669"/>
    </row>
    <row r="536" spans="2:2" ht="23.25" customHeight="1">
      <c r="B536" s="2669"/>
    </row>
    <row r="537" spans="2:2" ht="23.25" customHeight="1">
      <c r="B537" s="2669"/>
    </row>
    <row r="538" spans="2:2" ht="23.25" customHeight="1">
      <c r="B538" s="2669"/>
    </row>
    <row r="539" spans="2:2" ht="23.25" customHeight="1">
      <c r="B539" s="2669"/>
    </row>
    <row r="540" spans="2:2" ht="23.25" customHeight="1">
      <c r="B540" s="2669"/>
    </row>
    <row r="541" spans="2:2" ht="23.25" customHeight="1">
      <c r="B541" s="2669"/>
    </row>
    <row r="542" spans="2:2" ht="23.25" customHeight="1">
      <c r="B542" s="2669"/>
    </row>
    <row r="543" spans="2:2" ht="23.25" customHeight="1">
      <c r="B543" s="2669"/>
    </row>
    <row r="544" spans="2:2" ht="23.25" customHeight="1">
      <c r="B544" s="2669"/>
    </row>
    <row r="545" spans="2:2" ht="23.25" customHeight="1">
      <c r="B545" s="2669"/>
    </row>
    <row r="546" spans="2:2" ht="23.25" customHeight="1">
      <c r="B546" s="2669"/>
    </row>
    <row r="547" spans="2:2" ht="23.25" customHeight="1">
      <c r="B547" s="2669"/>
    </row>
    <row r="548" spans="2:2" ht="23.25" customHeight="1">
      <c r="B548" s="2669"/>
    </row>
    <row r="549" spans="2:2" ht="23.25" customHeight="1">
      <c r="B549" s="2669"/>
    </row>
    <row r="550" spans="2:2" ht="23.25" customHeight="1">
      <c r="B550" s="2669"/>
    </row>
    <row r="551" spans="2:2" ht="23.25" customHeight="1">
      <c r="B551" s="2669"/>
    </row>
    <row r="552" spans="2:2" ht="23.25" customHeight="1">
      <c r="B552" s="2669"/>
    </row>
    <row r="553" spans="2:2" ht="23.25" customHeight="1">
      <c r="B553" s="2669"/>
    </row>
    <row r="554" spans="2:2" ht="23.25" customHeight="1">
      <c r="B554" s="2669"/>
    </row>
    <row r="555" spans="2:2" ht="23.25" customHeight="1">
      <c r="B555" s="2669"/>
    </row>
    <row r="556" spans="2:2" ht="23.25" customHeight="1">
      <c r="B556" s="2669"/>
    </row>
    <row r="557" spans="2:2" ht="23.25" customHeight="1">
      <c r="B557" s="2669"/>
    </row>
    <row r="558" spans="2:2" ht="23.25" customHeight="1">
      <c r="B558" s="2669"/>
    </row>
    <row r="559" spans="2:2" ht="23.25" customHeight="1">
      <c r="B559" s="2669"/>
    </row>
    <row r="560" spans="2:2" ht="23.25" customHeight="1">
      <c r="B560" s="2669"/>
    </row>
    <row r="561" spans="2:2" ht="23.25" customHeight="1">
      <c r="B561" s="2669"/>
    </row>
    <row r="562" spans="2:2" ht="23.25" customHeight="1">
      <c r="B562" s="2669"/>
    </row>
    <row r="563" spans="2:2" ht="23.25" customHeight="1">
      <c r="B563" s="2669"/>
    </row>
    <row r="564" spans="2:2" ht="23.25" customHeight="1">
      <c r="B564" s="2669"/>
    </row>
    <row r="565" spans="2:2" ht="23.25" customHeight="1">
      <c r="B565" s="2669"/>
    </row>
    <row r="566" spans="2:2" ht="23.25" customHeight="1">
      <c r="B566" s="2669"/>
    </row>
    <row r="567" spans="2:2" ht="23.25" customHeight="1">
      <c r="B567" s="2669"/>
    </row>
    <row r="568" spans="2:2" ht="23.25" customHeight="1">
      <c r="B568" s="2669"/>
    </row>
    <row r="569" spans="2:2" ht="23.25" customHeight="1">
      <c r="B569" s="2669"/>
    </row>
    <row r="570" spans="2:2" ht="23.25" customHeight="1">
      <c r="B570" s="2669"/>
    </row>
    <row r="571" spans="2:2" ht="23.25" customHeight="1">
      <c r="B571" s="2669"/>
    </row>
    <row r="572" spans="2:2" ht="23.25" customHeight="1">
      <c r="B572" s="2669"/>
    </row>
    <row r="573" spans="2:2" ht="23.25" customHeight="1">
      <c r="B573" s="2669"/>
    </row>
    <row r="574" spans="2:2" ht="23.25" customHeight="1">
      <c r="B574" s="2669"/>
    </row>
    <row r="575" spans="2:2" ht="23.25" customHeight="1">
      <c r="B575" s="2669"/>
    </row>
    <row r="576" spans="2:2" ht="23.25" customHeight="1">
      <c r="B576" s="2669"/>
    </row>
    <row r="577" spans="2:2" ht="23.25" customHeight="1">
      <c r="B577" s="2669"/>
    </row>
    <row r="578" spans="2:2" ht="23.25" customHeight="1">
      <c r="B578" s="2669"/>
    </row>
    <row r="579" spans="2:2" ht="23.25" customHeight="1">
      <c r="B579" s="2669"/>
    </row>
    <row r="580" spans="2:2" ht="23.25" customHeight="1">
      <c r="B580" s="2669"/>
    </row>
    <row r="581" spans="2:2" ht="23.25" customHeight="1">
      <c r="B581" s="2669"/>
    </row>
    <row r="582" spans="2:2" ht="23.25" customHeight="1">
      <c r="B582" s="2669"/>
    </row>
    <row r="583" spans="2:2" ht="23.25" customHeight="1">
      <c r="B583" s="2669"/>
    </row>
    <row r="584" spans="2:2" ht="23.25" customHeight="1">
      <c r="B584" s="2669"/>
    </row>
    <row r="585" spans="2:2" ht="23.25" customHeight="1">
      <c r="B585" s="2669"/>
    </row>
    <row r="586" spans="2:2" ht="23.25" customHeight="1">
      <c r="B586" s="2669"/>
    </row>
    <row r="587" spans="2:2" ht="23.25" customHeight="1">
      <c r="B587" s="2669"/>
    </row>
    <row r="588" spans="2:2" ht="23.25" customHeight="1">
      <c r="B588" s="2669"/>
    </row>
    <row r="589" spans="2:2" ht="23.25" customHeight="1">
      <c r="B589" s="2669"/>
    </row>
    <row r="590" spans="2:2" ht="23.25" customHeight="1">
      <c r="B590" s="2669"/>
    </row>
    <row r="591" spans="2:2" ht="23.25" customHeight="1">
      <c r="B591" s="2669"/>
    </row>
    <row r="592" spans="2:2" ht="23.25" customHeight="1">
      <c r="B592" s="2669"/>
    </row>
    <row r="593" spans="2:2" ht="23.25" customHeight="1">
      <c r="B593" s="2669"/>
    </row>
    <row r="594" spans="2:2" ht="23.25" customHeight="1">
      <c r="B594" s="2669"/>
    </row>
    <row r="595" spans="2:2" ht="23.25" customHeight="1">
      <c r="B595" s="2669"/>
    </row>
    <row r="596" spans="2:2" ht="23.25" customHeight="1">
      <c r="B596" s="2669"/>
    </row>
    <row r="597" spans="2:2" ht="23.25" customHeight="1">
      <c r="B597" s="2669"/>
    </row>
    <row r="598" spans="2:2" ht="23.25" customHeight="1">
      <c r="B598" s="2669"/>
    </row>
    <row r="599" spans="2:2" ht="23.25" customHeight="1">
      <c r="B599" s="2669"/>
    </row>
    <row r="600" spans="2:2" ht="23.25" customHeight="1">
      <c r="B600" s="2669"/>
    </row>
    <row r="601" spans="2:2" ht="23.25" customHeight="1">
      <c r="B601" s="2669"/>
    </row>
    <row r="602" spans="2:2" ht="23.25" customHeight="1">
      <c r="B602" s="2669"/>
    </row>
    <row r="603" spans="2:2" ht="23.25" customHeight="1">
      <c r="B603" s="2669"/>
    </row>
    <row r="604" spans="2:2" ht="23.25" customHeight="1">
      <c r="B604" s="2669"/>
    </row>
    <row r="605" spans="2:2" ht="23.25" customHeight="1">
      <c r="B605" s="2669"/>
    </row>
    <row r="606" spans="2:2" ht="23.25" customHeight="1">
      <c r="B606" s="2669"/>
    </row>
    <row r="607" spans="2:2" ht="23.25" customHeight="1">
      <c r="B607" s="2669"/>
    </row>
    <row r="608" spans="2:2" ht="23.25" customHeight="1">
      <c r="B608" s="2669"/>
    </row>
    <row r="609" spans="2:2" ht="23.25" customHeight="1">
      <c r="B609" s="2669"/>
    </row>
    <row r="610" spans="2:2" ht="23.25" customHeight="1">
      <c r="B610" s="2669"/>
    </row>
    <row r="611" spans="2:2" ht="23.25" customHeight="1">
      <c r="B611" s="2669"/>
    </row>
    <row r="612" spans="2:2" ht="23.25" customHeight="1">
      <c r="B612" s="2669"/>
    </row>
    <row r="613" spans="2:2" ht="23.25" customHeight="1">
      <c r="B613" s="2669"/>
    </row>
    <row r="614" spans="2:2" ht="23.25" customHeight="1">
      <c r="B614" s="2669"/>
    </row>
    <row r="615" spans="2:2" ht="23.25" customHeight="1">
      <c r="B615" s="2669"/>
    </row>
    <row r="616" spans="2:2" ht="23.25" customHeight="1">
      <c r="B616" s="2669"/>
    </row>
    <row r="617" spans="2:2" ht="23.25" customHeight="1">
      <c r="B617" s="2669"/>
    </row>
    <row r="618" spans="2:2" ht="23.25" customHeight="1">
      <c r="B618" s="2669"/>
    </row>
    <row r="619" spans="2:2" ht="23.25" customHeight="1">
      <c r="B619" s="2669"/>
    </row>
    <row r="620" spans="2:2" ht="23.25" customHeight="1">
      <c r="B620" s="2669"/>
    </row>
    <row r="621" spans="2:2" ht="23.25" customHeight="1">
      <c r="B621" s="2669"/>
    </row>
    <row r="622" spans="2:2" ht="23.25" customHeight="1">
      <c r="B622" s="2669"/>
    </row>
    <row r="623" spans="2:2" ht="23.25" customHeight="1">
      <c r="B623" s="2669"/>
    </row>
    <row r="624" spans="2:2" ht="23.25" customHeight="1">
      <c r="B624" s="2669"/>
    </row>
    <row r="625" spans="2:2" ht="23.25" customHeight="1">
      <c r="B625" s="2669"/>
    </row>
    <row r="626" spans="2:2" ht="23.25" customHeight="1">
      <c r="B626" s="2669"/>
    </row>
    <row r="627" spans="2:2" ht="23.25" customHeight="1">
      <c r="B627" s="2669"/>
    </row>
    <row r="628" spans="2:2" ht="23.25" customHeight="1">
      <c r="B628" s="2669"/>
    </row>
    <row r="629" spans="2:2" ht="23.25" customHeight="1">
      <c r="B629" s="2669"/>
    </row>
    <row r="630" spans="2:2" ht="23.25" customHeight="1">
      <c r="B630" s="2669"/>
    </row>
    <row r="631" spans="2:2" ht="23.25" customHeight="1">
      <c r="B631" s="2669"/>
    </row>
    <row r="632" spans="2:2" ht="23.25" customHeight="1">
      <c r="B632" s="2669"/>
    </row>
    <row r="633" spans="2:2" ht="23.25" customHeight="1">
      <c r="B633" s="2669"/>
    </row>
    <row r="634" spans="2:2" ht="23.25" customHeight="1">
      <c r="B634" s="2669"/>
    </row>
    <row r="635" spans="2:2" ht="23.25" customHeight="1">
      <c r="B635" s="2669"/>
    </row>
    <row r="636" spans="2:2" ht="23.25" customHeight="1">
      <c r="B636" s="2669"/>
    </row>
    <row r="637" spans="2:2" ht="23.25" customHeight="1">
      <c r="B637" s="2669"/>
    </row>
    <row r="638" spans="2:2" ht="23.25" customHeight="1">
      <c r="B638" s="2669"/>
    </row>
    <row r="639" spans="2:2" ht="23.25" customHeight="1">
      <c r="B639" s="2669"/>
    </row>
    <row r="640" spans="2:2" ht="23.25" customHeight="1">
      <c r="B640" s="2669"/>
    </row>
    <row r="641" spans="2:2" ht="23.25" customHeight="1">
      <c r="B641" s="2669"/>
    </row>
    <row r="642" spans="2:2" ht="23.25" customHeight="1">
      <c r="B642" s="2669"/>
    </row>
    <row r="643" spans="2:2" ht="23.25" customHeight="1">
      <c r="B643" s="2669"/>
    </row>
    <row r="644" spans="2:2" ht="23.25" customHeight="1">
      <c r="B644" s="2669"/>
    </row>
    <row r="645" spans="2:2" ht="23.25" customHeight="1">
      <c r="B645" s="2669"/>
    </row>
    <row r="646" spans="2:2" ht="23.25" customHeight="1">
      <c r="B646" s="2669"/>
    </row>
    <row r="647" spans="2:2" ht="23.25" customHeight="1">
      <c r="B647" s="2669"/>
    </row>
    <row r="648" spans="2:2" ht="23.25" customHeight="1">
      <c r="B648" s="2669"/>
    </row>
    <row r="649" spans="2:2" ht="23.25" customHeight="1">
      <c r="B649" s="2669"/>
    </row>
    <row r="650" spans="2:2" ht="23.25" customHeight="1">
      <c r="B650" s="2669"/>
    </row>
    <row r="651" spans="2:2" ht="23.25" customHeight="1">
      <c r="B651" s="2669"/>
    </row>
    <row r="652" spans="2:2" ht="23.25" customHeight="1">
      <c r="B652" s="2669"/>
    </row>
    <row r="653" spans="2:2" ht="23.25" customHeight="1">
      <c r="B653" s="2669"/>
    </row>
    <row r="654" spans="2:2" ht="23.25" customHeight="1">
      <c r="B654" s="2669"/>
    </row>
    <row r="655" spans="2:2" ht="23.25" customHeight="1">
      <c r="B655" s="2669"/>
    </row>
    <row r="656" spans="2:2" ht="23.25" customHeight="1">
      <c r="B656" s="2669"/>
    </row>
    <row r="657" spans="2:2" ht="23.25" customHeight="1">
      <c r="B657" s="2669"/>
    </row>
    <row r="658" spans="2:2" ht="23.25" customHeight="1">
      <c r="B658" s="2669"/>
    </row>
    <row r="659" spans="2:2" ht="23.25" customHeight="1">
      <c r="B659" s="2669"/>
    </row>
    <row r="660" spans="2:2" ht="23.25" customHeight="1">
      <c r="B660" s="2669"/>
    </row>
    <row r="661" spans="2:2" ht="23.25" customHeight="1">
      <c r="B661" s="2669"/>
    </row>
    <row r="662" spans="2:2" ht="23.25" customHeight="1">
      <c r="B662" s="2669"/>
    </row>
    <row r="663" spans="2:2" ht="23.25" customHeight="1">
      <c r="B663" s="2669"/>
    </row>
    <row r="664" spans="2:2" ht="23.25" customHeight="1">
      <c r="B664" s="2669"/>
    </row>
    <row r="665" spans="2:2" ht="23.25" customHeight="1">
      <c r="B665" s="2669"/>
    </row>
    <row r="666" spans="2:2" ht="23.25" customHeight="1">
      <c r="B666" s="2669"/>
    </row>
    <row r="667" spans="2:2" ht="23.25" customHeight="1">
      <c r="B667" s="2669"/>
    </row>
    <row r="668" spans="2:2" ht="23.25" customHeight="1">
      <c r="B668" s="2669"/>
    </row>
    <row r="669" spans="2:2" ht="23.25" customHeight="1">
      <c r="B669" s="2669"/>
    </row>
    <row r="670" spans="2:2" ht="23.25" customHeight="1">
      <c r="B670" s="2669"/>
    </row>
    <row r="671" spans="2:2" ht="23.25" customHeight="1">
      <c r="B671" s="2669"/>
    </row>
    <row r="672" spans="2:2" ht="23.25" customHeight="1">
      <c r="B672" s="2669"/>
    </row>
    <row r="673" spans="2:2" ht="23.25" customHeight="1">
      <c r="B673" s="2669"/>
    </row>
    <row r="674" spans="2:2" ht="23.25" customHeight="1">
      <c r="B674" s="2669"/>
    </row>
    <row r="675" spans="2:2" ht="23.25" customHeight="1">
      <c r="B675" s="2669"/>
    </row>
    <row r="676" spans="2:2" ht="23.25" customHeight="1">
      <c r="B676" s="2669"/>
    </row>
    <row r="677" spans="2:2" ht="23.25" customHeight="1">
      <c r="B677" s="2669"/>
    </row>
    <row r="678" spans="2:2" ht="23.25" customHeight="1">
      <c r="B678" s="2669"/>
    </row>
    <row r="679" spans="2:2" ht="23.25" customHeight="1">
      <c r="B679" s="2669"/>
    </row>
    <row r="680" spans="2:2" ht="23.25" customHeight="1">
      <c r="B680" s="2669"/>
    </row>
    <row r="681" spans="2:2" ht="23.25" customHeight="1">
      <c r="B681" s="2669"/>
    </row>
    <row r="682" spans="2:2" ht="23.25" customHeight="1">
      <c r="B682" s="2669"/>
    </row>
    <row r="683" spans="2:2" ht="23.25" customHeight="1">
      <c r="B683" s="2669"/>
    </row>
    <row r="684" spans="2:2" ht="23.25" customHeight="1">
      <c r="B684" s="2669"/>
    </row>
    <row r="685" spans="2:2" ht="23.25" customHeight="1">
      <c r="B685" s="2669"/>
    </row>
    <row r="686" spans="2:2" ht="23.25" customHeight="1">
      <c r="B686" s="2669"/>
    </row>
    <row r="687" spans="2:2" ht="23.25" customHeight="1">
      <c r="B687" s="2669"/>
    </row>
    <row r="688" spans="2:2" ht="23.25" customHeight="1">
      <c r="B688" s="2669"/>
    </row>
    <row r="689" spans="2:2" ht="23.25" customHeight="1">
      <c r="B689" s="2669"/>
    </row>
    <row r="690" spans="2:2" ht="23.25" customHeight="1">
      <c r="B690" s="2669"/>
    </row>
    <row r="691" spans="2:2" ht="23.25" customHeight="1">
      <c r="B691" s="2669"/>
    </row>
    <row r="692" spans="2:2" ht="23.25" customHeight="1">
      <c r="B692" s="2669"/>
    </row>
    <row r="693" spans="2:2" ht="23.25" customHeight="1">
      <c r="B693" s="2669"/>
    </row>
    <row r="694" spans="2:2" ht="23.25" customHeight="1">
      <c r="B694" s="2669"/>
    </row>
    <row r="695" spans="2:2" ht="23.25" customHeight="1">
      <c r="B695" s="2669"/>
    </row>
    <row r="696" spans="2:2" ht="23.25" customHeight="1">
      <c r="B696" s="2669"/>
    </row>
    <row r="697" spans="2:2" ht="23.25" customHeight="1">
      <c r="B697" s="2669"/>
    </row>
    <row r="698" spans="2:2" ht="23.25" customHeight="1">
      <c r="B698" s="2669"/>
    </row>
    <row r="699" spans="2:2" ht="23.25" customHeight="1">
      <c r="B699" s="2669"/>
    </row>
    <row r="700" spans="2:2" ht="23.25" customHeight="1">
      <c r="B700" s="2669"/>
    </row>
    <row r="701" spans="2:2" ht="23.25" customHeight="1">
      <c r="B701" s="2669"/>
    </row>
    <row r="702" spans="2:2" ht="23.25" customHeight="1">
      <c r="B702" s="2669"/>
    </row>
    <row r="703" spans="2:2" ht="23.25" customHeight="1">
      <c r="B703" s="2669"/>
    </row>
    <row r="704" spans="2:2" ht="23.25" customHeight="1">
      <c r="B704" s="2669"/>
    </row>
    <row r="705" spans="2:2" ht="23.25" customHeight="1">
      <c r="B705" s="2669"/>
    </row>
    <row r="706" spans="2:2" ht="23.25" customHeight="1">
      <c r="B706" s="2669"/>
    </row>
    <row r="707" spans="2:2" ht="23.25" customHeight="1">
      <c r="B707" s="2669"/>
    </row>
    <row r="708" spans="2:2" ht="23.25" customHeight="1">
      <c r="B708" s="2669"/>
    </row>
    <row r="709" spans="2:2" ht="23.25" customHeight="1">
      <c r="B709" s="2669"/>
    </row>
    <row r="710" spans="2:2" ht="23.25" customHeight="1">
      <c r="B710" s="2669"/>
    </row>
    <row r="711" spans="2:2" ht="23.25" customHeight="1">
      <c r="B711" s="2669"/>
    </row>
    <row r="712" spans="2:2" ht="23.25" customHeight="1">
      <c r="B712" s="2669"/>
    </row>
    <row r="713" spans="2:2" ht="23.25" customHeight="1">
      <c r="B713" s="2669"/>
    </row>
    <row r="714" spans="2:2" ht="23.25" customHeight="1">
      <c r="B714" s="2669"/>
    </row>
    <row r="715" spans="2:2" ht="23.25" customHeight="1">
      <c r="B715" s="2669"/>
    </row>
    <row r="716" spans="2:2" ht="23.25" customHeight="1">
      <c r="B716" s="2669"/>
    </row>
    <row r="717" spans="2:2" ht="23.25" customHeight="1">
      <c r="B717" s="2669"/>
    </row>
    <row r="718" spans="2:2" ht="23.25" customHeight="1">
      <c r="B718" s="2669"/>
    </row>
    <row r="719" spans="2:2" ht="23.25" customHeight="1">
      <c r="B719" s="2669"/>
    </row>
    <row r="720" spans="2:2" ht="23.25" customHeight="1">
      <c r="B720" s="2669"/>
    </row>
    <row r="721" spans="2:2" ht="23.25" customHeight="1">
      <c r="B721" s="2669"/>
    </row>
    <row r="722" spans="2:2" ht="23.25" customHeight="1">
      <c r="B722" s="2669"/>
    </row>
    <row r="723" spans="2:2" ht="23.25" customHeight="1">
      <c r="B723" s="2669"/>
    </row>
    <row r="724" spans="2:2" ht="23.25" customHeight="1">
      <c r="B724" s="2669"/>
    </row>
    <row r="725" spans="2:2" ht="23.25" customHeight="1">
      <c r="B725" s="2669"/>
    </row>
    <row r="726" spans="2:2" ht="23.25" customHeight="1">
      <c r="B726" s="2669"/>
    </row>
    <row r="727" spans="2:2" ht="23.25" customHeight="1">
      <c r="B727" s="2669"/>
    </row>
    <row r="728" spans="2:2" ht="23.25" customHeight="1">
      <c r="B728" s="2669"/>
    </row>
    <row r="729" spans="2:2" ht="23.25" customHeight="1">
      <c r="B729" s="2669"/>
    </row>
    <row r="730" spans="2:2" ht="23.25" customHeight="1">
      <c r="B730" s="2669"/>
    </row>
    <row r="731" spans="2:2" ht="23.25" customHeight="1">
      <c r="B731" s="2669"/>
    </row>
    <row r="732" spans="2:2" ht="23.25" customHeight="1">
      <c r="B732" s="2669"/>
    </row>
    <row r="733" spans="2:2" ht="23.25" customHeight="1">
      <c r="B733" s="2669"/>
    </row>
    <row r="734" spans="2:2" ht="23.25" customHeight="1">
      <c r="B734" s="2669"/>
    </row>
    <row r="735" spans="2:2" ht="23.25" customHeight="1">
      <c r="B735" s="2669"/>
    </row>
    <row r="736" spans="2:2" ht="23.25" customHeight="1">
      <c r="B736" s="2669"/>
    </row>
    <row r="737" spans="2:2" ht="23.25" customHeight="1">
      <c r="B737" s="2669"/>
    </row>
    <row r="738" spans="2:2" ht="23.25" customHeight="1">
      <c r="B738" s="2669"/>
    </row>
    <row r="739" spans="2:2" ht="23.25" customHeight="1">
      <c r="B739" s="2669"/>
    </row>
    <row r="740" spans="2:2" ht="23.25" customHeight="1">
      <c r="B740" s="2669"/>
    </row>
    <row r="741" spans="2:2" ht="23.25" customHeight="1">
      <c r="B741" s="2669"/>
    </row>
    <row r="742" spans="2:2" ht="23.25" customHeight="1">
      <c r="B742" s="2669"/>
    </row>
    <row r="743" spans="2:2" ht="23.25" customHeight="1">
      <c r="B743" s="2669"/>
    </row>
    <row r="744" spans="2:2" ht="23.25" customHeight="1">
      <c r="B744" s="2669"/>
    </row>
    <row r="745" spans="2:2" ht="23.25" customHeight="1">
      <c r="B745" s="2669"/>
    </row>
    <row r="746" spans="2:2" ht="23.25" customHeight="1">
      <c r="B746" s="2669"/>
    </row>
    <row r="747" spans="2:2" ht="23.25" customHeight="1">
      <c r="B747" s="2669"/>
    </row>
    <row r="748" spans="2:2" ht="23.25" customHeight="1">
      <c r="B748" s="2669"/>
    </row>
    <row r="749" spans="2:2" ht="23.25" customHeight="1">
      <c r="B749" s="2669"/>
    </row>
    <row r="750" spans="2:2" ht="23.25" customHeight="1">
      <c r="B750" s="2669"/>
    </row>
    <row r="751" spans="2:2" ht="23.25" customHeight="1">
      <c r="B751" s="2669"/>
    </row>
    <row r="752" spans="2:2" ht="23.25" customHeight="1">
      <c r="B752" s="2669"/>
    </row>
    <row r="753" spans="2:2" ht="23.25" customHeight="1">
      <c r="B753" s="2669"/>
    </row>
    <row r="754" spans="2:2" ht="23.25" customHeight="1">
      <c r="B754" s="2669"/>
    </row>
    <row r="755" spans="2:2" ht="23.25" customHeight="1">
      <c r="B755" s="2669"/>
    </row>
    <row r="756" spans="2:2" ht="23.25" customHeight="1">
      <c r="B756" s="2669"/>
    </row>
    <row r="757" spans="2:2" ht="23.25" customHeight="1">
      <c r="B757" s="2669"/>
    </row>
    <row r="758" spans="2:2" ht="23.25" customHeight="1">
      <c r="B758" s="2669"/>
    </row>
    <row r="759" spans="2:2" ht="23.25" customHeight="1">
      <c r="B759" s="2669"/>
    </row>
    <row r="760" spans="2:2" ht="23.25" customHeight="1">
      <c r="B760" s="2669"/>
    </row>
    <row r="761" spans="2:2" ht="23.25" customHeight="1">
      <c r="B761" s="2669"/>
    </row>
    <row r="762" spans="2:2" ht="23.25" customHeight="1">
      <c r="B762" s="2669"/>
    </row>
    <row r="763" spans="2:2" ht="23.25" customHeight="1">
      <c r="B763" s="2669"/>
    </row>
    <row r="764" spans="2:2" ht="23.25" customHeight="1">
      <c r="B764" s="2669"/>
    </row>
    <row r="765" spans="2:2" ht="23.25" customHeight="1">
      <c r="B765" s="2669"/>
    </row>
    <row r="766" spans="2:2" ht="23.25" customHeight="1">
      <c r="B766" s="2669"/>
    </row>
    <row r="767" spans="2:2" ht="23.25" customHeight="1">
      <c r="B767" s="2669"/>
    </row>
    <row r="768" spans="2:2" ht="23.25" customHeight="1">
      <c r="B768" s="2669"/>
    </row>
    <row r="769" spans="2:2" ht="23.25" customHeight="1">
      <c r="B769" s="2669"/>
    </row>
    <row r="770" spans="2:2" ht="23.25" customHeight="1">
      <c r="B770" s="2669"/>
    </row>
    <row r="771" spans="2:2" ht="23.25" customHeight="1">
      <c r="B771" s="2669"/>
    </row>
    <row r="772" spans="2:2" ht="23.25" customHeight="1">
      <c r="B772" s="2669"/>
    </row>
    <row r="773" spans="2:2" ht="23.25" customHeight="1">
      <c r="B773" s="2669"/>
    </row>
    <row r="774" spans="2:2" ht="23.25" customHeight="1">
      <c r="B774" s="2669"/>
    </row>
    <row r="775" spans="2:2" ht="23.25" customHeight="1">
      <c r="B775" s="2669"/>
    </row>
    <row r="776" spans="2:2" ht="23.25" customHeight="1">
      <c r="B776" s="2669"/>
    </row>
    <row r="777" spans="2:2" ht="23.25" customHeight="1">
      <c r="B777" s="2669"/>
    </row>
    <row r="778" spans="2:2" ht="23.25" customHeight="1">
      <c r="B778" s="2669"/>
    </row>
    <row r="779" spans="2:2" ht="23.25" customHeight="1">
      <c r="B779" s="2669"/>
    </row>
    <row r="780" spans="2:2" ht="23.25" customHeight="1">
      <c r="B780" s="2669"/>
    </row>
    <row r="781" spans="2:2" ht="23.25" customHeight="1">
      <c r="B781" s="2669"/>
    </row>
    <row r="782" spans="2:2" ht="23.25" customHeight="1">
      <c r="B782" s="2669"/>
    </row>
    <row r="783" spans="2:2" ht="23.25" customHeight="1">
      <c r="B783" s="2669"/>
    </row>
    <row r="784" spans="2:2" ht="23.25" customHeight="1">
      <c r="B784" s="2669"/>
    </row>
    <row r="785" spans="2:2" ht="23.25" customHeight="1">
      <c r="B785" s="2669"/>
    </row>
    <row r="786" spans="2:2" ht="23.25" customHeight="1">
      <c r="B786" s="2669"/>
    </row>
    <row r="787" spans="2:2" ht="23.25" customHeight="1">
      <c r="B787" s="2669"/>
    </row>
    <row r="788" spans="2:2" ht="23.25" customHeight="1">
      <c r="B788" s="2669"/>
    </row>
    <row r="789" spans="2:2" ht="23.25" customHeight="1">
      <c r="B789" s="2669"/>
    </row>
    <row r="790" spans="2:2" ht="23.25" customHeight="1">
      <c r="B790" s="2669"/>
    </row>
    <row r="791" spans="2:2" ht="23.25" customHeight="1">
      <c r="B791" s="2669"/>
    </row>
    <row r="792" spans="2:2" ht="23.25" customHeight="1">
      <c r="B792" s="2669"/>
    </row>
    <row r="793" spans="2:2" ht="23.25" customHeight="1">
      <c r="B793" s="2669"/>
    </row>
    <row r="794" spans="2:2" ht="23.25" customHeight="1">
      <c r="B794" s="2669"/>
    </row>
    <row r="795" spans="2:2" ht="23.25" customHeight="1">
      <c r="B795" s="2669"/>
    </row>
    <row r="796" spans="2:2" ht="23.25" customHeight="1">
      <c r="B796" s="2669"/>
    </row>
    <row r="797" spans="2:2" ht="23.25" customHeight="1">
      <c r="B797" s="2669"/>
    </row>
    <row r="798" spans="2:2" ht="23.25" customHeight="1">
      <c r="B798" s="2669"/>
    </row>
    <row r="799" spans="2:2" ht="23.25" customHeight="1">
      <c r="B799" s="2669"/>
    </row>
    <row r="800" spans="2:2" ht="23.25" customHeight="1">
      <c r="B800" s="2669"/>
    </row>
    <row r="801" spans="2:2" ht="23.25" customHeight="1">
      <c r="B801" s="2669"/>
    </row>
    <row r="802" spans="2:2" ht="23.25" customHeight="1">
      <c r="B802" s="2669"/>
    </row>
    <row r="803" spans="2:2" ht="23.25" customHeight="1">
      <c r="B803" s="2669"/>
    </row>
    <row r="804" spans="2:2" ht="23.25" customHeight="1">
      <c r="B804" s="2669"/>
    </row>
    <row r="805" spans="2:2" ht="23.25" customHeight="1">
      <c r="B805" s="2669"/>
    </row>
    <row r="806" spans="2:2" ht="23.25" customHeight="1">
      <c r="B806" s="2669"/>
    </row>
    <row r="807" spans="2:2" ht="23.25" customHeight="1">
      <c r="B807" s="2669"/>
    </row>
    <row r="808" spans="2:2" ht="23.25" customHeight="1">
      <c r="B808" s="2669"/>
    </row>
    <row r="809" spans="2:2" ht="23.25" customHeight="1">
      <c r="B809" s="2669"/>
    </row>
    <row r="810" spans="2:2" ht="23.25" customHeight="1">
      <c r="B810" s="2669"/>
    </row>
    <row r="811" spans="2:2" ht="23.25" customHeight="1">
      <c r="B811" s="2669"/>
    </row>
    <row r="812" spans="2:2" ht="23.25" customHeight="1">
      <c r="B812" s="2669"/>
    </row>
    <row r="813" spans="2:2" ht="23.25" customHeight="1">
      <c r="B813" s="2669"/>
    </row>
    <row r="814" spans="2:2" ht="23.25" customHeight="1">
      <c r="B814" s="2669"/>
    </row>
    <row r="815" spans="2:2" ht="23.25" customHeight="1">
      <c r="B815" s="2669"/>
    </row>
    <row r="816" spans="2:2" ht="23.25" customHeight="1">
      <c r="B816" s="2669"/>
    </row>
    <row r="817" spans="2:2" ht="23.25" customHeight="1">
      <c r="B817" s="2669"/>
    </row>
    <row r="818" spans="2:2" ht="23.25" customHeight="1">
      <c r="B818" s="2669"/>
    </row>
    <row r="819" spans="2:2" ht="23.25" customHeight="1">
      <c r="B819" s="2669"/>
    </row>
    <row r="820" spans="2:2" ht="23.25" customHeight="1">
      <c r="B820" s="2669"/>
    </row>
    <row r="821" spans="2:2" ht="23.25" customHeight="1">
      <c r="B821" s="2669"/>
    </row>
    <row r="822" spans="2:2" ht="23.25" customHeight="1">
      <c r="B822" s="2669"/>
    </row>
    <row r="823" spans="2:2" ht="23.25" customHeight="1">
      <c r="B823" s="2669"/>
    </row>
    <row r="824" spans="2:2" ht="23.25" customHeight="1">
      <c r="B824" s="2669"/>
    </row>
    <row r="825" spans="2:2" ht="23.25" customHeight="1">
      <c r="B825" s="2669"/>
    </row>
    <row r="826" spans="2:2" ht="23.25" customHeight="1">
      <c r="B826" s="2669"/>
    </row>
    <row r="827" spans="2:2" ht="23.25" customHeight="1">
      <c r="B827" s="2669"/>
    </row>
    <row r="828" spans="2:2" ht="23.25" customHeight="1">
      <c r="B828" s="2669"/>
    </row>
    <row r="829" spans="2:2" ht="23.25" customHeight="1">
      <c r="B829" s="2669"/>
    </row>
    <row r="830" spans="2:2" ht="23.25" customHeight="1">
      <c r="B830" s="2669"/>
    </row>
    <row r="831" spans="2:2" ht="23.25" customHeight="1">
      <c r="B831" s="2669"/>
    </row>
    <row r="832" spans="2:2" ht="23.25" customHeight="1">
      <c r="B832" s="2669"/>
    </row>
    <row r="833" spans="2:2" ht="23.25" customHeight="1">
      <c r="B833" s="2669"/>
    </row>
    <row r="834" spans="2:2" ht="23.25" customHeight="1">
      <c r="B834" s="2669"/>
    </row>
    <row r="835" spans="2:2" ht="23.25" customHeight="1">
      <c r="B835" s="2669"/>
    </row>
    <row r="836" spans="2:2" ht="23.25" customHeight="1">
      <c r="B836" s="2669"/>
    </row>
    <row r="837" spans="2:2" ht="23.25" customHeight="1">
      <c r="B837" s="2669"/>
    </row>
    <row r="838" spans="2:2" ht="23.25" customHeight="1">
      <c r="B838" s="2669"/>
    </row>
    <row r="839" spans="2:2" ht="23.25" customHeight="1">
      <c r="B839" s="2669"/>
    </row>
    <row r="840" spans="2:2" ht="23.25" customHeight="1">
      <c r="B840" s="2669"/>
    </row>
    <row r="841" spans="2:2" ht="23.25" customHeight="1">
      <c r="B841" s="2669"/>
    </row>
    <row r="842" spans="2:2" ht="23.25" customHeight="1">
      <c r="B842" s="2669"/>
    </row>
    <row r="843" spans="2:2" ht="23.25" customHeight="1">
      <c r="B843" s="2669"/>
    </row>
    <row r="844" spans="2:2" ht="23.25" customHeight="1">
      <c r="B844" s="2669"/>
    </row>
    <row r="845" spans="2:2" ht="23.25" customHeight="1">
      <c r="B845" s="2669"/>
    </row>
    <row r="846" spans="2:2" ht="23.25" customHeight="1">
      <c r="B846" s="2669"/>
    </row>
    <row r="847" spans="2:2" ht="23.25" customHeight="1">
      <c r="B847" s="2669"/>
    </row>
    <row r="848" spans="2:2" ht="23.25" customHeight="1">
      <c r="B848" s="2669"/>
    </row>
    <row r="849" spans="2:2" ht="23.25" customHeight="1">
      <c r="B849" s="2669"/>
    </row>
    <row r="850" spans="2:2" ht="23.25" customHeight="1">
      <c r="B850" s="2669"/>
    </row>
    <row r="851" spans="2:2" ht="23.25" customHeight="1">
      <c r="B851" s="2669"/>
    </row>
    <row r="852" spans="2:2" ht="23.25" customHeight="1">
      <c r="B852" s="2669"/>
    </row>
    <row r="853" spans="2:2" ht="23.25" customHeight="1">
      <c r="B853" s="2669"/>
    </row>
    <row r="854" spans="2:2" ht="23.25" customHeight="1">
      <c r="B854" s="2669"/>
    </row>
    <row r="855" spans="2:2" ht="23.25" customHeight="1">
      <c r="B855" s="2669"/>
    </row>
    <row r="856" spans="2:2" ht="23.25" customHeight="1">
      <c r="B856" s="2669"/>
    </row>
    <row r="857" spans="2:2" ht="23.25" customHeight="1">
      <c r="B857" s="2669"/>
    </row>
    <row r="858" spans="2:2" ht="23.25" customHeight="1">
      <c r="B858" s="2669"/>
    </row>
    <row r="859" spans="2:2" ht="23.25" customHeight="1">
      <c r="B859" s="2669"/>
    </row>
    <row r="860" spans="2:2" ht="23.25" customHeight="1">
      <c r="B860" s="2669"/>
    </row>
    <row r="861" spans="2:2" ht="23.25" customHeight="1">
      <c r="B861" s="2669"/>
    </row>
    <row r="862" spans="2:2" ht="23.25" customHeight="1">
      <c r="B862" s="2669"/>
    </row>
    <row r="863" spans="2:2" ht="23.25" customHeight="1">
      <c r="B863" s="2669"/>
    </row>
    <row r="864" spans="2:2" ht="23.25" customHeight="1">
      <c r="B864" s="2669"/>
    </row>
    <row r="865" spans="2:2" ht="23.25" customHeight="1">
      <c r="B865" s="2669"/>
    </row>
    <row r="866" spans="2:2" ht="23.25" customHeight="1">
      <c r="B866" s="2669"/>
    </row>
    <row r="867" spans="2:2" ht="23.25" customHeight="1">
      <c r="B867" s="2669"/>
    </row>
    <row r="868" spans="2:2" ht="23.25" customHeight="1">
      <c r="B868" s="2669"/>
    </row>
    <row r="869" spans="2:2" ht="23.25" customHeight="1">
      <c r="B869" s="2669"/>
    </row>
    <row r="870" spans="2:2" ht="23.25" customHeight="1">
      <c r="B870" s="2669"/>
    </row>
    <row r="871" spans="2:2" ht="23.25" customHeight="1">
      <c r="B871" s="2669"/>
    </row>
    <row r="872" spans="2:2" ht="23.25" customHeight="1">
      <c r="B872" s="2669"/>
    </row>
    <row r="873" spans="2:2" ht="23.25" customHeight="1">
      <c r="B873" s="2669"/>
    </row>
    <row r="874" spans="2:2" ht="23.25" customHeight="1">
      <c r="B874" s="2669"/>
    </row>
    <row r="875" spans="2:2" ht="23.25" customHeight="1">
      <c r="B875" s="2669"/>
    </row>
    <row r="876" spans="2:2" ht="23.25" customHeight="1">
      <c r="B876" s="2669"/>
    </row>
    <row r="877" spans="2:2" ht="23.25" customHeight="1">
      <c r="B877" s="2669"/>
    </row>
    <row r="878" spans="2:2" ht="23.25" customHeight="1">
      <c r="B878" s="2669"/>
    </row>
    <row r="879" spans="2:2" ht="23.25" customHeight="1">
      <c r="B879" s="2669"/>
    </row>
    <row r="880" spans="2:2" ht="23.25" customHeight="1">
      <c r="B880" s="2669"/>
    </row>
    <row r="881" spans="2:2" ht="23.25" customHeight="1">
      <c r="B881" s="2669"/>
    </row>
    <row r="882" spans="2:2" ht="23.25" customHeight="1">
      <c r="B882" s="2669"/>
    </row>
    <row r="883" spans="2:2" ht="23.25" customHeight="1">
      <c r="B883" s="2669"/>
    </row>
    <row r="884" spans="2:2" ht="23.25" customHeight="1">
      <c r="B884" s="2669"/>
    </row>
    <row r="885" spans="2:2" ht="23.25" customHeight="1">
      <c r="B885" s="2669"/>
    </row>
    <row r="886" spans="2:2" ht="23.25" customHeight="1">
      <c r="B886" s="2669"/>
    </row>
    <row r="887" spans="2:2" ht="23.25" customHeight="1">
      <c r="B887" s="2669"/>
    </row>
    <row r="888" spans="2:2" ht="23.25" customHeight="1">
      <c r="B888" s="2669"/>
    </row>
    <row r="889" spans="2:2" ht="23.25" customHeight="1">
      <c r="B889" s="2669"/>
    </row>
    <row r="890" spans="2:2" ht="23.25" customHeight="1">
      <c r="B890" s="2669"/>
    </row>
    <row r="891" spans="2:2" ht="23.25" customHeight="1">
      <c r="B891" s="2669"/>
    </row>
    <row r="892" spans="2:2" ht="23.25" customHeight="1">
      <c r="B892" s="2669"/>
    </row>
    <row r="893" spans="2:2" ht="23.25" customHeight="1">
      <c r="B893" s="2669"/>
    </row>
    <row r="894" spans="2:2" ht="23.25" customHeight="1">
      <c r="B894" s="2669"/>
    </row>
    <row r="895" spans="2:2" ht="23.25" customHeight="1">
      <c r="B895" s="2669"/>
    </row>
    <row r="896" spans="2:2" ht="23.25" customHeight="1">
      <c r="B896" s="2669"/>
    </row>
    <row r="897" spans="2:2" ht="23.25" customHeight="1">
      <c r="B897" s="2669"/>
    </row>
    <row r="898" spans="2:2" ht="23.25" customHeight="1">
      <c r="B898" s="2669"/>
    </row>
    <row r="899" spans="2:2" ht="23.25" customHeight="1">
      <c r="B899" s="2669"/>
    </row>
    <row r="900" spans="2:2" ht="23.25" customHeight="1">
      <c r="B900" s="2669"/>
    </row>
    <row r="901" spans="2:2" ht="23.25" customHeight="1">
      <c r="B901" s="2669"/>
    </row>
    <row r="902" spans="2:2" ht="23.25" customHeight="1">
      <c r="B902" s="2669"/>
    </row>
    <row r="903" spans="2:2" ht="23.25" customHeight="1">
      <c r="B903" s="2669"/>
    </row>
    <row r="904" spans="2:2" ht="23.25" customHeight="1">
      <c r="B904" s="2669"/>
    </row>
    <row r="905" spans="2:2" ht="23.25" customHeight="1">
      <c r="B905" s="2669"/>
    </row>
    <row r="906" spans="2:2" ht="23.25" customHeight="1">
      <c r="B906" s="2669"/>
    </row>
    <row r="907" spans="2:2" ht="23.25" customHeight="1">
      <c r="B907" s="2669"/>
    </row>
    <row r="908" spans="2:2" ht="23.25" customHeight="1">
      <c r="B908" s="2669"/>
    </row>
    <row r="909" spans="2:2" ht="23.25" customHeight="1">
      <c r="B909" s="2669"/>
    </row>
    <row r="910" spans="2:2" ht="23.25" customHeight="1">
      <c r="B910" s="2669"/>
    </row>
    <row r="911" spans="2:2" ht="23.25" customHeight="1">
      <c r="B911" s="2669"/>
    </row>
    <row r="912" spans="2:2" ht="23.25" customHeight="1">
      <c r="B912" s="2669"/>
    </row>
    <row r="913" spans="2:2" ht="23.25" customHeight="1">
      <c r="B913" s="2669"/>
    </row>
    <row r="914" spans="2:2" ht="23.25" customHeight="1">
      <c r="B914" s="2669"/>
    </row>
    <row r="915" spans="2:2" ht="23.25" customHeight="1">
      <c r="B915" s="2669"/>
    </row>
    <row r="916" spans="2:2" ht="23.25" customHeight="1">
      <c r="B916" s="2669"/>
    </row>
    <row r="917" spans="2:2" ht="23.25" customHeight="1">
      <c r="B917" s="2669"/>
    </row>
    <row r="918" spans="2:2" ht="23.25" customHeight="1">
      <c r="B918" s="2669"/>
    </row>
    <row r="919" spans="2:2" ht="23.25" customHeight="1">
      <c r="B919" s="2669"/>
    </row>
    <row r="920" spans="2:2" ht="23.25" customHeight="1">
      <c r="B920" s="2669"/>
    </row>
    <row r="921" spans="2:2" ht="23.25" customHeight="1">
      <c r="B921" s="2669"/>
    </row>
    <row r="922" spans="2:2" ht="23.25" customHeight="1">
      <c r="B922" s="2669"/>
    </row>
    <row r="923" spans="2:2" ht="23.25" customHeight="1">
      <c r="B923" s="2669"/>
    </row>
    <row r="924" spans="2:2" ht="23.25" customHeight="1">
      <c r="B924" s="2669"/>
    </row>
    <row r="925" spans="2:2" ht="23.25" customHeight="1">
      <c r="B925" s="2669"/>
    </row>
    <row r="926" spans="2:2" ht="23.25" customHeight="1">
      <c r="B926" s="2669"/>
    </row>
    <row r="927" spans="2:2" ht="23.25" customHeight="1">
      <c r="B927" s="2669"/>
    </row>
    <row r="928" spans="2:2" ht="23.25" customHeight="1">
      <c r="B928" s="2669"/>
    </row>
    <row r="929" spans="2:2" ht="23.25" customHeight="1">
      <c r="B929" s="2669"/>
    </row>
    <row r="930" spans="2:2" ht="23.25" customHeight="1">
      <c r="B930" s="2669"/>
    </row>
    <row r="931" spans="2:2" ht="23.25" customHeight="1">
      <c r="B931" s="2669"/>
    </row>
    <row r="932" spans="2:2" ht="23.25" customHeight="1">
      <c r="B932" s="2669"/>
    </row>
    <row r="933" spans="2:2" ht="23.25" customHeight="1">
      <c r="B933" s="2669"/>
    </row>
    <row r="934" spans="2:2" ht="23.25" customHeight="1">
      <c r="B934" s="2669"/>
    </row>
    <row r="935" spans="2:2" ht="23.25" customHeight="1">
      <c r="B935" s="2669"/>
    </row>
    <row r="936" spans="2:2" ht="23.25" customHeight="1">
      <c r="B936" s="2669"/>
    </row>
    <row r="937" spans="2:2" ht="23.25" customHeight="1">
      <c r="B937" s="2669"/>
    </row>
    <row r="938" spans="2:2" ht="23.25" customHeight="1">
      <c r="B938" s="2669"/>
    </row>
    <row r="939" spans="2:2" ht="23.25" customHeight="1">
      <c r="B939" s="2669"/>
    </row>
    <row r="940" spans="2:2" ht="23.25" customHeight="1">
      <c r="B940" s="2669"/>
    </row>
    <row r="941" spans="2:2" ht="23.25" customHeight="1">
      <c r="B941" s="2669"/>
    </row>
    <row r="942" spans="2:2" ht="23.25" customHeight="1">
      <c r="B942" s="2669"/>
    </row>
    <row r="943" spans="2:2" ht="23.25" customHeight="1">
      <c r="B943" s="2669"/>
    </row>
    <row r="944" spans="2:2" ht="23.25" customHeight="1">
      <c r="B944" s="2669"/>
    </row>
    <row r="945" spans="2:2" ht="23.25" customHeight="1">
      <c r="B945" s="2669"/>
    </row>
    <row r="946" spans="2:2" ht="23.25" customHeight="1">
      <c r="B946" s="2669"/>
    </row>
    <row r="947" spans="2:2" ht="23.25" customHeight="1">
      <c r="B947" s="2669"/>
    </row>
    <row r="948" spans="2:2" ht="23.25" customHeight="1">
      <c r="B948" s="2669"/>
    </row>
    <row r="949" spans="2:2" ht="23.25" customHeight="1">
      <c r="B949" s="2669"/>
    </row>
    <row r="950" spans="2:2" ht="23.25" customHeight="1">
      <c r="B950" s="2669"/>
    </row>
    <row r="951" spans="2:2" ht="23.25" customHeight="1">
      <c r="B951" s="2669"/>
    </row>
    <row r="952" spans="2:2" ht="23.25" customHeight="1">
      <c r="B952" s="2669"/>
    </row>
    <row r="953" spans="2:2" ht="23.25" customHeight="1">
      <c r="B953" s="2669"/>
    </row>
    <row r="954" spans="2:2" ht="23.25" customHeight="1">
      <c r="B954" s="2669"/>
    </row>
    <row r="955" spans="2:2" ht="23.25" customHeight="1">
      <c r="B955" s="2669"/>
    </row>
    <row r="956" spans="2:2" ht="23.25" customHeight="1">
      <c r="B956" s="2669"/>
    </row>
    <row r="957" spans="2:2" ht="23.25" customHeight="1">
      <c r="B957" s="2669"/>
    </row>
    <row r="958" spans="2:2" ht="23.25" customHeight="1">
      <c r="B958" s="2669"/>
    </row>
    <row r="959" spans="2:2" ht="23.25" customHeight="1">
      <c r="B959" s="2669"/>
    </row>
    <row r="960" spans="2:2" ht="23.25" customHeight="1">
      <c r="B960" s="2669"/>
    </row>
    <row r="961" spans="2:2" ht="23.25" customHeight="1">
      <c r="B961" s="2669"/>
    </row>
    <row r="962" spans="2:2" ht="23.25" customHeight="1">
      <c r="B962" s="2669"/>
    </row>
    <row r="963" spans="2:2" ht="23.25" customHeight="1">
      <c r="B963" s="2669"/>
    </row>
    <row r="964" spans="2:2" ht="23.25" customHeight="1">
      <c r="B964" s="2669"/>
    </row>
    <row r="965" spans="2:2" ht="23.25" customHeight="1">
      <c r="B965" s="2669"/>
    </row>
    <row r="966" spans="2:2" ht="23.25" customHeight="1">
      <c r="B966" s="2669"/>
    </row>
    <row r="967" spans="2:2" ht="23.25" customHeight="1">
      <c r="B967" s="2669"/>
    </row>
    <row r="968" spans="2:2" ht="23.25" customHeight="1">
      <c r="B968" s="2669"/>
    </row>
    <row r="969" spans="2:2" ht="23.25" customHeight="1">
      <c r="B969" s="2669"/>
    </row>
    <row r="970" spans="2:2" ht="23.25" customHeight="1">
      <c r="B970" s="2669"/>
    </row>
    <row r="971" spans="2:2" ht="23.25" customHeight="1">
      <c r="B971" s="2669"/>
    </row>
    <row r="972" spans="2:2" ht="23.25" customHeight="1">
      <c r="B972" s="2669"/>
    </row>
    <row r="973" spans="2:2" ht="23.25" customHeight="1">
      <c r="B973" s="2669"/>
    </row>
    <row r="974" spans="2:2" ht="23.25" customHeight="1">
      <c r="B974" s="2669"/>
    </row>
    <row r="975" spans="2:2" ht="23.25" customHeight="1">
      <c r="B975" s="2669"/>
    </row>
    <row r="976" spans="2:2" ht="23.25" customHeight="1">
      <c r="B976" s="2669"/>
    </row>
    <row r="977" spans="2:2" ht="23.25" customHeight="1">
      <c r="B977" s="2669"/>
    </row>
    <row r="978" spans="2:2" ht="23.25" customHeight="1">
      <c r="B978" s="2669"/>
    </row>
    <row r="979" spans="2:2" ht="23.25" customHeight="1">
      <c r="B979" s="2669"/>
    </row>
    <row r="980" spans="2:2" ht="23.25" customHeight="1">
      <c r="B980" s="2669"/>
    </row>
    <row r="981" spans="2:2" ht="23.25" customHeight="1">
      <c r="B981" s="2669"/>
    </row>
    <row r="982" spans="2:2" ht="23.25" customHeight="1">
      <c r="B982" s="2669"/>
    </row>
    <row r="983" spans="2:2" ht="23.25" customHeight="1">
      <c r="B983" s="2669"/>
    </row>
    <row r="984" spans="2:2" ht="23.25" customHeight="1">
      <c r="B984" s="2669"/>
    </row>
    <row r="985" spans="2:2" ht="23.25" customHeight="1">
      <c r="B985" s="2669"/>
    </row>
    <row r="986" spans="2:2" ht="23.25" customHeight="1">
      <c r="B986" s="2669"/>
    </row>
    <row r="987" spans="2:2" ht="23.25" customHeight="1">
      <c r="B987" s="2669"/>
    </row>
    <row r="988" spans="2:2" ht="23.25" customHeight="1">
      <c r="B988" s="2669"/>
    </row>
    <row r="989" spans="2:2" ht="23.25" customHeight="1">
      <c r="B989" s="2669"/>
    </row>
    <row r="990" spans="2:2" ht="23.25" customHeight="1">
      <c r="B990" s="2669"/>
    </row>
    <row r="991" spans="2:2" ht="23.25" customHeight="1">
      <c r="B991" s="2669"/>
    </row>
    <row r="992" spans="2:2" ht="23.25" customHeight="1">
      <c r="B992" s="2669"/>
    </row>
    <row r="993" spans="2:2" ht="23.25" customHeight="1">
      <c r="B993" s="2669"/>
    </row>
    <row r="994" spans="2:2" ht="23.25" customHeight="1">
      <c r="B994" s="2669"/>
    </row>
    <row r="995" spans="2:2" ht="23.25" customHeight="1">
      <c r="B995" s="2669"/>
    </row>
    <row r="996" spans="2:2" ht="23.25" customHeight="1">
      <c r="B996" s="2669"/>
    </row>
    <row r="997" spans="2:2" ht="23.25" customHeight="1">
      <c r="B997" s="2669"/>
    </row>
    <row r="998" spans="2:2" ht="23.25" customHeight="1">
      <c r="B998" s="2669"/>
    </row>
    <row r="999" spans="2:2" ht="23.25" customHeight="1">
      <c r="B999" s="2669"/>
    </row>
    <row r="1000" spans="2:2" ht="23.25" customHeight="1">
      <c r="B1000" s="2669"/>
    </row>
    <row r="1001" spans="2:2" ht="23.25" customHeight="1">
      <c r="B1001" s="2669"/>
    </row>
    <row r="1002" spans="2:2" ht="23.25" customHeight="1">
      <c r="B1002" s="2669"/>
    </row>
    <row r="1003" spans="2:2" ht="23.25" customHeight="1">
      <c r="B1003" s="2669"/>
    </row>
    <row r="1004" spans="2:2" ht="23.25" customHeight="1">
      <c r="B1004" s="2669"/>
    </row>
    <row r="1005" spans="2:2" ht="23.25" customHeight="1">
      <c r="B1005" s="2669"/>
    </row>
    <row r="1006" spans="2:2" ht="23.25" customHeight="1">
      <c r="B1006" s="2669"/>
    </row>
    <row r="1007" spans="2:2" ht="23.25" customHeight="1">
      <c r="B1007" s="2669"/>
    </row>
    <row r="1008" spans="2:2" ht="23.25" customHeight="1">
      <c r="B1008" s="2669"/>
    </row>
    <row r="1009" spans="2:2" ht="23.25" customHeight="1">
      <c r="B1009" s="2669"/>
    </row>
    <row r="1010" spans="2:2" ht="23.25" customHeight="1">
      <c r="B1010" s="2669"/>
    </row>
    <row r="1011" spans="2:2" ht="23.25" customHeight="1">
      <c r="B1011" s="2669"/>
    </row>
    <row r="1012" spans="2:2" ht="23.25" customHeight="1">
      <c r="B1012" s="2669"/>
    </row>
    <row r="1013" spans="2:2" ht="23.25" customHeight="1">
      <c r="B1013" s="2669"/>
    </row>
    <row r="1014" spans="2:2" ht="23.25" customHeight="1">
      <c r="B1014" s="2669"/>
    </row>
    <row r="1015" spans="2:2" ht="23.25" customHeight="1">
      <c r="B1015" s="2669"/>
    </row>
    <row r="1016" spans="2:2" ht="23.25" customHeight="1">
      <c r="B1016" s="2669"/>
    </row>
    <row r="1017" spans="2:2" ht="23.25" customHeight="1">
      <c r="B1017" s="2669"/>
    </row>
    <row r="1018" spans="2:2" ht="23.25" customHeight="1">
      <c r="B1018" s="2669"/>
    </row>
    <row r="1019" spans="2:2" ht="23.25" customHeight="1">
      <c r="B1019" s="2669"/>
    </row>
    <row r="1020" spans="2:2" ht="23.25" customHeight="1">
      <c r="B1020" s="2669"/>
    </row>
    <row r="1021" spans="2:2" ht="23.25" customHeight="1">
      <c r="B1021" s="2669"/>
    </row>
    <row r="1022" spans="2:2" ht="23.25" customHeight="1">
      <c r="B1022" s="2669"/>
    </row>
    <row r="1023" spans="2:2" ht="23.25" customHeight="1">
      <c r="B1023" s="2669"/>
    </row>
    <row r="1024" spans="2:2" ht="23.25" customHeight="1">
      <c r="B1024" s="2669"/>
    </row>
    <row r="1025" spans="2:2" ht="23.25" customHeight="1">
      <c r="B1025" s="2669"/>
    </row>
    <row r="1026" spans="2:2" ht="23.25" customHeight="1">
      <c r="B1026" s="2669"/>
    </row>
    <row r="1027" spans="2:2" ht="23.25" customHeight="1">
      <c r="B1027" s="2669"/>
    </row>
    <row r="1028" spans="2:2" ht="23.25" customHeight="1">
      <c r="B1028" s="2669"/>
    </row>
    <row r="1029" spans="2:2" ht="23.25" customHeight="1">
      <c r="B1029" s="2669"/>
    </row>
    <row r="1030" spans="2:2" ht="23.25" customHeight="1">
      <c r="B1030" s="2669"/>
    </row>
    <row r="1031" spans="2:2" ht="23.25" customHeight="1">
      <c r="B1031" s="2669"/>
    </row>
    <row r="1032" spans="2:2" ht="23.25" customHeight="1">
      <c r="B1032" s="2669"/>
    </row>
    <row r="1033" spans="2:2" ht="23.25" customHeight="1">
      <c r="B1033" s="2669"/>
    </row>
    <row r="1034" spans="2:2" ht="23.25" customHeight="1">
      <c r="B1034" s="2669"/>
    </row>
    <row r="1035" spans="2:2" ht="23.25" customHeight="1">
      <c r="B1035" s="2669"/>
    </row>
    <row r="1036" spans="2:2" ht="23.25" customHeight="1">
      <c r="B1036" s="2669"/>
    </row>
    <row r="1037" spans="2:2" ht="23.25" customHeight="1">
      <c r="B1037" s="2669"/>
    </row>
    <row r="1038" spans="2:2" ht="23.25" customHeight="1">
      <c r="B1038" s="2669"/>
    </row>
    <row r="1039" spans="2:2" ht="23.25" customHeight="1">
      <c r="B1039" s="2669"/>
    </row>
    <row r="1040" spans="2:2" ht="23.25" customHeight="1">
      <c r="B1040" s="2669"/>
    </row>
    <row r="1041" spans="2:2" ht="23.25" customHeight="1">
      <c r="B1041" s="2669"/>
    </row>
    <row r="1042" spans="2:2" ht="23.25" customHeight="1">
      <c r="B1042" s="2669"/>
    </row>
    <row r="1043" spans="2:2" ht="23.25" customHeight="1">
      <c r="B1043" s="2669"/>
    </row>
    <row r="1044" spans="2:2" ht="23.25" customHeight="1">
      <c r="B1044" s="2669"/>
    </row>
    <row r="1045" spans="2:2" ht="23.25" customHeight="1">
      <c r="B1045" s="2669"/>
    </row>
    <row r="1046" spans="2:2" ht="23.25" customHeight="1">
      <c r="B1046" s="2669"/>
    </row>
    <row r="1047" spans="2:2" ht="23.25" customHeight="1">
      <c r="B1047" s="2669"/>
    </row>
    <row r="1048" spans="2:2" ht="23.25" customHeight="1">
      <c r="B1048" s="2669"/>
    </row>
    <row r="1049" spans="2:2" ht="23.25" customHeight="1">
      <c r="B1049" s="2669"/>
    </row>
    <row r="1050" spans="2:2" ht="23.25" customHeight="1">
      <c r="B1050" s="2669"/>
    </row>
    <row r="1051" spans="2:2" ht="23.25" customHeight="1">
      <c r="B1051" s="2669"/>
    </row>
    <row r="1052" spans="2:2" ht="23.25" customHeight="1">
      <c r="B1052" s="2669"/>
    </row>
    <row r="1053" spans="2:2" ht="23.25" customHeight="1">
      <c r="B1053" s="2669"/>
    </row>
    <row r="1054" spans="2:2" ht="23.25" customHeight="1">
      <c r="B1054" s="2669"/>
    </row>
    <row r="1055" spans="2:2" ht="23.25" customHeight="1">
      <c r="B1055" s="2669"/>
    </row>
    <row r="1056" spans="2:2" ht="23.25" customHeight="1">
      <c r="B1056" s="2669"/>
    </row>
    <row r="1057" spans="2:2" ht="23.25" customHeight="1">
      <c r="B1057" s="2669"/>
    </row>
    <row r="1058" spans="2:2" ht="23.25" customHeight="1">
      <c r="B1058" s="2669"/>
    </row>
    <row r="1059" spans="2:2" ht="23.25" customHeight="1">
      <c r="B1059" s="2669"/>
    </row>
    <row r="1060" spans="2:2" ht="23.25" customHeight="1">
      <c r="B1060" s="2669"/>
    </row>
    <row r="1061" spans="2:2" ht="23.25" customHeight="1">
      <c r="B1061" s="2669"/>
    </row>
    <row r="1062" spans="2:2" ht="23.25" customHeight="1">
      <c r="B1062" s="2669"/>
    </row>
    <row r="1063" spans="2:2" ht="23.25" customHeight="1">
      <c r="B1063" s="2669"/>
    </row>
    <row r="1064" spans="2:2" ht="23.25" customHeight="1">
      <c r="B1064" s="2669"/>
    </row>
    <row r="1065" spans="2:2" ht="23.25" customHeight="1">
      <c r="B1065" s="2669"/>
    </row>
    <row r="1066" spans="2:2" ht="23.25" customHeight="1">
      <c r="B1066" s="2669"/>
    </row>
    <row r="1067" spans="2:2" ht="23.25" customHeight="1">
      <c r="B1067" s="2669"/>
    </row>
    <row r="1068" spans="2:2" ht="23.25" customHeight="1">
      <c r="B1068" s="2669"/>
    </row>
    <row r="1069" spans="2:2" ht="23.25" customHeight="1">
      <c r="B1069" s="2669"/>
    </row>
    <row r="1070" spans="2:2" ht="23.25" customHeight="1">
      <c r="B1070" s="2669"/>
    </row>
    <row r="1071" spans="2:2" ht="23.25" customHeight="1">
      <c r="B1071" s="2669"/>
    </row>
    <row r="1072" spans="2:2" ht="23.25" customHeight="1">
      <c r="B1072" s="2669"/>
    </row>
    <row r="1073" spans="2:2" ht="23.25" customHeight="1">
      <c r="B1073" s="2669"/>
    </row>
    <row r="1074" spans="2:2" ht="23.25" customHeight="1">
      <c r="B1074" s="2669"/>
    </row>
    <row r="1075" spans="2:2" ht="23.25" customHeight="1">
      <c r="B1075" s="2669"/>
    </row>
    <row r="1076" spans="2:2" ht="23.25" customHeight="1">
      <c r="B1076" s="2669"/>
    </row>
    <row r="1077" spans="2:2" ht="23.25" customHeight="1">
      <c r="B1077" s="2669"/>
    </row>
    <row r="1078" spans="2:2" ht="23.25" customHeight="1">
      <c r="B1078" s="2669"/>
    </row>
    <row r="1079" spans="2:2" ht="23.25" customHeight="1">
      <c r="B1079" s="2669"/>
    </row>
    <row r="1080" spans="2:2" ht="23.25" customHeight="1">
      <c r="B1080" s="2669"/>
    </row>
    <row r="1081" spans="2:2" ht="23.25" customHeight="1">
      <c r="B1081" s="2669"/>
    </row>
    <row r="1082" spans="2:2" ht="23.25" customHeight="1">
      <c r="B1082" s="2669"/>
    </row>
    <row r="1083" spans="2:2" ht="23.25" customHeight="1">
      <c r="B1083" s="2669"/>
    </row>
    <row r="1084" spans="2:2" ht="23.25" customHeight="1">
      <c r="B1084" s="2669"/>
    </row>
    <row r="1085" spans="2:2" ht="23.25" customHeight="1">
      <c r="B1085" s="2669"/>
    </row>
    <row r="1086" spans="2:2" ht="23.25" customHeight="1">
      <c r="B1086" s="2669"/>
    </row>
    <row r="1087" spans="2:2" ht="23.25" customHeight="1">
      <c r="B1087" s="2669"/>
    </row>
    <row r="1088" spans="2:2" ht="23.25" customHeight="1">
      <c r="B1088" s="2669"/>
    </row>
    <row r="1089" spans="2:2" ht="23.25" customHeight="1">
      <c r="B1089" s="2669"/>
    </row>
    <row r="1090" spans="2:2" ht="23.25" customHeight="1">
      <c r="B1090" s="2669"/>
    </row>
    <row r="1091" spans="2:2" ht="23.25" customHeight="1">
      <c r="B1091" s="2669"/>
    </row>
    <row r="1092" spans="2:2" ht="23.25" customHeight="1">
      <c r="B1092" s="2669"/>
    </row>
    <row r="1093" spans="2:2" ht="23.25" customHeight="1">
      <c r="B1093" s="2669"/>
    </row>
    <row r="1094" spans="2:2" ht="23.25" customHeight="1">
      <c r="B1094" s="2669"/>
    </row>
    <row r="1095" spans="2:2" ht="23.25" customHeight="1">
      <c r="B1095" s="2669"/>
    </row>
    <row r="1096" spans="2:2" ht="23.25" customHeight="1">
      <c r="B1096" s="2669"/>
    </row>
    <row r="1097" spans="2:2" ht="23.25" customHeight="1">
      <c r="B1097" s="2669"/>
    </row>
    <row r="1098" spans="2:2" ht="23.25" customHeight="1">
      <c r="B1098" s="2669"/>
    </row>
    <row r="1099" spans="2:2" ht="23.25" customHeight="1">
      <c r="B1099" s="2669"/>
    </row>
    <row r="1100" spans="2:2" ht="23.25" customHeight="1">
      <c r="B1100" s="2669"/>
    </row>
    <row r="1101" spans="2:2" ht="23.25" customHeight="1">
      <c r="B1101" s="2669"/>
    </row>
    <row r="1102" spans="2:2" ht="23.25" customHeight="1">
      <c r="B1102" s="2669"/>
    </row>
    <row r="1103" spans="2:2" ht="23.25" customHeight="1">
      <c r="B1103" s="2669"/>
    </row>
    <row r="1104" spans="2:2" ht="23.25" customHeight="1">
      <c r="B1104" s="2669"/>
    </row>
    <row r="1105" spans="2:2" ht="23.25" customHeight="1">
      <c r="B1105" s="2669"/>
    </row>
    <row r="1106" spans="2:2" ht="23.25" customHeight="1">
      <c r="B1106" s="2669"/>
    </row>
    <row r="1107" spans="2:2" ht="23.25" customHeight="1">
      <c r="B1107" s="2669"/>
    </row>
    <row r="1108" spans="2:2" ht="23.25" customHeight="1">
      <c r="B1108" s="2669"/>
    </row>
    <row r="1109" spans="2:2" ht="23.25" customHeight="1">
      <c r="B1109" s="2669"/>
    </row>
    <row r="1110" spans="2:2" ht="23.25" customHeight="1">
      <c r="B1110" s="2669"/>
    </row>
    <row r="1111" spans="2:2" ht="23.25" customHeight="1">
      <c r="B1111" s="2669"/>
    </row>
    <row r="1112" spans="2:2" ht="23.25" customHeight="1">
      <c r="B1112" s="2669"/>
    </row>
    <row r="1113" spans="2:2" ht="23.25" customHeight="1">
      <c r="B1113" s="2669"/>
    </row>
    <row r="1114" spans="2:2" ht="23.25" customHeight="1">
      <c r="B1114" s="2669"/>
    </row>
    <row r="1115" spans="2:2" ht="23.25" customHeight="1">
      <c r="B1115" s="2669"/>
    </row>
    <row r="1116" spans="2:2" ht="23.25" customHeight="1">
      <c r="B1116" s="2669"/>
    </row>
    <row r="1117" spans="2:2" ht="23.25" customHeight="1">
      <c r="B1117" s="2669"/>
    </row>
    <row r="1118" spans="2:2" ht="23.25" customHeight="1">
      <c r="B1118" s="2669"/>
    </row>
    <row r="1119" spans="2:2" ht="23.25" customHeight="1">
      <c r="B1119" s="2669"/>
    </row>
    <row r="1120" spans="2:2" ht="23.25" customHeight="1">
      <c r="B1120" s="2669"/>
    </row>
    <row r="1121" spans="2:2" ht="23.25" customHeight="1">
      <c r="B1121" s="2669"/>
    </row>
    <row r="1122" spans="2:2" ht="23.25" customHeight="1">
      <c r="B1122" s="2669"/>
    </row>
    <row r="1123" spans="2:2" ht="23.25" customHeight="1">
      <c r="B1123" s="2669"/>
    </row>
    <row r="1124" spans="2:2" ht="23.25" customHeight="1">
      <c r="B1124" s="2669"/>
    </row>
    <row r="1125" spans="2:2" ht="23.25" customHeight="1">
      <c r="B1125" s="2669"/>
    </row>
    <row r="1126" spans="2:2" ht="23.25" customHeight="1">
      <c r="B1126" s="2669"/>
    </row>
    <row r="1127" spans="2:2" ht="23.25" customHeight="1">
      <c r="B1127" s="2669"/>
    </row>
    <row r="1128" spans="2:2" ht="23.25" customHeight="1">
      <c r="B1128" s="2669"/>
    </row>
    <row r="1129" spans="2:2" ht="23.25" customHeight="1">
      <c r="B1129" s="2669"/>
    </row>
    <row r="1130" spans="2:2" ht="23.25" customHeight="1">
      <c r="B1130" s="2669"/>
    </row>
    <row r="1131" spans="2:2" ht="23.25" customHeight="1">
      <c r="B1131" s="2669"/>
    </row>
    <row r="1132" spans="2:2" ht="23.25" customHeight="1">
      <c r="B1132" s="2669"/>
    </row>
    <row r="1133" spans="2:2" ht="23.25" customHeight="1">
      <c r="B1133" s="2669"/>
    </row>
    <row r="1134" spans="2:2" ht="23.25" customHeight="1">
      <c r="B1134" s="2669"/>
    </row>
    <row r="1135" spans="2:2" ht="23.25" customHeight="1">
      <c r="B1135" s="2669"/>
    </row>
    <row r="1136" spans="2:2" ht="23.25" customHeight="1">
      <c r="B1136" s="2669"/>
    </row>
    <row r="1137" spans="2:2" ht="23.25" customHeight="1">
      <c r="B1137" s="2669"/>
    </row>
    <row r="1138" spans="2:2" ht="23.25" customHeight="1">
      <c r="B1138" s="2669"/>
    </row>
    <row r="1139" spans="2:2" ht="23.25" customHeight="1">
      <c r="B1139" s="2669"/>
    </row>
    <row r="1140" spans="2:2" ht="23.25" customHeight="1">
      <c r="B1140" s="2669"/>
    </row>
    <row r="1141" spans="2:2" ht="23.25" customHeight="1">
      <c r="B1141" s="2669"/>
    </row>
    <row r="1142" spans="2:2" ht="23.25" customHeight="1">
      <c r="B1142" s="2669"/>
    </row>
    <row r="1143" spans="2:2" ht="23.25" customHeight="1">
      <c r="B1143" s="2669"/>
    </row>
    <row r="1144" spans="2:2" ht="23.25" customHeight="1">
      <c r="B1144" s="2669"/>
    </row>
    <row r="1145" spans="2:2" ht="23.25" customHeight="1">
      <c r="B1145" s="2669"/>
    </row>
    <row r="1146" spans="2:2" ht="23.25" customHeight="1">
      <c r="B1146" s="2669"/>
    </row>
    <row r="1147" spans="2:2" ht="23.25" customHeight="1">
      <c r="B1147" s="2669"/>
    </row>
    <row r="1148" spans="2:2" ht="23.25" customHeight="1">
      <c r="B1148" s="2669"/>
    </row>
    <row r="1149" spans="2:2" ht="23.25" customHeight="1">
      <c r="B1149" s="2669"/>
    </row>
    <row r="1150" spans="2:2" ht="23.25" customHeight="1">
      <c r="B1150" s="2669"/>
    </row>
    <row r="1151" spans="2:2" ht="23.25" customHeight="1">
      <c r="B1151" s="2669"/>
    </row>
    <row r="1152" spans="2:2" ht="23.25" customHeight="1">
      <c r="B1152" s="2669"/>
    </row>
    <row r="1153" spans="2:2" ht="23.25" customHeight="1">
      <c r="B1153" s="2669"/>
    </row>
    <row r="1154" spans="2:2" ht="23.25" customHeight="1">
      <c r="B1154" s="2669"/>
    </row>
    <row r="1155" spans="2:2" ht="23.25" customHeight="1">
      <c r="B1155" s="2669"/>
    </row>
    <row r="1156" spans="2:2" ht="23.25" customHeight="1">
      <c r="B1156" s="2669"/>
    </row>
    <row r="1157" spans="2:2" ht="23.25" customHeight="1">
      <c r="B1157" s="2669"/>
    </row>
    <row r="1158" spans="2:2" ht="23.25" customHeight="1">
      <c r="B1158" s="2669"/>
    </row>
    <row r="1159" spans="2:2" ht="23.25" customHeight="1">
      <c r="B1159" s="2669"/>
    </row>
    <row r="1160" spans="2:2" ht="23.25" customHeight="1">
      <c r="B1160" s="2669"/>
    </row>
    <row r="1161" spans="2:2" ht="23.25" customHeight="1">
      <c r="B1161" s="2669"/>
    </row>
    <row r="1162" spans="2:2" ht="23.25" customHeight="1">
      <c r="B1162" s="2669"/>
    </row>
    <row r="1163" spans="2:2" ht="23.25" customHeight="1">
      <c r="B1163" s="2669"/>
    </row>
    <row r="1164" spans="2:2" ht="23.25" customHeight="1">
      <c r="B1164" s="2669"/>
    </row>
    <row r="1165" spans="2:2" ht="23.25" customHeight="1">
      <c r="B1165" s="2669"/>
    </row>
    <row r="1166" spans="2:2" ht="23.25" customHeight="1">
      <c r="B1166" s="2669"/>
    </row>
    <row r="1167" spans="2:2" ht="23.25" customHeight="1">
      <c r="B1167" s="2669"/>
    </row>
    <row r="1168" spans="2:2" ht="23.25" customHeight="1">
      <c r="B1168" s="2669"/>
    </row>
    <row r="1169" spans="2:2" ht="23.25" customHeight="1">
      <c r="B1169" s="2669"/>
    </row>
    <row r="1170" spans="2:2" ht="23.25" customHeight="1">
      <c r="B1170" s="2669"/>
    </row>
    <row r="1171" spans="2:2" ht="23.25" customHeight="1">
      <c r="B1171" s="2669"/>
    </row>
    <row r="1172" spans="2:2" ht="23.25" customHeight="1">
      <c r="B1172" s="2669"/>
    </row>
    <row r="1173" spans="2:2" ht="23.25" customHeight="1">
      <c r="B1173" s="2669"/>
    </row>
    <row r="1174" spans="2:2" ht="23.25" customHeight="1">
      <c r="B1174" s="2669"/>
    </row>
    <row r="1175" spans="2:2" ht="23.25" customHeight="1">
      <c r="B1175" s="2669"/>
    </row>
    <row r="1176" spans="2:2" ht="23.25" customHeight="1">
      <c r="B1176" s="2669"/>
    </row>
    <row r="1177" spans="2:2" ht="23.25" customHeight="1">
      <c r="B1177" s="2669"/>
    </row>
    <row r="1178" spans="2:2" ht="23.25" customHeight="1">
      <c r="B1178" s="2669"/>
    </row>
    <row r="1179" spans="2:2" ht="23.25" customHeight="1">
      <c r="B1179" s="2669"/>
    </row>
    <row r="1180" spans="2:2" ht="23.25" customHeight="1">
      <c r="B1180" s="2669"/>
    </row>
    <row r="1181" spans="2:2" ht="23.25" customHeight="1">
      <c r="B1181" s="2669"/>
    </row>
    <row r="1182" spans="2:2" ht="23.25" customHeight="1">
      <c r="B1182" s="2669"/>
    </row>
    <row r="1183" spans="2:2" ht="23.25" customHeight="1">
      <c r="B1183" s="2669"/>
    </row>
    <row r="1184" spans="2:2" ht="23.25" customHeight="1">
      <c r="B1184" s="2669"/>
    </row>
    <row r="1185" spans="2:2" ht="23.25" customHeight="1">
      <c r="B1185" s="2669"/>
    </row>
    <row r="1186" spans="2:2" ht="23.25" customHeight="1">
      <c r="B1186" s="2669"/>
    </row>
    <row r="1187" spans="2:2" ht="23.25" customHeight="1">
      <c r="B1187" s="2669"/>
    </row>
    <row r="1188" spans="2:2" ht="23.25" customHeight="1">
      <c r="B1188" s="2669"/>
    </row>
    <row r="1189" spans="2:2" ht="23.25" customHeight="1">
      <c r="B1189" s="2669"/>
    </row>
    <row r="1190" spans="2:2" ht="23.25" customHeight="1">
      <c r="B1190" s="2669"/>
    </row>
    <row r="1191" spans="2:2" ht="23.25" customHeight="1">
      <c r="B1191" s="2669"/>
    </row>
    <row r="1192" spans="2:2" ht="23.25" customHeight="1">
      <c r="B1192" s="2669"/>
    </row>
    <row r="1193" spans="2:2" ht="23.25" customHeight="1">
      <c r="B1193" s="2669"/>
    </row>
    <row r="1194" spans="2:2" ht="23.25" customHeight="1">
      <c r="B1194" s="2669"/>
    </row>
    <row r="1195" spans="2:2" ht="23.25" customHeight="1">
      <c r="B1195" s="2669"/>
    </row>
    <row r="1196" spans="2:2" ht="23.25" customHeight="1">
      <c r="B1196" s="2669"/>
    </row>
    <row r="1197" spans="2:2" ht="23.25" customHeight="1">
      <c r="B1197" s="2669"/>
    </row>
    <row r="1198" spans="2:2" ht="23.25" customHeight="1">
      <c r="B1198" s="2669"/>
    </row>
    <row r="1199" spans="2:2" ht="23.25" customHeight="1">
      <c r="B1199" s="2669"/>
    </row>
    <row r="1200" spans="2:2" ht="23.25" customHeight="1">
      <c r="B1200" s="2669"/>
    </row>
    <row r="1201" spans="2:2" ht="23.25" customHeight="1">
      <c r="B1201" s="2669"/>
    </row>
    <row r="1202" spans="2:2" ht="23.25" customHeight="1">
      <c r="B1202" s="2669"/>
    </row>
    <row r="1203" spans="2:2" ht="23.25" customHeight="1">
      <c r="B1203" s="2669"/>
    </row>
    <row r="1204" spans="2:2" ht="23.25" customHeight="1">
      <c r="B1204" s="2669"/>
    </row>
    <row r="1205" spans="2:2" ht="23.25" customHeight="1">
      <c r="B1205" s="2669"/>
    </row>
    <row r="1206" spans="2:2" ht="23.25" customHeight="1">
      <c r="B1206" s="2669"/>
    </row>
    <row r="1207" spans="2:2" ht="23.25" customHeight="1">
      <c r="B1207" s="2669"/>
    </row>
    <row r="1208" spans="2:2" ht="23.25" customHeight="1">
      <c r="B1208" s="2669"/>
    </row>
    <row r="1209" spans="2:2" ht="23.25" customHeight="1">
      <c r="B1209" s="2669"/>
    </row>
    <row r="1210" spans="2:2" ht="23.25" customHeight="1">
      <c r="B1210" s="2669"/>
    </row>
    <row r="1211" spans="2:2" ht="23.25" customHeight="1">
      <c r="B1211" s="2669"/>
    </row>
    <row r="1212" spans="2:2" ht="23.25" customHeight="1">
      <c r="B1212" s="2669"/>
    </row>
    <row r="1213" spans="2:2" ht="23.25" customHeight="1">
      <c r="B1213" s="2669"/>
    </row>
    <row r="1214" spans="2:2" ht="23.25" customHeight="1">
      <c r="B1214" s="2669"/>
    </row>
    <row r="1215" spans="2:2" ht="23.25" customHeight="1">
      <c r="B1215" s="2669"/>
    </row>
    <row r="1216" spans="2:2" ht="23.25" customHeight="1">
      <c r="B1216" s="2669"/>
    </row>
    <row r="1217" spans="2:2" ht="23.25" customHeight="1">
      <c r="B1217" s="2669"/>
    </row>
    <row r="1218" spans="2:2" ht="23.25" customHeight="1">
      <c r="B1218" s="2669"/>
    </row>
    <row r="1219" spans="2:2" ht="23.25" customHeight="1">
      <c r="B1219" s="2669"/>
    </row>
    <row r="1220" spans="2:2" ht="23.25" customHeight="1">
      <c r="B1220" s="2669"/>
    </row>
    <row r="1221" spans="2:2" ht="23.25" customHeight="1">
      <c r="B1221" s="2669"/>
    </row>
    <row r="1222" spans="2:2" ht="23.25" customHeight="1">
      <c r="B1222" s="2669"/>
    </row>
    <row r="1223" spans="2:2" ht="23.25" customHeight="1">
      <c r="B1223" s="2669"/>
    </row>
    <row r="1224" spans="2:2" ht="23.25" customHeight="1">
      <c r="B1224" s="2669"/>
    </row>
    <row r="1225" spans="2:2" ht="23.25" customHeight="1">
      <c r="B1225" s="2669"/>
    </row>
    <row r="1226" spans="2:2" ht="23.25" customHeight="1">
      <c r="B1226" s="2669"/>
    </row>
    <row r="1227" spans="2:2" ht="23.25" customHeight="1">
      <c r="B1227" s="2669"/>
    </row>
    <row r="1228" spans="2:2" ht="23.25" customHeight="1">
      <c r="B1228" s="2669"/>
    </row>
    <row r="1229" spans="2:2" ht="23.25" customHeight="1">
      <c r="B1229" s="2669"/>
    </row>
    <row r="1230" spans="2:2" ht="23.25" customHeight="1">
      <c r="B1230" s="2669"/>
    </row>
    <row r="1231" spans="2:2" ht="23.25" customHeight="1">
      <c r="B1231" s="2669"/>
    </row>
    <row r="1232" spans="2:2" ht="23.25" customHeight="1">
      <c r="B1232" s="2669"/>
    </row>
    <row r="1233" spans="2:2" ht="23.25" customHeight="1">
      <c r="B1233" s="2669"/>
    </row>
    <row r="1234" spans="2:2" ht="23.25" customHeight="1">
      <c r="B1234" s="2669"/>
    </row>
    <row r="1235" spans="2:2" ht="23.25" customHeight="1">
      <c r="B1235" s="2669"/>
    </row>
    <row r="1236" spans="2:2" ht="23.25" customHeight="1">
      <c r="B1236" s="2669"/>
    </row>
    <row r="1237" spans="2:2" ht="23.25" customHeight="1">
      <c r="B1237" s="2669"/>
    </row>
    <row r="1238" spans="2:2" ht="23.25" customHeight="1">
      <c r="B1238" s="2669"/>
    </row>
    <row r="1239" spans="2:2" ht="23.25" customHeight="1">
      <c r="B1239" s="2669"/>
    </row>
    <row r="1240" spans="2:2" ht="23.25" customHeight="1">
      <c r="B1240" s="2669"/>
    </row>
    <row r="1241" spans="2:2" ht="23.25" customHeight="1">
      <c r="B1241" s="2669"/>
    </row>
    <row r="1242" spans="2:2" ht="23.25" customHeight="1">
      <c r="B1242" s="2669"/>
    </row>
    <row r="1243" spans="2:2" ht="23.25" customHeight="1">
      <c r="B1243" s="2669"/>
    </row>
    <row r="1244" spans="2:2" ht="23.25" customHeight="1">
      <c r="B1244" s="2669"/>
    </row>
    <row r="1245" spans="2:2" ht="23.25" customHeight="1">
      <c r="B1245" s="2669"/>
    </row>
    <row r="1246" spans="2:2" ht="23.25" customHeight="1">
      <c r="B1246" s="2669"/>
    </row>
    <row r="1247" spans="2:2" ht="23.25" customHeight="1">
      <c r="B1247" s="2669"/>
    </row>
    <row r="1248" spans="2:2" ht="23.25" customHeight="1">
      <c r="B1248" s="2669"/>
    </row>
    <row r="1249" spans="2:2" ht="23.25" customHeight="1">
      <c r="B1249" s="2669"/>
    </row>
    <row r="1250" spans="2:2" ht="23.25" customHeight="1">
      <c r="B1250" s="2669"/>
    </row>
    <row r="1251" spans="2:2" ht="23.25" customHeight="1">
      <c r="B1251" s="2669"/>
    </row>
    <row r="1252" spans="2:2" ht="23.25" customHeight="1">
      <c r="B1252" s="2669"/>
    </row>
    <row r="1253" spans="2:2" ht="23.25" customHeight="1">
      <c r="B1253" s="2669"/>
    </row>
    <row r="1254" spans="2:2" ht="23.25" customHeight="1">
      <c r="B1254" s="2669"/>
    </row>
    <row r="1255" spans="2:2" ht="23.25" customHeight="1">
      <c r="B1255" s="2669"/>
    </row>
    <row r="1256" spans="2:2" ht="23.25" customHeight="1">
      <c r="B1256" s="2669"/>
    </row>
    <row r="1257" spans="2:2" ht="23.25" customHeight="1">
      <c r="B1257" s="2669"/>
    </row>
    <row r="1258" spans="2:2" ht="23.25" customHeight="1">
      <c r="B1258" s="2669"/>
    </row>
    <row r="1259" spans="2:2" ht="23.25" customHeight="1">
      <c r="B1259" s="2669"/>
    </row>
    <row r="1260" spans="2:2" ht="23.25" customHeight="1">
      <c r="B1260" s="2669"/>
    </row>
    <row r="1261" spans="2:2" ht="23.25" customHeight="1">
      <c r="B1261" s="2669"/>
    </row>
    <row r="1262" spans="2:2" ht="23.25" customHeight="1">
      <c r="B1262" s="2669"/>
    </row>
    <row r="1263" spans="2:2" ht="23.25" customHeight="1">
      <c r="B1263" s="2669"/>
    </row>
    <row r="1264" spans="2:2" ht="23.25" customHeight="1">
      <c r="B1264" s="2669"/>
    </row>
    <row r="1265" spans="2:2" ht="23.25" customHeight="1">
      <c r="B1265" s="2669"/>
    </row>
    <row r="1266" spans="2:2" ht="23.25" customHeight="1">
      <c r="B1266" s="2669"/>
    </row>
    <row r="1267" spans="2:2" ht="23.25" customHeight="1">
      <c r="B1267" s="2669"/>
    </row>
    <row r="1268" spans="2:2" ht="23.25" customHeight="1">
      <c r="B1268" s="2669"/>
    </row>
    <row r="1269" spans="2:2" ht="23.25" customHeight="1">
      <c r="B1269" s="2669"/>
    </row>
    <row r="1270" spans="2:2" ht="23.25" customHeight="1">
      <c r="B1270" s="2669"/>
    </row>
    <row r="1271" spans="2:2" ht="23.25" customHeight="1">
      <c r="B1271" s="2669"/>
    </row>
    <row r="1272" spans="2:2" ht="23.25" customHeight="1">
      <c r="B1272" s="2669"/>
    </row>
    <row r="1273" spans="2:2" ht="23.25" customHeight="1">
      <c r="B1273" s="2669"/>
    </row>
    <row r="1274" spans="2:2" ht="23.25" customHeight="1">
      <c r="B1274" s="2669"/>
    </row>
    <row r="1275" spans="2:2" ht="23.25" customHeight="1">
      <c r="B1275" s="2669"/>
    </row>
    <row r="1276" spans="2:2" ht="23.25" customHeight="1">
      <c r="B1276" s="2669"/>
    </row>
    <row r="1277" spans="2:2" ht="23.25" customHeight="1">
      <c r="B1277" s="2669"/>
    </row>
    <row r="1278" spans="2:2" ht="23.25" customHeight="1">
      <c r="B1278" s="2669"/>
    </row>
    <row r="1279" spans="2:2" ht="23.25" customHeight="1">
      <c r="B1279" s="2669"/>
    </row>
    <row r="1280" spans="2:2" ht="23.25" customHeight="1">
      <c r="B1280" s="2669"/>
    </row>
    <row r="1281" spans="2:2" ht="23.25" customHeight="1">
      <c r="B1281" s="2669"/>
    </row>
    <row r="1282" spans="2:2" ht="23.25" customHeight="1">
      <c r="B1282" s="2669"/>
    </row>
    <row r="1283" spans="2:2" ht="23.25" customHeight="1">
      <c r="B1283" s="2669"/>
    </row>
    <row r="1284" spans="2:2" ht="23.25" customHeight="1">
      <c r="B1284" s="2669"/>
    </row>
    <row r="1285" spans="2:2" ht="23.25" customHeight="1">
      <c r="B1285" s="2669"/>
    </row>
    <row r="1286" spans="2:2" ht="23.25" customHeight="1">
      <c r="B1286" s="2669"/>
    </row>
    <row r="1287" spans="2:2" ht="23.25" customHeight="1">
      <c r="B1287" s="2669"/>
    </row>
    <row r="1288" spans="2:2" ht="23.25" customHeight="1">
      <c r="B1288" s="2669"/>
    </row>
    <row r="1289" spans="2:2" ht="23.25" customHeight="1">
      <c r="B1289" s="2669"/>
    </row>
    <row r="1290" spans="2:2" ht="23.25" customHeight="1">
      <c r="B1290" s="2669"/>
    </row>
    <row r="1291" spans="2:2" ht="23.25" customHeight="1">
      <c r="B1291" s="2669"/>
    </row>
    <row r="1292" spans="2:2" ht="23.25" customHeight="1">
      <c r="B1292" s="2669"/>
    </row>
    <row r="1293" spans="2:2" ht="23.25" customHeight="1">
      <c r="B1293" s="2669"/>
    </row>
    <row r="1294" spans="2:2" ht="23.25" customHeight="1">
      <c r="B1294" s="2669"/>
    </row>
    <row r="1295" spans="2:2" ht="23.25" customHeight="1">
      <c r="B1295" s="2669"/>
    </row>
    <row r="1296" spans="2:2" ht="23.25" customHeight="1">
      <c r="B1296" s="2669"/>
    </row>
    <row r="1297" spans="2:2" ht="23.25" customHeight="1">
      <c r="B1297" s="2669"/>
    </row>
    <row r="1298" spans="2:2" ht="23.25" customHeight="1">
      <c r="B1298" s="2669"/>
    </row>
    <row r="1299" spans="2:2" ht="23.25" customHeight="1">
      <c r="B1299" s="2669"/>
    </row>
    <row r="1300" spans="2:2" ht="23.25" customHeight="1">
      <c r="B1300" s="2669"/>
    </row>
    <row r="1301" spans="2:2" ht="23.25" customHeight="1">
      <c r="B1301" s="2669"/>
    </row>
    <row r="1302" spans="2:2" ht="23.25" customHeight="1">
      <c r="B1302" s="2669"/>
    </row>
    <row r="1303" spans="2:2" ht="23.25" customHeight="1">
      <c r="B1303" s="2669"/>
    </row>
    <row r="1304" spans="2:2" ht="23.25" customHeight="1">
      <c r="B1304" s="2669"/>
    </row>
    <row r="1305" spans="2:2" ht="23.25" customHeight="1">
      <c r="B1305" s="2669"/>
    </row>
    <row r="1306" spans="2:2" ht="23.25" customHeight="1">
      <c r="B1306" s="2669"/>
    </row>
    <row r="1307" spans="2:2" ht="23.25" customHeight="1">
      <c r="B1307" s="2669"/>
    </row>
    <row r="1308" spans="2:2" ht="23.25" customHeight="1">
      <c r="B1308" s="2669"/>
    </row>
    <row r="1309" spans="2:2" ht="23.25" customHeight="1">
      <c r="B1309" s="2669"/>
    </row>
    <row r="1310" spans="2:2" ht="23.25" customHeight="1">
      <c r="B1310" s="2669"/>
    </row>
    <row r="1311" spans="2:2" ht="23.25" customHeight="1">
      <c r="B1311" s="2669"/>
    </row>
    <row r="1312" spans="2:2" ht="23.25" customHeight="1">
      <c r="B1312" s="2669"/>
    </row>
    <row r="1313" spans="2:2" ht="23.25" customHeight="1">
      <c r="B1313" s="2669"/>
    </row>
    <row r="1314" spans="2:2" ht="23.25" customHeight="1">
      <c r="B1314" s="2669"/>
    </row>
    <row r="1315" spans="2:2" ht="23.25" customHeight="1">
      <c r="B1315" s="2669"/>
    </row>
    <row r="1316" spans="2:2" ht="23.25" customHeight="1">
      <c r="B1316" s="2669"/>
    </row>
    <row r="1317" spans="2:2" ht="23.25" customHeight="1">
      <c r="B1317" s="2669"/>
    </row>
    <row r="1318" spans="2:2" ht="23.25" customHeight="1">
      <c r="B1318" s="2669"/>
    </row>
    <row r="1319" spans="2:2" ht="23.25" customHeight="1">
      <c r="B1319" s="2669"/>
    </row>
    <row r="1320" spans="2:2" ht="23.25" customHeight="1">
      <c r="B1320" s="2669"/>
    </row>
    <row r="1321" spans="2:2" ht="23.25" customHeight="1">
      <c r="B1321" s="2669"/>
    </row>
    <row r="1322" spans="2:2" ht="23.25" customHeight="1">
      <c r="B1322" s="2669"/>
    </row>
    <row r="1323" spans="2:2" ht="23.25" customHeight="1">
      <c r="B1323" s="2669"/>
    </row>
    <row r="1324" spans="2:2" ht="23.25" customHeight="1">
      <c r="B1324" s="2669"/>
    </row>
    <row r="1325" spans="2:2" ht="23.25" customHeight="1">
      <c r="B1325" s="2669"/>
    </row>
    <row r="1326" spans="2:2" ht="23.25" customHeight="1">
      <c r="B1326" s="2669"/>
    </row>
    <row r="1327" spans="2:2" ht="23.25" customHeight="1">
      <c r="B1327" s="2669"/>
    </row>
    <row r="1328" spans="2:2" ht="23.25" customHeight="1">
      <c r="B1328" s="2669"/>
    </row>
    <row r="1329" spans="2:2" ht="23.25" customHeight="1">
      <c r="B1329" s="2669"/>
    </row>
    <row r="1330" spans="2:2" ht="23.25" customHeight="1">
      <c r="B1330" s="2669"/>
    </row>
    <row r="1331" spans="2:2" ht="23.25" customHeight="1">
      <c r="B1331" s="2669"/>
    </row>
    <row r="1332" spans="2:2" ht="23.25" customHeight="1">
      <c r="B1332" s="2669"/>
    </row>
    <row r="1333" spans="2:2" ht="23.25" customHeight="1">
      <c r="B1333" s="2669"/>
    </row>
    <row r="1334" spans="2:2" ht="23.25" customHeight="1">
      <c r="B1334" s="2669"/>
    </row>
    <row r="1335" spans="2:2" ht="23.25" customHeight="1">
      <c r="B1335" s="2669"/>
    </row>
    <row r="1336" spans="2:2" ht="23.25" customHeight="1">
      <c r="B1336" s="2669"/>
    </row>
    <row r="1337" spans="2:2" ht="23.25" customHeight="1">
      <c r="B1337" s="2669"/>
    </row>
    <row r="1338" spans="2:2" ht="23.25" customHeight="1">
      <c r="B1338" s="2669"/>
    </row>
    <row r="1339" spans="2:2" ht="23.25" customHeight="1">
      <c r="B1339" s="2669"/>
    </row>
    <row r="1340" spans="2:2" ht="23.25" customHeight="1">
      <c r="B1340" s="2669"/>
    </row>
    <row r="1341" spans="2:2" ht="23.25" customHeight="1">
      <c r="B1341" s="2669"/>
    </row>
    <row r="1342" spans="2:2" ht="23.25" customHeight="1">
      <c r="B1342" s="2669"/>
    </row>
    <row r="1343" spans="2:2" ht="23.25" customHeight="1">
      <c r="B1343" s="2669"/>
    </row>
    <row r="1344" spans="2:2" ht="23.25" customHeight="1">
      <c r="B1344" s="2669"/>
    </row>
    <row r="1345" spans="2:2" ht="23.25" customHeight="1">
      <c r="B1345" s="2669"/>
    </row>
    <row r="1346" spans="2:2" ht="23.25" customHeight="1">
      <c r="B1346" s="2669"/>
    </row>
    <row r="1347" spans="2:2" ht="23.25" customHeight="1">
      <c r="B1347" s="2669"/>
    </row>
    <row r="1348" spans="2:2" ht="23.25" customHeight="1">
      <c r="B1348" s="2669"/>
    </row>
    <row r="1349" spans="2:2" ht="23.25" customHeight="1">
      <c r="B1349" s="2669"/>
    </row>
    <row r="1350" spans="2:2" ht="23.25" customHeight="1">
      <c r="B1350" s="2669"/>
    </row>
    <row r="1351" spans="2:2" ht="23.25" customHeight="1">
      <c r="B1351" s="2669"/>
    </row>
    <row r="1352" spans="2:2" ht="23.25" customHeight="1">
      <c r="B1352" s="2669"/>
    </row>
    <row r="1353" spans="2:2" ht="23.25" customHeight="1">
      <c r="B1353" s="2669"/>
    </row>
    <row r="1354" spans="2:2" ht="23.25" customHeight="1">
      <c r="B1354" s="2669"/>
    </row>
    <row r="1355" spans="2:2" ht="23.25" customHeight="1">
      <c r="B1355" s="2669"/>
    </row>
    <row r="1356" spans="2:2" ht="23.25" customHeight="1">
      <c r="B1356" s="2669"/>
    </row>
    <row r="1357" spans="2:2" ht="23.25" customHeight="1">
      <c r="B1357" s="2669"/>
    </row>
    <row r="1358" spans="2:2" ht="23.25" customHeight="1">
      <c r="B1358" s="2669"/>
    </row>
    <row r="1359" spans="2:2" ht="23.25" customHeight="1">
      <c r="B1359" s="2669"/>
    </row>
    <row r="1360" spans="2:2" ht="23.25" customHeight="1">
      <c r="B1360" s="2669"/>
    </row>
    <row r="1361" spans="2:2" ht="23.25" customHeight="1">
      <c r="B1361" s="2669"/>
    </row>
    <row r="1362" spans="2:2" ht="23.25" customHeight="1">
      <c r="B1362" s="2669"/>
    </row>
    <row r="1363" spans="2:2" ht="23.25" customHeight="1">
      <c r="B1363" s="2669"/>
    </row>
    <row r="1364" spans="2:2" ht="23.25" customHeight="1">
      <c r="B1364" s="2669"/>
    </row>
    <row r="1365" spans="2:2" ht="23.25" customHeight="1">
      <c r="B1365" s="2669"/>
    </row>
    <row r="1366" spans="2:2" ht="23.25" customHeight="1">
      <c r="B1366" s="2669"/>
    </row>
    <row r="1367" spans="2:2" ht="23.25" customHeight="1">
      <c r="B1367" s="2669"/>
    </row>
    <row r="1368" spans="2:2" ht="23.25" customHeight="1">
      <c r="B1368" s="2669"/>
    </row>
    <row r="1369" spans="2:2" ht="23.25" customHeight="1">
      <c r="B1369" s="2669"/>
    </row>
    <row r="1370" spans="2:2" ht="23.25" customHeight="1">
      <c r="B1370" s="2669"/>
    </row>
    <row r="1371" spans="2:2" ht="23.25" customHeight="1">
      <c r="B1371" s="2669"/>
    </row>
    <row r="1372" spans="2:2" ht="23.25" customHeight="1">
      <c r="B1372" s="2669"/>
    </row>
    <row r="1373" spans="2:2" ht="23.25" customHeight="1">
      <c r="B1373" s="2669"/>
    </row>
    <row r="1374" spans="2:2" ht="23.25" customHeight="1">
      <c r="B1374" s="2669"/>
    </row>
    <row r="1375" spans="2:2" ht="23.25" customHeight="1">
      <c r="B1375" s="2669"/>
    </row>
    <row r="1376" spans="2:2" ht="23.25" customHeight="1">
      <c r="B1376" s="2669"/>
    </row>
    <row r="1377" spans="2:2" ht="23.25" customHeight="1">
      <c r="B1377" s="2669"/>
    </row>
    <row r="1378" spans="2:2" ht="23.25" customHeight="1">
      <c r="B1378" s="2669"/>
    </row>
    <row r="1379" spans="2:2" ht="23.25" customHeight="1">
      <c r="B1379" s="2669"/>
    </row>
    <row r="1380" spans="2:2" ht="23.25" customHeight="1">
      <c r="B1380" s="2669"/>
    </row>
    <row r="1381" spans="2:2" ht="23.25" customHeight="1">
      <c r="B1381" s="2669"/>
    </row>
    <row r="1382" spans="2:2" ht="23.25" customHeight="1">
      <c r="B1382" s="2669"/>
    </row>
    <row r="1383" spans="2:2" ht="23.25" customHeight="1">
      <c r="B1383" s="2669"/>
    </row>
    <row r="1384" spans="2:2" ht="23.25" customHeight="1">
      <c r="B1384" s="2669"/>
    </row>
    <row r="1385" spans="2:2" ht="23.25" customHeight="1">
      <c r="B1385" s="2669"/>
    </row>
    <row r="1386" spans="2:2" ht="23.25" customHeight="1">
      <c r="B1386" s="2669"/>
    </row>
    <row r="1387" spans="2:2" ht="23.25" customHeight="1">
      <c r="B1387" s="2669"/>
    </row>
    <row r="1388" spans="2:2" ht="23.25" customHeight="1">
      <c r="B1388" s="2669"/>
    </row>
    <row r="1389" spans="2:2" ht="23.25" customHeight="1">
      <c r="B1389" s="2669"/>
    </row>
    <row r="1390" spans="2:2" ht="23.25" customHeight="1">
      <c r="B1390" s="2669"/>
    </row>
    <row r="1391" spans="2:2" ht="23.25" customHeight="1">
      <c r="B1391" s="2669"/>
    </row>
    <row r="1392" spans="2:2" ht="23.25" customHeight="1">
      <c r="B1392" s="2669"/>
    </row>
    <row r="1393" spans="2:2" ht="23.25" customHeight="1">
      <c r="B1393" s="2669"/>
    </row>
    <row r="1394" spans="2:2" ht="23.25" customHeight="1">
      <c r="B1394" s="2669"/>
    </row>
    <row r="1395" spans="2:2" ht="23.25" customHeight="1">
      <c r="B1395" s="2669"/>
    </row>
    <row r="1396" spans="2:2" ht="23.25" customHeight="1">
      <c r="B1396" s="2669"/>
    </row>
    <row r="1397" spans="2:2" ht="23.25" customHeight="1">
      <c r="B1397" s="2669"/>
    </row>
    <row r="1398" spans="2:2" ht="23.25" customHeight="1">
      <c r="B1398" s="2669"/>
    </row>
    <row r="1399" spans="2:2" ht="23.25" customHeight="1">
      <c r="B1399" s="2669"/>
    </row>
    <row r="1400" spans="2:2" ht="23.25" customHeight="1">
      <c r="B1400" s="2669"/>
    </row>
    <row r="1401" spans="2:2" ht="23.25" customHeight="1">
      <c r="B1401" s="2669"/>
    </row>
    <row r="1402" spans="2:2" ht="23.25" customHeight="1">
      <c r="B1402" s="2669"/>
    </row>
    <row r="1403" spans="2:2" ht="23.25" customHeight="1">
      <c r="B1403" s="2669"/>
    </row>
    <row r="1404" spans="2:2" ht="23.25" customHeight="1">
      <c r="B1404" s="2669"/>
    </row>
    <row r="1405" spans="2:2" ht="23.25" customHeight="1">
      <c r="B1405" s="2669"/>
    </row>
    <row r="1406" spans="2:2" ht="23.25" customHeight="1">
      <c r="B1406" s="2669"/>
    </row>
    <row r="1407" spans="2:2" ht="23.25" customHeight="1">
      <c r="B1407" s="2669"/>
    </row>
    <row r="1408" spans="2:2" ht="23.25" customHeight="1">
      <c r="B1408" s="2669"/>
    </row>
    <row r="1409" spans="2:2" ht="23.25" customHeight="1">
      <c r="B1409" s="2669"/>
    </row>
    <row r="1410" spans="2:2" ht="23.25" customHeight="1">
      <c r="B1410" s="2669"/>
    </row>
    <row r="1411" spans="2:2" ht="23.25" customHeight="1">
      <c r="B1411" s="2669"/>
    </row>
    <row r="1412" spans="2:2" ht="23.25" customHeight="1">
      <c r="B1412" s="2669"/>
    </row>
    <row r="1413" spans="2:2" ht="23.25" customHeight="1">
      <c r="B1413" s="2669"/>
    </row>
    <row r="1414" spans="2:2" ht="23.25" customHeight="1">
      <c r="B1414" s="2669"/>
    </row>
    <row r="1415" spans="2:2" ht="23.25" customHeight="1">
      <c r="B1415" s="2669"/>
    </row>
    <row r="1416" spans="2:2" ht="23.25" customHeight="1">
      <c r="B1416" s="2669"/>
    </row>
    <row r="1417" spans="2:2" ht="23.25" customHeight="1">
      <c r="B1417" s="2669"/>
    </row>
    <row r="1418" spans="2:2" ht="23.25" customHeight="1">
      <c r="B1418" s="2669"/>
    </row>
    <row r="1419" spans="2:2" ht="23.25" customHeight="1">
      <c r="B1419" s="2669"/>
    </row>
    <row r="1420" spans="2:2" ht="23.25" customHeight="1">
      <c r="B1420" s="2669"/>
    </row>
    <row r="1421" spans="2:2" ht="23.25" customHeight="1">
      <c r="B1421" s="2669"/>
    </row>
    <row r="1422" spans="2:2" ht="23.25" customHeight="1">
      <c r="B1422" s="2669"/>
    </row>
    <row r="1423" spans="2:2" ht="23.25" customHeight="1">
      <c r="B1423" s="2669"/>
    </row>
    <row r="1424" spans="2:2" ht="23.25" customHeight="1">
      <c r="B1424" s="2669"/>
    </row>
    <row r="1425" spans="2:2" ht="23.25" customHeight="1">
      <c r="B1425" s="2669"/>
    </row>
    <row r="1426" spans="2:2" ht="23.25" customHeight="1">
      <c r="B1426" s="2669"/>
    </row>
    <row r="1427" spans="2:2" ht="23.25" customHeight="1">
      <c r="B1427" s="2669"/>
    </row>
    <row r="1428" spans="2:2" ht="23.25" customHeight="1">
      <c r="B1428" s="2669"/>
    </row>
    <row r="1429" spans="2:2" ht="23.25" customHeight="1">
      <c r="B1429" s="2669"/>
    </row>
    <row r="1430" spans="2:2" ht="23.25" customHeight="1">
      <c r="B1430" s="2669"/>
    </row>
    <row r="1431" spans="2:2" ht="23.25" customHeight="1">
      <c r="B1431" s="2669"/>
    </row>
    <row r="1432" spans="2:2" ht="23.25" customHeight="1">
      <c r="B1432" s="2669"/>
    </row>
    <row r="1433" spans="2:2" ht="23.25" customHeight="1">
      <c r="B1433" s="2669"/>
    </row>
    <row r="1434" spans="2:2" ht="23.25" customHeight="1">
      <c r="B1434" s="2669"/>
    </row>
    <row r="1435" spans="2:2" ht="23.25" customHeight="1">
      <c r="B1435" s="2669"/>
    </row>
    <row r="1436" spans="2:2" ht="23.25" customHeight="1">
      <c r="B1436" s="2669"/>
    </row>
    <row r="1437" spans="2:2" ht="23.25" customHeight="1">
      <c r="B1437" s="2669"/>
    </row>
    <row r="1438" spans="2:2" ht="23.25" customHeight="1">
      <c r="B1438" s="2669"/>
    </row>
    <row r="1439" spans="2:2" ht="23.25" customHeight="1">
      <c r="B1439" s="2669"/>
    </row>
    <row r="1440" spans="2:2" ht="23.25" customHeight="1">
      <c r="B1440" s="2669"/>
    </row>
    <row r="1441" spans="2:2" ht="23.25" customHeight="1">
      <c r="B1441" s="2669"/>
    </row>
    <row r="1442" spans="2:2" ht="23.25" customHeight="1">
      <c r="B1442" s="2669"/>
    </row>
    <row r="1443" spans="2:2" ht="23.25" customHeight="1">
      <c r="B1443" s="2669"/>
    </row>
    <row r="1444" spans="2:2" ht="23.25" customHeight="1">
      <c r="B1444" s="2669"/>
    </row>
    <row r="1445" spans="2:2" ht="23.25" customHeight="1">
      <c r="B1445" s="2669"/>
    </row>
    <row r="1446" spans="2:2" ht="23.25" customHeight="1">
      <c r="B1446" s="2669"/>
    </row>
    <row r="1447" spans="2:2" ht="23.25" customHeight="1">
      <c r="B1447" s="2669"/>
    </row>
    <row r="1448" spans="2:2" ht="23.25" customHeight="1">
      <c r="B1448" s="2669"/>
    </row>
    <row r="1449" spans="2:2" ht="23.25" customHeight="1">
      <c r="B1449" s="2669"/>
    </row>
    <row r="1450" spans="2:2" ht="23.25" customHeight="1">
      <c r="B1450" s="2669"/>
    </row>
    <row r="1451" spans="2:2" ht="23.25" customHeight="1">
      <c r="B1451" s="2669"/>
    </row>
    <row r="1452" spans="2:2" ht="23.25" customHeight="1">
      <c r="B1452" s="2669"/>
    </row>
    <row r="1453" spans="2:2" ht="23.25" customHeight="1">
      <c r="B1453" s="2669"/>
    </row>
    <row r="1454" spans="2:2" ht="23.25" customHeight="1">
      <c r="B1454" s="2669"/>
    </row>
    <row r="1455" spans="2:2" ht="23.25" customHeight="1">
      <c r="B1455" s="2669"/>
    </row>
    <row r="1456" spans="2:2" ht="23.25" customHeight="1">
      <c r="B1456" s="2669"/>
    </row>
    <row r="1457" spans="2:2" ht="23.25" customHeight="1">
      <c r="B1457" s="2669"/>
    </row>
    <row r="1458" spans="2:2" ht="23.25" customHeight="1">
      <c r="B1458" s="2669"/>
    </row>
    <row r="1459" spans="2:2" ht="23.25" customHeight="1">
      <c r="B1459" s="2669"/>
    </row>
    <row r="1460" spans="2:2" ht="23.25" customHeight="1">
      <c r="B1460" s="2669"/>
    </row>
    <row r="1461" spans="2:2" ht="23.25" customHeight="1">
      <c r="B1461" s="2669"/>
    </row>
    <row r="1462" spans="2:2" ht="23.25" customHeight="1">
      <c r="B1462" s="2669"/>
    </row>
    <row r="1463" spans="2:2" ht="23.25" customHeight="1">
      <c r="B1463" s="2669"/>
    </row>
    <row r="1464" spans="2:2" ht="23.25" customHeight="1">
      <c r="B1464" s="2669"/>
    </row>
    <row r="1465" spans="2:2" ht="23.25" customHeight="1">
      <c r="B1465" s="2669"/>
    </row>
    <row r="1466" spans="2:2" ht="23.25" customHeight="1">
      <c r="B1466" s="2669"/>
    </row>
    <row r="1467" spans="2:2" ht="23.25" customHeight="1">
      <c r="B1467" s="2669"/>
    </row>
    <row r="1468" spans="2:2" ht="23.25" customHeight="1">
      <c r="B1468" s="2669"/>
    </row>
    <row r="1469" spans="2:2" ht="23.25" customHeight="1">
      <c r="B1469" s="2669"/>
    </row>
    <row r="1470" spans="2:2" ht="23.25" customHeight="1">
      <c r="B1470" s="2669"/>
    </row>
    <row r="1471" spans="2:2" ht="23.25" customHeight="1">
      <c r="B1471" s="2669"/>
    </row>
    <row r="1472" spans="2:2" ht="23.25" customHeight="1">
      <c r="B1472" s="2669"/>
    </row>
    <row r="1473" spans="2:2" ht="23.25" customHeight="1">
      <c r="B1473" s="2669"/>
    </row>
    <row r="1474" spans="2:2" ht="23.25" customHeight="1">
      <c r="B1474" s="2669"/>
    </row>
    <row r="1475" spans="2:2" ht="23.25" customHeight="1">
      <c r="B1475" s="2669"/>
    </row>
    <row r="1476" spans="2:2" ht="23.25" customHeight="1">
      <c r="B1476" s="2669"/>
    </row>
    <row r="1477" spans="2:2" ht="23.25" customHeight="1">
      <c r="B1477" s="2669"/>
    </row>
    <row r="1478" spans="2:2" ht="23.25" customHeight="1">
      <c r="B1478" s="2669"/>
    </row>
    <row r="1479" spans="2:2" ht="23.25" customHeight="1">
      <c r="B1479" s="2669"/>
    </row>
    <row r="1480" spans="2:2" ht="23.25" customHeight="1">
      <c r="B1480" s="2669"/>
    </row>
    <row r="1481" spans="2:2" ht="23.25" customHeight="1">
      <c r="B1481" s="2669"/>
    </row>
    <row r="1482" spans="2:2" ht="23.25" customHeight="1">
      <c r="B1482" s="2669"/>
    </row>
    <row r="1483" spans="2:2" ht="23.25" customHeight="1">
      <c r="B1483" s="2669"/>
    </row>
    <row r="1484" spans="2:2" ht="23.25" customHeight="1">
      <c r="B1484" s="2669"/>
    </row>
    <row r="1485" spans="2:2" ht="23.25" customHeight="1">
      <c r="B1485" s="2669"/>
    </row>
    <row r="1486" spans="2:2" ht="23.25" customHeight="1">
      <c r="B1486" s="2669"/>
    </row>
    <row r="1487" spans="2:2" ht="23.25" customHeight="1">
      <c r="B1487" s="2669"/>
    </row>
    <row r="1488" spans="2:2" ht="23.25" customHeight="1">
      <c r="B1488" s="2669"/>
    </row>
    <row r="1489" spans="2:2" ht="23.25" customHeight="1">
      <c r="B1489" s="2669"/>
    </row>
    <row r="1490" spans="2:2" ht="23.25" customHeight="1">
      <c r="B1490" s="2669"/>
    </row>
    <row r="1491" spans="2:2" ht="23.25" customHeight="1">
      <c r="B1491" s="2669"/>
    </row>
    <row r="1492" spans="2:2" ht="23.25" customHeight="1">
      <c r="B1492" s="2669"/>
    </row>
    <row r="1493" spans="2:2" ht="23.25" customHeight="1">
      <c r="B1493" s="2669"/>
    </row>
    <row r="1494" spans="2:2" ht="23.25" customHeight="1">
      <c r="B1494" s="2669"/>
    </row>
    <row r="1495" spans="2:2" ht="23.25" customHeight="1">
      <c r="B1495" s="2669"/>
    </row>
    <row r="1496" spans="2:2" ht="23.25" customHeight="1">
      <c r="B1496" s="2669"/>
    </row>
    <row r="1497" spans="2:2" ht="23.25" customHeight="1">
      <c r="B1497" s="2669"/>
    </row>
    <row r="1498" spans="2:2" ht="23.25" customHeight="1">
      <c r="B1498" s="2669"/>
    </row>
    <row r="1499" spans="2:2" ht="23.25" customHeight="1">
      <c r="B1499" s="2669"/>
    </row>
    <row r="1500" spans="2:2" ht="23.25" customHeight="1">
      <c r="B1500" s="2669"/>
    </row>
    <row r="1501" spans="2:2" ht="23.25" customHeight="1">
      <c r="B1501" s="2669"/>
    </row>
    <row r="1502" spans="2:2" ht="23.25" customHeight="1">
      <c r="B1502" s="2669"/>
    </row>
    <row r="1503" spans="2:2" ht="23.25" customHeight="1">
      <c r="B1503" s="2669"/>
    </row>
    <row r="1504" spans="2:2" ht="23.25" customHeight="1">
      <c r="B1504" s="2669"/>
    </row>
    <row r="1505" spans="2:2" ht="23.25" customHeight="1">
      <c r="B1505" s="2669"/>
    </row>
    <row r="1506" spans="2:2" ht="23.25" customHeight="1">
      <c r="B1506" s="2669"/>
    </row>
    <row r="1507" spans="2:2" ht="23.25" customHeight="1">
      <c r="B1507" s="2669"/>
    </row>
    <row r="1508" spans="2:2" ht="23.25" customHeight="1">
      <c r="B1508" s="2669"/>
    </row>
    <row r="1509" spans="2:2" ht="23.25" customHeight="1">
      <c r="B1509" s="2669"/>
    </row>
    <row r="1510" spans="2:2" ht="23.25" customHeight="1">
      <c r="B1510" s="2669"/>
    </row>
    <row r="1511" spans="2:2" ht="23.25" customHeight="1">
      <c r="B1511" s="2669"/>
    </row>
    <row r="1512" spans="2:2" ht="23.25" customHeight="1">
      <c r="B1512" s="2669"/>
    </row>
    <row r="1513" spans="2:2" ht="23.25" customHeight="1">
      <c r="B1513" s="2669"/>
    </row>
    <row r="1514" spans="2:2" ht="23.25" customHeight="1">
      <c r="B1514" s="2669"/>
    </row>
    <row r="1515" spans="2:2" ht="23.25" customHeight="1">
      <c r="B1515" s="2669"/>
    </row>
    <row r="1516" spans="2:2" ht="23.25" customHeight="1">
      <c r="B1516" s="2669"/>
    </row>
    <row r="1517" spans="2:2" ht="23.25" customHeight="1">
      <c r="B1517" s="2669"/>
    </row>
    <row r="1518" spans="2:2" ht="23.25" customHeight="1">
      <c r="B1518" s="2669"/>
    </row>
    <row r="1519" spans="2:2" ht="23.25" customHeight="1">
      <c r="B1519" s="2669"/>
    </row>
    <row r="1520" spans="2:2" ht="23.25" customHeight="1">
      <c r="B1520" s="2669"/>
    </row>
    <row r="1521" spans="2:2" ht="23.25" customHeight="1">
      <c r="B1521" s="2669"/>
    </row>
    <row r="1522" spans="2:2" ht="23.25" customHeight="1">
      <c r="B1522" s="2669"/>
    </row>
    <row r="1523" spans="2:2" ht="23.25" customHeight="1">
      <c r="B1523" s="2669"/>
    </row>
    <row r="1524" spans="2:2" ht="23.25" customHeight="1">
      <c r="B1524" s="2669"/>
    </row>
    <row r="1525" spans="2:2" ht="23.25" customHeight="1">
      <c r="B1525" s="2669"/>
    </row>
    <row r="1526" spans="2:2" ht="23.25" customHeight="1">
      <c r="B1526" s="2669"/>
    </row>
    <row r="1527" spans="2:2" ht="23.25" customHeight="1">
      <c r="B1527" s="2669"/>
    </row>
    <row r="1528" spans="2:2" ht="23.25" customHeight="1">
      <c r="B1528" s="2669"/>
    </row>
    <row r="1529" spans="2:2" ht="23.25" customHeight="1">
      <c r="B1529" s="2669"/>
    </row>
    <row r="1530" spans="2:2" ht="23.25" customHeight="1">
      <c r="B1530" s="2669"/>
    </row>
    <row r="1531" spans="2:2" ht="23.25" customHeight="1">
      <c r="B1531" s="2669"/>
    </row>
    <row r="1532" spans="2:2" ht="23.25" customHeight="1">
      <c r="B1532" s="2669"/>
    </row>
    <row r="1533" spans="2:2" ht="23.25" customHeight="1">
      <c r="B1533" s="2669"/>
    </row>
    <row r="1534" spans="2:2" ht="23.25" customHeight="1">
      <c r="B1534" s="2669"/>
    </row>
    <row r="1535" spans="2:2" ht="23.25" customHeight="1">
      <c r="B1535" s="2669"/>
    </row>
    <row r="1536" spans="2:2" ht="23.25" customHeight="1">
      <c r="B1536" s="2669"/>
    </row>
    <row r="1537" spans="2:2" ht="23.25" customHeight="1">
      <c r="B1537" s="2669"/>
    </row>
    <row r="1538" spans="2:2" ht="23.25" customHeight="1">
      <c r="B1538" s="2669"/>
    </row>
    <row r="1539" spans="2:2" ht="23.25" customHeight="1">
      <c r="B1539" s="2669"/>
    </row>
    <row r="1540" spans="2:2" ht="23.25" customHeight="1">
      <c r="B1540" s="2669"/>
    </row>
    <row r="1541" spans="2:2" ht="23.25" customHeight="1">
      <c r="B1541" s="2669"/>
    </row>
    <row r="1542" spans="2:2" ht="23.25" customHeight="1">
      <c r="B1542" s="2669"/>
    </row>
    <row r="1543" spans="2:2" ht="23.25" customHeight="1">
      <c r="B1543" s="2669"/>
    </row>
    <row r="1544" spans="2:2" ht="23.25" customHeight="1">
      <c r="B1544" s="2669"/>
    </row>
    <row r="1545" spans="2:2" ht="23.25" customHeight="1">
      <c r="B1545" s="2669"/>
    </row>
    <row r="1546" spans="2:2" ht="23.25" customHeight="1">
      <c r="B1546" s="2669"/>
    </row>
    <row r="1547" spans="2:2" ht="23.25" customHeight="1">
      <c r="B1547" s="2669"/>
    </row>
    <row r="1548" spans="2:2" ht="23.25" customHeight="1">
      <c r="B1548" s="2669"/>
    </row>
    <row r="1549" spans="2:2" ht="23.25" customHeight="1">
      <c r="B1549" s="2669"/>
    </row>
    <row r="1550" spans="2:2" ht="23.25" customHeight="1">
      <c r="B1550" s="2669"/>
    </row>
    <row r="1551" spans="2:2" ht="23.25" customHeight="1">
      <c r="B1551" s="2669"/>
    </row>
    <row r="1552" spans="2:2" ht="23.25" customHeight="1">
      <c r="B1552" s="2669"/>
    </row>
    <row r="1553" spans="2:2" ht="23.25" customHeight="1">
      <c r="B1553" s="2669"/>
    </row>
    <row r="1554" spans="2:2" ht="23.25" customHeight="1">
      <c r="B1554" s="2669"/>
    </row>
    <row r="1555" spans="2:2" ht="23.25" customHeight="1">
      <c r="B1555" s="2669"/>
    </row>
    <row r="1556" spans="2:2" ht="23.25" customHeight="1">
      <c r="B1556" s="2669"/>
    </row>
    <row r="1557" spans="2:2" ht="23.25" customHeight="1">
      <c r="B1557" s="2669"/>
    </row>
    <row r="1558" spans="2:2" ht="23.25" customHeight="1">
      <c r="B1558" s="2669"/>
    </row>
    <row r="1559" spans="2:2" ht="23.25" customHeight="1">
      <c r="B1559" s="2669"/>
    </row>
    <row r="1560" spans="2:2" ht="23.25" customHeight="1">
      <c r="B1560" s="2669"/>
    </row>
    <row r="1561" spans="2:2" ht="23.25" customHeight="1">
      <c r="B1561" s="2669"/>
    </row>
    <row r="1562" spans="2:2" ht="23.25" customHeight="1">
      <c r="B1562" s="2669"/>
    </row>
    <row r="1563" spans="2:2" ht="23.25" customHeight="1">
      <c r="B1563" s="2669"/>
    </row>
    <row r="1564" spans="2:2" ht="23.25" customHeight="1">
      <c r="B1564" s="2669"/>
    </row>
    <row r="1565" spans="2:2" ht="23.25" customHeight="1">
      <c r="B1565" s="2669"/>
    </row>
    <row r="1566" spans="2:2" ht="23.25" customHeight="1">
      <c r="B1566" s="2669"/>
    </row>
    <row r="1567" spans="2:2" ht="23.25" customHeight="1">
      <c r="B1567" s="2669"/>
    </row>
    <row r="1568" spans="2:2" ht="23.25" customHeight="1">
      <c r="B1568" s="2669"/>
    </row>
    <row r="1569" spans="2:2" ht="23.25" customHeight="1">
      <c r="B1569" s="2669"/>
    </row>
    <row r="1570" spans="2:2" ht="23.25" customHeight="1">
      <c r="B1570" s="2669"/>
    </row>
    <row r="1571" spans="2:2" ht="23.25" customHeight="1">
      <c r="B1571" s="2669"/>
    </row>
    <row r="1572" spans="2:2" ht="23.25" customHeight="1">
      <c r="B1572" s="2669"/>
    </row>
    <row r="1573" spans="2:2" ht="23.25" customHeight="1">
      <c r="B1573" s="2669"/>
    </row>
    <row r="1574" spans="2:2" ht="23.25" customHeight="1">
      <c r="B1574" s="2669"/>
    </row>
    <row r="1575" spans="2:2" ht="23.25" customHeight="1">
      <c r="B1575" s="2669"/>
    </row>
    <row r="1576" spans="2:2" ht="23.25" customHeight="1">
      <c r="B1576" s="2669"/>
    </row>
    <row r="1577" spans="2:2" ht="23.25" customHeight="1">
      <c r="B1577" s="2669"/>
    </row>
    <row r="1578" spans="2:2" ht="23.25" customHeight="1">
      <c r="B1578" s="2669"/>
    </row>
    <row r="1579" spans="2:2" ht="23.25" customHeight="1">
      <c r="B1579" s="2669"/>
    </row>
    <row r="1580" spans="2:2" ht="23.25" customHeight="1">
      <c r="B1580" s="2669"/>
    </row>
    <row r="1581" spans="2:2" ht="23.25" customHeight="1">
      <c r="B1581" s="2669"/>
    </row>
    <row r="1582" spans="2:2" ht="23.25" customHeight="1">
      <c r="B1582" s="2669"/>
    </row>
    <row r="1583" spans="2:2" ht="23.25" customHeight="1">
      <c r="B1583" s="2669"/>
    </row>
    <row r="1584" spans="2:2" ht="23.25" customHeight="1">
      <c r="B1584" s="2669"/>
    </row>
    <row r="1585" spans="2:2" ht="23.25" customHeight="1">
      <c r="B1585" s="2669"/>
    </row>
    <row r="1586" spans="2:2" ht="23.25" customHeight="1">
      <c r="B1586" s="2669"/>
    </row>
    <row r="1587" spans="2:2" ht="23.25" customHeight="1">
      <c r="B1587" s="2669"/>
    </row>
    <row r="1588" spans="2:2" ht="23.25" customHeight="1">
      <c r="B1588" s="2669"/>
    </row>
    <row r="1589" spans="2:2" ht="23.25" customHeight="1">
      <c r="B1589" s="2669"/>
    </row>
    <row r="1590" spans="2:2" ht="23.25" customHeight="1">
      <c r="B1590" s="2669"/>
    </row>
    <row r="1591" spans="2:2" ht="23.25" customHeight="1">
      <c r="B1591" s="2669"/>
    </row>
    <row r="1592" spans="2:2" ht="23.25" customHeight="1">
      <c r="B1592" s="2669"/>
    </row>
    <row r="1593" spans="2:2" ht="23.25" customHeight="1">
      <c r="B1593" s="2669"/>
    </row>
    <row r="1594" spans="2:2" ht="23.25" customHeight="1">
      <c r="B1594" s="2669"/>
    </row>
    <row r="1595" spans="2:2" ht="23.25" customHeight="1">
      <c r="B1595" s="2669"/>
    </row>
    <row r="1596" spans="2:2" ht="23.25" customHeight="1">
      <c r="B1596" s="2669"/>
    </row>
    <row r="1597" spans="2:2" ht="23.25" customHeight="1">
      <c r="B1597" s="2669"/>
    </row>
    <row r="1598" spans="2:2" ht="23.25" customHeight="1">
      <c r="B1598" s="2669"/>
    </row>
    <row r="1599" spans="2:2" ht="23.25" customHeight="1">
      <c r="B1599" s="2669"/>
    </row>
    <row r="1600" spans="2:2" ht="23.25" customHeight="1">
      <c r="B1600" s="2669"/>
    </row>
    <row r="1601" spans="2:2" ht="23.25" customHeight="1">
      <c r="B1601" s="2669"/>
    </row>
    <row r="1602" spans="2:2" ht="23.25" customHeight="1">
      <c r="B1602" s="2669"/>
    </row>
    <row r="1603" spans="2:2" ht="23.25" customHeight="1">
      <c r="B1603" s="2669"/>
    </row>
    <row r="1604" spans="2:2" ht="23.25" customHeight="1">
      <c r="B1604" s="2669"/>
    </row>
    <row r="1605" spans="2:2" ht="23.25" customHeight="1">
      <c r="B1605" s="2669"/>
    </row>
    <row r="1606" spans="2:2" ht="23.25" customHeight="1">
      <c r="B1606" s="2669"/>
    </row>
    <row r="1607" spans="2:2" ht="23.25" customHeight="1">
      <c r="B1607" s="2669"/>
    </row>
    <row r="1608" spans="2:2" ht="23.25" customHeight="1">
      <c r="B1608" s="2669"/>
    </row>
    <row r="1609" spans="2:2" ht="23.25" customHeight="1">
      <c r="B1609" s="2669"/>
    </row>
    <row r="1610" spans="2:2" ht="23.25" customHeight="1">
      <c r="B1610" s="2669"/>
    </row>
    <row r="1611" spans="2:2" ht="23.25" customHeight="1">
      <c r="B1611" s="2669"/>
    </row>
    <row r="1612" spans="2:2" ht="23.25" customHeight="1">
      <c r="B1612" s="2669"/>
    </row>
    <row r="1613" spans="2:2" ht="23.25" customHeight="1">
      <c r="B1613" s="2669"/>
    </row>
    <row r="1614" spans="2:2" ht="23.25" customHeight="1">
      <c r="B1614" s="2669"/>
    </row>
    <row r="1615" spans="2:2" ht="23.25" customHeight="1">
      <c r="B1615" s="2669"/>
    </row>
    <row r="1616" spans="2:2" ht="23.25" customHeight="1">
      <c r="B1616" s="2669"/>
    </row>
    <row r="1617" spans="2:2" ht="23.25" customHeight="1">
      <c r="B1617" s="2669"/>
    </row>
    <row r="1618" spans="2:2" ht="23.25" customHeight="1">
      <c r="B1618" s="2669"/>
    </row>
    <row r="1619" spans="2:2" ht="23.25" customHeight="1">
      <c r="B1619" s="2669"/>
    </row>
    <row r="1620" spans="2:2" ht="23.25" customHeight="1">
      <c r="B1620" s="2669"/>
    </row>
    <row r="1621" spans="2:2" ht="23.25" customHeight="1">
      <c r="B1621" s="2669"/>
    </row>
    <row r="1622" spans="2:2" ht="23.25" customHeight="1">
      <c r="B1622" s="2669"/>
    </row>
    <row r="1623" spans="2:2" ht="23.25" customHeight="1">
      <c r="B1623" s="2669"/>
    </row>
    <row r="1624" spans="2:2" ht="23.25" customHeight="1">
      <c r="B1624" s="2669"/>
    </row>
    <row r="1625" spans="2:2" ht="23.25" customHeight="1">
      <c r="B1625" s="2669"/>
    </row>
    <row r="1626" spans="2:2" ht="23.25" customHeight="1">
      <c r="B1626" s="2669"/>
    </row>
    <row r="1627" spans="2:2" ht="23.25" customHeight="1">
      <c r="B1627" s="2669"/>
    </row>
    <row r="1628" spans="2:2" ht="23.25" customHeight="1">
      <c r="B1628" s="2669"/>
    </row>
    <row r="1629" spans="2:2" ht="23.25" customHeight="1">
      <c r="B1629" s="2669"/>
    </row>
    <row r="1630" spans="2:2" ht="23.25" customHeight="1">
      <c r="B1630" s="2669"/>
    </row>
    <row r="1631" spans="2:2" ht="23.25" customHeight="1">
      <c r="B1631" s="2669"/>
    </row>
    <row r="1632" spans="2:2" ht="23.25" customHeight="1">
      <c r="B1632" s="2669"/>
    </row>
    <row r="1633" spans="2:2" ht="23.25" customHeight="1">
      <c r="B1633" s="2669"/>
    </row>
    <row r="1634" spans="2:2" ht="23.25" customHeight="1">
      <c r="B1634" s="2669"/>
    </row>
    <row r="1635" spans="2:2" ht="23.25" customHeight="1">
      <c r="B1635" s="2669"/>
    </row>
    <row r="1636" spans="2:2" ht="23.25" customHeight="1">
      <c r="B1636" s="2669"/>
    </row>
    <row r="1637" spans="2:2" ht="23.25" customHeight="1">
      <c r="B1637" s="2669"/>
    </row>
    <row r="1638" spans="2:2" ht="23.25" customHeight="1">
      <c r="B1638" s="2669"/>
    </row>
    <row r="1639" spans="2:2" ht="23.25" customHeight="1">
      <c r="B1639" s="2669"/>
    </row>
    <row r="1640" spans="2:2" ht="23.25" customHeight="1">
      <c r="B1640" s="2669"/>
    </row>
    <row r="1641" spans="2:2" ht="23.25" customHeight="1">
      <c r="B1641" s="2669"/>
    </row>
    <row r="1642" spans="2:2" ht="23.25" customHeight="1">
      <c r="B1642" s="2669"/>
    </row>
    <row r="1643" spans="2:2" ht="23.25" customHeight="1">
      <c r="B1643" s="2669"/>
    </row>
    <row r="1644" spans="2:2" ht="23.25" customHeight="1">
      <c r="B1644" s="2669"/>
    </row>
    <row r="1645" spans="2:2" ht="23.25" customHeight="1">
      <c r="B1645" s="2669"/>
    </row>
    <row r="1646" spans="2:2" ht="23.25" customHeight="1">
      <c r="B1646" s="2669"/>
    </row>
    <row r="1647" spans="2:2" ht="23.25" customHeight="1">
      <c r="B1647" s="2669"/>
    </row>
    <row r="1648" spans="2:2" ht="23.25" customHeight="1">
      <c r="B1648" s="2669"/>
    </row>
    <row r="1649" spans="2:2" ht="23.25" customHeight="1">
      <c r="B1649" s="2669"/>
    </row>
    <row r="1650" spans="2:2" ht="23.25" customHeight="1">
      <c r="B1650" s="2669"/>
    </row>
    <row r="1651" spans="2:2" ht="23.25" customHeight="1">
      <c r="B1651" s="2669"/>
    </row>
    <row r="1652" spans="2:2" ht="23.25" customHeight="1">
      <c r="B1652" s="2669"/>
    </row>
    <row r="1653" spans="2:2" ht="23.25" customHeight="1">
      <c r="B1653" s="2669"/>
    </row>
    <row r="1654" spans="2:2" ht="23.25" customHeight="1">
      <c r="B1654" s="2669"/>
    </row>
    <row r="1655" spans="2:2" ht="23.25" customHeight="1">
      <c r="B1655" s="2669"/>
    </row>
    <row r="1656" spans="2:2" ht="23.25" customHeight="1">
      <c r="B1656" s="2669"/>
    </row>
    <row r="1657" spans="2:2" ht="23.25" customHeight="1">
      <c r="B1657" s="2669"/>
    </row>
    <row r="1658" spans="2:2" ht="23.25" customHeight="1">
      <c r="B1658" s="2669"/>
    </row>
    <row r="1659" spans="2:2" ht="23.25" customHeight="1">
      <c r="B1659" s="2669"/>
    </row>
    <row r="1660" spans="2:2" ht="23.25" customHeight="1">
      <c r="B1660" s="2669"/>
    </row>
    <row r="1661" spans="2:2" ht="23.25" customHeight="1">
      <c r="B1661" s="2669"/>
    </row>
    <row r="1662" spans="2:2" ht="23.25" customHeight="1">
      <c r="B1662" s="2669"/>
    </row>
    <row r="1663" spans="2:2" ht="23.25" customHeight="1">
      <c r="B1663" s="2669"/>
    </row>
    <row r="1664" spans="2:2" ht="23.25" customHeight="1">
      <c r="B1664" s="2669"/>
    </row>
    <row r="1665" spans="2:2" ht="23.25" customHeight="1">
      <c r="B1665" s="2669"/>
    </row>
    <row r="1666" spans="2:2" ht="23.25" customHeight="1">
      <c r="B1666" s="2669"/>
    </row>
    <row r="1667" spans="2:2" ht="23.25" customHeight="1">
      <c r="B1667" s="2669"/>
    </row>
    <row r="1668" spans="2:2" ht="23.25" customHeight="1">
      <c r="B1668" s="2669"/>
    </row>
    <row r="1669" spans="2:2" ht="23.25" customHeight="1">
      <c r="B1669" s="2669"/>
    </row>
    <row r="1670" spans="2:2" ht="23.25" customHeight="1">
      <c r="B1670" s="2669"/>
    </row>
    <row r="1671" spans="2:2" ht="23.25" customHeight="1">
      <c r="B1671" s="2669"/>
    </row>
    <row r="1672" spans="2:2" ht="23.25" customHeight="1">
      <c r="B1672" s="2669"/>
    </row>
    <row r="1673" spans="2:2" ht="23.25" customHeight="1">
      <c r="B1673" s="2669"/>
    </row>
    <row r="1674" spans="2:2" ht="23.25" customHeight="1">
      <c r="B1674" s="2669"/>
    </row>
    <row r="1675" spans="2:2" ht="23.25" customHeight="1">
      <c r="B1675" s="2669"/>
    </row>
    <row r="1676" spans="2:2" ht="23.25" customHeight="1">
      <c r="B1676" s="2669"/>
    </row>
    <row r="1677" spans="2:2" ht="23.25" customHeight="1">
      <c r="B1677" s="2669"/>
    </row>
    <row r="1678" spans="2:2" ht="23.25" customHeight="1">
      <c r="B1678" s="2669"/>
    </row>
    <row r="1679" spans="2:2" ht="23.25" customHeight="1">
      <c r="B1679" s="2669"/>
    </row>
    <row r="1680" spans="2:2" ht="23.25" customHeight="1">
      <c r="B1680" s="2669"/>
    </row>
    <row r="1681" spans="2:2" ht="23.25" customHeight="1">
      <c r="B1681" s="2669"/>
    </row>
    <row r="1682" spans="2:2" ht="23.25" customHeight="1">
      <c r="B1682" s="2669"/>
    </row>
    <row r="1683" spans="2:2" ht="23.25" customHeight="1">
      <c r="B1683" s="2669"/>
    </row>
    <row r="1684" spans="2:2" ht="23.25" customHeight="1">
      <c r="B1684" s="2669"/>
    </row>
    <row r="1685" spans="2:2" ht="23.25" customHeight="1">
      <c r="B1685" s="2669"/>
    </row>
    <row r="1686" spans="2:2" ht="23.25" customHeight="1">
      <c r="B1686" s="2669"/>
    </row>
    <row r="1687" spans="2:2" ht="23.25" customHeight="1">
      <c r="B1687" s="2669"/>
    </row>
    <row r="1688" spans="2:2" ht="23.25" customHeight="1">
      <c r="B1688" s="2669"/>
    </row>
    <row r="1689" spans="2:2" ht="23.25" customHeight="1">
      <c r="B1689" s="2669"/>
    </row>
    <row r="1690" spans="2:2" ht="23.25" customHeight="1">
      <c r="B1690" s="2669"/>
    </row>
    <row r="1691" spans="2:2" ht="23.25" customHeight="1">
      <c r="B1691" s="2669"/>
    </row>
    <row r="1692" spans="2:2" ht="23.25" customHeight="1">
      <c r="B1692" s="2669"/>
    </row>
    <row r="1693" spans="2:2" ht="23.25" customHeight="1">
      <c r="B1693" s="2669"/>
    </row>
    <row r="1694" spans="2:2" ht="23.25" customHeight="1">
      <c r="B1694" s="2669"/>
    </row>
    <row r="1695" spans="2:2" ht="23.25" customHeight="1">
      <c r="B1695" s="2669"/>
    </row>
    <row r="1696" spans="2:2" ht="23.25" customHeight="1">
      <c r="B1696" s="2669"/>
    </row>
    <row r="1697" spans="2:2" ht="23.25" customHeight="1">
      <c r="B1697" s="2669"/>
    </row>
    <row r="1698" spans="2:2" ht="23.25" customHeight="1">
      <c r="B1698" s="2669"/>
    </row>
    <row r="1699" spans="2:2" ht="23.25" customHeight="1">
      <c r="B1699" s="2669"/>
    </row>
    <row r="1700" spans="2:2" ht="23.25" customHeight="1">
      <c r="B1700" s="2669"/>
    </row>
    <row r="1701" spans="2:2" ht="23.25" customHeight="1">
      <c r="B1701" s="2669"/>
    </row>
    <row r="1702" spans="2:2" ht="23.25" customHeight="1">
      <c r="B1702" s="2669"/>
    </row>
    <row r="1703" spans="2:2" ht="23.25" customHeight="1">
      <c r="B1703" s="2669"/>
    </row>
    <row r="1704" spans="2:2" ht="23.25" customHeight="1">
      <c r="B1704" s="2669"/>
    </row>
    <row r="1705" spans="2:2" ht="23.25" customHeight="1">
      <c r="B1705" s="2669"/>
    </row>
    <row r="1706" spans="2:2" ht="23.25" customHeight="1">
      <c r="B1706" s="2669"/>
    </row>
    <row r="1707" spans="2:2" ht="23.25" customHeight="1">
      <c r="B1707" s="2669"/>
    </row>
    <row r="1708" spans="2:2" ht="23.25" customHeight="1">
      <c r="B1708" s="2669"/>
    </row>
    <row r="1709" spans="2:2" ht="23.25" customHeight="1">
      <c r="B1709" s="2669"/>
    </row>
    <row r="1710" spans="2:2" ht="23.25" customHeight="1">
      <c r="B1710" s="2669"/>
    </row>
    <row r="1711" spans="2:2" ht="23.25" customHeight="1">
      <c r="B1711" s="2669"/>
    </row>
    <row r="1712" spans="2:2" ht="23.25" customHeight="1">
      <c r="B1712" s="2669"/>
    </row>
    <row r="1713" spans="2:2" ht="23.25" customHeight="1">
      <c r="B1713" s="2669"/>
    </row>
    <row r="1714" spans="2:2" ht="23.25" customHeight="1">
      <c r="B1714" s="2669"/>
    </row>
    <row r="1715" spans="2:2" ht="23.25" customHeight="1">
      <c r="B1715" s="2669"/>
    </row>
    <row r="1716" spans="2:2" ht="23.25" customHeight="1">
      <c r="B1716" s="2669"/>
    </row>
    <row r="1717" spans="2:2" ht="23.25" customHeight="1">
      <c r="B1717" s="2669"/>
    </row>
    <row r="1718" spans="2:2" ht="23.25" customHeight="1">
      <c r="B1718" s="2669"/>
    </row>
    <row r="1719" spans="2:2" ht="23.25" customHeight="1">
      <c r="B1719" s="2669"/>
    </row>
    <row r="1720" spans="2:2" ht="23.25" customHeight="1">
      <c r="B1720" s="2669"/>
    </row>
    <row r="1721" spans="2:2" ht="23.25" customHeight="1">
      <c r="B1721" s="2669"/>
    </row>
    <row r="1722" spans="2:2" ht="23.25" customHeight="1">
      <c r="B1722" s="2669"/>
    </row>
    <row r="1723" spans="2:2" ht="23.25" customHeight="1">
      <c r="B1723" s="2669"/>
    </row>
    <row r="1724" spans="2:2" ht="23.25" customHeight="1">
      <c r="B1724" s="2669"/>
    </row>
    <row r="1725" spans="2:2" ht="23.25" customHeight="1">
      <c r="B1725" s="2669"/>
    </row>
    <row r="1726" spans="2:2" ht="23.25" customHeight="1">
      <c r="B1726" s="2669"/>
    </row>
    <row r="1727" spans="2:2" ht="23.25" customHeight="1">
      <c r="B1727" s="2669"/>
    </row>
    <row r="1728" spans="2:2" ht="23.25" customHeight="1">
      <c r="B1728" s="2669"/>
    </row>
    <row r="1729" spans="2:2" ht="23.25" customHeight="1">
      <c r="B1729" s="2669"/>
    </row>
    <row r="1730" spans="2:2" ht="23.25" customHeight="1">
      <c r="B1730" s="2669"/>
    </row>
    <row r="1731" spans="2:2" ht="23.25" customHeight="1">
      <c r="B1731" s="2669"/>
    </row>
    <row r="1732" spans="2:2" ht="23.25" customHeight="1">
      <c r="B1732" s="2669"/>
    </row>
    <row r="1733" spans="2:2" ht="23.25" customHeight="1">
      <c r="B1733" s="2669"/>
    </row>
    <row r="1734" spans="2:2" ht="23.25" customHeight="1">
      <c r="B1734" s="2669"/>
    </row>
    <row r="1735" spans="2:2" ht="23.25" customHeight="1">
      <c r="B1735" s="2669"/>
    </row>
    <row r="1736" spans="2:2" ht="23.25" customHeight="1">
      <c r="B1736" s="2669"/>
    </row>
    <row r="1737" spans="2:2" ht="23.25" customHeight="1">
      <c r="B1737" s="2669"/>
    </row>
    <row r="1738" spans="2:2" ht="23.25" customHeight="1">
      <c r="B1738" s="2669"/>
    </row>
    <row r="1739" spans="2:2" ht="23.25" customHeight="1">
      <c r="B1739" s="2669"/>
    </row>
    <row r="1740" spans="2:2" ht="23.25" customHeight="1">
      <c r="B1740" s="2669"/>
    </row>
    <row r="1741" spans="2:2" ht="23.25" customHeight="1">
      <c r="B1741" s="2669"/>
    </row>
    <row r="1742" spans="2:2" ht="23.25" customHeight="1">
      <c r="B1742" s="2669"/>
    </row>
    <row r="1743" spans="2:2" ht="23.25" customHeight="1">
      <c r="B1743" s="2669"/>
    </row>
    <row r="1744" spans="2:2" ht="23.25" customHeight="1">
      <c r="B1744" s="2669"/>
    </row>
    <row r="1745" spans="2:2" ht="23.25" customHeight="1">
      <c r="B1745" s="2669"/>
    </row>
    <row r="1746" spans="2:2" ht="23.25" customHeight="1">
      <c r="B1746" s="2669"/>
    </row>
    <row r="1747" spans="2:2" ht="23.25" customHeight="1">
      <c r="B1747" s="2669"/>
    </row>
    <row r="1748" spans="2:2" ht="23.25" customHeight="1">
      <c r="B1748" s="2669"/>
    </row>
    <row r="1749" spans="2:2" ht="23.25" customHeight="1">
      <c r="B1749" s="2669"/>
    </row>
    <row r="1750" spans="2:2" ht="23.25" customHeight="1">
      <c r="B1750" s="2669"/>
    </row>
    <row r="1751" spans="2:2" ht="23.25" customHeight="1">
      <c r="B1751" s="2669"/>
    </row>
    <row r="1752" spans="2:2" ht="23.25" customHeight="1">
      <c r="B1752" s="2669"/>
    </row>
    <row r="1753" spans="2:2" ht="23.25" customHeight="1">
      <c r="B1753" s="2669"/>
    </row>
    <row r="1754" spans="2:2" ht="23.25" customHeight="1">
      <c r="B1754" s="2669"/>
    </row>
    <row r="1755" spans="2:2" ht="23.25" customHeight="1">
      <c r="B1755" s="2669"/>
    </row>
    <row r="1756" spans="2:2" ht="23.25" customHeight="1">
      <c r="B1756" s="2669"/>
    </row>
    <row r="1757" spans="2:2" ht="23.25" customHeight="1">
      <c r="B1757" s="2669"/>
    </row>
    <row r="1758" spans="2:2" ht="23.25" customHeight="1">
      <c r="B1758" s="2669"/>
    </row>
    <row r="1759" spans="2:2" ht="23.25" customHeight="1">
      <c r="B1759" s="2669"/>
    </row>
    <row r="1760" spans="2:2" ht="23.25" customHeight="1">
      <c r="B1760" s="2669"/>
    </row>
    <row r="1761" spans="2:2" ht="23.25" customHeight="1">
      <c r="B1761" s="2669"/>
    </row>
    <row r="1762" spans="2:2" ht="23.25" customHeight="1">
      <c r="B1762" s="2669"/>
    </row>
    <row r="1763" spans="2:2" ht="23.25" customHeight="1">
      <c r="B1763" s="2669"/>
    </row>
    <row r="1764" spans="2:2" ht="23.25" customHeight="1">
      <c r="B1764" s="2669"/>
    </row>
    <row r="1765" spans="2:2" ht="23.25" customHeight="1">
      <c r="B1765" s="2669"/>
    </row>
    <row r="1766" spans="2:2" ht="23.25" customHeight="1">
      <c r="B1766" s="2669"/>
    </row>
    <row r="1767" spans="2:2" ht="23.25" customHeight="1">
      <c r="B1767" s="2669"/>
    </row>
    <row r="1768" spans="2:2" ht="23.25" customHeight="1">
      <c r="B1768" s="2669"/>
    </row>
    <row r="1769" spans="2:2" ht="23.25" customHeight="1">
      <c r="B1769" s="2669"/>
    </row>
    <row r="1770" spans="2:2" ht="23.25" customHeight="1">
      <c r="B1770" s="2669"/>
    </row>
    <row r="1771" spans="2:2" ht="23.25" customHeight="1">
      <c r="B1771" s="2669"/>
    </row>
    <row r="1772" spans="2:2" ht="23.25" customHeight="1">
      <c r="B1772" s="2669"/>
    </row>
    <row r="1773" spans="2:2" ht="23.25" customHeight="1">
      <c r="B1773" s="2669"/>
    </row>
    <row r="1774" spans="2:2" ht="23.25" customHeight="1">
      <c r="B1774" s="2669"/>
    </row>
    <row r="1775" spans="2:2" ht="23.25" customHeight="1">
      <c r="B1775" s="2669"/>
    </row>
    <row r="1776" spans="2:2" ht="23.25" customHeight="1">
      <c r="B1776" s="2669"/>
    </row>
    <row r="1777" spans="2:2" ht="23.25" customHeight="1">
      <c r="B1777" s="2669"/>
    </row>
    <row r="1778" spans="2:2" ht="23.25" customHeight="1">
      <c r="B1778" s="2669"/>
    </row>
    <row r="1779" spans="2:2" ht="23.25" customHeight="1">
      <c r="B1779" s="2669"/>
    </row>
    <row r="1780" spans="2:2" ht="23.25" customHeight="1">
      <c r="B1780" s="2669"/>
    </row>
    <row r="1781" spans="2:2" ht="23.25" customHeight="1">
      <c r="B1781" s="2669"/>
    </row>
    <row r="1782" spans="2:2" ht="23.25" customHeight="1">
      <c r="B1782" s="2669"/>
    </row>
    <row r="1783" spans="2:2" ht="23.25" customHeight="1">
      <c r="B1783" s="2669"/>
    </row>
    <row r="1784" spans="2:2" ht="23.25" customHeight="1">
      <c r="B1784" s="2669"/>
    </row>
    <row r="1785" spans="2:2" ht="23.25" customHeight="1">
      <c r="B1785" s="2669"/>
    </row>
    <row r="1786" spans="2:2" ht="23.25" customHeight="1">
      <c r="B1786" s="2669"/>
    </row>
    <row r="1787" spans="2:2" ht="23.25" customHeight="1">
      <c r="B1787" s="2669"/>
    </row>
    <row r="1788" spans="2:2" ht="23.25" customHeight="1">
      <c r="B1788" s="2669"/>
    </row>
    <row r="1789" spans="2:2" ht="23.25" customHeight="1">
      <c r="B1789" s="2669"/>
    </row>
    <row r="1790" spans="2:2" ht="23.25" customHeight="1">
      <c r="B1790" s="2669"/>
    </row>
    <row r="1791" spans="2:2" ht="23.25" customHeight="1">
      <c r="B1791" s="2669"/>
    </row>
    <row r="1792" spans="2:2" ht="23.25" customHeight="1">
      <c r="B1792" s="2669"/>
    </row>
    <row r="1793" spans="2:2" ht="23.25" customHeight="1">
      <c r="B1793" s="2669"/>
    </row>
    <row r="1794" spans="2:2" ht="23.25" customHeight="1">
      <c r="B1794" s="2669"/>
    </row>
    <row r="1795" spans="2:2" ht="23.25" customHeight="1">
      <c r="B1795" s="2669"/>
    </row>
    <row r="1796" spans="2:2" ht="23.25" customHeight="1">
      <c r="B1796" s="2669"/>
    </row>
    <row r="1797" spans="2:2" ht="23.25" customHeight="1">
      <c r="B1797" s="2669"/>
    </row>
    <row r="1798" spans="2:2" ht="23.25" customHeight="1">
      <c r="B1798" s="2669"/>
    </row>
    <row r="1799" spans="2:2" ht="23.25" customHeight="1">
      <c r="B1799" s="2669"/>
    </row>
    <row r="1800" spans="2:2" ht="23.25" customHeight="1">
      <c r="B1800" s="2669"/>
    </row>
    <row r="1801" spans="2:2" ht="23.25" customHeight="1">
      <c r="B1801" s="2669"/>
    </row>
    <row r="1802" spans="2:2" ht="23.25" customHeight="1">
      <c r="B1802" s="2669"/>
    </row>
    <row r="1803" spans="2:2" ht="23.25" customHeight="1">
      <c r="B1803" s="2669"/>
    </row>
    <row r="1804" spans="2:2" ht="23.25" customHeight="1">
      <c r="B1804" s="2669"/>
    </row>
    <row r="1805" spans="2:2" ht="23.25" customHeight="1">
      <c r="B1805" s="2669"/>
    </row>
    <row r="1806" spans="2:2" ht="23.25" customHeight="1">
      <c r="B1806" s="2669"/>
    </row>
    <row r="1807" spans="2:2" ht="23.25" customHeight="1">
      <c r="B1807" s="2669"/>
    </row>
    <row r="1808" spans="2:2" ht="23.25" customHeight="1">
      <c r="B1808" s="2669"/>
    </row>
    <row r="1809" spans="2:2" ht="23.25" customHeight="1">
      <c r="B1809" s="2669"/>
    </row>
    <row r="1810" spans="2:2" ht="23.25" customHeight="1">
      <c r="B1810" s="2669"/>
    </row>
    <row r="1811" spans="2:2" ht="23.25" customHeight="1">
      <c r="B1811" s="2669"/>
    </row>
    <row r="1812" spans="2:2" ht="23.25" customHeight="1">
      <c r="B1812" s="2669"/>
    </row>
    <row r="1813" spans="2:2" ht="23.25" customHeight="1">
      <c r="B1813" s="2669"/>
    </row>
    <row r="1814" spans="2:2" ht="23.25" customHeight="1">
      <c r="B1814" s="2669"/>
    </row>
    <row r="1815" spans="2:2" ht="23.25" customHeight="1">
      <c r="B1815" s="2669"/>
    </row>
    <row r="1816" spans="2:2" ht="23.25" customHeight="1">
      <c r="B1816" s="2669"/>
    </row>
    <row r="1817" spans="2:2" ht="23.25" customHeight="1">
      <c r="B1817" s="2669"/>
    </row>
    <row r="1818" spans="2:2" ht="23.25" customHeight="1">
      <c r="B1818" s="2669"/>
    </row>
    <row r="1819" spans="2:2" ht="23.25" customHeight="1">
      <c r="B1819" s="2669"/>
    </row>
    <row r="1820" spans="2:2" ht="23.25" customHeight="1">
      <c r="B1820" s="2669"/>
    </row>
    <row r="1821" spans="2:2" ht="23.25" customHeight="1">
      <c r="B1821" s="2669"/>
    </row>
    <row r="1822" spans="2:2" ht="23.25" customHeight="1">
      <c r="B1822" s="2669"/>
    </row>
    <row r="1823" spans="2:2" ht="23.25" customHeight="1">
      <c r="B1823" s="2669"/>
    </row>
    <row r="1824" spans="2:2" ht="23.25" customHeight="1">
      <c r="B1824" s="2669"/>
    </row>
    <row r="1825" spans="2:2" ht="23.25" customHeight="1">
      <c r="B1825" s="2669"/>
    </row>
    <row r="1826" spans="2:2" ht="23.25" customHeight="1">
      <c r="B1826" s="2669"/>
    </row>
    <row r="1827" spans="2:2" ht="23.25" customHeight="1">
      <c r="B1827" s="2669"/>
    </row>
    <row r="1828" spans="2:2" ht="23.25" customHeight="1">
      <c r="B1828" s="2669"/>
    </row>
    <row r="1829" spans="2:2" ht="23.25" customHeight="1">
      <c r="B1829" s="2669"/>
    </row>
    <row r="1830" spans="2:2" ht="23.25" customHeight="1">
      <c r="B1830" s="2669"/>
    </row>
    <row r="1831" spans="2:2" ht="23.25" customHeight="1">
      <c r="B1831" s="2669"/>
    </row>
    <row r="1832" spans="2:2" ht="23.25" customHeight="1">
      <c r="B1832" s="2669"/>
    </row>
    <row r="1833" spans="2:2" ht="23.25" customHeight="1">
      <c r="B1833" s="2669"/>
    </row>
    <row r="1834" spans="2:2" ht="23.25" customHeight="1">
      <c r="B1834" s="2669"/>
    </row>
    <row r="1835" spans="2:2" ht="23.25" customHeight="1">
      <c r="B1835" s="2669"/>
    </row>
    <row r="1836" spans="2:2" ht="23.25" customHeight="1">
      <c r="B1836" s="2669"/>
    </row>
    <row r="1837" spans="2:2" ht="23.25" customHeight="1">
      <c r="B1837" s="2669"/>
    </row>
    <row r="1838" spans="2:2" ht="23.25" customHeight="1">
      <c r="B1838" s="2669"/>
    </row>
    <row r="1839" spans="2:2" ht="23.25" customHeight="1">
      <c r="B1839" s="2669"/>
    </row>
    <row r="1840" spans="2:2" ht="23.25" customHeight="1">
      <c r="B1840" s="2669"/>
    </row>
    <row r="1841" spans="2:2" ht="23.25" customHeight="1">
      <c r="B1841" s="2669"/>
    </row>
    <row r="1842" spans="2:2" ht="23.25" customHeight="1">
      <c r="B1842" s="2669"/>
    </row>
    <row r="1843" spans="2:2" ht="23.25" customHeight="1">
      <c r="B1843" s="2669"/>
    </row>
    <row r="1844" spans="2:2" ht="23.25" customHeight="1">
      <c r="B1844" s="2669"/>
    </row>
    <row r="1845" spans="2:2" ht="23.25" customHeight="1">
      <c r="B1845" s="2669"/>
    </row>
    <row r="1846" spans="2:2" ht="23.25" customHeight="1">
      <c r="B1846" s="2669"/>
    </row>
    <row r="1847" spans="2:2" ht="23.25" customHeight="1">
      <c r="B1847" s="2669"/>
    </row>
    <row r="1848" spans="2:2" ht="23.25" customHeight="1">
      <c r="B1848" s="2669"/>
    </row>
    <row r="1849" spans="2:2" ht="23.25" customHeight="1">
      <c r="B1849" s="2669"/>
    </row>
    <row r="1850" spans="2:2" ht="23.25" customHeight="1">
      <c r="B1850" s="2669"/>
    </row>
    <row r="1851" spans="2:2" ht="23.25" customHeight="1">
      <c r="B1851" s="2669"/>
    </row>
    <row r="1852" spans="2:2" ht="23.25" customHeight="1">
      <c r="B1852" s="2669"/>
    </row>
    <row r="1853" spans="2:2" ht="23.25" customHeight="1">
      <c r="B1853" s="2669"/>
    </row>
    <row r="1854" spans="2:2" ht="23.25" customHeight="1">
      <c r="B1854" s="2669"/>
    </row>
    <row r="1855" spans="2:2" ht="23.25" customHeight="1">
      <c r="B1855" s="2669"/>
    </row>
    <row r="1856" spans="2:2" ht="23.25" customHeight="1">
      <c r="B1856" s="2669"/>
    </row>
    <row r="1857" spans="2:2" ht="23.25" customHeight="1">
      <c r="B1857" s="2669"/>
    </row>
    <row r="1858" spans="2:2" ht="23.25" customHeight="1">
      <c r="B1858" s="2669"/>
    </row>
    <row r="1859" spans="2:2" ht="23.25" customHeight="1">
      <c r="B1859" s="2669"/>
    </row>
    <row r="1860" spans="2:2" ht="23.25" customHeight="1">
      <c r="B1860" s="2669"/>
    </row>
    <row r="1861" spans="2:2" ht="23.25" customHeight="1">
      <c r="B1861" s="2669"/>
    </row>
    <row r="1862" spans="2:2" ht="23.25" customHeight="1">
      <c r="B1862" s="2669"/>
    </row>
    <row r="1863" spans="2:2" ht="23.25" customHeight="1">
      <c r="B1863" s="2669"/>
    </row>
    <row r="1864" spans="2:2" ht="23.25" customHeight="1">
      <c r="B1864" s="2669"/>
    </row>
    <row r="1865" spans="2:2" ht="23.25" customHeight="1">
      <c r="B1865" s="2669"/>
    </row>
    <row r="1866" spans="2:2" ht="23.25" customHeight="1">
      <c r="B1866" s="2669"/>
    </row>
    <row r="1867" spans="2:2" ht="23.25" customHeight="1">
      <c r="B1867" s="2669"/>
    </row>
    <row r="1868" spans="2:2" ht="23.25" customHeight="1">
      <c r="B1868" s="2669"/>
    </row>
    <row r="1869" spans="2:2" ht="23.25" customHeight="1">
      <c r="B1869" s="2669"/>
    </row>
    <row r="1870" spans="2:2" ht="23.25" customHeight="1">
      <c r="B1870" s="2669"/>
    </row>
    <row r="1871" spans="2:2" ht="23.25" customHeight="1">
      <c r="B1871" s="2669"/>
    </row>
    <row r="1872" spans="2:2" ht="23.25" customHeight="1">
      <c r="B1872" s="2669"/>
    </row>
    <row r="1873" spans="2:2" ht="23.25" customHeight="1">
      <c r="B1873" s="2669"/>
    </row>
    <row r="1874" spans="2:2" ht="23.25" customHeight="1">
      <c r="B1874" s="2669"/>
    </row>
    <row r="1875" spans="2:2" ht="23.25" customHeight="1">
      <c r="B1875" s="2669"/>
    </row>
    <row r="1876" spans="2:2" ht="23.25" customHeight="1">
      <c r="B1876" s="2669"/>
    </row>
    <row r="1877" spans="2:2" ht="23.25" customHeight="1">
      <c r="B1877" s="2669"/>
    </row>
    <row r="1878" spans="2:2" ht="23.25" customHeight="1">
      <c r="B1878" s="2669"/>
    </row>
    <row r="1879" spans="2:2" ht="23.25" customHeight="1">
      <c r="B1879" s="2669"/>
    </row>
    <row r="1880" spans="2:2" ht="23.25" customHeight="1">
      <c r="B1880" s="2669"/>
    </row>
    <row r="1881" spans="2:2" ht="23.25" customHeight="1">
      <c r="B1881" s="2669"/>
    </row>
    <row r="1882" spans="2:2" ht="23.25" customHeight="1">
      <c r="B1882" s="2669"/>
    </row>
    <row r="1883" spans="2:2" ht="23.25" customHeight="1">
      <c r="B1883" s="2669"/>
    </row>
    <row r="1884" spans="2:2" ht="23.25" customHeight="1">
      <c r="B1884" s="2669"/>
    </row>
    <row r="1885" spans="2:2" ht="23.25" customHeight="1">
      <c r="B1885" s="2669"/>
    </row>
    <row r="1886" spans="2:2" ht="23.25" customHeight="1">
      <c r="B1886" s="2669"/>
    </row>
    <row r="1887" spans="2:2" ht="23.25" customHeight="1">
      <c r="B1887" s="2669"/>
    </row>
    <row r="1888" spans="2:2" ht="23.25" customHeight="1">
      <c r="B1888" s="2669"/>
    </row>
    <row r="1889" spans="2:2" ht="23.25" customHeight="1">
      <c r="B1889" s="2669"/>
    </row>
    <row r="1890" spans="2:2" ht="23.25" customHeight="1">
      <c r="B1890" s="2669"/>
    </row>
    <row r="1891" spans="2:2" ht="23.25" customHeight="1">
      <c r="B1891" s="2669"/>
    </row>
    <row r="1892" spans="2:2" ht="23.25" customHeight="1">
      <c r="B1892" s="2669"/>
    </row>
    <row r="1893" spans="2:2" ht="23.25" customHeight="1">
      <c r="B1893" s="2669"/>
    </row>
    <row r="1894" spans="2:2" ht="23.25" customHeight="1">
      <c r="B1894" s="2669"/>
    </row>
    <row r="1895" spans="2:2" ht="23.25" customHeight="1">
      <c r="B1895" s="2669"/>
    </row>
    <row r="1896" spans="2:2" ht="23.25" customHeight="1">
      <c r="B1896" s="2669"/>
    </row>
    <row r="1897" spans="2:2" ht="23.25" customHeight="1">
      <c r="B1897" s="2669"/>
    </row>
    <row r="1898" spans="2:2" ht="23.25" customHeight="1">
      <c r="B1898" s="2669"/>
    </row>
    <row r="1899" spans="2:2" ht="23.25" customHeight="1">
      <c r="B1899" s="2669"/>
    </row>
    <row r="1900" spans="2:2" ht="23.25" customHeight="1">
      <c r="B1900" s="2669"/>
    </row>
    <row r="1901" spans="2:2" ht="23.25" customHeight="1">
      <c r="B1901" s="2669"/>
    </row>
    <row r="1902" spans="2:2" ht="23.25" customHeight="1">
      <c r="B1902" s="2669"/>
    </row>
    <row r="1903" spans="2:2" ht="23.25" customHeight="1">
      <c r="B1903" s="2669"/>
    </row>
    <row r="1904" spans="2:2" ht="23.25" customHeight="1">
      <c r="B1904" s="2669"/>
    </row>
    <row r="1905" spans="2:2" ht="23.25" customHeight="1">
      <c r="B1905" s="2669"/>
    </row>
    <row r="1906" spans="2:2" ht="23.25" customHeight="1">
      <c r="B1906" s="2669"/>
    </row>
    <row r="1907" spans="2:2" ht="23.25" customHeight="1">
      <c r="B1907" s="2669"/>
    </row>
    <row r="1908" spans="2:2" ht="23.25" customHeight="1">
      <c r="B1908" s="2669"/>
    </row>
    <row r="1909" spans="2:2" ht="23.25" customHeight="1">
      <c r="B1909" s="2669"/>
    </row>
    <row r="1910" spans="2:2" ht="23.25" customHeight="1">
      <c r="B1910" s="2669"/>
    </row>
    <row r="1911" spans="2:2" ht="23.25" customHeight="1">
      <c r="B1911" s="2669"/>
    </row>
    <row r="1912" spans="2:2" ht="23.25" customHeight="1">
      <c r="B1912" s="2669"/>
    </row>
    <row r="1913" spans="2:2" ht="23.25" customHeight="1">
      <c r="B1913" s="2669"/>
    </row>
    <row r="1914" spans="2:2" ht="23.25" customHeight="1">
      <c r="B1914" s="2669"/>
    </row>
    <row r="1915" spans="2:2" ht="23.25" customHeight="1">
      <c r="B1915" s="2669"/>
    </row>
    <row r="1916" spans="2:2" ht="23.25" customHeight="1">
      <c r="B1916" s="2669"/>
    </row>
    <row r="1917" spans="2:2" ht="23.25" customHeight="1">
      <c r="B1917" s="2669"/>
    </row>
    <row r="1918" spans="2:2" ht="23.25" customHeight="1">
      <c r="B1918" s="2669"/>
    </row>
    <row r="1919" spans="2:2" ht="23.25" customHeight="1">
      <c r="B1919" s="2669"/>
    </row>
    <row r="1920" spans="2:2" ht="23.25" customHeight="1">
      <c r="B1920" s="2669"/>
    </row>
    <row r="1921" spans="2:2" ht="23.25" customHeight="1">
      <c r="B1921" s="2669"/>
    </row>
    <row r="1922" spans="2:2" ht="23.25" customHeight="1">
      <c r="B1922" s="2669"/>
    </row>
    <row r="1923" spans="2:2" ht="23.25" customHeight="1">
      <c r="B1923" s="2669"/>
    </row>
    <row r="1924" spans="2:2" ht="23.25" customHeight="1">
      <c r="B1924" s="2669"/>
    </row>
    <row r="1925" spans="2:2" ht="23.25" customHeight="1">
      <c r="B1925" s="2669"/>
    </row>
    <row r="1926" spans="2:2" ht="23.25" customHeight="1">
      <c r="B1926" s="2669"/>
    </row>
    <row r="1927" spans="2:2" ht="23.25" customHeight="1">
      <c r="B1927" s="2669"/>
    </row>
    <row r="1928" spans="2:2" ht="23.25" customHeight="1">
      <c r="B1928" s="2669"/>
    </row>
    <row r="1929" spans="2:2" ht="23.25" customHeight="1">
      <c r="B1929" s="2669"/>
    </row>
    <row r="1930" spans="2:2" ht="23.25" customHeight="1">
      <c r="B1930" s="2669"/>
    </row>
    <row r="1931" spans="2:2" ht="23.25" customHeight="1">
      <c r="B1931" s="2669"/>
    </row>
    <row r="1932" spans="2:2" ht="23.25" customHeight="1">
      <c r="B1932" s="2669"/>
    </row>
    <row r="1933" spans="2:2" ht="23.25" customHeight="1">
      <c r="B1933" s="2669"/>
    </row>
    <row r="1934" spans="2:2" ht="23.25" customHeight="1">
      <c r="B1934" s="2669"/>
    </row>
    <row r="1935" spans="2:2" ht="23.25" customHeight="1">
      <c r="B1935" s="2669"/>
    </row>
    <row r="1936" spans="2:2" ht="23.25" customHeight="1">
      <c r="B1936" s="2669"/>
    </row>
    <row r="1937" spans="2:2" ht="23.25" customHeight="1">
      <c r="B1937" s="2669"/>
    </row>
    <row r="1938" spans="2:2" ht="23.25" customHeight="1">
      <c r="B1938" s="2669"/>
    </row>
    <row r="1939" spans="2:2" ht="23.25" customHeight="1">
      <c r="B1939" s="2669"/>
    </row>
    <row r="1940" spans="2:2" ht="23.25" customHeight="1">
      <c r="B1940" s="2669"/>
    </row>
    <row r="1941" spans="2:2" ht="23.25" customHeight="1">
      <c r="B1941" s="2669"/>
    </row>
    <row r="1942" spans="2:2" ht="23.25" customHeight="1">
      <c r="B1942" s="2669"/>
    </row>
    <row r="1943" spans="2:2" ht="23.25" customHeight="1">
      <c r="B1943" s="2669"/>
    </row>
    <row r="1944" spans="2:2" ht="23.25" customHeight="1">
      <c r="B1944" s="2669"/>
    </row>
    <row r="1945" spans="2:2" ht="23.25" customHeight="1">
      <c r="B1945" s="2669"/>
    </row>
    <row r="1946" spans="2:2" ht="23.25" customHeight="1">
      <c r="B1946" s="2669"/>
    </row>
    <row r="1947" spans="2:2" ht="23.25" customHeight="1">
      <c r="B1947" s="2669"/>
    </row>
    <row r="1948" spans="2:2" ht="23.25" customHeight="1">
      <c r="B1948" s="2669"/>
    </row>
    <row r="1949" spans="2:2" ht="23.25" customHeight="1">
      <c r="B1949" s="2669"/>
    </row>
    <row r="1950" spans="2:2" ht="23.25" customHeight="1">
      <c r="B1950" s="2669"/>
    </row>
    <row r="1951" spans="2:2" ht="23.25" customHeight="1">
      <c r="B1951" s="2669"/>
    </row>
    <row r="1952" spans="2:2" ht="23.25" customHeight="1">
      <c r="B1952" s="2669"/>
    </row>
    <row r="1953" spans="2:2" ht="23.25" customHeight="1">
      <c r="B1953" s="2669"/>
    </row>
    <row r="1954" spans="2:2" ht="23.25" customHeight="1">
      <c r="B1954" s="2669"/>
    </row>
    <row r="1955" spans="2:2" ht="23.25" customHeight="1">
      <c r="B1955" s="2669"/>
    </row>
    <row r="1956" spans="2:2" ht="23.25" customHeight="1">
      <c r="B1956" s="2669"/>
    </row>
    <row r="1957" spans="2:2" ht="23.25" customHeight="1">
      <c r="B1957" s="2669"/>
    </row>
    <row r="1958" spans="2:2" ht="23.25" customHeight="1">
      <c r="B1958" s="2669"/>
    </row>
    <row r="1959" spans="2:2" ht="23.25" customHeight="1">
      <c r="B1959" s="2669"/>
    </row>
    <row r="1960" spans="2:2" ht="23.25" customHeight="1">
      <c r="B1960" s="2669"/>
    </row>
    <row r="1961" spans="2:2" ht="23.25" customHeight="1">
      <c r="B1961" s="2669"/>
    </row>
    <row r="1962" spans="2:2" ht="23.25" customHeight="1">
      <c r="B1962" s="2669"/>
    </row>
    <row r="1963" spans="2:2" ht="23.25" customHeight="1">
      <c r="B1963" s="2669"/>
    </row>
    <row r="1964" spans="2:2" ht="23.25" customHeight="1">
      <c r="B1964" s="2669"/>
    </row>
    <row r="1965" spans="2:2" ht="23.25" customHeight="1">
      <c r="B1965" s="2669"/>
    </row>
    <row r="1966" spans="2:2" ht="23.25" customHeight="1">
      <c r="B1966" s="2669"/>
    </row>
    <row r="1967" spans="2:2" ht="23.25" customHeight="1">
      <c r="B1967" s="2669"/>
    </row>
    <row r="1968" spans="2:2" ht="23.25" customHeight="1">
      <c r="B1968" s="2669"/>
    </row>
    <row r="1969" spans="2:2" ht="23.25" customHeight="1">
      <c r="B1969" s="2669"/>
    </row>
    <row r="1970" spans="2:2" ht="23.25" customHeight="1">
      <c r="B1970" s="2669"/>
    </row>
    <row r="1971" spans="2:2" ht="23.25" customHeight="1">
      <c r="B1971" s="2669"/>
    </row>
    <row r="1972" spans="2:2" ht="23.25" customHeight="1">
      <c r="B1972" s="2669"/>
    </row>
    <row r="1973" spans="2:2" ht="23.25" customHeight="1">
      <c r="B1973" s="2669"/>
    </row>
    <row r="1974" spans="2:2" ht="23.25" customHeight="1">
      <c r="B1974" s="2669"/>
    </row>
    <row r="1975" spans="2:2" ht="23.25" customHeight="1">
      <c r="B1975" s="2669"/>
    </row>
    <row r="1976" spans="2:2" ht="23.25" customHeight="1">
      <c r="B1976" s="2669"/>
    </row>
    <row r="1977" spans="2:2" ht="23.25" customHeight="1">
      <c r="B1977" s="2669"/>
    </row>
    <row r="1978" spans="2:2" ht="23.25" customHeight="1">
      <c r="B1978" s="2669"/>
    </row>
    <row r="1979" spans="2:2" ht="23.25" customHeight="1">
      <c r="B1979" s="2669"/>
    </row>
    <row r="1980" spans="2:2" ht="23.25" customHeight="1">
      <c r="B1980" s="2669"/>
    </row>
    <row r="1981" spans="2:2" ht="23.25" customHeight="1">
      <c r="B1981" s="2669"/>
    </row>
    <row r="1982" spans="2:2" ht="23.25" customHeight="1">
      <c r="B1982" s="2669"/>
    </row>
    <row r="1983" spans="2:2" ht="23.25" customHeight="1">
      <c r="B1983" s="2669"/>
    </row>
    <row r="1984" spans="2:2" ht="23.25" customHeight="1">
      <c r="B1984" s="2669"/>
    </row>
    <row r="1985" spans="2:2" ht="23.25" customHeight="1">
      <c r="B1985" s="2669"/>
    </row>
    <row r="1986" spans="2:2" ht="23.25" customHeight="1">
      <c r="B1986" s="2669"/>
    </row>
    <row r="1987" spans="2:2" ht="23.25" customHeight="1">
      <c r="B1987" s="2669"/>
    </row>
    <row r="1988" spans="2:2" ht="23.25" customHeight="1">
      <c r="B1988" s="2669"/>
    </row>
    <row r="1989" spans="2:2" ht="23.25" customHeight="1">
      <c r="B1989" s="2669"/>
    </row>
    <row r="1990" spans="2:2" ht="23.25" customHeight="1">
      <c r="B1990" s="2669"/>
    </row>
    <row r="1991" spans="2:2" ht="23.25" customHeight="1">
      <c r="B1991" s="2669"/>
    </row>
    <row r="1992" spans="2:2" ht="23.25" customHeight="1">
      <c r="B1992" s="2669"/>
    </row>
    <row r="1993" spans="2:2" ht="23.25" customHeight="1">
      <c r="B1993" s="2669"/>
    </row>
    <row r="1994" spans="2:2" ht="23.25" customHeight="1">
      <c r="B1994" s="2669"/>
    </row>
    <row r="1995" spans="2:2" ht="23.25" customHeight="1">
      <c r="B1995" s="2669"/>
    </row>
    <row r="1996" spans="2:2" ht="23.25" customHeight="1">
      <c r="B1996" s="2669"/>
    </row>
    <row r="1997" spans="2:2" ht="23.25" customHeight="1">
      <c r="B1997" s="2669"/>
    </row>
    <row r="1998" spans="2:2" ht="23.25" customHeight="1">
      <c r="B1998" s="2669"/>
    </row>
    <row r="1999" spans="2:2" ht="23.25" customHeight="1">
      <c r="B1999" s="2669"/>
    </row>
    <row r="2000" spans="2:2" ht="23.25" customHeight="1">
      <c r="B2000" s="2669"/>
    </row>
    <row r="2001" spans="2:2" ht="23.25" customHeight="1">
      <c r="B2001" s="2669"/>
    </row>
    <row r="2002" spans="2:2" ht="23.25" customHeight="1">
      <c r="B2002" s="2669"/>
    </row>
    <row r="2003" spans="2:2" ht="23.25" customHeight="1">
      <c r="B2003" s="2669"/>
    </row>
    <row r="2004" spans="2:2" ht="23.25" customHeight="1">
      <c r="B2004" s="2669"/>
    </row>
    <row r="2005" spans="2:2" ht="23.25" customHeight="1">
      <c r="B2005" s="2669"/>
    </row>
    <row r="2006" spans="2:2" ht="23.25" customHeight="1">
      <c r="B2006" s="2669"/>
    </row>
    <row r="2007" spans="2:2" ht="23.25" customHeight="1">
      <c r="B2007" s="2669"/>
    </row>
    <row r="2008" spans="2:2" ht="23.25" customHeight="1">
      <c r="B2008" s="2669"/>
    </row>
    <row r="2009" spans="2:2" ht="23.25" customHeight="1">
      <c r="B2009" s="2669"/>
    </row>
    <row r="2010" spans="2:2" ht="23.25" customHeight="1">
      <c r="B2010" s="2669"/>
    </row>
    <row r="2011" spans="2:2" ht="23.25" customHeight="1">
      <c r="B2011" s="2669"/>
    </row>
    <row r="2012" spans="2:2" ht="23.25" customHeight="1">
      <c r="B2012" s="2669"/>
    </row>
    <row r="2013" spans="2:2" ht="23.25" customHeight="1">
      <c r="B2013" s="2669"/>
    </row>
    <row r="2014" spans="2:2" ht="23.25" customHeight="1">
      <c r="B2014" s="2669"/>
    </row>
    <row r="2015" spans="2:2" ht="23.25" customHeight="1">
      <c r="B2015" s="2669"/>
    </row>
    <row r="2016" spans="2:2" ht="23.25" customHeight="1">
      <c r="B2016" s="2669"/>
    </row>
    <row r="2017" spans="2:2" ht="23.25" customHeight="1">
      <c r="B2017" s="2669"/>
    </row>
    <row r="2018" spans="2:2" ht="23.25" customHeight="1">
      <c r="B2018" s="2669"/>
    </row>
    <row r="2019" spans="2:2" ht="23.25" customHeight="1">
      <c r="B2019" s="2669"/>
    </row>
    <row r="2020" spans="2:2" ht="23.25" customHeight="1">
      <c r="B2020" s="2669"/>
    </row>
    <row r="2021" spans="2:2" ht="23.25" customHeight="1">
      <c r="B2021" s="2669"/>
    </row>
    <row r="2022" spans="2:2" ht="23.25" customHeight="1">
      <c r="B2022" s="2669"/>
    </row>
    <row r="2023" spans="2:2" ht="23.25" customHeight="1">
      <c r="B2023" s="2669"/>
    </row>
    <row r="2024" spans="2:2" ht="23.25" customHeight="1">
      <c r="B2024" s="2669"/>
    </row>
    <row r="2025" spans="2:2" ht="23.25" customHeight="1">
      <c r="B2025" s="2669"/>
    </row>
    <row r="2026" spans="2:2" ht="23.25" customHeight="1">
      <c r="B2026" s="2669"/>
    </row>
    <row r="2027" spans="2:2" ht="23.25" customHeight="1">
      <c r="B2027" s="2669"/>
    </row>
    <row r="2028" spans="2:2" ht="23.25" customHeight="1">
      <c r="B2028" s="2669"/>
    </row>
    <row r="2029" spans="2:2" ht="23.25" customHeight="1">
      <c r="B2029" s="2669"/>
    </row>
    <row r="2030" spans="2:2" ht="23.25" customHeight="1">
      <c r="B2030" s="2669"/>
    </row>
    <row r="2031" spans="2:2" ht="23.25" customHeight="1">
      <c r="B2031" s="2669"/>
    </row>
    <row r="2032" spans="2:2" ht="23.25" customHeight="1">
      <c r="B2032" s="2669"/>
    </row>
    <row r="2033" spans="2:2" ht="23.25" customHeight="1">
      <c r="B2033" s="2669"/>
    </row>
    <row r="2034" spans="2:2" ht="23.25" customHeight="1">
      <c r="B2034" s="2669"/>
    </row>
    <row r="2035" spans="2:2" ht="23.25" customHeight="1">
      <c r="B2035" s="2669"/>
    </row>
    <row r="2036" spans="2:2" ht="23.25" customHeight="1">
      <c r="B2036" s="2669"/>
    </row>
    <row r="2037" spans="2:2" ht="23.25" customHeight="1">
      <c r="B2037" s="2669"/>
    </row>
    <row r="2038" spans="2:2" ht="23.25" customHeight="1">
      <c r="B2038" s="2669"/>
    </row>
    <row r="2039" spans="2:2" ht="23.25" customHeight="1">
      <c r="B2039" s="2669"/>
    </row>
    <row r="2040" spans="2:2" ht="23.25" customHeight="1">
      <c r="B2040" s="2669"/>
    </row>
    <row r="2041" spans="2:2" ht="23.25" customHeight="1">
      <c r="B2041" s="2669"/>
    </row>
    <row r="2042" spans="2:2" ht="23.25" customHeight="1">
      <c r="B2042" s="2669"/>
    </row>
    <row r="2043" spans="2:2" ht="23.25" customHeight="1">
      <c r="B2043" s="2669"/>
    </row>
    <row r="2044" spans="2:2" ht="23.25" customHeight="1">
      <c r="B2044" s="2669"/>
    </row>
    <row r="2045" spans="2:2" ht="23.25" customHeight="1">
      <c r="B2045" s="2669"/>
    </row>
    <row r="2046" spans="2:2" ht="23.25" customHeight="1">
      <c r="B2046" s="2669"/>
    </row>
    <row r="2047" spans="2:2" ht="23.25" customHeight="1">
      <c r="B2047" s="2669"/>
    </row>
    <row r="2048" spans="2:2" ht="23.25" customHeight="1">
      <c r="B2048" s="2669"/>
    </row>
    <row r="2049" spans="2:2" ht="23.25" customHeight="1">
      <c r="B2049" s="2669"/>
    </row>
    <row r="2050" spans="2:2" ht="23.25" customHeight="1">
      <c r="B2050" s="2669"/>
    </row>
    <row r="2051" spans="2:2" ht="23.25" customHeight="1">
      <c r="B2051" s="2669"/>
    </row>
    <row r="2052" spans="2:2" ht="23.25" customHeight="1">
      <c r="B2052" s="2669"/>
    </row>
    <row r="2053" spans="2:2" ht="23.25" customHeight="1">
      <c r="B2053" s="2669"/>
    </row>
    <row r="2054" spans="2:2" ht="23.25" customHeight="1">
      <c r="B2054" s="2669"/>
    </row>
    <row r="2055" spans="2:2" ht="23.25" customHeight="1">
      <c r="B2055" s="2669"/>
    </row>
    <row r="2056" spans="2:2" ht="23.25" customHeight="1">
      <c r="B2056" s="2669"/>
    </row>
    <row r="2057" spans="2:2" ht="23.25" customHeight="1">
      <c r="B2057" s="2669"/>
    </row>
    <row r="2058" spans="2:2" ht="23.25" customHeight="1">
      <c r="B2058" s="2669"/>
    </row>
    <row r="2059" spans="2:2" ht="23.25" customHeight="1">
      <c r="B2059" s="2669"/>
    </row>
    <row r="2060" spans="2:2" ht="23.25" customHeight="1">
      <c r="B2060" s="2669"/>
    </row>
    <row r="2061" spans="2:2" ht="23.25" customHeight="1">
      <c r="B2061" s="2669"/>
    </row>
    <row r="2062" spans="2:2" ht="23.25" customHeight="1">
      <c r="B2062" s="2669"/>
    </row>
    <row r="2063" spans="2:2" ht="23.25" customHeight="1">
      <c r="B2063" s="2669"/>
    </row>
    <row r="2064" spans="2:2" ht="23.25" customHeight="1">
      <c r="B2064" s="2669"/>
    </row>
    <row r="2065" spans="2:2" ht="23.25" customHeight="1">
      <c r="B2065" s="2669"/>
    </row>
    <row r="2066" spans="2:2" ht="23.25" customHeight="1">
      <c r="B2066" s="2669"/>
    </row>
    <row r="2067" spans="2:2" ht="23.25" customHeight="1">
      <c r="B2067" s="2669"/>
    </row>
    <row r="2068" spans="2:2" ht="23.25" customHeight="1">
      <c r="B2068" s="2669"/>
    </row>
    <row r="2069" spans="2:2" ht="23.25" customHeight="1">
      <c r="B2069" s="2669"/>
    </row>
    <row r="2070" spans="2:2" ht="23.25" customHeight="1">
      <c r="B2070" s="2669"/>
    </row>
    <row r="2071" spans="2:2" ht="23.25" customHeight="1">
      <c r="B2071" s="2669"/>
    </row>
    <row r="2072" spans="2:2" ht="23.25" customHeight="1">
      <c r="B2072" s="2669"/>
    </row>
    <row r="2073" spans="2:2" ht="23.25" customHeight="1">
      <c r="B2073" s="2669"/>
    </row>
    <row r="2074" spans="2:2" ht="23.25" customHeight="1">
      <c r="B2074" s="2669"/>
    </row>
    <row r="2075" spans="2:2" ht="23.25" customHeight="1">
      <c r="B2075" s="2669"/>
    </row>
    <row r="2076" spans="2:2" ht="23.25" customHeight="1">
      <c r="B2076" s="2669"/>
    </row>
    <row r="2077" spans="2:2" ht="23.25" customHeight="1">
      <c r="B2077" s="2669"/>
    </row>
    <row r="2078" spans="2:2" ht="23.25" customHeight="1">
      <c r="B2078" s="2669"/>
    </row>
    <row r="2079" spans="2:2" ht="23.25" customHeight="1">
      <c r="B2079" s="2669"/>
    </row>
    <row r="2080" spans="2:2" ht="23.25" customHeight="1">
      <c r="B2080" s="2669"/>
    </row>
    <row r="2081" spans="2:2" ht="23.25" customHeight="1">
      <c r="B2081" s="2669"/>
    </row>
    <row r="2082" spans="2:2" ht="23.25" customHeight="1">
      <c r="B2082" s="2669"/>
    </row>
    <row r="2083" spans="2:2" ht="23.25" customHeight="1">
      <c r="B2083" s="2669"/>
    </row>
    <row r="2084" spans="2:2" ht="23.25" customHeight="1">
      <c r="B2084" s="2669"/>
    </row>
    <row r="2085" spans="2:2" ht="23.25" customHeight="1">
      <c r="B2085" s="2669"/>
    </row>
    <row r="2086" spans="2:2" ht="23.25" customHeight="1">
      <c r="B2086" s="2669"/>
    </row>
    <row r="2087" spans="2:2" ht="23.25" customHeight="1">
      <c r="B2087" s="2669"/>
    </row>
    <row r="2088" spans="2:2" ht="23.25" customHeight="1">
      <c r="B2088" s="2669"/>
    </row>
    <row r="2089" spans="2:2" ht="23.25" customHeight="1">
      <c r="B2089" s="2669"/>
    </row>
    <row r="2090" spans="2:2" ht="23.25" customHeight="1">
      <c r="B2090" s="2669"/>
    </row>
    <row r="2091" spans="2:2" ht="23.25" customHeight="1">
      <c r="B2091" s="2669"/>
    </row>
    <row r="2092" spans="2:2" ht="23.25" customHeight="1">
      <c r="B2092" s="2669"/>
    </row>
    <row r="2093" spans="2:2" ht="23.25" customHeight="1">
      <c r="B2093" s="2669"/>
    </row>
    <row r="2094" spans="2:2" ht="23.25" customHeight="1">
      <c r="B2094" s="2669"/>
    </row>
    <row r="2095" spans="2:2" ht="23.25" customHeight="1">
      <c r="B2095" s="2669"/>
    </row>
    <row r="2096" spans="2:2" ht="23.25" customHeight="1">
      <c r="B2096" s="2669"/>
    </row>
    <row r="2097" spans="2:2" ht="23.25" customHeight="1">
      <c r="B2097" s="2669"/>
    </row>
    <row r="2098" spans="2:2" ht="23.25" customHeight="1">
      <c r="B2098" s="2669"/>
    </row>
    <row r="2099" spans="2:2" ht="23.25" customHeight="1">
      <c r="B2099" s="2669"/>
    </row>
    <row r="2100" spans="2:2" ht="23.25" customHeight="1">
      <c r="B2100" s="2669"/>
    </row>
    <row r="2101" spans="2:2" ht="23.25" customHeight="1">
      <c r="B2101" s="2669"/>
    </row>
    <row r="2102" spans="2:2" ht="23.25" customHeight="1">
      <c r="B2102" s="2669"/>
    </row>
    <row r="2103" spans="2:2" ht="23.25" customHeight="1">
      <c r="B2103" s="2669"/>
    </row>
    <row r="2104" spans="2:2" ht="23.25" customHeight="1">
      <c r="B2104" s="2669"/>
    </row>
    <row r="2105" spans="2:2" ht="23.25" customHeight="1">
      <c r="B2105" s="2669"/>
    </row>
    <row r="2106" spans="2:2" ht="23.25" customHeight="1">
      <c r="B2106" s="2669"/>
    </row>
    <row r="2107" spans="2:2" ht="23.25" customHeight="1">
      <c r="B2107" s="2669"/>
    </row>
    <row r="2108" spans="2:2" ht="23.25" customHeight="1">
      <c r="B2108" s="2669"/>
    </row>
    <row r="2109" spans="2:2" ht="23.25" customHeight="1">
      <c r="B2109" s="2669"/>
    </row>
    <row r="2110" spans="2:2" ht="23.25" customHeight="1">
      <c r="B2110" s="2669"/>
    </row>
    <row r="2111" spans="2:2" ht="23.25" customHeight="1">
      <c r="B2111" s="2669"/>
    </row>
    <row r="2112" spans="2:2" ht="23.25" customHeight="1">
      <c r="B2112" s="2669"/>
    </row>
    <row r="2113" spans="2:2" ht="23.25" customHeight="1">
      <c r="B2113" s="2669"/>
    </row>
    <row r="2114" spans="2:2" ht="23.25" customHeight="1">
      <c r="B2114" s="2669"/>
    </row>
    <row r="2115" spans="2:2" ht="23.25" customHeight="1">
      <c r="B2115" s="2669"/>
    </row>
    <row r="2116" spans="2:2" ht="23.25" customHeight="1">
      <c r="B2116" s="2669"/>
    </row>
    <row r="2117" spans="2:2" ht="23.25" customHeight="1">
      <c r="B2117" s="2669"/>
    </row>
    <row r="2118" spans="2:2" ht="23.25" customHeight="1">
      <c r="B2118" s="2669"/>
    </row>
    <row r="2119" spans="2:2" ht="23.25" customHeight="1">
      <c r="B2119" s="2669"/>
    </row>
    <row r="2120" spans="2:2" ht="23.25" customHeight="1">
      <c r="B2120" s="2669"/>
    </row>
    <row r="2121" spans="2:2" ht="23.25" customHeight="1">
      <c r="B2121" s="2669"/>
    </row>
    <row r="2122" spans="2:2" ht="23.25" customHeight="1">
      <c r="B2122" s="2669"/>
    </row>
    <row r="2123" spans="2:2" ht="23.25" customHeight="1">
      <c r="B2123" s="2669"/>
    </row>
    <row r="2124" spans="2:2" ht="23.25" customHeight="1">
      <c r="B2124" s="2669"/>
    </row>
    <row r="2125" spans="2:2" ht="23.25" customHeight="1">
      <c r="B2125" s="2669"/>
    </row>
    <row r="2126" spans="2:2" ht="23.25" customHeight="1">
      <c r="B2126" s="2669"/>
    </row>
    <row r="2127" spans="2:2" ht="23.25" customHeight="1">
      <c r="B2127" s="2669"/>
    </row>
    <row r="2128" spans="2:2" ht="23.25" customHeight="1">
      <c r="B2128" s="2669"/>
    </row>
    <row r="2129" spans="2:2" ht="23.25" customHeight="1">
      <c r="B2129" s="2669"/>
    </row>
    <row r="2130" spans="2:2" ht="23.25" customHeight="1">
      <c r="B2130" s="2669"/>
    </row>
    <row r="2131" spans="2:2" ht="23.25" customHeight="1">
      <c r="B2131" s="2669"/>
    </row>
    <row r="2132" spans="2:2" ht="23.25" customHeight="1">
      <c r="B2132" s="2669"/>
    </row>
    <row r="2133" spans="2:2" ht="23.25" customHeight="1">
      <c r="B2133" s="2669"/>
    </row>
    <row r="2134" spans="2:2" ht="23.25" customHeight="1">
      <c r="B2134" s="2669"/>
    </row>
    <row r="2135" spans="2:2" ht="23.25" customHeight="1">
      <c r="B2135" s="2669"/>
    </row>
    <row r="2136" spans="2:2" ht="23.25" customHeight="1">
      <c r="B2136" s="2669"/>
    </row>
    <row r="2137" spans="2:2" ht="23.25" customHeight="1">
      <c r="B2137" s="2669"/>
    </row>
    <row r="2138" spans="2:2" ht="23.25" customHeight="1">
      <c r="B2138" s="2669"/>
    </row>
    <row r="2139" spans="2:2" ht="23.25" customHeight="1">
      <c r="B2139" s="2669"/>
    </row>
    <row r="2140" spans="2:2" ht="23.25" customHeight="1">
      <c r="B2140" s="2669"/>
    </row>
    <row r="2141" spans="2:2" ht="23.25" customHeight="1">
      <c r="B2141" s="2669"/>
    </row>
    <row r="2142" spans="2:2" ht="23.25" customHeight="1">
      <c r="B2142" s="2669"/>
    </row>
    <row r="2143" spans="2:2" ht="23.25" customHeight="1">
      <c r="B2143" s="2669"/>
    </row>
    <row r="2144" spans="2:2" ht="23.25" customHeight="1">
      <c r="B2144" s="2669"/>
    </row>
    <row r="2145" spans="2:2" ht="23.25" customHeight="1">
      <c r="B2145" s="2669"/>
    </row>
    <row r="2146" spans="2:2" ht="23.25" customHeight="1">
      <c r="B2146" s="2669"/>
    </row>
    <row r="2147" spans="2:2" ht="23.25" customHeight="1">
      <c r="B2147" s="2669"/>
    </row>
    <row r="2148" spans="2:2" ht="23.25" customHeight="1">
      <c r="B2148" s="2669"/>
    </row>
    <row r="2149" spans="2:2" ht="23.25" customHeight="1">
      <c r="B2149" s="2669"/>
    </row>
    <row r="2150" spans="2:2" ht="23.25" customHeight="1">
      <c r="B2150" s="2669"/>
    </row>
    <row r="2151" spans="2:2" ht="23.25" customHeight="1">
      <c r="B2151" s="2669"/>
    </row>
    <row r="2152" spans="2:2" ht="23.25" customHeight="1">
      <c r="B2152" s="2669"/>
    </row>
    <row r="2153" spans="2:2" ht="23.25" customHeight="1">
      <c r="B2153" s="2669"/>
    </row>
    <row r="2154" spans="2:2" ht="23.25" customHeight="1">
      <c r="B2154" s="2669"/>
    </row>
    <row r="2155" spans="2:2" ht="23.25" customHeight="1">
      <c r="B2155" s="2669"/>
    </row>
    <row r="2156" spans="2:2" ht="23.25" customHeight="1">
      <c r="B2156" s="2669"/>
    </row>
    <row r="2157" spans="2:2" ht="23.25" customHeight="1">
      <c r="B2157" s="2669"/>
    </row>
    <row r="2158" spans="2:2" ht="23.25" customHeight="1">
      <c r="B2158" s="2669"/>
    </row>
    <row r="2159" spans="2:2" ht="23.25" customHeight="1">
      <c r="B2159" s="2669"/>
    </row>
    <row r="2160" spans="2:2" ht="23.25" customHeight="1">
      <c r="B2160" s="2669"/>
    </row>
    <row r="2161" spans="2:2" ht="23.25" customHeight="1">
      <c r="B2161" s="2669"/>
    </row>
    <row r="2162" spans="2:2" ht="23.25" customHeight="1">
      <c r="B2162" s="2669"/>
    </row>
    <row r="2163" spans="2:2" ht="23.25" customHeight="1">
      <c r="B2163" s="2669"/>
    </row>
    <row r="2164" spans="2:2" ht="23.25" customHeight="1">
      <c r="B2164" s="2669"/>
    </row>
    <row r="2165" spans="2:2" ht="23.25" customHeight="1">
      <c r="B2165" s="2669"/>
    </row>
    <row r="2166" spans="2:2" ht="23.25" customHeight="1">
      <c r="B2166" s="2669"/>
    </row>
    <row r="2167" spans="2:2" ht="23.25" customHeight="1">
      <c r="B2167" s="2669"/>
    </row>
    <row r="2168" spans="2:2" ht="23.25" customHeight="1">
      <c r="B2168" s="2669"/>
    </row>
    <row r="2169" spans="2:2" ht="23.25" customHeight="1">
      <c r="B2169" s="2669"/>
    </row>
    <row r="2170" spans="2:2" ht="23.25" customHeight="1">
      <c r="B2170" s="2669"/>
    </row>
    <row r="2171" spans="2:2" ht="23.25" customHeight="1">
      <c r="B2171" s="2669"/>
    </row>
    <row r="2172" spans="2:2" ht="23.25" customHeight="1">
      <c r="B2172" s="2669"/>
    </row>
    <row r="2173" spans="2:2" ht="23.25" customHeight="1">
      <c r="B2173" s="2669"/>
    </row>
    <row r="2174" spans="2:2" ht="23.25" customHeight="1">
      <c r="B2174" s="2669"/>
    </row>
    <row r="2175" spans="2:2" ht="23.25" customHeight="1">
      <c r="B2175" s="2669"/>
    </row>
    <row r="2176" spans="2:2" ht="23.25" customHeight="1">
      <c r="B2176" s="2669"/>
    </row>
    <row r="2177" spans="2:2" ht="23.25" customHeight="1">
      <c r="B2177" s="2669"/>
    </row>
    <row r="2178" spans="2:2" ht="23.25" customHeight="1">
      <c r="B2178" s="2669"/>
    </row>
    <row r="2179" spans="2:2" ht="23.25" customHeight="1">
      <c r="B2179" s="2669"/>
    </row>
    <row r="2180" spans="2:2" ht="23.25" customHeight="1">
      <c r="B2180" s="2669"/>
    </row>
    <row r="2181" spans="2:2" ht="23.25" customHeight="1">
      <c r="B2181" s="2669"/>
    </row>
    <row r="2182" spans="2:2" ht="23.25" customHeight="1">
      <c r="B2182" s="2669"/>
    </row>
    <row r="2183" spans="2:2" ht="23.25" customHeight="1">
      <c r="B2183" s="2669"/>
    </row>
    <row r="2184" spans="2:2" ht="23.25" customHeight="1">
      <c r="B2184" s="2669"/>
    </row>
    <row r="2185" spans="2:2" ht="23.25" customHeight="1">
      <c r="B2185" s="2669"/>
    </row>
    <row r="2186" spans="2:2" ht="23.25" customHeight="1">
      <c r="B2186" s="2669"/>
    </row>
    <row r="2187" spans="2:2" ht="23.25" customHeight="1">
      <c r="B2187" s="2669"/>
    </row>
    <row r="2188" spans="2:2" ht="23.25" customHeight="1">
      <c r="B2188" s="2669"/>
    </row>
    <row r="2189" spans="2:2" ht="23.25" customHeight="1">
      <c r="B2189" s="2669"/>
    </row>
    <row r="2190" spans="2:2" ht="23.25" customHeight="1">
      <c r="B2190" s="2669"/>
    </row>
    <row r="2191" spans="2:2" ht="23.25" customHeight="1">
      <c r="B2191" s="2669"/>
    </row>
    <row r="2192" spans="2:2" ht="23.25" customHeight="1">
      <c r="B2192" s="2669"/>
    </row>
    <row r="2193" spans="2:2" ht="23.25" customHeight="1">
      <c r="B2193" s="2669"/>
    </row>
    <row r="2194" spans="2:2" ht="23.25" customHeight="1">
      <c r="B2194" s="2669"/>
    </row>
    <row r="2195" spans="2:2" ht="23.25" customHeight="1">
      <c r="B2195" s="2669"/>
    </row>
    <row r="2196" spans="2:2" ht="23.25" customHeight="1">
      <c r="B2196" s="2669"/>
    </row>
    <row r="2197" spans="2:2" ht="23.25" customHeight="1">
      <c r="B2197" s="2669"/>
    </row>
    <row r="2198" spans="2:2" ht="23.25" customHeight="1">
      <c r="B2198" s="2669"/>
    </row>
    <row r="2199" spans="2:2" ht="23.25" customHeight="1">
      <c r="B2199" s="2669"/>
    </row>
    <row r="2200" spans="2:2" ht="23.25" customHeight="1">
      <c r="B2200" s="2669"/>
    </row>
    <row r="2201" spans="2:2" ht="23.25" customHeight="1">
      <c r="B2201" s="2669"/>
    </row>
    <row r="2202" spans="2:2" ht="23.25" customHeight="1">
      <c r="B2202" s="2669"/>
    </row>
    <row r="2203" spans="2:2" ht="23.25" customHeight="1">
      <c r="B2203" s="2669"/>
    </row>
    <row r="2204" spans="2:2" ht="23.25" customHeight="1">
      <c r="B2204" s="2669"/>
    </row>
    <row r="2205" spans="2:2" ht="23.25" customHeight="1">
      <c r="B2205" s="2669"/>
    </row>
    <row r="2206" spans="2:2" ht="23.25" customHeight="1">
      <c r="B2206" s="2669"/>
    </row>
    <row r="2207" spans="2:2" ht="23.25" customHeight="1">
      <c r="B2207" s="2669"/>
    </row>
    <row r="2208" spans="2:2" ht="23.25" customHeight="1">
      <c r="B2208" s="2669"/>
    </row>
    <row r="2209" spans="2:2" ht="23.25" customHeight="1">
      <c r="B2209" s="2669"/>
    </row>
    <row r="2210" spans="2:2" ht="23.25" customHeight="1">
      <c r="B2210" s="2669"/>
    </row>
    <row r="2211" spans="2:2" ht="23.25" customHeight="1">
      <c r="B2211" s="2669"/>
    </row>
    <row r="2212" spans="2:2" ht="23.25" customHeight="1">
      <c r="B2212" s="2669"/>
    </row>
    <row r="2213" spans="2:2" ht="23.25" customHeight="1">
      <c r="B2213" s="2669"/>
    </row>
    <row r="2214" spans="2:2" ht="23.25" customHeight="1">
      <c r="B2214" s="2669"/>
    </row>
    <row r="2215" spans="2:2" ht="23.25" customHeight="1">
      <c r="B2215" s="2669"/>
    </row>
    <row r="2216" spans="2:2" ht="23.25" customHeight="1">
      <c r="B2216" s="2669"/>
    </row>
    <row r="2217" spans="2:2" ht="23.25" customHeight="1">
      <c r="B2217" s="2669"/>
    </row>
    <row r="2218" spans="2:2" ht="23.25" customHeight="1">
      <c r="B2218" s="2669"/>
    </row>
    <row r="2219" spans="2:2" ht="23.25" customHeight="1">
      <c r="B2219" s="2669"/>
    </row>
    <row r="2220" spans="2:2" ht="23.25" customHeight="1">
      <c r="B2220" s="2669"/>
    </row>
    <row r="2221" spans="2:2" ht="23.25" customHeight="1">
      <c r="B2221" s="2669"/>
    </row>
    <row r="2222" spans="2:2" ht="23.25" customHeight="1">
      <c r="B2222" s="2669"/>
    </row>
    <row r="2223" spans="2:2" ht="23.25" customHeight="1">
      <c r="B2223" s="2669"/>
    </row>
    <row r="2224" spans="2:2" ht="23.25" customHeight="1">
      <c r="B2224" s="2669"/>
    </row>
    <row r="2225" spans="2:2" ht="23.25" customHeight="1">
      <c r="B2225" s="2669"/>
    </row>
    <row r="2226" spans="2:2" ht="23.25" customHeight="1">
      <c r="B2226" s="2669"/>
    </row>
    <row r="2227" spans="2:2" ht="23.25" customHeight="1">
      <c r="B2227" s="2669"/>
    </row>
    <row r="2228" spans="2:2" ht="23.25" customHeight="1">
      <c r="B2228" s="2669"/>
    </row>
    <row r="2229" spans="2:2" ht="23.25" customHeight="1">
      <c r="B2229" s="2669"/>
    </row>
    <row r="2230" spans="2:2" ht="23.25" customHeight="1">
      <c r="B2230" s="2669"/>
    </row>
    <row r="2231" spans="2:2" ht="23.25" customHeight="1">
      <c r="B2231" s="2669"/>
    </row>
    <row r="2232" spans="2:2" ht="23.25" customHeight="1">
      <c r="B2232" s="2669"/>
    </row>
    <row r="2233" spans="2:2" ht="23.25" customHeight="1">
      <c r="B2233" s="2669"/>
    </row>
    <row r="2234" spans="2:2" ht="23.25" customHeight="1">
      <c r="B2234" s="2669"/>
    </row>
    <row r="2235" spans="2:2" ht="23.25" customHeight="1">
      <c r="B2235" s="2669"/>
    </row>
    <row r="2236" spans="2:2" ht="23.25" customHeight="1">
      <c r="B2236" s="2669"/>
    </row>
    <row r="2237" spans="2:2" ht="23.25" customHeight="1">
      <c r="B2237" s="2669"/>
    </row>
    <row r="2238" spans="2:2" ht="23.25" customHeight="1">
      <c r="B2238" s="2669"/>
    </row>
    <row r="2239" spans="2:2" ht="23.25" customHeight="1">
      <c r="B2239" s="2669"/>
    </row>
    <row r="2240" spans="2:2" ht="23.25" customHeight="1">
      <c r="B2240" s="2669"/>
    </row>
    <row r="2241" spans="2:2" ht="23.25" customHeight="1">
      <c r="B2241" s="2669"/>
    </row>
    <row r="2242" spans="2:2" ht="23.25" customHeight="1">
      <c r="B2242" s="2669"/>
    </row>
    <row r="2243" spans="2:2" ht="23.25" customHeight="1">
      <c r="B2243" s="2669"/>
    </row>
    <row r="2244" spans="2:2" ht="23.25" customHeight="1">
      <c r="B2244" s="2669"/>
    </row>
    <row r="2245" spans="2:2" ht="23.25" customHeight="1">
      <c r="B2245" s="2669"/>
    </row>
    <row r="2246" spans="2:2" ht="23.25" customHeight="1">
      <c r="B2246" s="2669"/>
    </row>
    <row r="2247" spans="2:2" ht="23.25" customHeight="1">
      <c r="B2247" s="2669"/>
    </row>
    <row r="2248" spans="2:2" ht="23.25" customHeight="1">
      <c r="B2248" s="2669"/>
    </row>
    <row r="2249" spans="2:2" ht="23.25" customHeight="1">
      <c r="B2249" s="2669"/>
    </row>
    <row r="2250" spans="2:2" ht="23.25" customHeight="1">
      <c r="B2250" s="2669"/>
    </row>
    <row r="2251" spans="2:2" ht="23.25" customHeight="1">
      <c r="B2251" s="2669"/>
    </row>
    <row r="2252" spans="2:2" ht="23.25" customHeight="1">
      <c r="B2252" s="2669"/>
    </row>
    <row r="2253" spans="2:2" ht="23.25" customHeight="1">
      <c r="B2253" s="2669"/>
    </row>
    <row r="2254" spans="2:2" ht="23.25" customHeight="1">
      <c r="B2254" s="2669"/>
    </row>
    <row r="2255" spans="2:2" ht="23.25" customHeight="1">
      <c r="B2255" s="2669"/>
    </row>
    <row r="2256" spans="2:2" ht="23.25" customHeight="1">
      <c r="B2256" s="2669"/>
    </row>
    <row r="2257" spans="2:2" ht="23.25" customHeight="1">
      <c r="B2257" s="2669"/>
    </row>
    <row r="2258" spans="2:2" ht="23.25" customHeight="1">
      <c r="B2258" s="2669"/>
    </row>
    <row r="2259" spans="2:2" ht="23.25" customHeight="1">
      <c r="B2259" s="2669"/>
    </row>
    <row r="2260" spans="2:2" ht="23.25" customHeight="1">
      <c r="B2260" s="2669"/>
    </row>
    <row r="2261" spans="2:2" ht="23.25" customHeight="1">
      <c r="B2261" s="2669"/>
    </row>
    <row r="2262" spans="2:2" ht="23.25" customHeight="1">
      <c r="B2262" s="2669"/>
    </row>
    <row r="2263" spans="2:2" ht="23.25" customHeight="1">
      <c r="B2263" s="2669"/>
    </row>
    <row r="2264" spans="2:2" ht="23.25" customHeight="1">
      <c r="B2264" s="2669"/>
    </row>
    <row r="2265" spans="2:2" ht="23.25" customHeight="1">
      <c r="B2265" s="2669"/>
    </row>
    <row r="2266" spans="2:2" ht="23.25" customHeight="1">
      <c r="B2266" s="2669"/>
    </row>
    <row r="2267" spans="2:2" ht="23.25" customHeight="1">
      <c r="B2267" s="2669"/>
    </row>
    <row r="2268" spans="2:2" ht="23.25" customHeight="1">
      <c r="B2268" s="2669"/>
    </row>
    <row r="2269" spans="2:2" ht="23.25" customHeight="1">
      <c r="B2269" s="2669"/>
    </row>
    <row r="2270" spans="2:2" ht="23.25" customHeight="1">
      <c r="B2270" s="2669"/>
    </row>
    <row r="2271" spans="2:2" ht="23.25" customHeight="1">
      <c r="B2271" s="2669"/>
    </row>
    <row r="2272" spans="2:2" ht="23.25" customHeight="1">
      <c r="B2272" s="2669"/>
    </row>
    <row r="2273" spans="2:2" ht="23.25" customHeight="1">
      <c r="B2273" s="2669"/>
    </row>
    <row r="2274" spans="2:2" ht="23.25" customHeight="1">
      <c r="B2274" s="2669"/>
    </row>
    <row r="2275" spans="2:2" ht="23.25" customHeight="1">
      <c r="B2275" s="2669"/>
    </row>
    <row r="2276" spans="2:2" ht="23.25" customHeight="1">
      <c r="B2276" s="2669"/>
    </row>
    <row r="2277" spans="2:2" ht="23.25" customHeight="1">
      <c r="B2277" s="2669"/>
    </row>
    <row r="2278" spans="2:2" ht="23.25" customHeight="1">
      <c r="B2278" s="2669"/>
    </row>
    <row r="2279" spans="2:2" ht="23.25" customHeight="1">
      <c r="B2279" s="2669"/>
    </row>
    <row r="2280" spans="2:2" ht="23.25" customHeight="1">
      <c r="B2280" s="2669"/>
    </row>
    <row r="2281" spans="2:2" ht="23.25" customHeight="1">
      <c r="B2281" s="2669"/>
    </row>
    <row r="2282" spans="2:2" ht="23.25" customHeight="1">
      <c r="B2282" s="2669"/>
    </row>
    <row r="2283" spans="2:2" ht="23.25" customHeight="1">
      <c r="B2283" s="2669"/>
    </row>
    <row r="2284" spans="2:2" ht="23.25" customHeight="1">
      <c r="B2284" s="2669"/>
    </row>
    <row r="2285" spans="2:2" ht="23.25" customHeight="1">
      <c r="B2285" s="2669"/>
    </row>
    <row r="2286" spans="2:2" ht="23.25" customHeight="1">
      <c r="B2286" s="2669"/>
    </row>
    <row r="2287" spans="2:2" ht="23.25" customHeight="1">
      <c r="B2287" s="2669"/>
    </row>
    <row r="2288" spans="2:2" ht="23.25" customHeight="1">
      <c r="B2288" s="2669"/>
    </row>
    <row r="2289" spans="2:2" ht="23.25" customHeight="1">
      <c r="B2289" s="2669"/>
    </row>
    <row r="2290" spans="2:2" ht="23.25" customHeight="1">
      <c r="B2290" s="2669"/>
    </row>
    <row r="2291" spans="2:2" ht="23.25" customHeight="1">
      <c r="B2291" s="2669"/>
    </row>
    <row r="2292" spans="2:2" ht="23.25" customHeight="1">
      <c r="B2292" s="2669"/>
    </row>
    <row r="2293" spans="2:2" ht="23.25" customHeight="1">
      <c r="B2293" s="2669"/>
    </row>
    <row r="2294" spans="2:2" ht="23.25" customHeight="1">
      <c r="B2294" s="2669"/>
    </row>
    <row r="2295" spans="2:2" ht="23.25" customHeight="1">
      <c r="B2295" s="2669"/>
    </row>
    <row r="2296" spans="2:2" ht="23.25" customHeight="1">
      <c r="B2296" s="2669"/>
    </row>
    <row r="2297" spans="2:2" ht="23.25" customHeight="1">
      <c r="B2297" s="2669"/>
    </row>
    <row r="2298" spans="2:2" ht="23.25" customHeight="1">
      <c r="B2298" s="2669"/>
    </row>
    <row r="2299" spans="2:2" ht="23.25" customHeight="1">
      <c r="B2299" s="2669"/>
    </row>
    <row r="2300" spans="2:2" ht="23.25" customHeight="1">
      <c r="B2300" s="2669"/>
    </row>
    <row r="2301" spans="2:2" ht="23.25" customHeight="1">
      <c r="B2301" s="2669"/>
    </row>
    <row r="2302" spans="2:2" ht="23.25" customHeight="1">
      <c r="B2302" s="2669"/>
    </row>
    <row r="2303" spans="2:2" ht="23.25" customHeight="1">
      <c r="B2303" s="2669"/>
    </row>
    <row r="2304" spans="2:2" ht="23.25" customHeight="1">
      <c r="B2304" s="2669"/>
    </row>
    <row r="2305" spans="2:2" ht="23.25" customHeight="1">
      <c r="B2305" s="2669"/>
    </row>
    <row r="2306" spans="2:2" ht="23.25" customHeight="1">
      <c r="B2306" s="2669"/>
    </row>
    <row r="2307" spans="2:2" ht="23.25" customHeight="1">
      <c r="B2307" s="2669"/>
    </row>
    <row r="2308" spans="2:2" ht="23.25" customHeight="1">
      <c r="B2308" s="2669"/>
    </row>
    <row r="2309" spans="2:2" ht="23.25" customHeight="1">
      <c r="B2309" s="2669"/>
    </row>
    <row r="2310" spans="2:2" ht="23.25" customHeight="1">
      <c r="B2310" s="2669"/>
    </row>
    <row r="2311" spans="2:2" ht="23.25" customHeight="1">
      <c r="B2311" s="2669"/>
    </row>
    <row r="2312" spans="2:2" ht="23.25" customHeight="1">
      <c r="B2312" s="2669"/>
    </row>
    <row r="2313" spans="2:2" ht="23.25" customHeight="1">
      <c r="B2313" s="2669"/>
    </row>
    <row r="2314" spans="2:2" ht="23.25" customHeight="1">
      <c r="B2314" s="2669"/>
    </row>
    <row r="2315" spans="2:2" ht="23.25" customHeight="1">
      <c r="B2315" s="2669"/>
    </row>
    <row r="2316" spans="2:2" ht="23.25" customHeight="1">
      <c r="B2316" s="2669"/>
    </row>
    <row r="2317" spans="2:2" ht="23.25" customHeight="1">
      <c r="B2317" s="2669"/>
    </row>
    <row r="2318" spans="2:2" ht="23.25" customHeight="1">
      <c r="B2318" s="2669"/>
    </row>
    <row r="2319" spans="2:2" ht="23.25" customHeight="1">
      <c r="B2319" s="2669"/>
    </row>
    <row r="2320" spans="2:2" ht="23.25" customHeight="1">
      <c r="B2320" s="2669"/>
    </row>
    <row r="2321" spans="2:2" ht="23.25" customHeight="1">
      <c r="B2321" s="2669"/>
    </row>
    <row r="2322" spans="2:2" ht="23.25" customHeight="1">
      <c r="B2322" s="2669"/>
    </row>
    <row r="2323" spans="2:2" ht="23.25" customHeight="1">
      <c r="B2323" s="2669"/>
    </row>
    <row r="2324" spans="2:2" ht="23.25" customHeight="1">
      <c r="B2324" s="2669"/>
    </row>
    <row r="2325" spans="2:2" ht="23.25" customHeight="1">
      <c r="B2325" s="2669"/>
    </row>
    <row r="2326" spans="2:2" ht="23.25" customHeight="1">
      <c r="B2326" s="2669"/>
    </row>
    <row r="2327" spans="2:2" ht="23.25" customHeight="1">
      <c r="B2327" s="2669"/>
    </row>
    <row r="2328" spans="2:2" ht="23.25" customHeight="1">
      <c r="B2328" s="2669"/>
    </row>
    <row r="2329" spans="2:2" ht="23.25" customHeight="1">
      <c r="B2329" s="2669"/>
    </row>
    <row r="2330" spans="2:2" ht="23.25" customHeight="1">
      <c r="B2330" s="2669"/>
    </row>
    <row r="2331" spans="2:2" ht="23.25" customHeight="1">
      <c r="B2331" s="2669"/>
    </row>
    <row r="2332" spans="2:2" ht="23.25" customHeight="1">
      <c r="B2332" s="2669"/>
    </row>
    <row r="2333" spans="2:2" ht="23.25" customHeight="1">
      <c r="B2333" s="2669"/>
    </row>
    <row r="2334" spans="2:2" ht="23.25" customHeight="1">
      <c r="B2334" s="2669"/>
    </row>
    <row r="2335" spans="2:2" ht="23.25" customHeight="1">
      <c r="B2335" s="2669"/>
    </row>
    <row r="2336" spans="2:2" ht="23.25" customHeight="1">
      <c r="B2336" s="2669"/>
    </row>
    <row r="2337" spans="2:2" ht="23.25" customHeight="1">
      <c r="B2337" s="2669"/>
    </row>
    <row r="2338" spans="2:2" ht="23.25" customHeight="1">
      <c r="B2338" s="2669"/>
    </row>
    <row r="2339" spans="2:2" ht="23.25" customHeight="1">
      <c r="B2339" s="2669"/>
    </row>
    <row r="2340" spans="2:2" ht="23.25" customHeight="1">
      <c r="B2340" s="2669"/>
    </row>
    <row r="2341" spans="2:2" ht="23.25" customHeight="1">
      <c r="B2341" s="2669"/>
    </row>
    <row r="2342" spans="2:2" ht="23.25" customHeight="1">
      <c r="B2342" s="2669"/>
    </row>
    <row r="2343" spans="2:2" ht="23.25" customHeight="1">
      <c r="B2343" s="2669"/>
    </row>
    <row r="2344" spans="2:2" ht="23.25" customHeight="1">
      <c r="B2344" s="2669"/>
    </row>
    <row r="2345" spans="2:2" ht="23.25" customHeight="1">
      <c r="B2345" s="2669"/>
    </row>
    <row r="2346" spans="2:2" ht="23.25" customHeight="1">
      <c r="B2346" s="2669"/>
    </row>
    <row r="2347" spans="2:2" ht="23.25" customHeight="1">
      <c r="B2347" s="2669"/>
    </row>
    <row r="2348" spans="2:2" ht="23.25" customHeight="1">
      <c r="B2348" s="2669"/>
    </row>
    <row r="2349" spans="2:2" ht="23.25" customHeight="1">
      <c r="B2349" s="2669"/>
    </row>
    <row r="2350" spans="2:2" ht="23.25" customHeight="1">
      <c r="B2350" s="2669"/>
    </row>
    <row r="2351" spans="2:2" ht="23.25" customHeight="1">
      <c r="B2351" s="2669"/>
    </row>
    <row r="2352" spans="2:2" ht="23.25" customHeight="1">
      <c r="B2352" s="2669"/>
    </row>
    <row r="2353" spans="2:2" ht="23.25" customHeight="1">
      <c r="B2353" s="2669"/>
    </row>
    <row r="2354" spans="2:2" ht="23.25" customHeight="1">
      <c r="B2354" s="2669"/>
    </row>
    <row r="2355" spans="2:2" ht="23.25" customHeight="1">
      <c r="B2355" s="2669"/>
    </row>
    <row r="2356" spans="2:2" ht="23.25" customHeight="1">
      <c r="B2356" s="2669"/>
    </row>
    <row r="2357" spans="2:2" ht="23.25" customHeight="1">
      <c r="B2357" s="2669"/>
    </row>
    <row r="2358" spans="2:2" ht="23.25" customHeight="1">
      <c r="B2358" s="2669"/>
    </row>
    <row r="2359" spans="2:2" ht="23.25" customHeight="1">
      <c r="B2359" s="2669"/>
    </row>
    <row r="2360" spans="2:2" ht="23.25" customHeight="1">
      <c r="B2360" s="2669"/>
    </row>
    <row r="2361" spans="2:2" ht="23.25" customHeight="1">
      <c r="B2361" s="2669"/>
    </row>
    <row r="2362" spans="2:2" ht="23.25" customHeight="1">
      <c r="B2362" s="2669"/>
    </row>
    <row r="2363" spans="2:2" ht="23.25" customHeight="1">
      <c r="B2363" s="2669"/>
    </row>
    <row r="2364" spans="2:2" ht="23.25" customHeight="1">
      <c r="B2364" s="2669"/>
    </row>
    <row r="2365" spans="2:2" ht="23.25" customHeight="1">
      <c r="B2365" s="2669"/>
    </row>
    <row r="2366" spans="2:2" ht="23.25" customHeight="1">
      <c r="B2366" s="2669"/>
    </row>
    <row r="2367" spans="2:2" ht="23.25" customHeight="1">
      <c r="B2367" s="2669"/>
    </row>
    <row r="2368" spans="2:2" ht="23.25" customHeight="1">
      <c r="B2368" s="2669"/>
    </row>
    <row r="2369" spans="2:2" ht="23.25" customHeight="1">
      <c r="B2369" s="2669"/>
    </row>
    <row r="2370" spans="2:2" ht="23.25" customHeight="1">
      <c r="B2370" s="2669"/>
    </row>
    <row r="2371" spans="2:2" ht="23.25" customHeight="1">
      <c r="B2371" s="2669"/>
    </row>
    <row r="2372" spans="2:2" ht="23.25" customHeight="1">
      <c r="B2372" s="2669"/>
    </row>
    <row r="2373" spans="2:2" ht="23.25" customHeight="1">
      <c r="B2373" s="2669"/>
    </row>
    <row r="2374" spans="2:2" ht="23.25" customHeight="1">
      <c r="B2374" s="2669"/>
    </row>
    <row r="2375" spans="2:2" ht="23.25" customHeight="1">
      <c r="B2375" s="2669"/>
    </row>
    <row r="2376" spans="2:2" ht="23.25" customHeight="1">
      <c r="B2376" s="2669"/>
    </row>
    <row r="2377" spans="2:2" ht="23.25" customHeight="1">
      <c r="B2377" s="2669"/>
    </row>
    <row r="2378" spans="2:2" ht="23.25" customHeight="1">
      <c r="B2378" s="2669"/>
    </row>
    <row r="2379" spans="2:2" ht="23.25" customHeight="1">
      <c r="B2379" s="2669"/>
    </row>
    <row r="2380" spans="2:2" ht="23.25" customHeight="1">
      <c r="B2380" s="2669"/>
    </row>
    <row r="2381" spans="2:2" ht="23.25" customHeight="1">
      <c r="B2381" s="2669"/>
    </row>
    <row r="2382" spans="2:2" ht="23.25" customHeight="1">
      <c r="B2382" s="2669"/>
    </row>
    <row r="2383" spans="2:2" ht="23.25" customHeight="1">
      <c r="B2383" s="2669"/>
    </row>
    <row r="2384" spans="2:2" ht="23.25" customHeight="1">
      <c r="B2384" s="2669"/>
    </row>
    <row r="2385" spans="2:2" ht="23.25" customHeight="1">
      <c r="B2385" s="2669"/>
    </row>
    <row r="2386" spans="2:2" ht="23.25" customHeight="1">
      <c r="B2386" s="2669"/>
    </row>
    <row r="2387" spans="2:2" ht="23.25" customHeight="1">
      <c r="B2387" s="2669"/>
    </row>
    <row r="2388" spans="2:2" ht="23.25" customHeight="1">
      <c r="B2388" s="2669"/>
    </row>
    <row r="2389" spans="2:2" ht="23.25" customHeight="1">
      <c r="B2389" s="2669"/>
    </row>
    <row r="2390" spans="2:2" ht="23.25" customHeight="1">
      <c r="B2390" s="2669"/>
    </row>
    <row r="2391" spans="2:2" ht="23.25" customHeight="1">
      <c r="B2391" s="2669"/>
    </row>
    <row r="2392" spans="2:2" ht="23.25" customHeight="1">
      <c r="B2392" s="2669"/>
    </row>
    <row r="2393" spans="2:2" ht="23.25" customHeight="1">
      <c r="B2393" s="2669"/>
    </row>
    <row r="2394" spans="2:2" ht="23.25" customHeight="1">
      <c r="B2394" s="2669"/>
    </row>
    <row r="2395" spans="2:2" ht="23.25" customHeight="1">
      <c r="B2395" s="2669"/>
    </row>
    <row r="2396" spans="2:2" ht="23.25" customHeight="1">
      <c r="B2396" s="2669"/>
    </row>
    <row r="2397" spans="2:2" ht="23.25" customHeight="1">
      <c r="B2397" s="2669"/>
    </row>
    <row r="2398" spans="2:2" ht="23.25" customHeight="1">
      <c r="B2398" s="2669"/>
    </row>
    <row r="2399" spans="2:2" ht="23.25" customHeight="1">
      <c r="B2399" s="2669"/>
    </row>
    <row r="2400" spans="2:2" ht="23.25" customHeight="1">
      <c r="B2400" s="2669"/>
    </row>
    <row r="2401" spans="2:2" ht="23.25" customHeight="1">
      <c r="B2401" s="2669"/>
    </row>
    <row r="2402" spans="2:2" ht="23.25" customHeight="1">
      <c r="B2402" s="2669"/>
    </row>
    <row r="2403" spans="2:2" ht="23.25" customHeight="1">
      <c r="B2403" s="2669"/>
    </row>
    <row r="2404" spans="2:2" ht="23.25" customHeight="1">
      <c r="B2404" s="2669"/>
    </row>
    <row r="2405" spans="2:2" ht="23.25" customHeight="1">
      <c r="B2405" s="2669"/>
    </row>
    <row r="2406" spans="2:2" ht="23.25" customHeight="1">
      <c r="B2406" s="2669"/>
    </row>
    <row r="2407" spans="2:2" ht="23.25" customHeight="1">
      <c r="B2407" s="2669"/>
    </row>
    <row r="2408" spans="2:2" ht="23.25" customHeight="1">
      <c r="B2408" s="2669"/>
    </row>
    <row r="2409" spans="2:2" ht="23.25" customHeight="1">
      <c r="B2409" s="2669"/>
    </row>
    <row r="2410" spans="2:2" ht="23.25" customHeight="1">
      <c r="B2410" s="2669"/>
    </row>
    <row r="2411" spans="2:2" ht="23.25" customHeight="1">
      <c r="B2411" s="2669"/>
    </row>
    <row r="2412" spans="2:2" ht="23.25" customHeight="1">
      <c r="B2412" s="2669"/>
    </row>
    <row r="2413" spans="2:2" ht="23.25" customHeight="1">
      <c r="B2413" s="2669"/>
    </row>
    <row r="2414" spans="2:2" ht="23.25" customHeight="1">
      <c r="B2414" s="2669"/>
    </row>
    <row r="2415" spans="2:2" ht="23.25" customHeight="1">
      <c r="B2415" s="2669"/>
    </row>
    <row r="2416" spans="2:2" ht="23.25" customHeight="1">
      <c r="B2416" s="2669"/>
    </row>
    <row r="2417" spans="2:2" ht="23.25" customHeight="1">
      <c r="B2417" s="2669"/>
    </row>
    <row r="2418" spans="2:2" ht="23.25" customHeight="1">
      <c r="B2418" s="2669"/>
    </row>
    <row r="2419" spans="2:2" ht="23.25" customHeight="1">
      <c r="B2419" s="2669"/>
    </row>
    <row r="2420" spans="2:2" ht="23.25" customHeight="1">
      <c r="B2420" s="2669"/>
    </row>
    <row r="2421" spans="2:2" ht="23.25" customHeight="1">
      <c r="B2421" s="2669"/>
    </row>
    <row r="2422" spans="2:2" ht="23.25" customHeight="1">
      <c r="B2422" s="2669"/>
    </row>
    <row r="2423" spans="2:2" ht="23.25" customHeight="1">
      <c r="B2423" s="2669"/>
    </row>
    <row r="2424" spans="2:2" ht="23.25" customHeight="1">
      <c r="B2424" s="2669"/>
    </row>
    <row r="2425" spans="2:2" ht="23.25" customHeight="1">
      <c r="B2425" s="2669"/>
    </row>
    <row r="2426" spans="2:2" ht="23.25" customHeight="1">
      <c r="B2426" s="2669"/>
    </row>
    <row r="2427" spans="2:2" ht="23.25" customHeight="1">
      <c r="B2427" s="2669"/>
    </row>
    <row r="2428" spans="2:2" ht="23.25" customHeight="1">
      <c r="B2428" s="2669"/>
    </row>
    <row r="2429" spans="2:2" ht="23.25" customHeight="1">
      <c r="B2429" s="2669"/>
    </row>
    <row r="2430" spans="2:2" ht="23.25" customHeight="1">
      <c r="B2430" s="2669"/>
    </row>
    <row r="2431" spans="2:2" ht="23.25" customHeight="1">
      <c r="B2431" s="2669"/>
    </row>
    <row r="2432" spans="2:2" ht="23.25" customHeight="1">
      <c r="B2432" s="2669"/>
    </row>
    <row r="2433" spans="2:2" ht="23.25" customHeight="1">
      <c r="B2433" s="2669"/>
    </row>
    <row r="2434" spans="2:2" ht="23.25" customHeight="1">
      <c r="B2434" s="2669"/>
    </row>
    <row r="2435" spans="2:2" ht="23.25" customHeight="1">
      <c r="B2435" s="2669"/>
    </row>
    <row r="2436" spans="2:2" ht="23.25" customHeight="1">
      <c r="B2436" s="2669"/>
    </row>
    <row r="2437" spans="2:2" ht="23.25" customHeight="1">
      <c r="B2437" s="2669"/>
    </row>
    <row r="2438" spans="2:2" ht="23.25" customHeight="1">
      <c r="B2438" s="2669"/>
    </row>
    <row r="2439" spans="2:2" ht="23.25" customHeight="1">
      <c r="B2439" s="2669"/>
    </row>
    <row r="2440" spans="2:2" ht="23.25" customHeight="1">
      <c r="B2440" s="2669"/>
    </row>
    <row r="2441" spans="2:2" ht="23.25" customHeight="1">
      <c r="B2441" s="2669"/>
    </row>
    <row r="2442" spans="2:2" ht="23.25" customHeight="1">
      <c r="B2442" s="2669"/>
    </row>
    <row r="2443" spans="2:2" ht="23.25" customHeight="1">
      <c r="B2443" s="2669"/>
    </row>
    <row r="2444" spans="2:2" ht="23.25" customHeight="1">
      <c r="B2444" s="2669"/>
    </row>
    <row r="2445" spans="2:2" ht="23.25" customHeight="1">
      <c r="B2445" s="2669"/>
    </row>
    <row r="2446" spans="2:2" ht="23.25" customHeight="1">
      <c r="B2446" s="2669"/>
    </row>
    <row r="2447" spans="2:2" ht="23.25" customHeight="1">
      <c r="B2447" s="2669"/>
    </row>
    <row r="2448" spans="2:2" ht="23.25" customHeight="1">
      <c r="B2448" s="2669"/>
    </row>
    <row r="2449" spans="2:2" ht="23.25" customHeight="1">
      <c r="B2449" s="2669"/>
    </row>
    <row r="2450" spans="2:2" ht="23.25" customHeight="1">
      <c r="B2450" s="2669"/>
    </row>
    <row r="2451" spans="2:2" ht="23.25" customHeight="1">
      <c r="B2451" s="2669"/>
    </row>
    <row r="2452" spans="2:2" ht="23.25" customHeight="1">
      <c r="B2452" s="2669"/>
    </row>
    <row r="2453" spans="2:2" ht="23.25" customHeight="1">
      <c r="B2453" s="2669"/>
    </row>
    <row r="2454" spans="2:2" ht="23.25" customHeight="1">
      <c r="B2454" s="2669"/>
    </row>
    <row r="2455" spans="2:2" ht="23.25" customHeight="1">
      <c r="B2455" s="2669"/>
    </row>
    <row r="2456" spans="2:2" ht="23.25" customHeight="1">
      <c r="B2456" s="2669"/>
    </row>
    <row r="2457" spans="2:2" ht="23.25" customHeight="1">
      <c r="B2457" s="2669"/>
    </row>
    <row r="2458" spans="2:2" ht="23.25" customHeight="1">
      <c r="B2458" s="2669"/>
    </row>
    <row r="2459" spans="2:2" ht="23.25" customHeight="1">
      <c r="B2459" s="2669"/>
    </row>
    <row r="2460" spans="2:2" ht="23.25" customHeight="1">
      <c r="B2460" s="2669"/>
    </row>
    <row r="2461" spans="2:2" ht="23.25" customHeight="1">
      <c r="B2461" s="2669"/>
    </row>
    <row r="2462" spans="2:2" ht="23.25" customHeight="1">
      <c r="B2462" s="2669"/>
    </row>
    <row r="2463" spans="2:2" ht="23.25" customHeight="1">
      <c r="B2463" s="2669"/>
    </row>
    <row r="2464" spans="2:2" ht="23.25" customHeight="1">
      <c r="B2464" s="2669"/>
    </row>
    <row r="2465" spans="2:2" ht="23.25" customHeight="1">
      <c r="B2465" s="2669"/>
    </row>
    <row r="2466" spans="2:2" ht="23.25" customHeight="1">
      <c r="B2466" s="2669"/>
    </row>
    <row r="2467" spans="2:2" ht="23.25" customHeight="1">
      <c r="B2467" s="2669"/>
    </row>
    <row r="2468" spans="2:2" ht="23.25" customHeight="1">
      <c r="B2468" s="2669"/>
    </row>
    <row r="2469" spans="2:2" ht="23.25" customHeight="1">
      <c r="B2469" s="2669"/>
    </row>
    <row r="2470" spans="2:2" ht="23.25" customHeight="1">
      <c r="B2470" s="2669"/>
    </row>
    <row r="2471" spans="2:2" ht="23.25" customHeight="1">
      <c r="B2471" s="2669"/>
    </row>
    <row r="2472" spans="2:2" ht="23.25" customHeight="1">
      <c r="B2472" s="2669"/>
    </row>
    <row r="2473" spans="2:2" ht="23.25" customHeight="1">
      <c r="B2473" s="2669"/>
    </row>
    <row r="2474" spans="2:2" ht="23.25" customHeight="1">
      <c r="B2474" s="2669"/>
    </row>
    <row r="2475" spans="2:2" ht="23.25" customHeight="1">
      <c r="B2475" s="2669"/>
    </row>
    <row r="2476" spans="2:2" ht="23.25" customHeight="1">
      <c r="B2476" s="2669"/>
    </row>
    <row r="2477" spans="2:2" ht="23.25" customHeight="1">
      <c r="B2477" s="2669"/>
    </row>
    <row r="2478" spans="2:2" ht="23.25" customHeight="1">
      <c r="B2478" s="2669"/>
    </row>
    <row r="2479" spans="2:2" ht="23.25" customHeight="1">
      <c r="B2479" s="2669"/>
    </row>
    <row r="2480" spans="2:2" ht="23.25" customHeight="1">
      <c r="B2480" s="2669"/>
    </row>
    <row r="2481" spans="2:2" ht="23.25" customHeight="1">
      <c r="B2481" s="2669"/>
    </row>
    <row r="2482" spans="2:2" ht="23.25" customHeight="1">
      <c r="B2482" s="2669"/>
    </row>
    <row r="2483" spans="2:2" ht="23.25" customHeight="1">
      <c r="B2483" s="2669"/>
    </row>
    <row r="2484" spans="2:2" ht="23.25" customHeight="1">
      <c r="B2484" s="2669"/>
    </row>
    <row r="2485" spans="2:2" ht="23.25" customHeight="1">
      <c r="B2485" s="2669"/>
    </row>
    <row r="2486" spans="2:2" ht="23.25" customHeight="1">
      <c r="B2486" s="2669"/>
    </row>
    <row r="2487" spans="2:2" ht="23.25" customHeight="1">
      <c r="B2487" s="2669"/>
    </row>
    <row r="2488" spans="2:2" ht="23.25" customHeight="1">
      <c r="B2488" s="2669"/>
    </row>
    <row r="2489" spans="2:2" ht="23.25" customHeight="1">
      <c r="B2489" s="2669"/>
    </row>
    <row r="2490" spans="2:2" ht="23.25" customHeight="1">
      <c r="B2490" s="2669"/>
    </row>
    <row r="2491" spans="2:2" ht="23.25" customHeight="1">
      <c r="B2491" s="2669"/>
    </row>
    <row r="2492" spans="2:2" ht="23.25" customHeight="1">
      <c r="B2492" s="2669"/>
    </row>
    <row r="2493" spans="2:2" ht="23.25" customHeight="1">
      <c r="B2493" s="2669"/>
    </row>
    <row r="2494" spans="2:2" ht="23.25" customHeight="1">
      <c r="B2494" s="2669"/>
    </row>
    <row r="2495" spans="2:2" ht="23.25" customHeight="1">
      <c r="B2495" s="2669"/>
    </row>
    <row r="2496" spans="2:2" ht="23.25" customHeight="1">
      <c r="B2496" s="2669"/>
    </row>
    <row r="2497" spans="2:2" ht="23.25" customHeight="1">
      <c r="B2497" s="2669"/>
    </row>
    <row r="2498" spans="2:2" ht="23.25" customHeight="1">
      <c r="B2498" s="2669"/>
    </row>
    <row r="2499" spans="2:2" ht="23.25" customHeight="1">
      <c r="B2499" s="2669"/>
    </row>
    <row r="2500" spans="2:2" ht="23.25" customHeight="1">
      <c r="B2500" s="2669"/>
    </row>
    <row r="2501" spans="2:2" ht="23.25" customHeight="1">
      <c r="B2501" s="2669"/>
    </row>
    <row r="2502" spans="2:2" ht="23.25" customHeight="1">
      <c r="B2502" s="2669"/>
    </row>
    <row r="2503" spans="2:2" ht="23.25" customHeight="1">
      <c r="B2503" s="2669"/>
    </row>
    <row r="2504" spans="2:2" ht="23.25" customHeight="1">
      <c r="B2504" s="2669"/>
    </row>
    <row r="2505" spans="2:2" ht="23.25" customHeight="1">
      <c r="B2505" s="2669"/>
    </row>
    <row r="2506" spans="2:2" ht="23.25" customHeight="1">
      <c r="B2506" s="2669"/>
    </row>
    <row r="2507" spans="2:2" ht="23.25" customHeight="1">
      <c r="B2507" s="2669"/>
    </row>
    <row r="2508" spans="2:2" ht="23.25" customHeight="1">
      <c r="B2508" s="2669"/>
    </row>
    <row r="2509" spans="2:2" ht="23.25" customHeight="1">
      <c r="B2509" s="2669"/>
    </row>
    <row r="2510" spans="2:2" ht="23.25" customHeight="1">
      <c r="B2510" s="2669"/>
    </row>
    <row r="2511" spans="2:2" ht="23.25" customHeight="1">
      <c r="B2511" s="2669"/>
    </row>
    <row r="2512" spans="2:2" ht="23.25" customHeight="1">
      <c r="B2512" s="2669"/>
    </row>
    <row r="2513" spans="2:2" ht="23.25" customHeight="1">
      <c r="B2513" s="2669"/>
    </row>
    <row r="2514" spans="2:2" ht="23.25" customHeight="1">
      <c r="B2514" s="2669"/>
    </row>
    <row r="2515" spans="2:2" ht="23.25" customHeight="1">
      <c r="B2515" s="2669"/>
    </row>
    <row r="2516" spans="2:2" ht="23.25" customHeight="1">
      <c r="B2516" s="2669"/>
    </row>
    <row r="2517" spans="2:2" ht="23.25" customHeight="1">
      <c r="B2517" s="2669"/>
    </row>
    <row r="2518" spans="2:2" ht="23.25" customHeight="1">
      <c r="B2518" s="2669"/>
    </row>
    <row r="2519" spans="2:2" ht="23.25" customHeight="1">
      <c r="B2519" s="2669"/>
    </row>
    <row r="2520" spans="2:2" ht="23.25" customHeight="1">
      <c r="B2520" s="2669"/>
    </row>
    <row r="2521" spans="2:2" ht="23.25" customHeight="1">
      <c r="B2521" s="2669"/>
    </row>
    <row r="2522" spans="2:2" ht="23.25" customHeight="1">
      <c r="B2522" s="2669"/>
    </row>
    <row r="2523" spans="2:2" ht="23.25" customHeight="1">
      <c r="B2523" s="2669"/>
    </row>
    <row r="2524" spans="2:2" ht="23.25" customHeight="1">
      <c r="B2524" s="2669"/>
    </row>
    <row r="2525" spans="2:2" ht="23.25" customHeight="1">
      <c r="B2525" s="2669"/>
    </row>
    <row r="2526" spans="2:2" ht="23.25" customHeight="1">
      <c r="B2526" s="2669"/>
    </row>
    <row r="2527" spans="2:2" ht="23.25" customHeight="1">
      <c r="B2527" s="2669"/>
    </row>
    <row r="2528" spans="2:2" ht="23.25" customHeight="1">
      <c r="B2528" s="2669"/>
    </row>
    <row r="2529" spans="2:2" ht="23.25" customHeight="1">
      <c r="B2529" s="2669"/>
    </row>
    <row r="2530" spans="2:2" ht="23.25" customHeight="1">
      <c r="B2530" s="2669"/>
    </row>
    <row r="2531" spans="2:2" ht="23.25" customHeight="1">
      <c r="B2531" s="2669"/>
    </row>
    <row r="2532" spans="2:2" ht="23.25" customHeight="1">
      <c r="B2532" s="2669"/>
    </row>
    <row r="2533" spans="2:2" ht="23.25" customHeight="1">
      <c r="B2533" s="2669"/>
    </row>
    <row r="2534" spans="2:2" ht="23.25" customHeight="1">
      <c r="B2534" s="2669"/>
    </row>
    <row r="2535" spans="2:2" ht="23.25" customHeight="1">
      <c r="B2535" s="2669"/>
    </row>
    <row r="2536" spans="2:2" ht="23.25" customHeight="1">
      <c r="B2536" s="2669"/>
    </row>
    <row r="2537" spans="2:2" ht="23.25" customHeight="1">
      <c r="B2537" s="2669"/>
    </row>
    <row r="2538" spans="2:2" ht="23.25" customHeight="1">
      <c r="B2538" s="2669"/>
    </row>
    <row r="2539" spans="2:2" ht="23.25" customHeight="1">
      <c r="B2539" s="2669"/>
    </row>
    <row r="2540" spans="2:2" ht="23.25" customHeight="1">
      <c r="B2540" s="2669"/>
    </row>
    <row r="2541" spans="2:2" ht="23.25" customHeight="1">
      <c r="B2541" s="2669"/>
    </row>
    <row r="2542" spans="2:2" ht="23.25" customHeight="1">
      <c r="B2542" s="2669"/>
    </row>
    <row r="2543" spans="2:2" ht="23.25" customHeight="1">
      <c r="B2543" s="2669"/>
    </row>
    <row r="2544" spans="2:2" ht="23.25" customHeight="1">
      <c r="B2544" s="2669"/>
    </row>
    <row r="2545" spans="2:2" ht="23.25" customHeight="1">
      <c r="B2545" s="2669"/>
    </row>
    <row r="2546" spans="2:2" ht="23.25" customHeight="1">
      <c r="B2546" s="2669"/>
    </row>
    <row r="2547" spans="2:2" ht="23.25" customHeight="1">
      <c r="B2547" s="2669"/>
    </row>
    <row r="2548" spans="2:2" ht="23.25" customHeight="1">
      <c r="B2548" s="2669"/>
    </row>
    <row r="2549" spans="2:2" ht="23.25" customHeight="1">
      <c r="B2549" s="2669"/>
    </row>
    <row r="2550" spans="2:2" ht="23.25" customHeight="1">
      <c r="B2550" s="2669"/>
    </row>
    <row r="2551" spans="2:2" ht="23.25" customHeight="1">
      <c r="B2551" s="2669"/>
    </row>
    <row r="2552" spans="2:2" ht="23.25" customHeight="1">
      <c r="B2552" s="2669"/>
    </row>
    <row r="2553" spans="2:2" ht="23.25" customHeight="1">
      <c r="B2553" s="2669"/>
    </row>
    <row r="2554" spans="2:2" ht="23.25" customHeight="1">
      <c r="B2554" s="2669"/>
    </row>
    <row r="2555" spans="2:2" ht="23.25" customHeight="1">
      <c r="B2555" s="2669"/>
    </row>
    <row r="2556" spans="2:2" ht="23.25" customHeight="1">
      <c r="B2556" s="2669"/>
    </row>
    <row r="2557" spans="2:2" ht="23.25" customHeight="1">
      <c r="B2557" s="2669"/>
    </row>
    <row r="2558" spans="2:2" ht="23.25" customHeight="1">
      <c r="B2558" s="2669"/>
    </row>
    <row r="2559" spans="2:2" ht="23.25" customHeight="1">
      <c r="B2559" s="2669"/>
    </row>
    <row r="2560" spans="2:2" ht="23.25" customHeight="1">
      <c r="B2560" s="2669"/>
    </row>
    <row r="2561" spans="2:2" ht="23.25" customHeight="1">
      <c r="B2561" s="2669"/>
    </row>
    <row r="2562" spans="2:2" ht="23.25" customHeight="1">
      <c r="B2562" s="2669"/>
    </row>
    <row r="2563" spans="2:2" ht="23.25" customHeight="1">
      <c r="B2563" s="2669"/>
    </row>
    <row r="2564" spans="2:2" ht="23.25" customHeight="1">
      <c r="B2564" s="2669"/>
    </row>
    <row r="2565" spans="2:2" ht="23.25" customHeight="1">
      <c r="B2565" s="2669"/>
    </row>
    <row r="2566" spans="2:2" ht="23.25" customHeight="1">
      <c r="B2566" s="2669"/>
    </row>
    <row r="2567" spans="2:2" ht="23.25" customHeight="1">
      <c r="B2567" s="2669"/>
    </row>
    <row r="2568" spans="2:2" ht="23.25" customHeight="1">
      <c r="B2568" s="2669"/>
    </row>
    <row r="2569" spans="2:2" ht="23.25" customHeight="1">
      <c r="B2569" s="2669"/>
    </row>
    <row r="2570" spans="2:2" ht="23.25" customHeight="1">
      <c r="B2570" s="2669"/>
    </row>
    <row r="2571" spans="2:2" ht="23.25" customHeight="1">
      <c r="B2571" s="2669"/>
    </row>
    <row r="2572" spans="2:2" ht="23.25" customHeight="1">
      <c r="B2572" s="2669"/>
    </row>
    <row r="2573" spans="2:2" ht="23.25" customHeight="1">
      <c r="B2573" s="2669"/>
    </row>
    <row r="2574" spans="2:2" ht="23.25" customHeight="1">
      <c r="B2574" s="2669"/>
    </row>
    <row r="2575" spans="2:2" ht="23.25" customHeight="1">
      <c r="B2575" s="2669"/>
    </row>
    <row r="2576" spans="2:2" ht="23.25" customHeight="1">
      <c r="B2576" s="2669"/>
    </row>
    <row r="2577" spans="2:2" ht="23.25" customHeight="1">
      <c r="B2577" s="2669"/>
    </row>
    <row r="2578" spans="2:2" ht="23.25" customHeight="1">
      <c r="B2578" s="2669"/>
    </row>
    <row r="2579" spans="2:2" ht="23.25" customHeight="1">
      <c r="B2579" s="2669"/>
    </row>
    <row r="2580" spans="2:2" ht="23.25" customHeight="1">
      <c r="B2580" s="2669"/>
    </row>
    <row r="2581" spans="2:2" ht="23.25" customHeight="1">
      <c r="B2581" s="2669"/>
    </row>
    <row r="2582" spans="2:2" ht="23.25" customHeight="1">
      <c r="B2582" s="2669"/>
    </row>
    <row r="2583" spans="2:2" ht="23.25" customHeight="1">
      <c r="B2583" s="2669"/>
    </row>
    <row r="2584" spans="2:2" ht="23.25" customHeight="1">
      <c r="B2584" s="2669"/>
    </row>
    <row r="2585" spans="2:2" ht="23.25" customHeight="1">
      <c r="B2585" s="2669"/>
    </row>
    <row r="2586" spans="2:2" ht="23.25" customHeight="1">
      <c r="B2586" s="2669"/>
    </row>
    <row r="2587" spans="2:2" ht="23.25" customHeight="1">
      <c r="B2587" s="2669"/>
    </row>
    <row r="2588" spans="2:2" ht="23.25" customHeight="1">
      <c r="B2588" s="2669"/>
    </row>
    <row r="2589" spans="2:2" ht="23.25" customHeight="1">
      <c r="B2589" s="2669"/>
    </row>
    <row r="2590" spans="2:2" ht="23.25" customHeight="1">
      <c r="B2590" s="2669"/>
    </row>
    <row r="2591" spans="2:2" ht="23.25" customHeight="1">
      <c r="B2591" s="2669"/>
    </row>
    <row r="2592" spans="2:2" ht="23.25" customHeight="1">
      <c r="B2592" s="2669"/>
    </row>
    <row r="2593" spans="2:2" ht="23.25" customHeight="1">
      <c r="B2593" s="2669"/>
    </row>
    <row r="2594" spans="2:2" ht="23.25" customHeight="1">
      <c r="B2594" s="2669"/>
    </row>
    <row r="2595" spans="2:2" ht="23.25" customHeight="1">
      <c r="B2595" s="2669"/>
    </row>
    <row r="2596" spans="2:2" ht="23.25" customHeight="1">
      <c r="B2596" s="2669"/>
    </row>
    <row r="2597" spans="2:2" ht="23.25" customHeight="1">
      <c r="B2597" s="2669"/>
    </row>
    <row r="2598" spans="2:2" ht="23.25" customHeight="1">
      <c r="B2598" s="2669"/>
    </row>
    <row r="2599" spans="2:2" ht="23.25" customHeight="1">
      <c r="B2599" s="2669"/>
    </row>
    <row r="2600" spans="2:2" ht="23.25" customHeight="1">
      <c r="B2600" s="2669"/>
    </row>
    <row r="2601" spans="2:2" ht="23.25" customHeight="1">
      <c r="B2601" s="2669"/>
    </row>
    <row r="2602" spans="2:2" ht="23.25" customHeight="1">
      <c r="B2602" s="2669"/>
    </row>
    <row r="2603" spans="2:2" ht="23.25" customHeight="1">
      <c r="B2603" s="2669"/>
    </row>
    <row r="2604" spans="2:2" ht="23.25" customHeight="1">
      <c r="B2604" s="2669"/>
    </row>
    <row r="2605" spans="2:2" ht="23.25" customHeight="1">
      <c r="B2605" s="2669"/>
    </row>
    <row r="2606" spans="2:2" ht="23.25" customHeight="1">
      <c r="B2606" s="2669"/>
    </row>
    <row r="2607" spans="2:2" ht="23.25" customHeight="1">
      <c r="B2607" s="2669"/>
    </row>
    <row r="2608" spans="2:2" ht="23.25" customHeight="1">
      <c r="B2608" s="2669"/>
    </row>
    <row r="2609" spans="2:2" ht="23.25" customHeight="1">
      <c r="B2609" s="2669"/>
    </row>
    <row r="2610" spans="2:2" ht="23.25" customHeight="1">
      <c r="B2610" s="2669"/>
    </row>
    <row r="2611" spans="2:2" ht="23.25" customHeight="1">
      <c r="B2611" s="2669"/>
    </row>
    <row r="2612" spans="2:2" ht="23.25" customHeight="1">
      <c r="B2612" s="2669"/>
    </row>
    <row r="2613" spans="2:2" ht="23.25" customHeight="1">
      <c r="B2613" s="2669"/>
    </row>
    <row r="2614" spans="2:2" ht="23.25" customHeight="1">
      <c r="B2614" s="2669"/>
    </row>
    <row r="2615" spans="2:2" ht="23.25" customHeight="1">
      <c r="B2615" s="2669"/>
    </row>
    <row r="2616" spans="2:2" ht="23.25" customHeight="1">
      <c r="B2616" s="2669"/>
    </row>
    <row r="2617" spans="2:2" ht="23.25" customHeight="1">
      <c r="B2617" s="2669"/>
    </row>
    <row r="2618" spans="2:2" ht="23.25" customHeight="1">
      <c r="B2618" s="2669"/>
    </row>
    <row r="2619" spans="2:2" ht="23.25" customHeight="1">
      <c r="B2619" s="2669"/>
    </row>
    <row r="2620" spans="2:2" ht="23.25" customHeight="1">
      <c r="B2620" s="2669"/>
    </row>
    <row r="2621" spans="2:2" ht="23.25" customHeight="1">
      <c r="B2621" s="2669"/>
    </row>
    <row r="2622" spans="2:2" ht="23.25" customHeight="1">
      <c r="B2622" s="2669"/>
    </row>
    <row r="2623" spans="2:2" ht="23.25" customHeight="1">
      <c r="B2623" s="2669"/>
    </row>
    <row r="2624" spans="2:2" ht="23.25" customHeight="1">
      <c r="B2624" s="2669"/>
    </row>
    <row r="2625" spans="2:2" ht="23.25" customHeight="1">
      <c r="B2625" s="2669"/>
    </row>
    <row r="2626" spans="2:2" ht="23.25" customHeight="1">
      <c r="B2626" s="2669"/>
    </row>
    <row r="2627" spans="2:2" ht="23.25" customHeight="1">
      <c r="B2627" s="2669"/>
    </row>
    <row r="2628" spans="2:2" ht="23.25" customHeight="1">
      <c r="B2628" s="2669"/>
    </row>
    <row r="2629" spans="2:2" ht="23.25" customHeight="1">
      <c r="B2629" s="2669"/>
    </row>
    <row r="2630" spans="2:2" ht="23.25" customHeight="1">
      <c r="B2630" s="2669"/>
    </row>
    <row r="2631" spans="2:2" ht="23.25" customHeight="1">
      <c r="B2631" s="2669"/>
    </row>
    <row r="2632" spans="2:2" ht="23.25" customHeight="1">
      <c r="B2632" s="2669"/>
    </row>
    <row r="2633" spans="2:2" ht="23.25" customHeight="1">
      <c r="B2633" s="2669"/>
    </row>
    <row r="2634" spans="2:2" ht="23.25" customHeight="1">
      <c r="B2634" s="2669"/>
    </row>
    <row r="2635" spans="2:2" ht="23.25" customHeight="1">
      <c r="B2635" s="2669"/>
    </row>
    <row r="2636" spans="2:2" ht="23.25" customHeight="1">
      <c r="B2636" s="2669"/>
    </row>
    <row r="2637" spans="2:2" ht="23.25" customHeight="1">
      <c r="B2637" s="2669"/>
    </row>
    <row r="2638" spans="2:2" ht="23.25" customHeight="1">
      <c r="B2638" s="2669"/>
    </row>
    <row r="2639" spans="2:2" ht="23.25" customHeight="1">
      <c r="B2639" s="2669"/>
    </row>
    <row r="2640" spans="2:2" ht="23.25" customHeight="1">
      <c r="B2640" s="2669"/>
    </row>
    <row r="2641" spans="2:2" ht="23.25" customHeight="1">
      <c r="B2641" s="2669"/>
    </row>
    <row r="2642" spans="2:2" ht="23.25" customHeight="1">
      <c r="B2642" s="2669"/>
    </row>
    <row r="2643" spans="2:2" ht="23.25" customHeight="1">
      <c r="B2643" s="2669"/>
    </row>
    <row r="2644" spans="2:2" ht="23.25" customHeight="1">
      <c r="B2644" s="2669"/>
    </row>
    <row r="2645" spans="2:2" ht="23.25" customHeight="1">
      <c r="B2645" s="2669"/>
    </row>
    <row r="2646" spans="2:2" ht="23.25" customHeight="1">
      <c r="B2646" s="2669"/>
    </row>
    <row r="2647" spans="2:2" ht="23.25" customHeight="1">
      <c r="B2647" s="2669"/>
    </row>
    <row r="2648" spans="2:2" ht="23.25" customHeight="1">
      <c r="B2648" s="2669"/>
    </row>
    <row r="2649" spans="2:2" ht="23.25" customHeight="1">
      <c r="B2649" s="2669"/>
    </row>
    <row r="2650" spans="2:2" ht="23.25" customHeight="1">
      <c r="B2650" s="2669"/>
    </row>
    <row r="2651" spans="2:2" ht="23.25" customHeight="1">
      <c r="B2651" s="2669"/>
    </row>
    <row r="2652" spans="2:2" ht="23.25" customHeight="1">
      <c r="B2652" s="2669"/>
    </row>
    <row r="2653" spans="2:2" ht="23.25" customHeight="1">
      <c r="B2653" s="2669"/>
    </row>
    <row r="2654" spans="2:2" ht="23.25" customHeight="1">
      <c r="B2654" s="2669"/>
    </row>
    <row r="2655" spans="2:2" ht="23.25" customHeight="1">
      <c r="B2655" s="2669"/>
    </row>
    <row r="2656" spans="2:2" ht="23.25" customHeight="1">
      <c r="B2656" s="2669"/>
    </row>
    <row r="2657" spans="2:2" ht="23.25" customHeight="1">
      <c r="B2657" s="2669"/>
    </row>
    <row r="2658" spans="2:2" ht="23.25" customHeight="1">
      <c r="B2658" s="2669"/>
    </row>
    <row r="2659" spans="2:2" ht="23.25" customHeight="1">
      <c r="B2659" s="2669"/>
    </row>
    <row r="2660" spans="2:2" ht="23.25" customHeight="1">
      <c r="B2660" s="2669"/>
    </row>
    <row r="2661" spans="2:2" ht="23.25" customHeight="1">
      <c r="B2661" s="2669"/>
    </row>
    <row r="2662" spans="2:2" ht="23.25" customHeight="1">
      <c r="B2662" s="2669"/>
    </row>
    <row r="2663" spans="2:2" ht="23.25" customHeight="1">
      <c r="B2663" s="2669"/>
    </row>
    <row r="2664" spans="2:2" ht="23.25" customHeight="1">
      <c r="B2664" s="2669"/>
    </row>
    <row r="2665" spans="2:2" ht="23.25" customHeight="1">
      <c r="B2665" s="2669"/>
    </row>
    <row r="2666" spans="2:2" ht="23.25" customHeight="1">
      <c r="B2666" s="2669"/>
    </row>
    <row r="2667" spans="2:2" ht="23.25" customHeight="1">
      <c r="B2667" s="2669"/>
    </row>
    <row r="2668" spans="2:2" ht="23.25" customHeight="1">
      <c r="B2668" s="2669"/>
    </row>
    <row r="2669" spans="2:2" ht="23.25" customHeight="1">
      <c r="B2669" s="2669"/>
    </row>
    <row r="2670" spans="2:2" ht="23.25" customHeight="1">
      <c r="B2670" s="2669"/>
    </row>
    <row r="2671" spans="2:2" ht="23.25" customHeight="1">
      <c r="B2671" s="2669"/>
    </row>
    <row r="2672" spans="2:2" ht="23.25" customHeight="1">
      <c r="B2672" s="2669"/>
    </row>
    <row r="2673" spans="2:2" ht="23.25" customHeight="1">
      <c r="B2673" s="2669"/>
    </row>
    <row r="2674" spans="2:2" ht="23.25" customHeight="1">
      <c r="B2674" s="2669"/>
    </row>
    <row r="2675" spans="2:2" ht="23.25" customHeight="1">
      <c r="B2675" s="2669"/>
    </row>
    <row r="2676" spans="2:2" ht="23.25" customHeight="1">
      <c r="B2676" s="2669"/>
    </row>
    <row r="2677" spans="2:2" ht="23.25" customHeight="1">
      <c r="B2677" s="2669"/>
    </row>
    <row r="2678" spans="2:2" ht="23.25" customHeight="1">
      <c r="B2678" s="2669"/>
    </row>
    <row r="2679" spans="2:2" ht="23.25" customHeight="1">
      <c r="B2679" s="2669"/>
    </row>
    <row r="2680" spans="2:2" ht="23.25" customHeight="1">
      <c r="B2680" s="2669"/>
    </row>
    <row r="2681" spans="2:2" ht="23.25" customHeight="1">
      <c r="B2681" s="2669"/>
    </row>
    <row r="2682" spans="2:2" ht="23.25" customHeight="1">
      <c r="B2682" s="2669"/>
    </row>
    <row r="2683" spans="2:2" ht="23.25" customHeight="1">
      <c r="B2683" s="2669"/>
    </row>
    <row r="2684" spans="2:2" ht="23.25" customHeight="1">
      <c r="B2684" s="2669"/>
    </row>
    <row r="2685" spans="2:2" ht="23.25" customHeight="1">
      <c r="B2685" s="2669"/>
    </row>
    <row r="2686" spans="2:2" ht="23.25" customHeight="1">
      <c r="B2686" s="2669"/>
    </row>
    <row r="2687" spans="2:2" ht="23.25" customHeight="1">
      <c r="B2687" s="2669"/>
    </row>
    <row r="2688" spans="2:2" ht="23.25" customHeight="1">
      <c r="B2688" s="2669"/>
    </row>
    <row r="2689" spans="2:2" ht="23.25" customHeight="1">
      <c r="B2689" s="2669"/>
    </row>
    <row r="2690" spans="2:2" ht="23.25" customHeight="1">
      <c r="B2690" s="2669"/>
    </row>
    <row r="2691" spans="2:2" ht="23.25" customHeight="1">
      <c r="B2691" s="2669"/>
    </row>
    <row r="2692" spans="2:2" ht="23.25" customHeight="1">
      <c r="B2692" s="2669"/>
    </row>
    <row r="2693" spans="2:2" ht="23.25" customHeight="1">
      <c r="B2693" s="2669"/>
    </row>
    <row r="2694" spans="2:2" ht="23.25" customHeight="1">
      <c r="B2694" s="2669"/>
    </row>
    <row r="2695" spans="2:2" ht="23.25" customHeight="1">
      <c r="B2695" s="2669"/>
    </row>
    <row r="2696" spans="2:2" ht="23.25" customHeight="1">
      <c r="B2696" s="2669"/>
    </row>
    <row r="2697" spans="2:2" ht="23.25" customHeight="1">
      <c r="B2697" s="2669"/>
    </row>
    <row r="2698" spans="2:2" ht="23.25" customHeight="1">
      <c r="B2698" s="2669"/>
    </row>
    <row r="2699" spans="2:2" ht="23.25" customHeight="1">
      <c r="B2699" s="2669"/>
    </row>
    <row r="2700" spans="2:2" ht="23.25" customHeight="1">
      <c r="B2700" s="2669"/>
    </row>
    <row r="2701" spans="2:2" ht="23.25" customHeight="1">
      <c r="B2701" s="2669"/>
    </row>
    <row r="2702" spans="2:2" ht="23.25" customHeight="1">
      <c r="B2702" s="2669"/>
    </row>
    <row r="2703" spans="2:2" ht="23.25" customHeight="1">
      <c r="B2703" s="2669"/>
    </row>
    <row r="2704" spans="2:2" ht="23.25" customHeight="1">
      <c r="B2704" s="2669"/>
    </row>
    <row r="2705" spans="2:2" ht="23.25" customHeight="1">
      <c r="B2705" s="2669"/>
    </row>
    <row r="2706" spans="2:2" ht="23.25" customHeight="1">
      <c r="B2706" s="2669"/>
    </row>
    <row r="2707" spans="2:2" ht="23.25" customHeight="1">
      <c r="B2707" s="2669"/>
    </row>
    <row r="2708" spans="2:2" ht="23.25" customHeight="1">
      <c r="B2708" s="2669"/>
    </row>
    <row r="2709" spans="2:2" ht="23.25" customHeight="1">
      <c r="B2709" s="2669"/>
    </row>
    <row r="2710" spans="2:2" ht="23.25" customHeight="1">
      <c r="B2710" s="2669"/>
    </row>
    <row r="2711" spans="2:2" ht="23.25" customHeight="1">
      <c r="B2711" s="2669"/>
    </row>
    <row r="2712" spans="2:2" ht="23.25" customHeight="1">
      <c r="B2712" s="2669"/>
    </row>
    <row r="2713" spans="2:2" ht="23.25" customHeight="1">
      <c r="B2713" s="2669"/>
    </row>
    <row r="2714" spans="2:2" ht="23.25" customHeight="1">
      <c r="B2714" s="2669"/>
    </row>
    <row r="2715" spans="2:2" ht="23.25" customHeight="1">
      <c r="B2715" s="2669"/>
    </row>
    <row r="2716" spans="2:2" ht="23.25" customHeight="1">
      <c r="B2716" s="2669"/>
    </row>
    <row r="2717" spans="2:2" ht="23.25" customHeight="1">
      <c r="B2717" s="2669"/>
    </row>
    <row r="2718" spans="2:2" ht="23.25" customHeight="1">
      <c r="B2718" s="2669"/>
    </row>
    <row r="2719" spans="2:2" ht="23.25" customHeight="1">
      <c r="B2719" s="2669"/>
    </row>
    <row r="2720" spans="2:2" ht="23.25" customHeight="1">
      <c r="B2720" s="2669"/>
    </row>
    <row r="2721" spans="2:2" ht="23.25" customHeight="1">
      <c r="B2721" s="2669"/>
    </row>
    <row r="2722" spans="2:2" ht="23.25" customHeight="1">
      <c r="B2722" s="2669"/>
    </row>
    <row r="2723" spans="2:2" ht="23.25" customHeight="1">
      <c r="B2723" s="2669"/>
    </row>
    <row r="2724" spans="2:2" ht="23.25" customHeight="1">
      <c r="B2724" s="2669"/>
    </row>
    <row r="2725" spans="2:2" ht="23.25" customHeight="1">
      <c r="B2725" s="2669"/>
    </row>
    <row r="2726" spans="2:2" ht="23.25" customHeight="1">
      <c r="B2726" s="2669"/>
    </row>
    <row r="2727" spans="2:2" ht="23.25" customHeight="1">
      <c r="B2727" s="2669"/>
    </row>
    <row r="2728" spans="2:2" ht="23.25" customHeight="1">
      <c r="B2728" s="2669"/>
    </row>
    <row r="2729" spans="2:2" ht="23.25" customHeight="1">
      <c r="B2729" s="2669"/>
    </row>
    <row r="2730" spans="2:2" ht="23.25" customHeight="1">
      <c r="B2730" s="2669"/>
    </row>
    <row r="2731" spans="2:2" ht="23.25" customHeight="1">
      <c r="B2731" s="2669"/>
    </row>
    <row r="2732" spans="2:2" ht="23.25" customHeight="1">
      <c r="B2732" s="2669"/>
    </row>
    <row r="2733" spans="2:2" ht="23.25" customHeight="1">
      <c r="B2733" s="2669"/>
    </row>
    <row r="2734" spans="2:2" ht="23.25" customHeight="1">
      <c r="B2734" s="2669"/>
    </row>
    <row r="2735" spans="2:2" ht="23.25" customHeight="1">
      <c r="B2735" s="2669"/>
    </row>
    <row r="2736" spans="2:2" ht="23.25" customHeight="1">
      <c r="B2736" s="2669"/>
    </row>
    <row r="2737" spans="2:2" ht="23.25" customHeight="1">
      <c r="B2737" s="2669"/>
    </row>
    <row r="2738" spans="2:2" ht="23.25" customHeight="1">
      <c r="B2738" s="2669"/>
    </row>
    <row r="2739" spans="2:2" ht="23.25" customHeight="1">
      <c r="B2739" s="2669"/>
    </row>
    <row r="2740" spans="2:2" ht="23.25" customHeight="1">
      <c r="B2740" s="2669"/>
    </row>
    <row r="2741" spans="2:2" ht="23.25" customHeight="1">
      <c r="B2741" s="2669"/>
    </row>
    <row r="2742" spans="2:2" ht="23.25" customHeight="1">
      <c r="B2742" s="2669"/>
    </row>
    <row r="2743" spans="2:2" ht="23.25" customHeight="1">
      <c r="B2743" s="2669"/>
    </row>
    <row r="2744" spans="2:2" ht="23.25" customHeight="1">
      <c r="B2744" s="2669"/>
    </row>
    <row r="2745" spans="2:2" ht="23.25" customHeight="1">
      <c r="B2745" s="2669"/>
    </row>
    <row r="2746" spans="2:2" ht="23.25" customHeight="1">
      <c r="B2746" s="2669"/>
    </row>
    <row r="2747" spans="2:2" ht="23.25" customHeight="1">
      <c r="B2747" s="2669"/>
    </row>
    <row r="2748" spans="2:2" ht="23.25" customHeight="1">
      <c r="B2748" s="2669"/>
    </row>
    <row r="2749" spans="2:2" ht="23.25" customHeight="1">
      <c r="B2749" s="2669"/>
    </row>
    <row r="2750" spans="2:2" ht="23.25" customHeight="1">
      <c r="B2750" s="2669"/>
    </row>
    <row r="2751" spans="2:2" ht="23.25" customHeight="1">
      <c r="B2751" s="2669"/>
    </row>
    <row r="2752" spans="2:2" ht="23.25" customHeight="1">
      <c r="B2752" s="2669"/>
    </row>
    <row r="2753" spans="2:2" ht="23.25" customHeight="1">
      <c r="B2753" s="2669"/>
    </row>
    <row r="2754" spans="2:2" ht="23.25" customHeight="1">
      <c r="B2754" s="2669"/>
    </row>
    <row r="2755" spans="2:2" ht="23.25" customHeight="1">
      <c r="B2755" s="2669"/>
    </row>
    <row r="2756" spans="2:2" ht="23.25" customHeight="1">
      <c r="B2756" s="2669"/>
    </row>
    <row r="2757" spans="2:2" ht="23.25" customHeight="1">
      <c r="B2757" s="2669"/>
    </row>
    <row r="2758" spans="2:2" ht="23.25" customHeight="1">
      <c r="B2758" s="2669"/>
    </row>
    <row r="2759" spans="2:2" ht="23.25" customHeight="1">
      <c r="B2759" s="2669"/>
    </row>
    <row r="2760" spans="2:2" ht="23.25" customHeight="1">
      <c r="B2760" s="2669"/>
    </row>
    <row r="2761" spans="2:2" ht="23.25" customHeight="1">
      <c r="B2761" s="2669"/>
    </row>
    <row r="2762" spans="2:2" ht="23.25" customHeight="1">
      <c r="B2762" s="2669"/>
    </row>
    <row r="2763" spans="2:2" ht="23.25" customHeight="1">
      <c r="B2763" s="2669"/>
    </row>
    <row r="2764" spans="2:2" ht="23.25" customHeight="1">
      <c r="B2764" s="2669"/>
    </row>
    <row r="2765" spans="2:2" ht="23.25" customHeight="1">
      <c r="B2765" s="2669"/>
    </row>
    <row r="2766" spans="2:2" ht="23.25" customHeight="1">
      <c r="B2766" s="2669"/>
    </row>
    <row r="2767" spans="2:2" ht="23.25" customHeight="1">
      <c r="B2767" s="2669"/>
    </row>
    <row r="2768" spans="2:2" ht="23.25" customHeight="1">
      <c r="B2768" s="2669"/>
    </row>
    <row r="2769" spans="2:2" ht="23.25" customHeight="1">
      <c r="B2769" s="2669"/>
    </row>
    <row r="2770" spans="2:2" ht="23.25" customHeight="1">
      <c r="B2770" s="2669"/>
    </row>
    <row r="2771" spans="2:2" ht="23.25" customHeight="1">
      <c r="B2771" s="2669"/>
    </row>
    <row r="2772" spans="2:2" ht="23.25" customHeight="1">
      <c r="B2772" s="2669"/>
    </row>
    <row r="2773" spans="2:2" ht="23.25" customHeight="1">
      <c r="B2773" s="2669"/>
    </row>
    <row r="2774" spans="2:2" ht="23.25" customHeight="1">
      <c r="B2774" s="2669"/>
    </row>
    <row r="2775" spans="2:2" ht="23.25" customHeight="1">
      <c r="B2775" s="2669"/>
    </row>
    <row r="2776" spans="2:2" ht="23.25" customHeight="1">
      <c r="B2776" s="2669"/>
    </row>
    <row r="2777" spans="2:2" ht="23.25" customHeight="1">
      <c r="B2777" s="2669"/>
    </row>
    <row r="2778" spans="2:2" ht="23.25" customHeight="1">
      <c r="B2778" s="2669"/>
    </row>
    <row r="2779" spans="2:2" ht="23.25" customHeight="1">
      <c r="B2779" s="2669"/>
    </row>
    <row r="2780" spans="2:2" ht="23.25" customHeight="1">
      <c r="B2780" s="2669"/>
    </row>
    <row r="2781" spans="2:2" ht="23.25" customHeight="1">
      <c r="B2781" s="2669"/>
    </row>
    <row r="2782" spans="2:2" ht="23.25" customHeight="1">
      <c r="B2782" s="2669"/>
    </row>
    <row r="2783" spans="2:2" ht="23.25" customHeight="1">
      <c r="B2783" s="2669"/>
    </row>
    <row r="2784" spans="2:2" ht="23.25" customHeight="1">
      <c r="B2784" s="2669"/>
    </row>
    <row r="2785" spans="2:2" ht="23.25" customHeight="1">
      <c r="B2785" s="2669"/>
    </row>
    <row r="2786" spans="2:2" ht="23.25" customHeight="1">
      <c r="B2786" s="2669"/>
    </row>
    <row r="2787" spans="2:2" ht="23.25" customHeight="1">
      <c r="B2787" s="2669"/>
    </row>
    <row r="2788" spans="2:2" ht="23.25" customHeight="1">
      <c r="B2788" s="2669"/>
    </row>
    <row r="2789" spans="2:2" ht="23.25" customHeight="1">
      <c r="B2789" s="2669"/>
    </row>
    <row r="2790" spans="2:2" ht="23.25" customHeight="1">
      <c r="B2790" s="2669"/>
    </row>
    <row r="2791" spans="2:2" ht="23.25" customHeight="1">
      <c r="B2791" s="2669"/>
    </row>
    <row r="2792" spans="2:2" ht="23.25" customHeight="1">
      <c r="B2792" s="2669"/>
    </row>
    <row r="2793" spans="2:2" ht="23.25" customHeight="1">
      <c r="B2793" s="2669"/>
    </row>
    <row r="2794" spans="2:2" ht="23.25" customHeight="1">
      <c r="B2794" s="2669"/>
    </row>
    <row r="2795" spans="2:2" ht="23.25" customHeight="1">
      <c r="B2795" s="2669"/>
    </row>
    <row r="2796" spans="2:2" ht="23.25" customHeight="1">
      <c r="B2796" s="2669"/>
    </row>
    <row r="2797" spans="2:2" ht="23.25" customHeight="1">
      <c r="B2797" s="2669"/>
    </row>
    <row r="2798" spans="2:2" ht="23.25" customHeight="1">
      <c r="B2798" s="2669"/>
    </row>
    <row r="2799" spans="2:2" ht="23.25" customHeight="1">
      <c r="B2799" s="2669"/>
    </row>
    <row r="2800" spans="2:2" ht="23.25" customHeight="1">
      <c r="B2800" s="2669"/>
    </row>
    <row r="2801" spans="2:2" ht="23.25" customHeight="1">
      <c r="B2801" s="2669"/>
    </row>
    <row r="2802" spans="2:2" ht="23.25" customHeight="1">
      <c r="B2802" s="2669"/>
    </row>
    <row r="2803" spans="2:2" ht="23.25" customHeight="1">
      <c r="B2803" s="2669"/>
    </row>
    <row r="2804" spans="2:2" ht="23.25" customHeight="1">
      <c r="B2804" s="2669"/>
    </row>
    <row r="2805" spans="2:2" ht="23.25" customHeight="1">
      <c r="B2805" s="2669"/>
    </row>
    <row r="2806" spans="2:2" ht="23.25" customHeight="1">
      <c r="B2806" s="2669"/>
    </row>
    <row r="2807" spans="2:2" ht="23.25" customHeight="1">
      <c r="B2807" s="2669"/>
    </row>
    <row r="2808" spans="2:2" ht="23.25" customHeight="1">
      <c r="B2808" s="2669"/>
    </row>
    <row r="2809" spans="2:2" ht="23.25" customHeight="1">
      <c r="B2809" s="2669"/>
    </row>
    <row r="2810" spans="2:2" ht="23.25" customHeight="1">
      <c r="B2810" s="2669"/>
    </row>
    <row r="2811" spans="2:2" ht="23.25" customHeight="1">
      <c r="B2811" s="2669"/>
    </row>
    <row r="2812" spans="2:2" ht="23.25" customHeight="1">
      <c r="B2812" s="2669"/>
    </row>
    <row r="2813" spans="2:2" ht="23.25" customHeight="1">
      <c r="B2813" s="2669"/>
    </row>
    <row r="2814" spans="2:2" ht="23.25" customHeight="1">
      <c r="B2814" s="2669"/>
    </row>
    <row r="2815" spans="2:2" ht="23.25" customHeight="1">
      <c r="B2815" s="2669"/>
    </row>
    <row r="2816" spans="2:2" ht="23.25" customHeight="1">
      <c r="B2816" s="2669"/>
    </row>
    <row r="2817" spans="2:2" ht="23.25" customHeight="1">
      <c r="B2817" s="2669"/>
    </row>
    <row r="2818" spans="2:2" ht="23.25" customHeight="1">
      <c r="B2818" s="2669"/>
    </row>
    <row r="2819" spans="2:2" ht="23.25" customHeight="1">
      <c r="B2819" s="2669"/>
    </row>
    <row r="2820" spans="2:2" ht="23.25" customHeight="1">
      <c r="B2820" s="2669"/>
    </row>
    <row r="2821" spans="2:2" ht="23.25" customHeight="1">
      <c r="B2821" s="2669"/>
    </row>
    <row r="2822" spans="2:2" ht="23.25" customHeight="1">
      <c r="B2822" s="2669"/>
    </row>
    <row r="2823" spans="2:2" ht="23.25" customHeight="1">
      <c r="B2823" s="2669"/>
    </row>
    <row r="2824" spans="2:2" ht="23.25" customHeight="1">
      <c r="B2824" s="2669"/>
    </row>
    <row r="2825" spans="2:2" ht="23.25" customHeight="1">
      <c r="B2825" s="2669"/>
    </row>
    <row r="2826" spans="2:2" ht="23.25" customHeight="1">
      <c r="B2826" s="2669"/>
    </row>
    <row r="2827" spans="2:2" ht="23.25" customHeight="1">
      <c r="B2827" s="2669"/>
    </row>
    <row r="2828" spans="2:2" ht="23.25" customHeight="1">
      <c r="B2828" s="2669"/>
    </row>
    <row r="2829" spans="2:2" ht="23.25" customHeight="1">
      <c r="B2829" s="2669"/>
    </row>
    <row r="2830" spans="2:2" ht="23.25" customHeight="1">
      <c r="B2830" s="2669"/>
    </row>
    <row r="2831" spans="2:2" ht="23.25" customHeight="1">
      <c r="B2831" s="2669"/>
    </row>
    <row r="2832" spans="2:2" ht="23.25" customHeight="1">
      <c r="B2832" s="2669"/>
    </row>
    <row r="2833" spans="2:2" ht="23.25" customHeight="1">
      <c r="B2833" s="2669"/>
    </row>
    <row r="2834" spans="2:2" ht="23.25" customHeight="1">
      <c r="B2834" s="2669"/>
    </row>
    <row r="2835" spans="2:2" ht="23.25" customHeight="1">
      <c r="B2835" s="2669"/>
    </row>
    <row r="2836" spans="2:2" ht="23.25" customHeight="1">
      <c r="B2836" s="2669"/>
    </row>
    <row r="2837" spans="2:2" ht="23.25" customHeight="1">
      <c r="B2837" s="2669"/>
    </row>
    <row r="2838" spans="2:2" ht="23.25" customHeight="1">
      <c r="B2838" s="2669"/>
    </row>
    <row r="2839" spans="2:2" ht="23.25" customHeight="1">
      <c r="B2839" s="2669"/>
    </row>
    <row r="2840" spans="2:2" ht="23.25" customHeight="1">
      <c r="B2840" s="2669"/>
    </row>
    <row r="2841" spans="2:2" ht="23.25" customHeight="1">
      <c r="B2841" s="2669"/>
    </row>
    <row r="2842" spans="2:2" ht="23.25" customHeight="1">
      <c r="B2842" s="2669"/>
    </row>
    <row r="2843" spans="2:2" ht="23.25" customHeight="1">
      <c r="B2843" s="2669"/>
    </row>
    <row r="2844" spans="2:2" ht="23.25" customHeight="1">
      <c r="B2844" s="2669"/>
    </row>
    <row r="2845" spans="2:2" ht="23.25" customHeight="1">
      <c r="B2845" s="2669"/>
    </row>
    <row r="2846" spans="2:2" ht="23.25" customHeight="1">
      <c r="B2846" s="2669"/>
    </row>
    <row r="2847" spans="2:2" ht="23.25" customHeight="1">
      <c r="B2847" s="2669"/>
    </row>
    <row r="2848" spans="2:2" ht="23.25" customHeight="1">
      <c r="B2848" s="2669"/>
    </row>
    <row r="2849" spans="2:2" ht="23.25" customHeight="1">
      <c r="B2849" s="2669"/>
    </row>
    <row r="2850" spans="2:2" ht="23.25" customHeight="1">
      <c r="B2850" s="2669"/>
    </row>
    <row r="2851" spans="2:2" ht="23.25" customHeight="1">
      <c r="B2851" s="2669"/>
    </row>
    <row r="2852" spans="2:2" ht="23.25" customHeight="1">
      <c r="B2852" s="2669"/>
    </row>
    <row r="2853" spans="2:2" ht="23.25" customHeight="1">
      <c r="B2853" s="2669"/>
    </row>
    <row r="2854" spans="2:2" ht="23.25" customHeight="1">
      <c r="B2854" s="2669"/>
    </row>
    <row r="2855" spans="2:2" ht="23.25" customHeight="1">
      <c r="B2855" s="2669"/>
    </row>
    <row r="2856" spans="2:2" ht="23.25" customHeight="1">
      <c r="B2856" s="2669"/>
    </row>
    <row r="2857" spans="2:2" ht="23.25" customHeight="1">
      <c r="B2857" s="2669"/>
    </row>
    <row r="2858" spans="2:2" ht="23.25" customHeight="1">
      <c r="B2858" s="2669"/>
    </row>
    <row r="2859" spans="2:2" ht="23.25" customHeight="1">
      <c r="B2859" s="2669"/>
    </row>
    <row r="2860" spans="2:2" ht="23.25" customHeight="1">
      <c r="B2860" s="2669"/>
    </row>
    <row r="2861" spans="2:2" ht="23.25" customHeight="1">
      <c r="B2861" s="2669"/>
    </row>
    <row r="2862" spans="2:2" ht="23.25" customHeight="1">
      <c r="B2862" s="2669"/>
    </row>
    <row r="2863" spans="2:2" ht="23.25" customHeight="1">
      <c r="B2863" s="2669"/>
    </row>
    <row r="2864" spans="2:2" ht="23.25" customHeight="1">
      <c r="B2864" s="2669"/>
    </row>
    <row r="2865" spans="2:2" ht="23.25" customHeight="1">
      <c r="B2865" s="2669"/>
    </row>
    <row r="2866" spans="2:2" ht="23.25" customHeight="1">
      <c r="B2866" s="2669"/>
    </row>
    <row r="2867" spans="2:2" ht="23.25" customHeight="1">
      <c r="B2867" s="2669"/>
    </row>
    <row r="2868" spans="2:2" ht="23.25" customHeight="1">
      <c r="B2868" s="2669"/>
    </row>
    <row r="2869" spans="2:2" ht="23.25" customHeight="1">
      <c r="B2869" s="2669"/>
    </row>
    <row r="2870" spans="2:2" ht="23.25" customHeight="1">
      <c r="B2870" s="2669"/>
    </row>
    <row r="2871" spans="2:2" ht="23.25" customHeight="1">
      <c r="B2871" s="2669"/>
    </row>
    <row r="2872" spans="2:2" ht="23.25" customHeight="1">
      <c r="B2872" s="2669"/>
    </row>
    <row r="2873" spans="2:2" ht="23.25" customHeight="1">
      <c r="B2873" s="2669"/>
    </row>
    <row r="2874" spans="2:2" ht="23.25" customHeight="1">
      <c r="B2874" s="2669"/>
    </row>
    <row r="2875" spans="2:2" ht="23.25" customHeight="1">
      <c r="B2875" s="2669"/>
    </row>
    <row r="2876" spans="2:2" ht="23.25" customHeight="1">
      <c r="B2876" s="2669"/>
    </row>
    <row r="2877" spans="2:2" ht="23.25" customHeight="1">
      <c r="B2877" s="2669"/>
    </row>
    <row r="2878" spans="2:2" ht="23.25" customHeight="1">
      <c r="B2878" s="2669"/>
    </row>
    <row r="2879" spans="2:2" ht="23.25" customHeight="1">
      <c r="B2879" s="2669"/>
    </row>
    <row r="2880" spans="2:2" ht="23.25" customHeight="1">
      <c r="B2880" s="2669"/>
    </row>
    <row r="2881" spans="2:2" ht="23.25" customHeight="1">
      <c r="B2881" s="2669"/>
    </row>
    <row r="2882" spans="2:2" ht="23.25" customHeight="1">
      <c r="B2882" s="2669"/>
    </row>
    <row r="2883" spans="2:2" ht="23.25" customHeight="1">
      <c r="B2883" s="2669"/>
    </row>
    <row r="2884" spans="2:2" ht="23.25" customHeight="1">
      <c r="B2884" s="2669"/>
    </row>
    <row r="2885" spans="2:2" ht="23.25" customHeight="1">
      <c r="B2885" s="2669"/>
    </row>
    <row r="2886" spans="2:2" ht="23.25" customHeight="1">
      <c r="B2886" s="2669"/>
    </row>
    <row r="2887" spans="2:2" ht="23.25" customHeight="1">
      <c r="B2887" s="2669"/>
    </row>
    <row r="2888" spans="2:2" ht="23.25" customHeight="1">
      <c r="B2888" s="2669"/>
    </row>
    <row r="2889" spans="2:2" ht="23.25" customHeight="1">
      <c r="B2889" s="2669"/>
    </row>
    <row r="2890" spans="2:2" ht="23.25" customHeight="1">
      <c r="B2890" s="2669"/>
    </row>
    <row r="2891" spans="2:2" ht="23.25" customHeight="1">
      <c r="B2891" s="2669"/>
    </row>
    <row r="2892" spans="2:2" ht="23.25" customHeight="1">
      <c r="B2892" s="2669"/>
    </row>
    <row r="2893" spans="2:2" ht="23.25" customHeight="1">
      <c r="B2893" s="2669"/>
    </row>
    <row r="2894" spans="2:2" ht="23.25" customHeight="1">
      <c r="B2894" s="2669"/>
    </row>
    <row r="2895" spans="2:2" ht="23.25" customHeight="1">
      <c r="B2895" s="2669"/>
    </row>
    <row r="2896" spans="2:2" ht="23.25" customHeight="1">
      <c r="B2896" s="2669"/>
    </row>
    <row r="2897" spans="2:2" ht="23.25" customHeight="1">
      <c r="B2897" s="2669"/>
    </row>
    <row r="2898" spans="2:2" ht="23.25" customHeight="1">
      <c r="B2898" s="2669"/>
    </row>
    <row r="2899" spans="2:2" ht="23.25" customHeight="1">
      <c r="B2899" s="2669"/>
    </row>
    <row r="2900" spans="2:2" ht="23.25" customHeight="1">
      <c r="B2900" s="2669"/>
    </row>
    <row r="2901" spans="2:2" ht="23.25" customHeight="1">
      <c r="B2901" s="2669"/>
    </row>
    <row r="2902" spans="2:2" ht="23.25" customHeight="1">
      <c r="B2902" s="2669"/>
    </row>
    <row r="2903" spans="2:2" ht="23.25" customHeight="1">
      <c r="B2903" s="2669"/>
    </row>
    <row r="2904" spans="2:2" ht="23.25" customHeight="1">
      <c r="B2904" s="2669"/>
    </row>
    <row r="2905" spans="2:2" ht="23.25" customHeight="1">
      <c r="B2905" s="2669"/>
    </row>
    <row r="2906" spans="2:2" ht="23.25" customHeight="1">
      <c r="B2906" s="2669"/>
    </row>
    <row r="2907" spans="2:2" ht="23.25" customHeight="1">
      <c r="B2907" s="2669"/>
    </row>
    <row r="2908" spans="2:2" ht="23.25" customHeight="1">
      <c r="B2908" s="2669"/>
    </row>
    <row r="2909" spans="2:2" ht="23.25" customHeight="1">
      <c r="B2909" s="2669"/>
    </row>
    <row r="2910" spans="2:2" ht="23.25" customHeight="1">
      <c r="B2910" s="2669"/>
    </row>
    <row r="2911" spans="2:2" ht="23.25" customHeight="1">
      <c r="B2911" s="2669"/>
    </row>
    <row r="2912" spans="2:2" ht="23.25" customHeight="1">
      <c r="B2912" s="2669"/>
    </row>
    <row r="2913" spans="2:2" ht="23.25" customHeight="1">
      <c r="B2913" s="2669"/>
    </row>
    <row r="2914" spans="2:2" ht="23.25" customHeight="1">
      <c r="B2914" s="2669"/>
    </row>
    <row r="2915" spans="2:2" ht="23.25" customHeight="1">
      <c r="B2915" s="2669"/>
    </row>
    <row r="2916" spans="2:2" ht="23.25" customHeight="1">
      <c r="B2916" s="2669"/>
    </row>
    <row r="2917" spans="2:2" ht="23.25" customHeight="1">
      <c r="B2917" s="2669"/>
    </row>
    <row r="2918" spans="2:2" ht="23.25" customHeight="1">
      <c r="B2918" s="2669"/>
    </row>
    <row r="2919" spans="2:2" ht="23.25" customHeight="1">
      <c r="B2919" s="2669"/>
    </row>
    <row r="2920" spans="2:2" ht="23.25" customHeight="1">
      <c r="B2920" s="2669"/>
    </row>
    <row r="2921" spans="2:2" ht="23.25" customHeight="1">
      <c r="B2921" s="2669"/>
    </row>
    <row r="2922" spans="2:2" ht="23.25" customHeight="1">
      <c r="B2922" s="2669"/>
    </row>
    <row r="2923" spans="2:2" ht="23.25" customHeight="1">
      <c r="B2923" s="2669"/>
    </row>
    <row r="2924" spans="2:2" ht="23.25" customHeight="1">
      <c r="B2924" s="2669"/>
    </row>
    <row r="2925" spans="2:2" ht="23.25" customHeight="1">
      <c r="B2925" s="2669"/>
    </row>
    <row r="2926" spans="2:2" ht="23.25" customHeight="1">
      <c r="B2926" s="2669"/>
    </row>
    <row r="2927" spans="2:2" ht="23.25" customHeight="1">
      <c r="B2927" s="2669"/>
    </row>
    <row r="2928" spans="2:2" ht="23.25" customHeight="1">
      <c r="B2928" s="2669"/>
    </row>
    <row r="2929" spans="2:2" ht="23.25" customHeight="1">
      <c r="B2929" s="2669"/>
    </row>
    <row r="2930" spans="2:2" ht="23.25" customHeight="1">
      <c r="B2930" s="2669"/>
    </row>
    <row r="2931" spans="2:2" ht="23.25" customHeight="1">
      <c r="B2931" s="2669"/>
    </row>
    <row r="2932" spans="2:2" ht="23.25" customHeight="1">
      <c r="B2932" s="2669"/>
    </row>
    <row r="2933" spans="2:2" ht="23.25" customHeight="1">
      <c r="B2933" s="2669"/>
    </row>
    <row r="2934" spans="2:2" ht="23.25" customHeight="1">
      <c r="B2934" s="2669"/>
    </row>
    <row r="2935" spans="2:2" ht="23.25" customHeight="1">
      <c r="B2935" s="2669"/>
    </row>
    <row r="2936" spans="2:2" ht="23.25" customHeight="1">
      <c r="B2936" s="2669"/>
    </row>
    <row r="2937" spans="2:2" ht="23.25" customHeight="1">
      <c r="B2937" s="2669"/>
    </row>
    <row r="2938" spans="2:2" ht="23.25" customHeight="1">
      <c r="B2938" s="2669"/>
    </row>
    <row r="2939" spans="2:2" ht="23.25" customHeight="1">
      <c r="B2939" s="2669"/>
    </row>
    <row r="2940" spans="2:2" ht="23.25" customHeight="1">
      <c r="B2940" s="2669"/>
    </row>
    <row r="2941" spans="2:2" ht="23.25" customHeight="1">
      <c r="B2941" s="2669"/>
    </row>
    <row r="2942" spans="2:2" ht="23.25" customHeight="1">
      <c r="B2942" s="2669"/>
    </row>
    <row r="2943" spans="2:2" ht="23.25" customHeight="1">
      <c r="B2943" s="2669"/>
    </row>
    <row r="2944" spans="2:2" ht="23.25" customHeight="1">
      <c r="B2944" s="2669"/>
    </row>
    <row r="2945" spans="2:2" ht="23.25" customHeight="1">
      <c r="B2945" s="2669"/>
    </row>
    <row r="2946" spans="2:2" ht="23.25" customHeight="1">
      <c r="B2946" s="2669"/>
    </row>
    <row r="2947" spans="2:2" ht="23.25" customHeight="1">
      <c r="B2947" s="2669"/>
    </row>
    <row r="2948" spans="2:2" ht="23.25" customHeight="1">
      <c r="B2948" s="2669"/>
    </row>
    <row r="2949" spans="2:2" ht="23.25" customHeight="1">
      <c r="B2949" s="2669"/>
    </row>
    <row r="2950" spans="2:2" ht="23.25" customHeight="1">
      <c r="B2950" s="2669"/>
    </row>
    <row r="2951" spans="2:2" ht="23.25" customHeight="1">
      <c r="B2951" s="2669"/>
    </row>
    <row r="2952" spans="2:2" ht="23.25" customHeight="1">
      <c r="B2952" s="2669"/>
    </row>
    <row r="2953" spans="2:2" ht="23.25" customHeight="1">
      <c r="B2953" s="2669"/>
    </row>
    <row r="2954" spans="2:2" ht="23.25" customHeight="1">
      <c r="B2954" s="2669"/>
    </row>
    <row r="2955" spans="2:2" ht="23.25" customHeight="1">
      <c r="B2955" s="2669"/>
    </row>
    <row r="2956" spans="2:2" ht="23.25" customHeight="1">
      <c r="B2956" s="2669"/>
    </row>
    <row r="2957" spans="2:2" ht="23.25" customHeight="1">
      <c r="B2957" s="2669"/>
    </row>
    <row r="2958" spans="2:2" ht="23.25" customHeight="1">
      <c r="B2958" s="2669"/>
    </row>
    <row r="2959" spans="2:2" ht="23.25" customHeight="1">
      <c r="B2959" s="2669"/>
    </row>
    <row r="2960" spans="2:2" ht="23.25" customHeight="1">
      <c r="B2960" s="2669"/>
    </row>
    <row r="2961" spans="2:2" ht="23.25" customHeight="1">
      <c r="B2961" s="2669"/>
    </row>
    <row r="2962" spans="2:2" ht="23.25" customHeight="1">
      <c r="B2962" s="2669"/>
    </row>
    <row r="2963" spans="2:2" ht="23.25" customHeight="1">
      <c r="B2963" s="2669"/>
    </row>
    <row r="2964" spans="2:2" ht="23.25" customHeight="1">
      <c r="B2964" s="2669"/>
    </row>
    <row r="2965" spans="2:2" ht="23.25" customHeight="1">
      <c r="B2965" s="2669"/>
    </row>
    <row r="2966" spans="2:2" ht="23.25" customHeight="1">
      <c r="B2966" s="2669"/>
    </row>
    <row r="2967" spans="2:2" ht="23.25" customHeight="1">
      <c r="B2967" s="2669"/>
    </row>
    <row r="2968" spans="2:2" ht="23.25" customHeight="1">
      <c r="B2968" s="2669"/>
    </row>
    <row r="2969" spans="2:2" ht="23.25" customHeight="1">
      <c r="B2969" s="2669"/>
    </row>
    <row r="2970" spans="2:2" ht="23.25" customHeight="1">
      <c r="B2970" s="2669"/>
    </row>
    <row r="2971" spans="2:2" ht="23.25" customHeight="1">
      <c r="B2971" s="2669"/>
    </row>
    <row r="2972" spans="2:2" ht="23.25" customHeight="1">
      <c r="B2972" s="2669"/>
    </row>
    <row r="2973" spans="2:2" ht="23.25" customHeight="1">
      <c r="B2973" s="2669"/>
    </row>
    <row r="2974" spans="2:2" ht="23.25" customHeight="1">
      <c r="B2974" s="2669"/>
    </row>
    <row r="2975" spans="2:2" ht="23.25" customHeight="1">
      <c r="B2975" s="2669"/>
    </row>
    <row r="2976" spans="2:2" ht="23.25" customHeight="1">
      <c r="B2976" s="2669"/>
    </row>
    <row r="2977" spans="2:2" ht="23.25" customHeight="1">
      <c r="B2977" s="2669"/>
    </row>
    <row r="2978" spans="2:2" ht="23.25" customHeight="1">
      <c r="B2978" s="2669"/>
    </row>
    <row r="2979" spans="2:2" ht="23.25" customHeight="1">
      <c r="B2979" s="2669"/>
    </row>
    <row r="2980" spans="2:2" ht="23.25" customHeight="1">
      <c r="B2980" s="2669"/>
    </row>
    <row r="2981" spans="2:2" ht="23.25" customHeight="1">
      <c r="B2981" s="2669"/>
    </row>
    <row r="2982" spans="2:2" ht="23.25" customHeight="1">
      <c r="B2982" s="2669"/>
    </row>
    <row r="2983" spans="2:2" ht="23.25" customHeight="1">
      <c r="B2983" s="2669"/>
    </row>
    <row r="2984" spans="2:2" ht="23.25" customHeight="1">
      <c r="B2984" s="2669"/>
    </row>
    <row r="2985" spans="2:2" ht="23.25" customHeight="1">
      <c r="B2985" s="2669"/>
    </row>
    <row r="2986" spans="2:2" ht="23.25" customHeight="1">
      <c r="B2986" s="2669"/>
    </row>
    <row r="2987" spans="2:2" ht="23.25" customHeight="1">
      <c r="B2987" s="2669"/>
    </row>
    <row r="2988" spans="2:2" ht="23.25" customHeight="1">
      <c r="B2988" s="2669"/>
    </row>
    <row r="2989" spans="2:2" ht="23.25" customHeight="1">
      <c r="B2989" s="2669"/>
    </row>
    <row r="2990" spans="2:2" ht="23.25" customHeight="1">
      <c r="B2990" s="2669"/>
    </row>
    <row r="2991" spans="2:2" ht="23.25" customHeight="1">
      <c r="B2991" s="2669"/>
    </row>
    <row r="2992" spans="2:2" ht="23.25" customHeight="1">
      <c r="B2992" s="2669"/>
    </row>
    <row r="2993" spans="2:2" ht="23.25" customHeight="1">
      <c r="B2993" s="2669"/>
    </row>
    <row r="2994" spans="2:2" ht="23.25" customHeight="1">
      <c r="B2994" s="2669"/>
    </row>
    <row r="2995" spans="2:2" ht="23.25" customHeight="1">
      <c r="B2995" s="2669"/>
    </row>
    <row r="2996" spans="2:2" ht="23.25" customHeight="1">
      <c r="B2996" s="2669"/>
    </row>
    <row r="2997" spans="2:2" ht="23.25" customHeight="1">
      <c r="B2997" s="2669"/>
    </row>
    <row r="2998" spans="2:2" ht="23.25" customHeight="1">
      <c r="B2998" s="2669"/>
    </row>
    <row r="2999" spans="2:2" ht="23.25" customHeight="1">
      <c r="B2999" s="2669"/>
    </row>
    <row r="3000" spans="2:2" ht="23.25" customHeight="1">
      <c r="B3000" s="2669"/>
    </row>
    <row r="3001" spans="2:2" ht="23.25" customHeight="1">
      <c r="B3001" s="2669"/>
    </row>
    <row r="3002" spans="2:2" ht="23.25" customHeight="1">
      <c r="B3002" s="2669"/>
    </row>
    <row r="3003" spans="2:2" ht="23.25" customHeight="1">
      <c r="B3003" s="2669"/>
    </row>
    <row r="3004" spans="2:2" ht="23.25" customHeight="1">
      <c r="B3004" s="2669"/>
    </row>
    <row r="3005" spans="2:2" ht="23.25" customHeight="1">
      <c r="B3005" s="2669"/>
    </row>
    <row r="3006" spans="2:2" ht="23.25" customHeight="1">
      <c r="B3006" s="2669"/>
    </row>
    <row r="3007" spans="2:2" ht="23.25" customHeight="1">
      <c r="B3007" s="2669"/>
    </row>
    <row r="3008" spans="2:2" ht="23.25" customHeight="1">
      <c r="B3008" s="2669"/>
    </row>
    <row r="3009" spans="2:2" ht="23.25" customHeight="1">
      <c r="B3009" s="2669"/>
    </row>
    <row r="3010" spans="2:2" ht="23.25" customHeight="1">
      <c r="B3010" s="2669"/>
    </row>
    <row r="3011" spans="2:2" ht="23.25" customHeight="1">
      <c r="B3011" s="2669"/>
    </row>
    <row r="3012" spans="2:2" ht="23.25" customHeight="1">
      <c r="B3012" s="2669"/>
    </row>
    <row r="3013" spans="2:2" ht="23.25" customHeight="1">
      <c r="B3013" s="2669"/>
    </row>
    <row r="3014" spans="2:2" ht="23.25" customHeight="1">
      <c r="B3014" s="2669"/>
    </row>
    <row r="3015" spans="2:2" ht="23.25" customHeight="1">
      <c r="B3015" s="2669"/>
    </row>
    <row r="3016" spans="2:2" ht="23.25" customHeight="1">
      <c r="B3016" s="2669"/>
    </row>
    <row r="3017" spans="2:2" ht="23.25" customHeight="1">
      <c r="B3017" s="2669"/>
    </row>
    <row r="3018" spans="2:2" ht="23.25" customHeight="1">
      <c r="B3018" s="2669"/>
    </row>
    <row r="3019" spans="2:2" ht="23.25" customHeight="1">
      <c r="B3019" s="2669"/>
    </row>
    <row r="3020" spans="2:2" ht="23.25" customHeight="1">
      <c r="B3020" s="2669"/>
    </row>
    <row r="3021" spans="2:2" ht="23.25" customHeight="1">
      <c r="B3021" s="2669"/>
    </row>
    <row r="3022" spans="2:2" ht="23.25" customHeight="1">
      <c r="B3022" s="2669"/>
    </row>
    <row r="3023" spans="2:2" ht="23.25" customHeight="1">
      <c r="B3023" s="2669"/>
    </row>
    <row r="3024" spans="2:2" ht="23.25" customHeight="1">
      <c r="B3024" s="2669"/>
    </row>
    <row r="3025" spans="2:2" ht="23.25" customHeight="1">
      <c r="B3025" s="2669"/>
    </row>
    <row r="3026" spans="2:2" ht="23.25" customHeight="1">
      <c r="B3026" s="2669"/>
    </row>
    <row r="3027" spans="2:2" ht="23.25" customHeight="1">
      <c r="B3027" s="2669"/>
    </row>
    <row r="3028" spans="2:2" ht="23.25" customHeight="1">
      <c r="B3028" s="2669"/>
    </row>
    <row r="3029" spans="2:2" ht="23.25" customHeight="1">
      <c r="B3029" s="2669"/>
    </row>
    <row r="3030" spans="2:2" ht="23.25" customHeight="1">
      <c r="B3030" s="2669"/>
    </row>
    <row r="3031" spans="2:2" ht="23.25" customHeight="1">
      <c r="B3031" s="2669"/>
    </row>
    <row r="3032" spans="2:2" ht="23.25" customHeight="1">
      <c r="B3032" s="2669"/>
    </row>
    <row r="3033" spans="2:2" ht="23.25" customHeight="1">
      <c r="B3033" s="2669"/>
    </row>
    <row r="3034" spans="2:2" ht="23.25" customHeight="1">
      <c r="B3034" s="2669"/>
    </row>
    <row r="3035" spans="2:2" ht="23.25" customHeight="1">
      <c r="B3035" s="2669"/>
    </row>
    <row r="3036" spans="2:2" ht="23.25" customHeight="1">
      <c r="B3036" s="2669"/>
    </row>
    <row r="3037" spans="2:2" ht="23.25" customHeight="1">
      <c r="B3037" s="2669"/>
    </row>
    <row r="3038" spans="2:2" ht="23.25" customHeight="1">
      <c r="B3038" s="2669"/>
    </row>
    <row r="3039" spans="2:2" ht="23.25" customHeight="1">
      <c r="B3039" s="2669"/>
    </row>
    <row r="3040" spans="2:2" ht="23.25" customHeight="1">
      <c r="B3040" s="2669"/>
    </row>
    <row r="3041" spans="2:2" ht="23.25" customHeight="1">
      <c r="B3041" s="2669"/>
    </row>
    <row r="3042" spans="2:2" ht="23.25" customHeight="1">
      <c r="B3042" s="2669"/>
    </row>
    <row r="3043" spans="2:2" ht="23.25" customHeight="1">
      <c r="B3043" s="2669"/>
    </row>
    <row r="3044" spans="2:2" ht="23.25" customHeight="1">
      <c r="B3044" s="2669"/>
    </row>
    <row r="3045" spans="2:2" ht="23.25" customHeight="1">
      <c r="B3045" s="2669"/>
    </row>
    <row r="3046" spans="2:2" ht="23.25" customHeight="1">
      <c r="B3046" s="2669"/>
    </row>
    <row r="3047" spans="2:2" ht="23.25" customHeight="1">
      <c r="B3047" s="2669"/>
    </row>
    <row r="3048" spans="2:2" ht="23.25" customHeight="1">
      <c r="B3048" s="2669"/>
    </row>
    <row r="3049" spans="2:2" ht="23.25" customHeight="1">
      <c r="B3049" s="2669"/>
    </row>
    <row r="3050" spans="2:2" ht="23.25" customHeight="1">
      <c r="B3050" s="2669"/>
    </row>
    <row r="3051" spans="2:2" ht="23.25" customHeight="1">
      <c r="B3051" s="2669"/>
    </row>
    <row r="3052" spans="2:2" ht="23.25" customHeight="1">
      <c r="B3052" s="2669"/>
    </row>
    <row r="3053" spans="2:2" ht="23.25" customHeight="1">
      <c r="B3053" s="2669"/>
    </row>
    <row r="3054" spans="2:2" ht="23.25" customHeight="1">
      <c r="B3054" s="2669"/>
    </row>
    <row r="3055" spans="2:2" ht="23.25" customHeight="1">
      <c r="B3055" s="2669"/>
    </row>
    <row r="3056" spans="2:2" ht="23.25" customHeight="1">
      <c r="B3056" s="2669"/>
    </row>
    <row r="3057" spans="2:2" ht="23.25" customHeight="1">
      <c r="B3057" s="2669"/>
    </row>
    <row r="3058" spans="2:2" ht="23.25" customHeight="1">
      <c r="B3058" s="2669"/>
    </row>
    <row r="3059" spans="2:2" ht="23.25" customHeight="1">
      <c r="B3059" s="2669"/>
    </row>
    <row r="3060" spans="2:2" ht="23.25" customHeight="1">
      <c r="B3060" s="2669"/>
    </row>
    <row r="3061" spans="2:2" ht="23.25" customHeight="1">
      <c r="B3061" s="2669"/>
    </row>
    <row r="3062" spans="2:2" ht="23.25" customHeight="1">
      <c r="B3062" s="2669"/>
    </row>
    <row r="3063" spans="2:2" ht="23.25" customHeight="1">
      <c r="B3063" s="2669"/>
    </row>
    <row r="3064" spans="2:2" ht="23.25" customHeight="1">
      <c r="B3064" s="2669"/>
    </row>
    <row r="3065" spans="2:2" ht="23.25" customHeight="1">
      <c r="B3065" s="2669"/>
    </row>
    <row r="3066" spans="2:2" ht="23.25" customHeight="1">
      <c r="B3066" s="2669"/>
    </row>
    <row r="3067" spans="2:2" ht="23.25" customHeight="1">
      <c r="B3067" s="2669"/>
    </row>
    <row r="3068" spans="2:2" ht="23.25" customHeight="1">
      <c r="B3068" s="2669"/>
    </row>
    <row r="3069" spans="2:2" ht="23.25" customHeight="1">
      <c r="B3069" s="2669"/>
    </row>
    <row r="3070" spans="2:2" ht="23.25" customHeight="1">
      <c r="B3070" s="2669"/>
    </row>
    <row r="3071" spans="2:2" ht="23.25" customHeight="1">
      <c r="B3071" s="2669"/>
    </row>
    <row r="3072" spans="2:2" ht="23.25" customHeight="1">
      <c r="B3072" s="2669"/>
    </row>
    <row r="3073" spans="2:2" ht="23.25" customHeight="1">
      <c r="B3073" s="2669"/>
    </row>
    <row r="3074" spans="2:2" ht="23.25" customHeight="1">
      <c r="B3074" s="2669"/>
    </row>
    <row r="3075" spans="2:2" ht="23.25" customHeight="1">
      <c r="B3075" s="2669"/>
    </row>
    <row r="3076" spans="2:2" ht="23.25" customHeight="1">
      <c r="B3076" s="2669"/>
    </row>
    <row r="3077" spans="2:2" ht="23.25" customHeight="1">
      <c r="B3077" s="2669"/>
    </row>
    <row r="3078" spans="2:2" ht="23.25" customHeight="1">
      <c r="B3078" s="2669"/>
    </row>
    <row r="3079" spans="2:2" ht="23.25" customHeight="1">
      <c r="B3079" s="2669"/>
    </row>
    <row r="3080" spans="2:2" ht="23.25" customHeight="1">
      <c r="B3080" s="2669"/>
    </row>
    <row r="3081" spans="2:2" ht="23.25" customHeight="1">
      <c r="B3081" s="2669"/>
    </row>
    <row r="3082" spans="2:2" ht="23.25" customHeight="1">
      <c r="B3082" s="2669"/>
    </row>
    <row r="3083" spans="2:2" ht="23.25" customHeight="1">
      <c r="B3083" s="2669"/>
    </row>
    <row r="3084" spans="2:2" ht="23.25" customHeight="1">
      <c r="B3084" s="2669"/>
    </row>
    <row r="3085" spans="2:2" ht="23.25" customHeight="1">
      <c r="B3085" s="2669"/>
    </row>
    <row r="3086" spans="2:2" ht="23.25" customHeight="1">
      <c r="B3086" s="2669"/>
    </row>
    <row r="3087" spans="2:2" ht="23.25" customHeight="1">
      <c r="B3087" s="2669"/>
    </row>
    <row r="3088" spans="2:2" ht="23.25" customHeight="1">
      <c r="B3088" s="2669"/>
    </row>
    <row r="3089" spans="2:2" ht="23.25" customHeight="1">
      <c r="B3089" s="2669"/>
    </row>
    <row r="3090" spans="2:2" ht="23.25" customHeight="1">
      <c r="B3090" s="2669"/>
    </row>
    <row r="3091" spans="2:2" ht="23.25" customHeight="1">
      <c r="B3091" s="2669"/>
    </row>
    <row r="3092" spans="2:2" ht="23.25" customHeight="1">
      <c r="B3092" s="2669"/>
    </row>
    <row r="3093" spans="2:2" ht="23.25" customHeight="1">
      <c r="B3093" s="2669"/>
    </row>
    <row r="3094" spans="2:2" ht="23.25" customHeight="1">
      <c r="B3094" s="2669"/>
    </row>
    <row r="3095" spans="2:2" ht="23.25" customHeight="1">
      <c r="B3095" s="2669"/>
    </row>
    <row r="3096" spans="2:2" ht="23.25" customHeight="1">
      <c r="B3096" s="2669"/>
    </row>
    <row r="3097" spans="2:2" ht="23.25" customHeight="1">
      <c r="B3097" s="2669"/>
    </row>
    <row r="3098" spans="2:2" ht="23.25" customHeight="1">
      <c r="B3098" s="2669"/>
    </row>
    <row r="3099" spans="2:2" ht="23.25" customHeight="1">
      <c r="B3099" s="2669"/>
    </row>
    <row r="3100" spans="2:2" ht="23.25" customHeight="1">
      <c r="B3100" s="2669"/>
    </row>
    <row r="3101" spans="2:2" ht="23.25" customHeight="1">
      <c r="B3101" s="2669"/>
    </row>
    <row r="3102" spans="2:2" ht="23.25" customHeight="1">
      <c r="B3102" s="2669"/>
    </row>
    <row r="3103" spans="2:2" ht="23.25" customHeight="1">
      <c r="B3103" s="2669"/>
    </row>
    <row r="3104" spans="2:2" ht="23.25" customHeight="1">
      <c r="B3104" s="2669"/>
    </row>
    <row r="3105" spans="2:2" ht="23.25" customHeight="1">
      <c r="B3105" s="2669"/>
    </row>
    <row r="3106" spans="2:2" ht="23.25" customHeight="1">
      <c r="B3106" s="2669"/>
    </row>
    <row r="3107" spans="2:2" ht="23.25" customHeight="1">
      <c r="B3107" s="2669"/>
    </row>
    <row r="3108" spans="2:2" ht="23.25" customHeight="1">
      <c r="B3108" s="2669"/>
    </row>
    <row r="3109" spans="2:2" ht="23.25" customHeight="1">
      <c r="B3109" s="2669"/>
    </row>
    <row r="3110" spans="2:2" ht="23.25" customHeight="1">
      <c r="B3110" s="2669"/>
    </row>
    <row r="3111" spans="2:2" ht="23.25" customHeight="1">
      <c r="B3111" s="2669"/>
    </row>
    <row r="3112" spans="2:2" ht="23.25" customHeight="1">
      <c r="B3112" s="2669"/>
    </row>
    <row r="3113" spans="2:2" ht="23.25" customHeight="1">
      <c r="B3113" s="2669"/>
    </row>
    <row r="3114" spans="2:2" ht="23.25" customHeight="1">
      <c r="B3114" s="2669"/>
    </row>
    <row r="3115" spans="2:2" ht="23.25" customHeight="1">
      <c r="B3115" s="2669"/>
    </row>
    <row r="3116" spans="2:2" ht="23.25" customHeight="1">
      <c r="B3116" s="2669"/>
    </row>
    <row r="3117" spans="2:2" ht="23.25" customHeight="1">
      <c r="B3117" s="2669"/>
    </row>
    <row r="3118" spans="2:2" ht="23.25" customHeight="1">
      <c r="B3118" s="2669"/>
    </row>
    <row r="3119" spans="2:2" ht="23.25" customHeight="1">
      <c r="B3119" s="2669"/>
    </row>
    <row r="3120" spans="2:2" ht="23.25" customHeight="1">
      <c r="B3120" s="2669"/>
    </row>
    <row r="3121" spans="2:2" ht="23.25" customHeight="1">
      <c r="B3121" s="2669"/>
    </row>
    <row r="3122" spans="2:2" ht="23.25" customHeight="1">
      <c r="B3122" s="2669"/>
    </row>
    <row r="3123" spans="2:2" ht="23.25" customHeight="1">
      <c r="B3123" s="2669"/>
    </row>
    <row r="3124" spans="2:2" ht="23.25" customHeight="1">
      <c r="B3124" s="2669"/>
    </row>
    <row r="3125" spans="2:2" ht="23.25" customHeight="1">
      <c r="B3125" s="2669"/>
    </row>
    <row r="3126" spans="2:2" ht="23.25" customHeight="1">
      <c r="B3126" s="2669"/>
    </row>
    <row r="3127" spans="2:2" ht="23.25" customHeight="1">
      <c r="B3127" s="2669"/>
    </row>
    <row r="3128" spans="2:2" ht="23.25" customHeight="1">
      <c r="B3128" s="2669"/>
    </row>
    <row r="3129" spans="2:2" ht="23.25" customHeight="1">
      <c r="B3129" s="2669"/>
    </row>
    <row r="3130" spans="2:2" ht="23.25" customHeight="1">
      <c r="B3130" s="2669"/>
    </row>
    <row r="3131" spans="2:2" ht="23.25" customHeight="1">
      <c r="B3131" s="2669"/>
    </row>
    <row r="3132" spans="2:2" ht="23.25" customHeight="1">
      <c r="B3132" s="2669"/>
    </row>
    <row r="3133" spans="2:2" ht="23.25" customHeight="1">
      <c r="B3133" s="2669"/>
    </row>
    <row r="3134" spans="2:2" ht="23.25" customHeight="1">
      <c r="B3134" s="2669"/>
    </row>
    <row r="3135" spans="2:2" ht="23.25" customHeight="1">
      <c r="B3135" s="2669"/>
    </row>
    <row r="3136" spans="2:2" ht="23.25" customHeight="1">
      <c r="B3136" s="2669"/>
    </row>
    <row r="3137" spans="2:2" ht="23.25" customHeight="1">
      <c r="B3137" s="2669"/>
    </row>
    <row r="3138" spans="2:2" ht="23.25" customHeight="1">
      <c r="B3138" s="2669"/>
    </row>
    <row r="3139" spans="2:2" ht="23.25" customHeight="1">
      <c r="B3139" s="2669"/>
    </row>
    <row r="3140" spans="2:2" ht="23.25" customHeight="1">
      <c r="B3140" s="2669"/>
    </row>
    <row r="3141" spans="2:2" ht="23.25" customHeight="1">
      <c r="B3141" s="2669"/>
    </row>
    <row r="3142" spans="2:2" ht="23.25" customHeight="1">
      <c r="B3142" s="2669"/>
    </row>
    <row r="3143" spans="2:2" ht="23.25" customHeight="1">
      <c r="B3143" s="2669"/>
    </row>
    <row r="3144" spans="2:2" ht="23.25" customHeight="1">
      <c r="B3144" s="2669"/>
    </row>
    <row r="3145" spans="2:2" ht="23.25" customHeight="1">
      <c r="B3145" s="2669"/>
    </row>
    <row r="3146" spans="2:2" ht="23.25" customHeight="1">
      <c r="B3146" s="2669"/>
    </row>
    <row r="3147" spans="2:2" ht="23.25" customHeight="1">
      <c r="B3147" s="2669"/>
    </row>
    <row r="3148" spans="2:2" ht="23.25" customHeight="1">
      <c r="B3148" s="2669"/>
    </row>
    <row r="3149" spans="2:2" ht="23.25" customHeight="1">
      <c r="B3149" s="2669"/>
    </row>
    <row r="3150" spans="2:2" ht="23.25" customHeight="1">
      <c r="B3150" s="2669"/>
    </row>
    <row r="3151" spans="2:2" ht="23.25" customHeight="1">
      <c r="B3151" s="2669"/>
    </row>
    <row r="3152" spans="2:2" ht="23.25" customHeight="1">
      <c r="B3152" s="2669"/>
    </row>
    <row r="3153" spans="2:2" ht="23.25" customHeight="1">
      <c r="B3153" s="2669"/>
    </row>
    <row r="3154" spans="2:2" ht="23.25" customHeight="1">
      <c r="B3154" s="2669"/>
    </row>
    <row r="3155" spans="2:2" ht="23.25" customHeight="1">
      <c r="B3155" s="2669"/>
    </row>
    <row r="3156" spans="2:2" ht="23.25" customHeight="1">
      <c r="B3156" s="2669"/>
    </row>
    <row r="3157" spans="2:2" ht="23.25" customHeight="1">
      <c r="B3157" s="2669"/>
    </row>
    <row r="3158" spans="2:2" ht="23.25" customHeight="1">
      <c r="B3158" s="2669"/>
    </row>
    <row r="3159" spans="2:2" ht="23.25" customHeight="1">
      <c r="B3159" s="2669"/>
    </row>
    <row r="3160" spans="2:2" ht="23.25" customHeight="1">
      <c r="B3160" s="2669"/>
    </row>
    <row r="3161" spans="2:2" ht="23.25" customHeight="1">
      <c r="B3161" s="2669"/>
    </row>
    <row r="3162" spans="2:2" ht="23.25" customHeight="1">
      <c r="B3162" s="2669"/>
    </row>
    <row r="3163" spans="2:2" ht="23.25" customHeight="1">
      <c r="B3163" s="2669"/>
    </row>
    <row r="3164" spans="2:2" ht="23.25" customHeight="1">
      <c r="B3164" s="2669"/>
    </row>
    <row r="3165" spans="2:2" ht="23.25" customHeight="1">
      <c r="B3165" s="2669"/>
    </row>
    <row r="3166" spans="2:2" ht="23.25" customHeight="1">
      <c r="B3166" s="2669"/>
    </row>
    <row r="3167" spans="2:2" ht="23.25" customHeight="1">
      <c r="B3167" s="2669"/>
    </row>
    <row r="3168" spans="2:2" ht="23.25" customHeight="1">
      <c r="B3168" s="2669"/>
    </row>
    <row r="3169" spans="2:2" ht="23.25" customHeight="1">
      <c r="B3169" s="2669"/>
    </row>
    <row r="3170" spans="2:2" ht="23.25" customHeight="1">
      <c r="B3170" s="2669"/>
    </row>
    <row r="3171" spans="2:2" ht="23.25" customHeight="1">
      <c r="B3171" s="2669"/>
    </row>
    <row r="3172" spans="2:2" ht="23.25" customHeight="1">
      <c r="B3172" s="2669"/>
    </row>
    <row r="3173" spans="2:2" ht="23.25" customHeight="1">
      <c r="B3173" s="2669"/>
    </row>
    <row r="3174" spans="2:2" ht="23.25" customHeight="1">
      <c r="B3174" s="2669"/>
    </row>
    <row r="3175" spans="2:2" ht="23.25" customHeight="1">
      <c r="B3175" s="2669"/>
    </row>
    <row r="3176" spans="2:2" ht="23.25" customHeight="1">
      <c r="B3176" s="2669"/>
    </row>
    <row r="3177" spans="2:2" ht="23.25" customHeight="1">
      <c r="B3177" s="2669"/>
    </row>
    <row r="3178" spans="2:2" ht="23.25" customHeight="1">
      <c r="B3178" s="2669"/>
    </row>
    <row r="3179" spans="2:2" ht="23.25" customHeight="1">
      <c r="B3179" s="2669"/>
    </row>
    <row r="3180" spans="2:2" ht="23.25" customHeight="1">
      <c r="B3180" s="2669"/>
    </row>
    <row r="3181" spans="2:2" ht="23.25" customHeight="1">
      <c r="B3181" s="2669"/>
    </row>
    <row r="3182" spans="2:2" ht="23.25" customHeight="1">
      <c r="B3182" s="2669"/>
    </row>
    <row r="3183" spans="2:2" ht="23.25" customHeight="1">
      <c r="B3183" s="2669"/>
    </row>
    <row r="3184" spans="2:2" ht="23.25" customHeight="1">
      <c r="B3184" s="2669"/>
    </row>
    <row r="3185" spans="2:2" ht="23.25" customHeight="1">
      <c r="B3185" s="2669"/>
    </row>
    <row r="3186" spans="2:2" ht="23.25" customHeight="1">
      <c r="B3186" s="2669"/>
    </row>
    <row r="3187" spans="2:2" ht="23.25" customHeight="1">
      <c r="B3187" s="2669"/>
    </row>
    <row r="3188" spans="2:2" ht="23.25" customHeight="1">
      <c r="B3188" s="2669"/>
    </row>
    <row r="3189" spans="2:2" ht="23.25" customHeight="1">
      <c r="B3189" s="2669"/>
    </row>
    <row r="3190" spans="2:2" ht="23.25" customHeight="1">
      <c r="B3190" s="2669"/>
    </row>
    <row r="3191" spans="2:2" ht="23.25" customHeight="1">
      <c r="B3191" s="2669"/>
    </row>
    <row r="3192" spans="2:2" ht="23.25" customHeight="1">
      <c r="B3192" s="2669"/>
    </row>
    <row r="3193" spans="2:2" ht="23.25" customHeight="1">
      <c r="B3193" s="2669"/>
    </row>
    <row r="3194" spans="2:2" ht="23.25" customHeight="1">
      <c r="B3194" s="2669"/>
    </row>
    <row r="3195" spans="2:2" ht="23.25" customHeight="1">
      <c r="B3195" s="2669"/>
    </row>
    <row r="3196" spans="2:2" ht="23.25" customHeight="1">
      <c r="B3196" s="2669"/>
    </row>
    <row r="3197" spans="2:2" ht="23.25" customHeight="1">
      <c r="B3197" s="2669"/>
    </row>
    <row r="3198" spans="2:2" ht="23.25" customHeight="1">
      <c r="B3198" s="2669"/>
    </row>
    <row r="3199" spans="2:2" ht="23.25" customHeight="1">
      <c r="B3199" s="2669"/>
    </row>
    <row r="3200" spans="2:2" ht="23.25" customHeight="1">
      <c r="B3200" s="2669"/>
    </row>
    <row r="3201" spans="2:2" ht="23.25" customHeight="1">
      <c r="B3201" s="2669"/>
    </row>
    <row r="3202" spans="2:2" ht="23.25" customHeight="1">
      <c r="B3202" s="2669"/>
    </row>
    <row r="3203" spans="2:2" ht="23.25" customHeight="1">
      <c r="B3203" s="2669"/>
    </row>
    <row r="3204" spans="2:2" ht="23.25" customHeight="1">
      <c r="B3204" s="2669"/>
    </row>
    <row r="3205" spans="2:2" ht="23.25" customHeight="1">
      <c r="B3205" s="2669"/>
    </row>
    <row r="3206" spans="2:2" ht="23.25" customHeight="1">
      <c r="B3206" s="2669"/>
    </row>
    <row r="3207" spans="2:2" ht="23.25" customHeight="1">
      <c r="B3207" s="2669"/>
    </row>
    <row r="3208" spans="2:2" ht="23.25" customHeight="1">
      <c r="B3208" s="2669"/>
    </row>
    <row r="3209" spans="2:2" ht="23.25" customHeight="1">
      <c r="B3209" s="2669"/>
    </row>
    <row r="3210" spans="2:2" ht="23.25" customHeight="1">
      <c r="B3210" s="2669"/>
    </row>
    <row r="3211" spans="2:2" ht="23.25" customHeight="1">
      <c r="B3211" s="2669"/>
    </row>
    <row r="3212" spans="2:2" ht="23.25" customHeight="1">
      <c r="B3212" s="2669"/>
    </row>
    <row r="3213" spans="2:2" ht="23.25" customHeight="1">
      <c r="B3213" s="2669"/>
    </row>
    <row r="3214" spans="2:2" ht="23.25" customHeight="1">
      <c r="B3214" s="2669"/>
    </row>
    <row r="3215" spans="2:2" ht="23.25" customHeight="1">
      <c r="B3215" s="2669"/>
    </row>
    <row r="3216" spans="2:2" ht="23.25" customHeight="1">
      <c r="B3216" s="2669"/>
    </row>
    <row r="3217" spans="2:2" ht="23.25" customHeight="1">
      <c r="B3217" s="2669"/>
    </row>
    <row r="3218" spans="2:2" ht="23.25" customHeight="1">
      <c r="B3218" s="2669"/>
    </row>
    <row r="3219" spans="2:2" ht="23.25" customHeight="1">
      <c r="B3219" s="2669"/>
    </row>
    <row r="3220" spans="2:2" ht="23.25" customHeight="1">
      <c r="B3220" s="2669"/>
    </row>
    <row r="3221" spans="2:2" ht="23.25" customHeight="1">
      <c r="B3221" s="2669"/>
    </row>
    <row r="3222" spans="2:2" ht="23.25" customHeight="1">
      <c r="B3222" s="2669"/>
    </row>
    <row r="3223" spans="2:2" ht="23.25" customHeight="1">
      <c r="B3223" s="2669"/>
    </row>
    <row r="3224" spans="2:2" ht="23.25" customHeight="1">
      <c r="B3224" s="2669"/>
    </row>
    <row r="3225" spans="2:2" ht="23.25" customHeight="1">
      <c r="B3225" s="2669"/>
    </row>
    <row r="3226" spans="2:2" ht="23.25" customHeight="1">
      <c r="B3226" s="2669"/>
    </row>
    <row r="3227" spans="2:2" ht="23.25" customHeight="1">
      <c r="B3227" s="2669"/>
    </row>
    <row r="3228" spans="2:2" ht="23.25" customHeight="1">
      <c r="B3228" s="2669"/>
    </row>
    <row r="3229" spans="2:2" ht="23.25" customHeight="1">
      <c r="B3229" s="2669"/>
    </row>
    <row r="3230" spans="2:2" ht="23.25" customHeight="1">
      <c r="B3230" s="2669"/>
    </row>
    <row r="3231" spans="2:2" ht="23.25" customHeight="1">
      <c r="B3231" s="2669"/>
    </row>
    <row r="3232" spans="2:2" ht="23.25" customHeight="1">
      <c r="B3232" s="2669"/>
    </row>
    <row r="3233" spans="2:2" ht="23.25" customHeight="1">
      <c r="B3233" s="2669"/>
    </row>
    <row r="3234" spans="2:2" ht="23.25" customHeight="1">
      <c r="B3234" s="2669"/>
    </row>
    <row r="3235" spans="2:2" ht="23.25" customHeight="1">
      <c r="B3235" s="2669"/>
    </row>
    <row r="3236" spans="2:2" ht="23.25" customHeight="1">
      <c r="B3236" s="2669"/>
    </row>
    <row r="3237" spans="2:2" ht="23.25" customHeight="1">
      <c r="B3237" s="2669"/>
    </row>
    <row r="3238" spans="2:2" ht="23.25" customHeight="1">
      <c r="B3238" s="2669"/>
    </row>
    <row r="3239" spans="2:2" ht="23.25" customHeight="1">
      <c r="B3239" s="2669"/>
    </row>
    <row r="3240" spans="2:2" ht="23.25" customHeight="1">
      <c r="B3240" s="2669"/>
    </row>
    <row r="3241" spans="2:2" ht="23.25" customHeight="1">
      <c r="B3241" s="2669"/>
    </row>
    <row r="3242" spans="2:2" ht="23.25" customHeight="1">
      <c r="B3242" s="2669"/>
    </row>
    <row r="3243" spans="2:2" ht="23.25" customHeight="1">
      <c r="B3243" s="2669"/>
    </row>
    <row r="3244" spans="2:2" ht="23.25" customHeight="1">
      <c r="B3244" s="2669"/>
    </row>
    <row r="3245" spans="2:2" ht="23.25" customHeight="1">
      <c r="B3245" s="2669"/>
    </row>
    <row r="3246" spans="2:2" ht="23.25" customHeight="1">
      <c r="B3246" s="2669"/>
    </row>
    <row r="3247" spans="2:2" ht="23.25" customHeight="1">
      <c r="B3247" s="2669"/>
    </row>
    <row r="3248" spans="2:2" ht="23.25" customHeight="1">
      <c r="B3248" s="2669"/>
    </row>
    <row r="3249" spans="2:2" ht="23.25" customHeight="1">
      <c r="B3249" s="2669"/>
    </row>
    <row r="3250" spans="2:2" ht="23.25" customHeight="1">
      <c r="B3250" s="2669"/>
    </row>
    <row r="3251" spans="2:2" ht="23.25" customHeight="1">
      <c r="B3251" s="2669"/>
    </row>
    <row r="3252" spans="2:2" ht="23.25" customHeight="1">
      <c r="B3252" s="2669"/>
    </row>
    <row r="3253" spans="2:2" ht="23.25" customHeight="1">
      <c r="B3253" s="2669"/>
    </row>
    <row r="3254" spans="2:2" ht="23.25" customHeight="1">
      <c r="B3254" s="2669"/>
    </row>
    <row r="3255" spans="2:2" ht="23.25" customHeight="1">
      <c r="B3255" s="2669"/>
    </row>
    <row r="3256" spans="2:2" ht="23.25" customHeight="1">
      <c r="B3256" s="2669"/>
    </row>
    <row r="3257" spans="2:2" ht="23.25" customHeight="1">
      <c r="B3257" s="2669"/>
    </row>
    <row r="3258" spans="2:2" ht="23.25" customHeight="1">
      <c r="B3258" s="2669"/>
    </row>
    <row r="3259" spans="2:2" ht="23.25" customHeight="1">
      <c r="B3259" s="2669"/>
    </row>
    <row r="3260" spans="2:2" ht="23.25" customHeight="1">
      <c r="B3260" s="2669"/>
    </row>
    <row r="3261" spans="2:2" ht="23.25" customHeight="1">
      <c r="B3261" s="2669"/>
    </row>
    <row r="3262" spans="2:2" ht="23.25" customHeight="1">
      <c r="B3262" s="2669"/>
    </row>
    <row r="3263" spans="2:2" ht="23.25" customHeight="1">
      <c r="B3263" s="2669"/>
    </row>
    <row r="3264" spans="2:2" ht="23.25" customHeight="1">
      <c r="B3264" s="2669"/>
    </row>
    <row r="3265" spans="2:2" ht="23.25" customHeight="1">
      <c r="B3265" s="2669"/>
    </row>
    <row r="3266" spans="2:2" ht="23.25" customHeight="1">
      <c r="B3266" s="2669"/>
    </row>
    <row r="3267" spans="2:2" ht="23.25" customHeight="1">
      <c r="B3267" s="2669"/>
    </row>
    <row r="3268" spans="2:2" ht="23.25" customHeight="1">
      <c r="B3268" s="2669"/>
    </row>
    <row r="3269" spans="2:2" ht="23.25" customHeight="1">
      <c r="B3269" s="2669"/>
    </row>
    <row r="3270" spans="2:2" ht="23.25" customHeight="1">
      <c r="B3270" s="2669"/>
    </row>
    <row r="3271" spans="2:2" ht="23.25" customHeight="1">
      <c r="B3271" s="2669"/>
    </row>
    <row r="3272" spans="2:2" ht="23.25" customHeight="1">
      <c r="B3272" s="2669"/>
    </row>
    <row r="3273" spans="2:2" ht="23.25" customHeight="1">
      <c r="B3273" s="2669"/>
    </row>
    <row r="3274" spans="2:2" ht="23.25" customHeight="1">
      <c r="B3274" s="2669"/>
    </row>
    <row r="3275" spans="2:2" ht="23.25" customHeight="1">
      <c r="B3275" s="2669"/>
    </row>
    <row r="3276" spans="2:2" ht="23.25" customHeight="1">
      <c r="B3276" s="2669"/>
    </row>
    <row r="3277" spans="2:2" ht="23.25" customHeight="1">
      <c r="B3277" s="2669"/>
    </row>
    <row r="3278" spans="2:2" ht="23.25" customHeight="1">
      <c r="B3278" s="2669"/>
    </row>
    <row r="3279" spans="2:2" ht="23.25" customHeight="1">
      <c r="B3279" s="2669"/>
    </row>
    <row r="3280" spans="2:2" ht="23.25" customHeight="1">
      <c r="B3280" s="2669"/>
    </row>
    <row r="3281" spans="2:2" ht="23.25" customHeight="1">
      <c r="B3281" s="2669"/>
    </row>
    <row r="3282" spans="2:2" ht="23.25" customHeight="1">
      <c r="B3282" s="2669"/>
    </row>
    <row r="3283" spans="2:2" ht="23.25" customHeight="1">
      <c r="B3283" s="2669"/>
    </row>
    <row r="3284" spans="2:2" ht="23.25" customHeight="1">
      <c r="B3284" s="2669"/>
    </row>
    <row r="3285" spans="2:2" ht="23.25" customHeight="1">
      <c r="B3285" s="2669"/>
    </row>
    <row r="3286" spans="2:2" ht="23.25" customHeight="1">
      <c r="B3286" s="2669"/>
    </row>
    <row r="3287" spans="2:2" ht="23.25" customHeight="1">
      <c r="B3287" s="2669"/>
    </row>
    <row r="3288" spans="2:2" ht="23.25" customHeight="1">
      <c r="B3288" s="2669"/>
    </row>
    <row r="3289" spans="2:2" ht="23.25" customHeight="1">
      <c r="B3289" s="2669"/>
    </row>
    <row r="3290" spans="2:2" ht="23.25" customHeight="1">
      <c r="B3290" s="2669"/>
    </row>
    <row r="3291" spans="2:2" ht="23.25" customHeight="1">
      <c r="B3291" s="2669"/>
    </row>
    <row r="3292" spans="2:2" ht="23.25" customHeight="1">
      <c r="B3292" s="2669"/>
    </row>
    <row r="3293" spans="2:2" ht="23.25" customHeight="1">
      <c r="B3293" s="2669"/>
    </row>
    <row r="3294" spans="2:2" ht="23.25" customHeight="1">
      <c r="B3294" s="2669"/>
    </row>
    <row r="3295" spans="2:2" ht="23.25" customHeight="1">
      <c r="B3295" s="2669"/>
    </row>
    <row r="3296" spans="2:2" ht="23.25" customHeight="1">
      <c r="B3296" s="2669"/>
    </row>
    <row r="3297" spans="2:2" ht="23.25" customHeight="1">
      <c r="B3297" s="2669"/>
    </row>
    <row r="3298" spans="2:2" ht="23.25" customHeight="1">
      <c r="B3298" s="2669"/>
    </row>
    <row r="3299" spans="2:2" ht="23.25" customHeight="1">
      <c r="B3299" s="2669"/>
    </row>
    <row r="3300" spans="2:2" ht="23.25" customHeight="1">
      <c r="B3300" s="2669"/>
    </row>
    <row r="3301" spans="2:2" ht="23.25" customHeight="1">
      <c r="B3301" s="2669"/>
    </row>
    <row r="3302" spans="2:2" ht="23.25" customHeight="1">
      <c r="B3302" s="2669"/>
    </row>
    <row r="3303" spans="2:2" ht="23.25" customHeight="1">
      <c r="B3303" s="2669"/>
    </row>
    <row r="3304" spans="2:2" ht="23.25" customHeight="1">
      <c r="B3304" s="2669"/>
    </row>
    <row r="3305" spans="2:2" ht="23.25" customHeight="1">
      <c r="B3305" s="2669"/>
    </row>
    <row r="3306" spans="2:2" ht="23.25" customHeight="1">
      <c r="B3306" s="2669"/>
    </row>
    <row r="3307" spans="2:2" ht="23.25" customHeight="1">
      <c r="B3307" s="2669"/>
    </row>
    <row r="3308" spans="2:2" ht="23.25" customHeight="1">
      <c r="B3308" s="2669"/>
    </row>
    <row r="3309" spans="2:2" ht="23.25" customHeight="1">
      <c r="B3309" s="2669"/>
    </row>
    <row r="3310" spans="2:2" ht="23.25" customHeight="1">
      <c r="B3310" s="2669"/>
    </row>
    <row r="3311" spans="2:2" ht="23.25" customHeight="1">
      <c r="B3311" s="2669"/>
    </row>
    <row r="3312" spans="2:2" ht="23.25" customHeight="1">
      <c r="B3312" s="2669"/>
    </row>
    <row r="3313" spans="2:2" ht="23.25" customHeight="1">
      <c r="B3313" s="2669"/>
    </row>
    <row r="3314" spans="2:2" ht="23.25" customHeight="1">
      <c r="B3314" s="2669"/>
    </row>
    <row r="3315" spans="2:2" ht="23.25" customHeight="1">
      <c r="B3315" s="2669"/>
    </row>
    <row r="3316" spans="2:2" ht="23.25" customHeight="1">
      <c r="B3316" s="2669"/>
    </row>
    <row r="3317" spans="2:2" ht="23.25" customHeight="1">
      <c r="B3317" s="2669"/>
    </row>
    <row r="3318" spans="2:2" ht="23.25" customHeight="1">
      <c r="B3318" s="2669"/>
    </row>
    <row r="3319" spans="2:2" ht="23.25" customHeight="1">
      <c r="B3319" s="2669"/>
    </row>
    <row r="3320" spans="2:2" ht="23.25" customHeight="1">
      <c r="B3320" s="2669"/>
    </row>
    <row r="3321" spans="2:2" ht="23.25" customHeight="1">
      <c r="B3321" s="2669"/>
    </row>
    <row r="3322" spans="2:2" ht="23.25" customHeight="1">
      <c r="B3322" s="2669"/>
    </row>
    <row r="3323" spans="2:2" ht="23.25" customHeight="1">
      <c r="B3323" s="2669"/>
    </row>
    <row r="3324" spans="2:2" ht="23.25" customHeight="1">
      <c r="B3324" s="2669"/>
    </row>
    <row r="3325" spans="2:2" ht="23.25" customHeight="1">
      <c r="B3325" s="2669"/>
    </row>
    <row r="3326" spans="2:2" ht="23.25" customHeight="1">
      <c r="B3326" s="2669"/>
    </row>
    <row r="3327" spans="2:2" ht="23.25" customHeight="1">
      <c r="B3327" s="2669"/>
    </row>
    <row r="3328" spans="2:2" ht="23.25" customHeight="1">
      <c r="B3328" s="2669"/>
    </row>
    <row r="3329" spans="2:2" ht="23.25" customHeight="1">
      <c r="B3329" s="2669"/>
    </row>
    <row r="3330" spans="2:2" ht="23.25" customHeight="1">
      <c r="B3330" s="2669"/>
    </row>
    <row r="3331" spans="2:2" ht="23.25" customHeight="1">
      <c r="B3331" s="2669"/>
    </row>
    <row r="3332" spans="2:2" ht="23.25" customHeight="1">
      <c r="B3332" s="2669"/>
    </row>
    <row r="3333" spans="2:2" ht="23.25" customHeight="1">
      <c r="B3333" s="2669"/>
    </row>
    <row r="3334" spans="2:2" ht="23.25" customHeight="1">
      <c r="B3334" s="2669"/>
    </row>
    <row r="3335" spans="2:2" ht="23.25" customHeight="1">
      <c r="B3335" s="2669"/>
    </row>
    <row r="3336" spans="2:2" ht="23.25" customHeight="1">
      <c r="B3336" s="2669"/>
    </row>
    <row r="3337" spans="2:2" ht="23.25" customHeight="1">
      <c r="B3337" s="2669"/>
    </row>
    <row r="3338" spans="2:2" ht="23.25" customHeight="1">
      <c r="B3338" s="2669"/>
    </row>
    <row r="3339" spans="2:2" ht="23.25" customHeight="1">
      <c r="B3339" s="2669"/>
    </row>
    <row r="3340" spans="2:2" ht="23.25" customHeight="1">
      <c r="B3340" s="2669"/>
    </row>
    <row r="3341" spans="2:2" ht="23.25" customHeight="1">
      <c r="B3341" s="2669"/>
    </row>
    <row r="3342" spans="2:2" ht="23.25" customHeight="1">
      <c r="B3342" s="2669"/>
    </row>
    <row r="3343" spans="2:2" ht="23.25" customHeight="1">
      <c r="B3343" s="2669"/>
    </row>
    <row r="3344" spans="2:2" ht="23.25" customHeight="1">
      <c r="B3344" s="2669"/>
    </row>
    <row r="3345" spans="2:2" ht="23.25" customHeight="1">
      <c r="B3345" s="2669"/>
    </row>
    <row r="3346" spans="2:2" ht="23.25" customHeight="1">
      <c r="B3346" s="2669"/>
    </row>
    <row r="3347" spans="2:2" ht="23.25" customHeight="1">
      <c r="B3347" s="2669"/>
    </row>
    <row r="3348" spans="2:2" ht="23.25" customHeight="1">
      <c r="B3348" s="2669"/>
    </row>
    <row r="3349" spans="2:2" ht="23.25" customHeight="1">
      <c r="B3349" s="2669"/>
    </row>
    <row r="3350" spans="2:2" ht="23.25" customHeight="1">
      <c r="B3350" s="2669"/>
    </row>
    <row r="3351" spans="2:2" ht="23.25" customHeight="1">
      <c r="B3351" s="2669"/>
    </row>
    <row r="3352" spans="2:2" ht="23.25" customHeight="1">
      <c r="B3352" s="2669"/>
    </row>
    <row r="3353" spans="2:2" ht="23.25" customHeight="1">
      <c r="B3353" s="2669"/>
    </row>
    <row r="3354" spans="2:2" ht="23.25" customHeight="1">
      <c r="B3354" s="2669"/>
    </row>
    <row r="3355" spans="2:2" ht="23.25" customHeight="1">
      <c r="B3355" s="2669"/>
    </row>
    <row r="3356" spans="2:2" ht="23.25" customHeight="1">
      <c r="B3356" s="2669"/>
    </row>
    <row r="3357" spans="2:2" ht="23.25" customHeight="1">
      <c r="B3357" s="2669"/>
    </row>
    <row r="3358" spans="2:2" ht="23.25" customHeight="1">
      <c r="B3358" s="2669"/>
    </row>
    <row r="3359" spans="2:2" ht="23.25" customHeight="1">
      <c r="B3359" s="2669"/>
    </row>
    <row r="3360" spans="2:2" ht="23.25" customHeight="1">
      <c r="B3360" s="2669"/>
    </row>
    <row r="3361" spans="2:2" ht="23.25" customHeight="1">
      <c r="B3361" s="2669"/>
    </row>
    <row r="3362" spans="2:2" ht="23.25" customHeight="1">
      <c r="B3362" s="2669"/>
    </row>
    <row r="3363" spans="2:2" ht="23.25" customHeight="1">
      <c r="B3363" s="2669"/>
    </row>
    <row r="3364" spans="2:2" ht="23.25" customHeight="1">
      <c r="B3364" s="2669"/>
    </row>
    <row r="3365" spans="2:2" ht="23.25" customHeight="1">
      <c r="B3365" s="2669"/>
    </row>
    <row r="3366" spans="2:2" ht="23.25" customHeight="1">
      <c r="B3366" s="2669"/>
    </row>
    <row r="3367" spans="2:2" ht="23.25" customHeight="1">
      <c r="B3367" s="2669"/>
    </row>
    <row r="3368" spans="2:2" ht="23.25" customHeight="1">
      <c r="B3368" s="2669"/>
    </row>
    <row r="3369" spans="2:2" ht="23.25" customHeight="1">
      <c r="B3369" s="2669"/>
    </row>
    <row r="3370" spans="2:2" ht="23.25" customHeight="1">
      <c r="B3370" s="2669"/>
    </row>
    <row r="3371" spans="2:2" ht="23.25" customHeight="1">
      <c r="B3371" s="2669"/>
    </row>
    <row r="3372" spans="2:2" ht="23.25" customHeight="1">
      <c r="B3372" s="2669"/>
    </row>
    <row r="3373" spans="2:2" ht="23.25" customHeight="1">
      <c r="B3373" s="2669"/>
    </row>
    <row r="3374" spans="2:2" ht="23.25" customHeight="1">
      <c r="B3374" s="2669"/>
    </row>
    <row r="3375" spans="2:2" ht="23.25" customHeight="1">
      <c r="B3375" s="2669"/>
    </row>
    <row r="3376" spans="2:2" ht="23.25" customHeight="1">
      <c r="B3376" s="2669"/>
    </row>
    <row r="3377" spans="2:2" ht="23.25" customHeight="1">
      <c r="B3377" s="2669"/>
    </row>
    <row r="3378" spans="2:2" ht="23.25" customHeight="1">
      <c r="B3378" s="2669"/>
    </row>
    <row r="3379" spans="2:2" ht="23.25" customHeight="1">
      <c r="B3379" s="2669"/>
    </row>
    <row r="3380" spans="2:2" ht="23.25" customHeight="1">
      <c r="B3380" s="2669"/>
    </row>
    <row r="3381" spans="2:2" ht="23.25" customHeight="1">
      <c r="B3381" s="2669"/>
    </row>
    <row r="3382" spans="2:2" ht="23.25" customHeight="1">
      <c r="B3382" s="2669"/>
    </row>
    <row r="3383" spans="2:2" ht="23.25" customHeight="1">
      <c r="B3383" s="2669"/>
    </row>
    <row r="3384" spans="2:2" ht="23.25" customHeight="1">
      <c r="B3384" s="2669"/>
    </row>
    <row r="3385" spans="2:2" ht="23.25" customHeight="1">
      <c r="B3385" s="2669"/>
    </row>
    <row r="3386" spans="2:2" ht="23.25" customHeight="1">
      <c r="B3386" s="2669"/>
    </row>
    <row r="3387" spans="2:2" ht="23.25" customHeight="1">
      <c r="B3387" s="2669"/>
    </row>
    <row r="3388" spans="2:2" ht="23.25" customHeight="1">
      <c r="B3388" s="2669"/>
    </row>
    <row r="3389" spans="2:2" ht="23.25" customHeight="1">
      <c r="B3389" s="2669"/>
    </row>
    <row r="3390" spans="2:2" ht="23.25" customHeight="1">
      <c r="B3390" s="2669"/>
    </row>
    <row r="3391" spans="2:2" ht="23.25" customHeight="1">
      <c r="B3391" s="2669"/>
    </row>
    <row r="3392" spans="2:2" ht="23.25" customHeight="1">
      <c r="B3392" s="2669"/>
    </row>
    <row r="3393" spans="2:2" ht="23.25" customHeight="1">
      <c r="B3393" s="2669"/>
    </row>
    <row r="3394" spans="2:2" ht="23.25" customHeight="1">
      <c r="B3394" s="2669"/>
    </row>
    <row r="3395" spans="2:2" ht="23.25" customHeight="1">
      <c r="B3395" s="2669"/>
    </row>
    <row r="3396" spans="2:2" ht="23.25" customHeight="1">
      <c r="B3396" s="2669"/>
    </row>
    <row r="3397" spans="2:2" ht="23.25" customHeight="1">
      <c r="B3397" s="2669"/>
    </row>
    <row r="3398" spans="2:2" ht="23.25" customHeight="1">
      <c r="B3398" s="2669"/>
    </row>
    <row r="3399" spans="2:2" ht="23.25" customHeight="1">
      <c r="B3399" s="2669"/>
    </row>
    <row r="3400" spans="2:2" ht="23.25" customHeight="1">
      <c r="B3400" s="2669"/>
    </row>
    <row r="3401" spans="2:2" ht="23.25" customHeight="1">
      <c r="B3401" s="2669"/>
    </row>
    <row r="3402" spans="2:2" ht="23.25" customHeight="1">
      <c r="B3402" s="2669"/>
    </row>
    <row r="3403" spans="2:2" ht="23.25" customHeight="1">
      <c r="B3403" s="2669"/>
    </row>
    <row r="3404" spans="2:2" ht="23.25" customHeight="1">
      <c r="B3404" s="2669"/>
    </row>
    <row r="3405" spans="2:2" ht="23.25" customHeight="1">
      <c r="B3405" s="2669"/>
    </row>
    <row r="3406" spans="2:2" ht="23.25" customHeight="1">
      <c r="B3406" s="2669"/>
    </row>
    <row r="3407" spans="2:2" ht="23.25" customHeight="1">
      <c r="B3407" s="2669"/>
    </row>
    <row r="3408" spans="2:2" ht="23.25" customHeight="1">
      <c r="B3408" s="2669"/>
    </row>
    <row r="3409" spans="2:2" ht="23.25" customHeight="1">
      <c r="B3409" s="2669"/>
    </row>
    <row r="3410" spans="2:2" ht="23.25" customHeight="1">
      <c r="B3410" s="2669"/>
    </row>
    <row r="3411" spans="2:2" ht="23.25" customHeight="1">
      <c r="B3411" s="2669"/>
    </row>
    <row r="3412" spans="2:2" ht="23.25" customHeight="1">
      <c r="B3412" s="2669"/>
    </row>
    <row r="3413" spans="2:2" ht="23.25" customHeight="1">
      <c r="B3413" s="2669"/>
    </row>
    <row r="3414" spans="2:2" ht="23.25" customHeight="1">
      <c r="B3414" s="2669"/>
    </row>
    <row r="3415" spans="2:2" ht="23.25" customHeight="1">
      <c r="B3415" s="2669"/>
    </row>
    <row r="3416" spans="2:2" ht="23.25" customHeight="1">
      <c r="B3416" s="2669"/>
    </row>
    <row r="3417" spans="2:2" ht="23.25" customHeight="1">
      <c r="B3417" s="2669"/>
    </row>
    <row r="3418" spans="2:2" ht="23.25" customHeight="1">
      <c r="B3418" s="2669"/>
    </row>
    <row r="3419" spans="2:2" ht="23.25" customHeight="1">
      <c r="B3419" s="2669"/>
    </row>
    <row r="3420" spans="2:2" ht="23.25" customHeight="1">
      <c r="B3420" s="2669"/>
    </row>
    <row r="3421" spans="2:2" ht="23.25" customHeight="1">
      <c r="B3421" s="2669"/>
    </row>
    <row r="3422" spans="2:2" ht="23.25" customHeight="1">
      <c r="B3422" s="2669"/>
    </row>
    <row r="3423" spans="2:2" ht="23.25" customHeight="1">
      <c r="B3423" s="2669"/>
    </row>
    <row r="3424" spans="2:2" ht="23.25" customHeight="1">
      <c r="B3424" s="2669"/>
    </row>
    <row r="3425" spans="2:2" ht="23.25" customHeight="1">
      <c r="B3425" s="2669"/>
    </row>
    <row r="3426" spans="2:2" ht="23.25" customHeight="1">
      <c r="B3426" s="2669"/>
    </row>
    <row r="3427" spans="2:2" ht="23.25" customHeight="1">
      <c r="B3427" s="2669"/>
    </row>
    <row r="3428" spans="2:2" ht="23.25" customHeight="1">
      <c r="B3428" s="2669"/>
    </row>
    <row r="3429" spans="2:2" ht="23.25" customHeight="1">
      <c r="B3429" s="2669"/>
    </row>
    <row r="3430" spans="2:2" ht="23.25" customHeight="1">
      <c r="B3430" s="2669"/>
    </row>
    <row r="3431" spans="2:2" ht="23.25" customHeight="1">
      <c r="B3431" s="2669"/>
    </row>
    <row r="3432" spans="2:2" ht="23.25" customHeight="1">
      <c r="B3432" s="2669"/>
    </row>
    <row r="3433" spans="2:2" ht="23.25" customHeight="1">
      <c r="B3433" s="2669"/>
    </row>
    <row r="3434" spans="2:2" ht="23.25" customHeight="1">
      <c r="B3434" s="2669"/>
    </row>
    <row r="3435" spans="2:2" ht="23.25" customHeight="1">
      <c r="B3435" s="2669"/>
    </row>
    <row r="3436" spans="2:2" ht="23.25" customHeight="1">
      <c r="B3436" s="2669"/>
    </row>
    <row r="3437" spans="2:2" ht="23.25" customHeight="1">
      <c r="B3437" s="2669"/>
    </row>
    <row r="3438" spans="2:2" ht="23.25" customHeight="1">
      <c r="B3438" s="2669"/>
    </row>
    <row r="3439" spans="2:2" ht="23.25" customHeight="1">
      <c r="B3439" s="2669"/>
    </row>
    <row r="3440" spans="2:2" ht="23.25" customHeight="1">
      <c r="B3440" s="2669"/>
    </row>
    <row r="3441" spans="2:2" ht="23.25" customHeight="1">
      <c r="B3441" s="2669"/>
    </row>
    <row r="3442" spans="2:2" ht="23.25" customHeight="1">
      <c r="B3442" s="2669"/>
    </row>
    <row r="3443" spans="2:2" ht="23.25" customHeight="1">
      <c r="B3443" s="2669"/>
    </row>
    <row r="3444" spans="2:2" ht="23.25" customHeight="1">
      <c r="B3444" s="2669"/>
    </row>
    <row r="3445" spans="2:2" ht="23.25" customHeight="1">
      <c r="B3445" s="2669"/>
    </row>
    <row r="3446" spans="2:2" ht="23.25" customHeight="1">
      <c r="B3446" s="2669"/>
    </row>
    <row r="3447" spans="2:2" ht="23.25" customHeight="1">
      <c r="B3447" s="2669"/>
    </row>
    <row r="3448" spans="2:2" ht="23.25" customHeight="1">
      <c r="B3448" s="2669"/>
    </row>
    <row r="3449" spans="2:2" ht="23.25" customHeight="1">
      <c r="B3449" s="2669"/>
    </row>
    <row r="3450" spans="2:2" ht="23.25" customHeight="1">
      <c r="B3450" s="2669"/>
    </row>
    <row r="3451" spans="2:2" ht="23.25" customHeight="1">
      <c r="B3451" s="2669"/>
    </row>
    <row r="3452" spans="2:2" ht="23.25" customHeight="1">
      <c r="B3452" s="2669"/>
    </row>
    <row r="3453" spans="2:2" ht="23.25" customHeight="1">
      <c r="B3453" s="2669"/>
    </row>
    <row r="3454" spans="2:2" ht="23.25" customHeight="1">
      <c r="B3454" s="2669"/>
    </row>
    <row r="3455" spans="2:2" ht="23.25" customHeight="1">
      <c r="B3455" s="2669"/>
    </row>
    <row r="3456" spans="2:2" ht="23.25" customHeight="1">
      <c r="B3456" s="2669"/>
    </row>
    <row r="3457" spans="2:2" ht="23.25" customHeight="1">
      <c r="B3457" s="2669"/>
    </row>
    <row r="3458" spans="2:2" ht="23.25" customHeight="1">
      <c r="B3458" s="2669"/>
    </row>
    <row r="3459" spans="2:2" ht="23.25" customHeight="1">
      <c r="B3459" s="2669"/>
    </row>
    <row r="3460" spans="2:2" ht="23.25" customHeight="1">
      <c r="B3460" s="2669"/>
    </row>
    <row r="3461" spans="2:2" ht="23.25" customHeight="1">
      <c r="B3461" s="2669"/>
    </row>
    <row r="3462" spans="2:2" ht="23.25" customHeight="1">
      <c r="B3462" s="2669"/>
    </row>
    <row r="3463" spans="2:2" ht="23.25" customHeight="1">
      <c r="B3463" s="2669"/>
    </row>
    <row r="3464" spans="2:2" ht="23.25" customHeight="1">
      <c r="B3464" s="2669"/>
    </row>
    <row r="3465" spans="2:2" ht="23.25" customHeight="1">
      <c r="B3465" s="2669"/>
    </row>
    <row r="3466" spans="2:2" ht="23.25" customHeight="1">
      <c r="B3466" s="2669"/>
    </row>
    <row r="3467" spans="2:2" ht="23.25" customHeight="1">
      <c r="B3467" s="2669"/>
    </row>
    <row r="3468" spans="2:2" ht="23.25" customHeight="1">
      <c r="B3468" s="2669"/>
    </row>
    <row r="3469" spans="2:2" ht="23.25" customHeight="1">
      <c r="B3469" s="2669"/>
    </row>
    <row r="3470" spans="2:2" ht="23.25" customHeight="1">
      <c r="B3470" s="2669"/>
    </row>
    <row r="3471" spans="2:2" ht="23.25" customHeight="1">
      <c r="B3471" s="2669"/>
    </row>
    <row r="3472" spans="2:2" ht="23.25" customHeight="1">
      <c r="B3472" s="2669"/>
    </row>
    <row r="3473" spans="2:2" ht="23.25" customHeight="1">
      <c r="B3473" s="2669"/>
    </row>
    <row r="3474" spans="2:2" ht="23.25" customHeight="1">
      <c r="B3474" s="2669"/>
    </row>
    <row r="3475" spans="2:2" ht="23.25" customHeight="1">
      <c r="B3475" s="2669"/>
    </row>
    <row r="3476" spans="2:2" ht="23.25" customHeight="1">
      <c r="B3476" s="2669"/>
    </row>
    <row r="3477" spans="2:2" ht="23.25" customHeight="1">
      <c r="B3477" s="2669"/>
    </row>
    <row r="3478" spans="2:2" ht="23.25" customHeight="1">
      <c r="B3478" s="2669"/>
    </row>
    <row r="3479" spans="2:2" ht="23.25" customHeight="1">
      <c r="B3479" s="2669"/>
    </row>
    <row r="3480" spans="2:2" ht="23.25" customHeight="1">
      <c r="B3480" s="2669"/>
    </row>
    <row r="3481" spans="2:2" ht="23.25" customHeight="1">
      <c r="B3481" s="2669"/>
    </row>
    <row r="3482" spans="2:2" ht="23.25" customHeight="1">
      <c r="B3482" s="2669"/>
    </row>
    <row r="3483" spans="2:2" ht="23.25" customHeight="1">
      <c r="B3483" s="2669"/>
    </row>
    <row r="3484" spans="2:2" ht="23.25" customHeight="1">
      <c r="B3484" s="2669"/>
    </row>
    <row r="3485" spans="2:2" ht="23.25" customHeight="1">
      <c r="B3485" s="2669"/>
    </row>
    <row r="3486" spans="2:2" ht="23.25" customHeight="1">
      <c r="B3486" s="2669"/>
    </row>
    <row r="3487" spans="2:2" ht="23.25" customHeight="1">
      <c r="B3487" s="2669"/>
    </row>
    <row r="3488" spans="2:2" ht="23.25" customHeight="1">
      <c r="B3488" s="2669"/>
    </row>
    <row r="3489" spans="2:2" ht="23.25" customHeight="1">
      <c r="B3489" s="2669"/>
    </row>
    <row r="3490" spans="2:2" ht="23.25" customHeight="1">
      <c r="B3490" s="2669"/>
    </row>
    <row r="3491" spans="2:2" ht="23.25" customHeight="1">
      <c r="B3491" s="2669"/>
    </row>
    <row r="3492" spans="2:2" ht="23.25" customHeight="1">
      <c r="B3492" s="2669"/>
    </row>
    <row r="3493" spans="2:2" ht="23.25" customHeight="1">
      <c r="B3493" s="2669"/>
    </row>
    <row r="3494" spans="2:2" ht="23.25" customHeight="1">
      <c r="B3494" s="2669"/>
    </row>
    <row r="3495" spans="2:2" ht="23.25" customHeight="1">
      <c r="B3495" s="2669"/>
    </row>
    <row r="3496" spans="2:2" ht="23.25" customHeight="1">
      <c r="B3496" s="2669"/>
    </row>
    <row r="3497" spans="2:2" ht="23.25" customHeight="1">
      <c r="B3497" s="2669"/>
    </row>
    <row r="3498" spans="2:2" ht="23.25" customHeight="1">
      <c r="B3498" s="2669"/>
    </row>
    <row r="3499" spans="2:2" ht="23.25" customHeight="1">
      <c r="B3499" s="2669"/>
    </row>
    <row r="3500" spans="2:2" ht="23.25" customHeight="1">
      <c r="B3500" s="2669"/>
    </row>
    <row r="3501" spans="2:2" ht="23.25" customHeight="1">
      <c r="B3501" s="2669"/>
    </row>
    <row r="3502" spans="2:2" ht="23.25" customHeight="1">
      <c r="B3502" s="2669"/>
    </row>
    <row r="3503" spans="2:2" ht="23.25" customHeight="1">
      <c r="B3503" s="2669"/>
    </row>
    <row r="3504" spans="2:2" ht="23.25" customHeight="1">
      <c r="B3504" s="2669"/>
    </row>
    <row r="3505" spans="2:2" ht="23.25" customHeight="1">
      <c r="B3505" s="2669"/>
    </row>
    <row r="3506" spans="2:2" ht="23.25" customHeight="1">
      <c r="B3506" s="2669"/>
    </row>
    <row r="3507" spans="2:2" ht="23.25" customHeight="1">
      <c r="B3507" s="2669"/>
    </row>
    <row r="3508" spans="2:2" ht="23.25" customHeight="1">
      <c r="B3508" s="2669"/>
    </row>
    <row r="3509" spans="2:2" ht="23.25" customHeight="1">
      <c r="B3509" s="2669"/>
    </row>
    <row r="3510" spans="2:2" ht="23.25" customHeight="1">
      <c r="B3510" s="2669"/>
    </row>
    <row r="3511" spans="2:2" ht="23.25" customHeight="1">
      <c r="B3511" s="2669"/>
    </row>
    <row r="3512" spans="2:2" ht="23.25" customHeight="1">
      <c r="B3512" s="2669"/>
    </row>
    <row r="3513" spans="2:2" ht="23.25" customHeight="1">
      <c r="B3513" s="2669"/>
    </row>
    <row r="3514" spans="2:2" ht="23.25" customHeight="1">
      <c r="B3514" s="2669"/>
    </row>
    <row r="3515" spans="2:2" ht="23.25" customHeight="1">
      <c r="B3515" s="2669"/>
    </row>
    <row r="3516" spans="2:2" ht="23.25" customHeight="1">
      <c r="B3516" s="2669"/>
    </row>
    <row r="3517" spans="2:2" ht="23.25" customHeight="1">
      <c r="B3517" s="2669"/>
    </row>
    <row r="3518" spans="2:2" ht="23.25" customHeight="1">
      <c r="B3518" s="2669"/>
    </row>
    <row r="3519" spans="2:2" ht="23.25" customHeight="1">
      <c r="B3519" s="2669"/>
    </row>
    <row r="3520" spans="2:2" ht="23.25" customHeight="1">
      <c r="B3520" s="2669"/>
    </row>
    <row r="3521" spans="2:2" ht="23.25" customHeight="1">
      <c r="B3521" s="2669"/>
    </row>
    <row r="3522" spans="2:2" ht="23.25" customHeight="1">
      <c r="B3522" s="2669"/>
    </row>
    <row r="3523" spans="2:2" ht="23.25" customHeight="1">
      <c r="B3523" s="2669"/>
    </row>
    <row r="3524" spans="2:2" ht="23.25" customHeight="1">
      <c r="B3524" s="2669"/>
    </row>
    <row r="3525" spans="2:2" ht="23.25" customHeight="1">
      <c r="B3525" s="2669"/>
    </row>
    <row r="3526" spans="2:2" ht="23.25" customHeight="1">
      <c r="B3526" s="2669"/>
    </row>
    <row r="3527" spans="2:2" ht="23.25" customHeight="1">
      <c r="B3527" s="2669"/>
    </row>
    <row r="3528" spans="2:2" ht="23.25" customHeight="1">
      <c r="B3528" s="2669"/>
    </row>
    <row r="3529" spans="2:2" ht="23.25" customHeight="1">
      <c r="B3529" s="2669"/>
    </row>
    <row r="3530" spans="2:2" ht="23.25" customHeight="1">
      <c r="B3530" s="2669"/>
    </row>
    <row r="3531" spans="2:2" ht="23.25" customHeight="1">
      <c r="B3531" s="2669"/>
    </row>
    <row r="3532" spans="2:2" ht="23.25" customHeight="1">
      <c r="B3532" s="2669"/>
    </row>
    <row r="3533" spans="2:2" ht="23.25" customHeight="1">
      <c r="B3533" s="2669"/>
    </row>
    <row r="3534" spans="2:2" ht="23.25" customHeight="1">
      <c r="B3534" s="2669"/>
    </row>
    <row r="3535" spans="2:2" ht="23.25" customHeight="1">
      <c r="B3535" s="2669"/>
    </row>
    <row r="3536" spans="2:2" ht="23.25" customHeight="1">
      <c r="B3536" s="2669"/>
    </row>
    <row r="3537" spans="2:2" ht="23.25" customHeight="1">
      <c r="B3537" s="2669"/>
    </row>
    <row r="3538" spans="2:2" ht="23.25" customHeight="1">
      <c r="B3538" s="2669"/>
    </row>
    <row r="3539" spans="2:2" ht="23.25" customHeight="1">
      <c r="B3539" s="2669"/>
    </row>
    <row r="3540" spans="2:2" ht="23.25" customHeight="1">
      <c r="B3540" s="2669"/>
    </row>
    <row r="3541" spans="2:2" ht="23.25" customHeight="1">
      <c r="B3541" s="2669"/>
    </row>
    <row r="3542" spans="2:2" ht="23.25" customHeight="1">
      <c r="B3542" s="2669"/>
    </row>
    <row r="3543" spans="2:2" ht="23.25" customHeight="1">
      <c r="B3543" s="2669"/>
    </row>
    <row r="3544" spans="2:2" ht="23.25" customHeight="1">
      <c r="B3544" s="2669"/>
    </row>
    <row r="3545" spans="2:2" ht="23.25" customHeight="1">
      <c r="B3545" s="2669"/>
    </row>
    <row r="3546" spans="2:2" ht="23.25" customHeight="1">
      <c r="B3546" s="2669"/>
    </row>
    <row r="3547" spans="2:2" ht="23.25" customHeight="1">
      <c r="B3547" s="2669"/>
    </row>
    <row r="3548" spans="2:2" ht="23.25" customHeight="1">
      <c r="B3548" s="2669"/>
    </row>
    <row r="3549" spans="2:2" ht="23.25" customHeight="1">
      <c r="B3549" s="2669"/>
    </row>
    <row r="3550" spans="2:2" ht="23.25" customHeight="1">
      <c r="B3550" s="2669"/>
    </row>
    <row r="3551" spans="2:2" ht="23.25" customHeight="1">
      <c r="B3551" s="2669"/>
    </row>
    <row r="3552" spans="2:2" ht="23.25" customHeight="1">
      <c r="B3552" s="2669"/>
    </row>
    <row r="3553" spans="2:2" ht="23.25" customHeight="1">
      <c r="B3553" s="2669"/>
    </row>
    <row r="3554" spans="2:2" ht="23.25" customHeight="1">
      <c r="B3554" s="2669"/>
    </row>
    <row r="3555" spans="2:2" ht="23.25" customHeight="1">
      <c r="B3555" s="2669"/>
    </row>
    <row r="3556" spans="2:2" ht="23.25" customHeight="1">
      <c r="B3556" s="2669"/>
    </row>
    <row r="3557" spans="2:2" ht="23.25" customHeight="1">
      <c r="B3557" s="2669"/>
    </row>
    <row r="3558" spans="2:2" ht="23.25" customHeight="1">
      <c r="B3558" s="2669"/>
    </row>
    <row r="3559" spans="2:2" ht="23.25" customHeight="1">
      <c r="B3559" s="2669"/>
    </row>
    <row r="3560" spans="2:2" ht="23.25" customHeight="1">
      <c r="B3560" s="2669"/>
    </row>
    <row r="3561" spans="2:2" ht="23.25" customHeight="1">
      <c r="B3561" s="2669"/>
    </row>
    <row r="3562" spans="2:2" ht="23.25" customHeight="1">
      <c r="B3562" s="2669"/>
    </row>
    <row r="3563" spans="2:2" ht="23.25" customHeight="1">
      <c r="B3563" s="2669"/>
    </row>
    <row r="3564" spans="2:2" ht="23.25" customHeight="1">
      <c r="B3564" s="2669"/>
    </row>
    <row r="3565" spans="2:2" ht="23.25" customHeight="1">
      <c r="B3565" s="2669"/>
    </row>
    <row r="3566" spans="2:2" ht="23.25" customHeight="1">
      <c r="B3566" s="2669"/>
    </row>
    <row r="3567" spans="2:2" ht="23.25" customHeight="1">
      <c r="B3567" s="2669"/>
    </row>
    <row r="3568" spans="2:2" ht="23.25" customHeight="1">
      <c r="B3568" s="2669"/>
    </row>
    <row r="3569" spans="2:2" ht="23.25" customHeight="1">
      <c r="B3569" s="2669"/>
    </row>
    <row r="3570" spans="2:2" ht="23.25" customHeight="1">
      <c r="B3570" s="2669"/>
    </row>
    <row r="3571" spans="2:2" ht="23.25" customHeight="1">
      <c r="B3571" s="2669"/>
    </row>
    <row r="3572" spans="2:2" ht="23.25" customHeight="1">
      <c r="B3572" s="2669"/>
    </row>
    <row r="3573" spans="2:2" ht="23.25" customHeight="1">
      <c r="B3573" s="2669"/>
    </row>
    <row r="3574" spans="2:2" ht="23.25" customHeight="1">
      <c r="B3574" s="2669"/>
    </row>
    <row r="3575" spans="2:2" ht="23.25" customHeight="1">
      <c r="B3575" s="2669"/>
    </row>
    <row r="3576" spans="2:2" ht="23.25" customHeight="1">
      <c r="B3576" s="2669"/>
    </row>
    <row r="3577" spans="2:2" ht="23.25" customHeight="1">
      <c r="B3577" s="2669"/>
    </row>
    <row r="3578" spans="2:2" ht="23.25" customHeight="1">
      <c r="B3578" s="2669"/>
    </row>
    <row r="3579" spans="2:2" ht="23.25" customHeight="1">
      <c r="B3579" s="2669"/>
    </row>
    <row r="3580" spans="2:2" ht="23.25" customHeight="1">
      <c r="B3580" s="2669"/>
    </row>
    <row r="3581" spans="2:2" ht="23.25" customHeight="1">
      <c r="B3581" s="2669"/>
    </row>
    <row r="3582" spans="2:2" ht="23.25" customHeight="1">
      <c r="B3582" s="2669"/>
    </row>
    <row r="3583" spans="2:2" ht="23.25" customHeight="1">
      <c r="B3583" s="2669"/>
    </row>
    <row r="3584" spans="2:2" ht="23.25" customHeight="1">
      <c r="B3584" s="2669"/>
    </row>
    <row r="3585" spans="2:2" ht="23.25" customHeight="1">
      <c r="B3585" s="2669"/>
    </row>
    <row r="3586" spans="2:2" ht="23.25" customHeight="1">
      <c r="B3586" s="2669"/>
    </row>
    <row r="3587" spans="2:2" ht="23.25" customHeight="1">
      <c r="B3587" s="2669"/>
    </row>
    <row r="3588" spans="2:2" ht="23.25" customHeight="1">
      <c r="B3588" s="2669"/>
    </row>
    <row r="3589" spans="2:2" ht="23.25" customHeight="1">
      <c r="B3589" s="2669"/>
    </row>
    <row r="3590" spans="2:2" ht="23.25" customHeight="1">
      <c r="B3590" s="2669"/>
    </row>
    <row r="3591" spans="2:2" ht="23.25" customHeight="1">
      <c r="B3591" s="2669"/>
    </row>
    <row r="3592" spans="2:2" ht="23.25" customHeight="1">
      <c r="B3592" s="2669"/>
    </row>
    <row r="3593" spans="2:2" ht="23.25" customHeight="1">
      <c r="B3593" s="2669"/>
    </row>
    <row r="3594" spans="2:2" ht="23.25" customHeight="1">
      <c r="B3594" s="2669"/>
    </row>
    <row r="3595" spans="2:2" ht="23.25" customHeight="1">
      <c r="B3595" s="2669"/>
    </row>
    <row r="3596" spans="2:2" ht="23.25" customHeight="1">
      <c r="B3596" s="2669"/>
    </row>
    <row r="3597" spans="2:2" ht="23.25" customHeight="1">
      <c r="B3597" s="2669"/>
    </row>
    <row r="3598" spans="2:2" ht="23.25" customHeight="1">
      <c r="B3598" s="2669"/>
    </row>
    <row r="3599" spans="2:2" ht="23.25" customHeight="1">
      <c r="B3599" s="2669"/>
    </row>
    <row r="3600" spans="2:2" ht="23.25" customHeight="1">
      <c r="B3600" s="2669"/>
    </row>
    <row r="3601" spans="2:2" ht="23.25" customHeight="1">
      <c r="B3601" s="2669"/>
    </row>
    <row r="3602" spans="2:2" ht="23.25" customHeight="1">
      <c r="B3602" s="2669"/>
    </row>
    <row r="3603" spans="2:2" ht="23.25" customHeight="1">
      <c r="B3603" s="2669"/>
    </row>
    <row r="3604" spans="2:2" ht="23.25" customHeight="1">
      <c r="B3604" s="2669"/>
    </row>
    <row r="3605" spans="2:2" ht="23.25" customHeight="1">
      <c r="B3605" s="2669"/>
    </row>
    <row r="3606" spans="2:2" ht="23.25" customHeight="1">
      <c r="B3606" s="2669"/>
    </row>
    <row r="3607" spans="2:2" ht="23.25" customHeight="1">
      <c r="B3607" s="2669"/>
    </row>
    <row r="3608" spans="2:2" ht="23.25" customHeight="1">
      <c r="B3608" s="2669"/>
    </row>
    <row r="3609" spans="2:2" ht="23.25" customHeight="1">
      <c r="B3609" s="2669"/>
    </row>
    <row r="3610" spans="2:2" ht="23.25" customHeight="1">
      <c r="B3610" s="2669"/>
    </row>
    <row r="3611" spans="2:2" ht="23.25" customHeight="1">
      <c r="B3611" s="2669"/>
    </row>
    <row r="3612" spans="2:2" ht="23.25" customHeight="1">
      <c r="B3612" s="2669"/>
    </row>
    <row r="3613" spans="2:2" ht="23.25" customHeight="1">
      <c r="B3613" s="2669"/>
    </row>
    <row r="3614" spans="2:2" ht="23.25" customHeight="1">
      <c r="B3614" s="2669"/>
    </row>
    <row r="3615" spans="2:2" ht="23.25" customHeight="1">
      <c r="B3615" s="2669"/>
    </row>
    <row r="3616" spans="2:2" ht="23.25" customHeight="1">
      <c r="B3616" s="2669"/>
    </row>
    <row r="3617" spans="2:2" ht="23.25" customHeight="1">
      <c r="B3617" s="2669"/>
    </row>
    <row r="3618" spans="2:2" ht="23.25" customHeight="1">
      <c r="B3618" s="2669"/>
    </row>
    <row r="3619" spans="2:2" ht="23.25" customHeight="1">
      <c r="B3619" s="2669"/>
    </row>
    <row r="3620" spans="2:2" ht="23.25" customHeight="1">
      <c r="B3620" s="2669"/>
    </row>
    <row r="3621" spans="2:2" ht="23.25" customHeight="1">
      <c r="B3621" s="2669"/>
    </row>
    <row r="3622" spans="2:2" ht="23.25" customHeight="1">
      <c r="B3622" s="2669"/>
    </row>
    <row r="3623" spans="2:2" ht="23.25" customHeight="1">
      <c r="B3623" s="2669"/>
    </row>
    <row r="3624" spans="2:2" ht="23.25" customHeight="1">
      <c r="B3624" s="2669"/>
    </row>
    <row r="3625" spans="2:2" ht="23.25" customHeight="1">
      <c r="B3625" s="2669"/>
    </row>
    <row r="3626" spans="2:2" ht="23.25" customHeight="1">
      <c r="B3626" s="2669"/>
    </row>
    <row r="3627" spans="2:2" ht="23.25" customHeight="1">
      <c r="B3627" s="2669"/>
    </row>
    <row r="3628" spans="2:2" ht="23.25" customHeight="1">
      <c r="B3628" s="2669"/>
    </row>
    <row r="3629" spans="2:2" ht="23.25" customHeight="1">
      <c r="B3629" s="2669"/>
    </row>
    <row r="3630" spans="2:2" ht="23.25" customHeight="1">
      <c r="B3630" s="2669"/>
    </row>
    <row r="3631" spans="2:2" ht="23.25" customHeight="1">
      <c r="B3631" s="2669"/>
    </row>
    <row r="3632" spans="2:2" ht="23.25" customHeight="1">
      <c r="B3632" s="2669"/>
    </row>
    <row r="3633" spans="2:2" ht="23.25" customHeight="1">
      <c r="B3633" s="2669"/>
    </row>
    <row r="3634" spans="2:2" ht="23.25" customHeight="1">
      <c r="B3634" s="2669"/>
    </row>
    <row r="3635" spans="2:2" ht="23.25" customHeight="1">
      <c r="B3635" s="2669"/>
    </row>
    <row r="3636" spans="2:2" ht="23.25" customHeight="1">
      <c r="B3636" s="2669"/>
    </row>
    <row r="3637" spans="2:2" ht="23.25" customHeight="1">
      <c r="B3637" s="2669"/>
    </row>
    <row r="3638" spans="2:2" ht="23.25" customHeight="1">
      <c r="B3638" s="2669"/>
    </row>
    <row r="3639" spans="2:2" ht="23.25" customHeight="1">
      <c r="B3639" s="2669"/>
    </row>
    <row r="3640" spans="2:2" ht="23.25" customHeight="1">
      <c r="B3640" s="2669"/>
    </row>
    <row r="3641" spans="2:2" ht="23.25" customHeight="1">
      <c r="B3641" s="2669"/>
    </row>
    <row r="3642" spans="2:2" ht="23.25" customHeight="1">
      <c r="B3642" s="2669"/>
    </row>
    <row r="3643" spans="2:2" ht="23.25" customHeight="1">
      <c r="B3643" s="2669"/>
    </row>
    <row r="3644" spans="2:2" ht="23.25" customHeight="1">
      <c r="B3644" s="2669"/>
    </row>
    <row r="3645" spans="2:2" ht="23.25" customHeight="1">
      <c r="B3645" s="2669"/>
    </row>
    <row r="3646" spans="2:2" ht="23.25" customHeight="1">
      <c r="B3646" s="2669"/>
    </row>
    <row r="3647" spans="2:2" ht="23.25" customHeight="1">
      <c r="B3647" s="2669"/>
    </row>
    <row r="3648" spans="2:2" ht="23.25" customHeight="1">
      <c r="B3648" s="2669"/>
    </row>
    <row r="3649" spans="2:2" ht="23.25" customHeight="1">
      <c r="B3649" s="2669"/>
    </row>
    <row r="3650" spans="2:2" ht="23.25" customHeight="1">
      <c r="B3650" s="2669"/>
    </row>
    <row r="3651" spans="2:2" ht="23.25" customHeight="1">
      <c r="B3651" s="2669"/>
    </row>
    <row r="3652" spans="2:2" ht="23.25" customHeight="1">
      <c r="B3652" s="2669"/>
    </row>
    <row r="3653" spans="2:2" ht="23.25" customHeight="1">
      <c r="B3653" s="2669"/>
    </row>
    <row r="3654" spans="2:2" ht="23.25" customHeight="1">
      <c r="B3654" s="2669"/>
    </row>
    <row r="3655" spans="2:2" ht="23.25" customHeight="1">
      <c r="B3655" s="2669"/>
    </row>
    <row r="3656" spans="2:2" ht="23.25" customHeight="1">
      <c r="B3656" s="2669"/>
    </row>
    <row r="3657" spans="2:2" ht="23.25" customHeight="1">
      <c r="B3657" s="2669"/>
    </row>
    <row r="3658" spans="2:2" ht="23.25" customHeight="1">
      <c r="B3658" s="2669"/>
    </row>
    <row r="3659" spans="2:2" ht="23.25" customHeight="1">
      <c r="B3659" s="2669"/>
    </row>
    <row r="3660" spans="2:2" ht="23.25" customHeight="1">
      <c r="B3660" s="2669"/>
    </row>
    <row r="3661" spans="2:2" ht="23.25" customHeight="1">
      <c r="B3661" s="2669"/>
    </row>
    <row r="3662" spans="2:2" ht="23.25" customHeight="1">
      <c r="B3662" s="2669"/>
    </row>
    <row r="3663" spans="2:2" ht="23.25" customHeight="1">
      <c r="B3663" s="2669"/>
    </row>
    <row r="3664" spans="2:2" ht="23.25" customHeight="1">
      <c r="B3664" s="2669"/>
    </row>
    <row r="3665" spans="2:2" ht="23.25" customHeight="1">
      <c r="B3665" s="2669"/>
    </row>
    <row r="3666" spans="2:2" ht="23.25" customHeight="1">
      <c r="B3666" s="2669"/>
    </row>
    <row r="3667" spans="2:2" ht="23.25" customHeight="1">
      <c r="B3667" s="2669"/>
    </row>
    <row r="3668" spans="2:2" ht="23.25" customHeight="1">
      <c r="B3668" s="2669"/>
    </row>
    <row r="3669" spans="2:2" ht="23.25" customHeight="1">
      <c r="B3669" s="2669"/>
    </row>
    <row r="3670" spans="2:2" ht="23.25" customHeight="1">
      <c r="B3670" s="2669"/>
    </row>
    <row r="3671" spans="2:2" ht="23.25" customHeight="1">
      <c r="B3671" s="2669"/>
    </row>
    <row r="3672" spans="2:2" ht="23.25" customHeight="1">
      <c r="B3672" s="2669"/>
    </row>
    <row r="3673" spans="2:2" ht="23.25" customHeight="1">
      <c r="B3673" s="2669"/>
    </row>
    <row r="3674" spans="2:2" ht="23.25" customHeight="1">
      <c r="B3674" s="2669"/>
    </row>
    <row r="3675" spans="2:2" ht="23.25" customHeight="1">
      <c r="B3675" s="2669"/>
    </row>
    <row r="3676" spans="2:2" ht="23.25" customHeight="1">
      <c r="B3676" s="2669"/>
    </row>
    <row r="3677" spans="2:2" ht="23.25" customHeight="1">
      <c r="B3677" s="2669"/>
    </row>
    <row r="3678" spans="2:2" ht="23.25" customHeight="1">
      <c r="B3678" s="2669"/>
    </row>
    <row r="3679" spans="2:2" ht="23.25" customHeight="1">
      <c r="B3679" s="2669"/>
    </row>
    <row r="3680" spans="2:2" ht="23.25" customHeight="1">
      <c r="B3680" s="2669"/>
    </row>
    <row r="3681" spans="2:2" ht="23.25" customHeight="1">
      <c r="B3681" s="2669"/>
    </row>
    <row r="3682" spans="2:2" ht="23.25" customHeight="1">
      <c r="B3682" s="2669"/>
    </row>
    <row r="3683" spans="2:2" ht="23.25" customHeight="1">
      <c r="B3683" s="2669"/>
    </row>
    <row r="3684" spans="2:2" ht="23.25" customHeight="1">
      <c r="B3684" s="2669"/>
    </row>
    <row r="3685" spans="2:2" ht="23.25" customHeight="1">
      <c r="B3685" s="2669"/>
    </row>
    <row r="3686" spans="2:2" ht="23.25" customHeight="1">
      <c r="B3686" s="2669"/>
    </row>
    <row r="3687" spans="2:2" ht="23.25" customHeight="1">
      <c r="B3687" s="2669"/>
    </row>
    <row r="3688" spans="2:2" ht="23.25" customHeight="1">
      <c r="B3688" s="2669"/>
    </row>
    <row r="3689" spans="2:2" ht="23.25" customHeight="1">
      <c r="B3689" s="2669"/>
    </row>
    <row r="3690" spans="2:2" ht="23.25" customHeight="1">
      <c r="B3690" s="2669"/>
    </row>
    <row r="3691" spans="2:2" ht="23.25" customHeight="1">
      <c r="B3691" s="2669"/>
    </row>
    <row r="3692" spans="2:2" ht="23.25" customHeight="1">
      <c r="B3692" s="2669"/>
    </row>
    <row r="3693" spans="2:2" ht="23.25" customHeight="1">
      <c r="B3693" s="2669"/>
    </row>
    <row r="3694" spans="2:2" ht="23.25" customHeight="1">
      <c r="B3694" s="2669"/>
    </row>
    <row r="3695" spans="2:2" ht="23.25" customHeight="1">
      <c r="B3695" s="2669"/>
    </row>
    <row r="3696" spans="2:2" ht="23.25" customHeight="1">
      <c r="B3696" s="2669"/>
    </row>
    <row r="3697" spans="2:2" ht="23.25" customHeight="1">
      <c r="B3697" s="2669"/>
    </row>
    <row r="3698" spans="2:2" ht="23.25" customHeight="1">
      <c r="B3698" s="2669"/>
    </row>
    <row r="3699" spans="2:2" ht="23.25" customHeight="1">
      <c r="B3699" s="2669"/>
    </row>
    <row r="3700" spans="2:2" ht="23.25" customHeight="1">
      <c r="B3700" s="2669"/>
    </row>
    <row r="3701" spans="2:2" ht="23.25" customHeight="1">
      <c r="B3701" s="2669"/>
    </row>
    <row r="3702" spans="2:2" ht="23.25" customHeight="1">
      <c r="B3702" s="2669"/>
    </row>
    <row r="3703" spans="2:2" ht="23.25" customHeight="1">
      <c r="B3703" s="2669"/>
    </row>
    <row r="3704" spans="2:2" ht="23.25" customHeight="1">
      <c r="B3704" s="2669"/>
    </row>
    <row r="3705" spans="2:2" ht="23.25" customHeight="1">
      <c r="B3705" s="2669"/>
    </row>
    <row r="3706" spans="2:2" ht="23.25" customHeight="1">
      <c r="B3706" s="2669"/>
    </row>
    <row r="3707" spans="2:2" ht="23.25" customHeight="1">
      <c r="B3707" s="2669"/>
    </row>
    <row r="3708" spans="2:2" ht="23.25" customHeight="1">
      <c r="B3708" s="2669"/>
    </row>
    <row r="3709" spans="2:2" ht="23.25" customHeight="1">
      <c r="B3709" s="2669"/>
    </row>
    <row r="3710" spans="2:2" ht="23.25" customHeight="1">
      <c r="B3710" s="2669"/>
    </row>
    <row r="3711" spans="2:2" ht="23.25" customHeight="1">
      <c r="B3711" s="2669"/>
    </row>
    <row r="3712" spans="2:2" ht="23.25" customHeight="1">
      <c r="B3712" s="2669"/>
    </row>
    <row r="3713" spans="2:2" ht="23.25" customHeight="1">
      <c r="B3713" s="2669"/>
    </row>
    <row r="3714" spans="2:2" ht="23.25" customHeight="1">
      <c r="B3714" s="2669"/>
    </row>
    <row r="3715" spans="2:2" ht="23.25" customHeight="1">
      <c r="B3715" s="2669"/>
    </row>
    <row r="3716" spans="2:2" ht="23.25" customHeight="1">
      <c r="B3716" s="2669"/>
    </row>
    <row r="3717" spans="2:2" ht="23.25" customHeight="1">
      <c r="B3717" s="2669"/>
    </row>
    <row r="3718" spans="2:2" ht="23.25" customHeight="1">
      <c r="B3718" s="2669"/>
    </row>
    <row r="3719" spans="2:2" ht="23.25" customHeight="1">
      <c r="B3719" s="2669"/>
    </row>
    <row r="3720" spans="2:2" ht="23.25" customHeight="1">
      <c r="B3720" s="2669"/>
    </row>
    <row r="3721" spans="2:2" ht="23.25" customHeight="1">
      <c r="B3721" s="2669"/>
    </row>
    <row r="3722" spans="2:2" ht="23.25" customHeight="1">
      <c r="B3722" s="2669"/>
    </row>
    <row r="3723" spans="2:2" ht="23.25" customHeight="1">
      <c r="B3723" s="2669"/>
    </row>
    <row r="3724" spans="2:2" ht="23.25" customHeight="1">
      <c r="B3724" s="2669"/>
    </row>
    <row r="3725" spans="2:2" ht="23.25" customHeight="1">
      <c r="B3725" s="2669"/>
    </row>
    <row r="3726" spans="2:2" ht="23.25" customHeight="1">
      <c r="B3726" s="2669"/>
    </row>
    <row r="3727" spans="2:2" ht="23.25" customHeight="1">
      <c r="B3727" s="2669"/>
    </row>
    <row r="3728" spans="2:2" ht="23.25" customHeight="1">
      <c r="B3728" s="2669"/>
    </row>
    <row r="3729" spans="2:2" ht="23.25" customHeight="1">
      <c r="B3729" s="2669"/>
    </row>
    <row r="3730" spans="2:2" ht="23.25" customHeight="1">
      <c r="B3730" s="2669"/>
    </row>
    <row r="3731" spans="2:2" ht="23.25" customHeight="1">
      <c r="B3731" s="2669"/>
    </row>
    <row r="3732" spans="2:2" ht="23.25" customHeight="1">
      <c r="B3732" s="2669"/>
    </row>
    <row r="3733" spans="2:2" ht="23.25" customHeight="1">
      <c r="B3733" s="2669"/>
    </row>
    <row r="3734" spans="2:2" ht="23.25" customHeight="1">
      <c r="B3734" s="2669"/>
    </row>
    <row r="3735" spans="2:2" ht="23.25" customHeight="1">
      <c r="B3735" s="2669"/>
    </row>
    <row r="3736" spans="2:2" ht="23.25" customHeight="1">
      <c r="B3736" s="2669"/>
    </row>
    <row r="3737" spans="2:2" ht="23.25" customHeight="1">
      <c r="B3737" s="2669"/>
    </row>
    <row r="3738" spans="2:2" ht="23.25" customHeight="1">
      <c r="B3738" s="2669"/>
    </row>
    <row r="3739" spans="2:2" ht="23.25" customHeight="1">
      <c r="B3739" s="2669"/>
    </row>
    <row r="3740" spans="2:2" ht="23.25" customHeight="1">
      <c r="B3740" s="2669"/>
    </row>
    <row r="3741" spans="2:2" ht="23.25" customHeight="1">
      <c r="B3741" s="2669"/>
    </row>
    <row r="3742" spans="2:2" ht="23.25" customHeight="1">
      <c r="B3742" s="2669"/>
    </row>
    <row r="3743" spans="2:2" ht="23.25" customHeight="1">
      <c r="B3743" s="2669"/>
    </row>
    <row r="3744" spans="2:2" ht="23.25" customHeight="1">
      <c r="B3744" s="2669"/>
    </row>
    <row r="3745" spans="2:2" ht="23.25" customHeight="1">
      <c r="B3745" s="2669"/>
    </row>
    <row r="3746" spans="2:2" ht="23.25" customHeight="1">
      <c r="B3746" s="2669"/>
    </row>
    <row r="3747" spans="2:2" ht="23.25" customHeight="1">
      <c r="B3747" s="2669"/>
    </row>
    <row r="3748" spans="2:2" ht="23.25" customHeight="1">
      <c r="B3748" s="2669"/>
    </row>
    <row r="3749" spans="2:2" ht="23.25" customHeight="1">
      <c r="B3749" s="2669"/>
    </row>
    <row r="3750" spans="2:2" ht="23.25" customHeight="1">
      <c r="B3750" s="2669"/>
    </row>
    <row r="3751" spans="2:2" ht="23.25" customHeight="1">
      <c r="B3751" s="2669"/>
    </row>
    <row r="3752" spans="2:2" ht="23.25" customHeight="1">
      <c r="B3752" s="2669"/>
    </row>
    <row r="3753" spans="2:2" ht="23.25" customHeight="1">
      <c r="B3753" s="2669"/>
    </row>
    <row r="3754" spans="2:2" ht="23.25" customHeight="1">
      <c r="B3754" s="2669"/>
    </row>
    <row r="3755" spans="2:2" ht="23.25" customHeight="1">
      <c r="B3755" s="2669"/>
    </row>
    <row r="3756" spans="2:2" ht="23.25" customHeight="1">
      <c r="B3756" s="2669"/>
    </row>
    <row r="3757" spans="2:2" ht="23.25" customHeight="1">
      <c r="B3757" s="2669"/>
    </row>
    <row r="3758" spans="2:2" ht="23.25" customHeight="1">
      <c r="B3758" s="2669"/>
    </row>
    <row r="3759" spans="2:2" ht="23.25" customHeight="1">
      <c r="B3759" s="2669"/>
    </row>
    <row r="3760" spans="2:2" ht="23.25" customHeight="1">
      <c r="B3760" s="2669"/>
    </row>
    <row r="3761" spans="2:2" ht="23.25" customHeight="1">
      <c r="B3761" s="2669"/>
    </row>
    <row r="3762" spans="2:2" ht="23.25" customHeight="1">
      <c r="B3762" s="2669"/>
    </row>
    <row r="3763" spans="2:2" ht="23.25" customHeight="1">
      <c r="B3763" s="2669"/>
    </row>
    <row r="3764" spans="2:2" ht="23.25" customHeight="1">
      <c r="B3764" s="2669"/>
    </row>
    <row r="3765" spans="2:2" ht="23.25" customHeight="1">
      <c r="B3765" s="2669"/>
    </row>
    <row r="3766" spans="2:2" ht="23.25" customHeight="1">
      <c r="B3766" s="2669"/>
    </row>
    <row r="3767" spans="2:2" ht="23.25" customHeight="1">
      <c r="B3767" s="2669"/>
    </row>
    <row r="3768" spans="2:2" ht="23.25" customHeight="1">
      <c r="B3768" s="2669"/>
    </row>
    <row r="3769" spans="2:2" ht="23.25" customHeight="1">
      <c r="B3769" s="2669"/>
    </row>
    <row r="3770" spans="2:2" ht="23.25" customHeight="1">
      <c r="B3770" s="2669"/>
    </row>
    <row r="3771" spans="2:2" ht="23.25" customHeight="1">
      <c r="B3771" s="2669"/>
    </row>
    <row r="3772" spans="2:2" ht="23.25" customHeight="1">
      <c r="B3772" s="2669"/>
    </row>
    <row r="3773" spans="2:2" ht="23.25" customHeight="1">
      <c r="B3773" s="2669"/>
    </row>
    <row r="3774" spans="2:2" ht="23.25" customHeight="1">
      <c r="B3774" s="2669"/>
    </row>
    <row r="3775" spans="2:2" ht="23.25" customHeight="1">
      <c r="B3775" s="2669"/>
    </row>
    <row r="3776" spans="2:2" ht="23.25" customHeight="1">
      <c r="B3776" s="2669"/>
    </row>
    <row r="3777" spans="2:2" ht="23.25" customHeight="1">
      <c r="B3777" s="2669"/>
    </row>
    <row r="3778" spans="2:2" ht="23.25" customHeight="1">
      <c r="B3778" s="2669"/>
    </row>
    <row r="3779" spans="2:2" ht="23.25" customHeight="1">
      <c r="B3779" s="2669"/>
    </row>
    <row r="3780" spans="2:2" ht="23.25" customHeight="1">
      <c r="B3780" s="2669"/>
    </row>
    <row r="3781" spans="2:2" ht="23.25" customHeight="1">
      <c r="B3781" s="2669"/>
    </row>
    <row r="3782" spans="2:2" ht="23.25" customHeight="1">
      <c r="B3782" s="2669"/>
    </row>
    <row r="3783" spans="2:2" ht="23.25" customHeight="1">
      <c r="B3783" s="2669"/>
    </row>
    <row r="3784" spans="2:2" ht="23.25" customHeight="1">
      <c r="B3784" s="2669"/>
    </row>
    <row r="3785" spans="2:2" ht="23.25" customHeight="1">
      <c r="B3785" s="2669"/>
    </row>
    <row r="3786" spans="2:2" ht="23.25" customHeight="1">
      <c r="B3786" s="2669"/>
    </row>
    <row r="3787" spans="2:2" ht="23.25" customHeight="1">
      <c r="B3787" s="2669"/>
    </row>
    <row r="3788" spans="2:2" ht="23.25" customHeight="1">
      <c r="B3788" s="2669"/>
    </row>
    <row r="3789" spans="2:2" ht="23.25" customHeight="1">
      <c r="B3789" s="2669"/>
    </row>
    <row r="3790" spans="2:2" ht="23.25" customHeight="1">
      <c r="B3790" s="2669"/>
    </row>
    <row r="3791" spans="2:2" ht="23.25" customHeight="1">
      <c r="B3791" s="2669"/>
    </row>
    <row r="3792" spans="2:2" ht="23.25" customHeight="1">
      <c r="B3792" s="2669"/>
    </row>
    <row r="3793" spans="2:2" ht="23.25" customHeight="1">
      <c r="B3793" s="2669"/>
    </row>
    <row r="3794" spans="2:2" ht="23.25" customHeight="1">
      <c r="B3794" s="2669"/>
    </row>
    <row r="3795" spans="2:2" ht="23.25" customHeight="1">
      <c r="B3795" s="2669"/>
    </row>
    <row r="3796" spans="2:2" ht="23.25" customHeight="1">
      <c r="B3796" s="2669"/>
    </row>
    <row r="3797" spans="2:2" ht="23.25" customHeight="1">
      <c r="B3797" s="2669"/>
    </row>
    <row r="3798" spans="2:2" ht="23.25" customHeight="1">
      <c r="B3798" s="2669"/>
    </row>
    <row r="3799" spans="2:2" ht="23.25" customHeight="1">
      <c r="B3799" s="2669"/>
    </row>
    <row r="3800" spans="2:2" ht="23.25" customHeight="1">
      <c r="B3800" s="2669"/>
    </row>
    <row r="3801" spans="2:2" ht="23.25" customHeight="1">
      <c r="B3801" s="2669"/>
    </row>
    <row r="3802" spans="2:2" ht="23.25" customHeight="1">
      <c r="B3802" s="2669"/>
    </row>
    <row r="3803" spans="2:2" ht="23.25" customHeight="1">
      <c r="B3803" s="2669"/>
    </row>
    <row r="3804" spans="2:2" ht="23.25" customHeight="1">
      <c r="B3804" s="2669"/>
    </row>
    <row r="3805" spans="2:2" ht="23.25" customHeight="1">
      <c r="B3805" s="2669"/>
    </row>
    <row r="3806" spans="2:2" ht="23.25" customHeight="1">
      <c r="B3806" s="2669"/>
    </row>
    <row r="3807" spans="2:2" ht="23.25" customHeight="1">
      <c r="B3807" s="2669"/>
    </row>
    <row r="3808" spans="2:2" ht="23.25" customHeight="1">
      <c r="B3808" s="2669"/>
    </row>
    <row r="3809" spans="2:2" ht="23.25" customHeight="1">
      <c r="B3809" s="2669"/>
    </row>
    <row r="3810" spans="2:2" ht="23.25" customHeight="1">
      <c r="B3810" s="2669"/>
    </row>
    <row r="3811" spans="2:2" ht="23.25" customHeight="1">
      <c r="B3811" s="2669"/>
    </row>
    <row r="3812" spans="2:2" ht="23.25" customHeight="1">
      <c r="B3812" s="2669"/>
    </row>
    <row r="3813" spans="2:2" ht="23.25" customHeight="1">
      <c r="B3813" s="2669"/>
    </row>
    <row r="3814" spans="2:2" ht="23.25" customHeight="1">
      <c r="B3814" s="2669"/>
    </row>
    <row r="3815" spans="2:2" ht="23.25" customHeight="1">
      <c r="B3815" s="2669"/>
    </row>
    <row r="3816" spans="2:2" ht="23.25" customHeight="1">
      <c r="B3816" s="2669"/>
    </row>
    <row r="3817" spans="2:2" ht="23.25" customHeight="1">
      <c r="B3817" s="2669"/>
    </row>
    <row r="3818" spans="2:2" ht="23.25" customHeight="1">
      <c r="B3818" s="2669"/>
    </row>
    <row r="3819" spans="2:2" ht="23.25" customHeight="1">
      <c r="B3819" s="2669"/>
    </row>
    <row r="3820" spans="2:2" ht="23.25" customHeight="1">
      <c r="B3820" s="2669"/>
    </row>
    <row r="3821" spans="2:2" ht="23.25" customHeight="1">
      <c r="B3821" s="2669"/>
    </row>
    <row r="3822" spans="2:2" ht="23.25" customHeight="1">
      <c r="B3822" s="2669"/>
    </row>
    <row r="3823" spans="2:2" ht="23.25" customHeight="1">
      <c r="B3823" s="2669"/>
    </row>
    <row r="3824" spans="2:2" ht="23.25" customHeight="1">
      <c r="B3824" s="2669"/>
    </row>
    <row r="3825" spans="2:2" ht="23.25" customHeight="1">
      <c r="B3825" s="2669"/>
    </row>
    <row r="3826" spans="2:2" ht="23.25" customHeight="1">
      <c r="B3826" s="2669"/>
    </row>
    <row r="3827" spans="2:2" ht="23.25" customHeight="1">
      <c r="B3827" s="2669"/>
    </row>
    <row r="3828" spans="2:2" ht="23.25" customHeight="1">
      <c r="B3828" s="2669"/>
    </row>
    <row r="3829" spans="2:2" ht="23.25" customHeight="1">
      <c r="B3829" s="2669"/>
    </row>
    <row r="3830" spans="2:2" ht="23.25" customHeight="1">
      <c r="B3830" s="2669"/>
    </row>
    <row r="3831" spans="2:2" ht="23.25" customHeight="1">
      <c r="B3831" s="2669"/>
    </row>
    <row r="3832" spans="2:2" ht="23.25" customHeight="1">
      <c r="B3832" s="2669"/>
    </row>
    <row r="3833" spans="2:2" ht="23.25" customHeight="1">
      <c r="B3833" s="2669"/>
    </row>
    <row r="3834" spans="2:2" ht="23.25" customHeight="1">
      <c r="B3834" s="2669"/>
    </row>
    <row r="3835" spans="2:2" ht="23.25" customHeight="1">
      <c r="B3835" s="2669"/>
    </row>
    <row r="3836" spans="2:2" ht="23.25" customHeight="1">
      <c r="B3836" s="2669"/>
    </row>
    <row r="3837" spans="2:2" ht="23.25" customHeight="1">
      <c r="B3837" s="2669"/>
    </row>
    <row r="3838" spans="2:2" ht="23.25" customHeight="1">
      <c r="B3838" s="2669"/>
    </row>
    <row r="3839" spans="2:2" ht="23.25" customHeight="1">
      <c r="B3839" s="2669"/>
    </row>
    <row r="3840" spans="2:2" ht="23.25" customHeight="1">
      <c r="B3840" s="2669"/>
    </row>
    <row r="3841" spans="2:2" ht="23.25" customHeight="1">
      <c r="B3841" s="2669"/>
    </row>
    <row r="3842" spans="2:2" ht="23.25" customHeight="1">
      <c r="B3842" s="2669"/>
    </row>
    <row r="3843" spans="2:2" ht="23.25" customHeight="1">
      <c r="B3843" s="2669"/>
    </row>
    <row r="3844" spans="2:2" ht="23.25" customHeight="1">
      <c r="B3844" s="2669"/>
    </row>
    <row r="3845" spans="2:2" ht="23.25" customHeight="1">
      <c r="B3845" s="2669"/>
    </row>
    <row r="3846" spans="2:2" ht="23.25" customHeight="1">
      <c r="B3846" s="2669"/>
    </row>
    <row r="3847" spans="2:2" ht="23.25" customHeight="1">
      <c r="B3847" s="2669"/>
    </row>
    <row r="3848" spans="2:2" ht="23.25" customHeight="1">
      <c r="B3848" s="2669"/>
    </row>
    <row r="3849" spans="2:2" ht="23.25" customHeight="1">
      <c r="B3849" s="2669"/>
    </row>
    <row r="3850" spans="2:2" ht="23.25" customHeight="1">
      <c r="B3850" s="2669"/>
    </row>
    <row r="3851" spans="2:2" ht="23.25" customHeight="1">
      <c r="B3851" s="2669"/>
    </row>
    <row r="3852" spans="2:2" ht="23.25" customHeight="1">
      <c r="B3852" s="2669"/>
    </row>
    <row r="3853" spans="2:2" ht="23.25" customHeight="1">
      <c r="B3853" s="2669"/>
    </row>
    <row r="3854" spans="2:2" ht="23.25" customHeight="1">
      <c r="B3854" s="2669"/>
    </row>
    <row r="3855" spans="2:2" ht="23.25" customHeight="1">
      <c r="B3855" s="2669"/>
    </row>
    <row r="3856" spans="2:2" ht="23.25" customHeight="1">
      <c r="B3856" s="2669"/>
    </row>
    <row r="3857" spans="2:2" ht="23.25" customHeight="1">
      <c r="B3857" s="2669"/>
    </row>
    <row r="3858" spans="2:2" ht="23.25" customHeight="1">
      <c r="B3858" s="2669"/>
    </row>
    <row r="3859" spans="2:2" ht="23.25" customHeight="1">
      <c r="B3859" s="2669"/>
    </row>
    <row r="3860" spans="2:2" ht="23.25" customHeight="1">
      <c r="B3860" s="2669"/>
    </row>
    <row r="3861" spans="2:2" ht="23.25" customHeight="1">
      <c r="B3861" s="2669"/>
    </row>
    <row r="3862" spans="2:2" ht="23.25" customHeight="1">
      <c r="B3862" s="2669"/>
    </row>
    <row r="3863" spans="2:2" ht="23.25" customHeight="1">
      <c r="B3863" s="2669"/>
    </row>
    <row r="3864" spans="2:2" ht="23.25" customHeight="1">
      <c r="B3864" s="2669"/>
    </row>
    <row r="3865" spans="2:2" ht="23.25" customHeight="1">
      <c r="B3865" s="2669"/>
    </row>
    <row r="3866" spans="2:2" ht="23.25" customHeight="1">
      <c r="B3866" s="2669"/>
    </row>
    <row r="3867" spans="2:2" ht="23.25" customHeight="1">
      <c r="B3867" s="2669"/>
    </row>
    <row r="3868" spans="2:2" ht="23.25" customHeight="1">
      <c r="B3868" s="2669"/>
    </row>
    <row r="3869" spans="2:2" ht="23.25" customHeight="1">
      <c r="B3869" s="2669"/>
    </row>
    <row r="3870" spans="2:2" ht="23.25" customHeight="1">
      <c r="B3870" s="2669"/>
    </row>
    <row r="3871" spans="2:2" ht="23.25" customHeight="1">
      <c r="B3871" s="2669"/>
    </row>
    <row r="3872" spans="2:2" ht="23.25" customHeight="1">
      <c r="B3872" s="2669"/>
    </row>
    <row r="3873" spans="2:2" ht="23.25" customHeight="1">
      <c r="B3873" s="2669"/>
    </row>
    <row r="3874" spans="2:2" ht="23.25" customHeight="1">
      <c r="B3874" s="2669"/>
    </row>
    <row r="3875" spans="2:2" ht="23.25" customHeight="1">
      <c r="B3875" s="2669"/>
    </row>
    <row r="3876" spans="2:2" ht="23.25" customHeight="1">
      <c r="B3876" s="2669"/>
    </row>
    <row r="3877" spans="2:2" ht="23.25" customHeight="1">
      <c r="B3877" s="2669"/>
    </row>
    <row r="3878" spans="2:2" ht="23.25" customHeight="1">
      <c r="B3878" s="2669"/>
    </row>
    <row r="3879" spans="2:2" ht="23.25" customHeight="1">
      <c r="B3879" s="2669"/>
    </row>
    <row r="3880" spans="2:2" ht="23.25" customHeight="1">
      <c r="B3880" s="2669"/>
    </row>
    <row r="3881" spans="2:2" ht="23.25" customHeight="1">
      <c r="B3881" s="2669"/>
    </row>
    <row r="3882" spans="2:2" ht="23.25" customHeight="1">
      <c r="B3882" s="2669"/>
    </row>
    <row r="3883" spans="2:2" ht="23.25" customHeight="1">
      <c r="B3883" s="2669"/>
    </row>
    <row r="3884" spans="2:2" ht="23.25" customHeight="1">
      <c r="B3884" s="2669"/>
    </row>
    <row r="3885" spans="2:2" ht="23.25" customHeight="1">
      <c r="B3885" s="2669"/>
    </row>
    <row r="3886" spans="2:2" ht="23.25" customHeight="1">
      <c r="B3886" s="2669"/>
    </row>
    <row r="3887" spans="2:2" ht="23.25" customHeight="1">
      <c r="B3887" s="2669"/>
    </row>
    <row r="3888" spans="2:2" ht="23.25" customHeight="1">
      <c r="B3888" s="2669"/>
    </row>
    <row r="3889" spans="2:2" ht="23.25" customHeight="1">
      <c r="B3889" s="2669"/>
    </row>
    <row r="3890" spans="2:2" ht="23.25" customHeight="1">
      <c r="B3890" s="2669"/>
    </row>
    <row r="3891" spans="2:2" ht="23.25" customHeight="1">
      <c r="B3891" s="2669"/>
    </row>
    <row r="3892" spans="2:2" ht="23.25" customHeight="1">
      <c r="B3892" s="2669"/>
    </row>
    <row r="3893" spans="2:2" ht="23.25" customHeight="1">
      <c r="B3893" s="2669"/>
    </row>
    <row r="3894" spans="2:2" ht="23.25" customHeight="1">
      <c r="B3894" s="2669"/>
    </row>
    <row r="3895" spans="2:2" ht="23.25" customHeight="1">
      <c r="B3895" s="2669"/>
    </row>
    <row r="3896" spans="2:2" ht="23.25" customHeight="1">
      <c r="B3896" s="2669"/>
    </row>
    <row r="3897" spans="2:2" ht="23.25" customHeight="1">
      <c r="B3897" s="2669"/>
    </row>
    <row r="3898" spans="2:2" ht="23.25" customHeight="1">
      <c r="B3898" s="2669"/>
    </row>
    <row r="3899" spans="2:2" ht="23.25" customHeight="1">
      <c r="B3899" s="2669"/>
    </row>
    <row r="3900" spans="2:2" ht="23.25" customHeight="1">
      <c r="B3900" s="2669"/>
    </row>
    <row r="3901" spans="2:2" ht="23.25" customHeight="1">
      <c r="B3901" s="2669"/>
    </row>
    <row r="3902" spans="2:2" ht="23.25" customHeight="1">
      <c r="B3902" s="2669"/>
    </row>
    <row r="3903" spans="2:2" ht="23.25" customHeight="1">
      <c r="B3903" s="2669"/>
    </row>
    <row r="3904" spans="2:2" ht="23.25" customHeight="1">
      <c r="B3904" s="2669"/>
    </row>
    <row r="3905" spans="2:2" ht="23.25" customHeight="1">
      <c r="B3905" s="2669"/>
    </row>
    <row r="3906" spans="2:2" ht="23.25" customHeight="1">
      <c r="B3906" s="2669"/>
    </row>
    <row r="3907" spans="2:2" ht="23.25" customHeight="1">
      <c r="B3907" s="2669"/>
    </row>
    <row r="3908" spans="2:2" ht="23.25" customHeight="1">
      <c r="B3908" s="2669"/>
    </row>
    <row r="3909" spans="2:2" ht="23.25" customHeight="1">
      <c r="B3909" s="2669"/>
    </row>
    <row r="3910" spans="2:2" ht="23.25" customHeight="1">
      <c r="B3910" s="2669"/>
    </row>
    <row r="3911" spans="2:2" ht="23.25" customHeight="1">
      <c r="B3911" s="2669"/>
    </row>
    <row r="3912" spans="2:2" ht="23.25" customHeight="1">
      <c r="B3912" s="2669"/>
    </row>
    <row r="3913" spans="2:2" ht="23.25" customHeight="1">
      <c r="B3913" s="2669"/>
    </row>
    <row r="3914" spans="2:2" ht="23.25" customHeight="1">
      <c r="B3914" s="2669"/>
    </row>
    <row r="3915" spans="2:2" ht="23.25" customHeight="1">
      <c r="B3915" s="2669"/>
    </row>
    <row r="3916" spans="2:2" ht="23.25" customHeight="1">
      <c r="B3916" s="2669"/>
    </row>
    <row r="3917" spans="2:2" ht="23.25" customHeight="1">
      <c r="B3917" s="2669"/>
    </row>
    <row r="3918" spans="2:2" ht="23.25" customHeight="1">
      <c r="B3918" s="2669"/>
    </row>
    <row r="3919" spans="2:2" ht="23.25" customHeight="1">
      <c r="B3919" s="2669"/>
    </row>
    <row r="3920" spans="2:2" ht="23.25" customHeight="1">
      <c r="B3920" s="2669"/>
    </row>
    <row r="3921" spans="2:2" ht="23.25" customHeight="1">
      <c r="B3921" s="2669"/>
    </row>
    <row r="3922" spans="2:2" ht="23.25" customHeight="1">
      <c r="B3922" s="2669"/>
    </row>
    <row r="3923" spans="2:2" ht="23.25" customHeight="1">
      <c r="B3923" s="2669"/>
    </row>
    <row r="3924" spans="2:2" ht="23.25" customHeight="1">
      <c r="B3924" s="2669"/>
    </row>
    <row r="3925" spans="2:2" ht="23.25" customHeight="1">
      <c r="B3925" s="2669"/>
    </row>
    <row r="3926" spans="2:2" ht="23.25" customHeight="1">
      <c r="B3926" s="2669"/>
    </row>
    <row r="3927" spans="2:2" ht="23.25" customHeight="1">
      <c r="B3927" s="2669"/>
    </row>
    <row r="3928" spans="2:2" ht="23.25" customHeight="1">
      <c r="B3928" s="2669"/>
    </row>
    <row r="3929" spans="2:2" ht="23.25" customHeight="1">
      <c r="B3929" s="2669"/>
    </row>
    <row r="3930" spans="2:2" ht="23.25" customHeight="1">
      <c r="B3930" s="2669"/>
    </row>
    <row r="3931" spans="2:2" ht="23.25" customHeight="1">
      <c r="B3931" s="2669"/>
    </row>
    <row r="3932" spans="2:2" ht="23.25" customHeight="1">
      <c r="B3932" s="2669"/>
    </row>
    <row r="3933" spans="2:2" ht="23.25" customHeight="1">
      <c r="B3933" s="2669"/>
    </row>
    <row r="3934" spans="2:2" ht="23.25" customHeight="1">
      <c r="B3934" s="2669"/>
    </row>
    <row r="3935" spans="2:2" ht="23.25" customHeight="1">
      <c r="B3935" s="2669"/>
    </row>
    <row r="3936" spans="2:2" ht="23.25" customHeight="1">
      <c r="B3936" s="2669"/>
    </row>
    <row r="3937" spans="2:2" ht="23.25" customHeight="1">
      <c r="B3937" s="2669"/>
    </row>
    <row r="3938" spans="2:2" ht="23.25" customHeight="1">
      <c r="B3938" s="2669"/>
    </row>
    <row r="3939" spans="2:2" ht="23.25" customHeight="1">
      <c r="B3939" s="2669"/>
    </row>
    <row r="3940" spans="2:2" ht="23.25" customHeight="1">
      <c r="B3940" s="2669"/>
    </row>
    <row r="3941" spans="2:2" ht="23.25" customHeight="1">
      <c r="B3941" s="2669"/>
    </row>
    <row r="3942" spans="2:2" ht="23.25" customHeight="1">
      <c r="B3942" s="2669"/>
    </row>
    <row r="3943" spans="2:2" ht="23.25" customHeight="1">
      <c r="B3943" s="2669"/>
    </row>
    <row r="3944" spans="2:2" ht="23.25" customHeight="1">
      <c r="B3944" s="2669"/>
    </row>
    <row r="3945" spans="2:2" ht="23.25" customHeight="1">
      <c r="B3945" s="2669"/>
    </row>
    <row r="3946" spans="2:2" ht="23.25" customHeight="1">
      <c r="B3946" s="2669"/>
    </row>
    <row r="3947" spans="2:2" ht="23.25" customHeight="1">
      <c r="B3947" s="2669"/>
    </row>
    <row r="3948" spans="2:2" ht="23.25" customHeight="1">
      <c r="B3948" s="2669"/>
    </row>
    <row r="3949" spans="2:2" ht="23.25" customHeight="1">
      <c r="B3949" s="2669"/>
    </row>
    <row r="3950" spans="2:2" ht="23.25" customHeight="1">
      <c r="B3950" s="2669"/>
    </row>
    <row r="3951" spans="2:2" ht="23.25" customHeight="1">
      <c r="B3951" s="2669"/>
    </row>
    <row r="3952" spans="2:2" ht="23.25" customHeight="1">
      <c r="B3952" s="2669"/>
    </row>
    <row r="3953" spans="2:2" ht="23.25" customHeight="1">
      <c r="B3953" s="2669"/>
    </row>
    <row r="3954" spans="2:2" ht="23.25" customHeight="1">
      <c r="B3954" s="2669"/>
    </row>
    <row r="3955" spans="2:2" ht="23.25" customHeight="1">
      <c r="B3955" s="2669"/>
    </row>
    <row r="3956" spans="2:2" ht="23.25" customHeight="1">
      <c r="B3956" s="2669"/>
    </row>
    <row r="3957" spans="2:2" ht="23.25" customHeight="1">
      <c r="B3957" s="2669"/>
    </row>
    <row r="3958" spans="2:2" ht="23.25" customHeight="1">
      <c r="B3958" s="2669"/>
    </row>
    <row r="3959" spans="2:2" ht="23.25" customHeight="1">
      <c r="B3959" s="2669"/>
    </row>
    <row r="3960" spans="2:2" ht="23.25" customHeight="1">
      <c r="B3960" s="2669"/>
    </row>
    <row r="3961" spans="2:2" ht="23.25" customHeight="1">
      <c r="B3961" s="2669"/>
    </row>
    <row r="3962" spans="2:2" ht="23.25" customHeight="1">
      <c r="B3962" s="2669"/>
    </row>
    <row r="3963" spans="2:2" ht="23.25" customHeight="1">
      <c r="B3963" s="2669"/>
    </row>
    <row r="3964" spans="2:2" ht="23.25" customHeight="1">
      <c r="B3964" s="2669"/>
    </row>
    <row r="3965" spans="2:2" ht="23.25" customHeight="1">
      <c r="B3965" s="2669"/>
    </row>
    <row r="3966" spans="2:2" ht="23.25" customHeight="1">
      <c r="B3966" s="2669"/>
    </row>
    <row r="3967" spans="2:2" ht="23.25" customHeight="1">
      <c r="B3967" s="2669"/>
    </row>
    <row r="3968" spans="2:2" ht="23.25" customHeight="1">
      <c r="B3968" s="2669"/>
    </row>
    <row r="3969" spans="2:2" ht="23.25" customHeight="1">
      <c r="B3969" s="2669"/>
    </row>
    <row r="3970" spans="2:2" ht="23.25" customHeight="1">
      <c r="B3970" s="2669"/>
    </row>
    <row r="3971" spans="2:2" ht="23.25" customHeight="1">
      <c r="B3971" s="2669"/>
    </row>
    <row r="3972" spans="2:2" ht="23.25" customHeight="1">
      <c r="B3972" s="2669"/>
    </row>
    <row r="3973" spans="2:2" ht="23.25" customHeight="1">
      <c r="B3973" s="2669"/>
    </row>
    <row r="3974" spans="2:2" ht="23.25" customHeight="1">
      <c r="B3974" s="2669"/>
    </row>
    <row r="3975" spans="2:2" ht="23.25" customHeight="1">
      <c r="B3975" s="2669"/>
    </row>
    <row r="3976" spans="2:2" ht="23.25" customHeight="1">
      <c r="B3976" s="2669"/>
    </row>
    <row r="3977" spans="2:2" ht="23.25" customHeight="1">
      <c r="B3977" s="2669"/>
    </row>
    <row r="3978" spans="2:2" ht="23.25" customHeight="1">
      <c r="B3978" s="2669"/>
    </row>
    <row r="3979" spans="2:2" ht="23.25" customHeight="1">
      <c r="B3979" s="2669"/>
    </row>
    <row r="3980" spans="2:2" ht="23.25" customHeight="1">
      <c r="B3980" s="2669"/>
    </row>
    <row r="3981" spans="2:2" ht="23.25" customHeight="1">
      <c r="B3981" s="2669"/>
    </row>
    <row r="3982" spans="2:2" ht="23.25" customHeight="1">
      <c r="B3982" s="2669"/>
    </row>
    <row r="3983" spans="2:2" ht="23.25" customHeight="1">
      <c r="B3983" s="2669"/>
    </row>
    <row r="3984" spans="2:2" ht="23.25" customHeight="1">
      <c r="B3984" s="2669"/>
    </row>
    <row r="3985" spans="2:2" ht="23.25" customHeight="1">
      <c r="B3985" s="2669"/>
    </row>
    <row r="3986" spans="2:2" ht="23.25" customHeight="1">
      <c r="B3986" s="2669"/>
    </row>
    <row r="3987" spans="2:2" ht="23.25" customHeight="1">
      <c r="B3987" s="2669"/>
    </row>
    <row r="3988" spans="2:2" ht="23.25" customHeight="1">
      <c r="B3988" s="2669"/>
    </row>
    <row r="3989" spans="2:2" ht="23.25" customHeight="1">
      <c r="B3989" s="2669"/>
    </row>
    <row r="3990" spans="2:2" ht="23.25" customHeight="1">
      <c r="B3990" s="2669"/>
    </row>
    <row r="3991" spans="2:2" ht="23.25" customHeight="1">
      <c r="B3991" s="2669"/>
    </row>
    <row r="3992" spans="2:2" ht="23.25" customHeight="1">
      <c r="B3992" s="2669"/>
    </row>
    <row r="3993" spans="2:2" ht="23.25" customHeight="1">
      <c r="B3993" s="2669"/>
    </row>
    <row r="3994" spans="2:2" ht="23.25" customHeight="1">
      <c r="B3994" s="2669"/>
    </row>
    <row r="3995" spans="2:2" ht="23.25" customHeight="1">
      <c r="B3995" s="2669"/>
    </row>
    <row r="3996" spans="2:2" ht="23.25" customHeight="1">
      <c r="B3996" s="2669"/>
    </row>
    <row r="3997" spans="2:2" ht="23.25" customHeight="1">
      <c r="B3997" s="2669"/>
    </row>
    <row r="3998" spans="2:2" ht="23.25" customHeight="1">
      <c r="B3998" s="2669"/>
    </row>
    <row r="3999" spans="2:2" ht="23.25" customHeight="1">
      <c r="B3999" s="2669"/>
    </row>
    <row r="4000" spans="2:2" ht="23.25" customHeight="1">
      <c r="B4000" s="2669"/>
    </row>
    <row r="4001" spans="2:2" ht="23.25" customHeight="1">
      <c r="B4001" s="2669"/>
    </row>
    <row r="4002" spans="2:2" ht="23.25" customHeight="1">
      <c r="B4002" s="2669"/>
    </row>
    <row r="4003" spans="2:2" ht="23.25" customHeight="1">
      <c r="B4003" s="2669"/>
    </row>
    <row r="4004" spans="2:2" ht="23.25" customHeight="1">
      <c r="B4004" s="2669"/>
    </row>
    <row r="4005" spans="2:2" ht="23.25" customHeight="1">
      <c r="B4005" s="2669"/>
    </row>
    <row r="4006" spans="2:2" ht="23.25" customHeight="1">
      <c r="B4006" s="2669"/>
    </row>
    <row r="4007" spans="2:2" ht="23.25" customHeight="1">
      <c r="B4007" s="2669"/>
    </row>
    <row r="4008" spans="2:2" ht="23.25" customHeight="1">
      <c r="B4008" s="2669"/>
    </row>
    <row r="4009" spans="2:2" ht="23.25" customHeight="1">
      <c r="B4009" s="2669"/>
    </row>
    <row r="4010" spans="2:2" ht="23.25" customHeight="1">
      <c r="B4010" s="2669"/>
    </row>
    <row r="4011" spans="2:2" ht="23.25" customHeight="1">
      <c r="B4011" s="2669"/>
    </row>
    <row r="4012" spans="2:2" ht="23.25" customHeight="1">
      <c r="B4012" s="2669"/>
    </row>
    <row r="4013" spans="2:2" ht="23.25" customHeight="1">
      <c r="B4013" s="2669"/>
    </row>
    <row r="4014" spans="2:2" ht="23.25" customHeight="1">
      <c r="B4014" s="2669"/>
    </row>
    <row r="4015" spans="2:2" ht="23.25" customHeight="1">
      <c r="B4015" s="2669"/>
    </row>
    <row r="4016" spans="2:2" ht="23.25" customHeight="1">
      <c r="B4016" s="2669"/>
    </row>
    <row r="4017" spans="2:2" ht="23.25" customHeight="1">
      <c r="B4017" s="2669"/>
    </row>
    <row r="4018" spans="2:2" ht="23.25" customHeight="1">
      <c r="B4018" s="2669"/>
    </row>
    <row r="4019" spans="2:2" ht="23.25" customHeight="1">
      <c r="B4019" s="2669"/>
    </row>
    <row r="4020" spans="2:2" ht="23.25" customHeight="1">
      <c r="B4020" s="2669"/>
    </row>
    <row r="4021" spans="2:2" ht="23.25" customHeight="1">
      <c r="B4021" s="2669"/>
    </row>
    <row r="4022" spans="2:2" ht="23.25" customHeight="1">
      <c r="B4022" s="2669"/>
    </row>
    <row r="4023" spans="2:2" ht="23.25" customHeight="1">
      <c r="B4023" s="2669"/>
    </row>
    <row r="4024" spans="2:2" ht="23.25" customHeight="1">
      <c r="B4024" s="2669"/>
    </row>
    <row r="4025" spans="2:2" ht="23.25" customHeight="1">
      <c r="B4025" s="2669"/>
    </row>
    <row r="4026" spans="2:2" ht="23.25" customHeight="1">
      <c r="B4026" s="2669"/>
    </row>
    <row r="4027" spans="2:2" ht="23.25" customHeight="1">
      <c r="B4027" s="2669"/>
    </row>
    <row r="4028" spans="2:2" ht="23.25" customHeight="1">
      <c r="B4028" s="2669"/>
    </row>
    <row r="4029" spans="2:2" ht="23.25" customHeight="1">
      <c r="B4029" s="2669"/>
    </row>
    <row r="4030" spans="2:2" ht="23.25" customHeight="1">
      <c r="B4030" s="2669"/>
    </row>
    <row r="4031" spans="2:2" ht="23.25" customHeight="1">
      <c r="B4031" s="2669"/>
    </row>
    <row r="4032" spans="2:2" ht="23.25" customHeight="1">
      <c r="B4032" s="2669"/>
    </row>
    <row r="4033" spans="2:2" ht="23.25" customHeight="1">
      <c r="B4033" s="2669"/>
    </row>
    <row r="4034" spans="2:2" ht="23.25" customHeight="1">
      <c r="B4034" s="2669"/>
    </row>
    <row r="4035" spans="2:2" ht="23.25" customHeight="1">
      <c r="B4035" s="2669"/>
    </row>
    <row r="4036" spans="2:2" ht="23.25" customHeight="1">
      <c r="B4036" s="2669"/>
    </row>
    <row r="4037" spans="2:2" ht="23.25" customHeight="1">
      <c r="B4037" s="2669"/>
    </row>
    <row r="4038" spans="2:2" ht="23.25" customHeight="1">
      <c r="B4038" s="2669"/>
    </row>
    <row r="4039" spans="2:2" ht="23.25" customHeight="1">
      <c r="B4039" s="2669"/>
    </row>
    <row r="4040" spans="2:2" ht="23.25" customHeight="1">
      <c r="B4040" s="2669"/>
    </row>
    <row r="4041" spans="2:2" ht="23.25" customHeight="1">
      <c r="B4041" s="2669"/>
    </row>
    <row r="4042" spans="2:2" ht="23.25" customHeight="1">
      <c r="B4042" s="2669"/>
    </row>
    <row r="4043" spans="2:2" ht="23.25" customHeight="1">
      <c r="B4043" s="2669"/>
    </row>
    <row r="4044" spans="2:2" ht="23.25" customHeight="1">
      <c r="B4044" s="2669"/>
    </row>
    <row r="4045" spans="2:2" ht="23.25" customHeight="1">
      <c r="B4045" s="2669"/>
    </row>
    <row r="4046" spans="2:2" ht="23.25" customHeight="1">
      <c r="B4046" s="2669"/>
    </row>
    <row r="4047" spans="2:2" ht="23.25" customHeight="1">
      <c r="B4047" s="2669"/>
    </row>
    <row r="4048" spans="2:2" ht="23.25" customHeight="1">
      <c r="B4048" s="2669"/>
    </row>
    <row r="4049" spans="2:2" ht="23.25" customHeight="1">
      <c r="B4049" s="2669"/>
    </row>
    <row r="4050" spans="2:2" ht="23.25" customHeight="1">
      <c r="B4050" s="2669"/>
    </row>
    <row r="4051" spans="2:2" ht="23.25" customHeight="1">
      <c r="B4051" s="2669"/>
    </row>
    <row r="4052" spans="2:2" ht="23.25" customHeight="1">
      <c r="B4052" s="2669"/>
    </row>
    <row r="4053" spans="2:2" ht="23.25" customHeight="1">
      <c r="B4053" s="2669"/>
    </row>
    <row r="4054" spans="2:2" ht="23.25" customHeight="1">
      <c r="B4054" s="2669"/>
    </row>
    <row r="4055" spans="2:2" ht="23.25" customHeight="1">
      <c r="B4055" s="2669"/>
    </row>
    <row r="4056" spans="2:2" ht="23.25" customHeight="1">
      <c r="B4056" s="2669"/>
    </row>
    <row r="4057" spans="2:2" ht="23.25" customHeight="1">
      <c r="B4057" s="2669"/>
    </row>
    <row r="4058" spans="2:2" ht="23.25" customHeight="1">
      <c r="B4058" s="2669"/>
    </row>
    <row r="4059" spans="2:2" ht="23.25" customHeight="1">
      <c r="B4059" s="2669"/>
    </row>
    <row r="4060" spans="2:2" ht="23.25" customHeight="1">
      <c r="B4060" s="2669"/>
    </row>
    <row r="4061" spans="2:2" ht="23.25" customHeight="1">
      <c r="B4061" s="2669"/>
    </row>
    <row r="4062" spans="2:2" ht="23.25" customHeight="1">
      <c r="B4062" s="2669"/>
    </row>
    <row r="4063" spans="2:2" ht="23.25" customHeight="1">
      <c r="B4063" s="2669"/>
    </row>
    <row r="4064" spans="2:2" ht="23.25" customHeight="1">
      <c r="B4064" s="2669"/>
    </row>
    <row r="4065" spans="2:2" ht="23.25" customHeight="1">
      <c r="B4065" s="2669"/>
    </row>
    <row r="4066" spans="2:2" ht="23.25" customHeight="1">
      <c r="B4066" s="2669"/>
    </row>
    <row r="4067" spans="2:2" ht="23.25" customHeight="1">
      <c r="B4067" s="2669"/>
    </row>
    <row r="4068" spans="2:2" ht="23.25" customHeight="1">
      <c r="B4068" s="2669"/>
    </row>
    <row r="4069" spans="2:2" ht="23.25" customHeight="1">
      <c r="B4069" s="2669"/>
    </row>
    <row r="4070" spans="2:2" ht="23.25" customHeight="1">
      <c r="B4070" s="2669"/>
    </row>
    <row r="4071" spans="2:2" ht="23.25" customHeight="1">
      <c r="B4071" s="2669"/>
    </row>
    <row r="4072" spans="2:2" ht="23.25" customHeight="1">
      <c r="B4072" s="2669"/>
    </row>
    <row r="4073" spans="2:2" ht="23.25" customHeight="1">
      <c r="B4073" s="2669"/>
    </row>
    <row r="4074" spans="2:2" ht="23.25" customHeight="1">
      <c r="B4074" s="2669"/>
    </row>
    <row r="4075" spans="2:2" ht="23.25" customHeight="1">
      <c r="B4075" s="2669"/>
    </row>
    <row r="4076" spans="2:2" ht="23.25" customHeight="1">
      <c r="B4076" s="2669"/>
    </row>
    <row r="4077" spans="2:2" ht="23.25" customHeight="1">
      <c r="B4077" s="2669"/>
    </row>
    <row r="4078" spans="2:2" ht="23.25" customHeight="1">
      <c r="B4078" s="2669"/>
    </row>
    <row r="4079" spans="2:2" ht="23.25" customHeight="1">
      <c r="B4079" s="2669"/>
    </row>
    <row r="4080" spans="2:2" ht="23.25" customHeight="1">
      <c r="B4080" s="2669"/>
    </row>
    <row r="4081" spans="2:2" ht="23.25" customHeight="1">
      <c r="B4081" s="2669"/>
    </row>
    <row r="4082" spans="2:2" ht="23.25" customHeight="1">
      <c r="B4082" s="2669"/>
    </row>
    <row r="4083" spans="2:2" ht="23.25" customHeight="1">
      <c r="B4083" s="2669"/>
    </row>
    <row r="4084" spans="2:2" ht="23.25" customHeight="1">
      <c r="B4084" s="2669"/>
    </row>
    <row r="4085" spans="2:2" ht="23.25" customHeight="1">
      <c r="B4085" s="2669"/>
    </row>
    <row r="4086" spans="2:2" ht="23.25" customHeight="1">
      <c r="B4086" s="2669"/>
    </row>
    <row r="4087" spans="2:2" ht="23.25" customHeight="1">
      <c r="B4087" s="2669"/>
    </row>
    <row r="4088" spans="2:2" ht="23.25" customHeight="1">
      <c r="B4088" s="2669"/>
    </row>
    <row r="4089" spans="2:2" ht="23.25" customHeight="1">
      <c r="B4089" s="2669"/>
    </row>
    <row r="4090" spans="2:2" ht="23.25" customHeight="1">
      <c r="B4090" s="2669"/>
    </row>
    <row r="4091" spans="2:2" ht="23.25" customHeight="1">
      <c r="B4091" s="2669"/>
    </row>
    <row r="4092" spans="2:2" ht="23.25" customHeight="1">
      <c r="B4092" s="2669"/>
    </row>
    <row r="4093" spans="2:2" ht="23.25" customHeight="1">
      <c r="B4093" s="2669"/>
    </row>
    <row r="4094" spans="2:2" ht="23.25" customHeight="1">
      <c r="B4094" s="2669"/>
    </row>
    <row r="4095" spans="2:2" ht="23.25" customHeight="1">
      <c r="B4095" s="2669"/>
    </row>
    <row r="4096" spans="2:2" ht="23.25" customHeight="1">
      <c r="B4096" s="2669"/>
    </row>
    <row r="4097" spans="2:2" ht="23.25" customHeight="1">
      <c r="B4097" s="2669"/>
    </row>
    <row r="4098" spans="2:2" ht="23.25" customHeight="1">
      <c r="B4098" s="2669"/>
    </row>
    <row r="4099" spans="2:2" ht="23.25" customHeight="1">
      <c r="B4099" s="2669"/>
    </row>
    <row r="4100" spans="2:2" ht="23.25" customHeight="1">
      <c r="B4100" s="2669"/>
    </row>
    <row r="4101" spans="2:2" ht="23.25" customHeight="1">
      <c r="B4101" s="2669"/>
    </row>
    <row r="4102" spans="2:2" ht="23.25" customHeight="1">
      <c r="B4102" s="2669"/>
    </row>
    <row r="4103" spans="2:2" ht="23.25" customHeight="1">
      <c r="B4103" s="2669"/>
    </row>
    <row r="4104" spans="2:2" ht="23.25" customHeight="1">
      <c r="B4104" s="2669"/>
    </row>
    <row r="4105" spans="2:2" ht="23.25" customHeight="1">
      <c r="B4105" s="2669"/>
    </row>
    <row r="4106" spans="2:2" ht="23.25" customHeight="1">
      <c r="B4106" s="2669"/>
    </row>
    <row r="4107" spans="2:2" ht="23.25" customHeight="1">
      <c r="B4107" s="2669"/>
    </row>
    <row r="4108" spans="2:2" ht="23.25" customHeight="1">
      <c r="B4108" s="2669"/>
    </row>
    <row r="4109" spans="2:2" ht="23.25" customHeight="1">
      <c r="B4109" s="2669"/>
    </row>
    <row r="4110" spans="2:2" ht="23.25" customHeight="1">
      <c r="B4110" s="2669"/>
    </row>
    <row r="4111" spans="2:2" ht="23.25" customHeight="1">
      <c r="B4111" s="2669"/>
    </row>
    <row r="4112" spans="2:2" ht="23.25" customHeight="1">
      <c r="B4112" s="2669"/>
    </row>
    <row r="4113" spans="2:2" ht="23.25" customHeight="1">
      <c r="B4113" s="2669"/>
    </row>
    <row r="4114" spans="2:2" ht="23.25" customHeight="1">
      <c r="B4114" s="2669"/>
    </row>
    <row r="4115" spans="2:2" ht="23.25" customHeight="1">
      <c r="B4115" s="2669"/>
    </row>
    <row r="4116" spans="2:2" ht="23.25" customHeight="1">
      <c r="B4116" s="2669"/>
    </row>
    <row r="4117" spans="2:2" ht="23.25" customHeight="1">
      <c r="B4117" s="2669"/>
    </row>
    <row r="4118" spans="2:2" ht="23.25" customHeight="1">
      <c r="B4118" s="2669"/>
    </row>
    <row r="4119" spans="2:2" ht="23.25" customHeight="1">
      <c r="B4119" s="2669"/>
    </row>
    <row r="4120" spans="2:2" ht="23.25" customHeight="1">
      <c r="B4120" s="2669"/>
    </row>
    <row r="4121" spans="2:2" ht="23.25" customHeight="1">
      <c r="B4121" s="2669"/>
    </row>
    <row r="4122" spans="2:2" ht="23.25" customHeight="1">
      <c r="B4122" s="2669"/>
    </row>
    <row r="4123" spans="2:2" ht="23.25" customHeight="1">
      <c r="B4123" s="2669"/>
    </row>
    <row r="4124" spans="2:2" ht="23.25" customHeight="1">
      <c r="B4124" s="2669"/>
    </row>
    <row r="4125" spans="2:2" ht="23.25" customHeight="1">
      <c r="B4125" s="2669"/>
    </row>
    <row r="4126" spans="2:2" ht="23.25" customHeight="1">
      <c r="B4126" s="2669"/>
    </row>
    <row r="4127" spans="2:2" ht="23.25" customHeight="1">
      <c r="B4127" s="2669"/>
    </row>
    <row r="4128" spans="2:2" ht="23.25" customHeight="1">
      <c r="B4128" s="2669"/>
    </row>
    <row r="4129" spans="2:2" ht="23.25" customHeight="1">
      <c r="B4129" s="2669"/>
    </row>
    <row r="4130" spans="2:2" ht="23.25" customHeight="1">
      <c r="B4130" s="2669"/>
    </row>
    <row r="4131" spans="2:2" ht="23.25" customHeight="1">
      <c r="B4131" s="2669"/>
    </row>
    <row r="4132" spans="2:2" ht="23.25" customHeight="1">
      <c r="B4132" s="2669"/>
    </row>
    <row r="4133" spans="2:2" ht="23.25" customHeight="1">
      <c r="B4133" s="2669"/>
    </row>
    <row r="4134" spans="2:2" ht="23.25" customHeight="1">
      <c r="B4134" s="2669"/>
    </row>
    <row r="4135" spans="2:2" ht="23.25" customHeight="1">
      <c r="B4135" s="2669"/>
    </row>
    <row r="4136" spans="2:2" ht="23.25" customHeight="1">
      <c r="B4136" s="2669"/>
    </row>
    <row r="4137" spans="2:2" ht="23.25" customHeight="1">
      <c r="B4137" s="2669"/>
    </row>
    <row r="4138" spans="2:2" ht="23.25" customHeight="1">
      <c r="B4138" s="2669"/>
    </row>
    <row r="4139" spans="2:2" ht="23.25" customHeight="1">
      <c r="B4139" s="2669"/>
    </row>
    <row r="4140" spans="2:2" ht="23.25" customHeight="1">
      <c r="B4140" s="2669"/>
    </row>
    <row r="4141" spans="2:2" ht="23.25" customHeight="1">
      <c r="B4141" s="2669"/>
    </row>
    <row r="4142" spans="2:2" ht="23.25" customHeight="1">
      <c r="B4142" s="2669"/>
    </row>
    <row r="4143" spans="2:2" ht="23.25" customHeight="1">
      <c r="B4143" s="2669"/>
    </row>
    <row r="4144" spans="2:2" ht="23.25" customHeight="1">
      <c r="B4144" s="2669"/>
    </row>
    <row r="4145" spans="2:2" ht="23.25" customHeight="1">
      <c r="B4145" s="2669"/>
    </row>
    <row r="4146" spans="2:2" ht="23.25" customHeight="1">
      <c r="B4146" s="2669"/>
    </row>
    <row r="4147" spans="2:2" ht="23.25" customHeight="1">
      <c r="B4147" s="2669"/>
    </row>
    <row r="4148" spans="2:2" ht="23.25" customHeight="1">
      <c r="B4148" s="2669"/>
    </row>
    <row r="4149" spans="2:2" ht="23.25" customHeight="1">
      <c r="B4149" s="2669"/>
    </row>
    <row r="4150" spans="2:2" ht="23.25" customHeight="1">
      <c r="B4150" s="2669"/>
    </row>
    <row r="4151" spans="2:2" ht="23.25" customHeight="1">
      <c r="B4151" s="2669"/>
    </row>
    <row r="4152" spans="2:2" ht="23.25" customHeight="1">
      <c r="B4152" s="2669"/>
    </row>
    <row r="4153" spans="2:2" ht="23.25" customHeight="1">
      <c r="B4153" s="2669"/>
    </row>
    <row r="4154" spans="2:2" ht="23.25" customHeight="1">
      <c r="B4154" s="2669"/>
    </row>
    <row r="4155" spans="2:2" ht="23.25" customHeight="1">
      <c r="B4155" s="2669"/>
    </row>
    <row r="4156" spans="2:2" ht="23.25" customHeight="1">
      <c r="B4156" s="2669"/>
    </row>
    <row r="4157" spans="2:2" ht="23.25" customHeight="1">
      <c r="B4157" s="2669"/>
    </row>
    <row r="4158" spans="2:2" ht="23.25" customHeight="1">
      <c r="B4158" s="2669"/>
    </row>
    <row r="4159" spans="2:2" ht="23.25" customHeight="1">
      <c r="B4159" s="2669"/>
    </row>
    <row r="4160" spans="2:2" ht="23.25" customHeight="1">
      <c r="B4160" s="2669"/>
    </row>
    <row r="4161" spans="2:2" ht="23.25" customHeight="1">
      <c r="B4161" s="2669"/>
    </row>
    <row r="4162" spans="2:2" ht="23.25" customHeight="1">
      <c r="B4162" s="2669"/>
    </row>
    <row r="4163" spans="2:2" ht="23.25" customHeight="1">
      <c r="B4163" s="2669"/>
    </row>
    <row r="4164" spans="2:2" ht="23.25" customHeight="1">
      <c r="B4164" s="2669"/>
    </row>
    <row r="4165" spans="2:2" ht="23.25" customHeight="1">
      <c r="B4165" s="2669"/>
    </row>
    <row r="4166" spans="2:2" ht="23.25" customHeight="1">
      <c r="B4166" s="2669"/>
    </row>
    <row r="4167" spans="2:2" ht="23.25" customHeight="1">
      <c r="B4167" s="2669"/>
    </row>
    <row r="4168" spans="2:2" ht="23.25" customHeight="1">
      <c r="B4168" s="2669"/>
    </row>
    <row r="4169" spans="2:2" ht="23.25" customHeight="1">
      <c r="B4169" s="2669"/>
    </row>
    <row r="4170" spans="2:2" ht="23.25" customHeight="1">
      <c r="B4170" s="2669"/>
    </row>
    <row r="4171" spans="2:2" ht="23.25" customHeight="1">
      <c r="B4171" s="2669"/>
    </row>
    <row r="4172" spans="2:2" ht="23.25" customHeight="1">
      <c r="B4172" s="2669"/>
    </row>
    <row r="4173" spans="2:2" ht="23.25" customHeight="1">
      <c r="B4173" s="2669"/>
    </row>
    <row r="4174" spans="2:2" ht="23.25" customHeight="1">
      <c r="B4174" s="2669"/>
    </row>
    <row r="4175" spans="2:2" ht="23.25" customHeight="1">
      <c r="B4175" s="2669"/>
    </row>
    <row r="4176" spans="2:2" ht="23.25" customHeight="1">
      <c r="B4176" s="2669"/>
    </row>
    <row r="4177" spans="2:2" ht="23.25" customHeight="1">
      <c r="B4177" s="2669"/>
    </row>
    <row r="4178" spans="2:2" ht="23.25" customHeight="1">
      <c r="B4178" s="2669"/>
    </row>
    <row r="4179" spans="2:2" ht="23.25" customHeight="1">
      <c r="B4179" s="2669"/>
    </row>
    <row r="4180" spans="2:2" ht="23.25" customHeight="1">
      <c r="B4180" s="2669"/>
    </row>
    <row r="4181" spans="2:2" ht="23.25" customHeight="1">
      <c r="B4181" s="2669"/>
    </row>
    <row r="4182" spans="2:2" ht="23.25" customHeight="1">
      <c r="B4182" s="2669"/>
    </row>
    <row r="4183" spans="2:2" ht="23.25" customHeight="1">
      <c r="B4183" s="2669"/>
    </row>
    <row r="4184" spans="2:2" ht="23.25" customHeight="1">
      <c r="B4184" s="2669"/>
    </row>
    <row r="4185" spans="2:2" ht="23.25" customHeight="1">
      <c r="B4185" s="2669"/>
    </row>
    <row r="4186" spans="2:2" ht="23.25" customHeight="1">
      <c r="B4186" s="2669"/>
    </row>
    <row r="4187" spans="2:2" ht="23.25" customHeight="1">
      <c r="B4187" s="2669"/>
    </row>
    <row r="4188" spans="2:2" ht="23.25" customHeight="1">
      <c r="B4188" s="2669"/>
    </row>
    <row r="4189" spans="2:2" ht="23.25" customHeight="1">
      <c r="B4189" s="2669"/>
    </row>
    <row r="4190" spans="2:2" ht="23.25" customHeight="1">
      <c r="B4190" s="2669"/>
    </row>
    <row r="4191" spans="2:2" ht="23.25" customHeight="1">
      <c r="B4191" s="2669"/>
    </row>
    <row r="4192" spans="2:2" ht="23.25" customHeight="1">
      <c r="B4192" s="2669"/>
    </row>
    <row r="4193" spans="2:2" ht="23.25" customHeight="1">
      <c r="B4193" s="2669"/>
    </row>
    <row r="4194" spans="2:2" ht="23.25" customHeight="1">
      <c r="B4194" s="2669"/>
    </row>
    <row r="4195" spans="2:2" ht="23.25" customHeight="1">
      <c r="B4195" s="2669"/>
    </row>
    <row r="4196" spans="2:2" ht="23.25" customHeight="1">
      <c r="B4196" s="2669"/>
    </row>
    <row r="4197" spans="2:2" ht="23.25" customHeight="1">
      <c r="B4197" s="2669"/>
    </row>
    <row r="4198" spans="2:2" ht="23.25" customHeight="1">
      <c r="B4198" s="2669"/>
    </row>
    <row r="4199" spans="2:2" ht="23.25" customHeight="1">
      <c r="B4199" s="2669"/>
    </row>
    <row r="4200" spans="2:2" ht="23.25" customHeight="1">
      <c r="B4200" s="2669"/>
    </row>
    <row r="4201" spans="2:2" ht="23.25" customHeight="1">
      <c r="B4201" s="2669"/>
    </row>
    <row r="4202" spans="2:2" ht="23.25" customHeight="1">
      <c r="B4202" s="2669"/>
    </row>
    <row r="4203" spans="2:2" ht="23.25" customHeight="1">
      <c r="B4203" s="2669"/>
    </row>
    <row r="4204" spans="2:2" ht="23.25" customHeight="1">
      <c r="B4204" s="2669"/>
    </row>
    <row r="4205" spans="2:2" ht="23.25" customHeight="1">
      <c r="B4205" s="2669"/>
    </row>
    <row r="4206" spans="2:2" ht="23.25" customHeight="1">
      <c r="B4206" s="2669"/>
    </row>
    <row r="4207" spans="2:2" ht="23.25" customHeight="1">
      <c r="B4207" s="2669"/>
    </row>
    <row r="4208" spans="2:2" ht="23.25" customHeight="1">
      <c r="B4208" s="2669"/>
    </row>
    <row r="4209" spans="2:2" ht="23.25" customHeight="1">
      <c r="B4209" s="2669"/>
    </row>
    <row r="4210" spans="2:2" ht="23.25" customHeight="1">
      <c r="B4210" s="2669"/>
    </row>
    <row r="4211" spans="2:2" ht="23.25" customHeight="1">
      <c r="B4211" s="2669"/>
    </row>
    <row r="4212" spans="2:2" ht="23.25" customHeight="1">
      <c r="B4212" s="2669"/>
    </row>
    <row r="4213" spans="2:2" ht="23.25" customHeight="1">
      <c r="B4213" s="2669"/>
    </row>
    <row r="4214" spans="2:2" ht="23.25" customHeight="1">
      <c r="B4214" s="2669"/>
    </row>
    <row r="4215" spans="2:2" ht="23.25" customHeight="1">
      <c r="B4215" s="2669"/>
    </row>
    <row r="4216" spans="2:2" ht="23.25" customHeight="1">
      <c r="B4216" s="2669"/>
    </row>
    <row r="4217" spans="2:2" ht="23.25" customHeight="1">
      <c r="B4217" s="2669"/>
    </row>
    <row r="4218" spans="2:2" ht="23.25" customHeight="1">
      <c r="B4218" s="2669"/>
    </row>
    <row r="4219" spans="2:2" ht="23.25" customHeight="1">
      <c r="B4219" s="2669"/>
    </row>
    <row r="4220" spans="2:2" ht="23.25" customHeight="1">
      <c r="B4220" s="2669"/>
    </row>
    <row r="4221" spans="2:2" ht="23.25" customHeight="1">
      <c r="B4221" s="2669"/>
    </row>
    <row r="4222" spans="2:2" ht="23.25" customHeight="1">
      <c r="B4222" s="2669"/>
    </row>
    <row r="4223" spans="2:2" ht="23.25" customHeight="1">
      <c r="B4223" s="2669"/>
    </row>
    <row r="4224" spans="2:2" ht="23.25" customHeight="1">
      <c r="B4224" s="2669"/>
    </row>
    <row r="4225" spans="2:2" ht="23.25" customHeight="1">
      <c r="B4225" s="2669"/>
    </row>
    <row r="4226" spans="2:2" ht="23.25" customHeight="1">
      <c r="B4226" s="2669"/>
    </row>
    <row r="4227" spans="2:2" ht="23.25" customHeight="1">
      <c r="B4227" s="2669"/>
    </row>
    <row r="4228" spans="2:2" ht="23.25" customHeight="1">
      <c r="B4228" s="2669"/>
    </row>
    <row r="4229" spans="2:2" ht="23.25" customHeight="1">
      <c r="B4229" s="2669"/>
    </row>
    <row r="4230" spans="2:2" ht="23.25" customHeight="1">
      <c r="B4230" s="2669"/>
    </row>
    <row r="4231" spans="2:2" ht="23.25" customHeight="1">
      <c r="B4231" s="2669"/>
    </row>
    <row r="4232" spans="2:2" ht="23.25" customHeight="1">
      <c r="B4232" s="2669"/>
    </row>
    <row r="4233" spans="2:2" ht="23.25" customHeight="1">
      <c r="B4233" s="2669"/>
    </row>
    <row r="4234" spans="2:2" ht="23.25" customHeight="1">
      <c r="B4234" s="2669"/>
    </row>
    <row r="4235" spans="2:2" ht="23.25" customHeight="1">
      <c r="B4235" s="2669"/>
    </row>
    <row r="4236" spans="2:2" ht="23.25" customHeight="1">
      <c r="B4236" s="2669"/>
    </row>
    <row r="4237" spans="2:2" ht="23.25" customHeight="1">
      <c r="B4237" s="2669"/>
    </row>
    <row r="4238" spans="2:2" ht="23.25" customHeight="1">
      <c r="B4238" s="2669"/>
    </row>
    <row r="4239" spans="2:2" ht="23.25" customHeight="1">
      <c r="B4239" s="2669"/>
    </row>
    <row r="4240" spans="2:2" ht="23.25" customHeight="1">
      <c r="B4240" s="2669"/>
    </row>
    <row r="4241" spans="2:2" ht="23.25" customHeight="1">
      <c r="B4241" s="2669"/>
    </row>
    <row r="4242" spans="2:2" ht="23.25" customHeight="1">
      <c r="B4242" s="2669"/>
    </row>
    <row r="4243" spans="2:2" ht="23.25" customHeight="1">
      <c r="B4243" s="2669"/>
    </row>
    <row r="4244" spans="2:2" ht="23.25" customHeight="1">
      <c r="B4244" s="2669"/>
    </row>
    <row r="4245" spans="2:2" ht="23.25" customHeight="1">
      <c r="B4245" s="2669"/>
    </row>
    <row r="4246" spans="2:2" ht="23.25" customHeight="1">
      <c r="B4246" s="2669"/>
    </row>
    <row r="4247" spans="2:2" ht="23.25" customHeight="1">
      <c r="B4247" s="2669"/>
    </row>
    <row r="4248" spans="2:2" ht="23.25" customHeight="1">
      <c r="B4248" s="2669"/>
    </row>
    <row r="4249" spans="2:2" ht="23.25" customHeight="1">
      <c r="B4249" s="2669"/>
    </row>
    <row r="4250" spans="2:2" ht="23.25" customHeight="1">
      <c r="B4250" s="2669"/>
    </row>
    <row r="4251" spans="2:2" ht="23.25" customHeight="1">
      <c r="B4251" s="2669"/>
    </row>
    <row r="4252" spans="2:2" ht="23.25" customHeight="1">
      <c r="B4252" s="2669"/>
    </row>
    <row r="4253" spans="2:2" ht="23.25" customHeight="1">
      <c r="B4253" s="2669"/>
    </row>
    <row r="4254" spans="2:2" ht="23.25" customHeight="1">
      <c r="B4254" s="2669"/>
    </row>
    <row r="4255" spans="2:2" ht="23.25" customHeight="1">
      <c r="B4255" s="2669"/>
    </row>
    <row r="4256" spans="2:2" ht="23.25" customHeight="1">
      <c r="B4256" s="2669"/>
    </row>
    <row r="4257" spans="2:2" ht="23.25" customHeight="1">
      <c r="B4257" s="2669"/>
    </row>
    <row r="4258" spans="2:2" ht="23.25" customHeight="1">
      <c r="B4258" s="2669"/>
    </row>
    <row r="4259" spans="2:2" ht="23.25" customHeight="1">
      <c r="B4259" s="2669"/>
    </row>
    <row r="4260" spans="2:2" ht="23.25" customHeight="1">
      <c r="B4260" s="2669"/>
    </row>
    <row r="4261" spans="2:2" ht="23.25" customHeight="1">
      <c r="B4261" s="2669"/>
    </row>
    <row r="4262" spans="2:2" ht="23.25" customHeight="1">
      <c r="B4262" s="2669"/>
    </row>
    <row r="4263" spans="2:2" ht="23.25" customHeight="1">
      <c r="B4263" s="2669"/>
    </row>
    <row r="4264" spans="2:2" ht="23.25" customHeight="1">
      <c r="B4264" s="2669"/>
    </row>
    <row r="4265" spans="2:2" ht="23.25" customHeight="1">
      <c r="B4265" s="2669"/>
    </row>
    <row r="4266" spans="2:2" ht="23.25" customHeight="1">
      <c r="B4266" s="2669"/>
    </row>
    <row r="4267" spans="2:2" ht="23.25" customHeight="1">
      <c r="B4267" s="2669"/>
    </row>
    <row r="4268" spans="2:2" ht="23.25" customHeight="1">
      <c r="B4268" s="2669"/>
    </row>
    <row r="4269" spans="2:2" ht="23.25" customHeight="1">
      <c r="B4269" s="2669"/>
    </row>
    <row r="4270" spans="2:2" ht="23.25" customHeight="1">
      <c r="B4270" s="2669"/>
    </row>
    <row r="4271" spans="2:2" ht="23.25" customHeight="1">
      <c r="B4271" s="2669"/>
    </row>
    <row r="4272" spans="2:2" ht="23.25" customHeight="1">
      <c r="B4272" s="2669"/>
    </row>
    <row r="4273" spans="2:2" ht="23.25" customHeight="1">
      <c r="B4273" s="2669"/>
    </row>
    <row r="4274" spans="2:2" ht="23.25" customHeight="1">
      <c r="B4274" s="2669"/>
    </row>
    <row r="4275" spans="2:2" ht="23.25" customHeight="1">
      <c r="B4275" s="2669"/>
    </row>
    <row r="4276" spans="2:2" ht="23.25" customHeight="1">
      <c r="B4276" s="2669"/>
    </row>
    <row r="4277" spans="2:2" ht="23.25" customHeight="1">
      <c r="B4277" s="2669"/>
    </row>
    <row r="4278" spans="2:2" ht="23.25" customHeight="1">
      <c r="B4278" s="2669"/>
    </row>
    <row r="4279" spans="2:2" ht="23.25" customHeight="1">
      <c r="B4279" s="2669"/>
    </row>
    <row r="4280" spans="2:2" ht="23.25" customHeight="1">
      <c r="B4280" s="2669"/>
    </row>
    <row r="4281" spans="2:2" ht="23.25" customHeight="1">
      <c r="B4281" s="2669"/>
    </row>
    <row r="4282" spans="2:2" ht="23.25" customHeight="1">
      <c r="B4282" s="2669"/>
    </row>
    <row r="4283" spans="2:2" ht="23.25" customHeight="1">
      <c r="B4283" s="2669"/>
    </row>
    <row r="4284" spans="2:2" ht="23.25" customHeight="1">
      <c r="B4284" s="2669"/>
    </row>
    <row r="4285" spans="2:2" ht="23.25" customHeight="1">
      <c r="B4285" s="2669"/>
    </row>
    <row r="4286" spans="2:2" ht="23.25" customHeight="1">
      <c r="B4286" s="2669"/>
    </row>
    <row r="4287" spans="2:2" ht="23.25" customHeight="1">
      <c r="B4287" s="2669"/>
    </row>
    <row r="4288" spans="2:2" ht="23.25" customHeight="1">
      <c r="B4288" s="2669"/>
    </row>
    <row r="4289" spans="2:2" ht="23.25" customHeight="1">
      <c r="B4289" s="2669"/>
    </row>
    <row r="4290" spans="2:2" ht="23.25" customHeight="1">
      <c r="B4290" s="2669"/>
    </row>
    <row r="4291" spans="2:2" ht="23.25" customHeight="1">
      <c r="B4291" s="2669"/>
    </row>
    <row r="4292" spans="2:2" ht="23.25" customHeight="1">
      <c r="B4292" s="2669"/>
    </row>
    <row r="4293" spans="2:2" ht="23.25" customHeight="1">
      <c r="B4293" s="2669"/>
    </row>
    <row r="4294" spans="2:2" ht="23.25" customHeight="1">
      <c r="B4294" s="2669"/>
    </row>
    <row r="4295" spans="2:2" ht="23.25" customHeight="1">
      <c r="B4295" s="2669"/>
    </row>
    <row r="4296" spans="2:2" ht="23.25" customHeight="1">
      <c r="B4296" s="2669"/>
    </row>
    <row r="4297" spans="2:2" ht="23.25" customHeight="1">
      <c r="B4297" s="2669"/>
    </row>
    <row r="4298" spans="2:2" ht="23.25" customHeight="1">
      <c r="B4298" s="2669"/>
    </row>
    <row r="4299" spans="2:2" ht="23.25" customHeight="1">
      <c r="B4299" s="2669"/>
    </row>
    <row r="4300" spans="2:2" ht="23.25" customHeight="1">
      <c r="B4300" s="2669"/>
    </row>
    <row r="4301" spans="2:2" ht="23.25" customHeight="1">
      <c r="B4301" s="2669"/>
    </row>
    <row r="4302" spans="2:2" ht="23.25" customHeight="1">
      <c r="B4302" s="2669"/>
    </row>
    <row r="4303" spans="2:2" ht="23.25" customHeight="1">
      <c r="B4303" s="2669"/>
    </row>
    <row r="4304" spans="2:2" ht="23.25" customHeight="1">
      <c r="B4304" s="2669"/>
    </row>
    <row r="4305" spans="2:2" ht="23.25" customHeight="1">
      <c r="B4305" s="2669"/>
    </row>
    <row r="4306" spans="2:2" ht="23.25" customHeight="1">
      <c r="B4306" s="2669"/>
    </row>
    <row r="4307" spans="2:2" ht="23.25" customHeight="1">
      <c r="B4307" s="2669"/>
    </row>
    <row r="4308" spans="2:2" ht="23.25" customHeight="1">
      <c r="B4308" s="2669"/>
    </row>
    <row r="4309" spans="2:2" ht="23.25" customHeight="1">
      <c r="B4309" s="2669"/>
    </row>
    <row r="4310" spans="2:2" ht="23.25" customHeight="1">
      <c r="B4310" s="2669"/>
    </row>
    <row r="4311" spans="2:2" ht="23.25" customHeight="1">
      <c r="B4311" s="2669"/>
    </row>
    <row r="4312" spans="2:2" ht="23.25" customHeight="1">
      <c r="B4312" s="2669"/>
    </row>
    <row r="4313" spans="2:2" ht="23.25" customHeight="1">
      <c r="B4313" s="2669"/>
    </row>
    <row r="4314" spans="2:2" ht="23.25" customHeight="1">
      <c r="B4314" s="2669"/>
    </row>
    <row r="4315" spans="2:2" ht="23.25" customHeight="1">
      <c r="B4315" s="2669"/>
    </row>
    <row r="4316" spans="2:2" ht="23.25" customHeight="1">
      <c r="B4316" s="2669"/>
    </row>
    <row r="4317" spans="2:2" ht="23.25" customHeight="1">
      <c r="B4317" s="2669"/>
    </row>
    <row r="4318" spans="2:2" ht="23.25" customHeight="1">
      <c r="B4318" s="2669"/>
    </row>
    <row r="4319" spans="2:2" ht="23.25" customHeight="1">
      <c r="B4319" s="2669"/>
    </row>
    <row r="4320" spans="2:2" ht="23.25" customHeight="1">
      <c r="B4320" s="2669"/>
    </row>
    <row r="4321" spans="2:2" ht="23.25" customHeight="1">
      <c r="B4321" s="2669"/>
    </row>
    <row r="4322" spans="2:2" ht="23.25" customHeight="1">
      <c r="B4322" s="2669"/>
    </row>
    <row r="4323" spans="2:2" ht="23.25" customHeight="1">
      <c r="B4323" s="2669"/>
    </row>
    <row r="4324" spans="2:2" ht="23.25" customHeight="1">
      <c r="B4324" s="2669"/>
    </row>
    <row r="4325" spans="2:2" ht="23.25" customHeight="1">
      <c r="B4325" s="2669"/>
    </row>
    <row r="4326" spans="2:2" ht="23.25" customHeight="1">
      <c r="B4326" s="2669"/>
    </row>
    <row r="4327" spans="2:2" ht="23.25" customHeight="1">
      <c r="B4327" s="2669"/>
    </row>
    <row r="4328" spans="2:2" ht="23.25" customHeight="1">
      <c r="B4328" s="2669"/>
    </row>
    <row r="4329" spans="2:2" ht="23.25" customHeight="1">
      <c r="B4329" s="2669"/>
    </row>
    <row r="4330" spans="2:2" ht="23.25" customHeight="1">
      <c r="B4330" s="2669"/>
    </row>
    <row r="4331" spans="2:2" ht="23.25" customHeight="1">
      <c r="B4331" s="2669"/>
    </row>
    <row r="4332" spans="2:2" ht="23.25" customHeight="1">
      <c r="B4332" s="2669"/>
    </row>
    <row r="4333" spans="2:2" ht="23.25" customHeight="1">
      <c r="B4333" s="2669"/>
    </row>
    <row r="4334" spans="2:2" ht="23.25" customHeight="1">
      <c r="B4334" s="2669"/>
    </row>
    <row r="4335" spans="2:2" ht="23.25" customHeight="1">
      <c r="B4335" s="2669"/>
    </row>
    <row r="4336" spans="2:2" ht="23.25" customHeight="1">
      <c r="B4336" s="2669"/>
    </row>
    <row r="4337" spans="2:2" ht="23.25" customHeight="1">
      <c r="B4337" s="2669"/>
    </row>
    <row r="4338" spans="2:2" ht="23.25" customHeight="1">
      <c r="B4338" s="2669"/>
    </row>
    <row r="4339" spans="2:2" ht="23.25" customHeight="1">
      <c r="B4339" s="2669"/>
    </row>
    <row r="4340" spans="2:2" ht="23.25" customHeight="1">
      <c r="B4340" s="2669"/>
    </row>
    <row r="4341" spans="2:2" ht="23.25" customHeight="1">
      <c r="B4341" s="2669"/>
    </row>
    <row r="4342" spans="2:2" ht="23.25" customHeight="1">
      <c r="B4342" s="2669"/>
    </row>
    <row r="4343" spans="2:2" ht="23.25" customHeight="1">
      <c r="B4343" s="2669"/>
    </row>
    <row r="4344" spans="2:2" ht="23.25" customHeight="1">
      <c r="B4344" s="2669"/>
    </row>
    <row r="4345" spans="2:2" ht="23.25" customHeight="1">
      <c r="B4345" s="2669"/>
    </row>
    <row r="4346" spans="2:2" ht="23.25" customHeight="1">
      <c r="B4346" s="2669"/>
    </row>
    <row r="4347" spans="2:2" ht="23.25" customHeight="1">
      <c r="B4347" s="2669"/>
    </row>
    <row r="4348" spans="2:2" ht="23.25" customHeight="1">
      <c r="B4348" s="2669"/>
    </row>
    <row r="4349" spans="2:2" ht="23.25" customHeight="1">
      <c r="B4349" s="2669"/>
    </row>
    <row r="4350" spans="2:2" ht="23.25" customHeight="1">
      <c r="B4350" s="2669"/>
    </row>
    <row r="4351" spans="2:2" ht="23.25" customHeight="1">
      <c r="B4351" s="2669"/>
    </row>
    <row r="4352" spans="2:2" ht="23.25" customHeight="1">
      <c r="B4352" s="2669"/>
    </row>
    <row r="4353" spans="2:2" ht="23.25" customHeight="1">
      <c r="B4353" s="2669"/>
    </row>
    <row r="4354" spans="2:2" ht="23.25" customHeight="1">
      <c r="B4354" s="2669"/>
    </row>
    <row r="4355" spans="2:2" ht="23.25" customHeight="1">
      <c r="B4355" s="2669"/>
    </row>
    <row r="4356" spans="2:2" ht="23.25" customHeight="1">
      <c r="B4356" s="2669"/>
    </row>
    <row r="4357" spans="2:2" ht="23.25" customHeight="1">
      <c r="B4357" s="2669"/>
    </row>
    <row r="4358" spans="2:2" ht="23.25" customHeight="1">
      <c r="B4358" s="2669"/>
    </row>
    <row r="4359" spans="2:2" ht="23.25" customHeight="1">
      <c r="B4359" s="2669"/>
    </row>
    <row r="4360" spans="2:2" ht="23.25" customHeight="1">
      <c r="B4360" s="2669"/>
    </row>
    <row r="4361" spans="2:2" ht="23.25" customHeight="1">
      <c r="B4361" s="2669"/>
    </row>
    <row r="4362" spans="2:2" ht="23.25" customHeight="1">
      <c r="B4362" s="2669"/>
    </row>
    <row r="4363" spans="2:2" ht="23.25" customHeight="1">
      <c r="B4363" s="2669"/>
    </row>
    <row r="4364" spans="2:2" ht="23.25" customHeight="1">
      <c r="B4364" s="2669"/>
    </row>
    <row r="4365" spans="2:2" ht="23.25" customHeight="1">
      <c r="B4365" s="2669"/>
    </row>
    <row r="4366" spans="2:2" ht="23.25" customHeight="1">
      <c r="B4366" s="2669"/>
    </row>
    <row r="4367" spans="2:2" ht="23.25" customHeight="1">
      <c r="B4367" s="2669"/>
    </row>
    <row r="4368" spans="2:2" ht="23.25" customHeight="1">
      <c r="B4368" s="2669"/>
    </row>
    <row r="4369" spans="2:2" ht="23.25" customHeight="1">
      <c r="B4369" s="2669"/>
    </row>
    <row r="4370" spans="2:2" ht="23.25" customHeight="1">
      <c r="B4370" s="2669"/>
    </row>
    <row r="4371" spans="2:2" ht="23.25" customHeight="1">
      <c r="B4371" s="2669"/>
    </row>
    <row r="4372" spans="2:2" ht="23.25" customHeight="1">
      <c r="B4372" s="2669"/>
    </row>
    <row r="4373" spans="2:2" ht="23.25" customHeight="1">
      <c r="B4373" s="2669"/>
    </row>
    <row r="4374" spans="2:2" ht="23.25" customHeight="1">
      <c r="B4374" s="2669"/>
    </row>
    <row r="4375" spans="2:2" ht="23.25" customHeight="1">
      <c r="B4375" s="2669"/>
    </row>
    <row r="4376" spans="2:2" ht="23.25" customHeight="1">
      <c r="B4376" s="2669"/>
    </row>
    <row r="4377" spans="2:2" ht="23.25" customHeight="1">
      <c r="B4377" s="2669"/>
    </row>
    <row r="4378" spans="2:2" ht="23.25" customHeight="1">
      <c r="B4378" s="2669"/>
    </row>
    <row r="4379" spans="2:2" ht="23.25" customHeight="1">
      <c r="B4379" s="2669"/>
    </row>
    <row r="4380" spans="2:2" ht="23.25" customHeight="1">
      <c r="B4380" s="2669"/>
    </row>
    <row r="4381" spans="2:2" ht="23.25" customHeight="1">
      <c r="B4381" s="2669"/>
    </row>
    <row r="4382" spans="2:2" ht="23.25" customHeight="1">
      <c r="B4382" s="2669"/>
    </row>
    <row r="4383" spans="2:2" ht="23.25" customHeight="1">
      <c r="B4383" s="2669"/>
    </row>
    <row r="4384" spans="2:2" ht="23.25" customHeight="1">
      <c r="B4384" s="2669"/>
    </row>
    <row r="4385" spans="2:2" ht="23.25" customHeight="1">
      <c r="B4385" s="2669"/>
    </row>
    <row r="4386" spans="2:2" ht="23.25" customHeight="1">
      <c r="B4386" s="2669"/>
    </row>
    <row r="4387" spans="2:2" ht="23.25" customHeight="1">
      <c r="B4387" s="2669"/>
    </row>
    <row r="4388" spans="2:2" ht="23.25" customHeight="1">
      <c r="B4388" s="2669"/>
    </row>
    <row r="4389" spans="2:2" ht="23.25" customHeight="1">
      <c r="B4389" s="2669"/>
    </row>
    <row r="4390" spans="2:2" ht="23.25" customHeight="1">
      <c r="B4390" s="2669"/>
    </row>
    <row r="4391" spans="2:2" ht="23.25" customHeight="1">
      <c r="B4391" s="2669"/>
    </row>
    <row r="4392" spans="2:2" ht="23.25" customHeight="1">
      <c r="B4392" s="2669"/>
    </row>
    <row r="4393" spans="2:2" ht="23.25" customHeight="1">
      <c r="B4393" s="2669"/>
    </row>
    <row r="4394" spans="2:2" ht="23.25" customHeight="1">
      <c r="B4394" s="2669"/>
    </row>
    <row r="4395" spans="2:2" ht="23.25" customHeight="1">
      <c r="B4395" s="2669"/>
    </row>
    <row r="4396" spans="2:2" ht="23.25" customHeight="1">
      <c r="B4396" s="2669"/>
    </row>
    <row r="4397" spans="2:2" ht="23.25" customHeight="1">
      <c r="B4397" s="2669"/>
    </row>
    <row r="4398" spans="2:2" ht="23.25" customHeight="1">
      <c r="B4398" s="2669"/>
    </row>
    <row r="4399" spans="2:2" ht="23.25" customHeight="1">
      <c r="B4399" s="2669"/>
    </row>
    <row r="4400" spans="2:2" ht="23.25" customHeight="1">
      <c r="B4400" s="2669"/>
    </row>
    <row r="4401" spans="2:2" ht="23.25" customHeight="1">
      <c r="B4401" s="2669"/>
    </row>
    <row r="4402" spans="2:2" ht="23.25" customHeight="1">
      <c r="B4402" s="2669"/>
    </row>
    <row r="4403" spans="2:2" ht="23.25" customHeight="1">
      <c r="B4403" s="2669"/>
    </row>
    <row r="4404" spans="2:2" ht="23.25" customHeight="1">
      <c r="B4404" s="2669"/>
    </row>
    <row r="4405" spans="2:2" ht="23.25" customHeight="1">
      <c r="B4405" s="2669"/>
    </row>
    <row r="4406" spans="2:2" ht="23.25" customHeight="1">
      <c r="B4406" s="2669"/>
    </row>
    <row r="4407" spans="2:2" ht="23.25" customHeight="1">
      <c r="B4407" s="2669"/>
    </row>
    <row r="4408" spans="2:2" ht="23.25" customHeight="1">
      <c r="B4408" s="2669"/>
    </row>
    <row r="4409" spans="2:2" ht="23.25" customHeight="1">
      <c r="B4409" s="2669"/>
    </row>
    <row r="4410" spans="2:2" ht="23.25" customHeight="1">
      <c r="B4410" s="2669"/>
    </row>
    <row r="4411" spans="2:2" ht="23.25" customHeight="1">
      <c r="B4411" s="2669"/>
    </row>
    <row r="4412" spans="2:2" ht="23.25" customHeight="1">
      <c r="B4412" s="2669"/>
    </row>
    <row r="4413" spans="2:2" ht="23.25" customHeight="1">
      <c r="B4413" s="2669"/>
    </row>
    <row r="4414" spans="2:2" ht="23.25" customHeight="1">
      <c r="B4414" s="2669"/>
    </row>
    <row r="4415" spans="2:2" ht="23.25" customHeight="1">
      <c r="B4415" s="2669"/>
    </row>
    <row r="4416" spans="2:2" ht="23.25" customHeight="1">
      <c r="B4416" s="2669"/>
    </row>
    <row r="4417" spans="2:2" ht="23.25" customHeight="1">
      <c r="B4417" s="2669"/>
    </row>
    <row r="4418" spans="2:2" ht="23.25" customHeight="1">
      <c r="B4418" s="2669"/>
    </row>
    <row r="4419" spans="2:2" ht="23.25" customHeight="1">
      <c r="B4419" s="2669"/>
    </row>
    <row r="4420" spans="2:2" ht="23.25" customHeight="1">
      <c r="B4420" s="2669"/>
    </row>
    <row r="4421" spans="2:2" ht="23.25" customHeight="1">
      <c r="B4421" s="2669"/>
    </row>
    <row r="4422" spans="2:2" ht="23.25" customHeight="1">
      <c r="B4422" s="2669"/>
    </row>
    <row r="4423" spans="2:2" ht="23.25" customHeight="1">
      <c r="B4423" s="2669"/>
    </row>
    <row r="4424" spans="2:2" ht="23.25" customHeight="1">
      <c r="B4424" s="2669"/>
    </row>
    <row r="4425" spans="2:2" ht="23.25" customHeight="1">
      <c r="B4425" s="2669"/>
    </row>
    <row r="4426" spans="2:2" ht="23.25" customHeight="1">
      <c r="B4426" s="2669"/>
    </row>
    <row r="4427" spans="2:2" ht="23.25" customHeight="1">
      <c r="B4427" s="2669"/>
    </row>
    <row r="4428" spans="2:2" ht="23.25" customHeight="1">
      <c r="B4428" s="2669"/>
    </row>
    <row r="4429" spans="2:2" ht="23.25" customHeight="1">
      <c r="B4429" s="2669"/>
    </row>
    <row r="4430" spans="2:2" ht="23.25" customHeight="1">
      <c r="B4430" s="2669"/>
    </row>
    <row r="4431" spans="2:2" ht="23.25" customHeight="1">
      <c r="B4431" s="2669"/>
    </row>
    <row r="4432" spans="2:2" ht="23.25" customHeight="1">
      <c r="B4432" s="2669"/>
    </row>
    <row r="4433" spans="2:2" ht="23.25" customHeight="1">
      <c r="B4433" s="2669"/>
    </row>
    <row r="4434" spans="2:2" ht="23.25" customHeight="1">
      <c r="B4434" s="2669"/>
    </row>
    <row r="4435" spans="2:2" ht="23.25" customHeight="1">
      <c r="B4435" s="2669"/>
    </row>
    <row r="4436" spans="2:2" ht="23.25" customHeight="1">
      <c r="B4436" s="2669"/>
    </row>
    <row r="4437" spans="2:2" ht="23.25" customHeight="1">
      <c r="B4437" s="2669"/>
    </row>
    <row r="4438" spans="2:2" ht="23.25" customHeight="1">
      <c r="B4438" s="2669"/>
    </row>
    <row r="4439" spans="2:2" ht="23.25" customHeight="1">
      <c r="B4439" s="2669"/>
    </row>
    <row r="4440" spans="2:2" ht="23.25" customHeight="1">
      <c r="B4440" s="2669"/>
    </row>
    <row r="4441" spans="2:2" ht="23.25" customHeight="1">
      <c r="B4441" s="2669"/>
    </row>
    <row r="4442" spans="2:2" ht="23.25" customHeight="1">
      <c r="B4442" s="2669"/>
    </row>
    <row r="4443" spans="2:2" ht="23.25" customHeight="1">
      <c r="B4443" s="2669"/>
    </row>
    <row r="4444" spans="2:2" ht="23.25" customHeight="1">
      <c r="B4444" s="2669"/>
    </row>
    <row r="4445" spans="2:2" ht="23.25" customHeight="1">
      <c r="B4445" s="2669"/>
    </row>
    <row r="4446" spans="2:2" ht="23.25" customHeight="1">
      <c r="B4446" s="2669"/>
    </row>
    <row r="4447" spans="2:2" ht="23.25" customHeight="1">
      <c r="B4447" s="2669"/>
    </row>
    <row r="4448" spans="2:2" ht="23.25" customHeight="1">
      <c r="B4448" s="2669"/>
    </row>
    <row r="4449" spans="2:2" ht="23.25" customHeight="1">
      <c r="B4449" s="2669"/>
    </row>
    <row r="4450" spans="2:2" ht="23.25" customHeight="1">
      <c r="B4450" s="2669"/>
    </row>
    <row r="4451" spans="2:2" ht="23.25" customHeight="1">
      <c r="B4451" s="2669"/>
    </row>
    <row r="4452" spans="2:2" ht="23.25" customHeight="1">
      <c r="B4452" s="2669"/>
    </row>
    <row r="4453" spans="2:2" ht="23.25" customHeight="1">
      <c r="B4453" s="2669"/>
    </row>
    <row r="4454" spans="2:2" ht="23.25" customHeight="1">
      <c r="B4454" s="2669"/>
    </row>
    <row r="4455" spans="2:2" ht="23.25" customHeight="1">
      <c r="B4455" s="2669"/>
    </row>
    <row r="4456" spans="2:2" ht="23.25" customHeight="1">
      <c r="B4456" s="2669"/>
    </row>
    <row r="4457" spans="2:2" ht="23.25" customHeight="1">
      <c r="B4457" s="2669"/>
    </row>
    <row r="4458" spans="2:2" ht="23.25" customHeight="1">
      <c r="B4458" s="2669"/>
    </row>
    <row r="4459" spans="2:2" ht="23.25" customHeight="1">
      <c r="B4459" s="2669"/>
    </row>
    <row r="4460" spans="2:2" ht="23.25" customHeight="1">
      <c r="B4460" s="2669"/>
    </row>
    <row r="4461" spans="2:2" ht="23.25" customHeight="1">
      <c r="B4461" s="2669"/>
    </row>
    <row r="4462" spans="2:2" ht="23.25" customHeight="1">
      <c r="B4462" s="2669"/>
    </row>
    <row r="4463" spans="2:2" ht="23.25" customHeight="1">
      <c r="B4463" s="2669"/>
    </row>
    <row r="4464" spans="2:2" ht="23.25" customHeight="1">
      <c r="B4464" s="2669"/>
    </row>
    <row r="4465" spans="2:2" ht="23.25" customHeight="1">
      <c r="B4465" s="2669"/>
    </row>
    <row r="4466" spans="2:2" ht="23.25" customHeight="1">
      <c r="B4466" s="2669"/>
    </row>
    <row r="4467" spans="2:2" ht="23.25" customHeight="1">
      <c r="B4467" s="2669"/>
    </row>
    <row r="4468" spans="2:2" ht="23.25" customHeight="1">
      <c r="B4468" s="2669"/>
    </row>
    <row r="4469" spans="2:2" ht="23.25" customHeight="1">
      <c r="B4469" s="2669"/>
    </row>
    <row r="4470" spans="2:2" ht="23.25" customHeight="1">
      <c r="B4470" s="2669"/>
    </row>
    <row r="4471" spans="2:2" ht="23.25" customHeight="1">
      <c r="B4471" s="2669"/>
    </row>
    <row r="4472" spans="2:2" ht="23.25" customHeight="1">
      <c r="B4472" s="2669"/>
    </row>
    <row r="4473" spans="2:2" ht="23.25" customHeight="1">
      <c r="B4473" s="2669"/>
    </row>
    <row r="4474" spans="2:2" ht="23.25" customHeight="1">
      <c r="B4474" s="2669"/>
    </row>
    <row r="4475" spans="2:2" ht="23.25" customHeight="1">
      <c r="B4475" s="2669"/>
    </row>
    <row r="4476" spans="2:2" ht="23.25" customHeight="1">
      <c r="B4476" s="2669"/>
    </row>
    <row r="4477" spans="2:2" ht="23.25" customHeight="1">
      <c r="B4477" s="2669"/>
    </row>
    <row r="4478" spans="2:2" ht="23.25" customHeight="1">
      <c r="B4478" s="2669"/>
    </row>
    <row r="4479" spans="2:2" ht="23.25" customHeight="1">
      <c r="B4479" s="2669"/>
    </row>
    <row r="4480" spans="2:2" ht="23.25" customHeight="1">
      <c r="B4480" s="2669"/>
    </row>
    <row r="4481" spans="2:2" ht="23.25" customHeight="1">
      <c r="B4481" s="2669"/>
    </row>
    <row r="4482" spans="2:2" ht="23.25" customHeight="1">
      <c r="B4482" s="2669"/>
    </row>
    <row r="4483" spans="2:2" ht="23.25" customHeight="1">
      <c r="B4483" s="2669"/>
    </row>
    <row r="4484" spans="2:2" ht="23.25" customHeight="1">
      <c r="B4484" s="2669"/>
    </row>
    <row r="4485" spans="2:2" ht="23.25" customHeight="1">
      <c r="B4485" s="2669"/>
    </row>
    <row r="4486" spans="2:2" ht="23.25" customHeight="1">
      <c r="B4486" s="2669"/>
    </row>
    <row r="4487" spans="2:2" ht="23.25" customHeight="1">
      <c r="B4487" s="2669"/>
    </row>
    <row r="4488" spans="2:2" ht="23.25" customHeight="1">
      <c r="B4488" s="2669"/>
    </row>
    <row r="4489" spans="2:2" ht="23.25" customHeight="1">
      <c r="B4489" s="2669"/>
    </row>
    <row r="4490" spans="2:2" ht="23.25" customHeight="1">
      <c r="B4490" s="2669"/>
    </row>
    <row r="4491" spans="2:2" ht="23.25" customHeight="1">
      <c r="B4491" s="2669"/>
    </row>
    <row r="4492" spans="2:2" ht="23.25" customHeight="1">
      <c r="B4492" s="2669"/>
    </row>
    <row r="4493" spans="2:2" ht="23.25" customHeight="1">
      <c r="B4493" s="2669"/>
    </row>
    <row r="4494" spans="2:2" ht="23.25" customHeight="1">
      <c r="B4494" s="2669"/>
    </row>
    <row r="4495" spans="2:2" ht="23.25" customHeight="1">
      <c r="B4495" s="2669"/>
    </row>
    <row r="4496" spans="2:2" ht="23.25" customHeight="1">
      <c r="B4496" s="2669"/>
    </row>
    <row r="4497" spans="2:2" ht="23.25" customHeight="1">
      <c r="B4497" s="2669"/>
    </row>
    <row r="4498" spans="2:2" ht="23.25" customHeight="1">
      <c r="B4498" s="2669"/>
    </row>
    <row r="4499" spans="2:2" ht="23.25" customHeight="1">
      <c r="B4499" s="2669"/>
    </row>
    <row r="4500" spans="2:2" ht="23.25" customHeight="1">
      <c r="B4500" s="2669"/>
    </row>
    <row r="4501" spans="2:2" ht="23.25" customHeight="1">
      <c r="B4501" s="2669"/>
    </row>
    <row r="4502" spans="2:2" ht="23.25" customHeight="1">
      <c r="B4502" s="2669"/>
    </row>
    <row r="4503" spans="2:2" ht="23.25" customHeight="1">
      <c r="B4503" s="2669"/>
    </row>
    <row r="4504" spans="2:2" ht="23.25" customHeight="1">
      <c r="B4504" s="2669"/>
    </row>
    <row r="4505" spans="2:2" ht="23.25" customHeight="1">
      <c r="B4505" s="2669"/>
    </row>
    <row r="4506" spans="2:2" ht="23.25" customHeight="1">
      <c r="B4506" s="2669"/>
    </row>
    <row r="4507" spans="2:2" ht="23.25" customHeight="1">
      <c r="B4507" s="2669"/>
    </row>
    <row r="4508" spans="2:2" ht="23.25" customHeight="1">
      <c r="B4508" s="2669"/>
    </row>
    <row r="4509" spans="2:2" ht="23.25" customHeight="1">
      <c r="B4509" s="2669"/>
    </row>
    <row r="4510" spans="2:2" ht="23.25" customHeight="1">
      <c r="B4510" s="2669"/>
    </row>
    <row r="4511" spans="2:2" ht="23.25" customHeight="1">
      <c r="B4511" s="2669"/>
    </row>
    <row r="4512" spans="2:2" ht="23.25" customHeight="1">
      <c r="B4512" s="2669"/>
    </row>
    <row r="4513" spans="2:2" ht="23.25" customHeight="1">
      <c r="B4513" s="2669"/>
    </row>
    <row r="4514" spans="2:2" ht="23.25" customHeight="1">
      <c r="B4514" s="2669"/>
    </row>
    <row r="4515" spans="2:2" ht="23.25" customHeight="1">
      <c r="B4515" s="2669"/>
    </row>
    <row r="4516" spans="2:2" ht="23.25" customHeight="1">
      <c r="B4516" s="2669"/>
    </row>
    <row r="4517" spans="2:2" ht="23.25" customHeight="1">
      <c r="B4517" s="2669"/>
    </row>
    <row r="4518" spans="2:2" ht="23.25" customHeight="1">
      <c r="B4518" s="2669"/>
    </row>
    <row r="4519" spans="2:2" ht="23.25" customHeight="1">
      <c r="B4519" s="2669"/>
    </row>
    <row r="4520" spans="2:2" ht="23.25" customHeight="1">
      <c r="B4520" s="2669"/>
    </row>
    <row r="4521" spans="2:2" ht="23.25" customHeight="1">
      <c r="B4521" s="2669"/>
    </row>
    <row r="4522" spans="2:2" ht="23.25" customHeight="1">
      <c r="B4522" s="2669"/>
    </row>
    <row r="4523" spans="2:2" ht="23.25" customHeight="1">
      <c r="B4523" s="2669"/>
    </row>
    <row r="4524" spans="2:2" ht="23.25" customHeight="1">
      <c r="B4524" s="2669"/>
    </row>
    <row r="4525" spans="2:2" ht="23.25" customHeight="1">
      <c r="B4525" s="2669"/>
    </row>
    <row r="4526" spans="2:2" ht="23.25" customHeight="1">
      <c r="B4526" s="2669"/>
    </row>
    <row r="4527" spans="2:2" ht="23.25" customHeight="1">
      <c r="B4527" s="2669"/>
    </row>
    <row r="4528" spans="2:2" ht="23.25" customHeight="1">
      <c r="B4528" s="2669"/>
    </row>
    <row r="4529" spans="2:2" ht="23.25" customHeight="1">
      <c r="B4529" s="2669"/>
    </row>
    <row r="4530" spans="2:2" ht="23.25" customHeight="1">
      <c r="B4530" s="2669"/>
    </row>
    <row r="4531" spans="2:2" ht="23.25" customHeight="1">
      <c r="B4531" s="2669"/>
    </row>
    <row r="4532" spans="2:2" ht="23.25" customHeight="1">
      <c r="B4532" s="2669"/>
    </row>
    <row r="4533" spans="2:2" ht="23.25" customHeight="1">
      <c r="B4533" s="2669"/>
    </row>
    <row r="4534" spans="2:2" ht="23.25" customHeight="1">
      <c r="B4534" s="2669"/>
    </row>
    <row r="4535" spans="2:2" ht="23.25" customHeight="1">
      <c r="B4535" s="2669"/>
    </row>
    <row r="4536" spans="2:2" ht="23.25" customHeight="1">
      <c r="B4536" s="2669"/>
    </row>
    <row r="4537" spans="2:2" ht="23.25" customHeight="1">
      <c r="B4537" s="2669"/>
    </row>
    <row r="4538" spans="2:2" ht="23.25" customHeight="1">
      <c r="B4538" s="2669"/>
    </row>
    <row r="4539" spans="2:2" ht="23.25" customHeight="1">
      <c r="B4539" s="2669"/>
    </row>
    <row r="4540" spans="2:2" ht="23.25" customHeight="1">
      <c r="B4540" s="2669"/>
    </row>
    <row r="4541" spans="2:2" ht="23.25" customHeight="1">
      <c r="B4541" s="2669"/>
    </row>
    <row r="4542" spans="2:2" ht="23.25" customHeight="1">
      <c r="B4542" s="2669"/>
    </row>
    <row r="4543" spans="2:2" ht="23.25" customHeight="1">
      <c r="B4543" s="2669"/>
    </row>
    <row r="4544" spans="2:2" ht="23.25" customHeight="1">
      <c r="B4544" s="2669"/>
    </row>
    <row r="4545" spans="2:2" ht="23.25" customHeight="1">
      <c r="B4545" s="2669"/>
    </row>
    <row r="4546" spans="2:2" ht="23.25" customHeight="1">
      <c r="B4546" s="2669"/>
    </row>
    <row r="4547" spans="2:2" ht="23.25" customHeight="1">
      <c r="B4547" s="2669"/>
    </row>
    <row r="4548" spans="2:2" ht="23.25" customHeight="1">
      <c r="B4548" s="2669"/>
    </row>
    <row r="4549" spans="2:2" ht="23.25" customHeight="1">
      <c r="B4549" s="2669"/>
    </row>
    <row r="4550" spans="2:2" ht="23.25" customHeight="1">
      <c r="B4550" s="2669"/>
    </row>
    <row r="4551" spans="2:2" ht="23.25" customHeight="1">
      <c r="B4551" s="2669"/>
    </row>
    <row r="4552" spans="2:2" ht="23.25" customHeight="1">
      <c r="B4552" s="2669"/>
    </row>
    <row r="4553" spans="2:2" ht="23.25" customHeight="1">
      <c r="B4553" s="2669"/>
    </row>
    <row r="4554" spans="2:2" ht="23.25" customHeight="1">
      <c r="B4554" s="2669"/>
    </row>
    <row r="4555" spans="2:2" ht="23.25" customHeight="1">
      <c r="B4555" s="2669"/>
    </row>
    <row r="4556" spans="2:2" ht="23.25" customHeight="1">
      <c r="B4556" s="2669"/>
    </row>
    <row r="4557" spans="2:2" ht="23.25" customHeight="1">
      <c r="B4557" s="2669"/>
    </row>
    <row r="4558" spans="2:2" ht="23.25" customHeight="1">
      <c r="B4558" s="2669"/>
    </row>
    <row r="4559" spans="2:2" ht="23.25" customHeight="1">
      <c r="B4559" s="2669"/>
    </row>
    <row r="4560" spans="2:2" ht="23.25" customHeight="1">
      <c r="B4560" s="2669"/>
    </row>
    <row r="4561" spans="2:2" ht="23.25" customHeight="1">
      <c r="B4561" s="2669"/>
    </row>
    <row r="4562" spans="2:2" ht="23.25" customHeight="1">
      <c r="B4562" s="2669"/>
    </row>
    <row r="4563" spans="2:2" ht="23.25" customHeight="1">
      <c r="B4563" s="2669"/>
    </row>
    <row r="4564" spans="2:2" ht="23.25" customHeight="1">
      <c r="B4564" s="2669"/>
    </row>
    <row r="4565" spans="2:2" ht="23.25" customHeight="1">
      <c r="B4565" s="2669"/>
    </row>
    <row r="4566" spans="2:2" ht="23.25" customHeight="1">
      <c r="B4566" s="2669"/>
    </row>
    <row r="4567" spans="2:2" ht="23.25" customHeight="1">
      <c r="B4567" s="2669"/>
    </row>
    <row r="4568" spans="2:2" ht="23.25" customHeight="1">
      <c r="B4568" s="2669"/>
    </row>
    <row r="4569" spans="2:2" ht="23.25" customHeight="1">
      <c r="B4569" s="2669"/>
    </row>
    <row r="4570" spans="2:2" ht="23.25" customHeight="1">
      <c r="B4570" s="2669"/>
    </row>
    <row r="4571" spans="2:2" ht="23.25" customHeight="1">
      <c r="B4571" s="2669"/>
    </row>
    <row r="4572" spans="2:2" ht="23.25" customHeight="1">
      <c r="B4572" s="2669"/>
    </row>
    <row r="4573" spans="2:2" ht="23.25" customHeight="1">
      <c r="B4573" s="2669"/>
    </row>
    <row r="4574" spans="2:2" ht="23.25" customHeight="1">
      <c r="B4574" s="2669"/>
    </row>
    <row r="4575" spans="2:2" ht="23.25" customHeight="1">
      <c r="B4575" s="2669"/>
    </row>
    <row r="4576" spans="2:2" ht="23.25" customHeight="1">
      <c r="B4576" s="2669"/>
    </row>
    <row r="4577" spans="2:2" ht="23.25" customHeight="1">
      <c r="B4577" s="2669"/>
    </row>
    <row r="4578" spans="2:2" ht="23.25" customHeight="1">
      <c r="B4578" s="2669"/>
    </row>
    <row r="4579" spans="2:2" ht="23.25" customHeight="1">
      <c r="B4579" s="2669"/>
    </row>
    <row r="4580" spans="2:2" ht="23.25" customHeight="1">
      <c r="B4580" s="2669"/>
    </row>
    <row r="4581" spans="2:2" ht="23.25" customHeight="1">
      <c r="B4581" s="2669"/>
    </row>
    <row r="4582" spans="2:2" ht="23.25" customHeight="1">
      <c r="B4582" s="2669"/>
    </row>
    <row r="4583" spans="2:2" ht="23.25" customHeight="1">
      <c r="B4583" s="2669"/>
    </row>
    <row r="4584" spans="2:2" ht="23.25" customHeight="1">
      <c r="B4584" s="2669"/>
    </row>
    <row r="4585" spans="2:2" ht="23.25" customHeight="1">
      <c r="B4585" s="2669"/>
    </row>
    <row r="4586" spans="2:2" ht="23.25" customHeight="1">
      <c r="B4586" s="2669"/>
    </row>
    <row r="4587" spans="2:2" ht="23.25" customHeight="1">
      <c r="B4587" s="2669"/>
    </row>
    <row r="4588" spans="2:2" ht="23.25" customHeight="1">
      <c r="B4588" s="2669"/>
    </row>
    <row r="4589" spans="2:2" ht="23.25" customHeight="1">
      <c r="B4589" s="2669"/>
    </row>
    <row r="4590" spans="2:2" ht="23.25" customHeight="1">
      <c r="B4590" s="2669"/>
    </row>
    <row r="4591" spans="2:2" ht="23.25" customHeight="1">
      <c r="B4591" s="2669"/>
    </row>
    <row r="4592" spans="2:2" ht="23.25" customHeight="1">
      <c r="B4592" s="2669"/>
    </row>
    <row r="4593" spans="2:2" ht="23.25" customHeight="1">
      <c r="B4593" s="2669"/>
    </row>
    <row r="4594" spans="2:2" ht="23.25" customHeight="1">
      <c r="B4594" s="2669"/>
    </row>
    <row r="4595" spans="2:2" ht="23.25" customHeight="1">
      <c r="B4595" s="2669"/>
    </row>
    <row r="4596" spans="2:2" ht="23.25" customHeight="1">
      <c r="B4596" s="2669"/>
    </row>
    <row r="4597" spans="2:2" ht="23.25" customHeight="1">
      <c r="B4597" s="2669"/>
    </row>
    <row r="4598" spans="2:2" ht="23.25" customHeight="1">
      <c r="B4598" s="2669"/>
    </row>
    <row r="4599" spans="2:2" ht="23.25" customHeight="1">
      <c r="B4599" s="2669"/>
    </row>
    <row r="4600" spans="2:2" ht="23.25" customHeight="1">
      <c r="B4600" s="2669"/>
    </row>
    <row r="4601" spans="2:2" ht="23.25" customHeight="1">
      <c r="B4601" s="2669"/>
    </row>
    <row r="4602" spans="2:2" ht="23.25" customHeight="1">
      <c r="B4602" s="2669"/>
    </row>
    <row r="4603" spans="2:2" ht="23.25" customHeight="1">
      <c r="B4603" s="2669"/>
    </row>
    <row r="4604" spans="2:2" ht="23.25" customHeight="1">
      <c r="B4604" s="2669"/>
    </row>
    <row r="4605" spans="2:2" ht="23.25" customHeight="1">
      <c r="B4605" s="2669"/>
    </row>
    <row r="4606" spans="2:2" ht="23.25" customHeight="1">
      <c r="B4606" s="2669"/>
    </row>
    <row r="4607" spans="2:2" ht="23.25" customHeight="1">
      <c r="B4607" s="2669"/>
    </row>
    <row r="4608" spans="2:2" ht="23.25" customHeight="1">
      <c r="B4608" s="2669"/>
    </row>
    <row r="4609" spans="2:2" ht="23.25" customHeight="1">
      <c r="B4609" s="2669"/>
    </row>
    <row r="4610" spans="2:2" ht="23.25" customHeight="1">
      <c r="B4610" s="2669"/>
    </row>
    <row r="4611" spans="2:2" ht="23.25" customHeight="1">
      <c r="B4611" s="2669"/>
    </row>
    <row r="4612" spans="2:2" ht="23.25" customHeight="1">
      <c r="B4612" s="2669"/>
    </row>
    <row r="4613" spans="2:2" ht="23.25" customHeight="1">
      <c r="B4613" s="2669"/>
    </row>
    <row r="4614" spans="2:2" ht="23.25" customHeight="1">
      <c r="B4614" s="2669"/>
    </row>
    <row r="4615" spans="2:2" ht="23.25" customHeight="1">
      <c r="B4615" s="2669"/>
    </row>
    <row r="4616" spans="2:2" ht="23.25" customHeight="1">
      <c r="B4616" s="2669"/>
    </row>
    <row r="4617" spans="2:2" ht="23.25" customHeight="1">
      <c r="B4617" s="2669"/>
    </row>
    <row r="4618" spans="2:2" ht="23.25" customHeight="1">
      <c r="B4618" s="2669"/>
    </row>
    <row r="4619" spans="2:2" ht="23.25" customHeight="1">
      <c r="B4619" s="2669"/>
    </row>
    <row r="4620" spans="2:2" ht="23.25" customHeight="1">
      <c r="B4620" s="2669"/>
    </row>
    <row r="4621" spans="2:2" ht="23.25" customHeight="1">
      <c r="B4621" s="2669"/>
    </row>
    <row r="4622" spans="2:2" ht="23.25" customHeight="1">
      <c r="B4622" s="2669"/>
    </row>
    <row r="4623" spans="2:2" ht="23.25" customHeight="1">
      <c r="B4623" s="2669"/>
    </row>
    <row r="4624" spans="2:2" ht="23.25" customHeight="1">
      <c r="B4624" s="2669"/>
    </row>
    <row r="4625" spans="2:2" ht="23.25" customHeight="1">
      <c r="B4625" s="2669"/>
    </row>
    <row r="4626" spans="2:2" ht="23.25" customHeight="1">
      <c r="B4626" s="2669"/>
    </row>
    <row r="4627" spans="2:2" ht="23.25" customHeight="1">
      <c r="B4627" s="2669"/>
    </row>
    <row r="4628" spans="2:2" ht="23.25" customHeight="1">
      <c r="B4628" s="2669"/>
    </row>
    <row r="4629" spans="2:2" ht="23.25" customHeight="1">
      <c r="B4629" s="2669"/>
    </row>
    <row r="4630" spans="2:2" ht="23.25" customHeight="1">
      <c r="B4630" s="2669"/>
    </row>
    <row r="4631" spans="2:2" ht="23.25" customHeight="1">
      <c r="B4631" s="2669"/>
    </row>
    <row r="4632" spans="2:2" ht="23.25" customHeight="1">
      <c r="B4632" s="2669"/>
    </row>
    <row r="4633" spans="2:2" ht="23.25" customHeight="1">
      <c r="B4633" s="2669"/>
    </row>
    <row r="4634" spans="2:2" ht="23.25" customHeight="1">
      <c r="B4634" s="2669"/>
    </row>
    <row r="4635" spans="2:2" ht="23.25" customHeight="1">
      <c r="B4635" s="2669"/>
    </row>
    <row r="4636" spans="2:2" ht="23.25" customHeight="1">
      <c r="B4636" s="2669"/>
    </row>
    <row r="4637" spans="2:2" ht="23.25" customHeight="1">
      <c r="B4637" s="2669"/>
    </row>
    <row r="4638" spans="2:2" ht="23.25" customHeight="1">
      <c r="B4638" s="2669"/>
    </row>
    <row r="4639" spans="2:2" ht="23.25" customHeight="1">
      <c r="B4639" s="2669"/>
    </row>
    <row r="4640" spans="2:2" ht="23.25" customHeight="1">
      <c r="B4640" s="2669"/>
    </row>
    <row r="4641" spans="2:2" ht="23.25" customHeight="1">
      <c r="B4641" s="2669"/>
    </row>
    <row r="4642" spans="2:2" ht="23.25" customHeight="1">
      <c r="B4642" s="2669"/>
    </row>
    <row r="4643" spans="2:2" ht="23.25" customHeight="1">
      <c r="B4643" s="2669"/>
    </row>
    <row r="4644" spans="2:2" ht="23.25" customHeight="1">
      <c r="B4644" s="2669"/>
    </row>
    <row r="4645" spans="2:2" ht="23.25" customHeight="1">
      <c r="B4645" s="2669"/>
    </row>
    <row r="4646" spans="2:2" ht="23.25" customHeight="1">
      <c r="B4646" s="2669"/>
    </row>
    <row r="4647" spans="2:2" ht="23.25" customHeight="1">
      <c r="B4647" s="2669"/>
    </row>
    <row r="4648" spans="2:2" ht="23.25" customHeight="1">
      <c r="B4648" s="2669"/>
    </row>
    <row r="4649" spans="2:2" ht="23.25" customHeight="1">
      <c r="B4649" s="2669"/>
    </row>
    <row r="4650" spans="2:2" ht="23.25" customHeight="1">
      <c r="B4650" s="2669"/>
    </row>
    <row r="4651" spans="2:2" ht="23.25" customHeight="1">
      <c r="B4651" s="2669"/>
    </row>
    <row r="4652" spans="2:2" ht="23.25" customHeight="1">
      <c r="B4652" s="2669"/>
    </row>
    <row r="4653" spans="2:2" ht="23.25" customHeight="1">
      <c r="B4653" s="2669"/>
    </row>
    <row r="4654" spans="2:2" ht="23.25" customHeight="1">
      <c r="B4654" s="2669"/>
    </row>
    <row r="4655" spans="2:2" ht="23.25" customHeight="1">
      <c r="B4655" s="2669"/>
    </row>
    <row r="4656" spans="2:2" ht="23.25" customHeight="1">
      <c r="B4656" s="2669"/>
    </row>
    <row r="4657" spans="2:2" ht="23.25" customHeight="1">
      <c r="B4657" s="2669"/>
    </row>
    <row r="4658" spans="2:2" ht="23.25" customHeight="1">
      <c r="B4658" s="2669"/>
    </row>
    <row r="4659" spans="2:2" ht="23.25" customHeight="1">
      <c r="B4659" s="2669"/>
    </row>
    <row r="4660" spans="2:2" ht="23.25" customHeight="1">
      <c r="B4660" s="2669"/>
    </row>
    <row r="4661" spans="2:2" ht="23.25" customHeight="1">
      <c r="B4661" s="2669"/>
    </row>
    <row r="4662" spans="2:2" ht="23.25" customHeight="1">
      <c r="B4662" s="2669"/>
    </row>
    <row r="4663" spans="2:2" ht="23.25" customHeight="1">
      <c r="B4663" s="2669"/>
    </row>
    <row r="4664" spans="2:2" ht="23.25" customHeight="1">
      <c r="B4664" s="2669"/>
    </row>
    <row r="4665" spans="2:2" ht="23.25" customHeight="1">
      <c r="B4665" s="2669"/>
    </row>
    <row r="4666" spans="2:2" ht="23.25" customHeight="1">
      <c r="B4666" s="2669"/>
    </row>
    <row r="4667" spans="2:2" ht="23.25" customHeight="1">
      <c r="B4667" s="2669"/>
    </row>
    <row r="4668" spans="2:2" ht="23.25" customHeight="1">
      <c r="B4668" s="2669"/>
    </row>
    <row r="4669" spans="2:2" ht="23.25" customHeight="1">
      <c r="B4669" s="2669"/>
    </row>
    <row r="4670" spans="2:2" ht="23.25" customHeight="1">
      <c r="B4670" s="2669"/>
    </row>
    <row r="4671" spans="2:2" ht="23.25" customHeight="1">
      <c r="B4671" s="2669"/>
    </row>
    <row r="4672" spans="2:2" ht="23.25" customHeight="1">
      <c r="B4672" s="2669"/>
    </row>
    <row r="4673" spans="2:2" ht="23.25" customHeight="1">
      <c r="B4673" s="2669"/>
    </row>
    <row r="4674" spans="2:2" ht="23.25" customHeight="1">
      <c r="B4674" s="2669"/>
    </row>
    <row r="4675" spans="2:2" ht="23.25" customHeight="1">
      <c r="B4675" s="2669"/>
    </row>
    <row r="4676" spans="2:2" ht="23.25" customHeight="1">
      <c r="B4676" s="2669"/>
    </row>
    <row r="4677" spans="2:2" ht="23.25" customHeight="1">
      <c r="B4677" s="2669"/>
    </row>
    <row r="4678" spans="2:2" ht="23.25" customHeight="1">
      <c r="B4678" s="2669"/>
    </row>
    <row r="4679" spans="2:2" ht="23.25" customHeight="1">
      <c r="B4679" s="2669"/>
    </row>
    <row r="4680" spans="2:2" ht="23.25" customHeight="1">
      <c r="B4680" s="2669"/>
    </row>
    <row r="4681" spans="2:2" ht="23.25" customHeight="1">
      <c r="B4681" s="2669"/>
    </row>
    <row r="4682" spans="2:2" ht="23.25" customHeight="1">
      <c r="B4682" s="2669"/>
    </row>
    <row r="4683" spans="2:2" ht="23.25" customHeight="1">
      <c r="B4683" s="2669"/>
    </row>
    <row r="4684" spans="2:2" ht="23.25" customHeight="1">
      <c r="B4684" s="2669"/>
    </row>
    <row r="4685" spans="2:2" ht="23.25" customHeight="1">
      <c r="B4685" s="2669"/>
    </row>
    <row r="4686" spans="2:2" ht="23.25" customHeight="1">
      <c r="B4686" s="2669"/>
    </row>
    <row r="4687" spans="2:2" ht="23.25" customHeight="1">
      <c r="B4687" s="2669"/>
    </row>
    <row r="4688" spans="2:2" ht="23.25" customHeight="1">
      <c r="B4688" s="2669"/>
    </row>
    <row r="4689" spans="2:2" ht="23.25" customHeight="1">
      <c r="B4689" s="2669"/>
    </row>
    <row r="4690" spans="2:2" ht="23.25" customHeight="1">
      <c r="B4690" s="2669"/>
    </row>
    <row r="4691" spans="2:2" ht="23.25" customHeight="1">
      <c r="B4691" s="2669"/>
    </row>
    <row r="4692" spans="2:2" ht="23.25" customHeight="1">
      <c r="B4692" s="2669"/>
    </row>
    <row r="4693" spans="2:2" ht="23.25" customHeight="1">
      <c r="B4693" s="2669"/>
    </row>
    <row r="4694" spans="2:2" ht="23.25" customHeight="1">
      <c r="B4694" s="2669"/>
    </row>
    <row r="4695" spans="2:2" ht="23.25" customHeight="1">
      <c r="B4695" s="2669"/>
    </row>
    <row r="4696" spans="2:2" ht="23.25" customHeight="1">
      <c r="B4696" s="2669"/>
    </row>
    <row r="4697" spans="2:2" ht="23.25" customHeight="1">
      <c r="B4697" s="2669"/>
    </row>
    <row r="4698" spans="2:2" ht="23.25" customHeight="1">
      <c r="B4698" s="2669"/>
    </row>
    <row r="4699" spans="2:2" ht="23.25" customHeight="1">
      <c r="B4699" s="2669"/>
    </row>
    <row r="4700" spans="2:2" ht="23.25" customHeight="1">
      <c r="B4700" s="2669"/>
    </row>
    <row r="4701" spans="2:2" ht="23.25" customHeight="1">
      <c r="B4701" s="2669"/>
    </row>
    <row r="4702" spans="2:2" ht="23.25" customHeight="1">
      <c r="B4702" s="2669"/>
    </row>
    <row r="4703" spans="2:2" ht="23.25" customHeight="1">
      <c r="B4703" s="2669"/>
    </row>
    <row r="4704" spans="2:2" ht="23.25" customHeight="1">
      <c r="B4704" s="2669"/>
    </row>
    <row r="4705" spans="2:2" ht="23.25" customHeight="1">
      <c r="B4705" s="2669"/>
    </row>
    <row r="4706" spans="2:2" ht="23.25" customHeight="1">
      <c r="B4706" s="2669"/>
    </row>
    <row r="4707" spans="2:2" ht="23.25" customHeight="1">
      <c r="B4707" s="2669"/>
    </row>
    <row r="4708" spans="2:2" ht="23.25" customHeight="1">
      <c r="B4708" s="2669"/>
    </row>
    <row r="4709" spans="2:2" ht="23.25" customHeight="1">
      <c r="B4709" s="2669"/>
    </row>
    <row r="4710" spans="2:2" ht="23.25" customHeight="1">
      <c r="B4710" s="2669"/>
    </row>
    <row r="4711" spans="2:2" ht="23.25" customHeight="1">
      <c r="B4711" s="2669"/>
    </row>
    <row r="4712" spans="2:2" ht="23.25" customHeight="1">
      <c r="B4712" s="2669"/>
    </row>
    <row r="4713" spans="2:2" ht="23.25" customHeight="1">
      <c r="B4713" s="2669"/>
    </row>
    <row r="4714" spans="2:2" ht="23.25" customHeight="1">
      <c r="B4714" s="2669"/>
    </row>
    <row r="4715" spans="2:2" ht="23.25" customHeight="1">
      <c r="B4715" s="2669"/>
    </row>
    <row r="4716" spans="2:2" ht="23.25" customHeight="1">
      <c r="B4716" s="2669"/>
    </row>
    <row r="4717" spans="2:2" ht="23.25" customHeight="1">
      <c r="B4717" s="2669"/>
    </row>
    <row r="4718" spans="2:2" ht="23.25" customHeight="1">
      <c r="B4718" s="2669"/>
    </row>
    <row r="4719" spans="2:2" ht="23.25" customHeight="1">
      <c r="B4719" s="2669"/>
    </row>
    <row r="4720" spans="2:2" ht="23.25" customHeight="1">
      <c r="B4720" s="2669"/>
    </row>
    <row r="4721" spans="2:2" ht="23.25" customHeight="1">
      <c r="B4721" s="2669"/>
    </row>
    <row r="4722" spans="2:2" ht="23.25" customHeight="1">
      <c r="B4722" s="2669"/>
    </row>
    <row r="4723" spans="2:2" ht="23.25" customHeight="1">
      <c r="B4723" s="2669"/>
    </row>
    <row r="4724" spans="2:2" ht="23.25" customHeight="1">
      <c r="B4724" s="2669"/>
    </row>
    <row r="4725" spans="2:2" ht="23.25" customHeight="1">
      <c r="B4725" s="2669"/>
    </row>
    <row r="4726" spans="2:2" ht="23.25" customHeight="1">
      <c r="B4726" s="2669"/>
    </row>
    <row r="4727" spans="2:2" ht="23.25" customHeight="1">
      <c r="B4727" s="2669"/>
    </row>
    <row r="4728" spans="2:2" ht="23.25" customHeight="1">
      <c r="B4728" s="2669"/>
    </row>
    <row r="4729" spans="2:2" ht="23.25" customHeight="1">
      <c r="B4729" s="2669"/>
    </row>
    <row r="4730" spans="2:2" ht="23.25" customHeight="1">
      <c r="B4730" s="2669"/>
    </row>
    <row r="4731" spans="2:2" ht="23.25" customHeight="1">
      <c r="B4731" s="2669"/>
    </row>
    <row r="4732" spans="2:2" ht="23.25" customHeight="1">
      <c r="B4732" s="2669"/>
    </row>
    <row r="4733" spans="2:2" ht="23.25" customHeight="1">
      <c r="B4733" s="2669"/>
    </row>
    <row r="4734" spans="2:2" ht="23.25" customHeight="1">
      <c r="B4734" s="2669"/>
    </row>
    <row r="4735" spans="2:2" ht="23.25" customHeight="1">
      <c r="B4735" s="2669"/>
    </row>
    <row r="4736" spans="2:2" ht="23.25" customHeight="1">
      <c r="B4736" s="2669"/>
    </row>
    <row r="4737" spans="2:2" ht="23.25" customHeight="1">
      <c r="B4737" s="2669"/>
    </row>
    <row r="4738" spans="2:2" ht="23.25" customHeight="1">
      <c r="B4738" s="2669"/>
    </row>
    <row r="4739" spans="2:2" ht="23.25" customHeight="1">
      <c r="B4739" s="2669"/>
    </row>
    <row r="4740" spans="2:2" ht="23.25" customHeight="1">
      <c r="B4740" s="2669"/>
    </row>
    <row r="4741" spans="2:2" ht="23.25" customHeight="1">
      <c r="B4741" s="2669"/>
    </row>
    <row r="4742" spans="2:2" ht="23.25" customHeight="1">
      <c r="B4742" s="2669"/>
    </row>
    <row r="4743" spans="2:2" ht="23.25" customHeight="1">
      <c r="B4743" s="2669"/>
    </row>
    <row r="4744" spans="2:2" ht="23.25" customHeight="1">
      <c r="B4744" s="2669"/>
    </row>
    <row r="4745" spans="2:2" ht="23.25" customHeight="1">
      <c r="B4745" s="2669"/>
    </row>
    <row r="4746" spans="2:2" ht="23.25" customHeight="1">
      <c r="B4746" s="2669"/>
    </row>
    <row r="4747" spans="2:2" ht="23.25" customHeight="1">
      <c r="B4747" s="2669"/>
    </row>
    <row r="4748" spans="2:2" ht="23.25" customHeight="1">
      <c r="B4748" s="2669"/>
    </row>
    <row r="4749" spans="2:2" ht="23.25" customHeight="1">
      <c r="B4749" s="2669"/>
    </row>
    <row r="4750" spans="2:2" ht="23.25" customHeight="1">
      <c r="B4750" s="2669"/>
    </row>
    <row r="4751" spans="2:2" ht="23.25" customHeight="1">
      <c r="B4751" s="2669"/>
    </row>
    <row r="4752" spans="2:2" ht="23.25" customHeight="1">
      <c r="B4752" s="2669"/>
    </row>
    <row r="4753" spans="2:2" ht="23.25" customHeight="1">
      <c r="B4753" s="2669"/>
    </row>
    <row r="4754" spans="2:2" ht="23.25" customHeight="1">
      <c r="B4754" s="2669"/>
    </row>
    <row r="4755" spans="2:2" ht="23.25" customHeight="1">
      <c r="B4755" s="2669"/>
    </row>
    <row r="4756" spans="2:2" ht="23.25" customHeight="1">
      <c r="B4756" s="2669"/>
    </row>
    <row r="4757" spans="2:2" ht="23.25" customHeight="1">
      <c r="B4757" s="2669"/>
    </row>
    <row r="4758" spans="2:2" ht="23.25" customHeight="1">
      <c r="B4758" s="2669"/>
    </row>
    <row r="4759" spans="2:2" ht="23.25" customHeight="1">
      <c r="B4759" s="2669"/>
    </row>
    <row r="4760" spans="2:2" ht="23.25" customHeight="1">
      <c r="B4760" s="2669"/>
    </row>
    <row r="4761" spans="2:2" ht="23.25" customHeight="1">
      <c r="B4761" s="2669"/>
    </row>
    <row r="4762" spans="2:2" ht="23.25" customHeight="1">
      <c r="B4762" s="2669"/>
    </row>
    <row r="4763" spans="2:2" ht="23.25" customHeight="1">
      <c r="B4763" s="2669"/>
    </row>
    <row r="4764" spans="2:2" ht="23.25" customHeight="1">
      <c r="B4764" s="2669"/>
    </row>
    <row r="4765" spans="2:2" ht="23.25" customHeight="1">
      <c r="B4765" s="2669"/>
    </row>
    <row r="4766" spans="2:2" ht="23.25" customHeight="1">
      <c r="B4766" s="2669"/>
    </row>
    <row r="4767" spans="2:2" ht="23.25" customHeight="1">
      <c r="B4767" s="2669"/>
    </row>
    <row r="4768" spans="2:2" ht="23.25" customHeight="1">
      <c r="B4768" s="2669"/>
    </row>
    <row r="4769" spans="2:2" ht="23.25" customHeight="1">
      <c r="B4769" s="2669"/>
    </row>
    <row r="4770" spans="2:2" ht="23.25" customHeight="1">
      <c r="B4770" s="2669"/>
    </row>
    <row r="4771" spans="2:2" ht="23.25" customHeight="1">
      <c r="B4771" s="2669"/>
    </row>
    <row r="4772" spans="2:2" ht="23.25" customHeight="1">
      <c r="B4772" s="2669"/>
    </row>
    <row r="4773" spans="2:2" ht="23.25" customHeight="1">
      <c r="B4773" s="2669"/>
    </row>
    <row r="4774" spans="2:2" ht="23.25" customHeight="1">
      <c r="B4774" s="2669"/>
    </row>
    <row r="4775" spans="2:2" ht="23.25" customHeight="1">
      <c r="B4775" s="2669"/>
    </row>
    <row r="4776" spans="2:2" ht="23.25" customHeight="1">
      <c r="B4776" s="2669"/>
    </row>
    <row r="4777" spans="2:2" ht="23.25" customHeight="1">
      <c r="B4777" s="2669"/>
    </row>
    <row r="4778" spans="2:2" ht="23.25" customHeight="1">
      <c r="B4778" s="2669"/>
    </row>
    <row r="4779" spans="2:2" ht="23.25" customHeight="1">
      <c r="B4779" s="2669"/>
    </row>
    <row r="4780" spans="2:2" ht="23.25" customHeight="1">
      <c r="B4780" s="2669"/>
    </row>
    <row r="4781" spans="2:2" ht="23.25" customHeight="1">
      <c r="B4781" s="2669"/>
    </row>
    <row r="4782" spans="2:2" ht="23.25" customHeight="1">
      <c r="B4782" s="2669"/>
    </row>
    <row r="4783" spans="2:2" ht="23.25" customHeight="1">
      <c r="B4783" s="2669"/>
    </row>
    <row r="4784" spans="2:2" ht="23.25" customHeight="1">
      <c r="B4784" s="2669"/>
    </row>
    <row r="4785" spans="2:2" ht="23.25" customHeight="1">
      <c r="B4785" s="2669"/>
    </row>
    <row r="4786" spans="2:2" ht="23.25" customHeight="1">
      <c r="B4786" s="2669"/>
    </row>
    <row r="4787" spans="2:2" ht="23.25" customHeight="1">
      <c r="B4787" s="2669"/>
    </row>
    <row r="4788" spans="2:2" ht="23.25" customHeight="1">
      <c r="B4788" s="2669"/>
    </row>
    <row r="4789" spans="2:2" ht="23.25" customHeight="1">
      <c r="B4789" s="2669"/>
    </row>
    <row r="4790" spans="2:2" ht="23.25" customHeight="1">
      <c r="B4790" s="2669"/>
    </row>
    <row r="4791" spans="2:2" ht="23.25" customHeight="1">
      <c r="B4791" s="2669"/>
    </row>
    <row r="4792" spans="2:2" ht="23.25" customHeight="1">
      <c r="B4792" s="2669"/>
    </row>
    <row r="4793" spans="2:2" ht="23.25" customHeight="1">
      <c r="B4793" s="2669"/>
    </row>
    <row r="4794" spans="2:2" ht="23.25" customHeight="1">
      <c r="B4794" s="2669"/>
    </row>
    <row r="4795" spans="2:2" ht="23.25" customHeight="1">
      <c r="B4795" s="2669"/>
    </row>
    <row r="4796" spans="2:2" ht="23.25" customHeight="1">
      <c r="B4796" s="2669"/>
    </row>
    <row r="4797" spans="2:2" ht="23.25" customHeight="1">
      <c r="B4797" s="2669"/>
    </row>
    <row r="4798" spans="2:2" ht="23.25" customHeight="1">
      <c r="B4798" s="2669"/>
    </row>
    <row r="4799" spans="2:2" ht="23.25" customHeight="1">
      <c r="B4799" s="2669"/>
    </row>
    <row r="4800" spans="2:2" ht="23.25" customHeight="1">
      <c r="B4800" s="2669"/>
    </row>
    <row r="4801" spans="2:2" ht="23.25" customHeight="1">
      <c r="B4801" s="2669"/>
    </row>
    <row r="4802" spans="2:2" ht="23.25" customHeight="1">
      <c r="B4802" s="2669"/>
    </row>
    <row r="4803" spans="2:2" ht="23.25" customHeight="1">
      <c r="B4803" s="2669"/>
    </row>
    <row r="4804" spans="2:2" ht="23.25" customHeight="1">
      <c r="B4804" s="2669"/>
    </row>
    <row r="4805" spans="2:2" ht="23.25" customHeight="1">
      <c r="B4805" s="2669"/>
    </row>
    <row r="4806" spans="2:2" ht="23.25" customHeight="1">
      <c r="B4806" s="2669"/>
    </row>
    <row r="4807" spans="2:2" ht="23.25" customHeight="1">
      <c r="B4807" s="2669"/>
    </row>
    <row r="4808" spans="2:2" ht="23.25" customHeight="1">
      <c r="B4808" s="2669"/>
    </row>
    <row r="4809" spans="2:2" ht="23.25" customHeight="1">
      <c r="B4809" s="2669"/>
    </row>
    <row r="4810" spans="2:2" ht="23.25" customHeight="1">
      <c r="B4810" s="2669"/>
    </row>
    <row r="4811" spans="2:2" ht="23.25" customHeight="1">
      <c r="B4811" s="2669"/>
    </row>
    <row r="4812" spans="2:2" ht="23.25" customHeight="1">
      <c r="B4812" s="2669"/>
    </row>
    <row r="4813" spans="2:2" ht="23.25" customHeight="1">
      <c r="B4813" s="2669"/>
    </row>
    <row r="4814" spans="2:2" ht="23.25" customHeight="1">
      <c r="B4814" s="2669"/>
    </row>
    <row r="4815" spans="2:2" ht="23.25" customHeight="1">
      <c r="B4815" s="2669"/>
    </row>
    <row r="4816" spans="2:2" ht="23.25" customHeight="1">
      <c r="B4816" s="2669"/>
    </row>
    <row r="4817" spans="2:2" ht="23.25" customHeight="1">
      <c r="B4817" s="2669"/>
    </row>
    <row r="4818" spans="2:2" ht="23.25" customHeight="1">
      <c r="B4818" s="2669"/>
    </row>
    <row r="4819" spans="2:2" ht="23.25" customHeight="1">
      <c r="B4819" s="2669"/>
    </row>
    <row r="4820" spans="2:2" ht="23.25" customHeight="1">
      <c r="B4820" s="2669"/>
    </row>
    <row r="4821" spans="2:2" ht="23.25" customHeight="1">
      <c r="B4821" s="2669"/>
    </row>
    <row r="4822" spans="2:2" ht="23.25" customHeight="1">
      <c r="B4822" s="2669"/>
    </row>
    <row r="4823" spans="2:2" ht="23.25" customHeight="1">
      <c r="B4823" s="2669"/>
    </row>
    <row r="4824" spans="2:2" ht="23.25" customHeight="1">
      <c r="B4824" s="2669"/>
    </row>
    <row r="4825" spans="2:2" ht="23.25" customHeight="1">
      <c r="B4825" s="2669"/>
    </row>
    <row r="4826" spans="2:2" ht="23.25" customHeight="1">
      <c r="B4826" s="2669"/>
    </row>
    <row r="4827" spans="2:2" ht="23.25" customHeight="1">
      <c r="B4827" s="2669"/>
    </row>
    <row r="4828" spans="2:2" ht="23.25" customHeight="1">
      <c r="B4828" s="2669"/>
    </row>
    <row r="4829" spans="2:2" ht="23.25" customHeight="1">
      <c r="B4829" s="2669"/>
    </row>
    <row r="4830" spans="2:2" ht="23.25" customHeight="1">
      <c r="B4830" s="2669"/>
    </row>
    <row r="4831" spans="2:2" ht="23.25" customHeight="1">
      <c r="B4831" s="2669"/>
    </row>
    <row r="4832" spans="2:2" ht="23.25" customHeight="1">
      <c r="B4832" s="2669"/>
    </row>
    <row r="4833" spans="2:2" ht="23.25" customHeight="1">
      <c r="B4833" s="2669"/>
    </row>
    <row r="4834" spans="2:2" ht="23.25" customHeight="1">
      <c r="B4834" s="2669"/>
    </row>
    <row r="4835" spans="2:2" ht="23.25" customHeight="1">
      <c r="B4835" s="2669"/>
    </row>
    <row r="4836" spans="2:2" ht="23.25" customHeight="1">
      <c r="B4836" s="2669"/>
    </row>
    <row r="4837" spans="2:2" ht="23.25" customHeight="1">
      <c r="B4837" s="2669"/>
    </row>
    <row r="4838" spans="2:2" ht="23.25" customHeight="1">
      <c r="B4838" s="2669"/>
    </row>
    <row r="4839" spans="2:2" ht="23.25" customHeight="1">
      <c r="B4839" s="2669"/>
    </row>
    <row r="4840" spans="2:2" ht="23.25" customHeight="1">
      <c r="B4840" s="2669"/>
    </row>
    <row r="4841" spans="2:2" ht="23.25" customHeight="1">
      <c r="B4841" s="2669"/>
    </row>
    <row r="4842" spans="2:2" ht="23.25" customHeight="1">
      <c r="B4842" s="2669"/>
    </row>
    <row r="4843" spans="2:2" ht="23.25" customHeight="1">
      <c r="B4843" s="2669"/>
    </row>
    <row r="4844" spans="2:2" ht="23.25" customHeight="1">
      <c r="B4844" s="2669"/>
    </row>
    <row r="4845" spans="2:2" ht="23.25" customHeight="1">
      <c r="B4845" s="2669"/>
    </row>
    <row r="4846" spans="2:2" ht="23.25" customHeight="1">
      <c r="B4846" s="2669"/>
    </row>
    <row r="4847" spans="2:2" ht="23.25" customHeight="1">
      <c r="B4847" s="2669"/>
    </row>
    <row r="4848" spans="2:2" ht="23.25" customHeight="1">
      <c r="B4848" s="2669"/>
    </row>
    <row r="4849" spans="2:2" ht="23.25" customHeight="1">
      <c r="B4849" s="2669"/>
    </row>
    <row r="4850" spans="2:2" ht="23.25" customHeight="1">
      <c r="B4850" s="2669"/>
    </row>
    <row r="4851" spans="2:2" ht="23.25" customHeight="1">
      <c r="B4851" s="2669"/>
    </row>
    <row r="4852" spans="2:2" ht="23.25" customHeight="1">
      <c r="B4852" s="2669"/>
    </row>
    <row r="4853" spans="2:2" ht="23.25" customHeight="1">
      <c r="B4853" s="2669"/>
    </row>
    <row r="4854" spans="2:2" ht="23.25" customHeight="1">
      <c r="B4854" s="2669"/>
    </row>
    <row r="4855" spans="2:2" ht="23.25" customHeight="1">
      <c r="B4855" s="2669"/>
    </row>
    <row r="4856" spans="2:2" ht="23.25" customHeight="1">
      <c r="B4856" s="2669"/>
    </row>
    <row r="4857" spans="2:2" ht="23.25" customHeight="1">
      <c r="B4857" s="2669"/>
    </row>
    <row r="4858" spans="2:2" ht="23.25" customHeight="1">
      <c r="B4858" s="2669"/>
    </row>
    <row r="4859" spans="2:2" ht="23.25" customHeight="1">
      <c r="B4859" s="2669"/>
    </row>
    <row r="4860" spans="2:2" ht="23.25" customHeight="1">
      <c r="B4860" s="2669"/>
    </row>
    <row r="4861" spans="2:2" ht="23.25" customHeight="1">
      <c r="B4861" s="2669"/>
    </row>
    <row r="4862" spans="2:2" ht="23.25" customHeight="1">
      <c r="B4862" s="2669"/>
    </row>
    <row r="4863" spans="2:2" ht="23.25" customHeight="1">
      <c r="B4863" s="2669"/>
    </row>
    <row r="4864" spans="2:2" ht="23.25" customHeight="1">
      <c r="B4864" s="2669"/>
    </row>
    <row r="4865" spans="2:2" ht="23.25" customHeight="1">
      <c r="B4865" s="2669"/>
    </row>
    <row r="4866" spans="2:2" ht="23.25" customHeight="1">
      <c r="B4866" s="2669"/>
    </row>
    <row r="4867" spans="2:2" ht="23.25" customHeight="1">
      <c r="B4867" s="2669"/>
    </row>
    <row r="4868" spans="2:2" ht="23.25" customHeight="1">
      <c r="B4868" s="2669"/>
    </row>
    <row r="4869" spans="2:2" ht="23.25" customHeight="1">
      <c r="B4869" s="2669"/>
    </row>
    <row r="4870" spans="2:2" ht="23.25" customHeight="1">
      <c r="B4870" s="2669"/>
    </row>
    <row r="4871" spans="2:2" ht="23.25" customHeight="1">
      <c r="B4871" s="2669"/>
    </row>
    <row r="4872" spans="2:2" ht="23.25" customHeight="1">
      <c r="B4872" s="2669"/>
    </row>
    <row r="4873" spans="2:2" ht="23.25" customHeight="1">
      <c r="B4873" s="2669"/>
    </row>
    <row r="4874" spans="2:2" ht="23.25" customHeight="1">
      <c r="B4874" s="2669"/>
    </row>
    <row r="4875" spans="2:2" ht="23.25" customHeight="1">
      <c r="B4875" s="2669"/>
    </row>
    <row r="4876" spans="2:2" ht="23.25" customHeight="1">
      <c r="B4876" s="2669"/>
    </row>
    <row r="4877" spans="2:2" ht="23.25" customHeight="1">
      <c r="B4877" s="2669"/>
    </row>
    <row r="4878" spans="2:2" ht="23.25" customHeight="1">
      <c r="B4878" s="2669"/>
    </row>
    <row r="4879" spans="2:2" ht="23.25" customHeight="1">
      <c r="B4879" s="2669"/>
    </row>
    <row r="4880" spans="2:2" ht="23.25" customHeight="1">
      <c r="B4880" s="2669"/>
    </row>
    <row r="4881" spans="2:2" ht="23.25" customHeight="1">
      <c r="B4881" s="2669"/>
    </row>
    <row r="4882" spans="2:2" ht="23.25" customHeight="1">
      <c r="B4882" s="2669"/>
    </row>
    <row r="4883" spans="2:2" ht="23.25" customHeight="1">
      <c r="B4883" s="2669"/>
    </row>
    <row r="4884" spans="2:2" ht="23.25" customHeight="1">
      <c r="B4884" s="2669"/>
    </row>
    <row r="4885" spans="2:2" ht="23.25" customHeight="1">
      <c r="B4885" s="2669"/>
    </row>
    <row r="4886" spans="2:2" ht="23.25" customHeight="1">
      <c r="B4886" s="2669"/>
    </row>
    <row r="4887" spans="2:2" ht="23.25" customHeight="1">
      <c r="B4887" s="2669"/>
    </row>
    <row r="4888" spans="2:2" ht="23.25" customHeight="1">
      <c r="B4888" s="2669"/>
    </row>
    <row r="4889" spans="2:2" ht="23.25" customHeight="1">
      <c r="B4889" s="2669"/>
    </row>
    <row r="4890" spans="2:2" ht="23.25" customHeight="1">
      <c r="B4890" s="2669"/>
    </row>
    <row r="4891" spans="2:2" ht="23.25" customHeight="1">
      <c r="B4891" s="2669"/>
    </row>
    <row r="4892" spans="2:2" ht="23.25" customHeight="1">
      <c r="B4892" s="2669"/>
    </row>
    <row r="4893" spans="2:2" ht="23.25" customHeight="1">
      <c r="B4893" s="2669"/>
    </row>
    <row r="4894" spans="2:2" ht="23.25" customHeight="1">
      <c r="B4894" s="2669"/>
    </row>
    <row r="4895" spans="2:2" ht="23.25" customHeight="1">
      <c r="B4895" s="2669"/>
    </row>
    <row r="4896" spans="2:2" ht="23.25" customHeight="1">
      <c r="B4896" s="2669"/>
    </row>
    <row r="4897" spans="2:2" ht="23.25" customHeight="1">
      <c r="B4897" s="2669"/>
    </row>
    <row r="4898" spans="2:2" ht="23.25" customHeight="1">
      <c r="B4898" s="2669"/>
    </row>
    <row r="4899" spans="2:2" ht="23.25" customHeight="1">
      <c r="B4899" s="2669"/>
    </row>
    <row r="4900" spans="2:2" ht="23.25" customHeight="1">
      <c r="B4900" s="2669"/>
    </row>
    <row r="4901" spans="2:2" ht="23.25" customHeight="1">
      <c r="B4901" s="2669"/>
    </row>
    <row r="4902" spans="2:2" ht="23.25" customHeight="1">
      <c r="B4902" s="2669"/>
    </row>
    <row r="4903" spans="2:2" ht="23.25" customHeight="1">
      <c r="B4903" s="2669"/>
    </row>
    <row r="4904" spans="2:2" ht="23.25" customHeight="1">
      <c r="B4904" s="2669"/>
    </row>
    <row r="4905" spans="2:2" ht="23.25" customHeight="1">
      <c r="B4905" s="2669"/>
    </row>
    <row r="4906" spans="2:2" ht="23.25" customHeight="1">
      <c r="B4906" s="2669"/>
    </row>
    <row r="4907" spans="2:2" ht="23.25" customHeight="1">
      <c r="B4907" s="2669"/>
    </row>
    <row r="4908" spans="2:2" ht="23.25" customHeight="1">
      <c r="B4908" s="2669"/>
    </row>
    <row r="4909" spans="2:2" ht="23.25" customHeight="1">
      <c r="B4909" s="2669"/>
    </row>
    <row r="4910" spans="2:2" ht="23.25" customHeight="1">
      <c r="B4910" s="2669"/>
    </row>
    <row r="4911" spans="2:2" ht="23.25" customHeight="1">
      <c r="B4911" s="2669"/>
    </row>
    <row r="4912" spans="2:2" ht="23.25" customHeight="1">
      <c r="B4912" s="2669"/>
    </row>
    <row r="4913" spans="2:2" ht="23.25" customHeight="1">
      <c r="B4913" s="2669"/>
    </row>
    <row r="4914" spans="2:2" ht="23.25" customHeight="1">
      <c r="B4914" s="2669"/>
    </row>
    <row r="4915" spans="2:2" ht="23.25" customHeight="1">
      <c r="B4915" s="2669"/>
    </row>
    <row r="4916" spans="2:2" ht="23.25" customHeight="1">
      <c r="B4916" s="2669"/>
    </row>
    <row r="4917" spans="2:2" ht="23.25" customHeight="1">
      <c r="B4917" s="2669"/>
    </row>
    <row r="4918" spans="2:2" ht="23.25" customHeight="1">
      <c r="B4918" s="2669"/>
    </row>
    <row r="4919" spans="2:2" ht="23.25" customHeight="1">
      <c r="B4919" s="2669"/>
    </row>
    <row r="4920" spans="2:2" ht="23.25" customHeight="1">
      <c r="B4920" s="2669"/>
    </row>
    <row r="4921" spans="2:2" ht="23.25" customHeight="1">
      <c r="B4921" s="2669"/>
    </row>
    <row r="4922" spans="2:2" ht="23.25" customHeight="1">
      <c r="B4922" s="2669"/>
    </row>
    <row r="4923" spans="2:2" ht="23.25" customHeight="1">
      <c r="B4923" s="2669"/>
    </row>
    <row r="4924" spans="2:2" ht="23.25" customHeight="1">
      <c r="B4924" s="2669"/>
    </row>
    <row r="4925" spans="2:2" ht="23.25" customHeight="1">
      <c r="B4925" s="2669"/>
    </row>
    <row r="4926" spans="2:2" ht="23.25" customHeight="1">
      <c r="B4926" s="2669"/>
    </row>
    <row r="4927" spans="2:2" ht="23.25" customHeight="1">
      <c r="B4927" s="2669"/>
    </row>
    <row r="4928" spans="2:2" ht="23.25" customHeight="1">
      <c r="B4928" s="2669"/>
    </row>
    <row r="4929" spans="2:2" ht="23.25" customHeight="1">
      <c r="B4929" s="2669"/>
    </row>
    <row r="4930" spans="2:2" ht="23.25" customHeight="1">
      <c r="B4930" s="2669"/>
    </row>
    <row r="4931" spans="2:2" ht="23.25" customHeight="1">
      <c r="B4931" s="2669"/>
    </row>
    <row r="4932" spans="2:2" ht="23.25" customHeight="1">
      <c r="B4932" s="2669"/>
    </row>
    <row r="4933" spans="2:2" ht="23.25" customHeight="1">
      <c r="B4933" s="2669"/>
    </row>
    <row r="4934" spans="2:2" ht="23.25" customHeight="1">
      <c r="B4934" s="2669"/>
    </row>
    <row r="4935" spans="2:2" ht="23.25" customHeight="1">
      <c r="B4935" s="2669"/>
    </row>
    <row r="4936" spans="2:2" ht="23.25" customHeight="1">
      <c r="B4936" s="2669"/>
    </row>
    <row r="4937" spans="2:2" ht="23.25" customHeight="1">
      <c r="B4937" s="2669"/>
    </row>
    <row r="4938" spans="2:2" ht="23.25" customHeight="1">
      <c r="B4938" s="2669"/>
    </row>
    <row r="4939" spans="2:2" ht="23.25" customHeight="1">
      <c r="B4939" s="2669"/>
    </row>
    <row r="4940" spans="2:2" ht="23.25" customHeight="1">
      <c r="B4940" s="2669"/>
    </row>
    <row r="4941" spans="2:2" ht="23.25" customHeight="1">
      <c r="B4941" s="2669"/>
    </row>
    <row r="4942" spans="2:2" ht="23.25" customHeight="1">
      <c r="B4942" s="2669"/>
    </row>
    <row r="4943" spans="2:2" ht="23.25" customHeight="1">
      <c r="B4943" s="2669"/>
    </row>
    <row r="4944" spans="2:2" ht="23.25" customHeight="1">
      <c r="B4944" s="2669"/>
    </row>
    <row r="4945" spans="2:2" ht="23.25" customHeight="1">
      <c r="B4945" s="2669"/>
    </row>
    <row r="4946" spans="2:2" ht="23.25" customHeight="1">
      <c r="B4946" s="2669"/>
    </row>
    <row r="4947" spans="2:2" ht="23.25" customHeight="1">
      <c r="B4947" s="2669"/>
    </row>
    <row r="4948" spans="2:2" ht="23.25" customHeight="1">
      <c r="B4948" s="2669"/>
    </row>
    <row r="4949" spans="2:2" ht="23.25" customHeight="1">
      <c r="B4949" s="2669"/>
    </row>
    <row r="4950" spans="2:2" ht="23.25" customHeight="1">
      <c r="B4950" s="2669"/>
    </row>
    <row r="4951" spans="2:2" ht="23.25" customHeight="1">
      <c r="B4951" s="2669"/>
    </row>
    <row r="4952" spans="2:2" ht="23.25" customHeight="1">
      <c r="B4952" s="2669"/>
    </row>
    <row r="4953" spans="2:2" ht="23.25" customHeight="1">
      <c r="B4953" s="2669"/>
    </row>
    <row r="4954" spans="2:2" ht="23.25" customHeight="1">
      <c r="B4954" s="2669"/>
    </row>
    <row r="4955" spans="2:2" ht="23.25" customHeight="1">
      <c r="B4955" s="2669"/>
    </row>
    <row r="4956" spans="2:2" ht="23.25" customHeight="1">
      <c r="B4956" s="2669"/>
    </row>
    <row r="4957" spans="2:2" ht="23.25" customHeight="1">
      <c r="B4957" s="2669"/>
    </row>
    <row r="4958" spans="2:2" ht="23.25" customHeight="1">
      <c r="B4958" s="2669"/>
    </row>
    <row r="4959" spans="2:2" ht="23.25" customHeight="1">
      <c r="B4959" s="2669"/>
    </row>
    <row r="4960" spans="2:2" ht="23.25" customHeight="1">
      <c r="B4960" s="2669"/>
    </row>
    <row r="4961" spans="2:2" ht="23.25" customHeight="1">
      <c r="B4961" s="2669"/>
    </row>
    <row r="4962" spans="2:2" ht="23.25" customHeight="1">
      <c r="B4962" s="2669"/>
    </row>
    <row r="4963" spans="2:2" ht="23.25" customHeight="1">
      <c r="B4963" s="2669"/>
    </row>
    <row r="4964" spans="2:2" ht="23.25" customHeight="1">
      <c r="B4964" s="2669"/>
    </row>
    <row r="4965" spans="2:2" ht="23.25" customHeight="1">
      <c r="B4965" s="2669"/>
    </row>
    <row r="4966" spans="2:2" ht="23.25" customHeight="1">
      <c r="B4966" s="2669"/>
    </row>
    <row r="4967" spans="2:2" ht="23.25" customHeight="1">
      <c r="B4967" s="2669"/>
    </row>
    <row r="4968" spans="2:2" ht="23.25" customHeight="1">
      <c r="B4968" s="2669"/>
    </row>
    <row r="4969" spans="2:2" ht="23.25" customHeight="1">
      <c r="B4969" s="2669"/>
    </row>
    <row r="4970" spans="2:2" ht="23.25" customHeight="1">
      <c r="B4970" s="2669"/>
    </row>
    <row r="4971" spans="2:2" ht="23.25" customHeight="1">
      <c r="B4971" s="2669"/>
    </row>
    <row r="4972" spans="2:2" ht="23.25" customHeight="1">
      <c r="B4972" s="2669"/>
    </row>
    <row r="4973" spans="2:2" ht="23.25" customHeight="1">
      <c r="B4973" s="2669"/>
    </row>
    <row r="4974" spans="2:2" ht="23.25" customHeight="1">
      <c r="B4974" s="2669"/>
    </row>
    <row r="4975" spans="2:2" ht="23.25" customHeight="1">
      <c r="B4975" s="2669"/>
    </row>
    <row r="4976" spans="2:2" ht="23.25" customHeight="1">
      <c r="B4976" s="2669"/>
    </row>
    <row r="4977" spans="2:2" ht="23.25" customHeight="1">
      <c r="B4977" s="2669"/>
    </row>
    <row r="4978" spans="2:2" ht="23.25" customHeight="1">
      <c r="B4978" s="2669"/>
    </row>
    <row r="4979" spans="2:2" ht="23.25" customHeight="1">
      <c r="B4979" s="2669"/>
    </row>
    <row r="4980" spans="2:2" ht="23.25" customHeight="1">
      <c r="B4980" s="2669"/>
    </row>
    <row r="4981" spans="2:2" ht="23.25" customHeight="1">
      <c r="B4981" s="2669"/>
    </row>
    <row r="4982" spans="2:2" ht="23.25" customHeight="1">
      <c r="B4982" s="2669"/>
    </row>
    <row r="4983" spans="2:2" ht="23.25" customHeight="1">
      <c r="B4983" s="2669"/>
    </row>
    <row r="4984" spans="2:2" ht="23.25" customHeight="1">
      <c r="B4984" s="2669"/>
    </row>
    <row r="4985" spans="2:2" ht="23.25" customHeight="1">
      <c r="B4985" s="2669"/>
    </row>
    <row r="4986" spans="2:2" ht="23.25" customHeight="1">
      <c r="B4986" s="2669"/>
    </row>
    <row r="4987" spans="2:2" ht="23.25" customHeight="1">
      <c r="B4987" s="2669"/>
    </row>
    <row r="4988" spans="2:2" ht="23.25" customHeight="1">
      <c r="B4988" s="2669"/>
    </row>
    <row r="4989" spans="2:2" ht="23.25" customHeight="1">
      <c r="B4989" s="2669"/>
    </row>
    <row r="4990" spans="2:2" ht="23.25" customHeight="1">
      <c r="B4990" s="2669"/>
    </row>
    <row r="4991" spans="2:2" ht="23.25" customHeight="1">
      <c r="B4991" s="2669"/>
    </row>
    <row r="4992" spans="2:2" ht="23.25" customHeight="1">
      <c r="B4992" s="2669"/>
    </row>
    <row r="4993" spans="2:2" ht="23.25" customHeight="1">
      <c r="B4993" s="2669"/>
    </row>
    <row r="4994" spans="2:2" ht="23.25" customHeight="1">
      <c r="B4994" s="2669"/>
    </row>
    <row r="4995" spans="2:2" ht="23.25" customHeight="1">
      <c r="B4995" s="2669"/>
    </row>
    <row r="4996" spans="2:2" ht="23.25" customHeight="1">
      <c r="B4996" s="2669"/>
    </row>
    <row r="4997" spans="2:2" ht="23.25" customHeight="1">
      <c r="B4997" s="2669"/>
    </row>
    <row r="4998" spans="2:2" ht="23.25" customHeight="1">
      <c r="B4998" s="2669"/>
    </row>
    <row r="4999" spans="2:2" ht="23.25" customHeight="1">
      <c r="B4999" s="2669"/>
    </row>
    <row r="5000" spans="2:2" ht="23.25" customHeight="1">
      <c r="B5000" s="2669"/>
    </row>
    <row r="5001" spans="2:2" ht="23.25" customHeight="1">
      <c r="B5001" s="2669"/>
    </row>
    <row r="5002" spans="2:2" ht="23.25" customHeight="1">
      <c r="B5002" s="2669"/>
    </row>
    <row r="5003" spans="2:2" ht="23.25" customHeight="1">
      <c r="B5003" s="2669"/>
    </row>
    <row r="5004" spans="2:2" ht="23.25" customHeight="1">
      <c r="B5004" s="2669"/>
    </row>
    <row r="5005" spans="2:2" ht="23.25" customHeight="1">
      <c r="B5005" s="2669"/>
    </row>
    <row r="5006" spans="2:2" ht="23.25" customHeight="1">
      <c r="B5006" s="2669"/>
    </row>
    <row r="5007" spans="2:2" ht="23.25" customHeight="1">
      <c r="B5007" s="2669"/>
    </row>
    <row r="5008" spans="2:2" ht="23.25" customHeight="1">
      <c r="B5008" s="2669"/>
    </row>
    <row r="5009" spans="2:2" ht="23.25" customHeight="1">
      <c r="B5009" s="2669"/>
    </row>
    <row r="5010" spans="2:2" ht="23.25" customHeight="1">
      <c r="B5010" s="2669"/>
    </row>
    <row r="5011" spans="2:2" ht="23.25" customHeight="1">
      <c r="B5011" s="2669"/>
    </row>
    <row r="5012" spans="2:2" ht="23.25" customHeight="1">
      <c r="B5012" s="2669"/>
    </row>
    <row r="5013" spans="2:2" ht="23.25" customHeight="1">
      <c r="B5013" s="2669"/>
    </row>
    <row r="5014" spans="2:2" ht="23.25" customHeight="1">
      <c r="B5014" s="2669"/>
    </row>
    <row r="5015" spans="2:2" ht="23.25" customHeight="1">
      <c r="B5015" s="2669"/>
    </row>
    <row r="5016" spans="2:2" ht="23.25" customHeight="1">
      <c r="B5016" s="2669"/>
    </row>
    <row r="5017" spans="2:2" ht="23.25" customHeight="1">
      <c r="B5017" s="2669"/>
    </row>
    <row r="5018" spans="2:2" ht="23.25" customHeight="1">
      <c r="B5018" s="2669"/>
    </row>
    <row r="5019" spans="2:2" ht="23.25" customHeight="1">
      <c r="B5019" s="2669"/>
    </row>
    <row r="5020" spans="2:2" ht="23.25" customHeight="1">
      <c r="B5020" s="2669"/>
    </row>
    <row r="5021" spans="2:2" ht="23.25" customHeight="1">
      <c r="B5021" s="2669"/>
    </row>
    <row r="5022" spans="2:2" ht="23.25" customHeight="1">
      <c r="B5022" s="2669"/>
    </row>
    <row r="5023" spans="2:2" ht="23.25" customHeight="1">
      <c r="B5023" s="2669"/>
    </row>
    <row r="5024" spans="2:2" ht="23.25" customHeight="1">
      <c r="B5024" s="2669"/>
    </row>
    <row r="5025" spans="2:2" ht="23.25" customHeight="1">
      <c r="B5025" s="2669"/>
    </row>
    <row r="5026" spans="2:2" ht="23.25" customHeight="1">
      <c r="B5026" s="2669"/>
    </row>
    <row r="5027" spans="2:2" ht="23.25" customHeight="1">
      <c r="B5027" s="2669"/>
    </row>
    <row r="5028" spans="2:2" ht="23.25" customHeight="1">
      <c r="B5028" s="2669"/>
    </row>
    <row r="5029" spans="2:2" ht="23.25" customHeight="1">
      <c r="B5029" s="2669"/>
    </row>
    <row r="5030" spans="2:2" ht="23.25" customHeight="1">
      <c r="B5030" s="2669"/>
    </row>
    <row r="5031" spans="2:2" ht="23.25" customHeight="1">
      <c r="B5031" s="2669"/>
    </row>
    <row r="5032" spans="2:2" ht="23.25" customHeight="1">
      <c r="B5032" s="2669"/>
    </row>
    <row r="5033" spans="2:2" ht="23.25" customHeight="1">
      <c r="B5033" s="2669"/>
    </row>
    <row r="5034" spans="2:2" ht="23.25" customHeight="1">
      <c r="B5034" s="2669"/>
    </row>
    <row r="5035" spans="2:2" ht="23.25" customHeight="1">
      <c r="B5035" s="2669"/>
    </row>
    <row r="5036" spans="2:2" ht="23.25" customHeight="1">
      <c r="B5036" s="2669"/>
    </row>
    <row r="5037" spans="2:2" ht="23.25" customHeight="1">
      <c r="B5037" s="2669"/>
    </row>
    <row r="5038" spans="2:2" ht="23.25" customHeight="1">
      <c r="B5038" s="2669"/>
    </row>
    <row r="5039" spans="2:2" ht="23.25" customHeight="1">
      <c r="B5039" s="2669"/>
    </row>
    <row r="5040" spans="2:2" ht="23.25" customHeight="1">
      <c r="B5040" s="2669"/>
    </row>
    <row r="5041" spans="2:2" ht="23.25" customHeight="1">
      <c r="B5041" s="2669"/>
    </row>
    <row r="5042" spans="2:2" ht="23.25" customHeight="1">
      <c r="B5042" s="2669"/>
    </row>
    <row r="5043" spans="2:2" ht="23.25" customHeight="1">
      <c r="B5043" s="2669"/>
    </row>
    <row r="5044" spans="2:2" ht="23.25" customHeight="1">
      <c r="B5044" s="2669"/>
    </row>
    <row r="5045" spans="2:2" ht="23.25" customHeight="1">
      <c r="B5045" s="2669"/>
    </row>
    <row r="5046" spans="2:2" ht="23.25" customHeight="1">
      <c r="B5046" s="2669"/>
    </row>
    <row r="5047" spans="2:2" ht="23.25" customHeight="1">
      <c r="B5047" s="2669"/>
    </row>
    <row r="5048" spans="2:2" ht="23.25" customHeight="1">
      <c r="B5048" s="2669"/>
    </row>
    <row r="5049" spans="2:2" ht="23.25" customHeight="1">
      <c r="B5049" s="2669"/>
    </row>
    <row r="5050" spans="2:2" ht="23.25" customHeight="1">
      <c r="B5050" s="2669"/>
    </row>
    <row r="5051" spans="2:2" ht="23.25" customHeight="1">
      <c r="B5051" s="2669"/>
    </row>
    <row r="5052" spans="2:2" ht="23.25" customHeight="1">
      <c r="B5052" s="2669"/>
    </row>
    <row r="5053" spans="2:2" ht="23.25" customHeight="1">
      <c r="B5053" s="2669"/>
    </row>
    <row r="5054" spans="2:2" ht="23.25" customHeight="1">
      <c r="B5054" s="2669"/>
    </row>
    <row r="5055" spans="2:2" ht="23.25" customHeight="1">
      <c r="B5055" s="2669"/>
    </row>
    <row r="5056" spans="2:2" ht="23.25" customHeight="1">
      <c r="B5056" s="2669"/>
    </row>
    <row r="5057" spans="2:2" ht="23.25" customHeight="1">
      <c r="B5057" s="2669"/>
    </row>
    <row r="5058" spans="2:2" ht="23.25" customHeight="1">
      <c r="B5058" s="2669"/>
    </row>
    <row r="5059" spans="2:2" ht="23.25" customHeight="1">
      <c r="B5059" s="2669"/>
    </row>
    <row r="5060" spans="2:2" ht="23.25" customHeight="1">
      <c r="B5060" s="2669"/>
    </row>
    <row r="5061" spans="2:2" ht="23.25" customHeight="1">
      <c r="B5061" s="2669"/>
    </row>
    <row r="5062" spans="2:2" ht="23.25" customHeight="1">
      <c r="B5062" s="2669"/>
    </row>
    <row r="5063" spans="2:2" ht="23.25" customHeight="1">
      <c r="B5063" s="2669"/>
    </row>
    <row r="5064" spans="2:2" ht="23.25" customHeight="1">
      <c r="B5064" s="2669"/>
    </row>
    <row r="5065" spans="2:2" ht="23.25" customHeight="1">
      <c r="B5065" s="2669"/>
    </row>
    <row r="5066" spans="2:2" ht="23.25" customHeight="1">
      <c r="B5066" s="2669"/>
    </row>
    <row r="5067" spans="2:2" ht="23.25" customHeight="1">
      <c r="B5067" s="2669"/>
    </row>
    <row r="5068" spans="2:2" ht="23.25" customHeight="1">
      <c r="B5068" s="2669"/>
    </row>
    <row r="5069" spans="2:2" ht="23.25" customHeight="1">
      <c r="B5069" s="2669"/>
    </row>
    <row r="5070" spans="2:2" ht="23.25" customHeight="1">
      <c r="B5070" s="2669"/>
    </row>
    <row r="5071" spans="2:2" ht="23.25" customHeight="1">
      <c r="B5071" s="2669"/>
    </row>
    <row r="5072" spans="2:2" ht="23.25" customHeight="1">
      <c r="B5072" s="2669"/>
    </row>
    <row r="5073" spans="2:2" ht="23.25" customHeight="1">
      <c r="B5073" s="2669"/>
    </row>
    <row r="5074" spans="2:2" ht="23.25" customHeight="1">
      <c r="B5074" s="2669"/>
    </row>
    <row r="5075" spans="2:2" ht="23.25" customHeight="1">
      <c r="B5075" s="2669"/>
    </row>
    <row r="5076" spans="2:2" ht="23.25" customHeight="1">
      <c r="B5076" s="2669"/>
    </row>
    <row r="5077" spans="2:2" ht="23.25" customHeight="1">
      <c r="B5077" s="2669"/>
    </row>
    <row r="5078" spans="2:2" ht="23.25" customHeight="1">
      <c r="B5078" s="2669"/>
    </row>
    <row r="5079" spans="2:2" ht="23.25" customHeight="1">
      <c r="B5079" s="2669"/>
    </row>
    <row r="5080" spans="2:2" ht="23.25" customHeight="1">
      <c r="B5080" s="2669"/>
    </row>
    <row r="5081" spans="2:2" ht="23.25" customHeight="1">
      <c r="B5081" s="2669"/>
    </row>
    <row r="5082" spans="2:2" ht="23.25" customHeight="1">
      <c r="B5082" s="2669"/>
    </row>
    <row r="5083" spans="2:2" ht="23.25" customHeight="1">
      <c r="B5083" s="2669"/>
    </row>
    <row r="5084" spans="2:2" ht="23.25" customHeight="1">
      <c r="B5084" s="2669"/>
    </row>
    <row r="5085" spans="2:2" ht="23.25" customHeight="1">
      <c r="B5085" s="2669"/>
    </row>
    <row r="5086" spans="2:2" ht="23.25" customHeight="1">
      <c r="B5086" s="2669"/>
    </row>
    <row r="5087" spans="2:2" ht="23.25" customHeight="1">
      <c r="B5087" s="2669"/>
    </row>
    <row r="5088" spans="2:2" ht="23.25" customHeight="1">
      <c r="B5088" s="2669"/>
    </row>
    <row r="5089" spans="2:2" ht="23.25" customHeight="1">
      <c r="B5089" s="2669"/>
    </row>
    <row r="5090" spans="2:2" ht="23.25" customHeight="1">
      <c r="B5090" s="2669"/>
    </row>
    <row r="5091" spans="2:2" ht="23.25" customHeight="1">
      <c r="B5091" s="2669"/>
    </row>
    <row r="5092" spans="2:2" ht="23.25" customHeight="1">
      <c r="B5092" s="2669"/>
    </row>
    <row r="5093" spans="2:2" ht="23.25" customHeight="1">
      <c r="B5093" s="2669"/>
    </row>
    <row r="5094" spans="2:2" ht="23.25" customHeight="1">
      <c r="B5094" s="2669"/>
    </row>
    <row r="5095" spans="2:2" ht="23.25" customHeight="1">
      <c r="B5095" s="2669"/>
    </row>
    <row r="5096" spans="2:2" ht="23.25" customHeight="1">
      <c r="B5096" s="2669"/>
    </row>
    <row r="5097" spans="2:2" ht="23.25" customHeight="1">
      <c r="B5097" s="2669"/>
    </row>
    <row r="5098" spans="2:2" ht="23.25" customHeight="1">
      <c r="B5098" s="2669"/>
    </row>
    <row r="5099" spans="2:2" ht="23.25" customHeight="1">
      <c r="B5099" s="2669"/>
    </row>
    <row r="5100" spans="2:2" ht="23.25" customHeight="1">
      <c r="B5100" s="2669"/>
    </row>
    <row r="5101" spans="2:2" ht="23.25" customHeight="1">
      <c r="B5101" s="2669"/>
    </row>
    <row r="5102" spans="2:2" ht="23.25" customHeight="1">
      <c r="B5102" s="2669"/>
    </row>
    <row r="5103" spans="2:2" ht="23.25" customHeight="1">
      <c r="B5103" s="2669"/>
    </row>
    <row r="5104" spans="2:2" ht="23.25" customHeight="1">
      <c r="B5104" s="2669"/>
    </row>
    <row r="5105" spans="2:2" ht="23.25" customHeight="1">
      <c r="B5105" s="2669"/>
    </row>
    <row r="5106" spans="2:2" ht="23.25" customHeight="1">
      <c r="B5106" s="2669"/>
    </row>
    <row r="5107" spans="2:2" ht="23.25" customHeight="1">
      <c r="B5107" s="2669"/>
    </row>
    <row r="5108" spans="2:2" ht="23.25" customHeight="1">
      <c r="B5108" s="2669"/>
    </row>
    <row r="5109" spans="2:2" ht="23.25" customHeight="1">
      <c r="B5109" s="2669"/>
    </row>
    <row r="5110" spans="2:2" ht="23.25" customHeight="1">
      <c r="B5110" s="2669"/>
    </row>
    <row r="5111" spans="2:2" ht="23.25" customHeight="1">
      <c r="B5111" s="2669"/>
    </row>
    <row r="5112" spans="2:2" ht="23.25" customHeight="1">
      <c r="B5112" s="2669"/>
    </row>
    <row r="5113" spans="2:2" ht="23.25" customHeight="1">
      <c r="B5113" s="2669"/>
    </row>
    <row r="5114" spans="2:2" ht="23.25" customHeight="1">
      <c r="B5114" s="2669"/>
    </row>
    <row r="5115" spans="2:2" ht="23.25" customHeight="1">
      <c r="B5115" s="2669"/>
    </row>
    <row r="5116" spans="2:2" ht="23.25" customHeight="1">
      <c r="B5116" s="2669"/>
    </row>
    <row r="5117" spans="2:2" ht="23.25" customHeight="1">
      <c r="B5117" s="2669"/>
    </row>
    <row r="5118" spans="2:2" ht="23.25" customHeight="1">
      <c r="B5118" s="2669"/>
    </row>
    <row r="5119" spans="2:2" ht="23.25" customHeight="1">
      <c r="B5119" s="2669"/>
    </row>
    <row r="5120" spans="2:2" ht="23.25" customHeight="1">
      <c r="B5120" s="2669"/>
    </row>
    <row r="5121" spans="2:2" ht="23.25" customHeight="1">
      <c r="B5121" s="2669"/>
    </row>
    <row r="5122" spans="2:2" ht="23.25" customHeight="1">
      <c r="B5122" s="2669"/>
    </row>
    <row r="5123" spans="2:2" ht="23.25" customHeight="1">
      <c r="B5123" s="2669"/>
    </row>
    <row r="5124" spans="2:2" ht="23.25" customHeight="1">
      <c r="B5124" s="2669"/>
    </row>
    <row r="5125" spans="2:2" ht="23.25" customHeight="1">
      <c r="B5125" s="2669"/>
    </row>
    <row r="5126" spans="2:2" ht="23.25" customHeight="1">
      <c r="B5126" s="2669"/>
    </row>
    <row r="5127" spans="2:2" ht="23.25" customHeight="1">
      <c r="B5127" s="2669"/>
    </row>
    <row r="5128" spans="2:2" ht="23.25" customHeight="1">
      <c r="B5128" s="2669"/>
    </row>
    <row r="5129" spans="2:2" ht="23.25" customHeight="1">
      <c r="B5129" s="2669"/>
    </row>
    <row r="5130" spans="2:2" ht="23.25" customHeight="1">
      <c r="B5130" s="2669"/>
    </row>
    <row r="5131" spans="2:2" ht="23.25" customHeight="1">
      <c r="B5131" s="2669"/>
    </row>
    <row r="5132" spans="2:2" ht="23.25" customHeight="1">
      <c r="B5132" s="2669"/>
    </row>
    <row r="5133" spans="2:2" ht="23.25" customHeight="1">
      <c r="B5133" s="2669"/>
    </row>
    <row r="5134" spans="2:2" ht="23.25" customHeight="1">
      <c r="B5134" s="2669"/>
    </row>
    <row r="5135" spans="2:2" ht="23.25" customHeight="1">
      <c r="B5135" s="2669"/>
    </row>
    <row r="5136" spans="2:2" ht="23.25" customHeight="1">
      <c r="B5136" s="2669"/>
    </row>
    <row r="5137" spans="2:2" ht="23.25" customHeight="1">
      <c r="B5137" s="2669"/>
    </row>
    <row r="5138" spans="2:2" ht="23.25" customHeight="1">
      <c r="B5138" s="2669"/>
    </row>
    <row r="5139" spans="2:2" ht="23.25" customHeight="1">
      <c r="B5139" s="2669"/>
    </row>
    <row r="5140" spans="2:2" ht="23.25" customHeight="1">
      <c r="B5140" s="2669"/>
    </row>
    <row r="5141" spans="2:2" ht="23.25" customHeight="1">
      <c r="B5141" s="2669"/>
    </row>
    <row r="5142" spans="2:2" ht="23.25" customHeight="1">
      <c r="B5142" s="2669"/>
    </row>
    <row r="5143" spans="2:2" ht="23.25" customHeight="1">
      <c r="B5143" s="2669"/>
    </row>
    <row r="5144" spans="2:2" ht="23.25" customHeight="1">
      <c r="B5144" s="2669"/>
    </row>
    <row r="5145" spans="2:2" ht="23.25" customHeight="1">
      <c r="B5145" s="2669"/>
    </row>
    <row r="5146" spans="2:2" ht="23.25" customHeight="1">
      <c r="B5146" s="2669"/>
    </row>
    <row r="5147" spans="2:2" ht="23.25" customHeight="1">
      <c r="B5147" s="2669"/>
    </row>
    <row r="5148" spans="2:2" ht="23.25" customHeight="1">
      <c r="B5148" s="2669"/>
    </row>
    <row r="5149" spans="2:2" ht="23.25" customHeight="1">
      <c r="B5149" s="2669"/>
    </row>
    <row r="5150" spans="2:2" ht="23.25" customHeight="1">
      <c r="B5150" s="2669"/>
    </row>
    <row r="5151" spans="2:2" ht="23.25" customHeight="1">
      <c r="B5151" s="2669"/>
    </row>
    <row r="5152" spans="2:2" ht="23.25" customHeight="1">
      <c r="B5152" s="2669"/>
    </row>
    <row r="5153" spans="2:2" ht="23.25" customHeight="1">
      <c r="B5153" s="2669"/>
    </row>
    <row r="5154" spans="2:2" ht="23.25" customHeight="1">
      <c r="B5154" s="2669"/>
    </row>
    <row r="5155" spans="2:2" ht="23.25" customHeight="1">
      <c r="B5155" s="2669"/>
    </row>
    <row r="5156" spans="2:2" ht="23.25" customHeight="1">
      <c r="B5156" s="2669"/>
    </row>
    <row r="5157" spans="2:2" ht="23.25" customHeight="1">
      <c r="B5157" s="2669"/>
    </row>
    <row r="5158" spans="2:2" ht="23.25" customHeight="1">
      <c r="B5158" s="2669"/>
    </row>
    <row r="5159" spans="2:2" ht="23.25" customHeight="1">
      <c r="B5159" s="2669"/>
    </row>
    <row r="5160" spans="2:2" ht="23.25" customHeight="1">
      <c r="B5160" s="2669"/>
    </row>
    <row r="5161" spans="2:2" ht="23.25" customHeight="1">
      <c r="B5161" s="2669"/>
    </row>
    <row r="5162" spans="2:2" ht="23.25" customHeight="1">
      <c r="B5162" s="2669"/>
    </row>
    <row r="5163" spans="2:2" ht="23.25" customHeight="1">
      <c r="B5163" s="2669"/>
    </row>
    <row r="5164" spans="2:2" ht="23.25" customHeight="1">
      <c r="B5164" s="2669"/>
    </row>
    <row r="5165" spans="2:2" ht="23.25" customHeight="1">
      <c r="B5165" s="2669"/>
    </row>
    <row r="5166" spans="2:2" ht="23.25" customHeight="1">
      <c r="B5166" s="2669"/>
    </row>
    <row r="5167" spans="2:2" ht="23.25" customHeight="1">
      <c r="B5167" s="2669"/>
    </row>
    <row r="5168" spans="2:2" ht="23.25" customHeight="1">
      <c r="B5168" s="2669"/>
    </row>
    <row r="5169" spans="2:2" ht="23.25" customHeight="1">
      <c r="B5169" s="2669"/>
    </row>
    <row r="5170" spans="2:2" ht="23.25" customHeight="1">
      <c r="B5170" s="2669"/>
    </row>
    <row r="5171" spans="2:2" ht="23.25" customHeight="1">
      <c r="B5171" s="2669"/>
    </row>
    <row r="5172" spans="2:2" ht="23.25" customHeight="1">
      <c r="B5172" s="2669"/>
    </row>
    <row r="5173" spans="2:2" ht="23.25" customHeight="1">
      <c r="B5173" s="2669"/>
    </row>
    <row r="5174" spans="2:2" ht="23.25" customHeight="1">
      <c r="B5174" s="2669"/>
    </row>
    <row r="5175" spans="2:2" ht="23.25" customHeight="1">
      <c r="B5175" s="2669"/>
    </row>
    <row r="5176" spans="2:2" ht="23.25" customHeight="1">
      <c r="B5176" s="2669"/>
    </row>
    <row r="5177" spans="2:2" ht="23.25" customHeight="1">
      <c r="B5177" s="2669"/>
    </row>
    <row r="5178" spans="2:2" ht="23.25" customHeight="1">
      <c r="B5178" s="2669"/>
    </row>
    <row r="5179" spans="2:2" ht="23.25" customHeight="1">
      <c r="B5179" s="2669"/>
    </row>
    <row r="5180" spans="2:2" ht="23.25" customHeight="1">
      <c r="B5180" s="2669"/>
    </row>
    <row r="5181" spans="2:2" ht="23.25" customHeight="1">
      <c r="B5181" s="2669"/>
    </row>
    <row r="5182" spans="2:2" ht="23.25" customHeight="1">
      <c r="B5182" s="2669"/>
    </row>
    <row r="5183" spans="2:2" ht="23.25" customHeight="1">
      <c r="B5183" s="2669"/>
    </row>
    <row r="5184" spans="2:2" ht="23.25" customHeight="1">
      <c r="B5184" s="2669"/>
    </row>
    <row r="5185" spans="2:2" ht="23.25" customHeight="1">
      <c r="B5185" s="2669"/>
    </row>
    <row r="5186" spans="2:2" ht="23.25" customHeight="1">
      <c r="B5186" s="2669"/>
    </row>
    <row r="5187" spans="2:2" ht="23.25" customHeight="1">
      <c r="B5187" s="2669"/>
    </row>
    <row r="5188" spans="2:2" ht="23.25" customHeight="1">
      <c r="B5188" s="2669"/>
    </row>
    <row r="5189" spans="2:2" ht="23.25" customHeight="1">
      <c r="B5189" s="2669"/>
    </row>
    <row r="5190" spans="2:2" ht="23.25" customHeight="1">
      <c r="B5190" s="2669"/>
    </row>
    <row r="5191" spans="2:2" ht="23.25" customHeight="1">
      <c r="B5191" s="2669"/>
    </row>
    <row r="5192" spans="2:2" ht="23.25" customHeight="1">
      <c r="B5192" s="2669"/>
    </row>
    <row r="5193" spans="2:2" ht="23.25" customHeight="1">
      <c r="B5193" s="2669"/>
    </row>
    <row r="5194" spans="2:2" ht="23.25" customHeight="1">
      <c r="B5194" s="2669"/>
    </row>
    <row r="5195" spans="2:2" ht="23.25" customHeight="1">
      <c r="B5195" s="2669"/>
    </row>
    <row r="5196" spans="2:2" ht="23.25" customHeight="1">
      <c r="B5196" s="2669"/>
    </row>
    <row r="5197" spans="2:2" ht="23.25" customHeight="1">
      <c r="B5197" s="2669"/>
    </row>
    <row r="5198" spans="2:2" ht="23.25" customHeight="1">
      <c r="B5198" s="2669"/>
    </row>
    <row r="5199" spans="2:2" ht="23.25" customHeight="1">
      <c r="B5199" s="2669"/>
    </row>
    <row r="5200" spans="2:2" ht="23.25" customHeight="1">
      <c r="B5200" s="2669"/>
    </row>
    <row r="5201" spans="2:2" ht="23.25" customHeight="1">
      <c r="B5201" s="2669"/>
    </row>
    <row r="5202" spans="2:2" ht="23.25" customHeight="1">
      <c r="B5202" s="2669"/>
    </row>
    <row r="5203" spans="2:2" ht="23.25" customHeight="1">
      <c r="B5203" s="2669"/>
    </row>
    <row r="5204" spans="2:2" ht="23.25" customHeight="1">
      <c r="B5204" s="2669"/>
    </row>
    <row r="5205" spans="2:2" ht="23.25" customHeight="1">
      <c r="B5205" s="2669"/>
    </row>
    <row r="5206" spans="2:2" ht="23.25" customHeight="1">
      <c r="B5206" s="2669"/>
    </row>
    <row r="5207" spans="2:2" ht="23.25" customHeight="1">
      <c r="B5207" s="2669"/>
    </row>
    <row r="5208" spans="2:2" ht="23.25" customHeight="1">
      <c r="B5208" s="2669"/>
    </row>
    <row r="5209" spans="2:2" ht="23.25" customHeight="1">
      <c r="B5209" s="2669"/>
    </row>
    <row r="5210" spans="2:2" ht="23.25" customHeight="1">
      <c r="B5210" s="2669"/>
    </row>
    <row r="5211" spans="2:2" ht="23.25" customHeight="1">
      <c r="B5211" s="2669"/>
    </row>
    <row r="5212" spans="2:2" ht="23.25" customHeight="1">
      <c r="B5212" s="2669"/>
    </row>
    <row r="5213" spans="2:2" ht="23.25" customHeight="1">
      <c r="B5213" s="2669"/>
    </row>
    <row r="5214" spans="2:2" ht="23.25" customHeight="1">
      <c r="B5214" s="2669"/>
    </row>
    <row r="5215" spans="2:2" ht="23.25" customHeight="1">
      <c r="B5215" s="2669"/>
    </row>
    <row r="5216" spans="2:2" ht="23.25" customHeight="1">
      <c r="B5216" s="2669"/>
    </row>
    <row r="5217" spans="2:2" ht="23.25" customHeight="1">
      <c r="B5217" s="2669"/>
    </row>
    <row r="5218" spans="2:2" ht="23.25" customHeight="1">
      <c r="B5218" s="2669"/>
    </row>
    <row r="5219" spans="2:2" ht="23.25" customHeight="1">
      <c r="B5219" s="2669"/>
    </row>
    <row r="5220" spans="2:2" ht="23.25" customHeight="1">
      <c r="B5220" s="2669"/>
    </row>
    <row r="5221" spans="2:2" ht="23.25" customHeight="1">
      <c r="B5221" s="2669"/>
    </row>
    <row r="5222" spans="2:2" ht="23.25" customHeight="1">
      <c r="B5222" s="2669"/>
    </row>
    <row r="5223" spans="2:2" ht="23.25" customHeight="1">
      <c r="B5223" s="2669"/>
    </row>
    <row r="5224" spans="2:2" ht="23.25" customHeight="1">
      <c r="B5224" s="2669"/>
    </row>
    <row r="5225" spans="2:2" ht="23.25" customHeight="1">
      <c r="B5225" s="2669"/>
    </row>
    <row r="5226" spans="2:2" ht="23.25" customHeight="1">
      <c r="B5226" s="2669"/>
    </row>
    <row r="5227" spans="2:2" ht="23.25" customHeight="1">
      <c r="B5227" s="2669"/>
    </row>
    <row r="5228" spans="2:2" ht="23.25" customHeight="1">
      <c r="B5228" s="2669"/>
    </row>
    <row r="5229" spans="2:2" ht="23.25" customHeight="1">
      <c r="B5229" s="2669"/>
    </row>
    <row r="5230" spans="2:2" ht="23.25" customHeight="1">
      <c r="B5230" s="2669"/>
    </row>
    <row r="5231" spans="2:2" ht="23.25" customHeight="1">
      <c r="B5231" s="2669"/>
    </row>
    <row r="5232" spans="2:2" ht="23.25" customHeight="1">
      <c r="B5232" s="2669"/>
    </row>
    <row r="5233" spans="2:2" ht="23.25" customHeight="1">
      <c r="B5233" s="2669"/>
    </row>
    <row r="5234" spans="2:2" ht="23.25" customHeight="1">
      <c r="B5234" s="2669"/>
    </row>
    <row r="5235" spans="2:2" ht="23.25" customHeight="1">
      <c r="B5235" s="2669"/>
    </row>
    <row r="5236" spans="2:2" ht="23.25" customHeight="1">
      <c r="B5236" s="2669"/>
    </row>
    <row r="5237" spans="2:2" ht="23.25" customHeight="1">
      <c r="B5237" s="2669"/>
    </row>
    <row r="5238" spans="2:2" ht="23.25" customHeight="1">
      <c r="B5238" s="2669"/>
    </row>
    <row r="5239" spans="2:2" ht="23.25" customHeight="1">
      <c r="B5239" s="2669"/>
    </row>
    <row r="5240" spans="2:2" ht="23.25" customHeight="1">
      <c r="B5240" s="2669"/>
    </row>
    <row r="5241" spans="2:2" ht="23.25" customHeight="1">
      <c r="B5241" s="2669"/>
    </row>
    <row r="5242" spans="2:2" ht="23.25" customHeight="1">
      <c r="B5242" s="2669"/>
    </row>
    <row r="5243" spans="2:2" ht="23.25" customHeight="1">
      <c r="B5243" s="2669"/>
    </row>
    <row r="5244" spans="2:2" ht="23.25" customHeight="1">
      <c r="B5244" s="2669"/>
    </row>
    <row r="5245" spans="2:2" ht="23.25" customHeight="1">
      <c r="B5245" s="2669"/>
    </row>
    <row r="5246" spans="2:2" ht="23.25" customHeight="1">
      <c r="B5246" s="2669"/>
    </row>
    <row r="5247" spans="2:2" ht="23.25" customHeight="1">
      <c r="B5247" s="2669"/>
    </row>
    <row r="5248" spans="2:2" ht="23.25" customHeight="1">
      <c r="B5248" s="2669"/>
    </row>
    <row r="5249" spans="2:2" ht="23.25" customHeight="1">
      <c r="B5249" s="2669"/>
    </row>
    <row r="5250" spans="2:2" ht="23.25" customHeight="1">
      <c r="B5250" s="2669"/>
    </row>
    <row r="5251" spans="2:2" ht="23.25" customHeight="1">
      <c r="B5251" s="2669"/>
    </row>
    <row r="5252" spans="2:2" ht="23.25" customHeight="1">
      <c r="B5252" s="2669"/>
    </row>
    <row r="5253" spans="2:2" ht="23.25" customHeight="1">
      <c r="B5253" s="2669"/>
    </row>
    <row r="5254" spans="2:2" ht="23.25" customHeight="1">
      <c r="B5254" s="2669"/>
    </row>
    <row r="5255" spans="2:2" ht="23.25" customHeight="1">
      <c r="B5255" s="2669"/>
    </row>
    <row r="5256" spans="2:2" ht="23.25" customHeight="1">
      <c r="B5256" s="2669"/>
    </row>
    <row r="5257" spans="2:2" ht="23.25" customHeight="1">
      <c r="B5257" s="2669"/>
    </row>
    <row r="5258" spans="2:2" ht="23.25" customHeight="1">
      <c r="B5258" s="2669"/>
    </row>
    <row r="5259" spans="2:2" ht="23.25" customHeight="1">
      <c r="B5259" s="2669"/>
    </row>
    <row r="5260" spans="2:2" ht="23.25" customHeight="1">
      <c r="B5260" s="2669"/>
    </row>
    <row r="5261" spans="2:2" ht="23.25" customHeight="1">
      <c r="B5261" s="2669"/>
    </row>
    <row r="5262" spans="2:2" ht="23.25" customHeight="1">
      <c r="B5262" s="2669"/>
    </row>
    <row r="5263" spans="2:2" ht="23.25" customHeight="1">
      <c r="B5263" s="2669"/>
    </row>
    <row r="5264" spans="2:2" ht="23.25" customHeight="1">
      <c r="B5264" s="2669"/>
    </row>
    <row r="5265" spans="2:2" ht="23.25" customHeight="1">
      <c r="B5265" s="2669"/>
    </row>
    <row r="5266" spans="2:2" ht="23.25" customHeight="1">
      <c r="B5266" s="2669"/>
    </row>
    <row r="5267" spans="2:2" ht="23.25" customHeight="1">
      <c r="B5267" s="2669"/>
    </row>
    <row r="5268" spans="2:2" ht="23.25" customHeight="1">
      <c r="B5268" s="2669"/>
    </row>
    <row r="5269" spans="2:2" ht="23.25" customHeight="1">
      <c r="B5269" s="2669"/>
    </row>
    <row r="5270" spans="2:2" ht="23.25" customHeight="1">
      <c r="B5270" s="2669"/>
    </row>
    <row r="5271" spans="2:2" ht="23.25" customHeight="1">
      <c r="B5271" s="2669"/>
    </row>
    <row r="5272" spans="2:2" ht="23.25" customHeight="1">
      <c r="B5272" s="2669"/>
    </row>
    <row r="5273" spans="2:2" ht="23.25" customHeight="1">
      <c r="B5273" s="2669"/>
    </row>
    <row r="5274" spans="2:2" ht="23.25" customHeight="1">
      <c r="B5274" s="2669"/>
    </row>
    <row r="5275" spans="2:2" ht="23.25" customHeight="1">
      <c r="B5275" s="2669"/>
    </row>
    <row r="5276" spans="2:2" ht="23.25" customHeight="1">
      <c r="B5276" s="2669"/>
    </row>
    <row r="5277" spans="2:2" ht="23.25" customHeight="1">
      <c r="B5277" s="2669"/>
    </row>
    <row r="5278" spans="2:2" ht="23.25" customHeight="1">
      <c r="B5278" s="2669"/>
    </row>
    <row r="5279" spans="2:2" ht="23.25" customHeight="1">
      <c r="B5279" s="2669"/>
    </row>
    <row r="5280" spans="2:2" ht="23.25" customHeight="1">
      <c r="B5280" s="2669"/>
    </row>
    <row r="5281" spans="2:2" ht="23.25" customHeight="1">
      <c r="B5281" s="2669"/>
    </row>
    <row r="5282" spans="2:2" ht="23.25" customHeight="1">
      <c r="B5282" s="2669"/>
    </row>
    <row r="5283" spans="2:2" ht="23.25" customHeight="1">
      <c r="B5283" s="2669"/>
    </row>
    <row r="5284" spans="2:2" ht="23.25" customHeight="1">
      <c r="B5284" s="2669"/>
    </row>
    <row r="5285" spans="2:2" ht="23.25" customHeight="1">
      <c r="B5285" s="2669"/>
    </row>
    <row r="5286" spans="2:2" ht="23.25" customHeight="1">
      <c r="B5286" s="2669"/>
    </row>
    <row r="5287" spans="2:2" ht="23.25" customHeight="1">
      <c r="B5287" s="2669"/>
    </row>
    <row r="5288" spans="2:2" ht="23.25" customHeight="1">
      <c r="B5288" s="2669"/>
    </row>
    <row r="5289" spans="2:2" ht="23.25" customHeight="1">
      <c r="B5289" s="2669"/>
    </row>
    <row r="5290" spans="2:2" ht="23.25" customHeight="1">
      <c r="B5290" s="2669"/>
    </row>
    <row r="5291" spans="2:2" ht="23.25" customHeight="1">
      <c r="B5291" s="2669"/>
    </row>
    <row r="5292" spans="2:2" ht="23.25" customHeight="1">
      <c r="B5292" s="2669"/>
    </row>
    <row r="5293" spans="2:2" ht="23.25" customHeight="1">
      <c r="B5293" s="2669"/>
    </row>
    <row r="5294" spans="2:2" ht="23.25" customHeight="1">
      <c r="B5294" s="2669"/>
    </row>
    <row r="5295" spans="2:2" ht="23.25" customHeight="1">
      <c r="B5295" s="2669"/>
    </row>
    <row r="5296" spans="2:2" ht="23.25" customHeight="1">
      <c r="B5296" s="2669"/>
    </row>
    <row r="5297" spans="2:2" ht="23.25" customHeight="1">
      <c r="B5297" s="2669"/>
    </row>
    <row r="5298" spans="2:2" ht="23.25" customHeight="1">
      <c r="B5298" s="2669"/>
    </row>
    <row r="5299" spans="2:2" ht="23.25" customHeight="1">
      <c r="B5299" s="2669"/>
    </row>
    <row r="5300" spans="2:2" ht="23.25" customHeight="1">
      <c r="B5300" s="2669"/>
    </row>
    <row r="5301" spans="2:2" ht="23.25" customHeight="1">
      <c r="B5301" s="2669"/>
    </row>
    <row r="5302" spans="2:2" ht="23.25" customHeight="1">
      <c r="B5302" s="2669"/>
    </row>
    <row r="5303" spans="2:2" ht="23.25" customHeight="1">
      <c r="B5303" s="2669"/>
    </row>
    <row r="5304" spans="2:2" ht="23.25" customHeight="1">
      <c r="B5304" s="2669"/>
    </row>
    <row r="5305" spans="2:2" ht="23.25" customHeight="1">
      <c r="B5305" s="2669"/>
    </row>
    <row r="5306" spans="2:2" ht="23.25" customHeight="1">
      <c r="B5306" s="2669"/>
    </row>
    <row r="5307" spans="2:2" ht="23.25" customHeight="1">
      <c r="B5307" s="2669"/>
    </row>
    <row r="5308" spans="2:2" ht="23.25" customHeight="1">
      <c r="B5308" s="2669"/>
    </row>
    <row r="5309" spans="2:2" ht="23.25" customHeight="1">
      <c r="B5309" s="2669"/>
    </row>
    <row r="5310" spans="2:2" ht="23.25" customHeight="1">
      <c r="B5310" s="2669"/>
    </row>
    <row r="5311" spans="2:2" ht="23.25" customHeight="1">
      <c r="B5311" s="2669"/>
    </row>
    <row r="5312" spans="2:2" ht="23.25" customHeight="1">
      <c r="B5312" s="2669"/>
    </row>
    <row r="5313" spans="2:2" ht="23.25" customHeight="1">
      <c r="B5313" s="2669"/>
    </row>
    <row r="5314" spans="2:2" ht="23.25" customHeight="1">
      <c r="B5314" s="2669"/>
    </row>
    <row r="5315" spans="2:2" ht="23.25" customHeight="1">
      <c r="B5315" s="2669"/>
    </row>
    <row r="5316" spans="2:2" ht="23.25" customHeight="1">
      <c r="B5316" s="2669"/>
    </row>
    <row r="5317" spans="2:2" ht="23.25" customHeight="1">
      <c r="B5317" s="2669"/>
    </row>
    <row r="5318" spans="2:2" ht="23.25" customHeight="1">
      <c r="B5318" s="2669"/>
    </row>
    <row r="5319" spans="2:2" ht="23.25" customHeight="1">
      <c r="B5319" s="2669"/>
    </row>
    <row r="5320" spans="2:2" ht="23.25" customHeight="1">
      <c r="B5320" s="2669"/>
    </row>
    <row r="5321" spans="2:2" ht="23.25" customHeight="1">
      <c r="B5321" s="2669"/>
    </row>
    <row r="5322" spans="2:2" ht="23.25" customHeight="1">
      <c r="B5322" s="2669"/>
    </row>
    <row r="5323" spans="2:2" ht="23.25" customHeight="1">
      <c r="B5323" s="2669"/>
    </row>
    <row r="5324" spans="2:2" ht="23.25" customHeight="1">
      <c r="B5324" s="2669"/>
    </row>
    <row r="5325" spans="2:2" ht="23.25" customHeight="1">
      <c r="B5325" s="2669"/>
    </row>
    <row r="5326" spans="2:2" ht="23.25" customHeight="1">
      <c r="B5326" s="2669"/>
    </row>
    <row r="5327" spans="2:2" ht="23.25" customHeight="1">
      <c r="B5327" s="2669"/>
    </row>
    <row r="5328" spans="2:2" ht="23.25" customHeight="1">
      <c r="B5328" s="2669"/>
    </row>
    <row r="5329" spans="2:2" ht="23.25" customHeight="1">
      <c r="B5329" s="2669"/>
    </row>
    <row r="5330" spans="2:2" ht="23.25" customHeight="1">
      <c r="B5330" s="2669"/>
    </row>
    <row r="5331" spans="2:2" ht="23.25" customHeight="1">
      <c r="B5331" s="2669"/>
    </row>
    <row r="5332" spans="2:2" ht="23.25" customHeight="1">
      <c r="B5332" s="2669"/>
    </row>
    <row r="5333" spans="2:2" ht="23.25" customHeight="1">
      <c r="B5333" s="2669"/>
    </row>
    <row r="5334" spans="2:2" ht="23.25" customHeight="1">
      <c r="B5334" s="2669"/>
    </row>
    <row r="5335" spans="2:2" ht="23.25" customHeight="1">
      <c r="B5335" s="2669"/>
    </row>
    <row r="5336" spans="2:2" ht="23.25" customHeight="1">
      <c r="B5336" s="2669"/>
    </row>
    <row r="5337" spans="2:2" ht="23.25" customHeight="1">
      <c r="B5337" s="2669"/>
    </row>
    <row r="5338" spans="2:2" ht="23.25" customHeight="1">
      <c r="B5338" s="2669"/>
    </row>
    <row r="5339" spans="2:2" ht="23.25" customHeight="1">
      <c r="B5339" s="2669"/>
    </row>
    <row r="5340" spans="2:2" ht="23.25" customHeight="1">
      <c r="B5340" s="2669"/>
    </row>
    <row r="5341" spans="2:2" ht="23.25" customHeight="1">
      <c r="B5341" s="2669"/>
    </row>
    <row r="5342" spans="2:2" ht="23.25" customHeight="1">
      <c r="B5342" s="2669"/>
    </row>
    <row r="5343" spans="2:2" ht="23.25" customHeight="1">
      <c r="B5343" s="2669"/>
    </row>
    <row r="5344" spans="2:2" ht="23.25" customHeight="1">
      <c r="B5344" s="2669"/>
    </row>
    <row r="5345" spans="2:2" ht="23.25" customHeight="1">
      <c r="B5345" s="2669"/>
    </row>
    <row r="5346" spans="2:2" ht="23.25" customHeight="1">
      <c r="B5346" s="2669"/>
    </row>
    <row r="5347" spans="2:2" ht="23.25" customHeight="1">
      <c r="B5347" s="2669"/>
    </row>
    <row r="5348" spans="2:2" ht="23.25" customHeight="1">
      <c r="B5348" s="2669"/>
    </row>
    <row r="5349" spans="2:2" ht="23.25" customHeight="1">
      <c r="B5349" s="2669"/>
    </row>
    <row r="5350" spans="2:2" ht="23.25" customHeight="1">
      <c r="B5350" s="2669"/>
    </row>
    <row r="5351" spans="2:2" ht="23.25" customHeight="1">
      <c r="B5351" s="2669"/>
    </row>
    <row r="5352" spans="2:2" ht="23.25" customHeight="1">
      <c r="B5352" s="2669"/>
    </row>
    <row r="5353" spans="2:2" ht="23.25" customHeight="1">
      <c r="B5353" s="2669"/>
    </row>
    <row r="5354" spans="2:2" ht="23.25" customHeight="1">
      <c r="B5354" s="2669"/>
    </row>
    <row r="5355" spans="2:2" ht="23.25" customHeight="1">
      <c r="B5355" s="2669"/>
    </row>
    <row r="5356" spans="2:2" ht="23.25" customHeight="1">
      <c r="B5356" s="2669"/>
    </row>
    <row r="5357" spans="2:2" ht="23.25" customHeight="1">
      <c r="B5357" s="2669"/>
    </row>
    <row r="5358" spans="2:2" ht="23.25" customHeight="1">
      <c r="B5358" s="2669"/>
    </row>
    <row r="5359" spans="2:2" ht="23.25" customHeight="1">
      <c r="B5359" s="2669"/>
    </row>
    <row r="5360" spans="2:2" ht="23.25" customHeight="1">
      <c r="B5360" s="2669"/>
    </row>
    <row r="5361" spans="2:2" ht="23.25" customHeight="1">
      <c r="B5361" s="2669"/>
    </row>
    <row r="5362" spans="2:2" ht="23.25" customHeight="1">
      <c r="B5362" s="2669"/>
    </row>
    <row r="5363" spans="2:2" ht="23.25" customHeight="1">
      <c r="B5363" s="2669"/>
    </row>
    <row r="5364" spans="2:2" ht="23.25" customHeight="1">
      <c r="B5364" s="2669"/>
    </row>
    <row r="5365" spans="2:2" ht="23.25" customHeight="1">
      <c r="B5365" s="2669"/>
    </row>
    <row r="5366" spans="2:2" ht="23.25" customHeight="1">
      <c r="B5366" s="2669"/>
    </row>
    <row r="5367" spans="2:2" ht="23.25" customHeight="1">
      <c r="B5367" s="2669"/>
    </row>
    <row r="5368" spans="2:2" ht="23.25" customHeight="1">
      <c r="B5368" s="2669"/>
    </row>
    <row r="5369" spans="2:2" ht="23.25" customHeight="1">
      <c r="B5369" s="2669"/>
    </row>
    <row r="5370" spans="2:2" ht="23.25" customHeight="1">
      <c r="B5370" s="2669"/>
    </row>
    <row r="5371" spans="2:2" ht="23.25" customHeight="1">
      <c r="B5371" s="2669"/>
    </row>
    <row r="5372" spans="2:2" ht="23.25" customHeight="1">
      <c r="B5372" s="2669"/>
    </row>
    <row r="5373" spans="2:2" ht="23.25" customHeight="1">
      <c r="B5373" s="2669"/>
    </row>
    <row r="5374" spans="2:2" ht="23.25" customHeight="1">
      <c r="B5374" s="2669"/>
    </row>
    <row r="5375" spans="2:2" ht="23.25" customHeight="1">
      <c r="B5375" s="2669"/>
    </row>
    <row r="5376" spans="2:2" ht="23.25" customHeight="1">
      <c r="B5376" s="2669"/>
    </row>
    <row r="5377" spans="2:2" ht="23.25" customHeight="1">
      <c r="B5377" s="2669"/>
    </row>
    <row r="5378" spans="2:2" ht="23.25" customHeight="1">
      <c r="B5378" s="2669"/>
    </row>
    <row r="5379" spans="2:2" ht="23.25" customHeight="1">
      <c r="B5379" s="2669"/>
    </row>
    <row r="5380" spans="2:2" ht="23.25" customHeight="1">
      <c r="B5380" s="2669"/>
    </row>
    <row r="5381" spans="2:2" ht="23.25" customHeight="1">
      <c r="B5381" s="2669"/>
    </row>
    <row r="5382" spans="2:2" ht="23.25" customHeight="1">
      <c r="B5382" s="2669"/>
    </row>
    <row r="5383" spans="2:2" ht="23.25" customHeight="1">
      <c r="B5383" s="2669"/>
    </row>
    <row r="5384" spans="2:2" ht="23.25" customHeight="1">
      <c r="B5384" s="2669"/>
    </row>
    <row r="5385" spans="2:2" ht="23.25" customHeight="1">
      <c r="B5385" s="2669"/>
    </row>
    <row r="5386" spans="2:2" ht="23.25" customHeight="1">
      <c r="B5386" s="2669"/>
    </row>
    <row r="5387" spans="2:2" ht="23.25" customHeight="1">
      <c r="B5387" s="2669"/>
    </row>
    <row r="5388" spans="2:2" ht="23.25" customHeight="1">
      <c r="B5388" s="2669"/>
    </row>
    <row r="5389" spans="2:2" ht="23.25" customHeight="1">
      <c r="B5389" s="2669"/>
    </row>
    <row r="5390" spans="2:2" ht="23.25" customHeight="1">
      <c r="B5390" s="2669"/>
    </row>
    <row r="5391" spans="2:2" ht="23.25" customHeight="1">
      <c r="B5391" s="2669"/>
    </row>
    <row r="5392" spans="2:2" ht="23.25" customHeight="1">
      <c r="B5392" s="2669"/>
    </row>
    <row r="5393" spans="2:2" ht="23.25" customHeight="1">
      <c r="B5393" s="2669"/>
    </row>
    <row r="5394" spans="2:2" ht="23.25" customHeight="1">
      <c r="B5394" s="2669"/>
    </row>
    <row r="5395" spans="2:2" ht="23.25" customHeight="1">
      <c r="B5395" s="2669"/>
    </row>
    <row r="5396" spans="2:2" ht="23.25" customHeight="1">
      <c r="B5396" s="2669"/>
    </row>
    <row r="5397" spans="2:2" ht="23.25" customHeight="1">
      <c r="B5397" s="2669"/>
    </row>
    <row r="5398" spans="2:2" ht="23.25" customHeight="1">
      <c r="B5398" s="2669"/>
    </row>
    <row r="5399" spans="2:2" ht="23.25" customHeight="1">
      <c r="B5399" s="2669"/>
    </row>
    <row r="5400" spans="2:2" ht="23.25" customHeight="1">
      <c r="B5400" s="2669"/>
    </row>
    <row r="5401" spans="2:2" ht="23.25" customHeight="1">
      <c r="B5401" s="2669"/>
    </row>
    <row r="5402" spans="2:2" ht="23.25" customHeight="1">
      <c r="B5402" s="2669"/>
    </row>
    <row r="5403" spans="2:2" ht="23.25" customHeight="1">
      <c r="B5403" s="2669"/>
    </row>
    <row r="5404" spans="2:2" ht="23.25" customHeight="1">
      <c r="B5404" s="2669"/>
    </row>
    <row r="5405" spans="2:2" ht="23.25" customHeight="1">
      <c r="B5405" s="2669"/>
    </row>
    <row r="5406" spans="2:2" ht="23.25" customHeight="1">
      <c r="B5406" s="2669"/>
    </row>
    <row r="5407" spans="2:2" ht="23.25" customHeight="1">
      <c r="B5407" s="2669"/>
    </row>
    <row r="5408" spans="2:2" ht="23.25" customHeight="1">
      <c r="B5408" s="2669"/>
    </row>
    <row r="5409" spans="2:2" ht="23.25" customHeight="1">
      <c r="B5409" s="2669"/>
    </row>
    <row r="5410" spans="2:2" ht="23.25" customHeight="1">
      <c r="B5410" s="2669"/>
    </row>
    <row r="5411" spans="2:2" ht="23.25" customHeight="1">
      <c r="B5411" s="2669"/>
    </row>
    <row r="5412" spans="2:2" ht="23.25" customHeight="1">
      <c r="B5412" s="2669"/>
    </row>
    <row r="5413" spans="2:2" ht="23.25" customHeight="1">
      <c r="B5413" s="2669"/>
    </row>
    <row r="5414" spans="2:2" ht="23.25" customHeight="1">
      <c r="B5414" s="2669"/>
    </row>
    <row r="5415" spans="2:2" ht="23.25" customHeight="1">
      <c r="B5415" s="2669"/>
    </row>
    <row r="5416" spans="2:2" ht="23.25" customHeight="1">
      <c r="B5416" s="2669"/>
    </row>
    <row r="5417" spans="2:2" ht="23.25" customHeight="1">
      <c r="B5417" s="2669"/>
    </row>
    <row r="5418" spans="2:2" ht="23.25" customHeight="1">
      <c r="B5418" s="2669"/>
    </row>
    <row r="5419" spans="2:2" ht="23.25" customHeight="1">
      <c r="B5419" s="2669"/>
    </row>
    <row r="5420" spans="2:2" ht="23.25" customHeight="1">
      <c r="B5420" s="2669"/>
    </row>
    <row r="5421" spans="2:2" ht="23.25" customHeight="1">
      <c r="B5421" s="2669"/>
    </row>
    <row r="5422" spans="2:2" ht="23.25" customHeight="1">
      <c r="B5422" s="2669"/>
    </row>
    <row r="5423" spans="2:2" ht="23.25" customHeight="1">
      <c r="B5423" s="2669"/>
    </row>
    <row r="5424" spans="2:2" ht="23.25" customHeight="1">
      <c r="B5424" s="2669"/>
    </row>
    <row r="5425" spans="2:2" ht="23.25" customHeight="1">
      <c r="B5425" s="2669"/>
    </row>
    <row r="5426" spans="2:2" ht="23.25" customHeight="1">
      <c r="B5426" s="2669"/>
    </row>
    <row r="5427" spans="2:2" ht="23.25" customHeight="1">
      <c r="B5427" s="2669"/>
    </row>
    <row r="5428" spans="2:2" ht="23.25" customHeight="1">
      <c r="B5428" s="2669"/>
    </row>
    <row r="5429" spans="2:2" ht="23.25" customHeight="1">
      <c r="B5429" s="2669"/>
    </row>
    <row r="5430" spans="2:2" ht="23.25" customHeight="1">
      <c r="B5430" s="2669"/>
    </row>
    <row r="5431" spans="2:2" ht="23.25" customHeight="1">
      <c r="B5431" s="2669"/>
    </row>
    <row r="5432" spans="2:2" ht="23.25" customHeight="1">
      <c r="B5432" s="2669"/>
    </row>
    <row r="5433" spans="2:2" ht="23.25" customHeight="1">
      <c r="B5433" s="2669"/>
    </row>
    <row r="5434" spans="2:2" ht="23.25" customHeight="1">
      <c r="B5434" s="2669"/>
    </row>
    <row r="5435" spans="2:2" ht="23.25" customHeight="1">
      <c r="B5435" s="2669"/>
    </row>
    <row r="5436" spans="2:2" ht="23.25" customHeight="1">
      <c r="B5436" s="2669"/>
    </row>
    <row r="5437" spans="2:2" ht="23.25" customHeight="1">
      <c r="B5437" s="2669"/>
    </row>
    <row r="5438" spans="2:2" ht="23.25" customHeight="1">
      <c r="B5438" s="2669"/>
    </row>
    <row r="5439" spans="2:2" ht="23.25" customHeight="1">
      <c r="B5439" s="2669"/>
    </row>
    <row r="5440" spans="2:2" ht="23.25" customHeight="1">
      <c r="B5440" s="2669"/>
    </row>
    <row r="5441" spans="2:2" ht="23.25" customHeight="1">
      <c r="B5441" s="2669"/>
    </row>
    <row r="5442" spans="2:2" ht="23.25" customHeight="1">
      <c r="B5442" s="2669"/>
    </row>
    <row r="5443" spans="2:2" ht="23.25" customHeight="1">
      <c r="B5443" s="2669"/>
    </row>
    <row r="5444" spans="2:2" ht="23.25" customHeight="1">
      <c r="B5444" s="2669"/>
    </row>
    <row r="5445" spans="2:2" ht="23.25" customHeight="1">
      <c r="B5445" s="2669"/>
    </row>
    <row r="5446" spans="2:2" ht="23.25" customHeight="1">
      <c r="B5446" s="2669"/>
    </row>
    <row r="5447" spans="2:2" ht="23.25" customHeight="1">
      <c r="B5447" s="2669"/>
    </row>
    <row r="5448" spans="2:2" ht="23.25" customHeight="1">
      <c r="B5448" s="2669"/>
    </row>
    <row r="5449" spans="2:2" ht="23.25" customHeight="1">
      <c r="B5449" s="2669"/>
    </row>
    <row r="5450" spans="2:2" ht="23.25" customHeight="1">
      <c r="B5450" s="2669"/>
    </row>
    <row r="5451" spans="2:2" ht="23.25" customHeight="1">
      <c r="B5451" s="2669"/>
    </row>
    <row r="5452" spans="2:2" ht="23.25" customHeight="1">
      <c r="B5452" s="2669"/>
    </row>
    <row r="5453" spans="2:2" ht="23.25" customHeight="1">
      <c r="B5453" s="2669"/>
    </row>
    <row r="5454" spans="2:2" ht="23.25" customHeight="1">
      <c r="B5454" s="2669"/>
    </row>
    <row r="5455" spans="2:2" ht="23.25" customHeight="1">
      <c r="B5455" s="2669"/>
    </row>
    <row r="5456" spans="2:2" ht="23.25" customHeight="1">
      <c r="B5456" s="2669"/>
    </row>
    <row r="5457" spans="2:2" ht="23.25" customHeight="1">
      <c r="B5457" s="2669"/>
    </row>
    <row r="5458" spans="2:2" ht="23.25" customHeight="1">
      <c r="B5458" s="2669"/>
    </row>
    <row r="5459" spans="2:2" ht="23.25" customHeight="1">
      <c r="B5459" s="2669"/>
    </row>
    <row r="5460" spans="2:2" ht="23.25" customHeight="1">
      <c r="B5460" s="2669"/>
    </row>
    <row r="5461" spans="2:2" ht="23.25" customHeight="1">
      <c r="B5461" s="2669"/>
    </row>
    <row r="5462" spans="2:2" ht="23.25" customHeight="1">
      <c r="B5462" s="2669"/>
    </row>
    <row r="5463" spans="2:2" ht="23.25" customHeight="1">
      <c r="B5463" s="2669"/>
    </row>
    <row r="5464" spans="2:2" ht="23.25" customHeight="1">
      <c r="B5464" s="2669"/>
    </row>
    <row r="5465" spans="2:2" ht="23.25" customHeight="1">
      <c r="B5465" s="2669"/>
    </row>
    <row r="5466" spans="2:2" ht="23.25" customHeight="1">
      <c r="B5466" s="2669"/>
    </row>
    <row r="5467" spans="2:2" ht="23.25" customHeight="1">
      <c r="B5467" s="2669"/>
    </row>
    <row r="5468" spans="2:2" ht="23.25" customHeight="1">
      <c r="B5468" s="2669"/>
    </row>
    <row r="5469" spans="2:2" ht="23.25" customHeight="1">
      <c r="B5469" s="2669"/>
    </row>
    <row r="5470" spans="2:2" ht="23.25" customHeight="1">
      <c r="B5470" s="2669"/>
    </row>
    <row r="5471" spans="2:2" ht="23.25" customHeight="1">
      <c r="B5471" s="2669"/>
    </row>
    <row r="5472" spans="2:2" ht="23.25" customHeight="1">
      <c r="B5472" s="2669"/>
    </row>
    <row r="5473" spans="2:2" ht="23.25" customHeight="1">
      <c r="B5473" s="2669"/>
    </row>
    <row r="5474" spans="2:2" ht="23.25" customHeight="1">
      <c r="B5474" s="2669"/>
    </row>
    <row r="5475" spans="2:2" ht="23.25" customHeight="1">
      <c r="B5475" s="2669"/>
    </row>
    <row r="5476" spans="2:2" ht="23.25" customHeight="1">
      <c r="B5476" s="2669"/>
    </row>
    <row r="5477" spans="2:2" ht="23.25" customHeight="1">
      <c r="B5477" s="2669"/>
    </row>
    <row r="5478" spans="2:2" ht="23.25" customHeight="1">
      <c r="B5478" s="2669"/>
    </row>
    <row r="5479" spans="2:2" ht="23.25" customHeight="1">
      <c r="B5479" s="2669"/>
    </row>
    <row r="5480" spans="2:2" ht="23.25" customHeight="1">
      <c r="B5480" s="2669"/>
    </row>
    <row r="5481" spans="2:2" ht="23.25" customHeight="1">
      <c r="B5481" s="2669"/>
    </row>
    <row r="5482" spans="2:2" ht="23.25" customHeight="1">
      <c r="B5482" s="2669"/>
    </row>
    <row r="5483" spans="2:2" ht="23.25" customHeight="1">
      <c r="B5483" s="2669"/>
    </row>
    <row r="5484" spans="2:2" ht="23.25" customHeight="1">
      <c r="B5484" s="2669"/>
    </row>
    <row r="5485" spans="2:2" ht="23.25" customHeight="1">
      <c r="B5485" s="2669"/>
    </row>
    <row r="5486" spans="2:2" ht="23.25" customHeight="1">
      <c r="B5486" s="2669"/>
    </row>
    <row r="5487" spans="2:2" ht="23.25" customHeight="1">
      <c r="B5487" s="2669"/>
    </row>
    <row r="5488" spans="2:2" ht="23.25" customHeight="1">
      <c r="B5488" s="2669"/>
    </row>
    <row r="5489" spans="2:2" ht="23.25" customHeight="1">
      <c r="B5489" s="2669"/>
    </row>
    <row r="5490" spans="2:2" ht="23.25" customHeight="1">
      <c r="B5490" s="2669"/>
    </row>
    <row r="5491" spans="2:2" ht="23.25" customHeight="1">
      <c r="B5491" s="2669"/>
    </row>
    <row r="5492" spans="2:2" ht="23.25" customHeight="1">
      <c r="B5492" s="2669"/>
    </row>
    <row r="5493" spans="2:2" ht="23.25" customHeight="1">
      <c r="B5493" s="2669"/>
    </row>
    <row r="5494" spans="2:2" ht="23.25" customHeight="1">
      <c r="B5494" s="2669"/>
    </row>
    <row r="5495" spans="2:2" ht="23.25" customHeight="1">
      <c r="B5495" s="2669"/>
    </row>
    <row r="5496" spans="2:2" ht="23.25" customHeight="1">
      <c r="B5496" s="2669"/>
    </row>
    <row r="5497" spans="2:2" ht="23.25" customHeight="1">
      <c r="B5497" s="2669"/>
    </row>
    <row r="5498" spans="2:2" ht="23.25" customHeight="1">
      <c r="B5498" s="2669"/>
    </row>
    <row r="5499" spans="2:2" ht="23.25" customHeight="1">
      <c r="B5499" s="2669"/>
    </row>
    <row r="5500" spans="2:2" ht="23.25" customHeight="1">
      <c r="B5500" s="2669"/>
    </row>
    <row r="5501" spans="2:2" ht="23.25" customHeight="1">
      <c r="B5501" s="2669"/>
    </row>
    <row r="5502" spans="2:2" ht="23.25" customHeight="1">
      <c r="B5502" s="2669"/>
    </row>
    <row r="5503" spans="2:2" ht="23.25" customHeight="1">
      <c r="B5503" s="2669"/>
    </row>
    <row r="5504" spans="2:2" ht="23.25" customHeight="1">
      <c r="B5504" s="2669"/>
    </row>
    <row r="5505" spans="2:2" ht="23.25" customHeight="1">
      <c r="B5505" s="2669"/>
    </row>
    <row r="5506" spans="2:2" ht="23.25" customHeight="1">
      <c r="B5506" s="2669"/>
    </row>
    <row r="5507" spans="2:2" ht="23.25" customHeight="1">
      <c r="B5507" s="2669"/>
    </row>
    <row r="5508" spans="2:2" ht="23.25" customHeight="1">
      <c r="B5508" s="2669"/>
    </row>
    <row r="5509" spans="2:2" ht="23.25" customHeight="1">
      <c r="B5509" s="2669"/>
    </row>
    <row r="5510" spans="2:2" ht="23.25" customHeight="1">
      <c r="B5510" s="2669"/>
    </row>
    <row r="5511" spans="2:2" ht="23.25" customHeight="1">
      <c r="B5511" s="2669"/>
    </row>
    <row r="5512" spans="2:2" ht="23.25" customHeight="1">
      <c r="B5512" s="2669"/>
    </row>
    <row r="5513" spans="2:2" ht="23.25" customHeight="1">
      <c r="B5513" s="2669"/>
    </row>
    <row r="5514" spans="2:2" ht="23.25" customHeight="1">
      <c r="B5514" s="2669"/>
    </row>
    <row r="5515" spans="2:2" ht="23.25" customHeight="1">
      <c r="B5515" s="2669"/>
    </row>
    <row r="5516" spans="2:2" ht="23.25" customHeight="1">
      <c r="B5516" s="2669"/>
    </row>
    <row r="5517" spans="2:2" ht="23.25" customHeight="1">
      <c r="B5517" s="2669"/>
    </row>
    <row r="5518" spans="2:2" ht="23.25" customHeight="1">
      <c r="B5518" s="2669"/>
    </row>
    <row r="5519" spans="2:2" ht="23.25" customHeight="1">
      <c r="B5519" s="2669"/>
    </row>
    <row r="5520" spans="2:2" ht="23.25" customHeight="1">
      <c r="B5520" s="2669"/>
    </row>
    <row r="5521" spans="2:2" ht="23.25" customHeight="1">
      <c r="B5521" s="2669"/>
    </row>
    <row r="5522" spans="2:2" ht="23.25" customHeight="1">
      <c r="B5522" s="2669"/>
    </row>
    <row r="5523" spans="2:2" ht="23.25" customHeight="1">
      <c r="B5523" s="2669"/>
    </row>
    <row r="5524" spans="2:2" ht="23.25" customHeight="1">
      <c r="B5524" s="2669"/>
    </row>
    <row r="5525" spans="2:2" ht="23.25" customHeight="1">
      <c r="B5525" s="2669"/>
    </row>
    <row r="5526" spans="2:2" ht="23.25" customHeight="1">
      <c r="B5526" s="2669"/>
    </row>
    <row r="5527" spans="2:2" ht="23.25" customHeight="1">
      <c r="B5527" s="2669"/>
    </row>
    <row r="5528" spans="2:2" ht="23.25" customHeight="1">
      <c r="B5528" s="2669"/>
    </row>
    <row r="5529" spans="2:2" ht="23.25" customHeight="1">
      <c r="B5529" s="2669"/>
    </row>
    <row r="5530" spans="2:2" ht="23.25" customHeight="1">
      <c r="B5530" s="2669"/>
    </row>
    <row r="5531" spans="2:2" ht="23.25" customHeight="1">
      <c r="B5531" s="2669"/>
    </row>
    <row r="5532" spans="2:2" ht="23.25" customHeight="1">
      <c r="B5532" s="2669"/>
    </row>
    <row r="5533" spans="2:2" ht="23.25" customHeight="1">
      <c r="B5533" s="2669"/>
    </row>
    <row r="5534" spans="2:2" ht="23.25" customHeight="1">
      <c r="B5534" s="2669"/>
    </row>
    <row r="5535" spans="2:2" ht="23.25" customHeight="1">
      <c r="B5535" s="2669"/>
    </row>
    <row r="5536" spans="2:2" ht="23.25" customHeight="1">
      <c r="B5536" s="2669"/>
    </row>
    <row r="5537" spans="2:2" ht="23.25" customHeight="1">
      <c r="B5537" s="2669"/>
    </row>
    <row r="5538" spans="2:2" ht="23.25" customHeight="1">
      <c r="B5538" s="2669"/>
    </row>
    <row r="5539" spans="2:2" ht="23.25" customHeight="1">
      <c r="B5539" s="2669"/>
    </row>
    <row r="5540" spans="2:2" ht="23.25" customHeight="1">
      <c r="B5540" s="2669"/>
    </row>
    <row r="5541" spans="2:2" ht="23.25" customHeight="1">
      <c r="B5541" s="2669"/>
    </row>
    <row r="5542" spans="2:2" ht="23.25" customHeight="1">
      <c r="B5542" s="2669"/>
    </row>
    <row r="5543" spans="2:2" ht="23.25" customHeight="1">
      <c r="B5543" s="2669"/>
    </row>
    <row r="5544" spans="2:2" ht="23.25" customHeight="1">
      <c r="B5544" s="2669"/>
    </row>
    <row r="5545" spans="2:2" ht="23.25" customHeight="1">
      <c r="B5545" s="2669"/>
    </row>
    <row r="5546" spans="2:2" ht="23.25" customHeight="1">
      <c r="B5546" s="2669"/>
    </row>
    <row r="5547" spans="2:2" ht="23.25" customHeight="1">
      <c r="B5547" s="2669"/>
    </row>
    <row r="5548" spans="2:2" ht="23.25" customHeight="1">
      <c r="B5548" s="2669"/>
    </row>
    <row r="5549" spans="2:2" ht="23.25" customHeight="1">
      <c r="B5549" s="2669"/>
    </row>
    <row r="5550" spans="2:2" ht="23.25" customHeight="1">
      <c r="B5550" s="2669"/>
    </row>
    <row r="5551" spans="2:2" ht="23.25" customHeight="1">
      <c r="B5551" s="2669"/>
    </row>
    <row r="5552" spans="2:2" ht="23.25" customHeight="1">
      <c r="B5552" s="2669"/>
    </row>
    <row r="5553" spans="2:2" ht="23.25" customHeight="1">
      <c r="B5553" s="2669"/>
    </row>
    <row r="5554" spans="2:2" ht="23.25" customHeight="1">
      <c r="B5554" s="2669"/>
    </row>
    <row r="5555" spans="2:2" ht="23.25" customHeight="1">
      <c r="B5555" s="2669"/>
    </row>
    <row r="5556" spans="2:2" ht="23.25" customHeight="1">
      <c r="B5556" s="2669"/>
    </row>
    <row r="5557" spans="2:2" ht="23.25" customHeight="1">
      <c r="B5557" s="2669"/>
    </row>
    <row r="5558" spans="2:2" ht="23.25" customHeight="1">
      <c r="B5558" s="2669"/>
    </row>
    <row r="5559" spans="2:2" ht="23.25" customHeight="1">
      <c r="B5559" s="2669"/>
    </row>
    <row r="5560" spans="2:2" ht="23.25" customHeight="1">
      <c r="B5560" s="2669"/>
    </row>
    <row r="5561" spans="2:2" ht="23.25" customHeight="1">
      <c r="B5561" s="2669"/>
    </row>
    <row r="5562" spans="2:2" ht="23.25" customHeight="1">
      <c r="B5562" s="2669"/>
    </row>
    <row r="5563" spans="2:2" ht="23.25" customHeight="1">
      <c r="B5563" s="2669"/>
    </row>
    <row r="5564" spans="2:2" ht="23.25" customHeight="1">
      <c r="B5564" s="2669"/>
    </row>
    <row r="5565" spans="2:2" ht="23.25" customHeight="1">
      <c r="B5565" s="2669"/>
    </row>
    <row r="5566" spans="2:2" ht="23.25" customHeight="1">
      <c r="B5566" s="2669"/>
    </row>
    <row r="5567" spans="2:2" ht="23.25" customHeight="1">
      <c r="B5567" s="2669"/>
    </row>
    <row r="5568" spans="2:2" ht="23.25" customHeight="1">
      <c r="B5568" s="2669"/>
    </row>
    <row r="5569" spans="2:2" ht="23.25" customHeight="1">
      <c r="B5569" s="2669"/>
    </row>
    <row r="5570" spans="2:2" ht="23.25" customHeight="1">
      <c r="B5570" s="2669"/>
    </row>
    <row r="5571" spans="2:2" ht="23.25" customHeight="1">
      <c r="B5571" s="2669"/>
    </row>
    <row r="5572" spans="2:2" ht="23.25" customHeight="1">
      <c r="B5572" s="2669"/>
    </row>
    <row r="5573" spans="2:2" ht="23.25" customHeight="1">
      <c r="B5573" s="2669"/>
    </row>
    <row r="5574" spans="2:2" ht="23.25" customHeight="1">
      <c r="B5574" s="2669"/>
    </row>
    <row r="5575" spans="2:2" ht="23.25" customHeight="1">
      <c r="B5575" s="2669"/>
    </row>
    <row r="5576" spans="2:2" ht="23.25" customHeight="1">
      <c r="B5576" s="2669"/>
    </row>
    <row r="5577" spans="2:2" ht="23.25" customHeight="1">
      <c r="B5577" s="2669"/>
    </row>
    <row r="5578" spans="2:2" ht="23.25" customHeight="1">
      <c r="B5578" s="2669"/>
    </row>
    <row r="5579" spans="2:2" ht="23.25" customHeight="1">
      <c r="B5579" s="2669"/>
    </row>
    <row r="5580" spans="2:2" ht="23.25" customHeight="1">
      <c r="B5580" s="2669"/>
    </row>
    <row r="5581" spans="2:2" ht="23.25" customHeight="1">
      <c r="B5581" s="2669"/>
    </row>
    <row r="5582" spans="2:2" ht="23.25" customHeight="1">
      <c r="B5582" s="2669"/>
    </row>
    <row r="5583" spans="2:2" ht="23.25" customHeight="1">
      <c r="B5583" s="2669"/>
    </row>
    <row r="5584" spans="2:2" ht="23.25" customHeight="1">
      <c r="B5584" s="2669"/>
    </row>
    <row r="5585" spans="2:2" ht="23.25" customHeight="1">
      <c r="B5585" s="2669"/>
    </row>
    <row r="5586" spans="2:2" ht="23.25" customHeight="1">
      <c r="B5586" s="2669"/>
    </row>
    <row r="5587" spans="2:2" ht="23.25" customHeight="1">
      <c r="B5587" s="2669"/>
    </row>
    <row r="5588" spans="2:2" ht="23.25" customHeight="1">
      <c r="B5588" s="2669"/>
    </row>
    <row r="5589" spans="2:2" ht="23.25" customHeight="1">
      <c r="B5589" s="2669"/>
    </row>
    <row r="5590" spans="2:2" ht="23.25" customHeight="1">
      <c r="B5590" s="2669"/>
    </row>
    <row r="5591" spans="2:2" ht="23.25" customHeight="1">
      <c r="B5591" s="2669"/>
    </row>
    <row r="5592" spans="2:2" ht="23.25" customHeight="1">
      <c r="B5592" s="2669"/>
    </row>
    <row r="5593" spans="2:2" ht="23.25" customHeight="1">
      <c r="B5593" s="2669"/>
    </row>
    <row r="5594" spans="2:2" ht="23.25" customHeight="1">
      <c r="B5594" s="2669"/>
    </row>
    <row r="5595" spans="2:2" ht="23.25" customHeight="1">
      <c r="B5595" s="2669"/>
    </row>
    <row r="5596" spans="2:2" ht="23.25" customHeight="1">
      <c r="B5596" s="2669"/>
    </row>
    <row r="5597" spans="2:2" ht="23.25" customHeight="1">
      <c r="B5597" s="2669"/>
    </row>
    <row r="5598" spans="2:2" ht="23.25" customHeight="1">
      <c r="B5598" s="2669"/>
    </row>
    <row r="5599" spans="2:2" ht="23.25" customHeight="1">
      <c r="B5599" s="2669"/>
    </row>
    <row r="5600" spans="2:2" ht="23.25" customHeight="1">
      <c r="B5600" s="2669"/>
    </row>
    <row r="5601" spans="2:2" ht="23.25" customHeight="1">
      <c r="B5601" s="2669"/>
    </row>
    <row r="5602" spans="2:2" ht="23.25" customHeight="1">
      <c r="B5602" s="2669"/>
    </row>
    <row r="5603" spans="2:2" ht="23.25" customHeight="1">
      <c r="B5603" s="2669"/>
    </row>
    <row r="5604" spans="2:2" ht="23.25" customHeight="1">
      <c r="B5604" s="2669"/>
    </row>
    <row r="5605" spans="2:2" ht="23.25" customHeight="1">
      <c r="B5605" s="2669"/>
    </row>
    <row r="5606" spans="2:2" ht="23.25" customHeight="1">
      <c r="B5606" s="2669"/>
    </row>
    <row r="5607" spans="2:2" ht="23.25" customHeight="1">
      <c r="B5607" s="2669"/>
    </row>
    <row r="5608" spans="2:2" ht="23.25" customHeight="1">
      <c r="B5608" s="2669"/>
    </row>
    <row r="5609" spans="2:2" ht="23.25" customHeight="1">
      <c r="B5609" s="2669"/>
    </row>
    <row r="5610" spans="2:2" ht="23.25" customHeight="1">
      <c r="B5610" s="2669"/>
    </row>
    <row r="5611" spans="2:2" ht="23.25" customHeight="1">
      <c r="B5611" s="2669"/>
    </row>
    <row r="5612" spans="2:2" ht="23.25" customHeight="1">
      <c r="B5612" s="2669"/>
    </row>
    <row r="5613" spans="2:2" ht="23.25" customHeight="1">
      <c r="B5613" s="2669"/>
    </row>
    <row r="5614" spans="2:2" ht="23.25" customHeight="1">
      <c r="B5614" s="2669"/>
    </row>
    <row r="5615" spans="2:2" ht="23.25" customHeight="1">
      <c r="B5615" s="2669"/>
    </row>
    <row r="5616" spans="2:2" ht="23.25" customHeight="1">
      <c r="B5616" s="2669"/>
    </row>
    <row r="5617" spans="2:2" ht="23.25" customHeight="1">
      <c r="B5617" s="2669"/>
    </row>
    <row r="5618" spans="2:2" ht="23.25" customHeight="1">
      <c r="B5618" s="2669"/>
    </row>
    <row r="5619" spans="2:2" ht="23.25" customHeight="1">
      <c r="B5619" s="2669"/>
    </row>
    <row r="5620" spans="2:2" ht="23.25" customHeight="1">
      <c r="B5620" s="2669"/>
    </row>
    <row r="5621" spans="2:2" ht="23.25" customHeight="1">
      <c r="B5621" s="2669"/>
    </row>
    <row r="5622" spans="2:2" ht="23.25" customHeight="1">
      <c r="B5622" s="2669"/>
    </row>
    <row r="5623" spans="2:2" ht="23.25" customHeight="1">
      <c r="B5623" s="2669"/>
    </row>
    <row r="5624" spans="2:2" ht="23.25" customHeight="1">
      <c r="B5624" s="2669"/>
    </row>
    <row r="5625" spans="2:2" ht="23.25" customHeight="1">
      <c r="B5625" s="2669"/>
    </row>
    <row r="5626" spans="2:2" ht="23.25" customHeight="1">
      <c r="B5626" s="2669"/>
    </row>
    <row r="5627" spans="2:2" ht="23.25" customHeight="1">
      <c r="B5627" s="2669"/>
    </row>
    <row r="5628" spans="2:2" ht="23.25" customHeight="1">
      <c r="B5628" s="2669"/>
    </row>
    <row r="5629" spans="2:2" ht="23.25" customHeight="1">
      <c r="B5629" s="2669"/>
    </row>
    <row r="5630" spans="2:2" ht="23.25" customHeight="1">
      <c r="B5630" s="2669"/>
    </row>
    <row r="5631" spans="2:2" ht="23.25" customHeight="1">
      <c r="B5631" s="2669"/>
    </row>
    <row r="5632" spans="2:2" ht="23.25" customHeight="1">
      <c r="B5632" s="2669"/>
    </row>
    <row r="5633" spans="2:2" ht="23.25" customHeight="1">
      <c r="B5633" s="2669"/>
    </row>
    <row r="5634" spans="2:2" ht="23.25" customHeight="1">
      <c r="B5634" s="2669"/>
    </row>
    <row r="5635" spans="2:2" ht="23.25" customHeight="1">
      <c r="B5635" s="2669"/>
    </row>
    <row r="5636" spans="2:2" ht="23.25" customHeight="1">
      <c r="B5636" s="2669"/>
    </row>
    <row r="5637" spans="2:2" ht="23.25" customHeight="1">
      <c r="B5637" s="2669"/>
    </row>
    <row r="5638" spans="2:2" ht="23.25" customHeight="1">
      <c r="B5638" s="2669"/>
    </row>
    <row r="5639" spans="2:2" ht="23.25" customHeight="1">
      <c r="B5639" s="2669"/>
    </row>
    <row r="5640" spans="2:2" ht="23.25" customHeight="1">
      <c r="B5640" s="2669"/>
    </row>
    <row r="5641" spans="2:2" ht="23.25" customHeight="1">
      <c r="B5641" s="2669"/>
    </row>
    <row r="5642" spans="2:2" ht="23.25" customHeight="1">
      <c r="B5642" s="2669"/>
    </row>
    <row r="5643" spans="2:2" ht="23.25" customHeight="1">
      <c r="B5643" s="2669"/>
    </row>
    <row r="5644" spans="2:2" ht="23.25" customHeight="1">
      <c r="B5644" s="2669"/>
    </row>
    <row r="5645" spans="2:2" ht="23.25" customHeight="1">
      <c r="B5645" s="2669"/>
    </row>
    <row r="5646" spans="2:2" ht="23.25" customHeight="1">
      <c r="B5646" s="2669"/>
    </row>
    <row r="5647" spans="2:2" ht="23.25" customHeight="1">
      <c r="B5647" s="2669"/>
    </row>
    <row r="5648" spans="2:2" ht="23.25" customHeight="1">
      <c r="B5648" s="2669"/>
    </row>
    <row r="5649" spans="2:2" ht="23.25" customHeight="1">
      <c r="B5649" s="2669"/>
    </row>
    <row r="5650" spans="2:2" ht="23.25" customHeight="1">
      <c r="B5650" s="2669"/>
    </row>
    <row r="5651" spans="2:2" ht="23.25" customHeight="1">
      <c r="B5651" s="2669"/>
    </row>
    <row r="5652" spans="2:2" ht="23.25" customHeight="1">
      <c r="B5652" s="2669"/>
    </row>
    <row r="5653" spans="2:2" ht="23.25" customHeight="1">
      <c r="B5653" s="2669"/>
    </row>
    <row r="5654" spans="2:2" ht="23.25" customHeight="1">
      <c r="B5654" s="2669"/>
    </row>
    <row r="5655" spans="2:2" ht="23.25" customHeight="1">
      <c r="B5655" s="2669"/>
    </row>
    <row r="5656" spans="2:2" ht="23.25" customHeight="1">
      <c r="B5656" s="2669"/>
    </row>
    <row r="5657" spans="2:2" ht="23.25" customHeight="1">
      <c r="B5657" s="2669"/>
    </row>
    <row r="5658" spans="2:2" ht="23.25" customHeight="1">
      <c r="B5658" s="2669"/>
    </row>
    <row r="5659" spans="2:2" ht="23.25" customHeight="1">
      <c r="B5659" s="2669"/>
    </row>
    <row r="5660" spans="2:2" ht="23.25" customHeight="1">
      <c r="B5660" s="2669"/>
    </row>
    <row r="5661" spans="2:2" ht="23.25" customHeight="1">
      <c r="B5661" s="2669"/>
    </row>
    <row r="5662" spans="2:2" ht="23.25" customHeight="1">
      <c r="B5662" s="2669"/>
    </row>
    <row r="5663" spans="2:2" ht="23.25" customHeight="1">
      <c r="B5663" s="2669"/>
    </row>
    <row r="5664" spans="2:2" ht="23.25" customHeight="1">
      <c r="B5664" s="2669"/>
    </row>
    <row r="5665" spans="2:2" ht="23.25" customHeight="1">
      <c r="B5665" s="2669"/>
    </row>
    <row r="5666" spans="2:2" ht="23.25" customHeight="1">
      <c r="B5666" s="2669"/>
    </row>
    <row r="5667" spans="2:2" ht="23.25" customHeight="1">
      <c r="B5667" s="2669"/>
    </row>
    <row r="5668" spans="2:2" ht="23.25" customHeight="1">
      <c r="B5668" s="2669"/>
    </row>
    <row r="5669" spans="2:2" ht="23.25" customHeight="1">
      <c r="B5669" s="2669"/>
    </row>
    <row r="5670" spans="2:2" ht="23.25" customHeight="1">
      <c r="B5670" s="2669"/>
    </row>
    <row r="5671" spans="2:2" ht="23.25" customHeight="1">
      <c r="B5671" s="2669"/>
    </row>
    <row r="5672" spans="2:2" ht="23.25" customHeight="1">
      <c r="B5672" s="2669"/>
    </row>
    <row r="5673" spans="2:2" ht="23.25" customHeight="1">
      <c r="B5673" s="2669"/>
    </row>
    <row r="5674" spans="2:2" ht="23.25" customHeight="1">
      <c r="B5674" s="2669"/>
    </row>
    <row r="5675" spans="2:2" ht="23.25" customHeight="1">
      <c r="B5675" s="2669"/>
    </row>
    <row r="5676" spans="2:2" ht="23.25" customHeight="1">
      <c r="B5676" s="2669"/>
    </row>
    <row r="5677" spans="2:2" ht="23.25" customHeight="1">
      <c r="B5677" s="2669"/>
    </row>
    <row r="5678" spans="2:2" ht="23.25" customHeight="1">
      <c r="B5678" s="2669"/>
    </row>
    <row r="5679" spans="2:2" ht="23.25" customHeight="1">
      <c r="B5679" s="2669"/>
    </row>
    <row r="5680" spans="2:2" ht="23.25" customHeight="1">
      <c r="B5680" s="2669"/>
    </row>
    <row r="5681" spans="2:2" ht="23.25" customHeight="1">
      <c r="B5681" s="2669"/>
    </row>
    <row r="5682" spans="2:2" ht="23.25" customHeight="1">
      <c r="B5682" s="2669"/>
    </row>
    <row r="5683" spans="2:2" ht="23.25" customHeight="1">
      <c r="B5683" s="2669"/>
    </row>
    <row r="5684" spans="2:2" ht="23.25" customHeight="1">
      <c r="B5684" s="2669"/>
    </row>
    <row r="5685" spans="2:2" ht="23.25" customHeight="1">
      <c r="B5685" s="2669"/>
    </row>
    <row r="5686" spans="2:2" ht="23.25" customHeight="1">
      <c r="B5686" s="2669"/>
    </row>
    <row r="5687" spans="2:2" ht="23.25" customHeight="1">
      <c r="B5687" s="2669"/>
    </row>
    <row r="5688" spans="2:2" ht="23.25" customHeight="1">
      <c r="B5688" s="2669"/>
    </row>
    <row r="5689" spans="2:2" ht="23.25" customHeight="1">
      <c r="B5689" s="2669"/>
    </row>
    <row r="5690" spans="2:2" ht="23.25" customHeight="1">
      <c r="B5690" s="2669"/>
    </row>
    <row r="5691" spans="2:2" ht="23.25" customHeight="1">
      <c r="B5691" s="2669"/>
    </row>
    <row r="5692" spans="2:2" ht="23.25" customHeight="1">
      <c r="B5692" s="2669"/>
    </row>
    <row r="5693" spans="2:2" ht="23.25" customHeight="1">
      <c r="B5693" s="2669"/>
    </row>
    <row r="5694" spans="2:2" ht="23.25" customHeight="1">
      <c r="B5694" s="2669"/>
    </row>
    <row r="5695" spans="2:2" ht="23.25" customHeight="1">
      <c r="B5695" s="2669"/>
    </row>
    <row r="5696" spans="2:2" ht="23.25" customHeight="1">
      <c r="B5696" s="2669"/>
    </row>
    <row r="5697" spans="2:2" ht="23.25" customHeight="1">
      <c r="B5697" s="2669"/>
    </row>
    <row r="5698" spans="2:2" ht="23.25" customHeight="1">
      <c r="B5698" s="2669"/>
    </row>
    <row r="5699" spans="2:2" ht="23.25" customHeight="1">
      <c r="B5699" s="2669"/>
    </row>
    <row r="5700" spans="2:2" ht="23.25" customHeight="1">
      <c r="B5700" s="2669"/>
    </row>
    <row r="5701" spans="2:2" ht="23.25" customHeight="1">
      <c r="B5701" s="2669"/>
    </row>
    <row r="5702" spans="2:2" ht="23.25" customHeight="1">
      <c r="B5702" s="2669"/>
    </row>
    <row r="5703" spans="2:2" ht="23.25" customHeight="1">
      <c r="B5703" s="2669"/>
    </row>
    <row r="5704" spans="2:2" ht="23.25" customHeight="1">
      <c r="B5704" s="2669"/>
    </row>
    <row r="5705" spans="2:2" ht="23.25" customHeight="1">
      <c r="B5705" s="2669"/>
    </row>
    <row r="5706" spans="2:2" ht="23.25" customHeight="1">
      <c r="B5706" s="2669"/>
    </row>
    <row r="5707" spans="2:2" ht="23.25" customHeight="1">
      <c r="B5707" s="2669"/>
    </row>
    <row r="5708" spans="2:2" ht="23.25" customHeight="1">
      <c r="B5708" s="2669"/>
    </row>
    <row r="5709" spans="2:2" ht="23.25" customHeight="1">
      <c r="B5709" s="2669"/>
    </row>
    <row r="5710" spans="2:2" ht="23.25" customHeight="1">
      <c r="B5710" s="2669"/>
    </row>
    <row r="5711" spans="2:2" ht="23.25" customHeight="1">
      <c r="B5711" s="2669"/>
    </row>
    <row r="5712" spans="2:2" ht="23.25" customHeight="1">
      <c r="B5712" s="2669"/>
    </row>
    <row r="5713" spans="2:2" ht="23.25" customHeight="1">
      <c r="B5713" s="2669"/>
    </row>
    <row r="5714" spans="2:2" ht="23.25" customHeight="1">
      <c r="B5714" s="2669"/>
    </row>
    <row r="5715" spans="2:2" ht="23.25" customHeight="1">
      <c r="B5715" s="2669"/>
    </row>
    <row r="5716" spans="2:2" ht="23.25" customHeight="1">
      <c r="B5716" s="2669"/>
    </row>
    <row r="5717" spans="2:2" ht="23.25" customHeight="1">
      <c r="B5717" s="2669"/>
    </row>
    <row r="5718" spans="2:2" ht="23.25" customHeight="1">
      <c r="B5718" s="2669"/>
    </row>
    <row r="5719" spans="2:2" ht="23.25" customHeight="1">
      <c r="B5719" s="2669"/>
    </row>
    <row r="5720" spans="2:2" ht="23.25" customHeight="1">
      <c r="B5720" s="2669"/>
    </row>
    <row r="5721" spans="2:2" ht="23.25" customHeight="1">
      <c r="B5721" s="2669"/>
    </row>
    <row r="5722" spans="2:2" ht="23.25" customHeight="1">
      <c r="B5722" s="2669"/>
    </row>
    <row r="5723" spans="2:2" ht="23.25" customHeight="1">
      <c r="B5723" s="2669"/>
    </row>
    <row r="5724" spans="2:2" ht="23.25" customHeight="1">
      <c r="B5724" s="2669"/>
    </row>
    <row r="5725" spans="2:2" ht="23.25" customHeight="1">
      <c r="B5725" s="2669"/>
    </row>
    <row r="5726" spans="2:2" ht="23.25" customHeight="1">
      <c r="B5726" s="2669"/>
    </row>
    <row r="5727" spans="2:2" ht="23.25" customHeight="1">
      <c r="B5727" s="2669"/>
    </row>
    <row r="5728" spans="2:2" ht="23.25" customHeight="1">
      <c r="B5728" s="2669"/>
    </row>
    <row r="5729" spans="2:2" ht="23.25" customHeight="1">
      <c r="B5729" s="2669"/>
    </row>
    <row r="5730" spans="2:2" ht="23.25" customHeight="1">
      <c r="B5730" s="2669"/>
    </row>
    <row r="5731" spans="2:2" ht="23.25" customHeight="1">
      <c r="B5731" s="2669"/>
    </row>
    <row r="5732" spans="2:2" ht="23.25" customHeight="1">
      <c r="B5732" s="2669"/>
    </row>
    <row r="5733" spans="2:2" ht="23.25" customHeight="1">
      <c r="B5733" s="2669"/>
    </row>
    <row r="5734" spans="2:2" ht="23.25" customHeight="1">
      <c r="B5734" s="2669"/>
    </row>
    <row r="5735" spans="2:2" ht="23.25" customHeight="1">
      <c r="B5735" s="2669"/>
    </row>
    <row r="5736" spans="2:2" ht="23.25" customHeight="1">
      <c r="B5736" s="2669"/>
    </row>
    <row r="5737" spans="2:2" ht="23.25" customHeight="1">
      <c r="B5737" s="2669"/>
    </row>
    <row r="5738" spans="2:2" ht="23.25" customHeight="1">
      <c r="B5738" s="2669"/>
    </row>
    <row r="5739" spans="2:2" ht="23.25" customHeight="1">
      <c r="B5739" s="2669"/>
    </row>
    <row r="5740" spans="2:2" ht="23.25" customHeight="1">
      <c r="B5740" s="2669"/>
    </row>
    <row r="5741" spans="2:2" ht="23.25" customHeight="1">
      <c r="B5741" s="2669"/>
    </row>
    <row r="5742" spans="2:2" ht="23.25" customHeight="1">
      <c r="B5742" s="2669"/>
    </row>
    <row r="5743" spans="2:2" ht="23.25" customHeight="1">
      <c r="B5743" s="2669"/>
    </row>
    <row r="5744" spans="2:2" ht="23.25" customHeight="1">
      <c r="B5744" s="2669"/>
    </row>
    <row r="5745" spans="2:2" ht="23.25" customHeight="1">
      <c r="B5745" s="2669"/>
    </row>
    <row r="5746" spans="2:2" ht="23.25" customHeight="1">
      <c r="B5746" s="2669"/>
    </row>
    <row r="5747" spans="2:2" ht="23.25" customHeight="1">
      <c r="B5747" s="2669"/>
    </row>
    <row r="5748" spans="2:2" ht="23.25" customHeight="1">
      <c r="B5748" s="2669"/>
    </row>
    <row r="5749" spans="2:2" ht="23.25" customHeight="1">
      <c r="B5749" s="2669"/>
    </row>
    <row r="5750" spans="2:2" ht="23.25" customHeight="1">
      <c r="B5750" s="2669"/>
    </row>
    <row r="5751" spans="2:2" ht="23.25" customHeight="1">
      <c r="B5751" s="2669"/>
    </row>
    <row r="5752" spans="2:2" ht="23.25" customHeight="1">
      <c r="B5752" s="2669"/>
    </row>
    <row r="5753" spans="2:2" ht="23.25" customHeight="1">
      <c r="B5753" s="2669"/>
    </row>
    <row r="5754" spans="2:2" ht="23.25" customHeight="1">
      <c r="B5754" s="2669"/>
    </row>
    <row r="5755" spans="2:2" ht="23.25" customHeight="1">
      <c r="B5755" s="2669"/>
    </row>
    <row r="5756" spans="2:2" ht="23.25" customHeight="1">
      <c r="B5756" s="2669"/>
    </row>
    <row r="5757" spans="2:2" ht="23.25" customHeight="1">
      <c r="B5757" s="2669"/>
    </row>
    <row r="5758" spans="2:2" ht="23.25" customHeight="1">
      <c r="B5758" s="2669"/>
    </row>
    <row r="5759" spans="2:2" ht="23.25" customHeight="1">
      <c r="B5759" s="2669"/>
    </row>
    <row r="5760" spans="2:2" ht="23.25" customHeight="1">
      <c r="B5760" s="2669"/>
    </row>
    <row r="5761" spans="2:2" ht="23.25" customHeight="1">
      <c r="B5761" s="2669"/>
    </row>
    <row r="5762" spans="2:2" ht="23.25" customHeight="1">
      <c r="B5762" s="2669"/>
    </row>
    <row r="5763" spans="2:2" ht="23.25" customHeight="1">
      <c r="B5763" s="2669"/>
    </row>
    <row r="5764" spans="2:2" ht="23.25" customHeight="1">
      <c r="B5764" s="2669"/>
    </row>
    <row r="5765" spans="2:2" ht="23.25" customHeight="1">
      <c r="B5765" s="2669"/>
    </row>
    <row r="5766" spans="2:2" ht="23.25" customHeight="1">
      <c r="B5766" s="2669"/>
    </row>
    <row r="5767" spans="2:2" ht="23.25" customHeight="1">
      <c r="B5767" s="2669"/>
    </row>
    <row r="5768" spans="2:2" ht="23.25" customHeight="1">
      <c r="B5768" s="2669"/>
    </row>
    <row r="5769" spans="2:2" ht="23.25" customHeight="1">
      <c r="B5769" s="2669"/>
    </row>
    <row r="5770" spans="2:2" ht="23.25" customHeight="1">
      <c r="B5770" s="2669"/>
    </row>
    <row r="5771" spans="2:2" ht="23.25" customHeight="1">
      <c r="B5771" s="2669"/>
    </row>
    <row r="5772" spans="2:2" ht="23.25" customHeight="1">
      <c r="B5772" s="2669"/>
    </row>
    <row r="5773" spans="2:2" ht="23.25" customHeight="1">
      <c r="B5773" s="2669"/>
    </row>
    <row r="5774" spans="2:2" ht="23.25" customHeight="1">
      <c r="B5774" s="2669"/>
    </row>
    <row r="5775" spans="2:2" ht="23.25" customHeight="1">
      <c r="B5775" s="2669"/>
    </row>
    <row r="5776" spans="2:2" ht="23.25" customHeight="1">
      <c r="B5776" s="2669"/>
    </row>
    <row r="5777" spans="2:2" ht="23.25" customHeight="1">
      <c r="B5777" s="2669"/>
    </row>
    <row r="5778" spans="2:2" ht="23.25" customHeight="1">
      <c r="B5778" s="2669"/>
    </row>
    <row r="5779" spans="2:2" ht="23.25" customHeight="1">
      <c r="B5779" s="2669"/>
    </row>
    <row r="5780" spans="2:2" ht="23.25" customHeight="1">
      <c r="B5780" s="2669"/>
    </row>
    <row r="5781" spans="2:2" ht="23.25" customHeight="1">
      <c r="B5781" s="2669"/>
    </row>
    <row r="5782" spans="2:2" ht="23.25" customHeight="1">
      <c r="B5782" s="2669"/>
    </row>
    <row r="5783" spans="2:2" ht="23.25" customHeight="1">
      <c r="B5783" s="2669"/>
    </row>
    <row r="5784" spans="2:2" ht="23.25" customHeight="1">
      <c r="B5784" s="2669"/>
    </row>
    <row r="5785" spans="2:2" ht="23.25" customHeight="1">
      <c r="B5785" s="2669"/>
    </row>
    <row r="5786" spans="2:2" ht="23.25" customHeight="1">
      <c r="B5786" s="2669"/>
    </row>
    <row r="5787" spans="2:2" ht="23.25" customHeight="1">
      <c r="B5787" s="2669"/>
    </row>
    <row r="5788" spans="2:2" ht="23.25" customHeight="1">
      <c r="B5788" s="2669"/>
    </row>
    <row r="5789" spans="2:2" ht="23.25" customHeight="1">
      <c r="B5789" s="2669"/>
    </row>
    <row r="5790" spans="2:2" ht="23.25" customHeight="1">
      <c r="B5790" s="2669"/>
    </row>
    <row r="5791" spans="2:2" ht="23.25" customHeight="1">
      <c r="B5791" s="2669"/>
    </row>
    <row r="5792" spans="2:2" ht="23.25" customHeight="1">
      <c r="B5792" s="2669"/>
    </row>
    <row r="5793" spans="2:2" ht="23.25" customHeight="1">
      <c r="B5793" s="2669"/>
    </row>
    <row r="5794" spans="2:2" ht="23.25" customHeight="1">
      <c r="B5794" s="2669"/>
    </row>
    <row r="5795" spans="2:2" ht="23.25" customHeight="1">
      <c r="B5795" s="2669"/>
    </row>
    <row r="5796" spans="2:2" ht="23.25" customHeight="1">
      <c r="B5796" s="2669"/>
    </row>
    <row r="5797" spans="2:2" ht="23.25" customHeight="1">
      <c r="B5797" s="2669"/>
    </row>
    <row r="5798" spans="2:2" ht="23.25" customHeight="1">
      <c r="B5798" s="2669"/>
    </row>
    <row r="5799" spans="2:2" ht="23.25" customHeight="1">
      <c r="B5799" s="2669"/>
    </row>
    <row r="5800" spans="2:2" ht="23.25" customHeight="1">
      <c r="B5800" s="2669"/>
    </row>
    <row r="5801" spans="2:2" ht="23.25" customHeight="1">
      <c r="B5801" s="2669"/>
    </row>
    <row r="5802" spans="2:2" ht="23.25" customHeight="1">
      <c r="B5802" s="2669"/>
    </row>
    <row r="5803" spans="2:2" ht="23.25" customHeight="1">
      <c r="B5803" s="2669"/>
    </row>
    <row r="5804" spans="2:2" ht="23.25" customHeight="1">
      <c r="B5804" s="2669"/>
    </row>
    <row r="5805" spans="2:2" ht="23.25" customHeight="1">
      <c r="B5805" s="2669"/>
    </row>
    <row r="5806" spans="2:2" ht="23.25" customHeight="1">
      <c r="B5806" s="2669"/>
    </row>
    <row r="5807" spans="2:2" ht="23.25" customHeight="1">
      <c r="B5807" s="2669"/>
    </row>
    <row r="5808" spans="2:2" ht="23.25" customHeight="1">
      <c r="B5808" s="2669"/>
    </row>
    <row r="5809" spans="2:2" ht="23.25" customHeight="1">
      <c r="B5809" s="2669"/>
    </row>
    <row r="5810" spans="2:2" ht="23.25" customHeight="1">
      <c r="B5810" s="2669"/>
    </row>
    <row r="5811" spans="2:2" ht="23.25" customHeight="1">
      <c r="B5811" s="2669"/>
    </row>
    <row r="5812" spans="2:2" ht="23.25" customHeight="1">
      <c r="B5812" s="2669"/>
    </row>
    <row r="5813" spans="2:2" ht="23.25" customHeight="1">
      <c r="B5813" s="2669"/>
    </row>
    <row r="5814" spans="2:2" ht="23.25" customHeight="1">
      <c r="B5814" s="2669"/>
    </row>
    <row r="5815" spans="2:2" ht="23.25" customHeight="1">
      <c r="B5815" s="2669"/>
    </row>
    <row r="5816" spans="2:2" ht="23.25" customHeight="1">
      <c r="B5816" s="2669"/>
    </row>
    <row r="5817" spans="2:2" ht="23.25" customHeight="1">
      <c r="B5817" s="2669"/>
    </row>
    <row r="5818" spans="2:2" ht="23.25" customHeight="1">
      <c r="B5818" s="2669"/>
    </row>
    <row r="5819" spans="2:2" ht="23.25" customHeight="1">
      <c r="B5819" s="2669"/>
    </row>
    <row r="5820" spans="2:2" ht="23.25" customHeight="1">
      <c r="B5820" s="2669"/>
    </row>
    <row r="5821" spans="2:2" ht="23.25" customHeight="1">
      <c r="B5821" s="2669"/>
    </row>
    <row r="5822" spans="2:2" ht="23.25" customHeight="1">
      <c r="B5822" s="2669"/>
    </row>
    <row r="5823" spans="2:2" ht="23.25" customHeight="1">
      <c r="B5823" s="2669"/>
    </row>
    <row r="5824" spans="2:2" ht="23.25" customHeight="1">
      <c r="B5824" s="2669"/>
    </row>
    <row r="5825" spans="2:2" ht="23.25" customHeight="1">
      <c r="B5825" s="2669"/>
    </row>
    <row r="5826" spans="2:2" ht="23.25" customHeight="1">
      <c r="B5826" s="2669"/>
    </row>
    <row r="5827" spans="2:2" ht="23.25" customHeight="1">
      <c r="B5827" s="2669"/>
    </row>
    <row r="5828" spans="2:2" ht="23.25" customHeight="1">
      <c r="B5828" s="2669"/>
    </row>
    <row r="5829" spans="2:2" ht="23.25" customHeight="1">
      <c r="B5829" s="2669"/>
    </row>
    <row r="5830" spans="2:2" ht="23.25" customHeight="1">
      <c r="B5830" s="2669"/>
    </row>
    <row r="5831" spans="2:2" ht="23.25" customHeight="1">
      <c r="B5831" s="2669"/>
    </row>
    <row r="5832" spans="2:2" ht="23.25" customHeight="1">
      <c r="B5832" s="2669"/>
    </row>
    <row r="5833" spans="2:2" ht="23.25" customHeight="1">
      <c r="B5833" s="2669"/>
    </row>
    <row r="5834" spans="2:2" ht="23.25" customHeight="1">
      <c r="B5834" s="2669"/>
    </row>
    <row r="5835" spans="2:2" ht="23.25" customHeight="1">
      <c r="B5835" s="2669"/>
    </row>
    <row r="5836" spans="2:2" ht="23.25" customHeight="1">
      <c r="B5836" s="2669"/>
    </row>
    <row r="5837" spans="2:2" ht="23.25" customHeight="1">
      <c r="B5837" s="2669"/>
    </row>
    <row r="5838" spans="2:2" ht="23.25" customHeight="1">
      <c r="B5838" s="2669"/>
    </row>
    <row r="5839" spans="2:2" ht="23.25" customHeight="1">
      <c r="B5839" s="2669"/>
    </row>
    <row r="5840" spans="2:2" ht="23.25" customHeight="1">
      <c r="B5840" s="2669"/>
    </row>
    <row r="5841" spans="2:2" ht="23.25" customHeight="1">
      <c r="B5841" s="2669"/>
    </row>
    <row r="5842" spans="2:2" ht="23.25" customHeight="1">
      <c r="B5842" s="2669"/>
    </row>
    <row r="5843" spans="2:2" ht="23.25" customHeight="1">
      <c r="B5843" s="2669"/>
    </row>
    <row r="5844" spans="2:2" ht="23.25" customHeight="1">
      <c r="B5844" s="2669"/>
    </row>
    <row r="5845" spans="2:2" ht="23.25" customHeight="1">
      <c r="B5845" s="2669"/>
    </row>
    <row r="5846" spans="2:2" ht="23.25" customHeight="1">
      <c r="B5846" s="2669"/>
    </row>
    <row r="5847" spans="2:2" ht="23.25" customHeight="1">
      <c r="B5847" s="2669"/>
    </row>
    <row r="5848" spans="2:2" ht="23.25" customHeight="1">
      <c r="B5848" s="2669"/>
    </row>
    <row r="5849" spans="2:2" ht="23.25" customHeight="1">
      <c r="B5849" s="2669"/>
    </row>
    <row r="5850" spans="2:2" ht="23.25" customHeight="1">
      <c r="B5850" s="2669"/>
    </row>
    <row r="5851" spans="2:2" ht="23.25" customHeight="1">
      <c r="B5851" s="2669"/>
    </row>
    <row r="5852" spans="2:2" ht="23.25" customHeight="1">
      <c r="B5852" s="2669"/>
    </row>
    <row r="5853" spans="2:2" ht="23.25" customHeight="1">
      <c r="B5853" s="2669"/>
    </row>
    <row r="5854" spans="2:2" ht="23.25" customHeight="1">
      <c r="B5854" s="2669"/>
    </row>
    <row r="5855" spans="2:2" ht="23.25" customHeight="1">
      <c r="B5855" s="2669"/>
    </row>
    <row r="5856" spans="2:2" ht="23.25" customHeight="1">
      <c r="B5856" s="2669"/>
    </row>
    <row r="5857" spans="2:2" ht="23.25" customHeight="1">
      <c r="B5857" s="2669"/>
    </row>
    <row r="5858" spans="2:2" ht="23.25" customHeight="1">
      <c r="B5858" s="2669"/>
    </row>
    <row r="5859" spans="2:2" ht="23.25" customHeight="1">
      <c r="B5859" s="2669"/>
    </row>
    <row r="5860" spans="2:2" ht="23.25" customHeight="1">
      <c r="B5860" s="2669"/>
    </row>
    <row r="5861" spans="2:2" ht="23.25" customHeight="1">
      <c r="B5861" s="2669"/>
    </row>
    <row r="5862" spans="2:2" ht="23.25" customHeight="1">
      <c r="B5862" s="2669"/>
    </row>
    <row r="5863" spans="2:2" ht="23.25" customHeight="1">
      <c r="B5863" s="2669"/>
    </row>
    <row r="5864" spans="2:2" ht="23.25" customHeight="1">
      <c r="B5864" s="2669"/>
    </row>
    <row r="5865" spans="2:2" ht="23.25" customHeight="1">
      <c r="B5865" s="2669"/>
    </row>
    <row r="5866" spans="2:2" ht="23.25" customHeight="1">
      <c r="B5866" s="2669"/>
    </row>
    <row r="5867" spans="2:2" ht="23.25" customHeight="1">
      <c r="B5867" s="2669"/>
    </row>
    <row r="5868" spans="2:2" ht="23.25" customHeight="1">
      <c r="B5868" s="2669"/>
    </row>
    <row r="5869" spans="2:2" ht="23.25" customHeight="1">
      <c r="B5869" s="2669"/>
    </row>
    <row r="5870" spans="2:2" ht="23.25" customHeight="1">
      <c r="B5870" s="2669"/>
    </row>
    <row r="5871" spans="2:2" ht="23.25" customHeight="1">
      <c r="B5871" s="2669"/>
    </row>
    <row r="5872" spans="2:2" ht="23.25" customHeight="1">
      <c r="B5872" s="2669"/>
    </row>
    <row r="5873" spans="2:2" ht="23.25" customHeight="1">
      <c r="B5873" s="2669"/>
    </row>
    <row r="5874" spans="2:2" ht="23.25" customHeight="1">
      <c r="B5874" s="2669"/>
    </row>
    <row r="5875" spans="2:2" ht="23.25" customHeight="1">
      <c r="B5875" s="2669"/>
    </row>
    <row r="5876" spans="2:2" ht="23.25" customHeight="1">
      <c r="B5876" s="2669"/>
    </row>
    <row r="5877" spans="2:2" ht="23.25" customHeight="1">
      <c r="B5877" s="2669"/>
    </row>
    <row r="5878" spans="2:2" ht="23.25" customHeight="1">
      <c r="B5878" s="2669"/>
    </row>
    <row r="5879" spans="2:2" ht="23.25" customHeight="1">
      <c r="B5879" s="2669"/>
    </row>
    <row r="5880" spans="2:2" ht="23.25" customHeight="1">
      <c r="B5880" s="2669"/>
    </row>
    <row r="5881" spans="2:2" ht="23.25" customHeight="1">
      <c r="B5881" s="2669"/>
    </row>
    <row r="5882" spans="2:2" ht="23.25" customHeight="1">
      <c r="B5882" s="2669"/>
    </row>
    <row r="5883" spans="2:2" ht="23.25" customHeight="1">
      <c r="B5883" s="2669"/>
    </row>
    <row r="5884" spans="2:2" ht="23.25" customHeight="1">
      <c r="B5884" s="2669"/>
    </row>
    <row r="5885" spans="2:2" ht="23.25" customHeight="1">
      <c r="B5885" s="2669"/>
    </row>
    <row r="5886" spans="2:2" ht="23.25" customHeight="1">
      <c r="B5886" s="2669"/>
    </row>
    <row r="5887" spans="2:2" ht="23.25" customHeight="1">
      <c r="B5887" s="2669"/>
    </row>
    <row r="5888" spans="2:2" ht="23.25" customHeight="1">
      <c r="B5888" s="2669"/>
    </row>
    <row r="5889" spans="2:2" ht="23.25" customHeight="1">
      <c r="B5889" s="2669"/>
    </row>
    <row r="5890" spans="2:2" ht="23.25" customHeight="1">
      <c r="B5890" s="2669"/>
    </row>
    <row r="5891" spans="2:2" ht="23.25" customHeight="1">
      <c r="B5891" s="2669"/>
    </row>
    <row r="5892" spans="2:2" ht="23.25" customHeight="1">
      <c r="B5892" s="2669"/>
    </row>
    <row r="5893" spans="2:2" ht="23.25" customHeight="1">
      <c r="B5893" s="2669"/>
    </row>
    <row r="5894" spans="2:2" ht="23.25" customHeight="1">
      <c r="B5894" s="2669"/>
    </row>
    <row r="5895" spans="2:2" ht="23.25" customHeight="1">
      <c r="B5895" s="2669"/>
    </row>
    <row r="5896" spans="2:2" ht="23.25" customHeight="1">
      <c r="B5896" s="2669"/>
    </row>
    <row r="5897" spans="2:2" ht="23.25" customHeight="1">
      <c r="B5897" s="2669"/>
    </row>
    <row r="5898" spans="2:2" ht="23.25" customHeight="1">
      <c r="B5898" s="2669"/>
    </row>
    <row r="5899" spans="2:2" ht="23.25" customHeight="1">
      <c r="B5899" s="2669"/>
    </row>
    <row r="5900" spans="2:2" ht="23.25" customHeight="1">
      <c r="B5900" s="2669"/>
    </row>
    <row r="5901" spans="2:2" ht="23.25" customHeight="1">
      <c r="B5901" s="2669"/>
    </row>
    <row r="5902" spans="2:2" ht="23.25" customHeight="1">
      <c r="B5902" s="2669"/>
    </row>
    <row r="5903" spans="2:2" ht="23.25" customHeight="1">
      <c r="B5903" s="2669"/>
    </row>
    <row r="5904" spans="2:2" ht="23.25" customHeight="1">
      <c r="B5904" s="2669"/>
    </row>
    <row r="5905" spans="2:2" ht="23.25" customHeight="1">
      <c r="B5905" s="2669"/>
    </row>
    <row r="5906" spans="2:2" ht="23.25" customHeight="1">
      <c r="B5906" s="2669"/>
    </row>
    <row r="5907" spans="2:2" ht="23.25" customHeight="1">
      <c r="B5907" s="2669"/>
    </row>
    <row r="5908" spans="2:2" ht="23.25" customHeight="1">
      <c r="B5908" s="2669"/>
    </row>
    <row r="5909" spans="2:2" ht="23.25" customHeight="1">
      <c r="B5909" s="2669"/>
    </row>
    <row r="5910" spans="2:2" ht="23.25" customHeight="1">
      <c r="B5910" s="2669"/>
    </row>
    <row r="5911" spans="2:2" ht="23.25" customHeight="1">
      <c r="B5911" s="2669"/>
    </row>
    <row r="5912" spans="2:2" ht="23.25" customHeight="1">
      <c r="B5912" s="2669"/>
    </row>
    <row r="5913" spans="2:2" ht="23.25" customHeight="1">
      <c r="B5913" s="2669"/>
    </row>
    <row r="5914" spans="2:2" ht="23.25" customHeight="1">
      <c r="B5914" s="2669"/>
    </row>
    <row r="5915" spans="2:2" ht="23.25" customHeight="1">
      <c r="B5915" s="2669"/>
    </row>
    <row r="5916" spans="2:2" ht="23.25" customHeight="1">
      <c r="B5916" s="2669"/>
    </row>
    <row r="5917" spans="2:2" ht="23.25" customHeight="1">
      <c r="B5917" s="2669"/>
    </row>
    <row r="5918" spans="2:2" ht="23.25" customHeight="1">
      <c r="B5918" s="2669"/>
    </row>
    <row r="5919" spans="2:2" ht="23.25" customHeight="1">
      <c r="B5919" s="2669"/>
    </row>
    <row r="5920" spans="2:2" ht="23.25" customHeight="1">
      <c r="B5920" s="2669"/>
    </row>
    <row r="5921" spans="2:2" ht="23.25" customHeight="1">
      <c r="B5921" s="2669"/>
    </row>
    <row r="5922" spans="2:2" ht="23.25" customHeight="1">
      <c r="B5922" s="2669"/>
    </row>
    <row r="5923" spans="2:2" ht="23.25" customHeight="1">
      <c r="B5923" s="2669"/>
    </row>
    <row r="5924" spans="2:2" ht="23.25" customHeight="1">
      <c r="B5924" s="2669"/>
    </row>
    <row r="5925" spans="2:2" ht="23.25" customHeight="1">
      <c r="B5925" s="2669"/>
    </row>
    <row r="5926" spans="2:2" ht="23.25" customHeight="1">
      <c r="B5926" s="2669"/>
    </row>
    <row r="5927" spans="2:2" ht="23.25" customHeight="1">
      <c r="B5927" s="2669"/>
    </row>
    <row r="5928" spans="2:2" ht="23.25" customHeight="1">
      <c r="B5928" s="2669"/>
    </row>
    <row r="5929" spans="2:2" ht="23.25" customHeight="1">
      <c r="B5929" s="2669"/>
    </row>
    <row r="5930" spans="2:2" ht="23.25" customHeight="1">
      <c r="B5930" s="2669"/>
    </row>
    <row r="5931" spans="2:2" ht="23.25" customHeight="1">
      <c r="B5931" s="2669"/>
    </row>
    <row r="5932" spans="2:2" ht="23.25" customHeight="1">
      <c r="B5932" s="2669"/>
    </row>
    <row r="5933" spans="2:2" ht="23.25" customHeight="1">
      <c r="B5933" s="2669"/>
    </row>
    <row r="5934" spans="2:2" ht="23.25" customHeight="1">
      <c r="B5934" s="2669"/>
    </row>
    <row r="5935" spans="2:2" ht="23.25" customHeight="1">
      <c r="B5935" s="2669"/>
    </row>
    <row r="5936" spans="2:2" ht="23.25" customHeight="1">
      <c r="B5936" s="2669"/>
    </row>
    <row r="5937" spans="2:2" ht="23.25" customHeight="1">
      <c r="B5937" s="2669"/>
    </row>
    <row r="5938" spans="2:2" ht="23.25" customHeight="1">
      <c r="B5938" s="2669"/>
    </row>
    <row r="5939" spans="2:2" ht="23.25" customHeight="1">
      <c r="B5939" s="2669"/>
    </row>
    <row r="5940" spans="2:2" ht="23.25" customHeight="1">
      <c r="B5940" s="2669"/>
    </row>
    <row r="5941" spans="2:2" ht="23.25" customHeight="1">
      <c r="B5941" s="2669"/>
    </row>
    <row r="5942" spans="2:2" ht="23.25" customHeight="1">
      <c r="B5942" s="2669"/>
    </row>
    <row r="5943" spans="2:2" ht="23.25" customHeight="1">
      <c r="B5943" s="2669"/>
    </row>
    <row r="5944" spans="2:2" ht="23.25" customHeight="1">
      <c r="B5944" s="2669"/>
    </row>
    <row r="5945" spans="2:2" ht="23.25" customHeight="1">
      <c r="B5945" s="2669"/>
    </row>
    <row r="5946" spans="2:2" ht="23.25" customHeight="1">
      <c r="B5946" s="2669"/>
    </row>
    <row r="5947" spans="2:2" ht="23.25" customHeight="1">
      <c r="B5947" s="2669"/>
    </row>
    <row r="5948" spans="2:2" ht="23.25" customHeight="1">
      <c r="B5948" s="2669"/>
    </row>
    <row r="5949" spans="2:2" ht="23.25" customHeight="1">
      <c r="B5949" s="2669"/>
    </row>
    <row r="5950" spans="2:2" ht="23.25" customHeight="1">
      <c r="B5950" s="2669"/>
    </row>
    <row r="5951" spans="2:2" ht="23.25" customHeight="1">
      <c r="B5951" s="2669"/>
    </row>
    <row r="5952" spans="2:2" ht="23.25" customHeight="1">
      <c r="B5952" s="2669"/>
    </row>
    <row r="5953" spans="2:2" ht="23.25" customHeight="1">
      <c r="B5953" s="2669"/>
    </row>
    <row r="5954" spans="2:2" ht="23.25" customHeight="1">
      <c r="B5954" s="2669"/>
    </row>
    <row r="5955" spans="2:2" ht="23.25" customHeight="1">
      <c r="B5955" s="2669"/>
    </row>
    <row r="5956" spans="2:2" ht="23.25" customHeight="1">
      <c r="B5956" s="2669"/>
    </row>
    <row r="5957" spans="2:2" ht="23.25" customHeight="1">
      <c r="B5957" s="2669"/>
    </row>
    <row r="5958" spans="2:2" ht="23.25" customHeight="1">
      <c r="B5958" s="2669"/>
    </row>
    <row r="5959" spans="2:2" ht="23.25" customHeight="1">
      <c r="B5959" s="2669"/>
    </row>
    <row r="5960" spans="2:2" ht="23.25" customHeight="1">
      <c r="B5960" s="2669"/>
    </row>
    <row r="5961" spans="2:2" ht="23.25" customHeight="1">
      <c r="B5961" s="2669"/>
    </row>
    <row r="5962" spans="2:2" ht="23.25" customHeight="1">
      <c r="B5962" s="2669"/>
    </row>
    <row r="5963" spans="2:2" ht="23.25" customHeight="1">
      <c r="B5963" s="2669"/>
    </row>
    <row r="5964" spans="2:2" ht="23.25" customHeight="1">
      <c r="B5964" s="2669"/>
    </row>
    <row r="5965" spans="2:2" ht="23.25" customHeight="1">
      <c r="B5965" s="2669"/>
    </row>
    <row r="5966" spans="2:2" ht="23.25" customHeight="1">
      <c r="B5966" s="2669"/>
    </row>
    <row r="5967" spans="2:2" ht="23.25" customHeight="1">
      <c r="B5967" s="2669"/>
    </row>
    <row r="5968" spans="2:2" ht="23.25" customHeight="1">
      <c r="B5968" s="2669"/>
    </row>
    <row r="5969" spans="2:2" ht="23.25" customHeight="1">
      <c r="B5969" s="2669"/>
    </row>
    <row r="5970" spans="2:2" ht="23.25" customHeight="1">
      <c r="B5970" s="2669"/>
    </row>
    <row r="5971" spans="2:2" ht="23.25" customHeight="1">
      <c r="B5971" s="2669"/>
    </row>
    <row r="5972" spans="2:2" ht="23.25" customHeight="1">
      <c r="B5972" s="2669"/>
    </row>
    <row r="5973" spans="2:2" ht="23.25" customHeight="1">
      <c r="B5973" s="2669"/>
    </row>
    <row r="5974" spans="2:2" ht="23.25" customHeight="1">
      <c r="B5974" s="2669"/>
    </row>
    <row r="5975" spans="2:2" ht="23.25" customHeight="1">
      <c r="B5975" s="2669"/>
    </row>
    <row r="5976" spans="2:2" ht="23.25" customHeight="1">
      <c r="B5976" s="2669"/>
    </row>
    <row r="5977" spans="2:2" ht="23.25" customHeight="1">
      <c r="B5977" s="2669"/>
    </row>
    <row r="5978" spans="2:2" ht="23.25" customHeight="1">
      <c r="B5978" s="2669"/>
    </row>
    <row r="5979" spans="2:2" ht="23.25" customHeight="1">
      <c r="B5979" s="2669"/>
    </row>
    <row r="5980" spans="2:2" ht="23.25" customHeight="1">
      <c r="B5980" s="2669"/>
    </row>
    <row r="5981" spans="2:2" ht="23.25" customHeight="1">
      <c r="B5981" s="2669"/>
    </row>
    <row r="5982" spans="2:2" ht="23.25" customHeight="1">
      <c r="B5982" s="2669"/>
    </row>
    <row r="5983" spans="2:2" ht="23.25" customHeight="1">
      <c r="B5983" s="2669"/>
    </row>
    <row r="5984" spans="2:2" ht="23.25" customHeight="1">
      <c r="B5984" s="2669"/>
    </row>
    <row r="5985" spans="2:2" ht="23.25" customHeight="1">
      <c r="B5985" s="2669"/>
    </row>
    <row r="5986" spans="2:2" ht="23.25" customHeight="1">
      <c r="B5986" s="2669"/>
    </row>
    <row r="5987" spans="2:2" ht="23.25" customHeight="1">
      <c r="B5987" s="2669"/>
    </row>
    <row r="5988" spans="2:2" ht="23.25" customHeight="1">
      <c r="B5988" s="2669"/>
    </row>
    <row r="5989" spans="2:2" ht="23.25" customHeight="1">
      <c r="B5989" s="2669"/>
    </row>
    <row r="5990" spans="2:2" ht="23.25" customHeight="1">
      <c r="B5990" s="2669"/>
    </row>
    <row r="5991" spans="2:2" ht="23.25" customHeight="1">
      <c r="B5991" s="2669"/>
    </row>
    <row r="5992" spans="2:2" ht="23.25" customHeight="1">
      <c r="B5992" s="2669"/>
    </row>
    <row r="5993" spans="2:2" ht="23.25" customHeight="1">
      <c r="B5993" s="2669"/>
    </row>
    <row r="5994" spans="2:2" ht="23.25" customHeight="1">
      <c r="B5994" s="2669"/>
    </row>
    <row r="5995" spans="2:2" ht="23.25" customHeight="1">
      <c r="B5995" s="2669"/>
    </row>
    <row r="5996" spans="2:2" ht="23.25" customHeight="1">
      <c r="B5996" s="2669"/>
    </row>
    <row r="5997" spans="2:2" ht="23.25" customHeight="1">
      <c r="B5997" s="2669"/>
    </row>
    <row r="5998" spans="2:2" ht="23.25" customHeight="1">
      <c r="B5998" s="2669"/>
    </row>
    <row r="5999" spans="2:2" ht="23.25" customHeight="1">
      <c r="B5999" s="2669"/>
    </row>
    <row r="6000" spans="2:2" ht="23.25" customHeight="1">
      <c r="B6000" s="2669"/>
    </row>
    <row r="6001" spans="2:2" ht="23.25" customHeight="1">
      <c r="B6001" s="2669"/>
    </row>
    <row r="6002" spans="2:2" ht="23.25" customHeight="1">
      <c r="B6002" s="2669"/>
    </row>
    <row r="6003" spans="2:2" ht="23.25" customHeight="1">
      <c r="B6003" s="2669"/>
    </row>
    <row r="6004" spans="2:2" ht="23.25" customHeight="1">
      <c r="B6004" s="2669"/>
    </row>
    <row r="6005" spans="2:2" ht="23.25" customHeight="1">
      <c r="B6005" s="2669"/>
    </row>
    <row r="6006" spans="2:2" ht="23.25" customHeight="1">
      <c r="B6006" s="2669"/>
    </row>
    <row r="6007" spans="2:2" ht="23.25" customHeight="1">
      <c r="B6007" s="2669"/>
    </row>
    <row r="6008" spans="2:2" ht="23.25" customHeight="1">
      <c r="B6008" s="2669"/>
    </row>
    <row r="6009" spans="2:2" ht="23.25" customHeight="1">
      <c r="B6009" s="2669"/>
    </row>
    <row r="6010" spans="2:2" ht="23.25" customHeight="1">
      <c r="B6010" s="2669"/>
    </row>
    <row r="6011" spans="2:2" ht="23.25" customHeight="1">
      <c r="B6011" s="2669"/>
    </row>
    <row r="6012" spans="2:2" ht="23.25" customHeight="1">
      <c r="B6012" s="2669"/>
    </row>
    <row r="6013" spans="2:2" ht="23.25" customHeight="1">
      <c r="B6013" s="2669"/>
    </row>
    <row r="6014" spans="2:2" ht="23.25" customHeight="1">
      <c r="B6014" s="2669"/>
    </row>
    <row r="6015" spans="2:2" ht="23.25" customHeight="1">
      <c r="B6015" s="2669"/>
    </row>
    <row r="6016" spans="2:2" ht="23.25" customHeight="1">
      <c r="B6016" s="2669"/>
    </row>
    <row r="6017" spans="2:2" ht="23.25" customHeight="1">
      <c r="B6017" s="2669"/>
    </row>
    <row r="6018" spans="2:2" ht="23.25" customHeight="1">
      <c r="B6018" s="2669"/>
    </row>
    <row r="6019" spans="2:2" ht="23.25" customHeight="1">
      <c r="B6019" s="2669"/>
    </row>
    <row r="6020" spans="2:2" ht="23.25" customHeight="1">
      <c r="B6020" s="2669"/>
    </row>
    <row r="6021" spans="2:2" ht="23.25" customHeight="1">
      <c r="B6021" s="2669"/>
    </row>
    <row r="6022" spans="2:2" ht="23.25" customHeight="1">
      <c r="B6022" s="2669"/>
    </row>
    <row r="6023" spans="2:2" ht="23.25" customHeight="1">
      <c r="B6023" s="2669"/>
    </row>
    <row r="6024" spans="2:2" ht="23.25" customHeight="1">
      <c r="B6024" s="2669"/>
    </row>
    <row r="6025" spans="2:2" ht="23.25" customHeight="1">
      <c r="B6025" s="2669"/>
    </row>
    <row r="6026" spans="2:2" ht="23.25" customHeight="1">
      <c r="B6026" s="2669"/>
    </row>
    <row r="6027" spans="2:2" ht="23.25" customHeight="1">
      <c r="B6027" s="2669"/>
    </row>
    <row r="6028" spans="2:2" ht="23.25" customHeight="1">
      <c r="B6028" s="2669"/>
    </row>
    <row r="6029" spans="2:2" ht="23.25" customHeight="1">
      <c r="B6029" s="2669"/>
    </row>
    <row r="6030" spans="2:2" ht="23.25" customHeight="1">
      <c r="B6030" s="2669"/>
    </row>
    <row r="6031" spans="2:2" ht="23.25" customHeight="1">
      <c r="B6031" s="2669"/>
    </row>
    <row r="6032" spans="2:2" ht="23.25" customHeight="1">
      <c r="B6032" s="2669"/>
    </row>
    <row r="6033" spans="2:2" ht="23.25" customHeight="1">
      <c r="B6033" s="2669"/>
    </row>
    <row r="6034" spans="2:2" ht="23.25" customHeight="1">
      <c r="B6034" s="2669"/>
    </row>
    <row r="6035" spans="2:2" ht="23.25" customHeight="1">
      <c r="B6035" s="2669"/>
    </row>
    <row r="6036" spans="2:2" ht="23.25" customHeight="1">
      <c r="B6036" s="2669"/>
    </row>
    <row r="6037" spans="2:2" ht="23.25" customHeight="1">
      <c r="B6037" s="2669"/>
    </row>
    <row r="6038" spans="2:2" ht="23.25" customHeight="1">
      <c r="B6038" s="2669"/>
    </row>
    <row r="6039" spans="2:2" ht="23.25" customHeight="1">
      <c r="B6039" s="2669"/>
    </row>
    <row r="6040" spans="2:2" ht="23.25" customHeight="1">
      <c r="B6040" s="2669"/>
    </row>
    <row r="6041" spans="2:2" ht="23.25" customHeight="1">
      <c r="B6041" s="2669"/>
    </row>
    <row r="6042" spans="2:2" ht="23.25" customHeight="1">
      <c r="B6042" s="2669"/>
    </row>
    <row r="6043" spans="2:2" ht="23.25" customHeight="1">
      <c r="B6043" s="2669"/>
    </row>
    <row r="6044" spans="2:2" ht="23.25" customHeight="1">
      <c r="B6044" s="2669"/>
    </row>
    <row r="6045" spans="2:2" ht="23.25" customHeight="1">
      <c r="B6045" s="2669"/>
    </row>
    <row r="6046" spans="2:2" ht="23.25" customHeight="1">
      <c r="B6046" s="2669"/>
    </row>
    <row r="6047" spans="2:2" ht="23.25" customHeight="1">
      <c r="B6047" s="2669"/>
    </row>
    <row r="6048" spans="2:2" ht="23.25" customHeight="1">
      <c r="B6048" s="2669"/>
    </row>
    <row r="6049" spans="2:2" ht="23.25" customHeight="1">
      <c r="B6049" s="2669"/>
    </row>
    <row r="6050" spans="2:2" ht="23.25" customHeight="1">
      <c r="B6050" s="2669"/>
    </row>
    <row r="6051" spans="2:2" ht="23.25" customHeight="1">
      <c r="B6051" s="2669"/>
    </row>
    <row r="6052" spans="2:2" ht="23.25" customHeight="1">
      <c r="B6052" s="2669"/>
    </row>
    <row r="6053" spans="2:2" ht="23.25" customHeight="1">
      <c r="B6053" s="2669"/>
    </row>
    <row r="6054" spans="2:2" ht="23.25" customHeight="1">
      <c r="B6054" s="2669"/>
    </row>
    <row r="6055" spans="2:2" ht="23.25" customHeight="1">
      <c r="B6055" s="2669"/>
    </row>
    <row r="6056" spans="2:2" ht="23.25" customHeight="1">
      <c r="B6056" s="2669"/>
    </row>
    <row r="6057" spans="2:2" ht="23.25" customHeight="1">
      <c r="B6057" s="2669"/>
    </row>
    <row r="6058" spans="2:2" ht="23.25" customHeight="1">
      <c r="B6058" s="2669"/>
    </row>
    <row r="6059" spans="2:2" ht="23.25" customHeight="1">
      <c r="B6059" s="2669"/>
    </row>
    <row r="6060" spans="2:2" ht="23.25" customHeight="1">
      <c r="B6060" s="2669"/>
    </row>
    <row r="6061" spans="2:2" ht="23.25" customHeight="1">
      <c r="B6061" s="2669"/>
    </row>
    <row r="6062" spans="2:2" ht="23.25" customHeight="1">
      <c r="B6062" s="2669"/>
    </row>
    <row r="6063" spans="2:2" ht="23.25" customHeight="1">
      <c r="B6063" s="2669"/>
    </row>
    <row r="6064" spans="2:2" ht="23.25" customHeight="1">
      <c r="B6064" s="2669"/>
    </row>
    <row r="6065" spans="2:2" ht="23.25" customHeight="1">
      <c r="B6065" s="2669"/>
    </row>
    <row r="6066" spans="2:2" ht="23.25" customHeight="1">
      <c r="B6066" s="2669"/>
    </row>
    <row r="6067" spans="2:2" ht="23.25" customHeight="1">
      <c r="B6067" s="2669"/>
    </row>
    <row r="6068" spans="2:2" ht="23.25" customHeight="1">
      <c r="B6068" s="2669"/>
    </row>
    <row r="6069" spans="2:2" ht="23.25" customHeight="1">
      <c r="B6069" s="2669"/>
    </row>
    <row r="6070" spans="2:2" ht="23.25" customHeight="1">
      <c r="B6070" s="2669"/>
    </row>
    <row r="6071" spans="2:2" ht="23.25" customHeight="1">
      <c r="B6071" s="2669"/>
    </row>
    <row r="6072" spans="2:2" ht="23.25" customHeight="1">
      <c r="B6072" s="2669"/>
    </row>
    <row r="6073" spans="2:2" ht="23.25" customHeight="1">
      <c r="B6073" s="2669"/>
    </row>
    <row r="6074" spans="2:2" ht="23.25" customHeight="1">
      <c r="B6074" s="2669"/>
    </row>
    <row r="6075" spans="2:2" ht="23.25" customHeight="1">
      <c r="B6075" s="2669"/>
    </row>
    <row r="6076" spans="2:2" ht="23.25" customHeight="1">
      <c r="B6076" s="2669"/>
    </row>
    <row r="6077" spans="2:2" ht="23.25" customHeight="1">
      <c r="B6077" s="2669"/>
    </row>
    <row r="6078" spans="2:2" ht="23.25" customHeight="1">
      <c r="B6078" s="2669"/>
    </row>
    <row r="6079" spans="2:2" ht="23.25" customHeight="1">
      <c r="B6079" s="2669"/>
    </row>
    <row r="6080" spans="2:2" ht="23.25" customHeight="1">
      <c r="B6080" s="2669"/>
    </row>
    <row r="6081" spans="2:2" ht="23.25" customHeight="1">
      <c r="B6081" s="2669"/>
    </row>
    <row r="6082" spans="2:2" ht="23.25" customHeight="1">
      <c r="B6082" s="2669"/>
    </row>
    <row r="6083" spans="2:2" ht="23.25" customHeight="1">
      <c r="B6083" s="2669"/>
    </row>
    <row r="6084" spans="2:2" ht="23.25" customHeight="1">
      <c r="B6084" s="2669"/>
    </row>
    <row r="6085" spans="2:2" ht="23.25" customHeight="1">
      <c r="B6085" s="2669"/>
    </row>
    <row r="6086" spans="2:2" ht="23.25" customHeight="1">
      <c r="B6086" s="2669"/>
    </row>
    <row r="6087" spans="2:2" ht="23.25" customHeight="1">
      <c r="B6087" s="2669"/>
    </row>
    <row r="6088" spans="2:2" ht="23.25" customHeight="1">
      <c r="B6088" s="2669"/>
    </row>
    <row r="6089" spans="2:2" ht="23.25" customHeight="1">
      <c r="B6089" s="2669"/>
    </row>
    <row r="6090" spans="2:2" ht="23.25" customHeight="1">
      <c r="B6090" s="2669"/>
    </row>
    <row r="6091" spans="2:2" ht="23.25" customHeight="1">
      <c r="B6091" s="2669"/>
    </row>
    <row r="6092" spans="2:2" ht="23.25" customHeight="1">
      <c r="B6092" s="2669"/>
    </row>
    <row r="6093" spans="2:2" ht="23.25" customHeight="1">
      <c r="B6093" s="2669"/>
    </row>
    <row r="6094" spans="2:2" ht="23.25" customHeight="1">
      <c r="B6094" s="2669"/>
    </row>
    <row r="6095" spans="2:2" ht="23.25" customHeight="1">
      <c r="B6095" s="2669"/>
    </row>
    <row r="6096" spans="2:2" ht="23.25" customHeight="1">
      <c r="B6096" s="2669"/>
    </row>
    <row r="6097" spans="2:2" ht="23.25" customHeight="1">
      <c r="B6097" s="2669"/>
    </row>
    <row r="6098" spans="2:2" ht="23.25" customHeight="1">
      <c r="B6098" s="2669"/>
    </row>
    <row r="6099" spans="2:2" ht="23.25" customHeight="1">
      <c r="B6099" s="2669"/>
    </row>
    <row r="6100" spans="2:2" ht="23.25" customHeight="1">
      <c r="B6100" s="2669"/>
    </row>
    <row r="6101" spans="2:2" ht="23.25" customHeight="1">
      <c r="B6101" s="2669"/>
    </row>
    <row r="6102" spans="2:2" ht="23.25" customHeight="1">
      <c r="B6102" s="2669"/>
    </row>
    <row r="6103" spans="2:2" ht="23.25" customHeight="1">
      <c r="B6103" s="2669"/>
    </row>
    <row r="6104" spans="2:2" ht="23.25" customHeight="1">
      <c r="B6104" s="2669"/>
    </row>
    <row r="6105" spans="2:2" ht="23.25" customHeight="1">
      <c r="B6105" s="2669"/>
    </row>
    <row r="6106" spans="2:2" ht="23.25" customHeight="1">
      <c r="B6106" s="2669"/>
    </row>
    <row r="6107" spans="2:2" ht="23.25" customHeight="1">
      <c r="B6107" s="2669"/>
    </row>
    <row r="6108" spans="2:2" ht="23.25" customHeight="1">
      <c r="B6108" s="2669"/>
    </row>
    <row r="6109" spans="2:2" ht="23.25" customHeight="1">
      <c r="B6109" s="2669"/>
    </row>
    <row r="6110" spans="2:2" ht="23.25" customHeight="1">
      <c r="B6110" s="2669"/>
    </row>
    <row r="6111" spans="2:2" ht="23.25" customHeight="1">
      <c r="B6111" s="2669"/>
    </row>
    <row r="6112" spans="2:2" ht="23.25" customHeight="1">
      <c r="B6112" s="2669"/>
    </row>
    <row r="6113" spans="2:2" ht="23.25" customHeight="1">
      <c r="B6113" s="2669"/>
    </row>
    <row r="6114" spans="2:2" ht="23.25" customHeight="1">
      <c r="B6114" s="2669"/>
    </row>
    <row r="6115" spans="2:2" ht="23.25" customHeight="1">
      <c r="B6115" s="2669"/>
    </row>
    <row r="6116" spans="2:2" ht="23.25" customHeight="1">
      <c r="B6116" s="2669"/>
    </row>
    <row r="6117" spans="2:2" ht="23.25" customHeight="1">
      <c r="B6117" s="2669"/>
    </row>
    <row r="6118" spans="2:2" ht="23.25" customHeight="1">
      <c r="B6118" s="2669"/>
    </row>
    <row r="6119" spans="2:2" ht="23.25" customHeight="1">
      <c r="B6119" s="2669"/>
    </row>
    <row r="6120" spans="2:2" ht="23.25" customHeight="1">
      <c r="B6120" s="2669"/>
    </row>
    <row r="6121" spans="2:2" ht="23.25" customHeight="1">
      <c r="B6121" s="2669"/>
    </row>
    <row r="6122" spans="2:2" ht="23.25" customHeight="1">
      <c r="B6122" s="2669"/>
    </row>
    <row r="6123" spans="2:2" ht="23.25" customHeight="1">
      <c r="B6123" s="2669"/>
    </row>
    <row r="6124" spans="2:2" ht="23.25" customHeight="1">
      <c r="B6124" s="2669"/>
    </row>
    <row r="6125" spans="2:2" ht="23.25" customHeight="1">
      <c r="B6125" s="2669"/>
    </row>
    <row r="6126" spans="2:2" ht="23.25" customHeight="1">
      <c r="B6126" s="2669"/>
    </row>
    <row r="6127" spans="2:2" ht="23.25" customHeight="1">
      <c r="B6127" s="2669"/>
    </row>
    <row r="6128" spans="2:2" ht="23.25" customHeight="1">
      <c r="B6128" s="2669"/>
    </row>
    <row r="6129" spans="2:2" ht="23.25" customHeight="1">
      <c r="B6129" s="2669"/>
    </row>
    <row r="6130" spans="2:2" ht="23.25" customHeight="1">
      <c r="B6130" s="2669"/>
    </row>
    <row r="6131" spans="2:2" ht="23.25" customHeight="1">
      <c r="B6131" s="2669"/>
    </row>
    <row r="6132" spans="2:2" ht="23.25" customHeight="1">
      <c r="B6132" s="2669"/>
    </row>
    <row r="6133" spans="2:2" ht="23.25" customHeight="1">
      <c r="B6133" s="2669"/>
    </row>
    <row r="6134" spans="2:2" ht="23.25" customHeight="1">
      <c r="B6134" s="2669"/>
    </row>
    <row r="6135" spans="2:2" ht="23.25" customHeight="1">
      <c r="B6135" s="2669"/>
    </row>
    <row r="6136" spans="2:2" ht="23.25" customHeight="1">
      <c r="B6136" s="2669"/>
    </row>
    <row r="6137" spans="2:2" ht="23.25" customHeight="1">
      <c r="B6137" s="2669"/>
    </row>
    <row r="6138" spans="2:2" ht="23.25" customHeight="1">
      <c r="B6138" s="2669"/>
    </row>
    <row r="6139" spans="2:2" ht="23.25" customHeight="1">
      <c r="B6139" s="2669"/>
    </row>
    <row r="6140" spans="2:2" ht="23.25" customHeight="1">
      <c r="B6140" s="2669"/>
    </row>
    <row r="6141" spans="2:2" ht="23.25" customHeight="1">
      <c r="B6141" s="2669"/>
    </row>
    <row r="6142" spans="2:2" ht="23.25" customHeight="1">
      <c r="B6142" s="2669"/>
    </row>
    <row r="6143" spans="2:2" ht="23.25" customHeight="1">
      <c r="B6143" s="2669"/>
    </row>
    <row r="6144" spans="2:2" ht="23.25" customHeight="1">
      <c r="B6144" s="2669"/>
    </row>
    <row r="6145" spans="2:2" ht="23.25" customHeight="1">
      <c r="B6145" s="2669"/>
    </row>
    <row r="6146" spans="2:2" ht="23.25" customHeight="1">
      <c r="B6146" s="2669"/>
    </row>
    <row r="6147" spans="2:2" ht="23.25" customHeight="1">
      <c r="B6147" s="2669"/>
    </row>
    <row r="6148" spans="2:2" ht="23.25" customHeight="1">
      <c r="B6148" s="2669"/>
    </row>
    <row r="6149" spans="2:2" ht="23.25" customHeight="1">
      <c r="B6149" s="2669"/>
    </row>
    <row r="6150" spans="2:2" ht="23.25" customHeight="1">
      <c r="B6150" s="2669"/>
    </row>
    <row r="6151" spans="2:2" ht="23.25" customHeight="1">
      <c r="B6151" s="2669"/>
    </row>
    <row r="6152" spans="2:2" ht="23.25" customHeight="1">
      <c r="B6152" s="2669"/>
    </row>
    <row r="6153" spans="2:2" ht="23.25" customHeight="1">
      <c r="B6153" s="2669"/>
    </row>
    <row r="6154" spans="2:2" ht="23.25" customHeight="1">
      <c r="B6154" s="2669"/>
    </row>
    <row r="6155" spans="2:2" ht="23.25" customHeight="1">
      <c r="B6155" s="2669"/>
    </row>
    <row r="6156" spans="2:2" ht="23.25" customHeight="1">
      <c r="B6156" s="2669"/>
    </row>
    <row r="6157" spans="2:2" ht="23.25" customHeight="1">
      <c r="B6157" s="2669"/>
    </row>
    <row r="6158" spans="2:2" ht="23.25" customHeight="1">
      <c r="B6158" s="2669"/>
    </row>
    <row r="6159" spans="2:2" ht="23.25" customHeight="1">
      <c r="B6159" s="2669"/>
    </row>
    <row r="6160" spans="2:2" ht="23.25" customHeight="1">
      <c r="B6160" s="2669"/>
    </row>
    <row r="6161" spans="2:2" ht="23.25" customHeight="1">
      <c r="B6161" s="2669"/>
    </row>
    <row r="6162" spans="2:2" ht="23.25" customHeight="1">
      <c r="B6162" s="2669"/>
    </row>
    <row r="6163" spans="2:2" ht="23.25" customHeight="1">
      <c r="B6163" s="2669"/>
    </row>
    <row r="6164" spans="2:2" ht="23.25" customHeight="1">
      <c r="B6164" s="2669"/>
    </row>
    <row r="6165" spans="2:2" ht="23.25" customHeight="1">
      <c r="B6165" s="2669"/>
    </row>
    <row r="6166" spans="2:2" ht="23.25" customHeight="1">
      <c r="B6166" s="2669"/>
    </row>
    <row r="6167" spans="2:2" ht="23.25" customHeight="1">
      <c r="B6167" s="2669"/>
    </row>
    <row r="6168" spans="2:2" ht="23.25" customHeight="1">
      <c r="B6168" s="2669"/>
    </row>
    <row r="6169" spans="2:2" ht="23.25" customHeight="1">
      <c r="B6169" s="2669"/>
    </row>
    <row r="6170" spans="2:2" ht="23.25" customHeight="1">
      <c r="B6170" s="2669"/>
    </row>
    <row r="6171" spans="2:2" ht="23.25" customHeight="1">
      <c r="B6171" s="2669"/>
    </row>
    <row r="6172" spans="2:2" ht="23.25" customHeight="1">
      <c r="B6172" s="2669"/>
    </row>
    <row r="6173" spans="2:2" ht="23.25" customHeight="1">
      <c r="B6173" s="2669"/>
    </row>
    <row r="6174" spans="2:2" ht="23.25" customHeight="1">
      <c r="B6174" s="2669"/>
    </row>
    <row r="6175" spans="2:2" ht="23.25" customHeight="1">
      <c r="B6175" s="2669"/>
    </row>
    <row r="6176" spans="2:2" ht="23.25" customHeight="1">
      <c r="B6176" s="2669"/>
    </row>
    <row r="6177" spans="2:2" ht="23.25" customHeight="1">
      <c r="B6177" s="2669"/>
    </row>
    <row r="6178" spans="2:2" ht="23.25" customHeight="1">
      <c r="B6178" s="2669"/>
    </row>
    <row r="6179" spans="2:2" ht="23.25" customHeight="1">
      <c r="B6179" s="2669"/>
    </row>
    <row r="6180" spans="2:2" ht="23.25" customHeight="1">
      <c r="B6180" s="2669"/>
    </row>
    <row r="6181" spans="2:2" ht="23.25" customHeight="1">
      <c r="B6181" s="2669"/>
    </row>
    <row r="6182" spans="2:2" ht="23.25" customHeight="1">
      <c r="B6182" s="2669"/>
    </row>
    <row r="6183" spans="2:2" ht="23.25" customHeight="1">
      <c r="B6183" s="2669"/>
    </row>
    <row r="6184" spans="2:2" ht="23.25" customHeight="1">
      <c r="B6184" s="2669"/>
    </row>
    <row r="6185" spans="2:2" ht="23.25" customHeight="1">
      <c r="B6185" s="2669"/>
    </row>
    <row r="6186" spans="2:2" ht="23.25" customHeight="1">
      <c r="B6186" s="2669"/>
    </row>
    <row r="6187" spans="2:2" ht="23.25" customHeight="1">
      <c r="B6187" s="2669"/>
    </row>
    <row r="6188" spans="2:2" ht="23.25" customHeight="1">
      <c r="B6188" s="2669"/>
    </row>
    <row r="6189" spans="2:2" ht="23.25" customHeight="1">
      <c r="B6189" s="2669"/>
    </row>
    <row r="6190" spans="2:2" ht="23.25" customHeight="1">
      <c r="B6190" s="2669"/>
    </row>
    <row r="6191" spans="2:2" ht="23.25" customHeight="1">
      <c r="B6191" s="2669"/>
    </row>
    <row r="6192" spans="2:2" ht="23.25" customHeight="1">
      <c r="B6192" s="2669"/>
    </row>
    <row r="6193" spans="2:2" ht="23.25" customHeight="1">
      <c r="B6193" s="2669"/>
    </row>
    <row r="6194" spans="2:2" ht="23.25" customHeight="1">
      <c r="B6194" s="2669"/>
    </row>
    <row r="6195" spans="2:2" ht="23.25" customHeight="1">
      <c r="B6195" s="2669"/>
    </row>
    <row r="6196" spans="2:2" ht="23.25" customHeight="1">
      <c r="B6196" s="2669"/>
    </row>
    <row r="6197" spans="2:2" ht="23.25" customHeight="1">
      <c r="B6197" s="2669"/>
    </row>
    <row r="6198" spans="2:2" ht="23.25" customHeight="1">
      <c r="B6198" s="2669"/>
    </row>
    <row r="6199" spans="2:2" ht="23.25" customHeight="1">
      <c r="B6199" s="2669"/>
    </row>
    <row r="6200" spans="2:2" ht="23.25" customHeight="1">
      <c r="B6200" s="2669"/>
    </row>
    <row r="6201" spans="2:2" ht="23.25" customHeight="1">
      <c r="B6201" s="2669"/>
    </row>
    <row r="6202" spans="2:2" ht="23.25" customHeight="1">
      <c r="B6202" s="2669"/>
    </row>
    <row r="6203" spans="2:2" ht="23.25" customHeight="1">
      <c r="B6203" s="2669"/>
    </row>
    <row r="6204" spans="2:2" ht="23.25" customHeight="1">
      <c r="B6204" s="2669"/>
    </row>
    <row r="6205" spans="2:2" ht="23.25" customHeight="1">
      <c r="B6205" s="2669"/>
    </row>
    <row r="6206" spans="2:2" ht="23.25" customHeight="1">
      <c r="B6206" s="2669"/>
    </row>
    <row r="6207" spans="2:2" ht="23.25" customHeight="1">
      <c r="B6207" s="2669"/>
    </row>
    <row r="6208" spans="2:2" ht="23.25" customHeight="1">
      <c r="B6208" s="2669"/>
    </row>
    <row r="6209" spans="2:2" ht="23.25" customHeight="1">
      <c r="B6209" s="2669"/>
    </row>
    <row r="6210" spans="2:2" ht="23.25" customHeight="1">
      <c r="B6210" s="2669"/>
    </row>
    <row r="6211" spans="2:2" ht="23.25" customHeight="1">
      <c r="B6211" s="2669"/>
    </row>
    <row r="6212" spans="2:2" ht="23.25" customHeight="1">
      <c r="B6212" s="2669"/>
    </row>
    <row r="6213" spans="2:2" ht="23.25" customHeight="1">
      <c r="B6213" s="2669"/>
    </row>
    <row r="6214" spans="2:2" ht="23.25" customHeight="1">
      <c r="B6214" s="2669"/>
    </row>
    <row r="6215" spans="2:2" ht="23.25" customHeight="1">
      <c r="B6215" s="2669"/>
    </row>
    <row r="6216" spans="2:2" ht="23.25" customHeight="1">
      <c r="B6216" s="2669"/>
    </row>
    <row r="6217" spans="2:2" ht="23.25" customHeight="1">
      <c r="B6217" s="2669"/>
    </row>
    <row r="6218" spans="2:2" ht="23.25" customHeight="1">
      <c r="B6218" s="2669"/>
    </row>
    <row r="6219" spans="2:2" ht="23.25" customHeight="1">
      <c r="B6219" s="2669"/>
    </row>
    <row r="6220" spans="2:2" ht="23.25" customHeight="1">
      <c r="B6220" s="2669"/>
    </row>
    <row r="6221" spans="2:2" ht="23.25" customHeight="1">
      <c r="B6221" s="2669"/>
    </row>
    <row r="6222" spans="2:2" ht="23.25" customHeight="1">
      <c r="B6222" s="2669"/>
    </row>
    <row r="6223" spans="2:2" ht="23.25" customHeight="1">
      <c r="B6223" s="2669"/>
    </row>
    <row r="6224" spans="2:2" ht="23.25" customHeight="1">
      <c r="B6224" s="2669"/>
    </row>
    <row r="6225" spans="2:2" ht="23.25" customHeight="1">
      <c r="B6225" s="2669"/>
    </row>
    <row r="6226" spans="2:2" ht="23.25" customHeight="1">
      <c r="B6226" s="2669"/>
    </row>
    <row r="6227" spans="2:2" ht="23.25" customHeight="1">
      <c r="B6227" s="2669"/>
    </row>
    <row r="6228" spans="2:2" ht="23.25" customHeight="1">
      <c r="B6228" s="2669"/>
    </row>
    <row r="6229" spans="2:2" ht="23.25" customHeight="1">
      <c r="B6229" s="2669"/>
    </row>
    <row r="6230" spans="2:2" ht="23.25" customHeight="1">
      <c r="B6230" s="2669"/>
    </row>
    <row r="6231" spans="2:2" ht="23.25" customHeight="1">
      <c r="B6231" s="2669"/>
    </row>
    <row r="6232" spans="2:2" ht="23.25" customHeight="1">
      <c r="B6232" s="2669"/>
    </row>
    <row r="6233" spans="2:2" ht="23.25" customHeight="1">
      <c r="B6233" s="2669"/>
    </row>
    <row r="6234" spans="2:2" ht="23.25" customHeight="1">
      <c r="B6234" s="2669"/>
    </row>
    <row r="6235" spans="2:2" ht="23.25" customHeight="1">
      <c r="B6235" s="2669"/>
    </row>
    <row r="6236" spans="2:2" ht="23.25" customHeight="1">
      <c r="B6236" s="2669"/>
    </row>
    <row r="6237" spans="2:2" ht="23.25" customHeight="1">
      <c r="B6237" s="2669"/>
    </row>
    <row r="6238" spans="2:2" ht="23.25" customHeight="1">
      <c r="B6238" s="2669"/>
    </row>
    <row r="6239" spans="2:2" ht="23.25" customHeight="1">
      <c r="B6239" s="2669"/>
    </row>
    <row r="6240" spans="2:2" ht="23.25" customHeight="1">
      <c r="B6240" s="2669"/>
    </row>
    <row r="6241" spans="2:2" ht="23.25" customHeight="1">
      <c r="B6241" s="2669"/>
    </row>
    <row r="6242" spans="2:2" ht="23.25" customHeight="1">
      <c r="B6242" s="2669"/>
    </row>
    <row r="6243" spans="2:2" ht="23.25" customHeight="1">
      <c r="B6243" s="2669"/>
    </row>
    <row r="6244" spans="2:2" ht="23.25" customHeight="1">
      <c r="B6244" s="2669"/>
    </row>
    <row r="6245" spans="2:2" ht="23.25" customHeight="1">
      <c r="B6245" s="2669"/>
    </row>
    <row r="6246" spans="2:2" ht="23.25" customHeight="1">
      <c r="B6246" s="2669"/>
    </row>
    <row r="6247" spans="2:2" ht="23.25" customHeight="1">
      <c r="B6247" s="2669"/>
    </row>
    <row r="6248" spans="2:2" ht="23.25" customHeight="1">
      <c r="B6248" s="2669"/>
    </row>
    <row r="6249" spans="2:2" ht="23.25" customHeight="1">
      <c r="B6249" s="2669"/>
    </row>
    <row r="6250" spans="2:2" ht="23.25" customHeight="1">
      <c r="B6250" s="2669"/>
    </row>
    <row r="6251" spans="2:2" ht="23.25" customHeight="1">
      <c r="B6251" s="2669"/>
    </row>
    <row r="6252" spans="2:2" ht="23.25" customHeight="1">
      <c r="B6252" s="2669"/>
    </row>
    <row r="6253" spans="2:2" ht="23.25" customHeight="1">
      <c r="B6253" s="2669"/>
    </row>
    <row r="6254" spans="2:2" ht="23.25" customHeight="1">
      <c r="B6254" s="2669"/>
    </row>
    <row r="6255" spans="2:2" ht="23.25" customHeight="1">
      <c r="B6255" s="2669"/>
    </row>
    <row r="6256" spans="2:2" ht="23.25" customHeight="1">
      <c r="B6256" s="2669"/>
    </row>
    <row r="6257" spans="2:2" ht="23.25" customHeight="1">
      <c r="B6257" s="2669"/>
    </row>
    <row r="6258" spans="2:2" ht="23.25" customHeight="1">
      <c r="B6258" s="2669"/>
    </row>
    <row r="6259" spans="2:2" ht="23.25" customHeight="1">
      <c r="B6259" s="2669"/>
    </row>
    <row r="6260" spans="2:2" ht="23.25" customHeight="1">
      <c r="B6260" s="2669"/>
    </row>
    <row r="6261" spans="2:2" ht="23.25" customHeight="1">
      <c r="B6261" s="2669"/>
    </row>
    <row r="6262" spans="2:2" ht="23.25" customHeight="1">
      <c r="B6262" s="2669"/>
    </row>
    <row r="6263" spans="2:2" ht="23.25" customHeight="1">
      <c r="B6263" s="2669"/>
    </row>
    <row r="6264" spans="2:2" ht="23.25" customHeight="1">
      <c r="B6264" s="2669"/>
    </row>
    <row r="6265" spans="2:2" ht="23.25" customHeight="1">
      <c r="B6265" s="2669"/>
    </row>
    <row r="6266" spans="2:2" ht="23.25" customHeight="1">
      <c r="B6266" s="2669"/>
    </row>
    <row r="6267" spans="2:2" ht="23.25" customHeight="1">
      <c r="B6267" s="2669"/>
    </row>
    <row r="6268" spans="2:2" ht="23.25" customHeight="1">
      <c r="B6268" s="2669"/>
    </row>
    <row r="6269" spans="2:2" ht="23.25" customHeight="1">
      <c r="B6269" s="2669"/>
    </row>
    <row r="6270" spans="2:2" ht="23.25" customHeight="1">
      <c r="B6270" s="2669"/>
    </row>
    <row r="6271" spans="2:2" ht="23.25" customHeight="1">
      <c r="B6271" s="2669"/>
    </row>
    <row r="6272" spans="2:2" ht="23.25" customHeight="1">
      <c r="B6272" s="2669"/>
    </row>
    <row r="6273" spans="2:2" ht="23.25" customHeight="1">
      <c r="B6273" s="2669"/>
    </row>
    <row r="6274" spans="2:2" ht="23.25" customHeight="1">
      <c r="B6274" s="2669"/>
    </row>
    <row r="6275" spans="2:2" ht="23.25" customHeight="1">
      <c r="B6275" s="2669"/>
    </row>
    <row r="6276" spans="2:2" ht="23.25" customHeight="1">
      <c r="B6276" s="2669"/>
    </row>
    <row r="6277" spans="2:2" ht="23.25" customHeight="1">
      <c r="B6277" s="2669"/>
    </row>
    <row r="6278" spans="2:2" ht="23.25" customHeight="1">
      <c r="B6278" s="2669"/>
    </row>
    <row r="6279" spans="2:2" ht="23.25" customHeight="1">
      <c r="B6279" s="2669"/>
    </row>
    <row r="6280" spans="2:2" ht="23.25" customHeight="1">
      <c r="B6280" s="2669"/>
    </row>
    <row r="6281" spans="2:2" ht="23.25" customHeight="1">
      <c r="B6281" s="2669"/>
    </row>
    <row r="6282" spans="2:2" ht="23.25" customHeight="1">
      <c r="B6282" s="2669"/>
    </row>
    <row r="6283" spans="2:2" ht="23.25" customHeight="1">
      <c r="B6283" s="2669"/>
    </row>
    <row r="6284" spans="2:2" ht="23.25" customHeight="1">
      <c r="B6284" s="2669"/>
    </row>
    <row r="6285" spans="2:2" ht="23.25" customHeight="1">
      <c r="B6285" s="2669"/>
    </row>
    <row r="6286" spans="2:2" ht="23.25" customHeight="1">
      <c r="B6286" s="2669"/>
    </row>
    <row r="6287" spans="2:2" ht="23.25" customHeight="1">
      <c r="B6287" s="2669"/>
    </row>
    <row r="6288" spans="2:2" ht="23.25" customHeight="1">
      <c r="B6288" s="2669"/>
    </row>
    <row r="6289" spans="2:2" ht="23.25" customHeight="1">
      <c r="B6289" s="2669"/>
    </row>
    <row r="6290" spans="2:2" ht="23.25" customHeight="1">
      <c r="B6290" s="2669"/>
    </row>
    <row r="6291" spans="2:2" ht="23.25" customHeight="1">
      <c r="B6291" s="2669"/>
    </row>
    <row r="6292" spans="2:2" ht="23.25" customHeight="1">
      <c r="B6292" s="2669"/>
    </row>
    <row r="6293" spans="2:2" ht="23.25" customHeight="1">
      <c r="B6293" s="2669"/>
    </row>
    <row r="6294" spans="2:2" ht="23.25" customHeight="1">
      <c r="B6294" s="2669"/>
    </row>
    <row r="6295" spans="2:2" ht="23.25" customHeight="1">
      <c r="B6295" s="2669"/>
    </row>
    <row r="6296" spans="2:2" ht="23.25" customHeight="1">
      <c r="B6296" s="2669"/>
    </row>
    <row r="6297" spans="2:2" ht="23.25" customHeight="1">
      <c r="B6297" s="2669"/>
    </row>
    <row r="6298" spans="2:2" ht="23.25" customHeight="1">
      <c r="B6298" s="2669"/>
    </row>
    <row r="6299" spans="2:2" ht="23.25" customHeight="1">
      <c r="B6299" s="2669"/>
    </row>
    <row r="6300" spans="2:2" ht="23.25" customHeight="1">
      <c r="B6300" s="2669"/>
    </row>
    <row r="6301" spans="2:2" ht="23.25" customHeight="1">
      <c r="B6301" s="2669"/>
    </row>
    <row r="6302" spans="2:2" ht="23.25" customHeight="1">
      <c r="B6302" s="2669"/>
    </row>
    <row r="6303" spans="2:2" ht="23.25" customHeight="1">
      <c r="B6303" s="2669"/>
    </row>
    <row r="6304" spans="2:2" ht="23.25" customHeight="1">
      <c r="B6304" s="2669"/>
    </row>
    <row r="6305" spans="2:2" ht="23.25" customHeight="1">
      <c r="B6305" s="2669"/>
    </row>
    <row r="6306" spans="2:2" ht="23.25" customHeight="1">
      <c r="B6306" s="2669"/>
    </row>
    <row r="6307" spans="2:2" ht="23.25" customHeight="1">
      <c r="B6307" s="2669"/>
    </row>
    <row r="6308" spans="2:2" ht="23.25" customHeight="1">
      <c r="B6308" s="2669"/>
    </row>
    <row r="6309" spans="2:2" ht="23.25" customHeight="1">
      <c r="B6309" s="2669"/>
    </row>
    <row r="6310" spans="2:2" ht="23.25" customHeight="1">
      <c r="B6310" s="2669"/>
    </row>
    <row r="6311" spans="2:2" ht="23.25" customHeight="1">
      <c r="B6311" s="2669"/>
    </row>
    <row r="6312" spans="2:2" ht="23.25" customHeight="1">
      <c r="B6312" s="2669"/>
    </row>
    <row r="6313" spans="2:2" ht="23.25" customHeight="1">
      <c r="B6313" s="2669"/>
    </row>
    <row r="6314" spans="2:2" ht="23.25" customHeight="1">
      <c r="B6314" s="2669"/>
    </row>
    <row r="6315" spans="2:2" ht="23.25" customHeight="1">
      <c r="B6315" s="2669"/>
    </row>
    <row r="6316" spans="2:2" ht="23.25" customHeight="1">
      <c r="B6316" s="2669"/>
    </row>
    <row r="6317" spans="2:2" ht="23.25" customHeight="1">
      <c r="B6317" s="2669"/>
    </row>
    <row r="6318" spans="2:2" ht="23.25" customHeight="1">
      <c r="B6318" s="2669"/>
    </row>
    <row r="6319" spans="2:2" ht="23.25" customHeight="1">
      <c r="B6319" s="2669"/>
    </row>
    <row r="6320" spans="2:2" ht="23.25" customHeight="1">
      <c r="B6320" s="2669"/>
    </row>
    <row r="6321" spans="2:2" ht="23.25" customHeight="1">
      <c r="B6321" s="2669"/>
    </row>
    <row r="6322" spans="2:2" ht="23.25" customHeight="1">
      <c r="B6322" s="2669"/>
    </row>
    <row r="6323" spans="2:2" ht="23.25" customHeight="1">
      <c r="B6323" s="2669"/>
    </row>
    <row r="6324" spans="2:2" ht="23.25" customHeight="1">
      <c r="B6324" s="2669"/>
    </row>
    <row r="6325" spans="2:2" ht="23.25" customHeight="1">
      <c r="B6325" s="2669"/>
    </row>
    <row r="6326" spans="2:2" ht="23.25" customHeight="1">
      <c r="B6326" s="2669"/>
    </row>
    <row r="6327" spans="2:2" ht="23.25" customHeight="1">
      <c r="B6327" s="2669"/>
    </row>
    <row r="6328" spans="2:2" ht="23.25" customHeight="1">
      <c r="B6328" s="2669"/>
    </row>
    <row r="6329" spans="2:2" ht="23.25" customHeight="1">
      <c r="B6329" s="2669"/>
    </row>
    <row r="6330" spans="2:2" ht="23.25" customHeight="1">
      <c r="B6330" s="2669"/>
    </row>
    <row r="6331" spans="2:2" ht="23.25" customHeight="1">
      <c r="B6331" s="2669"/>
    </row>
    <row r="6332" spans="2:2" ht="23.25" customHeight="1">
      <c r="B6332" s="2669"/>
    </row>
    <row r="6333" spans="2:2" ht="23.25" customHeight="1">
      <c r="B6333" s="2669"/>
    </row>
    <row r="6334" spans="2:2" ht="23.25" customHeight="1">
      <c r="B6334" s="2669"/>
    </row>
    <row r="6335" spans="2:2" ht="23.25" customHeight="1">
      <c r="B6335" s="2669"/>
    </row>
    <row r="6336" spans="2:2" ht="23.25" customHeight="1">
      <c r="B6336" s="2669"/>
    </row>
    <row r="6337" spans="2:2" ht="23.25" customHeight="1">
      <c r="B6337" s="2669"/>
    </row>
    <row r="6338" spans="2:2" ht="23.25" customHeight="1">
      <c r="B6338" s="2669"/>
    </row>
    <row r="6339" spans="2:2" ht="23.25" customHeight="1">
      <c r="B6339" s="2669"/>
    </row>
    <row r="6340" spans="2:2" ht="23.25" customHeight="1">
      <c r="B6340" s="2669"/>
    </row>
    <row r="6341" spans="2:2" ht="23.25" customHeight="1">
      <c r="B6341" s="2669"/>
    </row>
    <row r="6342" spans="2:2" ht="23.25" customHeight="1">
      <c r="B6342" s="2669"/>
    </row>
    <row r="6343" spans="2:2" ht="23.25" customHeight="1">
      <c r="B6343" s="2669"/>
    </row>
    <row r="6344" spans="2:2" ht="23.25" customHeight="1">
      <c r="B6344" s="2669"/>
    </row>
    <row r="6345" spans="2:2" ht="23.25" customHeight="1">
      <c r="B6345" s="2669"/>
    </row>
    <row r="6346" spans="2:2" ht="23.25" customHeight="1">
      <c r="B6346" s="2669"/>
    </row>
    <row r="6347" spans="2:2" ht="23.25" customHeight="1">
      <c r="B6347" s="2669"/>
    </row>
    <row r="6348" spans="2:2" ht="23.25" customHeight="1">
      <c r="B6348" s="2669"/>
    </row>
    <row r="6349" spans="2:2" ht="23.25" customHeight="1">
      <c r="B6349" s="2669"/>
    </row>
    <row r="6350" spans="2:2" ht="23.25" customHeight="1">
      <c r="B6350" s="2669"/>
    </row>
    <row r="6351" spans="2:2" ht="23.25" customHeight="1">
      <c r="B6351" s="2669"/>
    </row>
    <row r="6352" spans="2:2" ht="23.25" customHeight="1">
      <c r="B6352" s="2669"/>
    </row>
    <row r="6353" spans="2:2" ht="23.25" customHeight="1">
      <c r="B6353" s="2669"/>
    </row>
    <row r="6354" spans="2:2" ht="23.25" customHeight="1">
      <c r="B6354" s="2669"/>
    </row>
    <row r="6355" spans="2:2" ht="23.25" customHeight="1">
      <c r="B6355" s="2669"/>
    </row>
    <row r="6356" spans="2:2" ht="23.25" customHeight="1">
      <c r="B6356" s="2669"/>
    </row>
    <row r="6357" spans="2:2" ht="23.25" customHeight="1">
      <c r="B6357" s="2669"/>
    </row>
    <row r="6358" spans="2:2" ht="23.25" customHeight="1">
      <c r="B6358" s="2669"/>
    </row>
    <row r="6359" spans="2:2" ht="23.25" customHeight="1">
      <c r="B6359" s="2669"/>
    </row>
    <row r="6360" spans="2:2" ht="23.25" customHeight="1">
      <c r="B6360" s="2669"/>
    </row>
    <row r="6361" spans="2:2" ht="23.25" customHeight="1">
      <c r="B6361" s="2669"/>
    </row>
    <row r="6362" spans="2:2" ht="23.25" customHeight="1">
      <c r="B6362" s="2669"/>
    </row>
    <row r="6363" spans="2:2" ht="23.25" customHeight="1">
      <c r="B6363" s="2669"/>
    </row>
    <row r="6364" spans="2:2" ht="23.25" customHeight="1">
      <c r="B6364" s="2669"/>
    </row>
    <row r="6365" spans="2:2" ht="23.25" customHeight="1">
      <c r="B6365" s="2669"/>
    </row>
    <row r="6366" spans="2:2" ht="23.25" customHeight="1">
      <c r="B6366" s="2669"/>
    </row>
    <row r="6367" spans="2:2" ht="23.25" customHeight="1">
      <c r="B6367" s="2669"/>
    </row>
    <row r="6368" spans="2:2" ht="23.25" customHeight="1">
      <c r="B6368" s="2669"/>
    </row>
    <row r="6369" spans="2:2" ht="23.25" customHeight="1">
      <c r="B6369" s="2669"/>
    </row>
    <row r="6370" spans="2:2" ht="23.25" customHeight="1">
      <c r="B6370" s="2669"/>
    </row>
    <row r="6371" spans="2:2" ht="23.25" customHeight="1">
      <c r="B6371" s="2669"/>
    </row>
    <row r="6372" spans="2:2" ht="23.25" customHeight="1">
      <c r="B6372" s="2669"/>
    </row>
    <row r="6373" spans="2:2" ht="23.25" customHeight="1">
      <c r="B6373" s="2669"/>
    </row>
    <row r="6374" spans="2:2" ht="23.25" customHeight="1">
      <c r="B6374" s="2669"/>
    </row>
    <row r="6375" spans="2:2" ht="23.25" customHeight="1">
      <c r="B6375" s="2669"/>
    </row>
    <row r="6376" spans="2:2" ht="23.25" customHeight="1">
      <c r="B6376" s="2669"/>
    </row>
    <row r="6377" spans="2:2" ht="23.25" customHeight="1">
      <c r="B6377" s="2669"/>
    </row>
    <row r="6378" spans="2:2" ht="23.25" customHeight="1">
      <c r="B6378" s="2669"/>
    </row>
    <row r="6379" spans="2:2" ht="23.25" customHeight="1">
      <c r="B6379" s="2669"/>
    </row>
    <row r="6380" spans="2:2" ht="23.25" customHeight="1">
      <c r="B6380" s="2669"/>
    </row>
    <row r="6381" spans="2:2" ht="23.25" customHeight="1">
      <c r="B6381" s="2669"/>
    </row>
    <row r="6382" spans="2:2" ht="23.25" customHeight="1">
      <c r="B6382" s="2669"/>
    </row>
    <row r="6383" spans="2:2" ht="23.25" customHeight="1">
      <c r="B6383" s="2669"/>
    </row>
    <row r="6384" spans="2:2" ht="23.25" customHeight="1">
      <c r="B6384" s="2669"/>
    </row>
    <row r="6385" spans="2:2" ht="23.25" customHeight="1">
      <c r="B6385" s="2669"/>
    </row>
    <row r="6386" spans="2:2" ht="23.25" customHeight="1">
      <c r="B6386" s="2669"/>
    </row>
    <row r="6387" spans="2:2" ht="23.25" customHeight="1">
      <c r="B6387" s="2669"/>
    </row>
    <row r="6388" spans="2:2" ht="23.25" customHeight="1">
      <c r="B6388" s="2669"/>
    </row>
    <row r="6389" spans="2:2" ht="23.25" customHeight="1">
      <c r="B6389" s="2669"/>
    </row>
    <row r="6390" spans="2:2" ht="23.25" customHeight="1">
      <c r="B6390" s="2669"/>
    </row>
    <row r="6391" spans="2:2" ht="23.25" customHeight="1">
      <c r="B6391" s="2669"/>
    </row>
    <row r="6392" spans="2:2" ht="23.25" customHeight="1">
      <c r="B6392" s="2669"/>
    </row>
    <row r="6393" spans="2:2" ht="23.25" customHeight="1">
      <c r="B6393" s="2669"/>
    </row>
    <row r="6394" spans="2:2" ht="23.25" customHeight="1">
      <c r="B6394" s="2669"/>
    </row>
    <row r="6395" spans="2:2" ht="23.25" customHeight="1">
      <c r="B6395" s="2669"/>
    </row>
    <row r="6396" spans="2:2" ht="23.25" customHeight="1">
      <c r="B6396" s="2669"/>
    </row>
    <row r="6397" spans="2:2" ht="23.25" customHeight="1">
      <c r="B6397" s="2669"/>
    </row>
    <row r="6398" spans="2:2" ht="23.25" customHeight="1">
      <c r="B6398" s="2669"/>
    </row>
    <row r="6399" spans="2:2" ht="23.25" customHeight="1">
      <c r="B6399" s="2669"/>
    </row>
    <row r="6400" spans="2:2" ht="23.25" customHeight="1">
      <c r="B6400" s="2669"/>
    </row>
    <row r="6401" spans="2:2" ht="23.25" customHeight="1">
      <c r="B6401" s="2669"/>
    </row>
    <row r="6402" spans="2:2" ht="23.25" customHeight="1">
      <c r="B6402" s="2669"/>
    </row>
    <row r="6403" spans="2:2" ht="23.25" customHeight="1">
      <c r="B6403" s="2669"/>
    </row>
    <row r="6404" spans="2:2" ht="23.25" customHeight="1">
      <c r="B6404" s="2669"/>
    </row>
    <row r="6405" spans="2:2" ht="23.25" customHeight="1">
      <c r="B6405" s="2669"/>
    </row>
    <row r="6406" spans="2:2" ht="23.25" customHeight="1">
      <c r="B6406" s="2669"/>
    </row>
    <row r="6407" spans="2:2" ht="23.25" customHeight="1">
      <c r="B6407" s="2669"/>
    </row>
    <row r="6408" spans="2:2" ht="23.25" customHeight="1">
      <c r="B6408" s="2669"/>
    </row>
    <row r="6409" spans="2:2" ht="23.25" customHeight="1">
      <c r="B6409" s="2669"/>
    </row>
    <row r="6410" spans="2:2" ht="23.25" customHeight="1">
      <c r="B6410" s="2669"/>
    </row>
    <row r="6411" spans="2:2" ht="23.25" customHeight="1">
      <c r="B6411" s="2669"/>
    </row>
    <row r="6412" spans="2:2" ht="23.25" customHeight="1">
      <c r="B6412" s="2669"/>
    </row>
    <row r="6413" spans="2:2" ht="23.25" customHeight="1">
      <c r="B6413" s="2669"/>
    </row>
    <row r="6414" spans="2:2" ht="23.25" customHeight="1">
      <c r="B6414" s="2669"/>
    </row>
    <row r="6415" spans="2:2" ht="23.25" customHeight="1">
      <c r="B6415" s="2669"/>
    </row>
    <row r="6416" spans="2:2" ht="23.25" customHeight="1">
      <c r="B6416" s="2669"/>
    </row>
    <row r="6417" spans="2:2" ht="23.25" customHeight="1">
      <c r="B6417" s="2669"/>
    </row>
    <row r="6418" spans="2:2" ht="23.25" customHeight="1">
      <c r="B6418" s="2669"/>
    </row>
    <row r="6419" spans="2:2" ht="23.25" customHeight="1">
      <c r="B6419" s="2669"/>
    </row>
    <row r="6420" spans="2:2" ht="23.25" customHeight="1">
      <c r="B6420" s="2669"/>
    </row>
    <row r="6421" spans="2:2" ht="23.25" customHeight="1">
      <c r="B6421" s="2669"/>
    </row>
    <row r="6422" spans="2:2" ht="23.25" customHeight="1">
      <c r="B6422" s="2669"/>
    </row>
    <row r="6423" spans="2:2" ht="23.25" customHeight="1">
      <c r="B6423" s="2669"/>
    </row>
    <row r="6424" spans="2:2" ht="23.25" customHeight="1">
      <c r="B6424" s="2669"/>
    </row>
    <row r="6425" spans="2:2" ht="23.25" customHeight="1">
      <c r="B6425" s="2669"/>
    </row>
    <row r="6426" spans="2:2" ht="23.25" customHeight="1">
      <c r="B6426" s="2669"/>
    </row>
    <row r="6427" spans="2:2" ht="23.25" customHeight="1">
      <c r="B6427" s="2669"/>
    </row>
    <row r="6428" spans="2:2" ht="23.25" customHeight="1">
      <c r="B6428" s="2669"/>
    </row>
    <row r="6429" spans="2:2" ht="23.25" customHeight="1">
      <c r="B6429" s="2669"/>
    </row>
    <row r="6430" spans="2:2" ht="23.25" customHeight="1">
      <c r="B6430" s="2669"/>
    </row>
    <row r="6431" spans="2:2" ht="23.25" customHeight="1">
      <c r="B6431" s="2669"/>
    </row>
    <row r="6432" spans="2:2" ht="23.25" customHeight="1">
      <c r="B6432" s="2669"/>
    </row>
    <row r="6433" spans="2:2" ht="23.25" customHeight="1">
      <c r="B6433" s="2669"/>
    </row>
    <row r="6434" spans="2:2" ht="23.25" customHeight="1">
      <c r="B6434" s="2669"/>
    </row>
    <row r="6435" spans="2:2" ht="23.25" customHeight="1">
      <c r="B6435" s="2669"/>
    </row>
    <row r="6436" spans="2:2" ht="23.25" customHeight="1">
      <c r="B6436" s="2669"/>
    </row>
    <row r="6437" spans="2:2" ht="23.25" customHeight="1">
      <c r="B6437" s="2669"/>
    </row>
    <row r="6438" spans="2:2" ht="23.25" customHeight="1">
      <c r="B6438" s="2669"/>
    </row>
    <row r="6439" spans="2:2" ht="23.25" customHeight="1">
      <c r="B6439" s="2669"/>
    </row>
    <row r="6440" spans="2:2" ht="23.25" customHeight="1">
      <c r="B6440" s="2669"/>
    </row>
    <row r="6441" spans="2:2" ht="23.25" customHeight="1">
      <c r="B6441" s="2669"/>
    </row>
    <row r="6442" spans="2:2" ht="23.25" customHeight="1">
      <c r="B6442" s="2669"/>
    </row>
    <row r="6443" spans="2:2" ht="23.25" customHeight="1">
      <c r="B6443" s="2669"/>
    </row>
    <row r="6444" spans="2:2" ht="23.25" customHeight="1">
      <c r="B6444" s="2669"/>
    </row>
    <row r="6445" spans="2:2" ht="23.25" customHeight="1">
      <c r="B6445" s="2669"/>
    </row>
    <row r="6446" spans="2:2" ht="23.25" customHeight="1">
      <c r="B6446" s="2669"/>
    </row>
    <row r="6447" spans="2:2" ht="23.25" customHeight="1">
      <c r="B6447" s="2669"/>
    </row>
    <row r="6448" spans="2:2" ht="23.25" customHeight="1">
      <c r="B6448" s="2669"/>
    </row>
    <row r="6449" spans="2:2" ht="23.25" customHeight="1">
      <c r="B6449" s="2669"/>
    </row>
    <row r="6450" spans="2:2" ht="23.25" customHeight="1">
      <c r="B6450" s="2669"/>
    </row>
    <row r="6451" spans="2:2" ht="23.25" customHeight="1">
      <c r="B6451" s="2669"/>
    </row>
    <row r="6452" spans="2:2" ht="23.25" customHeight="1">
      <c r="B6452" s="2669"/>
    </row>
    <row r="6453" spans="2:2" ht="23.25" customHeight="1">
      <c r="B6453" s="2669"/>
    </row>
    <row r="6454" spans="2:2" ht="23.25" customHeight="1">
      <c r="B6454" s="2669"/>
    </row>
    <row r="6455" spans="2:2" ht="23.25" customHeight="1">
      <c r="B6455" s="2669"/>
    </row>
    <row r="6456" spans="2:2" ht="23.25" customHeight="1">
      <c r="B6456" s="2669"/>
    </row>
    <row r="6457" spans="2:2" ht="23.25" customHeight="1">
      <c r="B6457" s="2669"/>
    </row>
    <row r="6458" spans="2:2" ht="23.25" customHeight="1">
      <c r="B6458" s="2669"/>
    </row>
    <row r="6459" spans="2:2" ht="23.25" customHeight="1">
      <c r="B6459" s="2669"/>
    </row>
    <row r="6460" spans="2:2" ht="23.25" customHeight="1">
      <c r="B6460" s="2669"/>
    </row>
    <row r="6461" spans="2:2" ht="23.25" customHeight="1">
      <c r="B6461" s="2669"/>
    </row>
    <row r="6462" spans="2:2" ht="23.25" customHeight="1">
      <c r="B6462" s="2669"/>
    </row>
    <row r="6463" spans="2:2" ht="23.25" customHeight="1">
      <c r="B6463" s="2669"/>
    </row>
    <row r="6464" spans="2:2" ht="23.25" customHeight="1">
      <c r="B6464" s="2669"/>
    </row>
    <row r="6465" spans="2:2" ht="23.25" customHeight="1">
      <c r="B6465" s="2669"/>
    </row>
    <row r="6466" spans="2:2" ht="23.25" customHeight="1">
      <c r="B6466" s="2669"/>
    </row>
    <row r="6467" spans="2:2" ht="23.25" customHeight="1">
      <c r="B6467" s="2669"/>
    </row>
    <row r="6468" spans="2:2" ht="23.25" customHeight="1">
      <c r="B6468" s="2669"/>
    </row>
    <row r="6469" spans="2:2" ht="23.25" customHeight="1">
      <c r="B6469" s="2669"/>
    </row>
    <row r="6470" spans="2:2" ht="23.25" customHeight="1">
      <c r="B6470" s="2669"/>
    </row>
    <row r="6471" spans="2:2" ht="23.25" customHeight="1">
      <c r="B6471" s="2669"/>
    </row>
    <row r="6472" spans="2:2" ht="23.25" customHeight="1">
      <c r="B6472" s="2669"/>
    </row>
    <row r="6473" spans="2:2" ht="23.25" customHeight="1">
      <c r="B6473" s="2669"/>
    </row>
    <row r="6474" spans="2:2" ht="23.25" customHeight="1">
      <c r="B6474" s="2669"/>
    </row>
    <row r="6475" spans="2:2" ht="23.25" customHeight="1">
      <c r="B6475" s="2669"/>
    </row>
    <row r="6476" spans="2:2" ht="23.25" customHeight="1">
      <c r="B6476" s="2669"/>
    </row>
    <row r="6477" spans="2:2" ht="23.25" customHeight="1">
      <c r="B6477" s="2669"/>
    </row>
    <row r="6478" spans="2:2" ht="23.25" customHeight="1">
      <c r="B6478" s="2669"/>
    </row>
    <row r="6479" spans="2:2" ht="23.25" customHeight="1">
      <c r="B6479" s="2669"/>
    </row>
    <row r="6480" spans="2:2" ht="23.25" customHeight="1">
      <c r="B6480" s="2669"/>
    </row>
    <row r="6481" spans="2:2" ht="23.25" customHeight="1">
      <c r="B6481" s="2669"/>
    </row>
    <row r="6482" spans="2:2" ht="23.25" customHeight="1">
      <c r="B6482" s="2669"/>
    </row>
    <row r="6483" spans="2:2" ht="23.25" customHeight="1">
      <c r="B6483" s="2669"/>
    </row>
    <row r="6484" spans="2:2" ht="23.25" customHeight="1">
      <c r="B6484" s="2669"/>
    </row>
    <row r="6485" spans="2:2" ht="23.25" customHeight="1">
      <c r="B6485" s="2669"/>
    </row>
    <row r="6486" spans="2:2" ht="23.25" customHeight="1">
      <c r="B6486" s="2669"/>
    </row>
    <row r="6487" spans="2:2" ht="23.25" customHeight="1">
      <c r="B6487" s="2669"/>
    </row>
    <row r="6488" spans="2:2" ht="23.25" customHeight="1">
      <c r="B6488" s="2669"/>
    </row>
    <row r="6489" spans="2:2" ht="23.25" customHeight="1">
      <c r="B6489" s="2669"/>
    </row>
    <row r="6490" spans="2:2" ht="23.25" customHeight="1">
      <c r="B6490" s="2669"/>
    </row>
    <row r="6491" spans="2:2" ht="23.25" customHeight="1">
      <c r="B6491" s="2669"/>
    </row>
    <row r="6492" spans="2:2" ht="23.25" customHeight="1">
      <c r="B6492" s="2669"/>
    </row>
    <row r="6493" spans="2:2" ht="23.25" customHeight="1">
      <c r="B6493" s="2669"/>
    </row>
    <row r="6494" spans="2:2" ht="23.25" customHeight="1">
      <c r="B6494" s="2669"/>
    </row>
    <row r="6495" spans="2:2" ht="23.25" customHeight="1">
      <c r="B6495" s="2669"/>
    </row>
    <row r="6496" spans="2:2" ht="23.25" customHeight="1">
      <c r="B6496" s="2669"/>
    </row>
    <row r="6497" spans="2:2" ht="23.25" customHeight="1">
      <c r="B6497" s="2669"/>
    </row>
    <row r="6498" spans="2:2" ht="23.25" customHeight="1">
      <c r="B6498" s="2669"/>
    </row>
    <row r="6499" spans="2:2" ht="23.25" customHeight="1">
      <c r="B6499" s="2669"/>
    </row>
    <row r="6500" spans="2:2" ht="23.25" customHeight="1">
      <c r="B6500" s="2669"/>
    </row>
    <row r="6501" spans="2:2" ht="23.25" customHeight="1">
      <c r="B6501" s="2669"/>
    </row>
    <row r="6502" spans="2:2" ht="23.25" customHeight="1">
      <c r="B6502" s="2669"/>
    </row>
    <row r="6503" spans="2:2" ht="23.25" customHeight="1">
      <c r="B6503" s="2669"/>
    </row>
    <row r="6504" spans="2:2" ht="23.25" customHeight="1">
      <c r="B6504" s="2669"/>
    </row>
    <row r="6505" spans="2:2" ht="23.25" customHeight="1">
      <c r="B6505" s="2669"/>
    </row>
    <row r="6506" spans="2:2" ht="23.25" customHeight="1">
      <c r="B6506" s="2669"/>
    </row>
    <row r="6507" spans="2:2" ht="23.25" customHeight="1">
      <c r="B6507" s="2669"/>
    </row>
    <row r="6508" spans="2:2" ht="23.25" customHeight="1">
      <c r="B6508" s="2669"/>
    </row>
    <row r="6509" spans="2:2" ht="23.25" customHeight="1">
      <c r="B6509" s="2669"/>
    </row>
    <row r="6510" spans="2:2" ht="23.25" customHeight="1">
      <c r="B6510" s="2669"/>
    </row>
    <row r="6511" spans="2:2" ht="23.25" customHeight="1">
      <c r="B6511" s="2669"/>
    </row>
    <row r="6512" spans="2:2" ht="23.25" customHeight="1">
      <c r="B6512" s="2669"/>
    </row>
    <row r="6513" spans="2:2" ht="23.25" customHeight="1">
      <c r="B6513" s="2669"/>
    </row>
    <row r="6514" spans="2:2" ht="23.25" customHeight="1">
      <c r="B6514" s="2669"/>
    </row>
    <row r="6515" spans="2:2" ht="23.25" customHeight="1">
      <c r="B6515" s="2669"/>
    </row>
    <row r="6516" spans="2:2" ht="23.25" customHeight="1">
      <c r="B6516" s="2669"/>
    </row>
    <row r="6517" spans="2:2" ht="23.25" customHeight="1">
      <c r="B6517" s="2669"/>
    </row>
    <row r="6518" spans="2:2" ht="23.25" customHeight="1">
      <c r="B6518" s="2669"/>
    </row>
    <row r="6519" spans="2:2" ht="23.25" customHeight="1">
      <c r="B6519" s="2669"/>
    </row>
    <row r="6520" spans="2:2" ht="23.25" customHeight="1">
      <c r="B6520" s="2669"/>
    </row>
    <row r="6521" spans="2:2" ht="23.25" customHeight="1">
      <c r="B6521" s="2669"/>
    </row>
    <row r="6522" spans="2:2" ht="23.25" customHeight="1">
      <c r="B6522" s="2669"/>
    </row>
    <row r="6523" spans="2:2" ht="23.25" customHeight="1">
      <c r="B6523" s="2669"/>
    </row>
    <row r="6524" spans="2:2" ht="23.25" customHeight="1">
      <c r="B6524" s="2669"/>
    </row>
    <row r="6525" spans="2:2" ht="23.25" customHeight="1">
      <c r="B6525" s="2669"/>
    </row>
    <row r="6526" spans="2:2" ht="23.25" customHeight="1">
      <c r="B6526" s="2669"/>
    </row>
    <row r="6527" spans="2:2" ht="23.25" customHeight="1">
      <c r="B6527" s="2669"/>
    </row>
    <row r="6528" spans="2:2" ht="23.25" customHeight="1">
      <c r="B6528" s="2669"/>
    </row>
    <row r="6529" spans="2:2" ht="23.25" customHeight="1">
      <c r="B6529" s="2669"/>
    </row>
    <row r="6530" spans="2:2" ht="23.25" customHeight="1">
      <c r="B6530" s="2669"/>
    </row>
    <row r="6531" spans="2:2" ht="23.25" customHeight="1">
      <c r="B6531" s="2669"/>
    </row>
    <row r="6532" spans="2:2" ht="23.25" customHeight="1">
      <c r="B6532" s="2669"/>
    </row>
    <row r="6533" spans="2:2" ht="23.25" customHeight="1">
      <c r="B6533" s="2669"/>
    </row>
    <row r="6534" spans="2:2" ht="23.25" customHeight="1">
      <c r="B6534" s="2669"/>
    </row>
    <row r="6535" spans="2:2" ht="23.25" customHeight="1">
      <c r="B6535" s="2669"/>
    </row>
    <row r="6536" spans="2:2" ht="23.25" customHeight="1">
      <c r="B6536" s="2669"/>
    </row>
    <row r="6537" spans="2:2" ht="23.25" customHeight="1">
      <c r="B6537" s="2669"/>
    </row>
    <row r="6538" spans="2:2" ht="23.25" customHeight="1">
      <c r="B6538" s="2669"/>
    </row>
    <row r="6539" spans="2:2" ht="23.25" customHeight="1">
      <c r="B6539" s="2669"/>
    </row>
    <row r="6540" spans="2:2" ht="23.25" customHeight="1">
      <c r="B6540" s="2669"/>
    </row>
    <row r="6541" spans="2:2" ht="23.25" customHeight="1">
      <c r="B6541" s="2669"/>
    </row>
    <row r="6542" spans="2:2" ht="23.25" customHeight="1">
      <c r="B6542" s="2669"/>
    </row>
    <row r="6543" spans="2:2" ht="23.25" customHeight="1">
      <c r="B6543" s="2669"/>
    </row>
    <row r="6544" spans="2:2" ht="23.25" customHeight="1">
      <c r="B6544" s="2669"/>
    </row>
    <row r="6545" spans="2:2" ht="23.25" customHeight="1">
      <c r="B6545" s="2669"/>
    </row>
    <row r="6546" spans="2:2" ht="23.25" customHeight="1">
      <c r="B6546" s="2669"/>
    </row>
    <row r="6547" spans="2:2" ht="23.25" customHeight="1">
      <c r="B6547" s="2669"/>
    </row>
    <row r="6548" spans="2:2" ht="23.25" customHeight="1">
      <c r="B6548" s="2669"/>
    </row>
    <row r="6549" spans="2:2" ht="23.25" customHeight="1">
      <c r="B6549" s="2669"/>
    </row>
    <row r="6550" spans="2:2" ht="23.25" customHeight="1">
      <c r="B6550" s="2669"/>
    </row>
    <row r="6551" spans="2:2" ht="23.25" customHeight="1">
      <c r="B6551" s="2669"/>
    </row>
    <row r="6552" spans="2:2" ht="23.25" customHeight="1">
      <c r="B6552" s="2669"/>
    </row>
    <row r="6553" spans="2:2" ht="23.25" customHeight="1">
      <c r="B6553" s="2669"/>
    </row>
    <row r="6554" spans="2:2" ht="23.25" customHeight="1">
      <c r="B6554" s="2669"/>
    </row>
    <row r="6555" spans="2:2" ht="23.25" customHeight="1">
      <c r="B6555" s="2669"/>
    </row>
    <row r="6556" spans="2:2" ht="23.25" customHeight="1">
      <c r="B6556" s="2669"/>
    </row>
    <row r="6557" spans="2:2" ht="23.25" customHeight="1">
      <c r="B6557" s="2669"/>
    </row>
    <row r="6558" spans="2:2" ht="23.25" customHeight="1">
      <c r="B6558" s="2669"/>
    </row>
    <row r="6559" spans="2:2" ht="23.25" customHeight="1">
      <c r="B6559" s="2669"/>
    </row>
    <row r="6560" spans="2:2" ht="23.25" customHeight="1">
      <c r="B6560" s="2669"/>
    </row>
    <row r="6561" spans="2:2" ht="23.25" customHeight="1">
      <c r="B6561" s="2669"/>
    </row>
    <row r="6562" spans="2:2" ht="23.25" customHeight="1">
      <c r="B6562" s="2669"/>
    </row>
    <row r="6563" spans="2:2" ht="23.25" customHeight="1">
      <c r="B6563" s="2669"/>
    </row>
    <row r="6564" spans="2:2" ht="23.25" customHeight="1">
      <c r="B6564" s="2669"/>
    </row>
    <row r="6565" spans="2:2" ht="23.25" customHeight="1">
      <c r="B6565" s="2669"/>
    </row>
    <row r="6566" spans="2:2" ht="23.25" customHeight="1">
      <c r="B6566" s="2669"/>
    </row>
    <row r="6567" spans="2:2" ht="23.25" customHeight="1">
      <c r="B6567" s="2669"/>
    </row>
    <row r="6568" spans="2:2" ht="23.25" customHeight="1">
      <c r="B6568" s="2669"/>
    </row>
    <row r="6569" spans="2:2" ht="23.25" customHeight="1">
      <c r="B6569" s="2669"/>
    </row>
    <row r="6570" spans="2:2" ht="23.25" customHeight="1">
      <c r="B6570" s="2669"/>
    </row>
    <row r="6571" spans="2:2" ht="23.25" customHeight="1">
      <c r="B6571" s="2669"/>
    </row>
    <row r="6572" spans="2:2" ht="23.25" customHeight="1">
      <c r="B6572" s="2669"/>
    </row>
    <row r="6573" spans="2:2" ht="23.25" customHeight="1">
      <c r="B6573" s="2669"/>
    </row>
    <row r="6574" spans="2:2" ht="23.25" customHeight="1">
      <c r="B6574" s="2669"/>
    </row>
    <row r="6575" spans="2:2" ht="23.25" customHeight="1">
      <c r="B6575" s="2669"/>
    </row>
    <row r="6576" spans="2:2" ht="23.25" customHeight="1">
      <c r="B6576" s="2669"/>
    </row>
    <row r="6577" spans="2:2" ht="23.25" customHeight="1">
      <c r="B6577" s="2669"/>
    </row>
    <row r="6578" spans="2:2" ht="23.25" customHeight="1">
      <c r="B6578" s="2669"/>
    </row>
    <row r="6579" spans="2:2" ht="23.25" customHeight="1">
      <c r="B6579" s="2669"/>
    </row>
    <row r="6580" spans="2:2" ht="23.25" customHeight="1">
      <c r="B6580" s="2669"/>
    </row>
    <row r="6581" spans="2:2" ht="23.25" customHeight="1">
      <c r="B6581" s="2669"/>
    </row>
    <row r="6582" spans="2:2" ht="23.25" customHeight="1">
      <c r="B6582" s="2669"/>
    </row>
    <row r="6583" spans="2:2" ht="23.25" customHeight="1">
      <c r="B6583" s="2669"/>
    </row>
    <row r="6584" spans="2:2" ht="23.25" customHeight="1">
      <c r="B6584" s="2669"/>
    </row>
    <row r="6585" spans="2:2" ht="23.25" customHeight="1">
      <c r="B6585" s="2669"/>
    </row>
    <row r="6586" spans="2:2" ht="23.25" customHeight="1">
      <c r="B6586" s="2669"/>
    </row>
    <row r="6587" spans="2:2" ht="23.25" customHeight="1">
      <c r="B6587" s="2669"/>
    </row>
    <row r="6588" spans="2:2" ht="23.25" customHeight="1">
      <c r="B6588" s="2669"/>
    </row>
    <row r="6589" spans="2:2" ht="23.25" customHeight="1">
      <c r="B6589" s="2669"/>
    </row>
    <row r="6590" spans="2:2" ht="23.25" customHeight="1">
      <c r="B6590" s="2669"/>
    </row>
    <row r="6591" spans="2:2" ht="23.25" customHeight="1">
      <c r="B6591" s="2669"/>
    </row>
    <row r="6592" spans="2:2" ht="23.25" customHeight="1">
      <c r="B6592" s="2669"/>
    </row>
    <row r="6593" spans="2:2" ht="23.25" customHeight="1">
      <c r="B6593" s="2669"/>
    </row>
    <row r="6594" spans="2:2" ht="23.25" customHeight="1">
      <c r="B6594" s="2669"/>
    </row>
    <row r="6595" spans="2:2" ht="23.25" customHeight="1">
      <c r="B6595" s="2669"/>
    </row>
    <row r="6596" spans="2:2" ht="23.25" customHeight="1">
      <c r="B6596" s="2669"/>
    </row>
    <row r="6597" spans="2:2" ht="23.25" customHeight="1">
      <c r="B6597" s="2669"/>
    </row>
    <row r="6598" spans="2:2" ht="23.25" customHeight="1">
      <c r="B6598" s="2669"/>
    </row>
    <row r="6599" spans="2:2" ht="23.25" customHeight="1">
      <c r="B6599" s="2669"/>
    </row>
    <row r="6600" spans="2:2" ht="23.25" customHeight="1">
      <c r="B6600" s="2669"/>
    </row>
    <row r="6601" spans="2:2" ht="23.25" customHeight="1">
      <c r="B6601" s="2669"/>
    </row>
    <row r="6602" spans="2:2" ht="23.25" customHeight="1">
      <c r="B6602" s="2669"/>
    </row>
    <row r="6603" spans="2:2" ht="23.25" customHeight="1">
      <c r="B6603" s="2669"/>
    </row>
    <row r="6604" spans="2:2" ht="23.25" customHeight="1">
      <c r="B6604" s="2669"/>
    </row>
    <row r="6605" spans="2:2" ht="23.25" customHeight="1">
      <c r="B6605" s="2669"/>
    </row>
    <row r="6606" spans="2:2" ht="23.25" customHeight="1">
      <c r="B6606" s="2669"/>
    </row>
    <row r="6607" spans="2:2" ht="23.25" customHeight="1">
      <c r="B6607" s="2669"/>
    </row>
    <row r="6608" spans="2:2" ht="23.25" customHeight="1">
      <c r="B6608" s="2669"/>
    </row>
    <row r="6609" spans="2:2" ht="23.25" customHeight="1">
      <c r="B6609" s="2669"/>
    </row>
    <row r="6610" spans="2:2" ht="23.25" customHeight="1">
      <c r="B6610" s="2669"/>
    </row>
    <row r="6611" spans="2:2" ht="23.25" customHeight="1">
      <c r="B6611" s="2669"/>
    </row>
    <row r="6612" spans="2:2" ht="23.25" customHeight="1">
      <c r="B6612" s="2669"/>
    </row>
    <row r="6613" spans="2:2" ht="23.25" customHeight="1">
      <c r="B6613" s="2669"/>
    </row>
    <row r="6614" spans="2:2" ht="23.25" customHeight="1">
      <c r="B6614" s="2669"/>
    </row>
    <row r="6615" spans="2:2" ht="23.25" customHeight="1">
      <c r="B6615" s="2669"/>
    </row>
    <row r="6616" spans="2:2" ht="23.25" customHeight="1">
      <c r="B6616" s="2669"/>
    </row>
    <row r="6617" spans="2:2" ht="23.25" customHeight="1">
      <c r="B6617" s="2669"/>
    </row>
    <row r="6618" spans="2:2" ht="23.25" customHeight="1">
      <c r="B6618" s="2669"/>
    </row>
    <row r="6619" spans="2:2" ht="23.25" customHeight="1">
      <c r="B6619" s="2669"/>
    </row>
    <row r="6620" spans="2:2" ht="23.25" customHeight="1">
      <c r="B6620" s="2669"/>
    </row>
    <row r="6621" spans="2:2" ht="23.25" customHeight="1">
      <c r="B6621" s="2669"/>
    </row>
    <row r="6622" spans="2:2" ht="23.25" customHeight="1">
      <c r="B6622" s="2669"/>
    </row>
    <row r="6623" spans="2:2" ht="23.25" customHeight="1">
      <c r="B6623" s="2669"/>
    </row>
    <row r="6624" spans="2:2" ht="23.25" customHeight="1">
      <c r="B6624" s="2669"/>
    </row>
    <row r="6625" spans="2:2" ht="23.25" customHeight="1">
      <c r="B6625" s="2669"/>
    </row>
    <row r="6626" spans="2:2" ht="23.25" customHeight="1">
      <c r="B6626" s="2669"/>
    </row>
    <row r="6627" spans="2:2" ht="23.25" customHeight="1">
      <c r="B6627" s="2669"/>
    </row>
    <row r="6628" spans="2:2" ht="23.25" customHeight="1">
      <c r="B6628" s="2669"/>
    </row>
    <row r="6629" spans="2:2" ht="23.25" customHeight="1">
      <c r="B6629" s="2669"/>
    </row>
    <row r="6630" spans="2:2" ht="23.25" customHeight="1">
      <c r="B6630" s="2669"/>
    </row>
    <row r="6631" spans="2:2" ht="23.25" customHeight="1">
      <c r="B6631" s="2669"/>
    </row>
    <row r="6632" spans="2:2" ht="23.25" customHeight="1">
      <c r="B6632" s="2669"/>
    </row>
    <row r="6633" spans="2:2" ht="23.25" customHeight="1">
      <c r="B6633" s="2669"/>
    </row>
    <row r="6634" spans="2:2" ht="23.25" customHeight="1">
      <c r="B6634" s="2669"/>
    </row>
    <row r="6635" spans="2:2" ht="23.25" customHeight="1">
      <c r="B6635" s="2669"/>
    </row>
    <row r="6636" spans="2:2" ht="23.25" customHeight="1">
      <c r="B6636" s="2669"/>
    </row>
    <row r="6637" spans="2:2" ht="23.25" customHeight="1">
      <c r="B6637" s="2669"/>
    </row>
    <row r="6638" spans="2:2" ht="23.25" customHeight="1">
      <c r="B6638" s="2669"/>
    </row>
    <row r="6639" spans="2:2" ht="23.25" customHeight="1">
      <c r="B6639" s="2669"/>
    </row>
    <row r="6640" spans="2:2" ht="23.25" customHeight="1">
      <c r="B6640" s="2669"/>
    </row>
    <row r="6641" spans="2:2" ht="23.25" customHeight="1">
      <c r="B6641" s="2669"/>
    </row>
    <row r="6642" spans="2:2" ht="23.25" customHeight="1">
      <c r="B6642" s="2669"/>
    </row>
    <row r="6643" spans="2:2" ht="23.25" customHeight="1">
      <c r="B6643" s="2669"/>
    </row>
    <row r="6644" spans="2:2" ht="23.25" customHeight="1">
      <c r="B6644" s="2669"/>
    </row>
    <row r="6645" spans="2:2" ht="23.25" customHeight="1">
      <c r="B6645" s="2669"/>
    </row>
    <row r="6646" spans="2:2" ht="23.25" customHeight="1">
      <c r="B6646" s="2669"/>
    </row>
    <row r="6647" spans="2:2" ht="23.25" customHeight="1">
      <c r="B6647" s="2669"/>
    </row>
    <row r="6648" spans="2:2" ht="23.25" customHeight="1">
      <c r="B6648" s="2669"/>
    </row>
    <row r="6649" spans="2:2" ht="23.25" customHeight="1">
      <c r="B6649" s="2669"/>
    </row>
    <row r="6650" spans="2:2" ht="23.25" customHeight="1">
      <c r="B6650" s="2669"/>
    </row>
    <row r="6651" spans="2:2" ht="23.25" customHeight="1">
      <c r="B6651" s="2669"/>
    </row>
    <row r="6652" spans="2:2" ht="23.25" customHeight="1">
      <c r="B6652" s="2669"/>
    </row>
    <row r="6653" spans="2:2" ht="23.25" customHeight="1">
      <c r="B6653" s="2669"/>
    </row>
    <row r="6654" spans="2:2" ht="23.25" customHeight="1">
      <c r="B6654" s="2669"/>
    </row>
    <row r="6655" spans="2:2" ht="23.25" customHeight="1">
      <c r="B6655" s="2669"/>
    </row>
    <row r="6656" spans="2:2" ht="23.25" customHeight="1">
      <c r="B6656" s="2669"/>
    </row>
    <row r="6657" spans="2:2" ht="23.25" customHeight="1">
      <c r="B6657" s="2669"/>
    </row>
    <row r="6658" spans="2:2" ht="23.25" customHeight="1">
      <c r="B6658" s="2669"/>
    </row>
    <row r="6659" spans="2:2" ht="23.25" customHeight="1">
      <c r="B6659" s="2669"/>
    </row>
    <row r="6660" spans="2:2" ht="23.25" customHeight="1">
      <c r="B6660" s="2669"/>
    </row>
    <row r="6661" spans="2:2" ht="23.25" customHeight="1">
      <c r="B6661" s="2669"/>
    </row>
    <row r="6662" spans="2:2" ht="23.25" customHeight="1">
      <c r="B6662" s="2669"/>
    </row>
    <row r="6663" spans="2:2" ht="23.25" customHeight="1">
      <c r="B6663" s="2669"/>
    </row>
    <row r="6664" spans="2:2" ht="23.25" customHeight="1">
      <c r="B6664" s="2669"/>
    </row>
    <row r="6665" spans="2:2" ht="23.25" customHeight="1">
      <c r="B6665" s="2669"/>
    </row>
    <row r="6666" spans="2:2" ht="23.25" customHeight="1">
      <c r="B6666" s="2669"/>
    </row>
    <row r="6667" spans="2:2" ht="23.25" customHeight="1">
      <c r="B6667" s="2669"/>
    </row>
    <row r="6668" spans="2:2" ht="23.25" customHeight="1">
      <c r="B6668" s="2669"/>
    </row>
    <row r="6669" spans="2:2" ht="23.25" customHeight="1">
      <c r="B6669" s="2669"/>
    </row>
    <row r="6670" spans="2:2" ht="23.25" customHeight="1">
      <c r="B6670" s="2669"/>
    </row>
    <row r="6671" spans="2:2" ht="23.25" customHeight="1">
      <c r="B6671" s="2669"/>
    </row>
    <row r="6672" spans="2:2" ht="23.25" customHeight="1">
      <c r="B6672" s="2669"/>
    </row>
    <row r="6673" spans="2:2" ht="23.25" customHeight="1">
      <c r="B6673" s="2669"/>
    </row>
    <row r="6674" spans="2:2" ht="23.25" customHeight="1">
      <c r="B6674" s="2669"/>
    </row>
    <row r="6675" spans="2:2" ht="23.25" customHeight="1">
      <c r="B6675" s="2669"/>
    </row>
    <row r="6676" spans="2:2" ht="23.25" customHeight="1">
      <c r="B6676" s="2669"/>
    </row>
    <row r="6677" spans="2:2" ht="23.25" customHeight="1">
      <c r="B6677" s="2669"/>
    </row>
    <row r="6678" spans="2:2" ht="23.25" customHeight="1">
      <c r="B6678" s="2669"/>
    </row>
    <row r="6679" spans="2:2" ht="23.25" customHeight="1">
      <c r="B6679" s="2669"/>
    </row>
    <row r="6680" spans="2:2" ht="23.25" customHeight="1">
      <c r="B6680" s="2669"/>
    </row>
    <row r="6681" spans="2:2" ht="23.25" customHeight="1">
      <c r="B6681" s="2669"/>
    </row>
    <row r="6682" spans="2:2" ht="23.25" customHeight="1">
      <c r="B6682" s="2669"/>
    </row>
    <row r="6683" spans="2:2" ht="23.25" customHeight="1">
      <c r="B6683" s="2669"/>
    </row>
    <row r="6684" spans="2:2" ht="23.25" customHeight="1">
      <c r="B6684" s="2669"/>
    </row>
    <row r="6685" spans="2:2" ht="23.25" customHeight="1">
      <c r="B6685" s="2669"/>
    </row>
    <row r="6686" spans="2:2" ht="23.25" customHeight="1">
      <c r="B6686" s="2669"/>
    </row>
    <row r="6687" spans="2:2" ht="23.25" customHeight="1">
      <c r="B6687" s="2669"/>
    </row>
    <row r="6688" spans="2:2" ht="23.25" customHeight="1">
      <c r="B6688" s="2669"/>
    </row>
    <row r="6689" spans="2:2" ht="23.25" customHeight="1">
      <c r="B6689" s="2669"/>
    </row>
    <row r="6690" spans="2:2" ht="23.25" customHeight="1">
      <c r="B6690" s="2669"/>
    </row>
    <row r="6691" spans="2:2" ht="23.25" customHeight="1">
      <c r="B6691" s="2669"/>
    </row>
    <row r="6692" spans="2:2" ht="23.25" customHeight="1">
      <c r="B6692" s="2669"/>
    </row>
    <row r="6693" spans="2:2" ht="23.25" customHeight="1">
      <c r="B6693" s="2669"/>
    </row>
    <row r="6694" spans="2:2" ht="23.25" customHeight="1">
      <c r="B6694" s="2669"/>
    </row>
    <row r="6695" spans="2:2" ht="23.25" customHeight="1">
      <c r="B6695" s="2669"/>
    </row>
    <row r="6696" spans="2:2" ht="23.25" customHeight="1">
      <c r="B6696" s="2669"/>
    </row>
    <row r="6697" spans="2:2" ht="23.25" customHeight="1">
      <c r="B6697" s="2669"/>
    </row>
    <row r="6698" spans="2:2" ht="23.25" customHeight="1">
      <c r="B6698" s="2669"/>
    </row>
    <row r="6699" spans="2:2" ht="23.25" customHeight="1">
      <c r="B6699" s="2669"/>
    </row>
    <row r="6700" spans="2:2" ht="23.25" customHeight="1">
      <c r="B6700" s="2669"/>
    </row>
    <row r="6701" spans="2:2" ht="23.25" customHeight="1">
      <c r="B6701" s="2669"/>
    </row>
    <row r="6702" spans="2:2" ht="23.25" customHeight="1">
      <c r="B6702" s="2669"/>
    </row>
    <row r="6703" spans="2:2" ht="23.25" customHeight="1">
      <c r="B6703" s="2669"/>
    </row>
    <row r="6704" spans="2:2" ht="23.25" customHeight="1">
      <c r="B6704" s="2669"/>
    </row>
    <row r="6705" spans="2:2" ht="23.25" customHeight="1">
      <c r="B6705" s="2669"/>
    </row>
    <row r="6706" spans="2:2" ht="23.25" customHeight="1">
      <c r="B6706" s="2669"/>
    </row>
    <row r="6707" spans="2:2" ht="23.25" customHeight="1">
      <c r="B6707" s="2669"/>
    </row>
    <row r="6708" spans="2:2" ht="23.25" customHeight="1">
      <c r="B6708" s="2669"/>
    </row>
    <row r="6709" spans="2:2" ht="23.25" customHeight="1">
      <c r="B6709" s="2669"/>
    </row>
    <row r="6710" spans="2:2" ht="23.25" customHeight="1">
      <c r="B6710" s="2669"/>
    </row>
    <row r="6711" spans="2:2" ht="23.25" customHeight="1">
      <c r="B6711" s="2669"/>
    </row>
    <row r="6712" spans="2:2" ht="23.25" customHeight="1">
      <c r="B6712" s="2669"/>
    </row>
    <row r="6713" spans="2:2" ht="23.25" customHeight="1">
      <c r="B6713" s="2669"/>
    </row>
    <row r="6714" spans="2:2" ht="23.25" customHeight="1">
      <c r="B6714" s="2669"/>
    </row>
    <row r="6715" spans="2:2" ht="23.25" customHeight="1">
      <c r="B6715" s="2669"/>
    </row>
    <row r="6716" spans="2:2" ht="23.25" customHeight="1">
      <c r="B6716" s="2669"/>
    </row>
    <row r="6717" spans="2:2" ht="23.25" customHeight="1">
      <c r="B6717" s="2669"/>
    </row>
    <row r="6718" spans="2:2" ht="23.25" customHeight="1">
      <c r="B6718" s="2669"/>
    </row>
    <row r="6719" spans="2:2" ht="23.25" customHeight="1">
      <c r="B6719" s="2669"/>
    </row>
    <row r="6720" spans="2:2" ht="23.25" customHeight="1">
      <c r="B6720" s="2669"/>
    </row>
    <row r="6721" spans="2:2" ht="23.25" customHeight="1">
      <c r="B6721" s="2669"/>
    </row>
    <row r="6722" spans="2:2" ht="23.25" customHeight="1">
      <c r="B6722" s="2669"/>
    </row>
    <row r="6723" spans="2:2" ht="23.25" customHeight="1">
      <c r="B6723" s="2669"/>
    </row>
    <row r="6724" spans="2:2" ht="23.25" customHeight="1">
      <c r="B6724" s="2669"/>
    </row>
    <row r="6725" spans="2:2" ht="23.25" customHeight="1">
      <c r="B6725" s="2669"/>
    </row>
    <row r="6726" spans="2:2" ht="23.25" customHeight="1">
      <c r="B6726" s="2669"/>
    </row>
    <row r="6727" spans="2:2" ht="23.25" customHeight="1">
      <c r="B6727" s="2669"/>
    </row>
    <row r="6728" spans="2:2" ht="23.25" customHeight="1">
      <c r="B6728" s="2669"/>
    </row>
    <row r="6729" spans="2:2" ht="23.25" customHeight="1">
      <c r="B6729" s="2669"/>
    </row>
    <row r="6730" spans="2:2" ht="23.25" customHeight="1">
      <c r="B6730" s="2669"/>
    </row>
    <row r="6731" spans="2:2" ht="23.25" customHeight="1">
      <c r="B6731" s="2669"/>
    </row>
    <row r="6732" spans="2:2" ht="23.25" customHeight="1">
      <c r="B6732" s="2669"/>
    </row>
    <row r="6733" spans="2:2" ht="23.25" customHeight="1">
      <c r="B6733" s="2669"/>
    </row>
    <row r="6734" spans="2:2" ht="23.25" customHeight="1">
      <c r="B6734" s="2669"/>
    </row>
    <row r="6735" spans="2:2" ht="23.25" customHeight="1">
      <c r="B6735" s="2669"/>
    </row>
    <row r="6736" spans="2:2" ht="23.25" customHeight="1">
      <c r="B6736" s="2669"/>
    </row>
    <row r="6737" spans="2:2" ht="23.25" customHeight="1">
      <c r="B6737" s="2669"/>
    </row>
    <row r="6738" spans="2:2" ht="23.25" customHeight="1">
      <c r="B6738" s="2669"/>
    </row>
    <row r="6739" spans="2:2" ht="23.25" customHeight="1">
      <c r="B6739" s="2669"/>
    </row>
    <row r="6740" spans="2:2" ht="23.25" customHeight="1">
      <c r="B6740" s="2669"/>
    </row>
    <row r="6741" spans="2:2" ht="23.25" customHeight="1">
      <c r="B6741" s="2669"/>
    </row>
    <row r="6742" spans="2:2" ht="23.25" customHeight="1">
      <c r="B6742" s="2669"/>
    </row>
    <row r="6743" spans="2:2" ht="23.25" customHeight="1">
      <c r="B6743" s="2669"/>
    </row>
    <row r="6744" spans="2:2" ht="23.25" customHeight="1">
      <c r="B6744" s="2669"/>
    </row>
    <row r="6745" spans="2:2" ht="23.25" customHeight="1">
      <c r="B6745" s="2669"/>
    </row>
    <row r="6746" spans="2:2" ht="23.25" customHeight="1">
      <c r="B6746" s="2669"/>
    </row>
    <row r="6747" spans="2:2" ht="23.25" customHeight="1">
      <c r="B6747" s="2669"/>
    </row>
    <row r="6748" spans="2:2" ht="23.25" customHeight="1">
      <c r="B6748" s="2669"/>
    </row>
    <row r="6749" spans="2:2" ht="23.25" customHeight="1">
      <c r="B6749" s="2669"/>
    </row>
    <row r="6750" spans="2:2" ht="23.25" customHeight="1">
      <c r="B6750" s="2669"/>
    </row>
    <row r="6751" spans="2:2" ht="23.25" customHeight="1">
      <c r="B6751" s="2669"/>
    </row>
    <row r="6752" spans="2:2" ht="23.25" customHeight="1">
      <c r="B6752" s="2669"/>
    </row>
    <row r="6753" spans="2:2" ht="23.25" customHeight="1">
      <c r="B6753" s="2669"/>
    </row>
    <row r="6754" spans="2:2" ht="23.25" customHeight="1">
      <c r="B6754" s="2669"/>
    </row>
    <row r="6755" spans="2:2" ht="23.25" customHeight="1">
      <c r="B6755" s="2669"/>
    </row>
    <row r="6756" spans="2:2" ht="23.25" customHeight="1">
      <c r="B6756" s="2669"/>
    </row>
    <row r="6757" spans="2:2" ht="23.25" customHeight="1">
      <c r="B6757" s="2669"/>
    </row>
    <row r="6758" spans="2:2" ht="23.25" customHeight="1">
      <c r="B6758" s="2669"/>
    </row>
    <row r="6759" spans="2:2" ht="23.25" customHeight="1">
      <c r="B6759" s="2669"/>
    </row>
    <row r="6760" spans="2:2" ht="23.25" customHeight="1">
      <c r="B6760" s="2669"/>
    </row>
    <row r="6761" spans="2:2" ht="23.25" customHeight="1">
      <c r="B6761" s="2669"/>
    </row>
    <row r="6762" spans="2:2" ht="23.25" customHeight="1">
      <c r="B6762" s="2669"/>
    </row>
    <row r="6763" spans="2:2" ht="23.25" customHeight="1">
      <c r="B6763" s="2669"/>
    </row>
    <row r="6764" spans="2:2" ht="23.25" customHeight="1">
      <c r="B6764" s="2669"/>
    </row>
    <row r="6765" spans="2:2" ht="23.25" customHeight="1">
      <c r="B6765" s="2669"/>
    </row>
    <row r="6766" spans="2:2" ht="23.25" customHeight="1">
      <c r="B6766" s="2669"/>
    </row>
    <row r="6767" spans="2:2" ht="23.25" customHeight="1">
      <c r="B6767" s="2669"/>
    </row>
    <row r="6768" spans="2:2" ht="23.25" customHeight="1">
      <c r="B6768" s="2669"/>
    </row>
    <row r="6769" spans="2:2" ht="23.25" customHeight="1">
      <c r="B6769" s="2669"/>
    </row>
    <row r="6770" spans="2:2" ht="23.25" customHeight="1">
      <c r="B6770" s="2669"/>
    </row>
    <row r="6771" spans="2:2" ht="23.25" customHeight="1">
      <c r="B6771" s="2669"/>
    </row>
    <row r="6772" spans="2:2" ht="23.25" customHeight="1">
      <c r="B6772" s="2669"/>
    </row>
    <row r="6773" spans="2:2" ht="23.25" customHeight="1">
      <c r="B6773" s="2669"/>
    </row>
    <row r="6774" spans="2:2" ht="23.25" customHeight="1">
      <c r="B6774" s="2669"/>
    </row>
    <row r="6775" spans="2:2" ht="23.25" customHeight="1">
      <c r="B6775" s="2669"/>
    </row>
    <row r="6776" spans="2:2" ht="23.25" customHeight="1">
      <c r="B6776" s="2669"/>
    </row>
    <row r="6777" spans="2:2" ht="23.25" customHeight="1">
      <c r="B6777" s="2669"/>
    </row>
    <row r="6778" spans="2:2" ht="23.25" customHeight="1">
      <c r="B6778" s="2669"/>
    </row>
    <row r="6779" spans="2:2" ht="23.25" customHeight="1">
      <c r="B6779" s="2669"/>
    </row>
    <row r="6780" spans="2:2" ht="23.25" customHeight="1">
      <c r="B6780" s="2669"/>
    </row>
    <row r="6781" spans="2:2" ht="23.25" customHeight="1">
      <c r="B6781" s="2669"/>
    </row>
    <row r="6782" spans="2:2" ht="23.25" customHeight="1">
      <c r="B6782" s="2669"/>
    </row>
    <row r="6783" spans="2:2" ht="23.25" customHeight="1">
      <c r="B6783" s="2669"/>
    </row>
    <row r="6784" spans="2:2" ht="23.25" customHeight="1">
      <c r="B6784" s="2669"/>
    </row>
    <row r="6785" spans="2:2" ht="23.25" customHeight="1">
      <c r="B6785" s="2669"/>
    </row>
    <row r="6786" spans="2:2" ht="23.25" customHeight="1">
      <c r="B6786" s="2669"/>
    </row>
    <row r="6787" spans="2:2" ht="23.25" customHeight="1">
      <c r="B6787" s="2669"/>
    </row>
    <row r="6788" spans="2:2" ht="23.25" customHeight="1">
      <c r="B6788" s="2669"/>
    </row>
    <row r="6789" spans="2:2" ht="23.25" customHeight="1">
      <c r="B6789" s="2669"/>
    </row>
    <row r="6790" spans="2:2" ht="23.25" customHeight="1">
      <c r="B6790" s="2669"/>
    </row>
    <row r="6791" spans="2:2" ht="23.25" customHeight="1">
      <c r="B6791" s="2669"/>
    </row>
    <row r="6792" spans="2:2" ht="23.25" customHeight="1">
      <c r="B6792" s="2669"/>
    </row>
    <row r="6793" spans="2:2" ht="23.25" customHeight="1">
      <c r="B6793" s="2669"/>
    </row>
    <row r="6794" spans="2:2" ht="23.25" customHeight="1">
      <c r="B6794" s="2669"/>
    </row>
    <row r="6795" spans="2:2" ht="23.25" customHeight="1">
      <c r="B6795" s="2669"/>
    </row>
    <row r="6796" spans="2:2" ht="23.25" customHeight="1">
      <c r="B6796" s="2669"/>
    </row>
    <row r="6797" spans="2:2" ht="23.25" customHeight="1">
      <c r="B6797" s="2669"/>
    </row>
    <row r="6798" spans="2:2" ht="23.25" customHeight="1">
      <c r="B6798" s="2669"/>
    </row>
    <row r="6799" spans="2:2" ht="23.25" customHeight="1">
      <c r="B6799" s="2669"/>
    </row>
    <row r="6800" spans="2:2" ht="23.25" customHeight="1">
      <c r="B6800" s="2669"/>
    </row>
    <row r="6801" spans="2:2" ht="23.25" customHeight="1">
      <c r="B6801" s="2669"/>
    </row>
    <row r="6802" spans="2:2" ht="23.25" customHeight="1">
      <c r="B6802" s="2669"/>
    </row>
    <row r="6803" spans="2:2" ht="23.25" customHeight="1">
      <c r="B6803" s="2669"/>
    </row>
    <row r="6804" spans="2:2" ht="23.25" customHeight="1">
      <c r="B6804" s="2669"/>
    </row>
    <row r="6805" spans="2:2" ht="23.25" customHeight="1">
      <c r="B6805" s="2669"/>
    </row>
    <row r="6806" spans="2:2" ht="23.25" customHeight="1">
      <c r="B6806" s="2669"/>
    </row>
    <row r="6807" spans="2:2" ht="23.25" customHeight="1">
      <c r="B6807" s="2669"/>
    </row>
    <row r="6808" spans="2:2" ht="23.25" customHeight="1">
      <c r="B6808" s="2669"/>
    </row>
    <row r="6809" spans="2:2" ht="23.25" customHeight="1">
      <c r="B6809" s="2669"/>
    </row>
    <row r="6810" spans="2:2" ht="23.25" customHeight="1">
      <c r="B6810" s="2669"/>
    </row>
    <row r="6811" spans="2:2" ht="23.25" customHeight="1">
      <c r="B6811" s="2669"/>
    </row>
    <row r="6812" spans="2:2" ht="23.25" customHeight="1">
      <c r="B6812" s="2669"/>
    </row>
    <row r="6813" spans="2:2" ht="23.25" customHeight="1">
      <c r="B6813" s="2669"/>
    </row>
    <row r="6814" spans="2:2" ht="23.25" customHeight="1">
      <c r="B6814" s="2669"/>
    </row>
    <row r="6815" spans="2:2" ht="23.25" customHeight="1">
      <c r="B6815" s="2669"/>
    </row>
    <row r="6816" spans="2:2" ht="23.25" customHeight="1">
      <c r="B6816" s="2669"/>
    </row>
    <row r="6817" spans="2:2" ht="23.25" customHeight="1">
      <c r="B6817" s="2669"/>
    </row>
    <row r="6818" spans="2:2" ht="23.25" customHeight="1">
      <c r="B6818" s="2669"/>
    </row>
    <row r="6819" spans="2:2" ht="23.25" customHeight="1">
      <c r="B6819" s="2669"/>
    </row>
    <row r="6820" spans="2:2" ht="23.25" customHeight="1">
      <c r="B6820" s="2669"/>
    </row>
    <row r="6821" spans="2:2" ht="23.25" customHeight="1">
      <c r="B6821" s="2669"/>
    </row>
    <row r="6822" spans="2:2" ht="23.25" customHeight="1">
      <c r="B6822" s="2669"/>
    </row>
    <row r="6823" spans="2:2" ht="23.25" customHeight="1">
      <c r="B6823" s="2669"/>
    </row>
    <row r="6824" spans="2:2" ht="23.25" customHeight="1">
      <c r="B6824" s="2669"/>
    </row>
    <row r="6825" spans="2:2" ht="23.25" customHeight="1">
      <c r="B6825" s="2669"/>
    </row>
    <row r="6826" spans="2:2" ht="23.25" customHeight="1">
      <c r="B6826" s="2669"/>
    </row>
    <row r="6827" spans="2:2" ht="23.25" customHeight="1">
      <c r="B6827" s="2669"/>
    </row>
    <row r="6828" spans="2:2" ht="23.25" customHeight="1">
      <c r="B6828" s="2669"/>
    </row>
    <row r="6829" spans="2:2" ht="23.25" customHeight="1">
      <c r="B6829" s="2669"/>
    </row>
    <row r="6830" spans="2:2" ht="23.25" customHeight="1">
      <c r="B6830" s="2669"/>
    </row>
    <row r="6831" spans="2:2" ht="23.25" customHeight="1">
      <c r="B6831" s="2669"/>
    </row>
    <row r="6832" spans="2:2" ht="23.25" customHeight="1">
      <c r="B6832" s="2669"/>
    </row>
    <row r="6833" spans="2:2" ht="23.25" customHeight="1">
      <c r="B6833" s="2669"/>
    </row>
    <row r="6834" spans="2:2" ht="23.25" customHeight="1">
      <c r="B6834" s="2669"/>
    </row>
    <row r="6835" spans="2:2" ht="23.25" customHeight="1">
      <c r="B6835" s="2669"/>
    </row>
    <row r="6836" spans="2:2" ht="23.25" customHeight="1">
      <c r="B6836" s="2669"/>
    </row>
    <row r="6837" spans="2:2" ht="23.25" customHeight="1">
      <c r="B6837" s="2669"/>
    </row>
    <row r="6838" spans="2:2" ht="23.25" customHeight="1">
      <c r="B6838" s="2669"/>
    </row>
    <row r="6839" spans="2:2" ht="23.25" customHeight="1">
      <c r="B6839" s="2669"/>
    </row>
    <row r="6840" spans="2:2" ht="23.25" customHeight="1">
      <c r="B6840" s="2669"/>
    </row>
    <row r="6841" spans="2:2" ht="23.25" customHeight="1">
      <c r="B6841" s="2669"/>
    </row>
    <row r="6842" spans="2:2" ht="23.25" customHeight="1">
      <c r="B6842" s="2669"/>
    </row>
    <row r="6843" spans="2:2" ht="23.25" customHeight="1">
      <c r="B6843" s="2669"/>
    </row>
    <row r="6844" spans="2:2" ht="23.25" customHeight="1">
      <c r="B6844" s="2669"/>
    </row>
    <row r="6845" spans="2:2" ht="23.25" customHeight="1">
      <c r="B6845" s="2669"/>
    </row>
    <row r="6846" spans="2:2" ht="23.25" customHeight="1">
      <c r="B6846" s="2669"/>
    </row>
    <row r="6847" spans="2:2" ht="23.25" customHeight="1">
      <c r="B6847" s="2669"/>
    </row>
    <row r="6848" spans="2:2" ht="23.25" customHeight="1">
      <c r="B6848" s="2669"/>
    </row>
    <row r="6849" spans="2:2" ht="23.25" customHeight="1">
      <c r="B6849" s="2669"/>
    </row>
    <row r="6850" spans="2:2" ht="23.25" customHeight="1">
      <c r="B6850" s="2669"/>
    </row>
    <row r="6851" spans="2:2" ht="23.25" customHeight="1">
      <c r="B6851" s="2669"/>
    </row>
    <row r="6852" spans="2:2" ht="23.25" customHeight="1">
      <c r="B6852" s="2669"/>
    </row>
    <row r="6853" spans="2:2" ht="23.25" customHeight="1">
      <c r="B6853" s="2669"/>
    </row>
    <row r="6854" spans="2:2" ht="23.25" customHeight="1">
      <c r="B6854" s="2669"/>
    </row>
    <row r="6855" spans="2:2" ht="23.25" customHeight="1">
      <c r="B6855" s="2669"/>
    </row>
    <row r="6856" spans="2:2" ht="23.25" customHeight="1">
      <c r="B6856" s="2669"/>
    </row>
    <row r="6857" spans="2:2" ht="23.25" customHeight="1">
      <c r="B6857" s="2669"/>
    </row>
    <row r="6858" spans="2:2" ht="23.25" customHeight="1">
      <c r="B6858" s="2669"/>
    </row>
    <row r="6859" spans="2:2" ht="23.25" customHeight="1">
      <c r="B6859" s="2669"/>
    </row>
    <row r="6860" spans="2:2" ht="23.25" customHeight="1">
      <c r="B6860" s="2669"/>
    </row>
    <row r="6861" spans="2:2" ht="23.25" customHeight="1">
      <c r="B6861" s="2669"/>
    </row>
    <row r="6862" spans="2:2" ht="23.25" customHeight="1">
      <c r="B6862" s="2669"/>
    </row>
    <row r="6863" spans="2:2" ht="23.25" customHeight="1">
      <c r="B6863" s="2669"/>
    </row>
    <row r="6864" spans="2:2" ht="23.25" customHeight="1">
      <c r="B6864" s="2669"/>
    </row>
    <row r="6865" spans="2:2" ht="23.25" customHeight="1">
      <c r="B6865" s="2669"/>
    </row>
    <row r="6866" spans="2:2" ht="23.25" customHeight="1">
      <c r="B6866" s="2669"/>
    </row>
    <row r="6867" spans="2:2" ht="23.25" customHeight="1">
      <c r="B6867" s="2669"/>
    </row>
    <row r="6868" spans="2:2" ht="23.25" customHeight="1">
      <c r="B6868" s="2669"/>
    </row>
    <row r="6869" spans="2:2" ht="23.25" customHeight="1">
      <c r="B6869" s="2669"/>
    </row>
    <row r="6870" spans="2:2" ht="23.25" customHeight="1">
      <c r="B6870" s="2669"/>
    </row>
    <row r="6871" spans="2:2" ht="23.25" customHeight="1">
      <c r="B6871" s="2669"/>
    </row>
    <row r="6872" spans="2:2" ht="23.25" customHeight="1">
      <c r="B6872" s="2669"/>
    </row>
    <row r="6873" spans="2:2" ht="23.25" customHeight="1">
      <c r="B6873" s="2669"/>
    </row>
    <row r="6874" spans="2:2" ht="23.25" customHeight="1">
      <c r="B6874" s="2669"/>
    </row>
    <row r="6875" spans="2:2" ht="23.25" customHeight="1">
      <c r="B6875" s="2669"/>
    </row>
    <row r="6876" spans="2:2" ht="23.25" customHeight="1">
      <c r="B6876" s="2669"/>
    </row>
    <row r="6877" spans="2:2" ht="23.25" customHeight="1">
      <c r="B6877" s="2669"/>
    </row>
    <row r="6878" spans="2:2" ht="23.25" customHeight="1">
      <c r="B6878" s="2669"/>
    </row>
    <row r="6879" spans="2:2" ht="23.25" customHeight="1">
      <c r="B6879" s="2669"/>
    </row>
    <row r="6880" spans="2:2" ht="23.25" customHeight="1">
      <c r="B6880" s="2669"/>
    </row>
    <row r="6881" spans="2:2" ht="23.25" customHeight="1">
      <c r="B6881" s="2669"/>
    </row>
    <row r="6882" spans="2:2" ht="23.25" customHeight="1">
      <c r="B6882" s="2669"/>
    </row>
    <row r="6883" spans="2:2" ht="23.25" customHeight="1">
      <c r="B6883" s="2669"/>
    </row>
    <row r="6884" spans="2:2" ht="23.25" customHeight="1">
      <c r="B6884" s="2669"/>
    </row>
    <row r="6885" spans="2:2" ht="23.25" customHeight="1">
      <c r="B6885" s="2669"/>
    </row>
    <row r="6886" spans="2:2" ht="23.25" customHeight="1">
      <c r="B6886" s="2669"/>
    </row>
    <row r="6887" spans="2:2" ht="23.25" customHeight="1">
      <c r="B6887" s="2669"/>
    </row>
    <row r="6888" spans="2:2" ht="23.25" customHeight="1">
      <c r="B6888" s="2669"/>
    </row>
    <row r="6889" spans="2:2" ht="23.25" customHeight="1">
      <c r="B6889" s="2669"/>
    </row>
    <row r="6890" spans="2:2" ht="23.25" customHeight="1">
      <c r="B6890" s="2669"/>
    </row>
    <row r="6891" spans="2:2" ht="23.25" customHeight="1">
      <c r="B6891" s="2669"/>
    </row>
    <row r="6892" spans="2:2" ht="23.25" customHeight="1">
      <c r="B6892" s="2669"/>
    </row>
    <row r="6893" spans="2:2" ht="23.25" customHeight="1">
      <c r="B6893" s="2669"/>
    </row>
    <row r="6894" spans="2:2" ht="23.25" customHeight="1">
      <c r="B6894" s="2669"/>
    </row>
    <row r="6895" spans="2:2" ht="23.25" customHeight="1">
      <c r="B6895" s="2669"/>
    </row>
    <row r="6896" spans="2:2" ht="23.25" customHeight="1">
      <c r="B6896" s="2669"/>
    </row>
    <row r="6897" spans="2:2" ht="23.25" customHeight="1">
      <c r="B6897" s="2669"/>
    </row>
    <row r="6898" spans="2:2" ht="23.25" customHeight="1">
      <c r="B6898" s="2669"/>
    </row>
    <row r="6899" spans="2:2" ht="23.25" customHeight="1">
      <c r="B6899" s="2669"/>
    </row>
    <row r="6900" spans="2:2" ht="23.25" customHeight="1">
      <c r="B6900" s="2669"/>
    </row>
    <row r="6901" spans="2:2" ht="23.25" customHeight="1">
      <c r="B6901" s="2669"/>
    </row>
    <row r="6902" spans="2:2" ht="23.25" customHeight="1">
      <c r="B6902" s="2669"/>
    </row>
    <row r="6903" spans="2:2" ht="23.25" customHeight="1">
      <c r="B6903" s="2669"/>
    </row>
    <row r="6904" spans="2:2" ht="23.25" customHeight="1">
      <c r="B6904" s="2669"/>
    </row>
    <row r="6905" spans="2:2" ht="23.25" customHeight="1">
      <c r="B6905" s="2669"/>
    </row>
    <row r="6906" spans="2:2" ht="23.25" customHeight="1">
      <c r="B6906" s="2669"/>
    </row>
    <row r="6907" spans="2:2" ht="23.25" customHeight="1">
      <c r="B6907" s="2669"/>
    </row>
    <row r="6908" spans="2:2" ht="23.25" customHeight="1">
      <c r="B6908" s="2669"/>
    </row>
    <row r="6909" spans="2:2" ht="23.25" customHeight="1">
      <c r="B6909" s="2669"/>
    </row>
    <row r="6910" spans="2:2" ht="23.25" customHeight="1">
      <c r="B6910" s="2669"/>
    </row>
    <row r="6911" spans="2:2" ht="23.25" customHeight="1">
      <c r="B6911" s="2669"/>
    </row>
    <row r="6912" spans="2:2" ht="23.25" customHeight="1">
      <c r="B6912" s="2669"/>
    </row>
    <row r="6913" spans="2:2" ht="23.25" customHeight="1">
      <c r="B6913" s="2669"/>
    </row>
    <row r="6914" spans="2:2" ht="23.25" customHeight="1">
      <c r="B6914" s="2669"/>
    </row>
    <row r="6915" spans="2:2" ht="23.25" customHeight="1">
      <c r="B6915" s="2669"/>
    </row>
    <row r="6916" spans="2:2" ht="23.25" customHeight="1">
      <c r="B6916" s="2669"/>
    </row>
    <row r="6917" spans="2:2" ht="23.25" customHeight="1">
      <c r="B6917" s="2669"/>
    </row>
    <row r="6918" spans="2:2" ht="23.25" customHeight="1">
      <c r="B6918" s="2669"/>
    </row>
    <row r="6919" spans="2:2" ht="23.25" customHeight="1">
      <c r="B6919" s="2669"/>
    </row>
    <row r="6920" spans="2:2" ht="23.25" customHeight="1">
      <c r="B6920" s="2669"/>
    </row>
    <row r="6921" spans="2:2" ht="23.25" customHeight="1">
      <c r="B6921" s="2669"/>
    </row>
    <row r="6922" spans="2:2" ht="23.25" customHeight="1">
      <c r="B6922" s="2669"/>
    </row>
    <row r="6923" spans="2:2" ht="23.25" customHeight="1">
      <c r="B6923" s="2669"/>
    </row>
    <row r="6924" spans="2:2" ht="23.25" customHeight="1">
      <c r="B6924" s="2669"/>
    </row>
    <row r="6925" spans="2:2" ht="23.25" customHeight="1">
      <c r="B6925" s="2669"/>
    </row>
    <row r="6926" spans="2:2" ht="23.25" customHeight="1">
      <c r="B6926" s="2669"/>
    </row>
    <row r="6927" spans="2:2" ht="23.25" customHeight="1">
      <c r="B6927" s="2669"/>
    </row>
    <row r="6928" spans="2:2" ht="23.25" customHeight="1">
      <c r="B6928" s="2669"/>
    </row>
    <row r="6929" spans="2:2" ht="23.25" customHeight="1">
      <c r="B6929" s="2669"/>
    </row>
    <row r="6930" spans="2:2" ht="23.25" customHeight="1">
      <c r="B6930" s="2669"/>
    </row>
    <row r="6931" spans="2:2" ht="23.25" customHeight="1">
      <c r="B6931" s="2669"/>
    </row>
    <row r="6932" spans="2:2" ht="23.25" customHeight="1">
      <c r="B6932" s="2669"/>
    </row>
    <row r="6933" spans="2:2" ht="23.25" customHeight="1">
      <c r="B6933" s="2669"/>
    </row>
    <row r="6934" spans="2:2" ht="23.25" customHeight="1">
      <c r="B6934" s="2669"/>
    </row>
    <row r="6935" spans="2:2" ht="23.25" customHeight="1">
      <c r="B6935" s="2669"/>
    </row>
    <row r="6936" spans="2:2" ht="23.25" customHeight="1">
      <c r="B6936" s="2669"/>
    </row>
    <row r="6937" spans="2:2" ht="23.25" customHeight="1">
      <c r="B6937" s="2669"/>
    </row>
    <row r="6938" spans="2:2" ht="23.25" customHeight="1">
      <c r="B6938" s="2669"/>
    </row>
    <row r="6939" spans="2:2" ht="23.25" customHeight="1">
      <c r="B6939" s="2669"/>
    </row>
    <row r="6940" spans="2:2" ht="23.25" customHeight="1">
      <c r="B6940" s="2669"/>
    </row>
    <row r="6941" spans="2:2" ht="23.25" customHeight="1">
      <c r="B6941" s="2669"/>
    </row>
    <row r="6942" spans="2:2" ht="23.25" customHeight="1">
      <c r="B6942" s="2669"/>
    </row>
    <row r="6943" spans="2:2" ht="23.25" customHeight="1">
      <c r="B6943" s="2669"/>
    </row>
    <row r="6944" spans="2:2" ht="23.25" customHeight="1">
      <c r="B6944" s="2669"/>
    </row>
    <row r="6945" spans="2:2" ht="23.25" customHeight="1">
      <c r="B6945" s="2669"/>
    </row>
    <row r="6946" spans="2:2" ht="23.25" customHeight="1">
      <c r="B6946" s="2669"/>
    </row>
    <row r="6947" spans="2:2" ht="23.25" customHeight="1">
      <c r="B6947" s="2669"/>
    </row>
    <row r="6948" spans="2:2" ht="23.25" customHeight="1">
      <c r="B6948" s="2669"/>
    </row>
    <row r="6949" spans="2:2" ht="23.25" customHeight="1">
      <c r="B6949" s="2669"/>
    </row>
    <row r="6950" spans="2:2" ht="23.25" customHeight="1">
      <c r="B6950" s="2669"/>
    </row>
    <row r="6951" spans="2:2" ht="23.25" customHeight="1">
      <c r="B6951" s="2669"/>
    </row>
    <row r="6952" spans="2:2" ht="23.25" customHeight="1">
      <c r="B6952" s="2669"/>
    </row>
    <row r="6953" spans="2:2" ht="23.25" customHeight="1">
      <c r="B6953" s="2669"/>
    </row>
    <row r="6954" spans="2:2" ht="23.25" customHeight="1">
      <c r="B6954" s="2669"/>
    </row>
    <row r="6955" spans="2:2" ht="23.25" customHeight="1">
      <c r="B6955" s="2669"/>
    </row>
    <row r="6956" spans="2:2" ht="23.25" customHeight="1">
      <c r="B6956" s="2669"/>
    </row>
    <row r="6957" spans="2:2" ht="23.25" customHeight="1">
      <c r="B6957" s="2669"/>
    </row>
    <row r="6958" spans="2:2" ht="23.25" customHeight="1">
      <c r="B6958" s="2669"/>
    </row>
    <row r="6959" spans="2:2" ht="23.25" customHeight="1">
      <c r="B6959" s="2669"/>
    </row>
    <row r="6960" spans="2:2" ht="23.25" customHeight="1">
      <c r="B6960" s="2669"/>
    </row>
    <row r="6961" spans="2:2" ht="23.25" customHeight="1">
      <c r="B6961" s="2669"/>
    </row>
    <row r="6962" spans="2:2" ht="23.25" customHeight="1">
      <c r="B6962" s="2669"/>
    </row>
    <row r="6963" spans="2:2" ht="23.25" customHeight="1">
      <c r="B6963" s="2669"/>
    </row>
    <row r="6964" spans="2:2" ht="23.25" customHeight="1">
      <c r="B6964" s="2669"/>
    </row>
    <row r="6965" spans="2:2" ht="23.25" customHeight="1">
      <c r="B6965" s="2669"/>
    </row>
    <row r="6966" spans="2:2" ht="23.25" customHeight="1">
      <c r="B6966" s="2669"/>
    </row>
    <row r="6967" spans="2:2" ht="23.25" customHeight="1">
      <c r="B6967" s="2669"/>
    </row>
    <row r="6968" spans="2:2" ht="23.25" customHeight="1">
      <c r="B6968" s="2669"/>
    </row>
    <row r="6969" spans="2:2" ht="23.25" customHeight="1">
      <c r="B6969" s="2669"/>
    </row>
    <row r="6970" spans="2:2" ht="23.25" customHeight="1">
      <c r="B6970" s="2669"/>
    </row>
    <row r="6971" spans="2:2" ht="23.25" customHeight="1">
      <c r="B6971" s="2669"/>
    </row>
    <row r="6972" spans="2:2" ht="23.25" customHeight="1">
      <c r="B6972" s="2669"/>
    </row>
    <row r="6973" spans="2:2" ht="23.25" customHeight="1">
      <c r="B6973" s="2669"/>
    </row>
    <row r="6974" spans="2:2" ht="23.25" customHeight="1">
      <c r="B6974" s="2669"/>
    </row>
    <row r="6975" spans="2:2" ht="23.25" customHeight="1">
      <c r="B6975" s="2669"/>
    </row>
    <row r="6976" spans="2:2" ht="23.25" customHeight="1">
      <c r="B6976" s="2669"/>
    </row>
    <row r="6977" spans="2:2" ht="23.25" customHeight="1">
      <c r="B6977" s="2669"/>
    </row>
    <row r="6978" spans="2:2" ht="23.25" customHeight="1">
      <c r="B6978" s="2669"/>
    </row>
    <row r="6979" spans="2:2" ht="23.25" customHeight="1">
      <c r="B6979" s="2669"/>
    </row>
    <row r="6980" spans="2:2" ht="23.25" customHeight="1">
      <c r="B6980" s="2669"/>
    </row>
    <row r="6981" spans="2:2" ht="23.25" customHeight="1">
      <c r="B6981" s="2669"/>
    </row>
    <row r="6982" spans="2:2" ht="23.25" customHeight="1">
      <c r="B6982" s="2669"/>
    </row>
    <row r="6983" spans="2:2" ht="23.25" customHeight="1">
      <c r="B6983" s="2669"/>
    </row>
    <row r="6984" spans="2:2" ht="23.25" customHeight="1">
      <c r="B6984" s="2669"/>
    </row>
    <row r="6985" spans="2:2" ht="23.25" customHeight="1">
      <c r="B6985" s="2669"/>
    </row>
    <row r="6986" spans="2:2" ht="23.25" customHeight="1">
      <c r="B6986" s="2669"/>
    </row>
    <row r="6987" spans="2:2" ht="23.25" customHeight="1">
      <c r="B6987" s="2669"/>
    </row>
    <row r="6988" spans="2:2" ht="23.25" customHeight="1">
      <c r="B6988" s="2669"/>
    </row>
    <row r="6989" spans="2:2" ht="23.25" customHeight="1">
      <c r="B6989" s="2669"/>
    </row>
    <row r="6990" spans="2:2" ht="23.25" customHeight="1">
      <c r="B6990" s="2669"/>
    </row>
    <row r="6991" spans="2:2" ht="23.25" customHeight="1">
      <c r="B6991" s="2669"/>
    </row>
    <row r="6992" spans="2:2" ht="23.25" customHeight="1">
      <c r="B6992" s="2669"/>
    </row>
    <row r="6993" spans="2:2" ht="23.25" customHeight="1">
      <c r="B6993" s="2669"/>
    </row>
    <row r="6994" spans="2:2" ht="23.25" customHeight="1">
      <c r="B6994" s="2669"/>
    </row>
    <row r="6995" spans="2:2" ht="23.25" customHeight="1">
      <c r="B6995" s="2669"/>
    </row>
    <row r="6996" spans="2:2" ht="23.25" customHeight="1">
      <c r="B6996" s="2669"/>
    </row>
    <row r="6997" spans="2:2" ht="23.25" customHeight="1">
      <c r="B6997" s="2669"/>
    </row>
    <row r="6998" spans="2:2" ht="23.25" customHeight="1">
      <c r="B6998" s="2669"/>
    </row>
    <row r="6999" spans="2:2" ht="23.25" customHeight="1">
      <c r="B6999" s="2669"/>
    </row>
    <row r="7000" spans="2:2" ht="23.25" customHeight="1">
      <c r="B7000" s="2669"/>
    </row>
    <row r="7001" spans="2:2" ht="23.25" customHeight="1">
      <c r="B7001" s="2669"/>
    </row>
    <row r="7002" spans="2:2" ht="23.25" customHeight="1">
      <c r="B7002" s="2669"/>
    </row>
    <row r="7003" spans="2:2" ht="23.25" customHeight="1">
      <c r="B7003" s="2669"/>
    </row>
    <row r="7004" spans="2:2" ht="23.25" customHeight="1">
      <c r="B7004" s="2669"/>
    </row>
    <row r="7005" spans="2:2" ht="23.25" customHeight="1">
      <c r="B7005" s="2669"/>
    </row>
    <row r="7006" spans="2:2" ht="23.25" customHeight="1">
      <c r="B7006" s="2669"/>
    </row>
    <row r="7007" spans="2:2" ht="23.25" customHeight="1">
      <c r="B7007" s="2669"/>
    </row>
    <row r="7008" spans="2:2" ht="23.25" customHeight="1">
      <c r="B7008" s="2669"/>
    </row>
    <row r="7009" spans="2:2" ht="23.25" customHeight="1">
      <c r="B7009" s="2669"/>
    </row>
    <row r="7010" spans="2:2" ht="23.25" customHeight="1">
      <c r="B7010" s="2669"/>
    </row>
    <row r="7011" spans="2:2" ht="23.25" customHeight="1">
      <c r="B7011" s="2669"/>
    </row>
    <row r="7012" spans="2:2" ht="23.25" customHeight="1">
      <c r="B7012" s="2669"/>
    </row>
    <row r="7013" spans="2:2" ht="23.25" customHeight="1">
      <c r="B7013" s="2669"/>
    </row>
    <row r="7014" spans="2:2" ht="23.25" customHeight="1">
      <c r="B7014" s="2669"/>
    </row>
    <row r="7015" spans="2:2" ht="23.25" customHeight="1">
      <c r="B7015" s="2669"/>
    </row>
    <row r="7016" spans="2:2" ht="23.25" customHeight="1">
      <c r="B7016" s="2669"/>
    </row>
    <row r="7017" spans="2:2" ht="23.25" customHeight="1">
      <c r="B7017" s="2669"/>
    </row>
    <row r="7018" spans="2:2" ht="23.25" customHeight="1">
      <c r="B7018" s="2669"/>
    </row>
    <row r="7019" spans="2:2" ht="23.25" customHeight="1">
      <c r="B7019" s="2669"/>
    </row>
    <row r="7020" spans="2:2" ht="23.25" customHeight="1">
      <c r="B7020" s="2669"/>
    </row>
    <row r="7021" spans="2:2" ht="23.25" customHeight="1">
      <c r="B7021" s="2669"/>
    </row>
    <row r="7022" spans="2:2" ht="23.25" customHeight="1">
      <c r="B7022" s="2669"/>
    </row>
    <row r="7023" spans="2:2" ht="23.25" customHeight="1">
      <c r="B7023" s="2669"/>
    </row>
    <row r="7024" spans="2:2" ht="23.25" customHeight="1">
      <c r="B7024" s="2669"/>
    </row>
    <row r="7025" spans="2:2" ht="23.25" customHeight="1">
      <c r="B7025" s="2669"/>
    </row>
    <row r="7026" spans="2:2" ht="23.25" customHeight="1">
      <c r="B7026" s="2669"/>
    </row>
    <row r="7027" spans="2:2" ht="23.25" customHeight="1">
      <c r="B7027" s="2669"/>
    </row>
    <row r="7028" spans="2:2" ht="23.25" customHeight="1">
      <c r="B7028" s="2669"/>
    </row>
    <row r="7029" spans="2:2" ht="23.25" customHeight="1">
      <c r="B7029" s="2669"/>
    </row>
    <row r="7030" spans="2:2" ht="23.25" customHeight="1">
      <c r="B7030" s="2669"/>
    </row>
    <row r="7031" spans="2:2" ht="23.25" customHeight="1">
      <c r="B7031" s="2669"/>
    </row>
    <row r="7032" spans="2:2" ht="23.25" customHeight="1">
      <c r="B7032" s="2669"/>
    </row>
    <row r="7033" spans="2:2" ht="23.25" customHeight="1">
      <c r="B7033" s="2669"/>
    </row>
    <row r="7034" spans="2:2" ht="23.25" customHeight="1">
      <c r="B7034" s="2669"/>
    </row>
    <row r="7035" spans="2:2" ht="23.25" customHeight="1">
      <c r="B7035" s="2669"/>
    </row>
    <row r="7036" spans="2:2" ht="23.25" customHeight="1">
      <c r="B7036" s="2669"/>
    </row>
    <row r="7037" spans="2:2" ht="23.25" customHeight="1">
      <c r="B7037" s="2669"/>
    </row>
    <row r="7038" spans="2:2" ht="23.25" customHeight="1">
      <c r="B7038" s="2669"/>
    </row>
    <row r="7039" spans="2:2" ht="23.25" customHeight="1">
      <c r="B7039" s="2669"/>
    </row>
    <row r="7040" spans="2:2" ht="23.25" customHeight="1">
      <c r="B7040" s="2669"/>
    </row>
    <row r="7041" spans="2:2" ht="23.25" customHeight="1">
      <c r="B7041" s="2669"/>
    </row>
    <row r="7042" spans="2:2" ht="23.25" customHeight="1">
      <c r="B7042" s="2669"/>
    </row>
    <row r="7043" spans="2:2" ht="23.25" customHeight="1">
      <c r="B7043" s="2669"/>
    </row>
    <row r="7044" spans="2:2" ht="23.25" customHeight="1">
      <c r="B7044" s="2669"/>
    </row>
    <row r="7045" spans="2:2" ht="23.25" customHeight="1">
      <c r="B7045" s="2669"/>
    </row>
    <row r="7046" spans="2:2" ht="23.25" customHeight="1">
      <c r="B7046" s="2669"/>
    </row>
    <row r="7047" spans="2:2" ht="23.25" customHeight="1">
      <c r="B7047" s="2669"/>
    </row>
    <row r="7048" spans="2:2" ht="23.25" customHeight="1">
      <c r="B7048" s="2669"/>
    </row>
    <row r="7049" spans="2:2" ht="23.25" customHeight="1">
      <c r="B7049" s="2669"/>
    </row>
    <row r="7050" spans="2:2" ht="23.25" customHeight="1">
      <c r="B7050" s="2669"/>
    </row>
    <row r="7051" spans="2:2" ht="23.25" customHeight="1">
      <c r="B7051" s="2669"/>
    </row>
    <row r="7052" spans="2:2" ht="23.25" customHeight="1">
      <c r="B7052" s="2669"/>
    </row>
    <row r="7053" spans="2:2" ht="23.25" customHeight="1">
      <c r="B7053" s="2669"/>
    </row>
    <row r="7054" spans="2:2" ht="23.25" customHeight="1">
      <c r="B7054" s="2669"/>
    </row>
    <row r="7055" spans="2:2" ht="23.25" customHeight="1">
      <c r="B7055" s="2669"/>
    </row>
    <row r="7056" spans="2:2" ht="23.25" customHeight="1">
      <c r="B7056" s="2669"/>
    </row>
    <row r="7057" spans="2:2" ht="23.25" customHeight="1">
      <c r="B7057" s="2669"/>
    </row>
    <row r="7058" spans="2:2" ht="23.25" customHeight="1">
      <c r="B7058" s="2669"/>
    </row>
    <row r="7059" spans="2:2" ht="23.25" customHeight="1">
      <c r="B7059" s="2669"/>
    </row>
    <row r="7060" spans="2:2" ht="23.25" customHeight="1">
      <c r="B7060" s="2669"/>
    </row>
    <row r="7061" spans="2:2" ht="23.25" customHeight="1">
      <c r="B7061" s="2669"/>
    </row>
    <row r="7062" spans="2:2" ht="23.25" customHeight="1">
      <c r="B7062" s="2669"/>
    </row>
    <row r="7063" spans="2:2" ht="23.25" customHeight="1">
      <c r="B7063" s="2669"/>
    </row>
    <row r="7064" spans="2:2" ht="23.25" customHeight="1">
      <c r="B7064" s="2669"/>
    </row>
    <row r="7065" spans="2:2" ht="23.25" customHeight="1">
      <c r="B7065" s="2669"/>
    </row>
    <row r="7066" spans="2:2" ht="23.25" customHeight="1">
      <c r="B7066" s="2669"/>
    </row>
    <row r="7067" spans="2:2" ht="23.25" customHeight="1">
      <c r="B7067" s="2669"/>
    </row>
    <row r="7068" spans="2:2" ht="23.25" customHeight="1">
      <c r="B7068" s="2669"/>
    </row>
    <row r="7069" spans="2:2" ht="23.25" customHeight="1">
      <c r="B7069" s="2669"/>
    </row>
    <row r="7070" spans="2:2" ht="23.25" customHeight="1">
      <c r="B7070" s="2669"/>
    </row>
    <row r="7071" spans="2:2" ht="23.25" customHeight="1">
      <c r="B7071" s="2669"/>
    </row>
    <row r="7072" spans="2:2" ht="23.25" customHeight="1">
      <c r="B7072" s="2669"/>
    </row>
    <row r="7073" spans="2:2" ht="23.25" customHeight="1">
      <c r="B7073" s="2669"/>
    </row>
    <row r="7074" spans="2:2" ht="23.25" customHeight="1">
      <c r="B7074" s="2669"/>
    </row>
    <row r="7075" spans="2:2" ht="23.25" customHeight="1">
      <c r="B7075" s="2669"/>
    </row>
    <row r="7076" spans="2:2" ht="23.25" customHeight="1">
      <c r="B7076" s="2669"/>
    </row>
    <row r="7077" spans="2:2" ht="23.25" customHeight="1">
      <c r="B7077" s="2669"/>
    </row>
    <row r="7078" spans="2:2" ht="23.25" customHeight="1">
      <c r="B7078" s="2669"/>
    </row>
    <row r="7079" spans="2:2" ht="23.25" customHeight="1">
      <c r="B7079" s="2669"/>
    </row>
    <row r="7080" spans="2:2" ht="23.25" customHeight="1">
      <c r="B7080" s="2669"/>
    </row>
    <row r="7081" spans="2:2" ht="23.25" customHeight="1">
      <c r="B7081" s="2669"/>
    </row>
    <row r="7082" spans="2:2" ht="23.25" customHeight="1">
      <c r="B7082" s="2669"/>
    </row>
    <row r="7083" spans="2:2" ht="23.25" customHeight="1">
      <c r="B7083" s="2669"/>
    </row>
    <row r="7084" spans="2:2" ht="23.25" customHeight="1">
      <c r="B7084" s="2669"/>
    </row>
    <row r="7085" spans="2:2" ht="23.25" customHeight="1">
      <c r="B7085" s="2669"/>
    </row>
    <row r="7086" spans="2:2" ht="23.25" customHeight="1">
      <c r="B7086" s="2669"/>
    </row>
    <row r="7087" spans="2:2" ht="23.25" customHeight="1">
      <c r="B7087" s="2669"/>
    </row>
    <row r="7088" spans="2:2" ht="23.25" customHeight="1">
      <c r="B7088" s="2669"/>
    </row>
    <row r="7089" spans="2:2" ht="23.25" customHeight="1">
      <c r="B7089" s="2669"/>
    </row>
    <row r="7090" spans="2:2" ht="23.25" customHeight="1">
      <c r="B7090" s="2669"/>
    </row>
    <row r="7091" spans="2:2" ht="23.25" customHeight="1">
      <c r="B7091" s="2669"/>
    </row>
    <row r="7092" spans="2:2" ht="23.25" customHeight="1">
      <c r="B7092" s="2669"/>
    </row>
    <row r="7093" spans="2:2" ht="23.25" customHeight="1">
      <c r="B7093" s="2669"/>
    </row>
    <row r="7094" spans="2:2" ht="23.25" customHeight="1">
      <c r="B7094" s="2669"/>
    </row>
    <row r="7095" spans="2:2" ht="23.25" customHeight="1">
      <c r="B7095" s="2669"/>
    </row>
    <row r="7096" spans="2:2" ht="23.25" customHeight="1">
      <c r="B7096" s="2669"/>
    </row>
    <row r="7097" spans="2:2" ht="23.25" customHeight="1">
      <c r="B7097" s="2669"/>
    </row>
    <row r="7098" spans="2:2" ht="23.25" customHeight="1">
      <c r="B7098" s="2669"/>
    </row>
    <row r="7099" spans="2:2" ht="23.25" customHeight="1">
      <c r="B7099" s="2669"/>
    </row>
    <row r="7100" spans="2:2" ht="23.25" customHeight="1">
      <c r="B7100" s="2669"/>
    </row>
    <row r="7101" spans="2:2" ht="23.25" customHeight="1">
      <c r="B7101" s="2669"/>
    </row>
    <row r="7102" spans="2:2" ht="23.25" customHeight="1">
      <c r="B7102" s="2669"/>
    </row>
    <row r="7103" spans="2:2" ht="23.25" customHeight="1">
      <c r="B7103" s="2669"/>
    </row>
    <row r="7104" spans="2:2" ht="23.25" customHeight="1">
      <c r="B7104" s="2669"/>
    </row>
    <row r="7105" spans="2:2" ht="23.25" customHeight="1">
      <c r="B7105" s="2669"/>
    </row>
    <row r="7106" spans="2:2" ht="23.25" customHeight="1">
      <c r="B7106" s="2669"/>
    </row>
    <row r="7107" spans="2:2" ht="23.25" customHeight="1">
      <c r="B7107" s="2669"/>
    </row>
    <row r="7108" spans="2:2" ht="23.25" customHeight="1">
      <c r="B7108" s="2669"/>
    </row>
    <row r="7109" spans="2:2" ht="23.25" customHeight="1">
      <c r="B7109" s="2669"/>
    </row>
    <row r="7110" spans="2:2" ht="23.25" customHeight="1">
      <c r="B7110" s="2669"/>
    </row>
    <row r="7111" spans="2:2" ht="23.25" customHeight="1">
      <c r="B7111" s="2669"/>
    </row>
    <row r="7112" spans="2:2" ht="23.25" customHeight="1">
      <c r="B7112" s="2669"/>
    </row>
    <row r="7113" spans="2:2" ht="23.25" customHeight="1">
      <c r="B7113" s="2669"/>
    </row>
    <row r="7114" spans="2:2" ht="23.25" customHeight="1">
      <c r="B7114" s="2669"/>
    </row>
    <row r="7115" spans="2:2" ht="23.25" customHeight="1">
      <c r="B7115" s="2669"/>
    </row>
    <row r="7116" spans="2:2" ht="23.25" customHeight="1">
      <c r="B7116" s="2669"/>
    </row>
    <row r="7117" spans="2:2" ht="23.25" customHeight="1">
      <c r="B7117" s="2669"/>
    </row>
    <row r="7118" spans="2:2" ht="23.25" customHeight="1">
      <c r="B7118" s="2669"/>
    </row>
    <row r="7119" spans="2:2" ht="23.25" customHeight="1">
      <c r="B7119" s="2669"/>
    </row>
    <row r="7120" spans="2:2" ht="23.25" customHeight="1">
      <c r="B7120" s="2669"/>
    </row>
    <row r="7121" spans="2:2" ht="23.25" customHeight="1">
      <c r="B7121" s="2669"/>
    </row>
    <row r="7122" spans="2:2" ht="23.25" customHeight="1">
      <c r="B7122" s="2669"/>
    </row>
    <row r="7123" spans="2:2" ht="23.25" customHeight="1">
      <c r="B7123" s="2669"/>
    </row>
    <row r="7124" spans="2:2" ht="23.25" customHeight="1">
      <c r="B7124" s="2669"/>
    </row>
    <row r="7125" spans="2:2" ht="23.25" customHeight="1">
      <c r="B7125" s="2669"/>
    </row>
    <row r="7126" spans="2:2" ht="23.25" customHeight="1">
      <c r="B7126" s="2669"/>
    </row>
    <row r="7127" spans="2:2" ht="23.25" customHeight="1">
      <c r="B7127" s="2669"/>
    </row>
    <row r="7128" spans="2:2" ht="23.25" customHeight="1">
      <c r="B7128" s="2669"/>
    </row>
    <row r="7129" spans="2:2" ht="23.25" customHeight="1">
      <c r="B7129" s="2669"/>
    </row>
    <row r="7130" spans="2:2" ht="23.25" customHeight="1">
      <c r="B7130" s="2669"/>
    </row>
    <row r="7131" spans="2:2" ht="23.25" customHeight="1">
      <c r="B7131" s="2669"/>
    </row>
    <row r="7132" spans="2:2" ht="23.25" customHeight="1">
      <c r="B7132" s="2669"/>
    </row>
    <row r="7133" spans="2:2" ht="23.25" customHeight="1">
      <c r="B7133" s="2669"/>
    </row>
    <row r="7134" spans="2:2" ht="23.25" customHeight="1">
      <c r="B7134" s="2669"/>
    </row>
    <row r="7135" spans="2:2" ht="23.25" customHeight="1">
      <c r="B7135" s="2669"/>
    </row>
    <row r="7136" spans="2:2" ht="23.25" customHeight="1">
      <c r="B7136" s="2669"/>
    </row>
    <row r="7137" spans="2:2" ht="23.25" customHeight="1">
      <c r="B7137" s="2669"/>
    </row>
    <row r="7138" spans="2:2" ht="23.25" customHeight="1">
      <c r="B7138" s="2669"/>
    </row>
    <row r="7139" spans="2:2" ht="23.25" customHeight="1">
      <c r="B7139" s="2669"/>
    </row>
    <row r="7140" spans="2:2" ht="23.25" customHeight="1">
      <c r="B7140" s="2669"/>
    </row>
    <row r="7141" spans="2:2" ht="23.25" customHeight="1">
      <c r="B7141" s="2669"/>
    </row>
    <row r="7142" spans="2:2" ht="23.25" customHeight="1">
      <c r="B7142" s="2669"/>
    </row>
    <row r="7143" spans="2:2" ht="23.25" customHeight="1">
      <c r="B7143" s="2669"/>
    </row>
    <row r="7144" spans="2:2" ht="23.25" customHeight="1">
      <c r="B7144" s="2669"/>
    </row>
    <row r="7145" spans="2:2" ht="23.25" customHeight="1">
      <c r="B7145" s="2669"/>
    </row>
    <row r="7146" spans="2:2" ht="23.25" customHeight="1">
      <c r="B7146" s="2669"/>
    </row>
    <row r="7147" spans="2:2" ht="23.25" customHeight="1">
      <c r="B7147" s="2669"/>
    </row>
    <row r="7148" spans="2:2" ht="23.25" customHeight="1">
      <c r="B7148" s="2669"/>
    </row>
    <row r="7149" spans="2:2" ht="23.25" customHeight="1">
      <c r="B7149" s="2669"/>
    </row>
    <row r="7150" spans="2:2" ht="23.25" customHeight="1">
      <c r="B7150" s="2669"/>
    </row>
    <row r="7151" spans="2:2" ht="23.25" customHeight="1">
      <c r="B7151" s="2669"/>
    </row>
    <row r="7152" spans="2:2" ht="23.25" customHeight="1">
      <c r="B7152" s="2669"/>
    </row>
    <row r="7153" spans="2:2" ht="23.25" customHeight="1">
      <c r="B7153" s="2669"/>
    </row>
    <row r="7154" spans="2:2" ht="23.25" customHeight="1">
      <c r="B7154" s="2669"/>
    </row>
    <row r="7155" spans="2:2" ht="23.25" customHeight="1">
      <c r="B7155" s="2669"/>
    </row>
    <row r="7156" spans="2:2" ht="23.25" customHeight="1">
      <c r="B7156" s="2669"/>
    </row>
    <row r="7157" spans="2:2" ht="23.25" customHeight="1">
      <c r="B7157" s="2669"/>
    </row>
    <row r="7158" spans="2:2" ht="23.25" customHeight="1">
      <c r="B7158" s="2669"/>
    </row>
    <row r="7159" spans="2:2" ht="23.25" customHeight="1">
      <c r="B7159" s="2669"/>
    </row>
    <row r="7160" spans="2:2" ht="23.25" customHeight="1">
      <c r="B7160" s="2669"/>
    </row>
    <row r="7161" spans="2:2" ht="23.25" customHeight="1">
      <c r="B7161" s="2669"/>
    </row>
    <row r="7162" spans="2:2" ht="23.25" customHeight="1">
      <c r="B7162" s="2669"/>
    </row>
    <row r="7163" spans="2:2" ht="23.25" customHeight="1">
      <c r="B7163" s="2669"/>
    </row>
    <row r="7164" spans="2:2" ht="23.25" customHeight="1">
      <c r="B7164" s="2669"/>
    </row>
    <row r="7165" spans="2:2" ht="23.25" customHeight="1">
      <c r="B7165" s="2669"/>
    </row>
    <row r="7166" spans="2:2" ht="23.25" customHeight="1">
      <c r="B7166" s="2669"/>
    </row>
    <row r="7167" spans="2:2" ht="23.25" customHeight="1">
      <c r="B7167" s="2669"/>
    </row>
    <row r="7168" spans="2:2" ht="23.25" customHeight="1">
      <c r="B7168" s="2669"/>
    </row>
    <row r="7169" spans="2:2" ht="23.25" customHeight="1">
      <c r="B7169" s="2669"/>
    </row>
    <row r="7170" spans="2:2" ht="23.25" customHeight="1">
      <c r="B7170" s="2669"/>
    </row>
    <row r="7171" spans="2:2" ht="23.25" customHeight="1">
      <c r="B7171" s="2669"/>
    </row>
    <row r="7172" spans="2:2" ht="23.25" customHeight="1">
      <c r="B7172" s="2669"/>
    </row>
    <row r="7173" spans="2:2" ht="23.25" customHeight="1">
      <c r="B7173" s="2669"/>
    </row>
    <row r="7174" spans="2:2" ht="23.25" customHeight="1">
      <c r="B7174" s="2669"/>
    </row>
    <row r="7175" spans="2:2" ht="23.25" customHeight="1">
      <c r="B7175" s="2669"/>
    </row>
    <row r="7176" spans="2:2" ht="23.25" customHeight="1">
      <c r="B7176" s="2669"/>
    </row>
    <row r="7177" spans="2:2" ht="23.25" customHeight="1">
      <c r="B7177" s="2669"/>
    </row>
    <row r="7178" spans="2:2" ht="23.25" customHeight="1">
      <c r="B7178" s="2669"/>
    </row>
    <row r="7179" spans="2:2" ht="23.25" customHeight="1">
      <c r="B7179" s="2669"/>
    </row>
    <row r="7180" spans="2:2" ht="23.25" customHeight="1">
      <c r="B7180" s="2669"/>
    </row>
    <row r="7181" spans="2:2" ht="23.25" customHeight="1">
      <c r="B7181" s="2669"/>
    </row>
    <row r="7182" spans="2:2" ht="23.25" customHeight="1">
      <c r="B7182" s="2669"/>
    </row>
    <row r="7183" spans="2:2" ht="23.25" customHeight="1">
      <c r="B7183" s="2669"/>
    </row>
    <row r="7184" spans="2:2" ht="23.25" customHeight="1">
      <c r="B7184" s="2669"/>
    </row>
    <row r="7185" spans="2:2" ht="23.25" customHeight="1">
      <c r="B7185" s="2669"/>
    </row>
    <row r="7186" spans="2:2" ht="23.25" customHeight="1">
      <c r="B7186" s="2669"/>
    </row>
    <row r="7187" spans="2:2" ht="23.25" customHeight="1">
      <c r="B7187" s="2669"/>
    </row>
    <row r="7188" spans="2:2" ht="23.25" customHeight="1">
      <c r="B7188" s="2669"/>
    </row>
    <row r="7189" spans="2:2" ht="23.25" customHeight="1">
      <c r="B7189" s="2669"/>
    </row>
    <row r="7190" spans="2:2" ht="23.25" customHeight="1">
      <c r="B7190" s="2669"/>
    </row>
    <row r="7191" spans="2:2" ht="23.25" customHeight="1">
      <c r="B7191" s="2669"/>
    </row>
    <row r="7192" spans="2:2" ht="23.25" customHeight="1">
      <c r="B7192" s="2669"/>
    </row>
    <row r="7193" spans="2:2" ht="23.25" customHeight="1">
      <c r="B7193" s="2669"/>
    </row>
    <row r="7194" spans="2:2" ht="23.25" customHeight="1">
      <c r="B7194" s="2669"/>
    </row>
    <row r="7195" spans="2:2" ht="23.25" customHeight="1">
      <c r="B7195" s="2669"/>
    </row>
    <row r="7196" spans="2:2" ht="23.25" customHeight="1">
      <c r="B7196" s="2669"/>
    </row>
    <row r="7197" spans="2:2" ht="23.25" customHeight="1">
      <c r="B7197" s="2669"/>
    </row>
    <row r="7198" spans="2:2" ht="23.25" customHeight="1">
      <c r="B7198" s="2669"/>
    </row>
    <row r="7199" spans="2:2" ht="23.25" customHeight="1">
      <c r="B7199" s="2669"/>
    </row>
    <row r="7200" spans="2:2" ht="23.25" customHeight="1">
      <c r="B7200" s="2669"/>
    </row>
    <row r="7201" spans="2:2" ht="23.25" customHeight="1">
      <c r="B7201" s="2669"/>
    </row>
    <row r="7202" spans="2:2" ht="23.25" customHeight="1">
      <c r="B7202" s="2669"/>
    </row>
    <row r="7203" spans="2:2" ht="23.25" customHeight="1">
      <c r="B7203" s="2669"/>
    </row>
    <row r="7204" spans="2:2" ht="23.25" customHeight="1">
      <c r="B7204" s="2669"/>
    </row>
    <row r="7205" spans="2:2" ht="23.25" customHeight="1">
      <c r="B7205" s="2669"/>
    </row>
    <row r="7206" spans="2:2" ht="23.25" customHeight="1">
      <c r="B7206" s="2669"/>
    </row>
    <row r="7207" spans="2:2" ht="23.25" customHeight="1">
      <c r="B7207" s="2669"/>
    </row>
    <row r="7208" spans="2:2" ht="23.25" customHeight="1">
      <c r="B7208" s="2669"/>
    </row>
    <row r="7209" spans="2:2" ht="23.25" customHeight="1">
      <c r="B7209" s="2669"/>
    </row>
    <row r="7210" spans="2:2" ht="23.25" customHeight="1">
      <c r="B7210" s="2669"/>
    </row>
    <row r="7211" spans="2:2" ht="23.25" customHeight="1">
      <c r="B7211" s="2669"/>
    </row>
    <row r="7212" spans="2:2" ht="23.25" customHeight="1">
      <c r="B7212" s="2669"/>
    </row>
    <row r="7213" spans="2:2" ht="23.25" customHeight="1">
      <c r="B7213" s="2669"/>
    </row>
    <row r="7214" spans="2:2" ht="23.25" customHeight="1">
      <c r="B7214" s="2669"/>
    </row>
    <row r="7215" spans="2:2" ht="23.25" customHeight="1">
      <c r="B7215" s="2669"/>
    </row>
    <row r="7216" spans="2:2" ht="23.25" customHeight="1">
      <c r="B7216" s="2669"/>
    </row>
    <row r="7217" spans="2:2" ht="23.25" customHeight="1">
      <c r="B7217" s="2669"/>
    </row>
    <row r="7218" spans="2:2" ht="23.25" customHeight="1">
      <c r="B7218" s="2669"/>
    </row>
    <row r="7219" spans="2:2" ht="23.25" customHeight="1">
      <c r="B7219" s="2669"/>
    </row>
    <row r="7220" spans="2:2" ht="23.25" customHeight="1">
      <c r="B7220" s="2669"/>
    </row>
    <row r="7221" spans="2:2" ht="23.25" customHeight="1">
      <c r="B7221" s="2669"/>
    </row>
    <row r="7222" spans="2:2" ht="23.25" customHeight="1">
      <c r="B7222" s="2669"/>
    </row>
    <row r="7223" spans="2:2" ht="23.25" customHeight="1">
      <c r="B7223" s="2669"/>
    </row>
    <row r="7224" spans="2:2" ht="23.25" customHeight="1">
      <c r="B7224" s="2669"/>
    </row>
    <row r="7225" spans="2:2" ht="23.25" customHeight="1">
      <c r="B7225" s="2669"/>
    </row>
    <row r="7226" spans="2:2" ht="23.25" customHeight="1">
      <c r="B7226" s="2669"/>
    </row>
    <row r="7227" spans="2:2" ht="23.25" customHeight="1">
      <c r="B7227" s="2669"/>
    </row>
    <row r="7228" spans="2:2" ht="23.25" customHeight="1">
      <c r="B7228" s="2669"/>
    </row>
    <row r="7229" spans="2:2" ht="23.25" customHeight="1">
      <c r="B7229" s="2669"/>
    </row>
    <row r="7230" spans="2:2" ht="23.25" customHeight="1">
      <c r="B7230" s="2669"/>
    </row>
    <row r="7231" spans="2:2" ht="23.25" customHeight="1">
      <c r="B7231" s="2669"/>
    </row>
    <row r="7232" spans="2:2" ht="23.25" customHeight="1">
      <c r="B7232" s="2669"/>
    </row>
    <row r="7233" spans="2:2" ht="23.25" customHeight="1">
      <c r="B7233" s="2669"/>
    </row>
    <row r="7234" spans="2:2" ht="23.25" customHeight="1">
      <c r="B7234" s="2669"/>
    </row>
    <row r="7235" spans="2:2" ht="23.25" customHeight="1">
      <c r="B7235" s="2669"/>
    </row>
    <row r="7236" spans="2:2" ht="23.25" customHeight="1">
      <c r="B7236" s="2669"/>
    </row>
    <row r="7237" spans="2:2" ht="23.25" customHeight="1">
      <c r="B7237" s="2669"/>
    </row>
    <row r="7238" spans="2:2" ht="23.25" customHeight="1">
      <c r="B7238" s="2669"/>
    </row>
    <row r="7239" spans="2:2" ht="23.25" customHeight="1">
      <c r="B7239" s="2669"/>
    </row>
    <row r="7240" spans="2:2" ht="23.25" customHeight="1">
      <c r="B7240" s="2669"/>
    </row>
    <row r="7241" spans="2:2" ht="23.25" customHeight="1">
      <c r="B7241" s="2669"/>
    </row>
    <row r="7242" spans="2:2" ht="23.25" customHeight="1">
      <c r="B7242" s="2669"/>
    </row>
    <row r="7243" spans="2:2" ht="23.25" customHeight="1">
      <c r="B7243" s="2669"/>
    </row>
    <row r="7244" spans="2:2" ht="23.25" customHeight="1">
      <c r="B7244" s="2669"/>
    </row>
    <row r="7245" spans="2:2" ht="23.25" customHeight="1">
      <c r="B7245" s="2669"/>
    </row>
    <row r="7246" spans="2:2" ht="23.25" customHeight="1">
      <c r="B7246" s="2669"/>
    </row>
    <row r="7247" spans="2:2" ht="23.25" customHeight="1">
      <c r="B7247" s="2669"/>
    </row>
    <row r="7248" spans="2:2" ht="23.25" customHeight="1">
      <c r="B7248" s="2669"/>
    </row>
    <row r="7249" spans="2:2" ht="23.25" customHeight="1">
      <c r="B7249" s="2669"/>
    </row>
    <row r="7250" spans="2:2" ht="23.25" customHeight="1">
      <c r="B7250" s="2669"/>
    </row>
    <row r="7251" spans="2:2" ht="23.25" customHeight="1">
      <c r="B7251" s="2669"/>
    </row>
    <row r="7252" spans="2:2" ht="23.25" customHeight="1">
      <c r="B7252" s="2669"/>
    </row>
    <row r="7253" spans="2:2" ht="23.25" customHeight="1">
      <c r="B7253" s="2669"/>
    </row>
    <row r="7254" spans="2:2" ht="23.25" customHeight="1">
      <c r="B7254" s="2669"/>
    </row>
    <row r="7255" spans="2:2" ht="23.25" customHeight="1">
      <c r="B7255" s="2669"/>
    </row>
    <row r="7256" spans="2:2" ht="23.25" customHeight="1">
      <c r="B7256" s="2669"/>
    </row>
    <row r="7257" spans="2:2" ht="23.25" customHeight="1">
      <c r="B7257" s="2669"/>
    </row>
    <row r="7258" spans="2:2" ht="23.25" customHeight="1">
      <c r="B7258" s="2669"/>
    </row>
    <row r="7259" spans="2:2" ht="23.25" customHeight="1">
      <c r="B7259" s="2669"/>
    </row>
    <row r="7260" spans="2:2" ht="23.25" customHeight="1">
      <c r="B7260" s="2669"/>
    </row>
    <row r="7261" spans="2:2" ht="23.25" customHeight="1">
      <c r="B7261" s="2669"/>
    </row>
    <row r="7262" spans="2:2" ht="23.25" customHeight="1">
      <c r="B7262" s="2669"/>
    </row>
    <row r="7263" spans="2:2" ht="23.25" customHeight="1">
      <c r="B7263" s="2669"/>
    </row>
    <row r="7264" spans="2:2" ht="23.25" customHeight="1">
      <c r="B7264" s="2669"/>
    </row>
    <row r="7265" spans="2:2" ht="23.25" customHeight="1">
      <c r="B7265" s="2669"/>
    </row>
    <row r="7266" spans="2:2" ht="23.25" customHeight="1">
      <c r="B7266" s="2669"/>
    </row>
    <row r="7267" spans="2:2" ht="23.25" customHeight="1">
      <c r="B7267" s="2669"/>
    </row>
    <row r="7268" spans="2:2" ht="23.25" customHeight="1">
      <c r="B7268" s="2669"/>
    </row>
    <row r="7269" spans="2:2" ht="23.25" customHeight="1">
      <c r="B7269" s="2669"/>
    </row>
    <row r="7270" spans="2:2" ht="23.25" customHeight="1">
      <c r="B7270" s="2669"/>
    </row>
    <row r="7271" spans="2:2" ht="23.25" customHeight="1">
      <c r="B7271" s="2669"/>
    </row>
    <row r="7272" spans="2:2" ht="23.25" customHeight="1">
      <c r="B7272" s="2669"/>
    </row>
    <row r="7273" spans="2:2" ht="23.25" customHeight="1">
      <c r="B7273" s="2669"/>
    </row>
    <row r="7274" spans="2:2" ht="23.25" customHeight="1">
      <c r="B7274" s="2669"/>
    </row>
    <row r="7275" spans="2:2" ht="23.25" customHeight="1">
      <c r="B7275" s="2669"/>
    </row>
    <row r="7276" spans="2:2" ht="23.25" customHeight="1">
      <c r="B7276" s="2669"/>
    </row>
    <row r="7277" spans="2:2" ht="23.25" customHeight="1">
      <c r="B7277" s="2669"/>
    </row>
    <row r="7278" spans="2:2" ht="23.25" customHeight="1">
      <c r="B7278" s="2669"/>
    </row>
    <row r="7279" spans="2:2" ht="23.25" customHeight="1">
      <c r="B7279" s="2669"/>
    </row>
    <row r="7280" spans="2:2" ht="23.25" customHeight="1">
      <c r="B7280" s="2669"/>
    </row>
    <row r="7281" spans="2:2" ht="23.25" customHeight="1">
      <c r="B7281" s="2669"/>
    </row>
    <row r="7282" spans="2:2" ht="23.25" customHeight="1">
      <c r="B7282" s="2669"/>
    </row>
    <row r="7283" spans="2:2" ht="23.25" customHeight="1">
      <c r="B7283" s="2669"/>
    </row>
    <row r="7284" spans="2:2" ht="23.25" customHeight="1">
      <c r="B7284" s="2669"/>
    </row>
    <row r="7285" spans="2:2" ht="23.25" customHeight="1">
      <c r="B7285" s="2669"/>
    </row>
    <row r="7286" spans="2:2" ht="23.25" customHeight="1">
      <c r="B7286" s="2669"/>
    </row>
    <row r="7287" spans="2:2" ht="23.25" customHeight="1">
      <c r="B7287" s="2669"/>
    </row>
    <row r="7288" spans="2:2" ht="23.25" customHeight="1">
      <c r="B7288" s="2669"/>
    </row>
    <row r="7289" spans="2:2" ht="23.25" customHeight="1">
      <c r="B7289" s="2669"/>
    </row>
    <row r="7290" spans="2:2" ht="23.25" customHeight="1">
      <c r="B7290" s="2669"/>
    </row>
    <row r="7291" spans="2:2" ht="23.25" customHeight="1">
      <c r="B7291" s="2669"/>
    </row>
    <row r="7292" spans="2:2" ht="23.25" customHeight="1">
      <c r="B7292" s="2669"/>
    </row>
    <row r="7293" spans="2:2" ht="23.25" customHeight="1">
      <c r="B7293" s="2669"/>
    </row>
    <row r="7294" spans="2:2" ht="23.25" customHeight="1">
      <c r="B7294" s="2669"/>
    </row>
    <row r="7295" spans="2:2" ht="23.25" customHeight="1">
      <c r="B7295" s="2669"/>
    </row>
    <row r="7296" spans="2:2" ht="23.25" customHeight="1">
      <c r="B7296" s="2669"/>
    </row>
    <row r="7297" spans="2:2" ht="23.25" customHeight="1">
      <c r="B7297" s="2669"/>
    </row>
    <row r="7298" spans="2:2" ht="23.25" customHeight="1">
      <c r="B7298" s="2669"/>
    </row>
    <row r="7299" spans="2:2" ht="23.25" customHeight="1">
      <c r="B7299" s="2669"/>
    </row>
    <row r="7300" spans="2:2" ht="23.25" customHeight="1">
      <c r="B7300" s="2669"/>
    </row>
    <row r="7301" spans="2:2" ht="23.25" customHeight="1">
      <c r="B7301" s="2669"/>
    </row>
    <row r="7302" spans="2:2" ht="23.25" customHeight="1">
      <c r="B7302" s="2669"/>
    </row>
    <row r="7303" spans="2:2" ht="23.25" customHeight="1">
      <c r="B7303" s="2669"/>
    </row>
    <row r="7304" spans="2:2" ht="23.25" customHeight="1">
      <c r="B7304" s="2669"/>
    </row>
    <row r="7305" spans="2:2" ht="23.25" customHeight="1">
      <c r="B7305" s="2669"/>
    </row>
    <row r="7306" spans="2:2" ht="23.25" customHeight="1">
      <c r="B7306" s="2669"/>
    </row>
    <row r="7307" spans="2:2" ht="23.25" customHeight="1">
      <c r="B7307" s="2669"/>
    </row>
    <row r="7308" spans="2:2" ht="23.25" customHeight="1">
      <c r="B7308" s="2669"/>
    </row>
    <row r="7309" spans="2:2" ht="23.25" customHeight="1">
      <c r="B7309" s="2669"/>
    </row>
    <row r="7310" spans="2:2" ht="23.25" customHeight="1">
      <c r="B7310" s="2669"/>
    </row>
    <row r="7311" spans="2:2" ht="23.25" customHeight="1">
      <c r="B7311" s="2669"/>
    </row>
    <row r="7312" spans="2:2" ht="23.25" customHeight="1">
      <c r="B7312" s="2669"/>
    </row>
    <row r="7313" spans="2:2" ht="23.25" customHeight="1">
      <c r="B7313" s="2669"/>
    </row>
    <row r="7314" spans="2:2" ht="23.25" customHeight="1">
      <c r="B7314" s="2669"/>
    </row>
    <row r="7315" spans="2:2" ht="23.25" customHeight="1">
      <c r="B7315" s="2669"/>
    </row>
    <row r="7316" spans="2:2" ht="23.25" customHeight="1">
      <c r="B7316" s="2669"/>
    </row>
    <row r="7317" spans="2:2" ht="23.25" customHeight="1">
      <c r="B7317" s="2669"/>
    </row>
    <row r="7318" spans="2:2" ht="23.25" customHeight="1">
      <c r="B7318" s="2669"/>
    </row>
    <row r="7319" spans="2:2" ht="23.25" customHeight="1">
      <c r="B7319" s="2669"/>
    </row>
    <row r="7320" spans="2:2" ht="23.25" customHeight="1">
      <c r="B7320" s="2669"/>
    </row>
    <row r="7321" spans="2:2" ht="23.25" customHeight="1">
      <c r="B7321" s="2669"/>
    </row>
    <row r="7322" spans="2:2" ht="23.25" customHeight="1">
      <c r="B7322" s="2669"/>
    </row>
    <row r="7323" spans="2:2" ht="23.25" customHeight="1">
      <c r="B7323" s="2669"/>
    </row>
    <row r="7324" spans="2:2" ht="23.25" customHeight="1">
      <c r="B7324" s="2669"/>
    </row>
    <row r="7325" spans="2:2" ht="23.25" customHeight="1">
      <c r="B7325" s="2669"/>
    </row>
    <row r="7326" spans="2:2" ht="23.25" customHeight="1">
      <c r="B7326" s="2669"/>
    </row>
    <row r="7327" spans="2:2" ht="23.25" customHeight="1">
      <c r="B7327" s="2669"/>
    </row>
    <row r="7328" spans="2:2" ht="23.25" customHeight="1">
      <c r="B7328" s="2669"/>
    </row>
    <row r="7329" spans="2:2" ht="23.25" customHeight="1">
      <c r="B7329" s="2669"/>
    </row>
    <row r="7330" spans="2:2" ht="23.25" customHeight="1">
      <c r="B7330" s="2669"/>
    </row>
    <row r="7331" spans="2:2" ht="23.25" customHeight="1">
      <c r="B7331" s="2669"/>
    </row>
    <row r="7332" spans="2:2" ht="23.25" customHeight="1">
      <c r="B7332" s="2669"/>
    </row>
    <row r="7333" spans="2:2" ht="23.25" customHeight="1">
      <c r="B7333" s="2669"/>
    </row>
    <row r="7334" spans="2:2" ht="23.25" customHeight="1">
      <c r="B7334" s="2669"/>
    </row>
    <row r="7335" spans="2:2" ht="23.25" customHeight="1">
      <c r="B7335" s="2669"/>
    </row>
    <row r="7336" spans="2:2" ht="23.25" customHeight="1">
      <c r="B7336" s="2669"/>
    </row>
    <row r="7337" spans="2:2" ht="23.25" customHeight="1">
      <c r="B7337" s="2669"/>
    </row>
    <row r="7338" spans="2:2" ht="23.25" customHeight="1">
      <c r="B7338" s="2669"/>
    </row>
    <row r="7339" spans="2:2" ht="23.25" customHeight="1">
      <c r="B7339" s="2669"/>
    </row>
    <row r="7340" spans="2:2" ht="23.25" customHeight="1">
      <c r="B7340" s="2669"/>
    </row>
    <row r="7341" spans="2:2" ht="23.25" customHeight="1">
      <c r="B7341" s="2669"/>
    </row>
    <row r="7342" spans="2:2" ht="23.25" customHeight="1">
      <c r="B7342" s="2669"/>
    </row>
    <row r="7343" spans="2:2" ht="23.25" customHeight="1">
      <c r="B7343" s="2669"/>
    </row>
    <row r="7344" spans="2:2" ht="23.25" customHeight="1">
      <c r="B7344" s="2669"/>
    </row>
    <row r="7345" spans="2:2" ht="23.25" customHeight="1">
      <c r="B7345" s="2669"/>
    </row>
    <row r="7346" spans="2:2" ht="23.25" customHeight="1">
      <c r="B7346" s="2669"/>
    </row>
    <row r="7347" spans="2:2" ht="23.25" customHeight="1">
      <c r="B7347" s="2669"/>
    </row>
    <row r="7348" spans="2:2" ht="23.25" customHeight="1">
      <c r="B7348" s="2669"/>
    </row>
    <row r="7349" spans="2:2" ht="23.25" customHeight="1">
      <c r="B7349" s="2669"/>
    </row>
    <row r="7350" spans="2:2" ht="23.25" customHeight="1">
      <c r="B7350" s="2669"/>
    </row>
    <row r="7351" spans="2:2" ht="23.25" customHeight="1">
      <c r="B7351" s="2669"/>
    </row>
    <row r="7352" spans="2:2" ht="23.25" customHeight="1">
      <c r="B7352" s="2669"/>
    </row>
    <row r="7353" spans="2:2" ht="23.25" customHeight="1">
      <c r="B7353" s="2669"/>
    </row>
    <row r="7354" spans="2:2" ht="23.25" customHeight="1">
      <c r="B7354" s="2669"/>
    </row>
    <row r="7355" spans="2:2" ht="23.25" customHeight="1">
      <c r="B7355" s="2669"/>
    </row>
    <row r="7356" spans="2:2" ht="23.25" customHeight="1">
      <c r="B7356" s="2669"/>
    </row>
    <row r="7357" spans="2:2" ht="23.25" customHeight="1">
      <c r="B7357" s="2669"/>
    </row>
    <row r="7358" spans="2:2" ht="23.25" customHeight="1">
      <c r="B7358" s="2669"/>
    </row>
    <row r="7359" spans="2:2" ht="23.25" customHeight="1">
      <c r="B7359" s="2669"/>
    </row>
    <row r="7360" spans="2:2" ht="23.25" customHeight="1">
      <c r="B7360" s="2669"/>
    </row>
    <row r="7361" spans="2:2" ht="23.25" customHeight="1">
      <c r="B7361" s="2669"/>
    </row>
    <row r="7362" spans="2:2" ht="23.25" customHeight="1">
      <c r="B7362" s="2669"/>
    </row>
    <row r="7363" spans="2:2" ht="23.25" customHeight="1">
      <c r="B7363" s="2669"/>
    </row>
    <row r="7364" spans="2:2" ht="23.25" customHeight="1">
      <c r="B7364" s="2669"/>
    </row>
    <row r="7365" spans="2:2" ht="23.25" customHeight="1">
      <c r="B7365" s="2669"/>
    </row>
    <row r="7366" spans="2:2" ht="23.25" customHeight="1">
      <c r="B7366" s="2669"/>
    </row>
    <row r="7367" spans="2:2" ht="23.25" customHeight="1">
      <c r="B7367" s="2669"/>
    </row>
    <row r="7368" spans="2:2" ht="23.25" customHeight="1">
      <c r="B7368" s="2669"/>
    </row>
    <row r="7369" spans="2:2" ht="23.25" customHeight="1">
      <c r="B7369" s="2669"/>
    </row>
    <row r="7370" spans="2:2" ht="23.25" customHeight="1">
      <c r="B7370" s="2669"/>
    </row>
    <row r="7371" spans="2:2" ht="23.25" customHeight="1">
      <c r="B7371" s="2669"/>
    </row>
    <row r="7372" spans="2:2" ht="23.25" customHeight="1">
      <c r="B7372" s="2669"/>
    </row>
    <row r="7373" spans="2:2" ht="23.25" customHeight="1">
      <c r="B7373" s="2669"/>
    </row>
    <row r="7374" spans="2:2" ht="23.25" customHeight="1">
      <c r="B7374" s="2669"/>
    </row>
    <row r="7375" spans="2:2" ht="23.25" customHeight="1">
      <c r="B7375" s="2669"/>
    </row>
    <row r="7376" spans="2:2" ht="23.25" customHeight="1">
      <c r="B7376" s="2669"/>
    </row>
    <row r="7377" spans="2:2" ht="23.25" customHeight="1">
      <c r="B7377" s="2669"/>
    </row>
    <row r="7378" spans="2:2" ht="23.25" customHeight="1">
      <c r="B7378" s="2669"/>
    </row>
    <row r="7379" spans="2:2" ht="23.25" customHeight="1">
      <c r="B7379" s="2669"/>
    </row>
    <row r="7380" spans="2:2" ht="23.25" customHeight="1">
      <c r="B7380" s="2669"/>
    </row>
    <row r="7381" spans="2:2" ht="23.25" customHeight="1">
      <c r="B7381" s="2669"/>
    </row>
    <row r="7382" spans="2:2" ht="23.25" customHeight="1">
      <c r="B7382" s="2669"/>
    </row>
    <row r="7383" spans="2:2" ht="23.25" customHeight="1">
      <c r="B7383" s="2669"/>
    </row>
    <row r="7384" spans="2:2" ht="23.25" customHeight="1">
      <c r="B7384" s="2669"/>
    </row>
    <row r="7385" spans="2:2" ht="23.25" customHeight="1">
      <c r="B7385" s="2669"/>
    </row>
    <row r="7386" spans="2:2" ht="23.25" customHeight="1">
      <c r="B7386" s="2669"/>
    </row>
    <row r="7387" spans="2:2" ht="23.25" customHeight="1">
      <c r="B7387" s="2669"/>
    </row>
    <row r="7388" spans="2:2" ht="23.25" customHeight="1">
      <c r="B7388" s="2669"/>
    </row>
    <row r="7389" spans="2:2" ht="23.25" customHeight="1">
      <c r="B7389" s="2669"/>
    </row>
    <row r="7390" spans="2:2" ht="23.25" customHeight="1">
      <c r="B7390" s="2669"/>
    </row>
    <row r="7391" spans="2:2" ht="23.25" customHeight="1">
      <c r="B7391" s="2669"/>
    </row>
    <row r="7392" spans="2:2" ht="23.25" customHeight="1">
      <c r="B7392" s="2669"/>
    </row>
    <row r="7393" spans="2:2" ht="23.25" customHeight="1">
      <c r="B7393" s="2669"/>
    </row>
    <row r="7394" spans="2:2" ht="23.25" customHeight="1">
      <c r="B7394" s="2669"/>
    </row>
    <row r="7395" spans="2:2" ht="23.25" customHeight="1">
      <c r="B7395" s="2669"/>
    </row>
    <row r="7396" spans="2:2" ht="23.25" customHeight="1">
      <c r="B7396" s="2669"/>
    </row>
    <row r="7397" spans="2:2" ht="23.25" customHeight="1">
      <c r="B7397" s="2669"/>
    </row>
    <row r="7398" spans="2:2" ht="23.25" customHeight="1">
      <c r="B7398" s="2669"/>
    </row>
    <row r="7399" spans="2:2" ht="23.25" customHeight="1">
      <c r="B7399" s="2669"/>
    </row>
    <row r="7400" spans="2:2" ht="23.25" customHeight="1">
      <c r="B7400" s="2669"/>
    </row>
    <row r="7401" spans="2:2" ht="23.25" customHeight="1">
      <c r="B7401" s="2669"/>
    </row>
    <row r="7402" spans="2:2" ht="23.25" customHeight="1">
      <c r="B7402" s="2669"/>
    </row>
    <row r="7403" spans="2:2" ht="23.25" customHeight="1">
      <c r="B7403" s="2669"/>
    </row>
    <row r="7404" spans="2:2" ht="23.25" customHeight="1">
      <c r="B7404" s="2669"/>
    </row>
    <row r="7405" spans="2:2" ht="23.25" customHeight="1">
      <c r="B7405" s="2669"/>
    </row>
    <row r="7406" spans="2:2" ht="23.25" customHeight="1">
      <c r="B7406" s="2669"/>
    </row>
    <row r="7407" spans="2:2" ht="23.25" customHeight="1">
      <c r="B7407" s="2669"/>
    </row>
    <row r="7408" spans="2:2" ht="23.25" customHeight="1">
      <c r="B7408" s="2669"/>
    </row>
    <row r="7409" spans="2:2" ht="23.25" customHeight="1">
      <c r="B7409" s="2669"/>
    </row>
    <row r="7410" spans="2:2" ht="23.25" customHeight="1">
      <c r="B7410" s="2669"/>
    </row>
    <row r="7411" spans="2:2" ht="23.25" customHeight="1">
      <c r="B7411" s="2669"/>
    </row>
    <row r="7412" spans="2:2" ht="23.25" customHeight="1">
      <c r="B7412" s="2669"/>
    </row>
    <row r="7413" spans="2:2" ht="23.25" customHeight="1">
      <c r="B7413" s="2669"/>
    </row>
    <row r="7414" spans="2:2" ht="23.25" customHeight="1">
      <c r="B7414" s="2669"/>
    </row>
    <row r="7415" spans="2:2" ht="23.25" customHeight="1">
      <c r="B7415" s="2669"/>
    </row>
    <row r="7416" spans="2:2" ht="23.25" customHeight="1">
      <c r="B7416" s="2669"/>
    </row>
    <row r="7417" spans="2:2" ht="23.25" customHeight="1">
      <c r="B7417" s="2669"/>
    </row>
    <row r="7418" spans="2:2" ht="23.25" customHeight="1">
      <c r="B7418" s="2669"/>
    </row>
    <row r="7419" spans="2:2" ht="23.25" customHeight="1">
      <c r="B7419" s="2669"/>
    </row>
    <row r="7420" spans="2:2" ht="23.25" customHeight="1">
      <c r="B7420" s="2669"/>
    </row>
    <row r="7421" spans="2:2" ht="23.25" customHeight="1">
      <c r="B7421" s="2669"/>
    </row>
    <row r="7422" spans="2:2" ht="23.25" customHeight="1">
      <c r="B7422" s="2669"/>
    </row>
    <row r="7423" spans="2:2" ht="23.25" customHeight="1">
      <c r="B7423" s="2669"/>
    </row>
    <row r="7424" spans="2:2" ht="23.25" customHeight="1">
      <c r="B7424" s="2669"/>
    </row>
    <row r="7425" spans="2:2" ht="23.25" customHeight="1">
      <c r="B7425" s="2669"/>
    </row>
    <row r="7426" spans="2:2" ht="23.25" customHeight="1">
      <c r="B7426" s="2669"/>
    </row>
    <row r="7427" spans="2:2" ht="23.25" customHeight="1">
      <c r="B7427" s="2669"/>
    </row>
    <row r="7428" spans="2:2" ht="23.25" customHeight="1">
      <c r="B7428" s="2669"/>
    </row>
    <row r="7429" spans="2:2" ht="23.25" customHeight="1">
      <c r="B7429" s="2669"/>
    </row>
    <row r="7430" spans="2:2" ht="23.25" customHeight="1">
      <c r="B7430" s="2669"/>
    </row>
    <row r="7431" spans="2:2" ht="23.25" customHeight="1">
      <c r="B7431" s="2669"/>
    </row>
    <row r="7432" spans="2:2" ht="23.25" customHeight="1">
      <c r="B7432" s="2669"/>
    </row>
    <row r="7433" spans="2:2" ht="23.25" customHeight="1">
      <c r="B7433" s="2669"/>
    </row>
    <row r="7434" spans="2:2" ht="23.25" customHeight="1">
      <c r="B7434" s="2669"/>
    </row>
    <row r="7435" spans="2:2" ht="23.25" customHeight="1">
      <c r="B7435" s="2669"/>
    </row>
    <row r="7436" spans="2:2" ht="23.25" customHeight="1">
      <c r="B7436" s="2669"/>
    </row>
    <row r="7437" spans="2:2" ht="23.25" customHeight="1">
      <c r="B7437" s="2669"/>
    </row>
    <row r="7438" spans="2:2" ht="23.25" customHeight="1">
      <c r="B7438" s="2669"/>
    </row>
    <row r="7439" spans="2:2" ht="23.25" customHeight="1">
      <c r="B7439" s="2669"/>
    </row>
    <row r="7440" spans="2:2" ht="23.25" customHeight="1">
      <c r="B7440" s="2669"/>
    </row>
    <row r="7441" spans="2:2" ht="23.25" customHeight="1">
      <c r="B7441" s="2669"/>
    </row>
    <row r="7442" spans="2:2" ht="23.25" customHeight="1">
      <c r="B7442" s="2669"/>
    </row>
    <row r="7443" spans="2:2" ht="23.25" customHeight="1">
      <c r="B7443" s="2669"/>
    </row>
    <row r="7444" spans="2:2" ht="23.25" customHeight="1">
      <c r="B7444" s="2669"/>
    </row>
    <row r="7445" spans="2:2" ht="23.25" customHeight="1">
      <c r="B7445" s="2669"/>
    </row>
    <row r="7446" spans="2:2" ht="23.25" customHeight="1">
      <c r="B7446" s="2669"/>
    </row>
    <row r="7447" spans="2:2" ht="23.25" customHeight="1">
      <c r="B7447" s="2669"/>
    </row>
    <row r="7448" spans="2:2" ht="23.25" customHeight="1">
      <c r="B7448" s="2669"/>
    </row>
    <row r="7449" spans="2:2" ht="23.25" customHeight="1">
      <c r="B7449" s="2669"/>
    </row>
    <row r="7450" spans="2:2" ht="23.25" customHeight="1">
      <c r="B7450" s="2669"/>
    </row>
    <row r="7451" spans="2:2" ht="23.25" customHeight="1">
      <c r="B7451" s="2669"/>
    </row>
    <row r="7452" spans="2:2" ht="23.25" customHeight="1">
      <c r="B7452" s="2669"/>
    </row>
    <row r="7453" spans="2:2" ht="23.25" customHeight="1">
      <c r="B7453" s="2669"/>
    </row>
    <row r="7454" spans="2:2" ht="23.25" customHeight="1">
      <c r="B7454" s="2669"/>
    </row>
    <row r="7455" spans="2:2" ht="23.25" customHeight="1">
      <c r="B7455" s="2669"/>
    </row>
    <row r="7456" spans="2:2" ht="23.25" customHeight="1">
      <c r="B7456" s="2669"/>
    </row>
    <row r="7457" spans="2:2" ht="23.25" customHeight="1">
      <c r="B7457" s="2669"/>
    </row>
    <row r="7458" spans="2:2" ht="23.25" customHeight="1">
      <c r="B7458" s="2669"/>
    </row>
    <row r="7459" spans="2:2" ht="23.25" customHeight="1">
      <c r="B7459" s="2669"/>
    </row>
    <row r="7460" spans="2:2" ht="23.25" customHeight="1">
      <c r="B7460" s="2669"/>
    </row>
    <row r="7461" spans="2:2" ht="23.25" customHeight="1">
      <c r="B7461" s="2669"/>
    </row>
    <row r="7462" spans="2:2" ht="23.25" customHeight="1">
      <c r="B7462" s="2669"/>
    </row>
    <row r="7463" spans="2:2" ht="23.25" customHeight="1">
      <c r="B7463" s="2669"/>
    </row>
    <row r="7464" spans="2:2" ht="23.25" customHeight="1">
      <c r="B7464" s="2669"/>
    </row>
    <row r="7465" spans="2:2" ht="23.25" customHeight="1">
      <c r="B7465" s="2669"/>
    </row>
    <row r="7466" spans="2:2" ht="23.25" customHeight="1">
      <c r="B7466" s="2669"/>
    </row>
    <row r="7467" spans="2:2" ht="23.25" customHeight="1">
      <c r="B7467" s="2669"/>
    </row>
    <row r="7468" spans="2:2" ht="23.25" customHeight="1">
      <c r="B7468" s="2669"/>
    </row>
    <row r="7469" spans="2:2" ht="23.25" customHeight="1">
      <c r="B7469" s="2669"/>
    </row>
    <row r="7470" spans="2:2" ht="23.25" customHeight="1">
      <c r="B7470" s="2669"/>
    </row>
    <row r="7471" spans="2:2" ht="23.25" customHeight="1">
      <c r="B7471" s="2669"/>
    </row>
    <row r="7472" spans="2:2" ht="23.25" customHeight="1">
      <c r="B7472" s="2669"/>
    </row>
    <row r="7473" spans="2:2" ht="23.25" customHeight="1">
      <c r="B7473" s="2669"/>
    </row>
    <row r="7474" spans="2:2" ht="23.25" customHeight="1">
      <c r="B7474" s="2669"/>
    </row>
    <row r="7475" spans="2:2" ht="23.25" customHeight="1">
      <c r="B7475" s="2669"/>
    </row>
    <row r="7476" spans="2:2" ht="23.25" customHeight="1">
      <c r="B7476" s="2669"/>
    </row>
    <row r="7477" spans="2:2" ht="23.25" customHeight="1">
      <c r="B7477" s="2669"/>
    </row>
    <row r="7478" spans="2:2" ht="23.25" customHeight="1">
      <c r="B7478" s="2669"/>
    </row>
    <row r="7479" spans="2:2" ht="23.25" customHeight="1">
      <c r="B7479" s="2669"/>
    </row>
    <row r="7480" spans="2:2" ht="23.25" customHeight="1">
      <c r="B7480" s="2669"/>
    </row>
    <row r="7481" spans="2:2" ht="23.25" customHeight="1">
      <c r="B7481" s="2669"/>
    </row>
    <row r="7482" spans="2:2" ht="23.25" customHeight="1">
      <c r="B7482" s="2669"/>
    </row>
    <row r="7483" spans="2:2" ht="23.25" customHeight="1">
      <c r="B7483" s="2669"/>
    </row>
    <row r="7484" spans="2:2" ht="23.25" customHeight="1">
      <c r="B7484" s="2669"/>
    </row>
    <row r="7485" spans="2:2" ht="23.25" customHeight="1">
      <c r="B7485" s="2669"/>
    </row>
    <row r="7486" spans="2:2" ht="23.25" customHeight="1">
      <c r="B7486" s="2669"/>
    </row>
    <row r="7487" spans="2:2" ht="23.25" customHeight="1">
      <c r="B7487" s="2669"/>
    </row>
    <row r="7488" spans="2:2" ht="23.25" customHeight="1">
      <c r="B7488" s="2669"/>
    </row>
    <row r="7489" spans="2:2" ht="23.25" customHeight="1">
      <c r="B7489" s="2669"/>
    </row>
    <row r="7490" spans="2:2" ht="23.25" customHeight="1">
      <c r="B7490" s="2669"/>
    </row>
    <row r="7491" spans="2:2" ht="23.25" customHeight="1">
      <c r="B7491" s="2669"/>
    </row>
    <row r="7492" spans="2:2" ht="23.25" customHeight="1">
      <c r="B7492" s="2669"/>
    </row>
    <row r="7493" spans="2:2" ht="23.25" customHeight="1">
      <c r="B7493" s="2669"/>
    </row>
    <row r="7494" spans="2:2" ht="23.25" customHeight="1">
      <c r="B7494" s="2669"/>
    </row>
    <row r="7495" spans="2:2" ht="23.25" customHeight="1">
      <c r="B7495" s="2669"/>
    </row>
    <row r="7496" spans="2:2" ht="23.25" customHeight="1">
      <c r="B7496" s="2669"/>
    </row>
    <row r="7497" spans="2:2" ht="23.25" customHeight="1">
      <c r="B7497" s="2669"/>
    </row>
    <row r="7498" spans="2:2" ht="23.25" customHeight="1">
      <c r="B7498" s="2669"/>
    </row>
    <row r="7499" spans="2:2" ht="23.25" customHeight="1">
      <c r="B7499" s="2669"/>
    </row>
    <row r="7500" spans="2:2" ht="23.25" customHeight="1">
      <c r="B7500" s="2669"/>
    </row>
    <row r="7501" spans="2:2" ht="23.25" customHeight="1">
      <c r="B7501" s="2669"/>
    </row>
    <row r="7502" spans="2:2" ht="23.25" customHeight="1">
      <c r="B7502" s="2669"/>
    </row>
    <row r="7503" spans="2:2" ht="23.25" customHeight="1">
      <c r="B7503" s="2669"/>
    </row>
    <row r="7504" spans="2:2" ht="23.25" customHeight="1">
      <c r="B7504" s="2669"/>
    </row>
    <row r="7505" spans="2:2" ht="23.25" customHeight="1">
      <c r="B7505" s="2669"/>
    </row>
    <row r="7506" spans="2:2" ht="23.25" customHeight="1">
      <c r="B7506" s="2669"/>
    </row>
    <row r="7507" spans="2:2" ht="23.25" customHeight="1">
      <c r="B7507" s="2669"/>
    </row>
    <row r="7508" spans="2:2" ht="23.25" customHeight="1">
      <c r="B7508" s="2669"/>
    </row>
    <row r="7509" spans="2:2" ht="23.25" customHeight="1">
      <c r="B7509" s="2669"/>
    </row>
    <row r="7510" spans="2:2" ht="23.25" customHeight="1">
      <c r="B7510" s="2669"/>
    </row>
    <row r="7511" spans="2:2" ht="23.25" customHeight="1">
      <c r="B7511" s="2669"/>
    </row>
    <row r="7512" spans="2:2" ht="23.25" customHeight="1">
      <c r="B7512" s="2669"/>
    </row>
    <row r="7513" spans="2:2" ht="23.25" customHeight="1">
      <c r="B7513" s="2669"/>
    </row>
    <row r="7514" spans="2:2" ht="23.25" customHeight="1">
      <c r="B7514" s="2669"/>
    </row>
    <row r="7515" spans="2:2" ht="23.25" customHeight="1">
      <c r="B7515" s="2669"/>
    </row>
    <row r="7516" spans="2:2" ht="23.25" customHeight="1">
      <c r="B7516" s="2669"/>
    </row>
    <row r="7517" spans="2:2" ht="23.25" customHeight="1">
      <c r="B7517" s="2669"/>
    </row>
    <row r="7518" spans="2:2" ht="23.25" customHeight="1">
      <c r="B7518" s="2669"/>
    </row>
    <row r="7519" spans="2:2" ht="23.25" customHeight="1">
      <c r="B7519" s="2669"/>
    </row>
    <row r="7520" spans="2:2" ht="23.25" customHeight="1">
      <c r="B7520" s="2669"/>
    </row>
    <row r="7521" spans="2:2" ht="23.25" customHeight="1">
      <c r="B7521" s="2669"/>
    </row>
    <row r="7522" spans="2:2" ht="23.25" customHeight="1">
      <c r="B7522" s="2669"/>
    </row>
    <row r="7523" spans="2:2" ht="23.25" customHeight="1">
      <c r="B7523" s="2669"/>
    </row>
    <row r="7524" spans="2:2" ht="23.25" customHeight="1">
      <c r="B7524" s="2669"/>
    </row>
    <row r="7525" spans="2:2" ht="23.25" customHeight="1">
      <c r="B7525" s="2669"/>
    </row>
    <row r="7526" spans="2:2" ht="23.25" customHeight="1">
      <c r="B7526" s="2669"/>
    </row>
    <row r="7527" spans="2:2" ht="23.25" customHeight="1">
      <c r="B7527" s="2669"/>
    </row>
    <row r="7528" spans="2:2" ht="23.25" customHeight="1">
      <c r="B7528" s="2669"/>
    </row>
    <row r="7529" spans="2:2" ht="23.25" customHeight="1">
      <c r="B7529" s="2669"/>
    </row>
    <row r="7530" spans="2:2" ht="23.25" customHeight="1">
      <c r="B7530" s="2669"/>
    </row>
    <row r="7531" spans="2:2" ht="23.25" customHeight="1">
      <c r="B7531" s="2669"/>
    </row>
    <row r="7532" spans="2:2" ht="23.25" customHeight="1">
      <c r="B7532" s="2669"/>
    </row>
    <row r="7533" spans="2:2" ht="23.25" customHeight="1">
      <c r="B7533" s="2669"/>
    </row>
    <row r="7534" spans="2:2" ht="23.25" customHeight="1">
      <c r="B7534" s="2669"/>
    </row>
    <row r="7535" spans="2:2" ht="23.25" customHeight="1">
      <c r="B7535" s="2669"/>
    </row>
    <row r="7536" spans="2:2" ht="23.25" customHeight="1">
      <c r="B7536" s="2669"/>
    </row>
    <row r="7537" spans="2:2" ht="23.25" customHeight="1">
      <c r="B7537" s="2669"/>
    </row>
    <row r="7538" spans="2:2" ht="23.25" customHeight="1">
      <c r="B7538" s="2669"/>
    </row>
    <row r="7539" spans="2:2" ht="23.25" customHeight="1">
      <c r="B7539" s="2669"/>
    </row>
    <row r="7540" spans="2:2" ht="23.25" customHeight="1">
      <c r="B7540" s="2669"/>
    </row>
    <row r="7541" spans="2:2" ht="23.25" customHeight="1">
      <c r="B7541" s="2669"/>
    </row>
    <row r="7542" spans="2:2" ht="23.25" customHeight="1">
      <c r="B7542" s="2669"/>
    </row>
    <row r="7543" spans="2:2" ht="23.25" customHeight="1">
      <c r="B7543" s="2669"/>
    </row>
    <row r="7544" spans="2:2" ht="23.25" customHeight="1">
      <c r="B7544" s="2669"/>
    </row>
    <row r="7545" spans="2:2" ht="23.25" customHeight="1">
      <c r="B7545" s="2669"/>
    </row>
    <row r="7546" spans="2:2" ht="23.25" customHeight="1">
      <c r="B7546" s="2669"/>
    </row>
    <row r="7547" spans="2:2" ht="23.25" customHeight="1">
      <c r="B7547" s="2669"/>
    </row>
    <row r="7548" spans="2:2" ht="23.25" customHeight="1">
      <c r="B7548" s="2669"/>
    </row>
    <row r="7549" spans="2:2" ht="23.25" customHeight="1">
      <c r="B7549" s="2669"/>
    </row>
    <row r="7550" spans="2:2" ht="23.25" customHeight="1">
      <c r="B7550" s="2669"/>
    </row>
    <row r="7551" spans="2:2" ht="23.25" customHeight="1">
      <c r="B7551" s="2669"/>
    </row>
    <row r="7552" spans="2:2" ht="23.25" customHeight="1">
      <c r="B7552" s="2669"/>
    </row>
    <row r="7553" spans="2:2" ht="23.25" customHeight="1">
      <c r="B7553" s="2669"/>
    </row>
    <row r="7554" spans="2:2" ht="23.25" customHeight="1">
      <c r="B7554" s="2669"/>
    </row>
    <row r="7555" spans="2:2" ht="23.25" customHeight="1">
      <c r="B7555" s="2669"/>
    </row>
    <row r="7556" spans="2:2" ht="23.25" customHeight="1">
      <c r="B7556" s="2669"/>
    </row>
    <row r="7557" spans="2:2" ht="23.25" customHeight="1">
      <c r="B7557" s="2669"/>
    </row>
    <row r="7558" spans="2:2" ht="23.25" customHeight="1">
      <c r="B7558" s="2669"/>
    </row>
    <row r="7559" spans="2:2" ht="23.25" customHeight="1">
      <c r="B7559" s="2669"/>
    </row>
    <row r="7560" spans="2:2" ht="23.25" customHeight="1">
      <c r="B7560" s="2669"/>
    </row>
    <row r="7561" spans="2:2" ht="23.25" customHeight="1">
      <c r="B7561" s="2669"/>
    </row>
    <row r="7562" spans="2:2" ht="23.25" customHeight="1">
      <c r="B7562" s="2669"/>
    </row>
    <row r="7563" spans="2:2" ht="23.25" customHeight="1">
      <c r="B7563" s="2669"/>
    </row>
    <row r="7564" spans="2:2" ht="23.25" customHeight="1">
      <c r="B7564" s="2669"/>
    </row>
    <row r="7565" spans="2:2" ht="23.25" customHeight="1">
      <c r="B7565" s="2669"/>
    </row>
    <row r="7566" spans="2:2" ht="23.25" customHeight="1">
      <c r="B7566" s="2669"/>
    </row>
    <row r="7567" spans="2:2" ht="23.25" customHeight="1">
      <c r="B7567" s="2669"/>
    </row>
    <row r="7568" spans="2:2" ht="23.25" customHeight="1">
      <c r="B7568" s="2669"/>
    </row>
    <row r="7569" spans="2:2" ht="23.25" customHeight="1">
      <c r="B7569" s="2669"/>
    </row>
    <row r="7570" spans="2:2" ht="23.25" customHeight="1">
      <c r="B7570" s="2669"/>
    </row>
    <row r="7571" spans="2:2" ht="23.25" customHeight="1">
      <c r="B7571" s="2669"/>
    </row>
    <row r="7572" spans="2:2" ht="23.25" customHeight="1">
      <c r="B7572" s="2669"/>
    </row>
    <row r="7573" spans="2:2" ht="23.25" customHeight="1">
      <c r="B7573" s="2669"/>
    </row>
    <row r="7574" spans="2:2" ht="23.25" customHeight="1">
      <c r="B7574" s="2669"/>
    </row>
    <row r="7575" spans="2:2" ht="23.25" customHeight="1">
      <c r="B7575" s="2669"/>
    </row>
    <row r="7576" spans="2:2" ht="23.25" customHeight="1">
      <c r="B7576" s="2669"/>
    </row>
    <row r="7577" spans="2:2" ht="23.25" customHeight="1">
      <c r="B7577" s="2669"/>
    </row>
    <row r="7578" spans="2:2" ht="23.25" customHeight="1">
      <c r="B7578" s="2669"/>
    </row>
    <row r="7579" spans="2:2" ht="23.25" customHeight="1">
      <c r="B7579" s="2669"/>
    </row>
    <row r="7580" spans="2:2" ht="23.25" customHeight="1">
      <c r="B7580" s="2669"/>
    </row>
    <row r="7581" spans="2:2" ht="23.25" customHeight="1">
      <c r="B7581" s="2669"/>
    </row>
    <row r="7582" spans="2:2" ht="23.25" customHeight="1">
      <c r="B7582" s="2669"/>
    </row>
    <row r="7583" spans="2:2" ht="23.25" customHeight="1">
      <c r="B7583" s="2669"/>
    </row>
    <row r="7584" spans="2:2" ht="23.25" customHeight="1">
      <c r="B7584" s="2669"/>
    </row>
    <row r="7585" spans="2:2" ht="23.25" customHeight="1">
      <c r="B7585" s="2669"/>
    </row>
    <row r="7586" spans="2:2" ht="23.25" customHeight="1">
      <c r="B7586" s="2669"/>
    </row>
    <row r="7587" spans="2:2" ht="23.25" customHeight="1">
      <c r="B7587" s="2669"/>
    </row>
    <row r="7588" spans="2:2" ht="23.25" customHeight="1">
      <c r="B7588" s="2669"/>
    </row>
    <row r="7589" spans="2:2" ht="23.25" customHeight="1">
      <c r="B7589" s="2669"/>
    </row>
    <row r="7590" spans="2:2" ht="23.25" customHeight="1">
      <c r="B7590" s="2669"/>
    </row>
    <row r="7591" spans="2:2" ht="23.25" customHeight="1">
      <c r="B7591" s="2669"/>
    </row>
    <row r="7592" spans="2:2" ht="23.25" customHeight="1">
      <c r="B7592" s="2669"/>
    </row>
    <row r="7593" spans="2:2" ht="23.25" customHeight="1">
      <c r="B7593" s="2669"/>
    </row>
    <row r="7594" spans="2:2" ht="23.25" customHeight="1">
      <c r="B7594" s="2669"/>
    </row>
    <row r="7595" spans="2:2" ht="23.25" customHeight="1">
      <c r="B7595" s="2669"/>
    </row>
    <row r="7596" spans="2:2" ht="23.25" customHeight="1">
      <c r="B7596" s="2669"/>
    </row>
    <row r="7597" spans="2:2" ht="23.25" customHeight="1">
      <c r="B7597" s="2669"/>
    </row>
    <row r="7598" spans="2:2" ht="23.25" customHeight="1">
      <c r="B7598" s="2669"/>
    </row>
    <row r="7599" spans="2:2" ht="23.25" customHeight="1">
      <c r="B7599" s="2669"/>
    </row>
    <row r="7600" spans="2:2" ht="23.25" customHeight="1">
      <c r="B7600" s="2669"/>
    </row>
    <row r="7601" spans="2:2" ht="23.25" customHeight="1">
      <c r="B7601" s="2669"/>
    </row>
    <row r="7602" spans="2:2" ht="23.25" customHeight="1">
      <c r="B7602" s="2669"/>
    </row>
    <row r="7603" spans="2:2" ht="23.25" customHeight="1">
      <c r="B7603" s="2669"/>
    </row>
    <row r="7604" spans="2:2" ht="23.25" customHeight="1">
      <c r="B7604" s="2669"/>
    </row>
    <row r="7605" spans="2:2" ht="23.25" customHeight="1">
      <c r="B7605" s="2669"/>
    </row>
    <row r="7606" spans="2:2" ht="23.25" customHeight="1">
      <c r="B7606" s="2669"/>
    </row>
    <row r="7607" spans="2:2" ht="23.25" customHeight="1">
      <c r="B7607" s="2669"/>
    </row>
    <row r="7608" spans="2:2" ht="23.25" customHeight="1">
      <c r="B7608" s="2669"/>
    </row>
    <row r="7609" spans="2:2" ht="23.25" customHeight="1">
      <c r="B7609" s="2669"/>
    </row>
    <row r="7610" spans="2:2" ht="23.25" customHeight="1">
      <c r="B7610" s="2669"/>
    </row>
    <row r="7611" spans="2:2" ht="23.25" customHeight="1">
      <c r="B7611" s="2669"/>
    </row>
    <row r="7612" spans="2:2" ht="23.25" customHeight="1">
      <c r="B7612" s="2669"/>
    </row>
    <row r="7613" spans="2:2" ht="23.25" customHeight="1">
      <c r="B7613" s="2669"/>
    </row>
    <row r="7614" spans="2:2" ht="23.25" customHeight="1">
      <c r="B7614" s="2669"/>
    </row>
    <row r="7615" spans="2:2" ht="23.25" customHeight="1">
      <c r="B7615" s="2669"/>
    </row>
    <row r="7616" spans="2:2" ht="23.25" customHeight="1">
      <c r="B7616" s="2669"/>
    </row>
    <row r="7617" spans="2:2" ht="23.25" customHeight="1">
      <c r="B7617" s="2669"/>
    </row>
    <row r="7618" spans="2:2" ht="23.25" customHeight="1">
      <c r="B7618" s="2669"/>
    </row>
    <row r="7619" spans="2:2" ht="23.25" customHeight="1">
      <c r="B7619" s="2669"/>
    </row>
    <row r="7620" spans="2:2" ht="23.25" customHeight="1">
      <c r="B7620" s="2669"/>
    </row>
    <row r="7621" spans="2:2" ht="23.25" customHeight="1">
      <c r="B7621" s="2669"/>
    </row>
    <row r="7622" spans="2:2" ht="23.25" customHeight="1">
      <c r="B7622" s="2669"/>
    </row>
    <row r="7623" spans="2:2" ht="23.25" customHeight="1">
      <c r="B7623" s="2669"/>
    </row>
    <row r="7624" spans="2:2" ht="23.25" customHeight="1">
      <c r="B7624" s="2669"/>
    </row>
    <row r="7625" spans="2:2" ht="23.25" customHeight="1">
      <c r="B7625" s="2669"/>
    </row>
    <row r="7626" spans="2:2" ht="23.25" customHeight="1">
      <c r="B7626" s="2669"/>
    </row>
    <row r="7627" spans="2:2" ht="23.25" customHeight="1">
      <c r="B7627" s="2669"/>
    </row>
    <row r="7628" spans="2:2" ht="23.25" customHeight="1">
      <c r="B7628" s="2669"/>
    </row>
    <row r="7629" spans="2:2" ht="23.25" customHeight="1">
      <c r="B7629" s="2669"/>
    </row>
    <row r="7630" spans="2:2" ht="23.25" customHeight="1">
      <c r="B7630" s="2669"/>
    </row>
    <row r="7631" spans="2:2" ht="23.25" customHeight="1">
      <c r="B7631" s="2669"/>
    </row>
    <row r="7632" spans="2:2" ht="23.25" customHeight="1">
      <c r="B7632" s="2669"/>
    </row>
    <row r="7633" spans="2:2" ht="23.25" customHeight="1">
      <c r="B7633" s="2669"/>
    </row>
    <row r="7634" spans="2:2" ht="23.25" customHeight="1">
      <c r="B7634" s="2669"/>
    </row>
    <row r="7635" spans="2:2" ht="23.25" customHeight="1">
      <c r="B7635" s="2669"/>
    </row>
    <row r="7636" spans="2:2" ht="23.25" customHeight="1">
      <c r="B7636" s="2669"/>
    </row>
    <row r="7637" spans="2:2" ht="23.25" customHeight="1">
      <c r="B7637" s="2669"/>
    </row>
    <row r="7638" spans="2:2" ht="23.25" customHeight="1">
      <c r="B7638" s="2669"/>
    </row>
    <row r="7639" spans="2:2" ht="23.25" customHeight="1">
      <c r="B7639" s="2669"/>
    </row>
    <row r="7640" spans="2:2" ht="23.25" customHeight="1">
      <c r="B7640" s="2669"/>
    </row>
    <row r="7641" spans="2:2" ht="23.25" customHeight="1">
      <c r="B7641" s="2669"/>
    </row>
    <row r="7642" spans="2:2" ht="23.25" customHeight="1">
      <c r="B7642" s="2669"/>
    </row>
    <row r="7643" spans="2:2" ht="23.25" customHeight="1">
      <c r="B7643" s="2669"/>
    </row>
    <row r="7644" spans="2:2" ht="23.25" customHeight="1">
      <c r="B7644" s="2669"/>
    </row>
    <row r="7645" spans="2:2" ht="23.25" customHeight="1">
      <c r="B7645" s="2669"/>
    </row>
    <row r="7646" spans="2:2" ht="23.25" customHeight="1">
      <c r="B7646" s="2669"/>
    </row>
    <row r="7647" spans="2:2" ht="23.25" customHeight="1">
      <c r="B7647" s="2669"/>
    </row>
    <row r="7648" spans="2:2" ht="23.25" customHeight="1">
      <c r="B7648" s="2669"/>
    </row>
    <row r="7649" spans="2:2" ht="23.25" customHeight="1">
      <c r="B7649" s="2669"/>
    </row>
    <row r="7650" spans="2:2" ht="23.25" customHeight="1">
      <c r="B7650" s="2669"/>
    </row>
    <row r="7651" spans="2:2" ht="23.25" customHeight="1">
      <c r="B7651" s="2669"/>
    </row>
    <row r="7652" spans="2:2" ht="23.25" customHeight="1">
      <c r="B7652" s="2669"/>
    </row>
    <row r="7653" spans="2:2" ht="23.25" customHeight="1">
      <c r="B7653" s="2669"/>
    </row>
    <row r="7654" spans="2:2" ht="23.25" customHeight="1">
      <c r="B7654" s="2669"/>
    </row>
    <row r="7655" spans="2:2" ht="23.25" customHeight="1">
      <c r="B7655" s="2669"/>
    </row>
    <row r="7656" spans="2:2" ht="23.25" customHeight="1">
      <c r="B7656" s="2669"/>
    </row>
    <row r="7657" spans="2:2" ht="23.25" customHeight="1">
      <c r="B7657" s="2669"/>
    </row>
    <row r="7658" spans="2:2" ht="23.25" customHeight="1">
      <c r="B7658" s="2669"/>
    </row>
    <row r="7659" spans="2:2" ht="23.25" customHeight="1">
      <c r="B7659" s="2669"/>
    </row>
    <row r="7660" spans="2:2" ht="23.25" customHeight="1">
      <c r="B7660" s="2669"/>
    </row>
    <row r="7661" spans="2:2" ht="23.25" customHeight="1">
      <c r="B7661" s="2669"/>
    </row>
    <row r="7662" spans="2:2" ht="23.25" customHeight="1">
      <c r="B7662" s="2669"/>
    </row>
    <row r="7663" spans="2:2" ht="23.25" customHeight="1">
      <c r="B7663" s="2669"/>
    </row>
    <row r="7664" spans="2:2" ht="23.25" customHeight="1">
      <c r="B7664" s="2669"/>
    </row>
    <row r="7665" spans="2:2" ht="23.25" customHeight="1">
      <c r="B7665" s="2669"/>
    </row>
    <row r="7666" spans="2:2" ht="23.25" customHeight="1">
      <c r="B7666" s="2669"/>
    </row>
    <row r="7667" spans="2:2" ht="23.25" customHeight="1">
      <c r="B7667" s="2669"/>
    </row>
    <row r="7668" spans="2:2" ht="23.25" customHeight="1">
      <c r="B7668" s="2669"/>
    </row>
    <row r="7669" spans="2:2" ht="23.25" customHeight="1">
      <c r="B7669" s="2669"/>
    </row>
    <row r="7670" spans="2:2" ht="23.25" customHeight="1">
      <c r="B7670" s="2669"/>
    </row>
    <row r="7671" spans="2:2" ht="23.25" customHeight="1">
      <c r="B7671" s="2669"/>
    </row>
    <row r="7672" spans="2:2" ht="23.25" customHeight="1">
      <c r="B7672" s="2669"/>
    </row>
    <row r="7673" spans="2:2" ht="23.25" customHeight="1">
      <c r="B7673" s="2669"/>
    </row>
    <row r="7674" spans="2:2" ht="23.25" customHeight="1">
      <c r="B7674" s="2669"/>
    </row>
    <row r="7675" spans="2:2" ht="23.25" customHeight="1">
      <c r="B7675" s="2669"/>
    </row>
    <row r="7676" spans="2:2" ht="23.25" customHeight="1">
      <c r="B7676" s="2669"/>
    </row>
    <row r="7677" spans="2:2" ht="23.25" customHeight="1">
      <c r="B7677" s="2669"/>
    </row>
    <row r="7678" spans="2:2" ht="23.25" customHeight="1">
      <c r="B7678" s="2669"/>
    </row>
    <row r="7679" spans="2:2" ht="23.25" customHeight="1">
      <c r="B7679" s="2669"/>
    </row>
    <row r="7680" spans="2:2" ht="23.25" customHeight="1">
      <c r="B7680" s="2669"/>
    </row>
    <row r="7681" spans="2:2" ht="23.25" customHeight="1">
      <c r="B7681" s="2669"/>
    </row>
    <row r="7682" spans="2:2" ht="23.25" customHeight="1">
      <c r="B7682" s="2669"/>
    </row>
    <row r="7683" spans="2:2" ht="23.25" customHeight="1">
      <c r="B7683" s="2669"/>
    </row>
    <row r="7684" spans="2:2" ht="23.25" customHeight="1">
      <c r="B7684" s="2669"/>
    </row>
    <row r="7685" spans="2:2" ht="23.25" customHeight="1">
      <c r="B7685" s="2669"/>
    </row>
    <row r="7686" spans="2:2" ht="23.25" customHeight="1">
      <c r="B7686" s="2669"/>
    </row>
    <row r="7687" spans="2:2" ht="23.25" customHeight="1">
      <c r="B7687" s="2669"/>
    </row>
    <row r="7688" spans="2:2" ht="23.25" customHeight="1">
      <c r="B7688" s="2669"/>
    </row>
    <row r="7689" spans="2:2" ht="23.25" customHeight="1">
      <c r="B7689" s="2669"/>
    </row>
    <row r="7690" spans="2:2" ht="23.25" customHeight="1">
      <c r="B7690" s="2669"/>
    </row>
    <row r="7691" spans="2:2" ht="23.25" customHeight="1">
      <c r="B7691" s="2669"/>
    </row>
    <row r="7692" spans="2:2" ht="23.25" customHeight="1">
      <c r="B7692" s="2669"/>
    </row>
    <row r="7693" spans="2:2" ht="23.25" customHeight="1">
      <c r="B7693" s="2669"/>
    </row>
    <row r="7694" spans="2:2" ht="23.25" customHeight="1">
      <c r="B7694" s="2669"/>
    </row>
    <row r="7695" spans="2:2" ht="23.25" customHeight="1">
      <c r="B7695" s="2669"/>
    </row>
    <row r="7696" spans="2:2" ht="23.25" customHeight="1">
      <c r="B7696" s="2669"/>
    </row>
    <row r="7697" spans="2:2" ht="23.25" customHeight="1">
      <c r="B7697" s="2669"/>
    </row>
    <row r="7698" spans="2:2" ht="23.25" customHeight="1">
      <c r="B7698" s="2669"/>
    </row>
    <row r="7699" spans="2:2" ht="23.25" customHeight="1">
      <c r="B7699" s="2669"/>
    </row>
    <row r="7700" spans="2:2" ht="23.25" customHeight="1">
      <c r="B7700" s="2669"/>
    </row>
    <row r="7701" spans="2:2" ht="23.25" customHeight="1">
      <c r="B7701" s="2669"/>
    </row>
    <row r="7702" spans="2:2" ht="23.25" customHeight="1">
      <c r="B7702" s="2669"/>
    </row>
    <row r="7703" spans="2:2" ht="23.25" customHeight="1">
      <c r="B7703" s="2669"/>
    </row>
    <row r="7704" spans="2:2" ht="23.25" customHeight="1">
      <c r="B7704" s="2669"/>
    </row>
    <row r="7705" spans="2:2" ht="23.25" customHeight="1">
      <c r="B7705" s="2669"/>
    </row>
    <row r="7706" spans="2:2" ht="23.25" customHeight="1">
      <c r="B7706" s="2669"/>
    </row>
    <row r="7707" spans="2:2" ht="23.25" customHeight="1">
      <c r="B7707" s="2669"/>
    </row>
    <row r="7708" spans="2:2" ht="23.25" customHeight="1">
      <c r="B7708" s="2669"/>
    </row>
    <row r="7709" spans="2:2" ht="23.25" customHeight="1">
      <c r="B7709" s="2669"/>
    </row>
    <row r="7710" spans="2:2" ht="23.25" customHeight="1">
      <c r="B7710" s="2669"/>
    </row>
    <row r="7711" spans="2:2" ht="23.25" customHeight="1">
      <c r="B7711" s="2669"/>
    </row>
    <row r="7712" spans="2:2" ht="23.25" customHeight="1">
      <c r="B7712" s="2669"/>
    </row>
    <row r="7713" spans="2:2" ht="23.25" customHeight="1">
      <c r="B7713" s="2669"/>
    </row>
    <row r="7714" spans="2:2" ht="23.25" customHeight="1">
      <c r="B7714" s="2669"/>
    </row>
    <row r="7715" spans="2:2" ht="23.25" customHeight="1">
      <c r="B7715" s="2669"/>
    </row>
    <row r="7716" spans="2:2" ht="23.25" customHeight="1">
      <c r="B7716" s="2669"/>
    </row>
    <row r="7717" spans="2:2" ht="23.25" customHeight="1">
      <c r="B7717" s="2669"/>
    </row>
    <row r="7718" spans="2:2" ht="23.25" customHeight="1">
      <c r="B7718" s="2669"/>
    </row>
    <row r="7719" spans="2:2" ht="23.25" customHeight="1">
      <c r="B7719" s="2669"/>
    </row>
    <row r="7720" spans="2:2" ht="23.25" customHeight="1">
      <c r="B7720" s="2669"/>
    </row>
    <row r="7721" spans="2:2" ht="23.25" customHeight="1">
      <c r="B7721" s="2669"/>
    </row>
    <row r="7722" spans="2:2" ht="23.25" customHeight="1">
      <c r="B7722" s="2669"/>
    </row>
    <row r="7723" spans="2:2" ht="23.25" customHeight="1">
      <c r="B7723" s="2669"/>
    </row>
    <row r="7724" spans="2:2" ht="23.25" customHeight="1">
      <c r="B7724" s="2669"/>
    </row>
    <row r="7725" spans="2:2" ht="23.25" customHeight="1">
      <c r="B7725" s="2669"/>
    </row>
    <row r="7726" spans="2:2" ht="23.25" customHeight="1">
      <c r="B7726" s="2669"/>
    </row>
    <row r="7727" spans="2:2" ht="23.25" customHeight="1">
      <c r="B7727" s="2669"/>
    </row>
    <row r="7728" spans="2:2" ht="23.25" customHeight="1">
      <c r="B7728" s="2669"/>
    </row>
    <row r="7729" spans="2:2" ht="23.25" customHeight="1">
      <c r="B7729" s="2669"/>
    </row>
    <row r="7730" spans="2:2" ht="23.25" customHeight="1">
      <c r="B7730" s="2669"/>
    </row>
    <row r="7731" spans="2:2" ht="23.25" customHeight="1">
      <c r="B7731" s="2669"/>
    </row>
    <row r="7732" spans="2:2" ht="23.25" customHeight="1">
      <c r="B7732" s="2669"/>
    </row>
    <row r="7733" spans="2:2" ht="23.25" customHeight="1">
      <c r="B7733" s="2669"/>
    </row>
    <row r="7734" spans="2:2" ht="23.25" customHeight="1">
      <c r="B7734" s="2669"/>
    </row>
    <row r="7735" spans="2:2" ht="23.25" customHeight="1">
      <c r="B7735" s="2669"/>
    </row>
    <row r="7736" spans="2:2" ht="23.25" customHeight="1">
      <c r="B7736" s="2669"/>
    </row>
    <row r="7737" spans="2:2" ht="23.25" customHeight="1">
      <c r="B7737" s="2669"/>
    </row>
    <row r="7738" spans="2:2" ht="23.25" customHeight="1">
      <c r="B7738" s="2669"/>
    </row>
    <row r="7739" spans="2:2" ht="23.25" customHeight="1">
      <c r="B7739" s="2669"/>
    </row>
    <row r="7740" spans="2:2" ht="23.25" customHeight="1">
      <c r="B7740" s="2669"/>
    </row>
    <row r="7741" spans="2:2" ht="23.25" customHeight="1">
      <c r="B7741" s="2669"/>
    </row>
    <row r="7742" spans="2:2" ht="23.25" customHeight="1">
      <c r="B7742" s="2669"/>
    </row>
    <row r="7743" spans="2:2" ht="23.25" customHeight="1">
      <c r="B7743" s="2669"/>
    </row>
    <row r="7744" spans="2:2" ht="23.25" customHeight="1">
      <c r="B7744" s="2669"/>
    </row>
    <row r="7745" spans="2:2" ht="23.25" customHeight="1">
      <c r="B7745" s="2669"/>
    </row>
    <row r="7746" spans="2:2" ht="23.25" customHeight="1">
      <c r="B7746" s="2669"/>
    </row>
    <row r="7747" spans="2:2" ht="23.25" customHeight="1">
      <c r="B7747" s="2669"/>
    </row>
    <row r="7748" spans="2:2" ht="23.25" customHeight="1">
      <c r="B7748" s="2669"/>
    </row>
    <row r="7749" spans="2:2" ht="23.25" customHeight="1">
      <c r="B7749" s="2669"/>
    </row>
    <row r="7750" spans="2:2" ht="23.25" customHeight="1">
      <c r="B7750" s="2669"/>
    </row>
    <row r="7751" spans="2:2" ht="23.25" customHeight="1">
      <c r="B7751" s="2669"/>
    </row>
    <row r="7752" spans="2:2" ht="23.25" customHeight="1">
      <c r="B7752" s="2669"/>
    </row>
    <row r="7753" spans="2:2" ht="23.25" customHeight="1">
      <c r="B7753" s="2669"/>
    </row>
    <row r="7754" spans="2:2" ht="23.25" customHeight="1">
      <c r="B7754" s="2669"/>
    </row>
    <row r="7755" spans="2:2" ht="23.25" customHeight="1">
      <c r="B7755" s="2669"/>
    </row>
    <row r="7756" spans="2:2" ht="23.25" customHeight="1">
      <c r="B7756" s="2669"/>
    </row>
    <row r="7757" spans="2:2" ht="23.25" customHeight="1">
      <c r="B7757" s="2669"/>
    </row>
    <row r="7758" spans="2:2" ht="23.25" customHeight="1">
      <c r="B7758" s="2669"/>
    </row>
    <row r="7759" spans="2:2" ht="23.25" customHeight="1">
      <c r="B7759" s="2669"/>
    </row>
    <row r="7760" spans="2:2" ht="23.25" customHeight="1">
      <c r="B7760" s="2669"/>
    </row>
    <row r="7761" spans="2:2" ht="23.25" customHeight="1">
      <c r="B7761" s="2669"/>
    </row>
    <row r="7762" spans="2:2" ht="23.25" customHeight="1">
      <c r="B7762" s="2669"/>
    </row>
    <row r="7763" spans="2:2" ht="23.25" customHeight="1">
      <c r="B7763" s="2669"/>
    </row>
    <row r="7764" spans="2:2" ht="23.25" customHeight="1">
      <c r="B7764" s="2669"/>
    </row>
    <row r="7765" spans="2:2" ht="23.25" customHeight="1">
      <c r="B7765" s="2669"/>
    </row>
    <row r="7766" spans="2:2" ht="23.25" customHeight="1">
      <c r="B7766" s="2669"/>
    </row>
    <row r="7767" spans="2:2" ht="23.25" customHeight="1">
      <c r="B7767" s="2669"/>
    </row>
    <row r="7768" spans="2:2" ht="23.25" customHeight="1">
      <c r="B7768" s="2669"/>
    </row>
    <row r="7769" spans="2:2" ht="23.25" customHeight="1">
      <c r="B7769" s="2669"/>
    </row>
    <row r="7770" spans="2:2" ht="23.25" customHeight="1">
      <c r="B7770" s="2669"/>
    </row>
    <row r="7771" spans="2:2" ht="23.25" customHeight="1">
      <c r="B7771" s="2669"/>
    </row>
    <row r="7772" spans="2:2" ht="23.25" customHeight="1">
      <c r="B7772" s="2669"/>
    </row>
    <row r="7773" spans="2:2" ht="23.25" customHeight="1">
      <c r="B7773" s="2669"/>
    </row>
    <row r="7774" spans="2:2" ht="23.25" customHeight="1">
      <c r="B7774" s="2669"/>
    </row>
    <row r="7775" spans="2:2" ht="23.25" customHeight="1">
      <c r="B7775" s="2669"/>
    </row>
    <row r="7776" spans="2:2" ht="23.25" customHeight="1">
      <c r="B7776" s="2669"/>
    </row>
    <row r="7777" spans="2:2" ht="23.25" customHeight="1">
      <c r="B7777" s="2669"/>
    </row>
    <row r="7778" spans="2:2" ht="23.25" customHeight="1">
      <c r="B7778" s="2669"/>
    </row>
    <row r="7779" spans="2:2" ht="23.25" customHeight="1">
      <c r="B7779" s="2669"/>
    </row>
    <row r="7780" spans="2:2" ht="23.25" customHeight="1">
      <c r="B7780" s="2669"/>
    </row>
    <row r="7781" spans="2:2" ht="23.25" customHeight="1">
      <c r="B7781" s="2669"/>
    </row>
    <row r="7782" spans="2:2" ht="23.25" customHeight="1">
      <c r="B7782" s="2669"/>
    </row>
    <row r="7783" spans="2:2" ht="23.25" customHeight="1">
      <c r="B7783" s="2669"/>
    </row>
    <row r="7784" spans="2:2" ht="23.25" customHeight="1">
      <c r="B7784" s="2669"/>
    </row>
    <row r="7785" spans="2:2" ht="23.25" customHeight="1">
      <c r="B7785" s="2669"/>
    </row>
    <row r="7786" spans="2:2" ht="23.25" customHeight="1">
      <c r="B7786" s="2669"/>
    </row>
    <row r="7787" spans="2:2" ht="23.25" customHeight="1">
      <c r="B7787" s="2669"/>
    </row>
    <row r="7788" spans="2:2" ht="23.25" customHeight="1">
      <c r="B7788" s="2669"/>
    </row>
    <row r="7789" spans="2:2" ht="23.25" customHeight="1">
      <c r="B7789" s="2669"/>
    </row>
    <row r="7790" spans="2:2" ht="23.25" customHeight="1">
      <c r="B7790" s="2669"/>
    </row>
    <row r="7791" spans="2:2" ht="23.25" customHeight="1">
      <c r="B7791" s="2669"/>
    </row>
    <row r="7792" spans="2:2" ht="23.25" customHeight="1">
      <c r="B7792" s="2669"/>
    </row>
    <row r="7793" spans="2:2" ht="23.25" customHeight="1">
      <c r="B7793" s="2669"/>
    </row>
    <row r="7794" spans="2:2" ht="23.25" customHeight="1">
      <c r="B7794" s="2669"/>
    </row>
    <row r="7795" spans="2:2" ht="23.25" customHeight="1">
      <c r="B7795" s="2669"/>
    </row>
    <row r="7796" spans="2:2" ht="23.25" customHeight="1">
      <c r="B7796" s="2669"/>
    </row>
    <row r="7797" spans="2:2" ht="23.25" customHeight="1">
      <c r="B7797" s="2669"/>
    </row>
    <row r="7798" spans="2:2" ht="23.25" customHeight="1">
      <c r="B7798" s="2669"/>
    </row>
    <row r="7799" spans="2:2" ht="23.25" customHeight="1">
      <c r="B7799" s="2669"/>
    </row>
    <row r="7800" spans="2:2" ht="23.25" customHeight="1">
      <c r="B7800" s="2669"/>
    </row>
    <row r="7801" spans="2:2" ht="23.25" customHeight="1">
      <c r="B7801" s="2669"/>
    </row>
    <row r="7802" spans="2:2" ht="23.25" customHeight="1">
      <c r="B7802" s="2669"/>
    </row>
    <row r="7803" spans="2:2" ht="23.25" customHeight="1">
      <c r="B7803" s="2669"/>
    </row>
    <row r="7804" spans="2:2" ht="23.25" customHeight="1">
      <c r="B7804" s="2669"/>
    </row>
    <row r="7805" spans="2:2" ht="23.25" customHeight="1">
      <c r="B7805" s="2669"/>
    </row>
    <row r="7806" spans="2:2" ht="23.25" customHeight="1">
      <c r="B7806" s="2669"/>
    </row>
    <row r="7807" spans="2:2" ht="23.25" customHeight="1">
      <c r="B7807" s="2669"/>
    </row>
    <row r="7808" spans="2:2" ht="23.25" customHeight="1">
      <c r="B7808" s="2669"/>
    </row>
    <row r="7809" spans="2:2" ht="23.25" customHeight="1">
      <c r="B7809" s="2669"/>
    </row>
    <row r="7810" spans="2:2" ht="23.25" customHeight="1">
      <c r="B7810" s="2669"/>
    </row>
    <row r="7811" spans="2:2" ht="23.25" customHeight="1">
      <c r="B7811" s="2669"/>
    </row>
    <row r="7812" spans="2:2" ht="23.25" customHeight="1">
      <c r="B7812" s="2669"/>
    </row>
    <row r="7813" spans="2:2" ht="23.25" customHeight="1">
      <c r="B7813" s="2669"/>
    </row>
    <row r="7814" spans="2:2" ht="23.25" customHeight="1">
      <c r="B7814" s="2669"/>
    </row>
    <row r="7815" spans="2:2" ht="23.25" customHeight="1">
      <c r="B7815" s="2669"/>
    </row>
    <row r="7816" spans="2:2" ht="23.25" customHeight="1">
      <c r="B7816" s="2669"/>
    </row>
    <row r="7817" spans="2:2" ht="23.25" customHeight="1">
      <c r="B7817" s="2669"/>
    </row>
    <row r="7818" spans="2:2" ht="23.25" customHeight="1">
      <c r="B7818" s="2669"/>
    </row>
    <row r="7819" spans="2:2" ht="23.25" customHeight="1">
      <c r="B7819" s="2669"/>
    </row>
    <row r="7820" spans="2:2" ht="23.25" customHeight="1">
      <c r="B7820" s="2669"/>
    </row>
    <row r="7821" spans="2:2" ht="23.25" customHeight="1">
      <c r="B7821" s="2669"/>
    </row>
    <row r="7822" spans="2:2" ht="23.25" customHeight="1">
      <c r="B7822" s="2669"/>
    </row>
    <row r="7823" spans="2:2" ht="23.25" customHeight="1">
      <c r="B7823" s="2669"/>
    </row>
    <row r="7824" spans="2:2" ht="23.25" customHeight="1">
      <c r="B7824" s="2669"/>
    </row>
    <row r="7825" spans="2:2" ht="23.25" customHeight="1">
      <c r="B7825" s="2669"/>
    </row>
    <row r="7826" spans="2:2" ht="23.25" customHeight="1">
      <c r="B7826" s="2669"/>
    </row>
    <row r="7827" spans="2:2" ht="23.25" customHeight="1">
      <c r="B7827" s="2669"/>
    </row>
    <row r="7828" spans="2:2" ht="23.25" customHeight="1">
      <c r="B7828" s="2669"/>
    </row>
    <row r="7829" spans="2:2" ht="23.25" customHeight="1">
      <c r="B7829" s="2669"/>
    </row>
    <row r="7830" spans="2:2" ht="23.25" customHeight="1">
      <c r="B7830" s="2669"/>
    </row>
    <row r="7831" spans="2:2" ht="23.25" customHeight="1">
      <c r="B7831" s="2669"/>
    </row>
    <row r="7832" spans="2:2" ht="23.25" customHeight="1">
      <c r="B7832" s="2669"/>
    </row>
    <row r="7833" spans="2:2" ht="23.25" customHeight="1">
      <c r="B7833" s="2669"/>
    </row>
    <row r="7834" spans="2:2" ht="23.25" customHeight="1">
      <c r="B7834" s="2669"/>
    </row>
    <row r="7835" spans="2:2" ht="23.25" customHeight="1">
      <c r="B7835" s="2669"/>
    </row>
    <row r="7836" spans="2:2" ht="23.25" customHeight="1">
      <c r="B7836" s="2669"/>
    </row>
    <row r="7837" spans="2:2" ht="23.25" customHeight="1">
      <c r="B7837" s="2669"/>
    </row>
    <row r="7838" spans="2:2" ht="23.25" customHeight="1">
      <c r="B7838" s="2669"/>
    </row>
    <row r="7839" spans="2:2" ht="23.25" customHeight="1">
      <c r="B7839" s="2669"/>
    </row>
    <row r="7840" spans="2:2" ht="23.25" customHeight="1">
      <c r="B7840" s="2669"/>
    </row>
    <row r="7841" spans="2:2" ht="23.25" customHeight="1">
      <c r="B7841" s="2669"/>
    </row>
    <row r="7842" spans="2:2" ht="23.25" customHeight="1">
      <c r="B7842" s="2669"/>
    </row>
    <row r="7843" spans="2:2" ht="23.25" customHeight="1">
      <c r="B7843" s="2669"/>
    </row>
    <row r="7844" spans="2:2" ht="23.25" customHeight="1">
      <c r="B7844" s="2669"/>
    </row>
    <row r="7845" spans="2:2" ht="23.25" customHeight="1">
      <c r="B7845" s="2669"/>
    </row>
    <row r="7846" spans="2:2" ht="23.25" customHeight="1">
      <c r="B7846" s="2669"/>
    </row>
    <row r="7847" spans="2:2" ht="23.25" customHeight="1">
      <c r="B7847" s="2669"/>
    </row>
    <row r="7848" spans="2:2" ht="23.25" customHeight="1">
      <c r="B7848" s="2669"/>
    </row>
    <row r="7849" spans="2:2" ht="23.25" customHeight="1">
      <c r="B7849" s="2669"/>
    </row>
    <row r="7850" spans="2:2" ht="23.25" customHeight="1">
      <c r="B7850" s="2669"/>
    </row>
    <row r="7851" spans="2:2" ht="23.25" customHeight="1">
      <c r="B7851" s="2669"/>
    </row>
    <row r="7852" spans="2:2" ht="23.25" customHeight="1">
      <c r="B7852" s="2669"/>
    </row>
    <row r="7853" spans="2:2" ht="23.25" customHeight="1">
      <c r="B7853" s="2669"/>
    </row>
    <row r="7854" spans="2:2" ht="23.25" customHeight="1">
      <c r="B7854" s="2669"/>
    </row>
    <row r="7855" spans="2:2" ht="23.25" customHeight="1">
      <c r="B7855" s="2669"/>
    </row>
    <row r="7856" spans="2:2" ht="23.25" customHeight="1">
      <c r="B7856" s="2669"/>
    </row>
    <row r="7857" spans="2:2" ht="23.25" customHeight="1">
      <c r="B7857" s="2669"/>
    </row>
    <row r="7858" spans="2:2" ht="23.25" customHeight="1">
      <c r="B7858" s="2669"/>
    </row>
    <row r="7859" spans="2:2" ht="23.25" customHeight="1">
      <c r="B7859" s="2669"/>
    </row>
    <row r="7860" spans="2:2" ht="23.25" customHeight="1">
      <c r="B7860" s="2669"/>
    </row>
    <row r="7861" spans="2:2" ht="23.25" customHeight="1">
      <c r="B7861" s="2669"/>
    </row>
    <row r="7862" spans="2:2" ht="23.25" customHeight="1">
      <c r="B7862" s="2669"/>
    </row>
    <row r="7863" spans="2:2" ht="23.25" customHeight="1">
      <c r="B7863" s="2669"/>
    </row>
    <row r="7864" spans="2:2" ht="23.25" customHeight="1">
      <c r="B7864" s="2669"/>
    </row>
    <row r="7865" spans="2:2" ht="23.25" customHeight="1">
      <c r="B7865" s="2669"/>
    </row>
    <row r="7866" spans="2:2" ht="23.25" customHeight="1">
      <c r="B7866" s="2669"/>
    </row>
    <row r="7867" spans="2:2" ht="23.25" customHeight="1">
      <c r="B7867" s="2669"/>
    </row>
    <row r="7868" spans="2:2" ht="23.25" customHeight="1">
      <c r="B7868" s="2669"/>
    </row>
    <row r="7869" spans="2:2" ht="23.25" customHeight="1">
      <c r="B7869" s="2669"/>
    </row>
    <row r="7870" spans="2:2" ht="23.25" customHeight="1">
      <c r="B7870" s="2669"/>
    </row>
    <row r="7871" spans="2:2" ht="23.25" customHeight="1">
      <c r="B7871" s="2669"/>
    </row>
    <row r="7872" spans="2:2" ht="23.25" customHeight="1">
      <c r="B7872" s="2669"/>
    </row>
    <row r="7873" spans="2:2" ht="23.25" customHeight="1">
      <c r="B7873" s="2669"/>
    </row>
    <row r="7874" spans="2:2" ht="23.25" customHeight="1">
      <c r="B7874" s="2669"/>
    </row>
    <row r="7875" spans="2:2" ht="23.25" customHeight="1">
      <c r="B7875" s="2669"/>
    </row>
    <row r="7876" spans="2:2" ht="23.25" customHeight="1">
      <c r="B7876" s="2669"/>
    </row>
    <row r="7877" spans="2:2" ht="23.25" customHeight="1">
      <c r="B7877" s="2669"/>
    </row>
    <row r="7878" spans="2:2" ht="23.25" customHeight="1">
      <c r="B7878" s="2669"/>
    </row>
    <row r="7879" spans="2:2" ht="23.25" customHeight="1">
      <c r="B7879" s="2669"/>
    </row>
    <row r="7880" spans="2:2" ht="23.25" customHeight="1">
      <c r="B7880" s="2669"/>
    </row>
    <row r="7881" spans="2:2" ht="23.25" customHeight="1">
      <c r="B7881" s="2669"/>
    </row>
    <row r="7882" spans="2:2" ht="23.25" customHeight="1">
      <c r="B7882" s="2669"/>
    </row>
    <row r="7883" spans="2:2" ht="23.25" customHeight="1">
      <c r="B7883" s="2669"/>
    </row>
    <row r="7884" spans="2:2" ht="23.25" customHeight="1">
      <c r="B7884" s="2669"/>
    </row>
    <row r="7885" spans="2:2" ht="23.25" customHeight="1">
      <c r="B7885" s="2669"/>
    </row>
    <row r="7886" spans="2:2" ht="23.25" customHeight="1">
      <c r="B7886" s="2669"/>
    </row>
    <row r="7887" spans="2:2" ht="23.25" customHeight="1">
      <c r="B7887" s="2669"/>
    </row>
    <row r="7888" spans="2:2" ht="23.25" customHeight="1">
      <c r="B7888" s="2669"/>
    </row>
    <row r="7889" spans="2:2" ht="23.25" customHeight="1">
      <c r="B7889" s="2669"/>
    </row>
    <row r="7890" spans="2:2" ht="23.25" customHeight="1">
      <c r="B7890" s="2669"/>
    </row>
    <row r="7891" spans="2:2" ht="23.25" customHeight="1">
      <c r="B7891" s="2669"/>
    </row>
    <row r="7892" spans="2:2" ht="23.25" customHeight="1">
      <c r="B7892" s="2669"/>
    </row>
    <row r="7893" spans="2:2" ht="23.25" customHeight="1">
      <c r="B7893" s="2669"/>
    </row>
    <row r="7894" spans="2:2" ht="23.25" customHeight="1">
      <c r="B7894" s="2669"/>
    </row>
    <row r="7895" spans="2:2" ht="23.25" customHeight="1">
      <c r="B7895" s="2669"/>
    </row>
    <row r="7896" spans="2:2" ht="23.25" customHeight="1">
      <c r="B7896" s="2669"/>
    </row>
    <row r="7897" spans="2:2" ht="23.25" customHeight="1">
      <c r="B7897" s="2669"/>
    </row>
    <row r="7898" spans="2:2" ht="23.25" customHeight="1">
      <c r="B7898" s="2669"/>
    </row>
    <row r="7899" spans="2:2" ht="23.25" customHeight="1">
      <c r="B7899" s="2669"/>
    </row>
    <row r="7900" spans="2:2" ht="23.25" customHeight="1">
      <c r="B7900" s="2669"/>
    </row>
    <row r="7901" spans="2:2" ht="23.25" customHeight="1">
      <c r="B7901" s="2669"/>
    </row>
    <row r="7902" spans="2:2" ht="23.25" customHeight="1">
      <c r="B7902" s="2669"/>
    </row>
    <row r="7903" spans="2:2" ht="23.25" customHeight="1">
      <c r="B7903" s="2669"/>
    </row>
    <row r="7904" spans="2:2" ht="23.25" customHeight="1">
      <c r="B7904" s="2669"/>
    </row>
    <row r="7905" spans="2:2" ht="23.25" customHeight="1">
      <c r="B7905" s="2669"/>
    </row>
    <row r="7906" spans="2:2" ht="23.25" customHeight="1">
      <c r="B7906" s="2669"/>
    </row>
    <row r="7907" spans="2:2" ht="23.25" customHeight="1">
      <c r="B7907" s="2669"/>
    </row>
    <row r="7908" spans="2:2" ht="23.25" customHeight="1">
      <c r="B7908" s="2669"/>
    </row>
    <row r="7909" spans="2:2" ht="23.25" customHeight="1">
      <c r="B7909" s="2669"/>
    </row>
    <row r="7910" spans="2:2" ht="23.25" customHeight="1">
      <c r="B7910" s="2669"/>
    </row>
    <row r="7911" spans="2:2" ht="23.25" customHeight="1">
      <c r="B7911" s="2669"/>
    </row>
    <row r="7912" spans="2:2" ht="23.25" customHeight="1">
      <c r="B7912" s="2669"/>
    </row>
    <row r="7913" spans="2:2" ht="23.25" customHeight="1">
      <c r="B7913" s="2669"/>
    </row>
    <row r="7914" spans="2:2" ht="23.25" customHeight="1">
      <c r="B7914" s="2669"/>
    </row>
    <row r="7915" spans="2:2" ht="23.25" customHeight="1">
      <c r="B7915" s="2669"/>
    </row>
    <row r="7916" spans="2:2" ht="23.25" customHeight="1">
      <c r="B7916" s="2669"/>
    </row>
    <row r="7917" spans="2:2" ht="23.25" customHeight="1">
      <c r="B7917" s="2669"/>
    </row>
    <row r="7918" spans="2:2" ht="23.25" customHeight="1">
      <c r="B7918" s="2669"/>
    </row>
    <row r="7919" spans="2:2" ht="23.25" customHeight="1">
      <c r="B7919" s="2669"/>
    </row>
    <row r="7920" spans="2:2" ht="23.25" customHeight="1">
      <c r="B7920" s="2669"/>
    </row>
    <row r="7921" spans="2:2" ht="23.25" customHeight="1">
      <c r="B7921" s="2669"/>
    </row>
    <row r="7922" spans="2:2" ht="23.25" customHeight="1">
      <c r="B7922" s="2669"/>
    </row>
    <row r="7923" spans="2:2" ht="23.25" customHeight="1">
      <c r="B7923" s="2669"/>
    </row>
    <row r="7924" spans="2:2" ht="23.25" customHeight="1">
      <c r="B7924" s="2669"/>
    </row>
    <row r="7925" spans="2:2" ht="23.25" customHeight="1">
      <c r="B7925" s="2669"/>
    </row>
    <row r="7926" spans="2:2" ht="23.25" customHeight="1">
      <c r="B7926" s="2669"/>
    </row>
    <row r="7927" spans="2:2" ht="23.25" customHeight="1">
      <c r="B7927" s="2669"/>
    </row>
    <row r="7928" spans="2:2" ht="23.25" customHeight="1">
      <c r="B7928" s="2669"/>
    </row>
    <row r="7929" spans="2:2" ht="23.25" customHeight="1">
      <c r="B7929" s="2669"/>
    </row>
    <row r="7930" spans="2:2" ht="23.25" customHeight="1">
      <c r="B7930" s="2669"/>
    </row>
    <row r="7931" spans="2:2" ht="23.25" customHeight="1">
      <c r="B7931" s="2669"/>
    </row>
    <row r="7932" spans="2:2" ht="23.25" customHeight="1">
      <c r="B7932" s="2669"/>
    </row>
    <row r="7933" spans="2:2" ht="23.25" customHeight="1">
      <c r="B7933" s="2669"/>
    </row>
    <row r="7934" spans="2:2" ht="23.25" customHeight="1">
      <c r="B7934" s="2669"/>
    </row>
    <row r="7935" spans="2:2" ht="23.25" customHeight="1">
      <c r="B7935" s="2669"/>
    </row>
    <row r="7936" spans="2:2" ht="23.25" customHeight="1">
      <c r="B7936" s="2669"/>
    </row>
    <row r="7937" spans="2:2" ht="23.25" customHeight="1">
      <c r="B7937" s="2669"/>
    </row>
    <row r="7938" spans="2:2" ht="23.25" customHeight="1">
      <c r="B7938" s="2669"/>
    </row>
    <row r="7939" spans="2:2" ht="23.25" customHeight="1">
      <c r="B7939" s="2669"/>
    </row>
    <row r="7940" spans="2:2" ht="23.25" customHeight="1">
      <c r="B7940" s="2669"/>
    </row>
    <row r="7941" spans="2:2" ht="23.25" customHeight="1">
      <c r="B7941" s="2669"/>
    </row>
    <row r="7942" spans="2:2" ht="23.25" customHeight="1">
      <c r="B7942" s="2669"/>
    </row>
    <row r="7943" spans="2:2" ht="23.25" customHeight="1">
      <c r="B7943" s="2669"/>
    </row>
    <row r="7944" spans="2:2" ht="23.25" customHeight="1">
      <c r="B7944" s="2669"/>
    </row>
    <row r="7945" spans="2:2" ht="23.25" customHeight="1">
      <c r="B7945" s="2669"/>
    </row>
    <row r="7946" spans="2:2" ht="23.25" customHeight="1">
      <c r="B7946" s="2669"/>
    </row>
    <row r="7947" spans="2:2" ht="23.25" customHeight="1">
      <c r="B7947" s="2669"/>
    </row>
    <row r="7948" spans="2:2" ht="23.25" customHeight="1">
      <c r="B7948" s="2669"/>
    </row>
    <row r="7949" spans="2:2" ht="23.25" customHeight="1">
      <c r="B7949" s="2669"/>
    </row>
    <row r="7950" spans="2:2" ht="23.25" customHeight="1">
      <c r="B7950" s="2669"/>
    </row>
    <row r="7951" spans="2:2" ht="23.25" customHeight="1">
      <c r="B7951" s="2669"/>
    </row>
    <row r="7952" spans="2:2" ht="23.25" customHeight="1">
      <c r="B7952" s="2669"/>
    </row>
    <row r="7953" spans="2:2" ht="23.25" customHeight="1">
      <c r="B7953" s="2669"/>
    </row>
    <row r="7954" spans="2:2" ht="23.25" customHeight="1">
      <c r="B7954" s="2669"/>
    </row>
    <row r="7955" spans="2:2" ht="23.25" customHeight="1">
      <c r="B7955" s="2669"/>
    </row>
    <row r="7956" spans="2:2" ht="23.25" customHeight="1">
      <c r="B7956" s="2669"/>
    </row>
    <row r="7957" spans="2:2" ht="23.25" customHeight="1">
      <c r="B7957" s="2669"/>
    </row>
    <row r="7958" spans="2:2" ht="23.25" customHeight="1">
      <c r="B7958" s="2669"/>
    </row>
    <row r="7959" spans="2:2" ht="23.25" customHeight="1">
      <c r="B7959" s="2669"/>
    </row>
    <row r="7960" spans="2:2" ht="23.25" customHeight="1">
      <c r="B7960" s="2669"/>
    </row>
    <row r="7961" spans="2:2" ht="23.25" customHeight="1">
      <c r="B7961" s="2669"/>
    </row>
    <row r="7962" spans="2:2" ht="23.25" customHeight="1">
      <c r="B7962" s="2669"/>
    </row>
    <row r="7963" spans="2:2" ht="23.25" customHeight="1">
      <c r="B7963" s="2669"/>
    </row>
    <row r="7964" spans="2:2" ht="23.25" customHeight="1">
      <c r="B7964" s="2669"/>
    </row>
    <row r="7965" spans="2:2" ht="23.25" customHeight="1">
      <c r="B7965" s="2669"/>
    </row>
    <row r="7966" spans="2:2" ht="23.25" customHeight="1">
      <c r="B7966" s="2669"/>
    </row>
    <row r="7967" spans="2:2" ht="23.25" customHeight="1">
      <c r="B7967" s="2669"/>
    </row>
    <row r="7968" spans="2:2" ht="23.25" customHeight="1">
      <c r="B7968" s="2669"/>
    </row>
    <row r="7969" spans="2:2" ht="23.25" customHeight="1">
      <c r="B7969" s="2669"/>
    </row>
    <row r="7970" spans="2:2" ht="23.25" customHeight="1">
      <c r="B7970" s="2669"/>
    </row>
    <row r="7971" spans="2:2" ht="23.25" customHeight="1">
      <c r="B7971" s="2669"/>
    </row>
    <row r="7972" spans="2:2" ht="23.25" customHeight="1">
      <c r="B7972" s="2669"/>
    </row>
    <row r="7973" spans="2:2" ht="23.25" customHeight="1">
      <c r="B7973" s="2669"/>
    </row>
    <row r="7974" spans="2:2" ht="23.25" customHeight="1">
      <c r="B7974" s="2669"/>
    </row>
    <row r="7975" spans="2:2" ht="23.25" customHeight="1">
      <c r="B7975" s="2669"/>
    </row>
    <row r="7976" spans="2:2" ht="23.25" customHeight="1">
      <c r="B7976" s="2669"/>
    </row>
    <row r="7977" spans="2:2" ht="23.25" customHeight="1">
      <c r="B7977" s="2669"/>
    </row>
    <row r="7978" spans="2:2" ht="23.25" customHeight="1">
      <c r="B7978" s="2669"/>
    </row>
    <row r="7979" spans="2:2" ht="23.25" customHeight="1">
      <c r="B7979" s="2669"/>
    </row>
    <row r="7980" spans="2:2" ht="23.25" customHeight="1">
      <c r="B7980" s="2669"/>
    </row>
    <row r="7981" spans="2:2" ht="23.25" customHeight="1">
      <c r="B7981" s="2669"/>
    </row>
    <row r="7982" spans="2:2" ht="23.25" customHeight="1">
      <c r="B7982" s="2669"/>
    </row>
    <row r="7983" spans="2:2" ht="23.25" customHeight="1">
      <c r="B7983" s="2669"/>
    </row>
    <row r="7984" spans="2:2" ht="23.25" customHeight="1">
      <c r="B7984" s="2669"/>
    </row>
    <row r="7985" spans="2:2" ht="23.25" customHeight="1">
      <c r="B7985" s="2669"/>
    </row>
    <row r="7986" spans="2:2" ht="23.25" customHeight="1">
      <c r="B7986" s="2669"/>
    </row>
    <row r="7987" spans="2:2" ht="23.25" customHeight="1">
      <c r="B7987" s="2669"/>
    </row>
    <row r="7988" spans="2:2" ht="23.25" customHeight="1">
      <c r="B7988" s="2669"/>
    </row>
    <row r="7989" spans="2:2" ht="23.25" customHeight="1">
      <c r="B7989" s="2669"/>
    </row>
    <row r="7990" spans="2:2" ht="23.25" customHeight="1">
      <c r="B7990" s="2669"/>
    </row>
    <row r="7991" spans="2:2" ht="23.25" customHeight="1">
      <c r="B7991" s="2669"/>
    </row>
    <row r="7992" spans="2:2" ht="23.25" customHeight="1">
      <c r="B7992" s="2669"/>
    </row>
    <row r="7993" spans="2:2" ht="23.25" customHeight="1">
      <c r="B7993" s="2669"/>
    </row>
    <row r="7994" spans="2:2" ht="23.25" customHeight="1">
      <c r="B7994" s="2669"/>
    </row>
    <row r="7995" spans="2:2" ht="23.25" customHeight="1">
      <c r="B7995" s="2669"/>
    </row>
    <row r="7996" spans="2:2" ht="23.25" customHeight="1">
      <c r="B7996" s="2669"/>
    </row>
    <row r="7997" spans="2:2" ht="23.25" customHeight="1">
      <c r="B7997" s="2669"/>
    </row>
    <row r="7998" spans="2:2" ht="23.25" customHeight="1">
      <c r="B7998" s="2669"/>
    </row>
    <row r="7999" spans="2:2" ht="23.25" customHeight="1">
      <c r="B7999" s="2669"/>
    </row>
    <row r="8000" spans="2:2" ht="23.25" customHeight="1">
      <c r="B8000" s="2669"/>
    </row>
    <row r="8001" spans="2:2" ht="23.25" customHeight="1">
      <c r="B8001" s="2669"/>
    </row>
    <row r="8002" spans="2:2" ht="23.25" customHeight="1">
      <c r="B8002" s="2669"/>
    </row>
    <row r="8003" spans="2:2" ht="23.25" customHeight="1">
      <c r="B8003" s="2669"/>
    </row>
    <row r="8004" spans="2:2" ht="23.25" customHeight="1">
      <c r="B8004" s="2669"/>
    </row>
    <row r="8005" spans="2:2" ht="23.25" customHeight="1">
      <c r="B8005" s="2669"/>
    </row>
    <row r="8006" spans="2:2" ht="23.25" customHeight="1">
      <c r="B8006" s="2669"/>
    </row>
    <row r="8007" spans="2:2" ht="23.25" customHeight="1">
      <c r="B8007" s="2669"/>
    </row>
    <row r="8008" spans="2:2" ht="23.25" customHeight="1">
      <c r="B8008" s="2669"/>
    </row>
    <row r="8009" spans="2:2" ht="23.25" customHeight="1">
      <c r="B8009" s="2669"/>
    </row>
    <row r="8010" spans="2:2" ht="23.25" customHeight="1">
      <c r="B8010" s="2669"/>
    </row>
    <row r="8011" spans="2:2" ht="23.25" customHeight="1">
      <c r="B8011" s="2669"/>
    </row>
    <row r="8012" spans="2:2" ht="23.25" customHeight="1">
      <c r="B8012" s="2669"/>
    </row>
    <row r="8013" spans="2:2" ht="23.25" customHeight="1">
      <c r="B8013" s="2669"/>
    </row>
    <row r="8014" spans="2:2" ht="23.25" customHeight="1">
      <c r="B8014" s="2669"/>
    </row>
    <row r="8015" spans="2:2" ht="23.25" customHeight="1">
      <c r="B8015" s="2669"/>
    </row>
    <row r="8016" spans="2:2" ht="23.25" customHeight="1">
      <c r="B8016" s="2669"/>
    </row>
    <row r="8017" spans="2:2" ht="23.25" customHeight="1">
      <c r="B8017" s="2669"/>
    </row>
    <row r="8018" spans="2:2" ht="23.25" customHeight="1">
      <c r="B8018" s="2669"/>
    </row>
    <row r="8019" spans="2:2" ht="23.25" customHeight="1">
      <c r="B8019" s="2669"/>
    </row>
    <row r="8020" spans="2:2" ht="23.25" customHeight="1">
      <c r="B8020" s="2669"/>
    </row>
    <row r="8021" spans="2:2" ht="23.25" customHeight="1">
      <c r="B8021" s="2669"/>
    </row>
    <row r="8022" spans="2:2" ht="23.25" customHeight="1">
      <c r="B8022" s="2669"/>
    </row>
    <row r="8023" spans="2:2" ht="23.25" customHeight="1">
      <c r="B8023" s="2669"/>
    </row>
    <row r="8024" spans="2:2" ht="23.25" customHeight="1">
      <c r="B8024" s="2669"/>
    </row>
    <row r="8025" spans="2:2" ht="23.25" customHeight="1">
      <c r="B8025" s="2669"/>
    </row>
    <row r="8026" spans="2:2" ht="23.25" customHeight="1">
      <c r="B8026" s="2669"/>
    </row>
    <row r="8027" spans="2:2" ht="23.25" customHeight="1">
      <c r="B8027" s="2669"/>
    </row>
    <row r="8028" spans="2:2" ht="23.25" customHeight="1">
      <c r="B8028" s="2669"/>
    </row>
    <row r="8029" spans="2:2" ht="23.25" customHeight="1">
      <c r="B8029" s="2669"/>
    </row>
    <row r="8030" spans="2:2" ht="23.25" customHeight="1">
      <c r="B8030" s="2669"/>
    </row>
    <row r="8031" spans="2:2" ht="23.25" customHeight="1">
      <c r="B8031" s="2669"/>
    </row>
    <row r="8032" spans="2:2" ht="23.25" customHeight="1">
      <c r="B8032" s="2669"/>
    </row>
    <row r="8033" spans="2:2" ht="23.25" customHeight="1">
      <c r="B8033" s="2669"/>
    </row>
    <row r="8034" spans="2:2" ht="23.25" customHeight="1">
      <c r="B8034" s="2669"/>
    </row>
    <row r="8035" spans="2:2" ht="23.25" customHeight="1">
      <c r="B8035" s="2669"/>
    </row>
    <row r="8036" spans="2:2" ht="23.25" customHeight="1">
      <c r="B8036" s="2669"/>
    </row>
    <row r="8037" spans="2:2" ht="23.25" customHeight="1">
      <c r="B8037" s="2669"/>
    </row>
    <row r="8038" spans="2:2" ht="23.25" customHeight="1">
      <c r="B8038" s="2669"/>
    </row>
    <row r="8039" spans="2:2" ht="23.25" customHeight="1">
      <c r="B8039" s="2669"/>
    </row>
    <row r="8040" spans="2:2" ht="23.25" customHeight="1">
      <c r="B8040" s="2669"/>
    </row>
    <row r="8041" spans="2:2" ht="23.25" customHeight="1">
      <c r="B8041" s="2669"/>
    </row>
    <row r="8042" spans="2:2" ht="23.25" customHeight="1">
      <c r="B8042" s="2669"/>
    </row>
    <row r="8043" spans="2:2" ht="23.25" customHeight="1">
      <c r="B8043" s="2669"/>
    </row>
    <row r="8044" spans="2:2" ht="23.25" customHeight="1">
      <c r="B8044" s="2669"/>
    </row>
    <row r="8045" spans="2:2" ht="23.25" customHeight="1">
      <c r="B8045" s="2669"/>
    </row>
    <row r="8046" spans="2:2" ht="23.25" customHeight="1">
      <c r="B8046" s="2669"/>
    </row>
    <row r="8047" spans="2:2" ht="23.25" customHeight="1">
      <c r="B8047" s="2669"/>
    </row>
    <row r="8048" spans="2:2" ht="23.25" customHeight="1">
      <c r="B8048" s="2669"/>
    </row>
    <row r="8049" spans="2:2" ht="23.25" customHeight="1">
      <c r="B8049" s="2669"/>
    </row>
    <row r="8050" spans="2:2" ht="23.25" customHeight="1">
      <c r="B8050" s="2669"/>
    </row>
    <row r="8051" spans="2:2" ht="23.25" customHeight="1">
      <c r="B8051" s="2669"/>
    </row>
    <row r="8052" spans="2:2" ht="23.25" customHeight="1">
      <c r="B8052" s="2669"/>
    </row>
    <row r="8053" spans="2:2" ht="23.25" customHeight="1">
      <c r="B8053" s="2669"/>
    </row>
    <row r="8054" spans="2:2" ht="23.25" customHeight="1">
      <c r="B8054" s="2669"/>
    </row>
    <row r="8055" spans="2:2" ht="23.25" customHeight="1">
      <c r="B8055" s="2669"/>
    </row>
    <row r="8056" spans="2:2" ht="23.25" customHeight="1">
      <c r="B8056" s="2669"/>
    </row>
    <row r="8057" spans="2:2" ht="23.25" customHeight="1">
      <c r="B8057" s="2669"/>
    </row>
    <row r="8058" spans="2:2" ht="23.25" customHeight="1">
      <c r="B8058" s="2669"/>
    </row>
    <row r="8059" spans="2:2" ht="23.25" customHeight="1">
      <c r="B8059" s="2669"/>
    </row>
    <row r="8060" spans="2:2" ht="23.25" customHeight="1">
      <c r="B8060" s="2669"/>
    </row>
    <row r="8061" spans="2:2" ht="23.25" customHeight="1">
      <c r="B8061" s="2669"/>
    </row>
    <row r="8062" spans="2:2" ht="23.25" customHeight="1">
      <c r="B8062" s="2669"/>
    </row>
    <row r="8063" spans="2:2" ht="23.25" customHeight="1">
      <c r="B8063" s="2669"/>
    </row>
    <row r="8064" spans="2:2" ht="23.25" customHeight="1">
      <c r="B8064" s="2669"/>
    </row>
    <row r="8065" spans="2:2" ht="23.25" customHeight="1">
      <c r="B8065" s="2669"/>
    </row>
    <row r="8066" spans="2:2" ht="23.25" customHeight="1">
      <c r="B8066" s="2669"/>
    </row>
    <row r="8067" spans="2:2" ht="23.25" customHeight="1">
      <c r="B8067" s="2669"/>
    </row>
    <row r="8068" spans="2:2" ht="23.25" customHeight="1">
      <c r="B8068" s="2669"/>
    </row>
    <row r="8069" spans="2:2" ht="23.25" customHeight="1">
      <c r="B8069" s="2669"/>
    </row>
    <row r="8070" spans="2:2" ht="23.25" customHeight="1">
      <c r="B8070" s="2669"/>
    </row>
    <row r="8071" spans="2:2" ht="23.25" customHeight="1">
      <c r="B8071" s="2669"/>
    </row>
    <row r="8072" spans="2:2" ht="23.25" customHeight="1">
      <c r="B8072" s="2669"/>
    </row>
    <row r="8073" spans="2:2" ht="23.25" customHeight="1">
      <c r="B8073" s="2669"/>
    </row>
    <row r="8074" spans="2:2" ht="23.25" customHeight="1">
      <c r="B8074" s="2669"/>
    </row>
    <row r="8075" spans="2:2" ht="23.25" customHeight="1">
      <c r="B8075" s="2669"/>
    </row>
    <row r="8076" spans="2:2" ht="23.25" customHeight="1">
      <c r="B8076" s="2669"/>
    </row>
    <row r="8077" spans="2:2" ht="23.25" customHeight="1">
      <c r="B8077" s="2669"/>
    </row>
    <row r="8078" spans="2:2" ht="23.25" customHeight="1">
      <c r="B8078" s="2669"/>
    </row>
    <row r="8079" spans="2:2" ht="23.25" customHeight="1">
      <c r="B8079" s="2669"/>
    </row>
    <row r="8080" spans="2:2" ht="23.25" customHeight="1">
      <c r="B8080" s="2669"/>
    </row>
    <row r="8081" spans="2:2" ht="23.25" customHeight="1">
      <c r="B8081" s="2669"/>
    </row>
    <row r="8082" spans="2:2" ht="23.25" customHeight="1">
      <c r="B8082" s="2669"/>
    </row>
    <row r="8083" spans="2:2" ht="23.25" customHeight="1">
      <c r="B8083" s="2669"/>
    </row>
    <row r="8084" spans="2:2" ht="23.25" customHeight="1">
      <c r="B8084" s="2669"/>
    </row>
    <row r="8085" spans="2:2" ht="23.25" customHeight="1">
      <c r="B8085" s="2669"/>
    </row>
    <row r="8086" spans="2:2" ht="23.25" customHeight="1">
      <c r="B8086" s="2669"/>
    </row>
    <row r="8087" spans="2:2" ht="23.25" customHeight="1">
      <c r="B8087" s="2669"/>
    </row>
    <row r="8088" spans="2:2" ht="23.25" customHeight="1">
      <c r="B8088" s="2669"/>
    </row>
    <row r="8089" spans="2:2" ht="23.25" customHeight="1">
      <c r="B8089" s="2669"/>
    </row>
    <row r="8090" spans="2:2" ht="23.25" customHeight="1">
      <c r="B8090" s="2669"/>
    </row>
    <row r="8091" spans="2:2" ht="23.25" customHeight="1">
      <c r="B8091" s="2669"/>
    </row>
    <row r="8092" spans="2:2" ht="23.25" customHeight="1">
      <c r="B8092" s="2669"/>
    </row>
    <row r="8093" spans="2:2" ht="23.25" customHeight="1">
      <c r="B8093" s="2669"/>
    </row>
    <row r="8094" spans="2:2" ht="23.25" customHeight="1">
      <c r="B8094" s="2669"/>
    </row>
    <row r="8095" spans="2:2" ht="23.25" customHeight="1">
      <c r="B8095" s="2669"/>
    </row>
    <row r="8096" spans="2:2" ht="23.25" customHeight="1">
      <c r="B8096" s="2669"/>
    </row>
    <row r="8097" spans="2:2" ht="23.25" customHeight="1">
      <c r="B8097" s="2669"/>
    </row>
    <row r="8098" spans="2:2" ht="23.25" customHeight="1">
      <c r="B8098" s="2669"/>
    </row>
    <row r="8099" spans="2:2" ht="23.25" customHeight="1">
      <c r="B8099" s="2669"/>
    </row>
    <row r="8100" spans="2:2" ht="23.25" customHeight="1">
      <c r="B8100" s="2669"/>
    </row>
    <row r="8101" spans="2:2" ht="23.25" customHeight="1">
      <c r="B8101" s="2669"/>
    </row>
    <row r="8102" spans="2:2" ht="23.25" customHeight="1">
      <c r="B8102" s="2669"/>
    </row>
    <row r="8103" spans="2:2" ht="23.25" customHeight="1">
      <c r="B8103" s="2669"/>
    </row>
    <row r="8104" spans="2:2" ht="23.25" customHeight="1">
      <c r="B8104" s="2669"/>
    </row>
    <row r="8105" spans="2:2" ht="23.25" customHeight="1">
      <c r="B8105" s="2669"/>
    </row>
    <row r="8106" spans="2:2" ht="23.25" customHeight="1">
      <c r="B8106" s="2669"/>
    </row>
    <row r="8107" spans="2:2" ht="23.25" customHeight="1">
      <c r="B8107" s="2669"/>
    </row>
    <row r="8108" spans="2:2" ht="23.25" customHeight="1">
      <c r="B8108" s="2669"/>
    </row>
    <row r="8109" spans="2:2" ht="23.25" customHeight="1">
      <c r="B8109" s="2669"/>
    </row>
    <row r="8110" spans="2:2" ht="23.25" customHeight="1">
      <c r="B8110" s="2669"/>
    </row>
    <row r="8111" spans="2:2" ht="23.25" customHeight="1">
      <c r="B8111" s="2669"/>
    </row>
    <row r="8112" spans="2:2" ht="23.25" customHeight="1">
      <c r="B8112" s="2669"/>
    </row>
    <row r="8113" spans="2:2" ht="23.25" customHeight="1">
      <c r="B8113" s="2669"/>
    </row>
    <row r="8114" spans="2:2" ht="23.25" customHeight="1">
      <c r="B8114" s="2669"/>
    </row>
    <row r="8115" spans="2:2" ht="23.25" customHeight="1">
      <c r="B8115" s="2669"/>
    </row>
    <row r="8116" spans="2:2" ht="23.25" customHeight="1">
      <c r="B8116" s="2669"/>
    </row>
    <row r="8117" spans="2:2" ht="23.25" customHeight="1">
      <c r="B8117" s="2669"/>
    </row>
    <row r="8118" spans="2:2" ht="23.25" customHeight="1">
      <c r="B8118" s="2669"/>
    </row>
    <row r="8119" spans="2:2" ht="23.25" customHeight="1">
      <c r="B8119" s="2669"/>
    </row>
    <row r="8120" spans="2:2" ht="23.25" customHeight="1">
      <c r="B8120" s="2669"/>
    </row>
    <row r="8121" spans="2:2" ht="23.25" customHeight="1">
      <c r="B8121" s="2669"/>
    </row>
    <row r="8122" spans="2:2" ht="23.25" customHeight="1">
      <c r="B8122" s="2669"/>
    </row>
    <row r="8123" spans="2:2" ht="23.25" customHeight="1">
      <c r="B8123" s="2669"/>
    </row>
    <row r="8124" spans="2:2" ht="23.25" customHeight="1">
      <c r="B8124" s="2669"/>
    </row>
    <row r="8125" spans="2:2" ht="23.25" customHeight="1">
      <c r="B8125" s="2669"/>
    </row>
    <row r="8126" spans="2:2" ht="23.25" customHeight="1">
      <c r="B8126" s="2669"/>
    </row>
    <row r="8127" spans="2:2" ht="23.25" customHeight="1">
      <c r="B8127" s="2669"/>
    </row>
    <row r="8128" spans="2:2" ht="23.25" customHeight="1">
      <c r="B8128" s="2669"/>
    </row>
    <row r="8129" spans="2:2" ht="23.25" customHeight="1">
      <c r="B8129" s="2669"/>
    </row>
    <row r="8130" spans="2:2" ht="23.25" customHeight="1">
      <c r="B8130" s="2669"/>
    </row>
    <row r="8131" spans="2:2" ht="23.25" customHeight="1">
      <c r="B8131" s="2669"/>
    </row>
    <row r="8132" spans="2:2" ht="23.25" customHeight="1">
      <c r="B8132" s="2669"/>
    </row>
    <row r="8133" spans="2:2" ht="23.25" customHeight="1">
      <c r="B8133" s="2669"/>
    </row>
    <row r="8134" spans="2:2" ht="23.25" customHeight="1">
      <c r="B8134" s="2669"/>
    </row>
    <row r="8135" spans="2:2" ht="23.25" customHeight="1">
      <c r="B8135" s="2669"/>
    </row>
    <row r="8136" spans="2:2" ht="23.25" customHeight="1">
      <c r="B8136" s="2669"/>
    </row>
    <row r="8137" spans="2:2" ht="23.25" customHeight="1">
      <c r="B8137" s="2669"/>
    </row>
    <row r="8138" spans="2:2" ht="23.25" customHeight="1">
      <c r="B8138" s="2669"/>
    </row>
    <row r="8139" spans="2:2" ht="23.25" customHeight="1">
      <c r="B8139" s="2669"/>
    </row>
    <row r="8140" spans="2:2" ht="23.25" customHeight="1">
      <c r="B8140" s="2669"/>
    </row>
    <row r="8141" spans="2:2" ht="23.25" customHeight="1">
      <c r="B8141" s="2669"/>
    </row>
    <row r="8142" spans="2:2" ht="23.25" customHeight="1">
      <c r="B8142" s="2669"/>
    </row>
    <row r="8143" spans="2:2" ht="23.25" customHeight="1">
      <c r="B8143" s="2669"/>
    </row>
    <row r="8144" spans="2:2" ht="23.25" customHeight="1">
      <c r="B8144" s="2669"/>
    </row>
    <row r="8145" spans="2:2" ht="23.25" customHeight="1">
      <c r="B8145" s="2669"/>
    </row>
    <row r="8146" spans="2:2" ht="23.25" customHeight="1">
      <c r="B8146" s="2669"/>
    </row>
    <row r="8147" spans="2:2" ht="23.25" customHeight="1">
      <c r="B8147" s="2669"/>
    </row>
    <row r="8148" spans="2:2" ht="23.25" customHeight="1">
      <c r="B8148" s="2669"/>
    </row>
    <row r="8149" spans="2:2" ht="23.25" customHeight="1">
      <c r="B8149" s="2669"/>
    </row>
    <row r="8150" spans="2:2" ht="23.25" customHeight="1">
      <c r="B8150" s="2669"/>
    </row>
    <row r="8151" spans="2:2" ht="23.25" customHeight="1">
      <c r="B8151" s="2669"/>
    </row>
    <row r="8152" spans="2:2" ht="23.25" customHeight="1">
      <c r="B8152" s="2669"/>
    </row>
    <row r="8153" spans="2:2" ht="23.25" customHeight="1">
      <c r="B8153" s="2669"/>
    </row>
    <row r="8154" spans="2:2" ht="23.25" customHeight="1">
      <c r="B8154" s="2669"/>
    </row>
    <row r="8155" spans="2:2" ht="23.25" customHeight="1">
      <c r="B8155" s="2669"/>
    </row>
    <row r="8156" spans="2:2" ht="23.25" customHeight="1">
      <c r="B8156" s="2669"/>
    </row>
    <row r="8157" spans="2:2" ht="23.25" customHeight="1">
      <c r="B8157" s="2669"/>
    </row>
    <row r="8158" spans="2:2" ht="23.25" customHeight="1">
      <c r="B8158" s="2669"/>
    </row>
    <row r="8159" spans="2:2" ht="23.25" customHeight="1">
      <c r="B8159" s="2669"/>
    </row>
    <row r="8160" spans="2:2" ht="23.25" customHeight="1">
      <c r="B8160" s="2669"/>
    </row>
    <row r="8161" spans="2:2" ht="23.25" customHeight="1">
      <c r="B8161" s="2669"/>
    </row>
    <row r="8162" spans="2:2" ht="23.25" customHeight="1">
      <c r="B8162" s="2669"/>
    </row>
    <row r="8163" spans="2:2" ht="23.25" customHeight="1">
      <c r="B8163" s="2669"/>
    </row>
    <row r="8164" spans="2:2" ht="23.25" customHeight="1">
      <c r="B8164" s="2669"/>
    </row>
    <row r="8165" spans="2:2" ht="23.25" customHeight="1">
      <c r="B8165" s="2669"/>
    </row>
    <row r="8166" spans="2:2" ht="23.25" customHeight="1">
      <c r="B8166" s="2669"/>
    </row>
    <row r="8167" spans="2:2" ht="23.25" customHeight="1">
      <c r="B8167" s="2669"/>
    </row>
    <row r="8168" spans="2:2" ht="23.25" customHeight="1">
      <c r="B8168" s="2669"/>
    </row>
    <row r="8169" spans="2:2" ht="23.25" customHeight="1">
      <c r="B8169" s="2669"/>
    </row>
    <row r="8170" spans="2:2" ht="23.25" customHeight="1">
      <c r="B8170" s="2669"/>
    </row>
    <row r="8171" spans="2:2" ht="23.25" customHeight="1">
      <c r="B8171" s="2669"/>
    </row>
    <row r="8172" spans="2:2" ht="23.25" customHeight="1">
      <c r="B8172" s="2669"/>
    </row>
    <row r="8173" spans="2:2" ht="23.25" customHeight="1">
      <c r="B8173" s="2669"/>
    </row>
    <row r="8174" spans="2:2" ht="23.25" customHeight="1">
      <c r="B8174" s="2669"/>
    </row>
    <row r="8175" spans="2:2" ht="23.25" customHeight="1">
      <c r="B8175" s="2669"/>
    </row>
    <row r="8176" spans="2:2" ht="23.25" customHeight="1">
      <c r="B8176" s="2669"/>
    </row>
    <row r="8177" spans="2:2" ht="23.25" customHeight="1">
      <c r="B8177" s="2669"/>
    </row>
    <row r="8178" spans="2:2" ht="23.25" customHeight="1">
      <c r="B8178" s="2669"/>
    </row>
    <row r="8179" spans="2:2" ht="23.25" customHeight="1">
      <c r="B8179" s="2669"/>
    </row>
    <row r="8180" spans="2:2" ht="23.25" customHeight="1">
      <c r="B8180" s="2669"/>
    </row>
    <row r="8181" spans="2:2" ht="23.25" customHeight="1">
      <c r="B8181" s="2669"/>
    </row>
    <row r="8182" spans="2:2" ht="23.25" customHeight="1">
      <c r="B8182" s="2669"/>
    </row>
    <row r="8183" spans="2:2" ht="23.25" customHeight="1">
      <c r="B8183" s="2669"/>
    </row>
    <row r="8184" spans="2:2" ht="23.25" customHeight="1">
      <c r="B8184" s="2669"/>
    </row>
    <row r="8185" spans="2:2" ht="23.25" customHeight="1">
      <c r="B8185" s="2669"/>
    </row>
    <row r="8186" spans="2:2" ht="23.25" customHeight="1">
      <c r="B8186" s="2669"/>
    </row>
    <row r="8187" spans="2:2" ht="23.25" customHeight="1">
      <c r="B8187" s="2669"/>
    </row>
    <row r="8188" spans="2:2" ht="23.25" customHeight="1">
      <c r="B8188" s="2669"/>
    </row>
    <row r="8189" spans="2:2" ht="23.25" customHeight="1">
      <c r="B8189" s="2669"/>
    </row>
    <row r="8190" spans="2:2" ht="23.25" customHeight="1">
      <c r="B8190" s="2669"/>
    </row>
    <row r="8191" spans="2:2" ht="23.25" customHeight="1">
      <c r="B8191" s="2669"/>
    </row>
    <row r="8192" spans="2:2" ht="23.25" customHeight="1">
      <c r="B8192" s="2669"/>
    </row>
    <row r="8193" spans="2:2" ht="23.25" customHeight="1">
      <c r="B8193" s="2669"/>
    </row>
    <row r="8194" spans="2:2" ht="23.25" customHeight="1">
      <c r="B8194" s="2669"/>
    </row>
    <row r="8195" spans="2:2" ht="23.25" customHeight="1">
      <c r="B8195" s="2669"/>
    </row>
    <row r="8196" spans="2:2" ht="23.25" customHeight="1">
      <c r="B8196" s="2669"/>
    </row>
    <row r="8197" spans="2:2" ht="23.25" customHeight="1">
      <c r="B8197" s="2669"/>
    </row>
    <row r="8198" spans="2:2" ht="23.25" customHeight="1">
      <c r="B8198" s="2669"/>
    </row>
    <row r="8199" spans="2:2" ht="23.25" customHeight="1">
      <c r="B8199" s="2669"/>
    </row>
    <row r="8200" spans="2:2" ht="23.25" customHeight="1">
      <c r="B8200" s="2669"/>
    </row>
    <row r="8201" spans="2:2" ht="23.25" customHeight="1">
      <c r="B8201" s="2669"/>
    </row>
    <row r="8202" spans="2:2" ht="23.25" customHeight="1">
      <c r="B8202" s="2669"/>
    </row>
    <row r="8203" spans="2:2" ht="23.25" customHeight="1">
      <c r="B8203" s="2669"/>
    </row>
    <row r="8204" spans="2:2" ht="23.25" customHeight="1">
      <c r="B8204" s="2669"/>
    </row>
    <row r="8205" spans="2:2" ht="23.25" customHeight="1">
      <c r="B8205" s="2669"/>
    </row>
    <row r="8206" spans="2:2" ht="23.25" customHeight="1">
      <c r="B8206" s="2669"/>
    </row>
    <row r="8207" spans="2:2" ht="23.25" customHeight="1">
      <c r="B8207" s="2669"/>
    </row>
    <row r="8208" spans="2:2" ht="23.25" customHeight="1">
      <c r="B8208" s="2669"/>
    </row>
    <row r="8209" spans="2:2" ht="23.25" customHeight="1">
      <c r="B8209" s="2669"/>
    </row>
    <row r="8210" spans="2:2" ht="23.25" customHeight="1">
      <c r="B8210" s="2669"/>
    </row>
    <row r="8211" spans="2:2" ht="23.25" customHeight="1">
      <c r="B8211" s="2669"/>
    </row>
    <row r="8212" spans="2:2" ht="23.25" customHeight="1">
      <c r="B8212" s="2669"/>
    </row>
    <row r="8213" spans="2:2" ht="23.25" customHeight="1">
      <c r="B8213" s="2669"/>
    </row>
    <row r="8214" spans="2:2" ht="23.25" customHeight="1">
      <c r="B8214" s="2669"/>
    </row>
    <row r="8215" spans="2:2" ht="23.25" customHeight="1">
      <c r="B8215" s="2669"/>
    </row>
    <row r="8216" spans="2:2" ht="23.25" customHeight="1">
      <c r="B8216" s="2669"/>
    </row>
    <row r="8217" spans="2:2" ht="23.25" customHeight="1">
      <c r="B8217" s="2669"/>
    </row>
    <row r="8218" spans="2:2" ht="23.25" customHeight="1">
      <c r="B8218" s="2669"/>
    </row>
    <row r="8219" spans="2:2" ht="23.25" customHeight="1">
      <c r="B8219" s="2669"/>
    </row>
    <row r="8220" spans="2:2" ht="23.25" customHeight="1">
      <c r="B8220" s="2669"/>
    </row>
    <row r="8221" spans="2:2" ht="23.25" customHeight="1">
      <c r="B8221" s="2669"/>
    </row>
    <row r="8222" spans="2:2" ht="23.25" customHeight="1">
      <c r="B8222" s="2669"/>
    </row>
    <row r="8223" spans="2:2" ht="23.25" customHeight="1">
      <c r="B8223" s="2669"/>
    </row>
    <row r="8224" spans="2:2" ht="23.25" customHeight="1">
      <c r="B8224" s="2669"/>
    </row>
    <row r="8225" spans="2:2" ht="23.25" customHeight="1">
      <c r="B8225" s="2669"/>
    </row>
    <row r="8226" spans="2:2" ht="23.25" customHeight="1">
      <c r="B8226" s="2669"/>
    </row>
    <row r="8227" spans="2:2" ht="23.25" customHeight="1">
      <c r="B8227" s="2669"/>
    </row>
    <row r="8228" spans="2:2" ht="23.25" customHeight="1">
      <c r="B8228" s="2669"/>
    </row>
    <row r="8229" spans="2:2" ht="23.25" customHeight="1">
      <c r="B8229" s="2669"/>
    </row>
    <row r="8230" spans="2:2" ht="23.25" customHeight="1">
      <c r="B8230" s="2669"/>
    </row>
    <row r="8231" spans="2:2" ht="23.25" customHeight="1">
      <c r="B8231" s="2669"/>
    </row>
    <row r="8232" spans="2:2" ht="23.25" customHeight="1">
      <c r="B8232" s="2669"/>
    </row>
    <row r="8233" spans="2:2" ht="23.25" customHeight="1">
      <c r="B8233" s="2669"/>
    </row>
    <row r="8234" spans="2:2" ht="23.25" customHeight="1">
      <c r="B8234" s="2669"/>
    </row>
    <row r="8235" spans="2:2" ht="23.25" customHeight="1">
      <c r="B8235" s="2669"/>
    </row>
    <row r="8236" spans="2:2" ht="23.25" customHeight="1">
      <c r="B8236" s="2669"/>
    </row>
    <row r="8237" spans="2:2" ht="23.25" customHeight="1">
      <c r="B8237" s="2669"/>
    </row>
    <row r="8238" spans="2:2" ht="23.25" customHeight="1">
      <c r="B8238" s="2669"/>
    </row>
    <row r="8239" spans="2:2" ht="23.25" customHeight="1">
      <c r="B8239" s="2669"/>
    </row>
    <row r="8240" spans="2:2" ht="23.25" customHeight="1">
      <c r="B8240" s="2669"/>
    </row>
    <row r="8241" spans="2:2" ht="23.25" customHeight="1">
      <c r="B8241" s="2669"/>
    </row>
    <row r="8242" spans="2:2" ht="23.25" customHeight="1">
      <c r="B8242" s="2669"/>
    </row>
    <row r="8243" spans="2:2" ht="23.25" customHeight="1">
      <c r="B8243" s="2669"/>
    </row>
    <row r="8244" spans="2:2" ht="23.25" customHeight="1">
      <c r="B8244" s="2669"/>
    </row>
    <row r="8245" spans="2:2" ht="23.25" customHeight="1">
      <c r="B8245" s="2669"/>
    </row>
    <row r="8246" spans="2:2" ht="23.25" customHeight="1">
      <c r="B8246" s="2669"/>
    </row>
    <row r="8247" spans="2:2" ht="23.25" customHeight="1">
      <c r="B8247" s="2669"/>
    </row>
    <row r="8248" spans="2:2" ht="23.25" customHeight="1">
      <c r="B8248" s="2669"/>
    </row>
    <row r="8249" spans="2:2" ht="23.25" customHeight="1">
      <c r="B8249" s="2669"/>
    </row>
    <row r="8250" spans="2:2" ht="23.25" customHeight="1">
      <c r="B8250" s="2669"/>
    </row>
    <row r="8251" spans="2:2" ht="23.25" customHeight="1">
      <c r="B8251" s="2669"/>
    </row>
    <row r="8252" spans="2:2" ht="23.25" customHeight="1">
      <c r="B8252" s="2669"/>
    </row>
    <row r="8253" spans="2:2" ht="23.25" customHeight="1">
      <c r="B8253" s="2669"/>
    </row>
    <row r="8254" spans="2:2" ht="23.25" customHeight="1">
      <c r="B8254" s="2669"/>
    </row>
    <row r="8255" spans="2:2" ht="23.25" customHeight="1">
      <c r="B8255" s="2669"/>
    </row>
    <row r="8256" spans="2:2" ht="23.25" customHeight="1">
      <c r="B8256" s="2669"/>
    </row>
    <row r="8257" spans="2:2" ht="23.25" customHeight="1">
      <c r="B8257" s="2669"/>
    </row>
    <row r="8258" spans="2:2" ht="23.25" customHeight="1">
      <c r="B8258" s="2669"/>
    </row>
    <row r="8259" spans="2:2" ht="23.25" customHeight="1">
      <c r="B8259" s="2669"/>
    </row>
    <row r="8260" spans="2:2" ht="23.25" customHeight="1">
      <c r="B8260" s="2669"/>
    </row>
    <row r="8261" spans="2:2" ht="23.25" customHeight="1">
      <c r="B8261" s="2669"/>
    </row>
    <row r="8262" spans="2:2" ht="23.25" customHeight="1">
      <c r="B8262" s="2669"/>
    </row>
    <row r="8263" spans="2:2" ht="23.25" customHeight="1">
      <c r="B8263" s="2669"/>
    </row>
    <row r="8264" spans="2:2" ht="23.25" customHeight="1">
      <c r="B8264" s="2669"/>
    </row>
    <row r="8265" spans="2:2" ht="23.25" customHeight="1">
      <c r="B8265" s="2669"/>
    </row>
    <row r="8266" spans="2:2" ht="23.25" customHeight="1">
      <c r="B8266" s="2669"/>
    </row>
    <row r="8267" spans="2:2" ht="23.25" customHeight="1">
      <c r="B8267" s="2669"/>
    </row>
    <row r="8268" spans="2:2" ht="23.25" customHeight="1">
      <c r="B8268" s="2669"/>
    </row>
    <row r="8269" spans="2:2" ht="23.25" customHeight="1">
      <c r="B8269" s="2669"/>
    </row>
    <row r="8270" spans="2:2" ht="23.25" customHeight="1">
      <c r="B8270" s="2669"/>
    </row>
    <row r="8271" spans="2:2" ht="23.25" customHeight="1">
      <c r="B8271" s="2669"/>
    </row>
    <row r="8272" spans="2:2" ht="23.25" customHeight="1">
      <c r="B8272" s="2669"/>
    </row>
    <row r="8273" spans="2:2" ht="23.25" customHeight="1">
      <c r="B8273" s="2669"/>
    </row>
    <row r="8274" spans="2:2" ht="23.25" customHeight="1">
      <c r="B8274" s="2669"/>
    </row>
    <row r="8275" spans="2:2" ht="23.25" customHeight="1">
      <c r="B8275" s="2669"/>
    </row>
    <row r="8276" spans="2:2" ht="23.25" customHeight="1">
      <c r="B8276" s="2669"/>
    </row>
    <row r="8277" spans="2:2" ht="23.25" customHeight="1">
      <c r="B8277" s="2669"/>
    </row>
    <row r="8278" spans="2:2" ht="23.25" customHeight="1">
      <c r="B8278" s="2669"/>
    </row>
    <row r="8279" spans="2:2" ht="23.25" customHeight="1">
      <c r="B8279" s="2669"/>
    </row>
    <row r="8280" spans="2:2" ht="23.25" customHeight="1">
      <c r="B8280" s="2669"/>
    </row>
    <row r="8281" spans="2:2" ht="23.25" customHeight="1">
      <c r="B8281" s="2669"/>
    </row>
    <row r="8282" spans="2:2" ht="23.25" customHeight="1">
      <c r="B8282" s="2669"/>
    </row>
    <row r="8283" spans="2:2" ht="23.25" customHeight="1">
      <c r="B8283" s="2669"/>
    </row>
    <row r="8284" spans="2:2" ht="23.25" customHeight="1">
      <c r="B8284" s="2669"/>
    </row>
    <row r="8285" spans="2:2" ht="23.25" customHeight="1">
      <c r="B8285" s="2669"/>
    </row>
    <row r="8286" spans="2:2" ht="23.25" customHeight="1">
      <c r="B8286" s="2669"/>
    </row>
    <row r="8287" spans="2:2" ht="23.25" customHeight="1">
      <c r="B8287" s="2669"/>
    </row>
    <row r="8288" spans="2:2" ht="23.25" customHeight="1">
      <c r="B8288" s="2669"/>
    </row>
    <row r="8289" spans="2:2" ht="23.25" customHeight="1">
      <c r="B8289" s="2669"/>
    </row>
    <row r="8290" spans="2:2" ht="23.25" customHeight="1">
      <c r="B8290" s="2669"/>
    </row>
    <row r="8291" spans="2:2" ht="23.25" customHeight="1">
      <c r="B8291" s="2669"/>
    </row>
    <row r="8292" spans="2:2" ht="23.25" customHeight="1">
      <c r="B8292" s="2669"/>
    </row>
    <row r="8293" spans="2:2" ht="23.25" customHeight="1">
      <c r="B8293" s="2669"/>
    </row>
    <row r="8294" spans="2:2" ht="23.25" customHeight="1">
      <c r="B8294" s="2669"/>
    </row>
    <row r="8295" spans="2:2" ht="23.25" customHeight="1">
      <c r="B8295" s="2669"/>
    </row>
    <row r="8296" spans="2:2" ht="23.25" customHeight="1">
      <c r="B8296" s="2669"/>
    </row>
    <row r="8297" spans="2:2" ht="23.25" customHeight="1">
      <c r="B8297" s="2669"/>
    </row>
    <row r="8298" spans="2:2" ht="23.25" customHeight="1">
      <c r="B8298" s="2669"/>
    </row>
    <row r="8299" spans="2:2" ht="23.25" customHeight="1">
      <c r="B8299" s="2669"/>
    </row>
    <row r="8300" spans="2:2" ht="23.25" customHeight="1">
      <c r="B8300" s="2669"/>
    </row>
    <row r="8301" spans="2:2" ht="23.25" customHeight="1">
      <c r="B8301" s="2669"/>
    </row>
    <row r="8302" spans="2:2" ht="23.25" customHeight="1">
      <c r="B8302" s="2669"/>
    </row>
    <row r="8303" spans="2:2" ht="23.25" customHeight="1">
      <c r="B8303" s="2669"/>
    </row>
    <row r="8304" spans="2:2" ht="23.25" customHeight="1">
      <c r="B8304" s="2669"/>
    </row>
    <row r="8305" spans="2:2" ht="23.25" customHeight="1">
      <c r="B8305" s="2669"/>
    </row>
    <row r="8306" spans="2:2" ht="23.25" customHeight="1">
      <c r="B8306" s="2669"/>
    </row>
    <row r="8307" spans="2:2" ht="23.25" customHeight="1">
      <c r="B8307" s="2669"/>
    </row>
    <row r="8308" spans="2:2" ht="23.25" customHeight="1">
      <c r="B8308" s="2669"/>
    </row>
    <row r="8309" spans="2:2" ht="23.25" customHeight="1">
      <c r="B8309" s="2669"/>
    </row>
    <row r="8310" spans="2:2" ht="23.25" customHeight="1">
      <c r="B8310" s="2669"/>
    </row>
    <row r="8311" spans="2:2" ht="23.25" customHeight="1">
      <c r="B8311" s="2669"/>
    </row>
    <row r="8312" spans="2:2" ht="23.25" customHeight="1">
      <c r="B8312" s="2669"/>
    </row>
    <row r="8313" spans="2:2" ht="23.25" customHeight="1">
      <c r="B8313" s="2669"/>
    </row>
    <row r="8314" spans="2:2" ht="23.25" customHeight="1">
      <c r="B8314" s="2669"/>
    </row>
    <row r="8315" spans="2:2" ht="23.25" customHeight="1">
      <c r="B8315" s="2669"/>
    </row>
    <row r="8316" spans="2:2" ht="23.25" customHeight="1">
      <c r="B8316" s="2669"/>
    </row>
    <row r="8317" spans="2:2" ht="23.25" customHeight="1">
      <c r="B8317" s="2669"/>
    </row>
    <row r="8318" spans="2:2" ht="23.25" customHeight="1">
      <c r="B8318" s="2669"/>
    </row>
    <row r="8319" spans="2:2" ht="23.25" customHeight="1">
      <c r="B8319" s="2669"/>
    </row>
    <row r="8320" spans="2:2" ht="23.25" customHeight="1">
      <c r="B8320" s="2669"/>
    </row>
    <row r="8321" spans="2:2" ht="23.25" customHeight="1">
      <c r="B8321" s="2669"/>
    </row>
    <row r="8322" spans="2:2" ht="23.25" customHeight="1">
      <c r="B8322" s="2669"/>
    </row>
    <row r="8323" spans="2:2" ht="23.25" customHeight="1">
      <c r="B8323" s="2669"/>
    </row>
    <row r="8324" spans="2:2" ht="23.25" customHeight="1">
      <c r="B8324" s="2669"/>
    </row>
    <row r="8325" spans="2:2" ht="23.25" customHeight="1">
      <c r="B8325" s="2669"/>
    </row>
    <row r="8326" spans="2:2" ht="23.25" customHeight="1">
      <c r="B8326" s="2669"/>
    </row>
    <row r="8327" spans="2:2" ht="23.25" customHeight="1">
      <c r="B8327" s="2669"/>
    </row>
    <row r="8328" spans="2:2" ht="23.25" customHeight="1">
      <c r="B8328" s="2669"/>
    </row>
    <row r="8329" spans="2:2" ht="23.25" customHeight="1">
      <c r="B8329" s="2669"/>
    </row>
    <row r="8330" spans="2:2" ht="23.25" customHeight="1">
      <c r="B8330" s="2669"/>
    </row>
    <row r="8331" spans="2:2" ht="23.25" customHeight="1">
      <c r="B8331" s="2669"/>
    </row>
    <row r="8332" spans="2:2" ht="23.25" customHeight="1">
      <c r="B8332" s="2669"/>
    </row>
    <row r="8333" spans="2:2" ht="23.25" customHeight="1">
      <c r="B8333" s="2669"/>
    </row>
    <row r="8334" spans="2:2" ht="23.25" customHeight="1">
      <c r="B8334" s="2669"/>
    </row>
    <row r="8335" spans="2:2" ht="23.25" customHeight="1">
      <c r="B8335" s="2669"/>
    </row>
    <row r="8336" spans="2:2" ht="23.25" customHeight="1">
      <c r="B8336" s="2669"/>
    </row>
    <row r="8337" spans="2:2" ht="23.25" customHeight="1">
      <c r="B8337" s="2669"/>
    </row>
    <row r="8338" spans="2:2" ht="23.25" customHeight="1">
      <c r="B8338" s="2669"/>
    </row>
    <row r="8339" spans="2:2" ht="23.25" customHeight="1">
      <c r="B8339" s="2669"/>
    </row>
    <row r="8340" spans="2:2" ht="23.25" customHeight="1">
      <c r="B8340" s="2669"/>
    </row>
    <row r="8341" spans="2:2" ht="23.25" customHeight="1">
      <c r="B8341" s="2669"/>
    </row>
    <row r="8342" spans="2:2" ht="23.25" customHeight="1">
      <c r="B8342" s="2669"/>
    </row>
    <row r="8343" spans="2:2" ht="23.25" customHeight="1">
      <c r="B8343" s="2669"/>
    </row>
    <row r="8344" spans="2:2" ht="23.25" customHeight="1">
      <c r="B8344" s="2669"/>
    </row>
    <row r="8345" spans="2:2" ht="23.25" customHeight="1">
      <c r="B8345" s="2669"/>
    </row>
    <row r="8346" spans="2:2" ht="23.25" customHeight="1">
      <c r="B8346" s="2669"/>
    </row>
    <row r="8347" spans="2:2" ht="23.25" customHeight="1">
      <c r="B8347" s="2669"/>
    </row>
    <row r="8348" spans="2:2" ht="23.25" customHeight="1">
      <c r="B8348" s="2669"/>
    </row>
    <row r="8349" spans="2:2" ht="23.25" customHeight="1">
      <c r="B8349" s="2669"/>
    </row>
    <row r="8350" spans="2:2" ht="23.25" customHeight="1">
      <c r="B8350" s="2669"/>
    </row>
    <row r="8351" spans="2:2" ht="23.25" customHeight="1">
      <c r="B8351" s="2669"/>
    </row>
    <row r="8352" spans="2:2" ht="23.25" customHeight="1">
      <c r="B8352" s="2669"/>
    </row>
    <row r="8353" spans="2:2" ht="23.25" customHeight="1">
      <c r="B8353" s="2669"/>
    </row>
    <row r="8354" spans="2:2" ht="23.25" customHeight="1">
      <c r="B8354" s="2669"/>
    </row>
    <row r="8355" spans="2:2" ht="23.25" customHeight="1">
      <c r="B8355" s="2669"/>
    </row>
    <row r="8356" spans="2:2" ht="23.25" customHeight="1">
      <c r="B8356" s="2669"/>
    </row>
    <row r="8357" spans="2:2" ht="23.25" customHeight="1">
      <c r="B8357" s="2669"/>
    </row>
    <row r="8358" spans="2:2" ht="23.25" customHeight="1">
      <c r="B8358" s="2669"/>
    </row>
    <row r="8359" spans="2:2" ht="23.25" customHeight="1">
      <c r="B8359" s="2669"/>
    </row>
    <row r="8360" spans="2:2" ht="23.25" customHeight="1">
      <c r="B8360" s="2669"/>
    </row>
    <row r="8361" spans="2:2" ht="23.25" customHeight="1">
      <c r="B8361" s="2669"/>
    </row>
    <row r="8362" spans="2:2" ht="23.25" customHeight="1">
      <c r="B8362" s="2669"/>
    </row>
    <row r="8363" spans="2:2" ht="23.25" customHeight="1">
      <c r="B8363" s="2669"/>
    </row>
    <row r="8364" spans="2:2" ht="23.25" customHeight="1">
      <c r="B8364" s="2669"/>
    </row>
    <row r="8365" spans="2:2" ht="23.25" customHeight="1">
      <c r="B8365" s="2669"/>
    </row>
    <row r="8366" spans="2:2" ht="23.25" customHeight="1">
      <c r="B8366" s="2669"/>
    </row>
    <row r="8367" spans="2:2" ht="23.25" customHeight="1">
      <c r="B8367" s="2669"/>
    </row>
    <row r="8368" spans="2:2" ht="23.25" customHeight="1">
      <c r="B8368" s="2669"/>
    </row>
    <row r="8369" spans="2:2" ht="23.25" customHeight="1">
      <c r="B8369" s="2669"/>
    </row>
    <row r="8370" spans="2:2" ht="23.25" customHeight="1">
      <c r="B8370" s="2669"/>
    </row>
    <row r="8371" spans="2:2" ht="23.25" customHeight="1">
      <c r="B8371" s="2669"/>
    </row>
    <row r="8372" spans="2:2" ht="23.25" customHeight="1">
      <c r="B8372" s="2669"/>
    </row>
    <row r="8373" spans="2:2" ht="23.25" customHeight="1">
      <c r="B8373" s="2669"/>
    </row>
    <row r="8374" spans="2:2" ht="23.25" customHeight="1">
      <c r="B8374" s="2669"/>
    </row>
    <row r="8375" spans="2:2" ht="23.25" customHeight="1">
      <c r="B8375" s="2669"/>
    </row>
    <row r="8376" spans="2:2" ht="23.25" customHeight="1">
      <c r="B8376" s="2669"/>
    </row>
    <row r="8377" spans="2:2" ht="23.25" customHeight="1">
      <c r="B8377" s="2669"/>
    </row>
    <row r="8378" spans="2:2" ht="23.25" customHeight="1">
      <c r="B8378" s="2669"/>
    </row>
    <row r="8379" spans="2:2" ht="23.25" customHeight="1">
      <c r="B8379" s="2669"/>
    </row>
    <row r="8380" spans="2:2" ht="23.25" customHeight="1">
      <c r="B8380" s="2669"/>
    </row>
    <row r="8381" spans="2:2" ht="23.25" customHeight="1">
      <c r="B8381" s="2669"/>
    </row>
    <row r="8382" spans="2:2" ht="23.25" customHeight="1">
      <c r="B8382" s="2669"/>
    </row>
    <row r="8383" spans="2:2" ht="23.25" customHeight="1">
      <c r="B8383" s="2669"/>
    </row>
    <row r="8384" spans="2:2" ht="23.25" customHeight="1">
      <c r="B8384" s="2669"/>
    </row>
    <row r="8385" spans="2:2" ht="23.25" customHeight="1">
      <c r="B8385" s="2669"/>
    </row>
    <row r="8386" spans="2:2" ht="23.25" customHeight="1">
      <c r="B8386" s="2669"/>
    </row>
    <row r="8387" spans="2:2" ht="23.25" customHeight="1">
      <c r="B8387" s="2669"/>
    </row>
    <row r="8388" spans="2:2" ht="23.25" customHeight="1">
      <c r="B8388" s="2669"/>
    </row>
    <row r="8389" spans="2:2" ht="23.25" customHeight="1">
      <c r="B8389" s="2669"/>
    </row>
    <row r="8390" spans="2:2" ht="23.25" customHeight="1">
      <c r="B8390" s="2669"/>
    </row>
    <row r="8391" spans="2:2" ht="23.25" customHeight="1">
      <c r="B8391" s="2669"/>
    </row>
    <row r="8392" spans="2:2" ht="23.25" customHeight="1">
      <c r="B8392" s="2669"/>
    </row>
    <row r="8393" spans="2:2" ht="23.25" customHeight="1">
      <c r="B8393" s="2669"/>
    </row>
    <row r="8394" spans="2:2" ht="23.25" customHeight="1">
      <c r="B8394" s="2669"/>
    </row>
    <row r="8395" spans="2:2" ht="23.25" customHeight="1">
      <c r="B8395" s="2669"/>
    </row>
    <row r="8396" spans="2:2" ht="23.25" customHeight="1">
      <c r="B8396" s="2669"/>
    </row>
    <row r="8397" spans="2:2" ht="23.25" customHeight="1">
      <c r="B8397" s="2669"/>
    </row>
    <row r="8398" spans="2:2" ht="23.25" customHeight="1">
      <c r="B8398" s="2669"/>
    </row>
    <row r="8399" spans="2:2" ht="23.25" customHeight="1">
      <c r="B8399" s="2669"/>
    </row>
    <row r="8400" spans="2:2" ht="23.25" customHeight="1">
      <c r="B8400" s="2669"/>
    </row>
    <row r="8401" spans="2:2" ht="23.25" customHeight="1">
      <c r="B8401" s="2669"/>
    </row>
    <row r="8402" spans="2:2" ht="23.25" customHeight="1">
      <c r="B8402" s="2669"/>
    </row>
    <row r="8403" spans="2:2" ht="23.25" customHeight="1">
      <c r="B8403" s="2669"/>
    </row>
    <row r="8404" spans="2:2" ht="23.25" customHeight="1">
      <c r="B8404" s="2669"/>
    </row>
    <row r="8405" spans="2:2" ht="23.25" customHeight="1">
      <c r="B8405" s="2669"/>
    </row>
    <row r="8406" spans="2:2" ht="23.25" customHeight="1">
      <c r="B8406" s="2669"/>
    </row>
    <row r="8407" spans="2:2" ht="23.25" customHeight="1">
      <c r="B8407" s="2669"/>
    </row>
    <row r="8408" spans="2:2" ht="23.25" customHeight="1">
      <c r="B8408" s="2669"/>
    </row>
    <row r="8409" spans="2:2" ht="23.25" customHeight="1">
      <c r="B8409" s="2669"/>
    </row>
    <row r="8410" spans="2:2" ht="23.25" customHeight="1">
      <c r="B8410" s="2669"/>
    </row>
    <row r="8411" spans="2:2" ht="23.25" customHeight="1">
      <c r="B8411" s="2669"/>
    </row>
    <row r="8412" spans="2:2" ht="23.25" customHeight="1">
      <c r="B8412" s="2669"/>
    </row>
    <row r="8413" spans="2:2" ht="23.25" customHeight="1">
      <c r="B8413" s="2669"/>
    </row>
    <row r="8414" spans="2:2" ht="23.25" customHeight="1">
      <c r="B8414" s="2669"/>
    </row>
    <row r="8415" spans="2:2" ht="23.25" customHeight="1">
      <c r="B8415" s="2669"/>
    </row>
    <row r="8416" spans="2:2" ht="23.25" customHeight="1">
      <c r="B8416" s="2669"/>
    </row>
    <row r="8417" spans="2:2" ht="23.25" customHeight="1">
      <c r="B8417" s="2669"/>
    </row>
    <row r="8418" spans="2:2" ht="23.25" customHeight="1">
      <c r="B8418" s="2669"/>
    </row>
    <row r="8419" spans="2:2" ht="23.25" customHeight="1">
      <c r="B8419" s="2669"/>
    </row>
    <row r="8420" spans="2:2" ht="23.25" customHeight="1">
      <c r="B8420" s="2669"/>
    </row>
    <row r="8421" spans="2:2" ht="23.25" customHeight="1">
      <c r="B8421" s="2669"/>
    </row>
    <row r="8422" spans="2:2" ht="23.25" customHeight="1">
      <c r="B8422" s="2669"/>
    </row>
    <row r="8423" spans="2:2" ht="23.25" customHeight="1">
      <c r="B8423" s="2669"/>
    </row>
    <row r="8424" spans="2:2" ht="23.25" customHeight="1">
      <c r="B8424" s="2669"/>
    </row>
    <row r="8425" spans="2:2" ht="23.25" customHeight="1">
      <c r="B8425" s="2669"/>
    </row>
    <row r="8426" spans="2:2" ht="23.25" customHeight="1">
      <c r="B8426" s="2669"/>
    </row>
    <row r="8427" spans="2:2" ht="23.25" customHeight="1">
      <c r="B8427" s="2669"/>
    </row>
    <row r="8428" spans="2:2" ht="23.25" customHeight="1">
      <c r="B8428" s="2669"/>
    </row>
    <row r="8429" spans="2:2" ht="23.25" customHeight="1">
      <c r="B8429" s="2669"/>
    </row>
    <row r="8430" spans="2:2" ht="23.25" customHeight="1">
      <c r="B8430" s="2669"/>
    </row>
    <row r="8431" spans="2:2" ht="23.25" customHeight="1">
      <c r="B8431" s="2669"/>
    </row>
    <row r="8432" spans="2:2" ht="23.25" customHeight="1">
      <c r="B8432" s="2669"/>
    </row>
    <row r="8433" spans="2:2" ht="23.25" customHeight="1">
      <c r="B8433" s="2669"/>
    </row>
    <row r="8434" spans="2:2" ht="23.25" customHeight="1">
      <c r="B8434" s="2669"/>
    </row>
    <row r="8435" spans="2:2" ht="23.25" customHeight="1">
      <c r="B8435" s="2669"/>
    </row>
    <row r="8436" spans="2:2" ht="23.25" customHeight="1">
      <c r="B8436" s="2669"/>
    </row>
    <row r="8437" spans="2:2" ht="23.25" customHeight="1">
      <c r="B8437" s="2669"/>
    </row>
    <row r="8438" spans="2:2" ht="23.25" customHeight="1">
      <c r="B8438" s="2669"/>
    </row>
    <row r="8439" spans="2:2" ht="23.25" customHeight="1">
      <c r="B8439" s="2669"/>
    </row>
    <row r="8440" spans="2:2" ht="23.25" customHeight="1">
      <c r="B8440" s="2669"/>
    </row>
    <row r="8441" spans="2:2" ht="23.25" customHeight="1">
      <c r="B8441" s="2669"/>
    </row>
    <row r="8442" spans="2:2" ht="23.25" customHeight="1">
      <c r="B8442" s="2669"/>
    </row>
    <row r="8443" spans="2:2" ht="23.25" customHeight="1">
      <c r="B8443" s="2669"/>
    </row>
    <row r="8444" spans="2:2" ht="23.25" customHeight="1">
      <c r="B8444" s="2669"/>
    </row>
    <row r="8445" spans="2:2" ht="23.25" customHeight="1">
      <c r="B8445" s="2669"/>
    </row>
    <row r="8446" spans="2:2" ht="23.25" customHeight="1">
      <c r="B8446" s="2669"/>
    </row>
    <row r="8447" spans="2:2" ht="23.25" customHeight="1">
      <c r="B8447" s="2669"/>
    </row>
    <row r="8448" spans="2:2" ht="23.25" customHeight="1">
      <c r="B8448" s="2669"/>
    </row>
    <row r="8449" spans="2:2" ht="23.25" customHeight="1">
      <c r="B8449" s="2669"/>
    </row>
    <row r="8450" spans="2:2" ht="23.25" customHeight="1">
      <c r="B8450" s="2669"/>
    </row>
    <row r="8451" spans="2:2" ht="23.25" customHeight="1">
      <c r="B8451" s="2669"/>
    </row>
    <row r="8452" spans="2:2" ht="23.25" customHeight="1">
      <c r="B8452" s="2669"/>
    </row>
    <row r="8453" spans="2:2" ht="23.25" customHeight="1">
      <c r="B8453" s="2669"/>
    </row>
    <row r="8454" spans="2:2" ht="23.25" customHeight="1">
      <c r="B8454" s="2669"/>
    </row>
    <row r="8455" spans="2:2" ht="23.25" customHeight="1">
      <c r="B8455" s="2669"/>
    </row>
    <row r="8456" spans="2:2" ht="23.25" customHeight="1">
      <c r="B8456" s="2669"/>
    </row>
    <row r="8457" spans="2:2" ht="23.25" customHeight="1">
      <c r="B8457" s="2669"/>
    </row>
    <row r="8458" spans="2:2" ht="23.25" customHeight="1">
      <c r="B8458" s="2669"/>
    </row>
    <row r="8459" spans="2:2" ht="23.25" customHeight="1">
      <c r="B8459" s="2669"/>
    </row>
    <row r="8460" spans="2:2" ht="23.25" customHeight="1">
      <c r="B8460" s="2669"/>
    </row>
    <row r="8461" spans="2:2" ht="23.25" customHeight="1">
      <c r="B8461" s="2669"/>
    </row>
    <row r="8462" spans="2:2" ht="23.25" customHeight="1">
      <c r="B8462" s="2669"/>
    </row>
    <row r="8463" spans="2:2" ht="23.25" customHeight="1">
      <c r="B8463" s="2669"/>
    </row>
    <row r="8464" spans="2:2" ht="23.25" customHeight="1">
      <c r="B8464" s="2669"/>
    </row>
    <row r="8465" spans="2:2" ht="23.25" customHeight="1">
      <c r="B8465" s="2669"/>
    </row>
    <row r="8466" spans="2:2" ht="23.25" customHeight="1">
      <c r="B8466" s="2669"/>
    </row>
    <row r="8467" spans="2:2" ht="23.25" customHeight="1">
      <c r="B8467" s="2669"/>
    </row>
    <row r="8468" spans="2:2" ht="23.25" customHeight="1">
      <c r="B8468" s="2669"/>
    </row>
    <row r="8469" spans="2:2" ht="23.25" customHeight="1">
      <c r="B8469" s="2669"/>
    </row>
    <row r="8470" spans="2:2" ht="23.25" customHeight="1">
      <c r="B8470" s="2669"/>
    </row>
    <row r="8471" spans="2:2" ht="23.25" customHeight="1">
      <c r="B8471" s="2669"/>
    </row>
    <row r="8472" spans="2:2" ht="23.25" customHeight="1">
      <c r="B8472" s="2669"/>
    </row>
    <row r="8473" spans="2:2" ht="23.25" customHeight="1">
      <c r="B8473" s="2669"/>
    </row>
    <row r="8474" spans="2:2" ht="23.25" customHeight="1">
      <c r="B8474" s="2669"/>
    </row>
    <row r="8475" spans="2:2" ht="23.25" customHeight="1">
      <c r="B8475" s="2669"/>
    </row>
    <row r="8476" spans="2:2" ht="23.25" customHeight="1">
      <c r="B8476" s="2669"/>
    </row>
    <row r="8477" spans="2:2" ht="23.25" customHeight="1">
      <c r="B8477" s="2669"/>
    </row>
    <row r="8478" spans="2:2" ht="23.25" customHeight="1">
      <c r="B8478" s="2669"/>
    </row>
    <row r="8479" spans="2:2" ht="23.25" customHeight="1">
      <c r="B8479" s="2669"/>
    </row>
    <row r="8480" spans="2:2" ht="23.25" customHeight="1">
      <c r="B8480" s="2669"/>
    </row>
    <row r="8481" spans="2:2" ht="23.25" customHeight="1">
      <c r="B8481" s="2669"/>
    </row>
    <row r="8482" spans="2:2" ht="23.25" customHeight="1">
      <c r="B8482" s="2669"/>
    </row>
    <row r="8483" spans="2:2" ht="23.25" customHeight="1">
      <c r="B8483" s="2669"/>
    </row>
    <row r="8484" spans="2:2" ht="23.25" customHeight="1">
      <c r="B8484" s="2669"/>
    </row>
    <row r="8485" spans="2:2" ht="23.25" customHeight="1">
      <c r="B8485" s="2669"/>
    </row>
    <row r="8486" spans="2:2" ht="23.25" customHeight="1">
      <c r="B8486" s="2669"/>
    </row>
    <row r="8487" spans="2:2" ht="23.25" customHeight="1">
      <c r="B8487" s="2669"/>
    </row>
    <row r="8488" spans="2:2" ht="23.25" customHeight="1">
      <c r="B8488" s="2669"/>
    </row>
    <row r="8489" spans="2:2" ht="23.25" customHeight="1">
      <c r="B8489" s="2669"/>
    </row>
    <row r="8490" spans="2:2" ht="23.25" customHeight="1">
      <c r="B8490" s="2669"/>
    </row>
    <row r="8491" spans="2:2" ht="23.25" customHeight="1">
      <c r="B8491" s="2669"/>
    </row>
    <row r="8492" spans="2:2" ht="23.25" customHeight="1">
      <c r="B8492" s="2669"/>
    </row>
    <row r="8493" spans="2:2" ht="23.25" customHeight="1">
      <c r="B8493" s="2669"/>
    </row>
    <row r="8494" spans="2:2" ht="23.25" customHeight="1">
      <c r="B8494" s="2669"/>
    </row>
    <row r="8495" spans="2:2" ht="23.25" customHeight="1">
      <c r="B8495" s="2669"/>
    </row>
    <row r="8496" spans="2:2" ht="23.25" customHeight="1">
      <c r="B8496" s="2669"/>
    </row>
    <row r="8497" spans="2:2" ht="23.25" customHeight="1">
      <c r="B8497" s="2669"/>
    </row>
    <row r="8498" spans="2:2" ht="23.25" customHeight="1">
      <c r="B8498" s="2669"/>
    </row>
    <row r="8499" spans="2:2" ht="23.25" customHeight="1">
      <c r="B8499" s="2669"/>
    </row>
    <row r="8500" spans="2:2" ht="23.25" customHeight="1">
      <c r="B8500" s="2669"/>
    </row>
    <row r="8501" spans="2:2" ht="23.25" customHeight="1">
      <c r="B8501" s="2669"/>
    </row>
    <row r="8502" spans="2:2" ht="23.25" customHeight="1">
      <c r="B8502" s="2669"/>
    </row>
    <row r="8503" spans="2:2" ht="23.25" customHeight="1">
      <c r="B8503" s="2669"/>
    </row>
    <row r="8504" spans="2:2" ht="23.25" customHeight="1">
      <c r="B8504" s="2669"/>
    </row>
    <row r="8505" spans="2:2" ht="23.25" customHeight="1">
      <c r="B8505" s="2669"/>
    </row>
    <row r="8506" spans="2:2" ht="23.25" customHeight="1">
      <c r="B8506" s="2669"/>
    </row>
    <row r="8507" spans="2:2" ht="23.25" customHeight="1">
      <c r="B8507" s="2669"/>
    </row>
    <row r="8508" spans="2:2" ht="23.25" customHeight="1">
      <c r="B8508" s="2669"/>
    </row>
    <row r="8509" spans="2:2" ht="23.25" customHeight="1">
      <c r="B8509" s="2669"/>
    </row>
    <row r="8510" spans="2:2" ht="23.25" customHeight="1">
      <c r="B8510" s="2669"/>
    </row>
    <row r="8511" spans="2:2" ht="23.25" customHeight="1">
      <c r="B8511" s="2669"/>
    </row>
    <row r="8512" spans="2:2" ht="23.25" customHeight="1">
      <c r="B8512" s="2669"/>
    </row>
    <row r="8513" spans="2:2" ht="23.25" customHeight="1">
      <c r="B8513" s="2669"/>
    </row>
    <row r="8514" spans="2:2" ht="23.25" customHeight="1">
      <c r="B8514" s="2669"/>
    </row>
    <row r="8515" spans="2:2" ht="23.25" customHeight="1">
      <c r="B8515" s="2669"/>
    </row>
    <row r="8516" spans="2:2" ht="23.25" customHeight="1">
      <c r="B8516" s="2669"/>
    </row>
    <row r="8517" spans="2:2" ht="23.25" customHeight="1">
      <c r="B8517" s="2669"/>
    </row>
    <row r="8518" spans="2:2" ht="23.25" customHeight="1">
      <c r="B8518" s="2669"/>
    </row>
    <row r="8519" spans="2:2" ht="23.25" customHeight="1">
      <c r="B8519" s="2669"/>
    </row>
    <row r="8520" spans="2:2" ht="23.25" customHeight="1">
      <c r="B8520" s="2669"/>
    </row>
    <row r="8521" spans="2:2" ht="23.25" customHeight="1">
      <c r="B8521" s="2669"/>
    </row>
    <row r="8522" spans="2:2" ht="23.25" customHeight="1">
      <c r="B8522" s="2669"/>
    </row>
    <row r="8523" spans="2:2" ht="23.25" customHeight="1">
      <c r="B8523" s="2669"/>
    </row>
    <row r="8524" spans="2:2" ht="23.25" customHeight="1">
      <c r="B8524" s="2669"/>
    </row>
    <row r="8525" spans="2:2" ht="23.25" customHeight="1">
      <c r="B8525" s="2669"/>
    </row>
    <row r="8526" spans="2:2" ht="23.25" customHeight="1">
      <c r="B8526" s="2669"/>
    </row>
    <row r="8527" spans="2:2" ht="23.25" customHeight="1">
      <c r="B8527" s="2669"/>
    </row>
    <row r="8528" spans="2:2" ht="23.25" customHeight="1">
      <c r="B8528" s="2669"/>
    </row>
    <row r="8529" spans="2:2" ht="23.25" customHeight="1">
      <c r="B8529" s="2669"/>
    </row>
    <row r="8530" spans="2:2" ht="23.25" customHeight="1">
      <c r="B8530" s="2669"/>
    </row>
    <row r="8531" spans="2:2" ht="23.25" customHeight="1">
      <c r="B8531" s="2669"/>
    </row>
    <row r="8532" spans="2:2" ht="23.25" customHeight="1">
      <c r="B8532" s="2669"/>
    </row>
    <row r="8533" spans="2:2" ht="23.25" customHeight="1">
      <c r="B8533" s="2669"/>
    </row>
    <row r="8534" spans="2:2" ht="23.25" customHeight="1">
      <c r="B8534" s="2669"/>
    </row>
    <row r="8535" spans="2:2" ht="23.25" customHeight="1">
      <c r="B8535" s="2669"/>
    </row>
    <row r="8536" spans="2:2" ht="23.25" customHeight="1">
      <c r="B8536" s="2669"/>
    </row>
    <row r="8537" spans="2:2" ht="23.25" customHeight="1">
      <c r="B8537" s="2669"/>
    </row>
    <row r="8538" spans="2:2" ht="23.25" customHeight="1">
      <c r="B8538" s="2669"/>
    </row>
    <row r="8539" spans="2:2" ht="23.25" customHeight="1">
      <c r="B8539" s="2669"/>
    </row>
    <row r="8540" spans="2:2" ht="23.25" customHeight="1">
      <c r="B8540" s="2669"/>
    </row>
    <row r="8541" spans="2:2" ht="23.25" customHeight="1">
      <c r="B8541" s="2669"/>
    </row>
    <row r="8542" spans="2:2" ht="23.25" customHeight="1">
      <c r="B8542" s="2669"/>
    </row>
    <row r="8543" spans="2:2" ht="23.25" customHeight="1">
      <c r="B8543" s="2669"/>
    </row>
    <row r="8544" spans="2:2" ht="23.25" customHeight="1">
      <c r="B8544" s="2669"/>
    </row>
    <row r="8545" spans="2:2" ht="23.25" customHeight="1">
      <c r="B8545" s="2669"/>
    </row>
    <row r="8546" spans="2:2" ht="23.25" customHeight="1">
      <c r="B8546" s="2669"/>
    </row>
    <row r="8547" spans="2:2" ht="23.25" customHeight="1">
      <c r="B8547" s="2669"/>
    </row>
    <row r="8548" spans="2:2" ht="23.25" customHeight="1">
      <c r="B8548" s="2669"/>
    </row>
    <row r="8549" spans="2:2" ht="23.25" customHeight="1">
      <c r="B8549" s="2669"/>
    </row>
    <row r="8550" spans="2:2" ht="23.25" customHeight="1">
      <c r="B8550" s="2669"/>
    </row>
    <row r="8551" spans="2:2" ht="23.25" customHeight="1">
      <c r="B8551" s="2669"/>
    </row>
    <row r="8552" spans="2:2" ht="23.25" customHeight="1">
      <c r="B8552" s="2669"/>
    </row>
    <row r="8553" spans="2:2" ht="23.25" customHeight="1">
      <c r="B8553" s="2669"/>
    </row>
    <row r="8554" spans="2:2" ht="23.25" customHeight="1">
      <c r="B8554" s="2669"/>
    </row>
    <row r="8555" spans="2:2" ht="23.25" customHeight="1">
      <c r="B8555" s="2669"/>
    </row>
    <row r="8556" spans="2:2" ht="23.25" customHeight="1">
      <c r="B8556" s="2669"/>
    </row>
    <row r="8557" spans="2:2" ht="23.25" customHeight="1">
      <c r="B8557" s="2669"/>
    </row>
    <row r="8558" spans="2:2" ht="23.25" customHeight="1">
      <c r="B8558" s="2669"/>
    </row>
    <row r="8559" spans="2:2" ht="23.25" customHeight="1">
      <c r="B8559" s="2669"/>
    </row>
    <row r="8560" spans="2:2" ht="23.25" customHeight="1">
      <c r="B8560" s="2669"/>
    </row>
    <row r="8561" spans="2:2" ht="23.25" customHeight="1">
      <c r="B8561" s="2669"/>
    </row>
    <row r="8562" spans="2:2" ht="23.25" customHeight="1">
      <c r="B8562" s="2669"/>
    </row>
    <row r="8563" spans="2:2" ht="23.25" customHeight="1">
      <c r="B8563" s="2669"/>
    </row>
    <row r="8564" spans="2:2" ht="23.25" customHeight="1">
      <c r="B8564" s="2669"/>
    </row>
    <row r="8565" spans="2:2" ht="23.25" customHeight="1">
      <c r="B8565" s="2669"/>
    </row>
    <row r="8566" spans="2:2" ht="23.25" customHeight="1">
      <c r="B8566" s="2669"/>
    </row>
    <row r="8567" spans="2:2" ht="23.25" customHeight="1">
      <c r="B8567" s="2669"/>
    </row>
    <row r="8568" spans="2:2" ht="23.25" customHeight="1">
      <c r="B8568" s="2669"/>
    </row>
    <row r="8569" spans="2:2" ht="23.25" customHeight="1">
      <c r="B8569" s="2669"/>
    </row>
    <row r="8570" spans="2:2" ht="23.25" customHeight="1">
      <c r="B8570" s="2669"/>
    </row>
    <row r="8571" spans="2:2" ht="23.25" customHeight="1">
      <c r="B8571" s="2669"/>
    </row>
    <row r="8572" spans="2:2" ht="23.25" customHeight="1">
      <c r="B8572" s="2669"/>
    </row>
    <row r="8573" spans="2:2" ht="23.25" customHeight="1">
      <c r="B8573" s="2669"/>
    </row>
    <row r="8574" spans="2:2" ht="23.25" customHeight="1">
      <c r="B8574" s="2669"/>
    </row>
    <row r="8575" spans="2:2" ht="23.25" customHeight="1">
      <c r="B8575" s="2669"/>
    </row>
    <row r="8576" spans="2:2" ht="23.25" customHeight="1">
      <c r="B8576" s="2669"/>
    </row>
    <row r="8577" spans="2:2" ht="23.25" customHeight="1">
      <c r="B8577" s="2669"/>
    </row>
    <row r="8578" spans="2:2" ht="23.25" customHeight="1">
      <c r="B8578" s="2669"/>
    </row>
    <row r="8579" spans="2:2" ht="23.25" customHeight="1">
      <c r="B8579" s="2669"/>
    </row>
    <row r="8580" spans="2:2" ht="23.25" customHeight="1">
      <c r="B8580" s="2669"/>
    </row>
    <row r="8581" spans="2:2" ht="23.25" customHeight="1">
      <c r="B8581" s="2669"/>
    </row>
    <row r="8582" spans="2:2" ht="23.25" customHeight="1">
      <c r="B8582" s="2669"/>
    </row>
    <row r="8583" spans="2:2" ht="23.25" customHeight="1">
      <c r="B8583" s="2669"/>
    </row>
    <row r="8584" spans="2:2" ht="23.25" customHeight="1">
      <c r="B8584" s="2669"/>
    </row>
    <row r="8585" spans="2:2" ht="23.25" customHeight="1">
      <c r="B8585" s="2669"/>
    </row>
    <row r="8586" spans="2:2" ht="23.25" customHeight="1">
      <c r="B8586" s="2669"/>
    </row>
    <row r="8587" spans="2:2" ht="23.25" customHeight="1">
      <c r="B8587" s="2669"/>
    </row>
    <row r="8588" spans="2:2" ht="23.25" customHeight="1">
      <c r="B8588" s="2669"/>
    </row>
    <row r="8589" spans="2:2" ht="23.25" customHeight="1">
      <c r="B8589" s="2669"/>
    </row>
    <row r="8590" spans="2:2" ht="23.25" customHeight="1">
      <c r="B8590" s="2669"/>
    </row>
    <row r="8591" spans="2:2" ht="23.25" customHeight="1">
      <c r="B8591" s="2669"/>
    </row>
    <row r="8592" spans="2:2" ht="23.25" customHeight="1">
      <c r="B8592" s="2669"/>
    </row>
    <row r="8593" spans="2:2" ht="23.25" customHeight="1">
      <c r="B8593" s="2669"/>
    </row>
    <row r="8594" spans="2:2" ht="23.25" customHeight="1">
      <c r="B8594" s="2669"/>
    </row>
    <row r="8595" spans="2:2" ht="23.25" customHeight="1">
      <c r="B8595" s="2669"/>
    </row>
    <row r="8596" spans="2:2" ht="23.25" customHeight="1">
      <c r="B8596" s="2669"/>
    </row>
    <row r="8597" spans="2:2" ht="23.25" customHeight="1">
      <c r="B8597" s="2669"/>
    </row>
    <row r="8598" spans="2:2" ht="23.25" customHeight="1">
      <c r="B8598" s="2669"/>
    </row>
    <row r="8599" spans="2:2" ht="23.25" customHeight="1">
      <c r="B8599" s="2669"/>
    </row>
    <row r="8600" spans="2:2" ht="23.25" customHeight="1">
      <c r="B8600" s="2669"/>
    </row>
    <row r="8601" spans="2:2" ht="23.25" customHeight="1">
      <c r="B8601" s="2669"/>
    </row>
    <row r="8602" spans="2:2" ht="23.25" customHeight="1">
      <c r="B8602" s="2669"/>
    </row>
    <row r="8603" spans="2:2" ht="23.25" customHeight="1">
      <c r="B8603" s="2669"/>
    </row>
    <row r="8604" spans="2:2" ht="23.25" customHeight="1">
      <c r="B8604" s="2669"/>
    </row>
    <row r="8605" spans="2:2" ht="23.25" customHeight="1">
      <c r="B8605" s="2669"/>
    </row>
    <row r="8606" spans="2:2" ht="23.25" customHeight="1">
      <c r="B8606" s="2669"/>
    </row>
    <row r="8607" spans="2:2" ht="23.25" customHeight="1">
      <c r="B8607" s="2669"/>
    </row>
    <row r="8608" spans="2:2" ht="23.25" customHeight="1">
      <c r="B8608" s="2669"/>
    </row>
    <row r="8609" spans="2:2" ht="23.25" customHeight="1">
      <c r="B8609" s="2669"/>
    </row>
    <row r="8610" spans="2:2" ht="23.25" customHeight="1">
      <c r="B8610" s="2669"/>
    </row>
    <row r="8611" spans="2:2" ht="23.25" customHeight="1">
      <c r="B8611" s="2669"/>
    </row>
    <row r="8612" spans="2:2" ht="23.25" customHeight="1">
      <c r="B8612" s="2669"/>
    </row>
    <row r="8613" spans="2:2" ht="23.25" customHeight="1">
      <c r="B8613" s="2669"/>
    </row>
    <row r="8614" spans="2:2" ht="23.25" customHeight="1">
      <c r="B8614" s="2669"/>
    </row>
    <row r="8615" spans="2:2" ht="23.25" customHeight="1">
      <c r="B8615" s="2669"/>
    </row>
    <row r="8616" spans="2:2" ht="23.25" customHeight="1">
      <c r="B8616" s="2669"/>
    </row>
    <row r="8617" spans="2:2" ht="23.25" customHeight="1">
      <c r="B8617" s="2669"/>
    </row>
    <row r="8618" spans="2:2" ht="23.25" customHeight="1">
      <c r="B8618" s="2669"/>
    </row>
    <row r="8619" spans="2:2" ht="23.25" customHeight="1">
      <c r="B8619" s="2669"/>
    </row>
    <row r="8620" spans="2:2" ht="23.25" customHeight="1">
      <c r="B8620" s="2669"/>
    </row>
    <row r="8621" spans="2:2" ht="23.25" customHeight="1">
      <c r="B8621" s="2669"/>
    </row>
    <row r="8622" spans="2:2" ht="23.25" customHeight="1">
      <c r="B8622" s="2669"/>
    </row>
    <row r="8623" spans="2:2" ht="23.25" customHeight="1">
      <c r="B8623" s="2669"/>
    </row>
    <row r="8624" spans="2:2" ht="23.25" customHeight="1">
      <c r="B8624" s="2669"/>
    </row>
    <row r="8625" spans="2:2" ht="23.25" customHeight="1">
      <c r="B8625" s="2669"/>
    </row>
    <row r="8626" spans="2:2" ht="23.25" customHeight="1">
      <c r="B8626" s="2669"/>
    </row>
    <row r="8627" spans="2:2" ht="23.25" customHeight="1">
      <c r="B8627" s="2669"/>
    </row>
    <row r="8628" spans="2:2" ht="23.25" customHeight="1">
      <c r="B8628" s="2669"/>
    </row>
    <row r="8629" spans="2:2" ht="23.25" customHeight="1">
      <c r="B8629" s="2669"/>
    </row>
    <row r="8630" spans="2:2" ht="23.25" customHeight="1">
      <c r="B8630" s="2669"/>
    </row>
    <row r="8631" spans="2:2" ht="23.25" customHeight="1">
      <c r="B8631" s="2669"/>
    </row>
    <row r="8632" spans="2:2" ht="23.25" customHeight="1">
      <c r="B8632" s="2669"/>
    </row>
    <row r="8633" spans="2:2" ht="23.25" customHeight="1">
      <c r="B8633" s="2669"/>
    </row>
    <row r="8634" spans="2:2" ht="23.25" customHeight="1">
      <c r="B8634" s="2669"/>
    </row>
    <row r="8635" spans="2:2" ht="23.25" customHeight="1">
      <c r="B8635" s="2669"/>
    </row>
    <row r="8636" spans="2:2" ht="23.25" customHeight="1">
      <c r="B8636" s="2669"/>
    </row>
    <row r="8637" spans="2:2" ht="23.25" customHeight="1">
      <c r="B8637" s="2669"/>
    </row>
    <row r="8638" spans="2:2" ht="23.25" customHeight="1">
      <c r="B8638" s="2669"/>
    </row>
    <row r="8639" spans="2:2" ht="23.25" customHeight="1">
      <c r="B8639" s="2669"/>
    </row>
    <row r="8640" spans="2:2" ht="23.25" customHeight="1">
      <c r="B8640" s="2669"/>
    </row>
    <row r="8641" spans="2:2" ht="23.25" customHeight="1">
      <c r="B8641" s="2669"/>
    </row>
    <row r="8642" spans="2:2" ht="23.25" customHeight="1">
      <c r="B8642" s="2669"/>
    </row>
    <row r="8643" spans="2:2" ht="23.25" customHeight="1">
      <c r="B8643" s="2669"/>
    </row>
    <row r="8644" spans="2:2" ht="23.25" customHeight="1">
      <c r="B8644" s="2669"/>
    </row>
    <row r="8645" spans="2:2" ht="23.25" customHeight="1">
      <c r="B8645" s="2669"/>
    </row>
    <row r="8646" spans="2:2" ht="23.25" customHeight="1">
      <c r="B8646" s="2669"/>
    </row>
    <row r="8647" spans="2:2" ht="23.25" customHeight="1">
      <c r="B8647" s="2669"/>
    </row>
    <row r="8648" spans="2:2" ht="23.25" customHeight="1">
      <c r="B8648" s="2669"/>
    </row>
    <row r="8649" spans="2:2" ht="23.25" customHeight="1">
      <c r="B8649" s="2669"/>
    </row>
    <row r="8650" spans="2:2" ht="23.25" customHeight="1">
      <c r="B8650" s="2669"/>
    </row>
    <row r="8651" spans="2:2" ht="23.25" customHeight="1">
      <c r="B8651" s="2669"/>
    </row>
    <row r="8652" spans="2:2" ht="23.25" customHeight="1">
      <c r="B8652" s="2669"/>
    </row>
    <row r="8653" spans="2:2" ht="23.25" customHeight="1">
      <c r="B8653" s="2669"/>
    </row>
    <row r="8654" spans="2:2" ht="23.25" customHeight="1">
      <c r="B8654" s="2669"/>
    </row>
    <row r="8655" spans="2:2" ht="23.25" customHeight="1">
      <c r="B8655" s="2669"/>
    </row>
    <row r="8656" spans="2:2" ht="23.25" customHeight="1">
      <c r="B8656" s="2669"/>
    </row>
    <row r="8657" spans="2:2" ht="23.25" customHeight="1">
      <c r="B8657" s="2669"/>
    </row>
    <row r="8658" spans="2:2" ht="23.25" customHeight="1">
      <c r="B8658" s="2669"/>
    </row>
    <row r="8659" spans="2:2" ht="23.25" customHeight="1">
      <c r="B8659" s="2669"/>
    </row>
    <row r="8660" spans="2:2" ht="23.25" customHeight="1">
      <c r="B8660" s="2669"/>
    </row>
    <row r="8661" spans="2:2" ht="23.25" customHeight="1">
      <c r="B8661" s="2669"/>
    </row>
    <row r="8662" spans="2:2" ht="23.25" customHeight="1">
      <c r="B8662" s="2669"/>
    </row>
    <row r="8663" spans="2:2" ht="23.25" customHeight="1">
      <c r="B8663" s="2669"/>
    </row>
    <row r="8664" spans="2:2" ht="23.25" customHeight="1">
      <c r="B8664" s="2669"/>
    </row>
    <row r="8665" spans="2:2" ht="23.25" customHeight="1">
      <c r="B8665" s="2669"/>
    </row>
    <row r="8666" spans="2:2" ht="23.25" customHeight="1">
      <c r="B8666" s="2669"/>
    </row>
    <row r="8667" spans="2:2" ht="23.25" customHeight="1">
      <c r="B8667" s="2669"/>
    </row>
    <row r="8668" spans="2:2" ht="23.25" customHeight="1">
      <c r="B8668" s="2669"/>
    </row>
    <row r="8669" spans="2:2" ht="23.25" customHeight="1">
      <c r="B8669" s="2669"/>
    </row>
    <row r="8670" spans="2:2" ht="23.25" customHeight="1">
      <c r="B8670" s="2669"/>
    </row>
    <row r="8671" spans="2:2" ht="23.25" customHeight="1">
      <c r="B8671" s="2669"/>
    </row>
    <row r="8672" spans="2:2" ht="23.25" customHeight="1">
      <c r="B8672" s="2669"/>
    </row>
    <row r="8673" spans="2:2" ht="23.25" customHeight="1">
      <c r="B8673" s="2669"/>
    </row>
    <row r="8674" spans="2:2" ht="23.25" customHeight="1">
      <c r="B8674" s="2669"/>
    </row>
    <row r="8675" spans="2:2" ht="23.25" customHeight="1">
      <c r="B8675" s="2669"/>
    </row>
    <row r="8676" spans="2:2" ht="23.25" customHeight="1">
      <c r="B8676" s="2669"/>
    </row>
    <row r="8677" spans="2:2" ht="23.25" customHeight="1">
      <c r="B8677" s="2669"/>
    </row>
    <row r="8678" spans="2:2" ht="23.25" customHeight="1">
      <c r="B8678" s="2669"/>
    </row>
    <row r="8679" spans="2:2" ht="23.25" customHeight="1">
      <c r="B8679" s="2669"/>
    </row>
    <row r="8680" spans="2:2" ht="23.25" customHeight="1">
      <c r="B8680" s="2669"/>
    </row>
    <row r="8681" spans="2:2" ht="23.25" customHeight="1">
      <c r="B8681" s="2669"/>
    </row>
    <row r="8682" spans="2:2" ht="23.25" customHeight="1">
      <c r="B8682" s="2669"/>
    </row>
    <row r="8683" spans="2:2" ht="23.25" customHeight="1">
      <c r="B8683" s="2669"/>
    </row>
    <row r="8684" spans="2:2" ht="23.25" customHeight="1">
      <c r="B8684" s="2669"/>
    </row>
    <row r="8685" spans="2:2" ht="23.25" customHeight="1">
      <c r="B8685" s="2669"/>
    </row>
    <row r="8686" spans="2:2" ht="23.25" customHeight="1">
      <c r="B8686" s="2669"/>
    </row>
    <row r="8687" spans="2:2" ht="23.25" customHeight="1">
      <c r="B8687" s="2669"/>
    </row>
    <row r="8688" spans="2:2" ht="23.25" customHeight="1">
      <c r="B8688" s="2669"/>
    </row>
    <row r="8689" spans="2:2" ht="23.25" customHeight="1">
      <c r="B8689" s="2669"/>
    </row>
    <row r="8690" spans="2:2" ht="23.25" customHeight="1">
      <c r="B8690" s="2669"/>
    </row>
    <row r="8691" spans="2:2" ht="23.25" customHeight="1">
      <c r="B8691" s="2669"/>
    </row>
    <row r="8692" spans="2:2" ht="23.25" customHeight="1">
      <c r="B8692" s="2669"/>
    </row>
    <row r="8693" spans="2:2" ht="23.25" customHeight="1">
      <c r="B8693" s="2669"/>
    </row>
    <row r="8694" spans="2:2" ht="23.25" customHeight="1">
      <c r="B8694" s="2669"/>
    </row>
    <row r="8695" spans="2:2" ht="23.25" customHeight="1">
      <c r="B8695" s="2669"/>
    </row>
    <row r="8696" spans="2:2" ht="23.25" customHeight="1">
      <c r="B8696" s="2669"/>
    </row>
    <row r="8697" spans="2:2" ht="23.25" customHeight="1">
      <c r="B8697" s="2669"/>
    </row>
    <row r="8698" spans="2:2" ht="23.25" customHeight="1">
      <c r="B8698" s="2669"/>
    </row>
    <row r="8699" spans="2:2" ht="23.25" customHeight="1">
      <c r="B8699" s="2669"/>
    </row>
    <row r="8700" spans="2:2" ht="23.25" customHeight="1">
      <c r="B8700" s="2669"/>
    </row>
    <row r="8701" spans="2:2" ht="23.25" customHeight="1">
      <c r="B8701" s="2669"/>
    </row>
    <row r="8702" spans="2:2" ht="23.25" customHeight="1">
      <c r="B8702" s="2669"/>
    </row>
    <row r="8703" spans="2:2" ht="23.25" customHeight="1">
      <c r="B8703" s="2669"/>
    </row>
    <row r="8704" spans="2:2" ht="23.25" customHeight="1">
      <c r="B8704" s="2669"/>
    </row>
    <row r="8705" spans="2:2" ht="23.25" customHeight="1">
      <c r="B8705" s="2669"/>
    </row>
    <row r="8706" spans="2:2" ht="23.25" customHeight="1">
      <c r="B8706" s="2669"/>
    </row>
    <row r="8707" spans="2:2" ht="23.25" customHeight="1">
      <c r="B8707" s="2669"/>
    </row>
    <row r="8708" spans="2:2" ht="23.25" customHeight="1">
      <c r="B8708" s="2669"/>
    </row>
    <row r="8709" spans="2:2" ht="23.25" customHeight="1">
      <c r="B8709" s="2669"/>
    </row>
    <row r="8710" spans="2:2" ht="23.25" customHeight="1">
      <c r="B8710" s="2669"/>
    </row>
    <row r="8711" spans="2:2" ht="23.25" customHeight="1">
      <c r="B8711" s="2669"/>
    </row>
    <row r="8712" spans="2:2" ht="23.25" customHeight="1">
      <c r="B8712" s="2669"/>
    </row>
    <row r="8713" spans="2:2" ht="23.25" customHeight="1">
      <c r="B8713" s="2669"/>
    </row>
    <row r="8714" spans="2:2" ht="23.25" customHeight="1">
      <c r="B8714" s="2669"/>
    </row>
    <row r="8715" spans="2:2" ht="23.25" customHeight="1">
      <c r="B8715" s="2669"/>
    </row>
    <row r="8716" spans="2:2" ht="23.25" customHeight="1">
      <c r="B8716" s="2669"/>
    </row>
    <row r="8717" spans="2:2" ht="23.25" customHeight="1">
      <c r="B8717" s="2669"/>
    </row>
    <row r="8718" spans="2:2" ht="23.25" customHeight="1">
      <c r="B8718" s="2669"/>
    </row>
    <row r="8719" spans="2:2" ht="23.25" customHeight="1">
      <c r="B8719" s="2669"/>
    </row>
    <row r="8720" spans="2:2" ht="23.25" customHeight="1">
      <c r="B8720" s="2669"/>
    </row>
    <row r="8721" spans="2:2" ht="23.25" customHeight="1">
      <c r="B8721" s="2669"/>
    </row>
    <row r="8722" spans="2:2" ht="23.25" customHeight="1">
      <c r="B8722" s="2669"/>
    </row>
    <row r="8723" spans="2:2" ht="23.25" customHeight="1">
      <c r="B8723" s="2669"/>
    </row>
    <row r="8724" spans="2:2" ht="23.25" customHeight="1">
      <c r="B8724" s="2669"/>
    </row>
    <row r="8725" spans="2:2" ht="23.25" customHeight="1">
      <c r="B8725" s="2669"/>
    </row>
    <row r="8726" spans="2:2" ht="23.25" customHeight="1">
      <c r="B8726" s="2669"/>
    </row>
    <row r="8727" spans="2:2" ht="23.25" customHeight="1">
      <c r="B8727" s="2669"/>
    </row>
    <row r="8728" spans="2:2" ht="23.25" customHeight="1">
      <c r="B8728" s="2669"/>
    </row>
    <row r="8729" spans="2:2" ht="23.25" customHeight="1">
      <c r="B8729" s="2669"/>
    </row>
    <row r="8730" spans="2:2" ht="23.25" customHeight="1">
      <c r="B8730" s="2669"/>
    </row>
    <row r="8731" spans="2:2" ht="23.25" customHeight="1">
      <c r="B8731" s="2669"/>
    </row>
    <row r="8732" spans="2:2" ht="23.25" customHeight="1">
      <c r="B8732" s="2669"/>
    </row>
    <row r="8733" spans="2:2" ht="23.25" customHeight="1">
      <c r="B8733" s="2669"/>
    </row>
    <row r="8734" spans="2:2" ht="23.25" customHeight="1">
      <c r="B8734" s="2669"/>
    </row>
    <row r="8735" spans="2:2" ht="23.25" customHeight="1">
      <c r="B8735" s="2669"/>
    </row>
    <row r="8736" spans="2:2" ht="23.25" customHeight="1">
      <c r="B8736" s="2669"/>
    </row>
    <row r="8737" spans="2:2" ht="23.25" customHeight="1">
      <c r="B8737" s="2669"/>
    </row>
    <row r="8738" spans="2:2" ht="23.25" customHeight="1">
      <c r="B8738" s="2669"/>
    </row>
    <row r="8739" spans="2:2" ht="23.25" customHeight="1">
      <c r="B8739" s="2669"/>
    </row>
    <row r="8740" spans="2:2" ht="23.25" customHeight="1">
      <c r="B8740" s="2669"/>
    </row>
    <row r="8741" spans="2:2" ht="23.25" customHeight="1">
      <c r="B8741" s="2669"/>
    </row>
    <row r="8742" spans="2:2" ht="23.25" customHeight="1">
      <c r="B8742" s="2669"/>
    </row>
    <row r="8743" spans="2:2" ht="23.25" customHeight="1">
      <c r="B8743" s="2669"/>
    </row>
    <row r="8744" spans="2:2" ht="23.25" customHeight="1">
      <c r="B8744" s="2669"/>
    </row>
    <row r="8745" spans="2:2" ht="23.25" customHeight="1">
      <c r="B8745" s="2669"/>
    </row>
    <row r="8746" spans="2:2" ht="23.25" customHeight="1">
      <c r="B8746" s="2669"/>
    </row>
    <row r="8747" spans="2:2" ht="23.25" customHeight="1">
      <c r="B8747" s="2669"/>
    </row>
    <row r="8748" spans="2:2" ht="23.25" customHeight="1">
      <c r="B8748" s="2669"/>
    </row>
    <row r="8749" spans="2:2" ht="23.25" customHeight="1">
      <c r="B8749" s="2669"/>
    </row>
    <row r="8750" spans="2:2" ht="23.25" customHeight="1">
      <c r="B8750" s="2669"/>
    </row>
    <row r="8751" spans="2:2" ht="23.25" customHeight="1">
      <c r="B8751" s="2669"/>
    </row>
    <row r="8752" spans="2:2" ht="23.25" customHeight="1">
      <c r="B8752" s="2669"/>
    </row>
    <row r="8753" spans="2:2" ht="23.25" customHeight="1">
      <c r="B8753" s="2669"/>
    </row>
    <row r="8754" spans="2:2" ht="23.25" customHeight="1">
      <c r="B8754" s="2669"/>
    </row>
    <row r="8755" spans="2:2" ht="23.25" customHeight="1">
      <c r="B8755" s="2669"/>
    </row>
    <row r="8756" spans="2:2" ht="23.25" customHeight="1">
      <c r="B8756" s="2669"/>
    </row>
    <row r="8757" spans="2:2" ht="23.25" customHeight="1">
      <c r="B8757" s="2669"/>
    </row>
    <row r="8758" spans="2:2" ht="23.25" customHeight="1">
      <c r="B8758" s="2669"/>
    </row>
    <row r="8759" spans="2:2" ht="23.25" customHeight="1">
      <c r="B8759" s="2669"/>
    </row>
    <row r="8760" spans="2:2" ht="23.25" customHeight="1">
      <c r="B8760" s="2669"/>
    </row>
    <row r="8761" spans="2:2" ht="23.25" customHeight="1">
      <c r="B8761" s="2669"/>
    </row>
    <row r="8762" spans="2:2" ht="23.25" customHeight="1">
      <c r="B8762" s="2669"/>
    </row>
    <row r="8763" spans="2:2" ht="23.25" customHeight="1">
      <c r="B8763" s="2669"/>
    </row>
    <row r="8764" spans="2:2" ht="23.25" customHeight="1">
      <c r="B8764" s="2669"/>
    </row>
    <row r="8765" spans="2:2" ht="23.25" customHeight="1">
      <c r="B8765" s="2669"/>
    </row>
    <row r="8766" spans="2:2" ht="23.25" customHeight="1">
      <c r="B8766" s="2669"/>
    </row>
    <row r="8767" spans="2:2" ht="23.25" customHeight="1">
      <c r="B8767" s="2669"/>
    </row>
    <row r="8768" spans="2:2" ht="23.25" customHeight="1">
      <c r="B8768" s="2669"/>
    </row>
    <row r="8769" spans="2:2" ht="23.25" customHeight="1">
      <c r="B8769" s="2669"/>
    </row>
    <row r="8770" spans="2:2" ht="23.25" customHeight="1">
      <c r="B8770" s="2669"/>
    </row>
    <row r="8771" spans="2:2" ht="23.25" customHeight="1">
      <c r="B8771" s="2669"/>
    </row>
    <row r="8772" spans="2:2" ht="23.25" customHeight="1">
      <c r="B8772" s="2669"/>
    </row>
    <row r="8773" spans="2:2" ht="23.25" customHeight="1">
      <c r="B8773" s="2669"/>
    </row>
    <row r="8774" spans="2:2" ht="23.25" customHeight="1">
      <c r="B8774" s="2669"/>
    </row>
    <row r="8775" spans="2:2" ht="23.25" customHeight="1">
      <c r="B8775" s="2669"/>
    </row>
    <row r="8776" spans="2:2" ht="23.25" customHeight="1">
      <c r="B8776" s="2669"/>
    </row>
    <row r="8777" spans="2:2" ht="23.25" customHeight="1">
      <c r="B8777" s="2669"/>
    </row>
    <row r="8778" spans="2:2" ht="23.25" customHeight="1">
      <c r="B8778" s="2669"/>
    </row>
    <row r="8779" spans="2:2" ht="23.25" customHeight="1">
      <c r="B8779" s="2669"/>
    </row>
    <row r="8780" spans="2:2" ht="23.25" customHeight="1">
      <c r="B8780" s="2669"/>
    </row>
    <row r="8781" spans="2:2" ht="23.25" customHeight="1">
      <c r="B8781" s="2669"/>
    </row>
    <row r="8782" spans="2:2" ht="23.25" customHeight="1">
      <c r="B8782" s="2669"/>
    </row>
    <row r="8783" spans="2:2" ht="23.25" customHeight="1">
      <c r="B8783" s="2669"/>
    </row>
    <row r="8784" spans="2:2" ht="23.25" customHeight="1">
      <c r="B8784" s="2669"/>
    </row>
    <row r="8785" spans="2:2" ht="23.25" customHeight="1">
      <c r="B8785" s="2669"/>
    </row>
    <row r="8786" spans="2:2" ht="23.25" customHeight="1">
      <c r="B8786" s="2669"/>
    </row>
    <row r="8787" spans="2:2" ht="23.25" customHeight="1">
      <c r="B8787" s="2669"/>
    </row>
    <row r="8788" spans="2:2" ht="23.25" customHeight="1">
      <c r="B8788" s="2669"/>
    </row>
    <row r="8789" spans="2:2" ht="23.25" customHeight="1">
      <c r="B8789" s="2669"/>
    </row>
    <row r="8790" spans="2:2" ht="23.25" customHeight="1">
      <c r="B8790" s="2669"/>
    </row>
    <row r="8791" spans="2:2" ht="23.25" customHeight="1">
      <c r="B8791" s="2669"/>
    </row>
    <row r="8792" spans="2:2" ht="23.25" customHeight="1">
      <c r="B8792" s="2669"/>
    </row>
    <row r="8793" spans="2:2" ht="23.25" customHeight="1">
      <c r="B8793" s="2669"/>
    </row>
    <row r="8794" spans="2:2" ht="23.25" customHeight="1">
      <c r="B8794" s="2669"/>
    </row>
    <row r="8795" spans="2:2" ht="23.25" customHeight="1">
      <c r="B8795" s="2669"/>
    </row>
    <row r="8796" spans="2:2" ht="23.25" customHeight="1">
      <c r="B8796" s="2669"/>
    </row>
    <row r="8797" spans="2:2" ht="23.25" customHeight="1">
      <c r="B8797" s="2669"/>
    </row>
    <row r="8798" spans="2:2" ht="23.25" customHeight="1">
      <c r="B8798" s="2669"/>
    </row>
    <row r="8799" spans="2:2" ht="23.25" customHeight="1">
      <c r="B8799" s="2669"/>
    </row>
    <row r="8800" spans="2:2" ht="23.25" customHeight="1">
      <c r="B8800" s="2669"/>
    </row>
    <row r="8801" spans="2:2" ht="23.25" customHeight="1">
      <c r="B8801" s="2669"/>
    </row>
    <row r="8802" spans="2:2" ht="23.25" customHeight="1">
      <c r="B8802" s="2669"/>
    </row>
    <row r="8803" spans="2:2" ht="23.25" customHeight="1">
      <c r="B8803" s="2669"/>
    </row>
    <row r="8804" spans="2:2" ht="23.25" customHeight="1">
      <c r="B8804" s="2669"/>
    </row>
    <row r="8805" spans="2:2" ht="23.25" customHeight="1">
      <c r="B8805" s="2669"/>
    </row>
    <row r="8806" spans="2:2" ht="23.25" customHeight="1">
      <c r="B8806" s="2669"/>
    </row>
    <row r="8807" spans="2:2" ht="23.25" customHeight="1">
      <c r="B8807" s="2669"/>
    </row>
    <row r="8808" spans="2:2" ht="23.25" customHeight="1">
      <c r="B8808" s="2669"/>
    </row>
    <row r="8809" spans="2:2" ht="23.25" customHeight="1">
      <c r="B8809" s="2669"/>
    </row>
    <row r="8810" spans="2:2" ht="23.25" customHeight="1">
      <c r="B8810" s="2669"/>
    </row>
    <row r="8811" spans="2:2" ht="23.25" customHeight="1">
      <c r="B8811" s="2669"/>
    </row>
    <row r="8812" spans="2:2" ht="23.25" customHeight="1">
      <c r="B8812" s="2669"/>
    </row>
    <row r="8813" spans="2:2" ht="23.25" customHeight="1">
      <c r="B8813" s="2669"/>
    </row>
    <row r="8814" spans="2:2" ht="23.25" customHeight="1">
      <c r="B8814" s="2669"/>
    </row>
    <row r="8815" spans="2:2" ht="23.25" customHeight="1">
      <c r="B8815" s="2669"/>
    </row>
    <row r="8816" spans="2:2" ht="23.25" customHeight="1">
      <c r="B8816" s="2669"/>
    </row>
    <row r="8817" spans="2:2" ht="23.25" customHeight="1">
      <c r="B8817" s="2669"/>
    </row>
    <row r="8818" spans="2:2" ht="23.25" customHeight="1">
      <c r="B8818" s="2669"/>
    </row>
    <row r="8819" spans="2:2" ht="23.25" customHeight="1">
      <c r="B8819" s="2669"/>
    </row>
    <row r="8820" spans="2:2" ht="23.25" customHeight="1">
      <c r="B8820" s="2669"/>
    </row>
    <row r="8821" spans="2:2" ht="23.25" customHeight="1">
      <c r="B8821" s="2669"/>
    </row>
    <row r="8822" spans="2:2" ht="23.25" customHeight="1">
      <c r="B8822" s="2669"/>
    </row>
    <row r="8823" spans="2:2" ht="23.25" customHeight="1">
      <c r="B8823" s="2669"/>
    </row>
    <row r="8824" spans="2:2" ht="23.25" customHeight="1">
      <c r="B8824" s="2669"/>
    </row>
    <row r="8825" spans="2:2" ht="23.25" customHeight="1">
      <c r="B8825" s="2669"/>
    </row>
    <row r="8826" spans="2:2" ht="23.25" customHeight="1">
      <c r="B8826" s="2669"/>
    </row>
    <row r="8827" spans="2:2" ht="23.25" customHeight="1">
      <c r="B8827" s="2669"/>
    </row>
    <row r="8828" spans="2:2" ht="23.25" customHeight="1">
      <c r="B8828" s="2669"/>
    </row>
    <row r="8829" spans="2:2" ht="23.25" customHeight="1">
      <c r="B8829" s="2669"/>
    </row>
    <row r="8830" spans="2:2" ht="23.25" customHeight="1">
      <c r="B8830" s="2669"/>
    </row>
    <row r="8831" spans="2:2" ht="23.25" customHeight="1">
      <c r="B8831" s="2669"/>
    </row>
    <row r="8832" spans="2:2" ht="23.25" customHeight="1">
      <c r="B8832" s="2669"/>
    </row>
    <row r="8833" spans="2:2" ht="23.25" customHeight="1">
      <c r="B8833" s="2669"/>
    </row>
    <row r="8834" spans="2:2" ht="23.25" customHeight="1">
      <c r="B8834" s="2669"/>
    </row>
    <row r="8835" spans="2:2" ht="23.25" customHeight="1">
      <c r="B8835" s="2669"/>
    </row>
    <row r="8836" spans="2:2" ht="23.25" customHeight="1">
      <c r="B8836" s="2669"/>
    </row>
    <row r="8837" spans="2:2" ht="23.25" customHeight="1">
      <c r="B8837" s="2669"/>
    </row>
    <row r="8838" spans="2:2" ht="23.25" customHeight="1">
      <c r="B8838" s="2669"/>
    </row>
    <row r="8839" spans="2:2" ht="23.25" customHeight="1">
      <c r="B8839" s="2669"/>
    </row>
    <row r="8840" spans="2:2" ht="23.25" customHeight="1">
      <c r="B8840" s="2669"/>
    </row>
    <row r="8841" spans="2:2" ht="23.25" customHeight="1">
      <c r="B8841" s="2669"/>
    </row>
    <row r="8842" spans="2:2" ht="23.25" customHeight="1">
      <c r="B8842" s="2669"/>
    </row>
    <row r="8843" spans="2:2" ht="23.25" customHeight="1">
      <c r="B8843" s="2669"/>
    </row>
    <row r="8844" spans="2:2" ht="23.25" customHeight="1">
      <c r="B8844" s="2669"/>
    </row>
    <row r="8845" spans="2:2" ht="23.25" customHeight="1">
      <c r="B8845" s="2669"/>
    </row>
    <row r="8846" spans="2:2" ht="23.25" customHeight="1">
      <c r="B8846" s="2669"/>
    </row>
    <row r="8847" spans="2:2" ht="23.25" customHeight="1">
      <c r="B8847" s="2669"/>
    </row>
    <row r="8848" spans="2:2" ht="23.25" customHeight="1">
      <c r="B8848" s="2669"/>
    </row>
    <row r="8849" spans="2:2" ht="23.25" customHeight="1">
      <c r="B8849" s="2669"/>
    </row>
    <row r="8850" spans="2:2" ht="23.25" customHeight="1">
      <c r="B8850" s="2669"/>
    </row>
    <row r="8851" spans="2:2" ht="23.25" customHeight="1">
      <c r="B8851" s="2669"/>
    </row>
    <row r="8852" spans="2:2" ht="23.25" customHeight="1">
      <c r="B8852" s="2669"/>
    </row>
    <row r="8853" spans="2:2" ht="23.25" customHeight="1">
      <c r="B8853" s="2669"/>
    </row>
    <row r="8854" spans="2:2" ht="23.25" customHeight="1">
      <c r="B8854" s="2669"/>
    </row>
    <row r="8855" spans="2:2" ht="23.25" customHeight="1">
      <c r="B8855" s="2669"/>
    </row>
    <row r="8856" spans="2:2" ht="23.25" customHeight="1">
      <c r="B8856" s="2669"/>
    </row>
    <row r="8857" spans="2:2" ht="23.25" customHeight="1">
      <c r="B8857" s="2669"/>
    </row>
    <row r="8858" spans="2:2" ht="23.25" customHeight="1">
      <c r="B8858" s="2669"/>
    </row>
    <row r="8859" spans="2:2" ht="23.25" customHeight="1">
      <c r="B8859" s="2669"/>
    </row>
    <row r="8860" spans="2:2" ht="23.25" customHeight="1">
      <c r="B8860" s="2669"/>
    </row>
    <row r="8861" spans="2:2" ht="23.25" customHeight="1">
      <c r="B8861" s="2669"/>
    </row>
    <row r="8862" spans="2:2" ht="23.25" customHeight="1">
      <c r="B8862" s="2669"/>
    </row>
    <row r="8863" spans="2:2" ht="23.25" customHeight="1">
      <c r="B8863" s="2669"/>
    </row>
    <row r="8864" spans="2:2" ht="23.25" customHeight="1">
      <c r="B8864" s="2669"/>
    </row>
    <row r="8865" spans="2:2" ht="23.25" customHeight="1">
      <c r="B8865" s="2669"/>
    </row>
    <row r="8866" spans="2:2" ht="23.25" customHeight="1">
      <c r="B8866" s="2669"/>
    </row>
    <row r="8867" spans="2:2" ht="23.25" customHeight="1">
      <c r="B8867" s="2669"/>
    </row>
    <row r="8868" spans="2:2" ht="23.25" customHeight="1">
      <c r="B8868" s="2669"/>
    </row>
    <row r="8869" spans="2:2" ht="23.25" customHeight="1">
      <c r="B8869" s="2669"/>
    </row>
    <row r="8870" spans="2:2" ht="23.25" customHeight="1">
      <c r="B8870" s="2669"/>
    </row>
    <row r="8871" spans="2:2" ht="23.25" customHeight="1">
      <c r="B8871" s="2669"/>
    </row>
    <row r="8872" spans="2:2" ht="23.25" customHeight="1">
      <c r="B8872" s="2669"/>
    </row>
    <row r="8873" spans="2:2" ht="23.25" customHeight="1">
      <c r="B8873" s="2669"/>
    </row>
    <row r="8874" spans="2:2" ht="23.25" customHeight="1">
      <c r="B8874" s="2669"/>
    </row>
    <row r="8875" spans="2:2" ht="23.25" customHeight="1">
      <c r="B8875" s="2669"/>
    </row>
    <row r="8876" spans="2:2" ht="23.25" customHeight="1">
      <c r="B8876" s="2669"/>
    </row>
    <row r="8877" spans="2:2" ht="23.25" customHeight="1">
      <c r="B8877" s="2669"/>
    </row>
    <row r="8878" spans="2:2" ht="23.25" customHeight="1">
      <c r="B8878" s="2669"/>
    </row>
    <row r="8879" spans="2:2" ht="23.25" customHeight="1">
      <c r="B8879" s="2669"/>
    </row>
    <row r="8880" spans="2:2" ht="23.25" customHeight="1">
      <c r="B8880" s="2669"/>
    </row>
    <row r="8881" spans="2:2" ht="23.25" customHeight="1">
      <c r="B8881" s="2669"/>
    </row>
    <row r="8882" spans="2:2" ht="23.25" customHeight="1">
      <c r="B8882" s="2669"/>
    </row>
    <row r="8883" spans="2:2" ht="23.25" customHeight="1">
      <c r="B8883" s="2669"/>
    </row>
    <row r="8884" spans="2:2" ht="23.25" customHeight="1">
      <c r="B8884" s="2669"/>
    </row>
    <row r="8885" spans="2:2" ht="23.25" customHeight="1">
      <c r="B8885" s="2669"/>
    </row>
    <row r="8886" spans="2:2" ht="23.25" customHeight="1">
      <c r="B8886" s="2669"/>
    </row>
    <row r="8887" spans="2:2" ht="23.25" customHeight="1">
      <c r="B8887" s="2669"/>
    </row>
    <row r="8888" spans="2:2" ht="23.25" customHeight="1">
      <c r="B8888" s="2669"/>
    </row>
    <row r="8889" spans="2:2" ht="23.25" customHeight="1">
      <c r="B8889" s="2669"/>
    </row>
    <row r="8890" spans="2:2" ht="23.25" customHeight="1">
      <c r="B8890" s="2669"/>
    </row>
    <row r="8891" spans="2:2" ht="23.25" customHeight="1">
      <c r="B8891" s="2669"/>
    </row>
    <row r="8892" spans="2:2" ht="23.25" customHeight="1">
      <c r="B8892" s="2669"/>
    </row>
    <row r="8893" spans="2:2" ht="23.25" customHeight="1">
      <c r="B8893" s="2669"/>
    </row>
    <row r="8894" spans="2:2" ht="23.25" customHeight="1">
      <c r="B8894" s="2669"/>
    </row>
    <row r="8895" spans="2:2" ht="23.25" customHeight="1">
      <c r="B8895" s="2669"/>
    </row>
    <row r="8896" spans="2:2" ht="23.25" customHeight="1">
      <c r="B8896" s="2669"/>
    </row>
    <row r="8897" spans="2:2" ht="23.25" customHeight="1">
      <c r="B8897" s="2669"/>
    </row>
    <row r="8898" spans="2:2" ht="23.25" customHeight="1">
      <c r="B8898" s="2669"/>
    </row>
    <row r="8899" spans="2:2" ht="23.25" customHeight="1">
      <c r="B8899" s="2669"/>
    </row>
    <row r="8900" spans="2:2" ht="23.25" customHeight="1">
      <c r="B8900" s="2669"/>
    </row>
    <row r="8901" spans="2:2" ht="23.25" customHeight="1">
      <c r="B8901" s="2669"/>
    </row>
    <row r="8902" spans="2:2" ht="23.25" customHeight="1">
      <c r="B8902" s="2669"/>
    </row>
    <row r="8903" spans="2:2" ht="23.25" customHeight="1">
      <c r="B8903" s="2669"/>
    </row>
    <row r="8904" spans="2:2" ht="23.25" customHeight="1">
      <c r="B8904" s="2669"/>
    </row>
    <row r="8905" spans="2:2" ht="23.25" customHeight="1">
      <c r="B8905" s="2669"/>
    </row>
    <row r="8906" spans="2:2" ht="23.25" customHeight="1">
      <c r="B8906" s="2669"/>
    </row>
    <row r="8907" spans="2:2" ht="23.25" customHeight="1">
      <c r="B8907" s="2669"/>
    </row>
    <row r="8908" spans="2:2" ht="23.25" customHeight="1">
      <c r="B8908" s="2669"/>
    </row>
    <row r="8909" spans="2:2" ht="23.25" customHeight="1">
      <c r="B8909" s="2669"/>
    </row>
    <row r="8910" spans="2:2" ht="23.25" customHeight="1">
      <c r="B8910" s="2669"/>
    </row>
    <row r="8911" spans="2:2" ht="23.25" customHeight="1">
      <c r="B8911" s="2669"/>
    </row>
    <row r="8912" spans="2:2" ht="23.25" customHeight="1">
      <c r="B8912" s="2669"/>
    </row>
    <row r="8913" spans="2:2" ht="23.25" customHeight="1">
      <c r="B8913" s="2669"/>
    </row>
    <row r="8914" spans="2:2" ht="23.25" customHeight="1">
      <c r="B8914" s="2669"/>
    </row>
    <row r="8915" spans="2:2" ht="23.25" customHeight="1">
      <c r="B8915" s="2669"/>
    </row>
    <row r="8916" spans="2:2" ht="23.25" customHeight="1">
      <c r="B8916" s="2669"/>
    </row>
    <row r="8917" spans="2:2" ht="23.25" customHeight="1">
      <c r="B8917" s="2669"/>
    </row>
    <row r="8918" spans="2:2" ht="23.25" customHeight="1">
      <c r="B8918" s="2669"/>
    </row>
    <row r="8919" spans="2:2" ht="23.25" customHeight="1">
      <c r="B8919" s="2669"/>
    </row>
    <row r="8920" spans="2:2" ht="23.25" customHeight="1">
      <c r="B8920" s="2669"/>
    </row>
    <row r="8921" spans="2:2" ht="23.25" customHeight="1">
      <c r="B8921" s="2669"/>
    </row>
    <row r="8922" spans="2:2" ht="23.25" customHeight="1">
      <c r="B8922" s="2669"/>
    </row>
    <row r="8923" spans="2:2" ht="23.25" customHeight="1">
      <c r="B8923" s="2669"/>
    </row>
    <row r="8924" spans="2:2" ht="23.25" customHeight="1">
      <c r="B8924" s="2669"/>
    </row>
    <row r="8925" spans="2:2" ht="23.25" customHeight="1">
      <c r="B8925" s="2669"/>
    </row>
    <row r="8926" spans="2:2" ht="23.25" customHeight="1">
      <c r="B8926" s="2669"/>
    </row>
    <row r="8927" spans="2:2" ht="23.25" customHeight="1">
      <c r="B8927" s="2669"/>
    </row>
    <row r="8928" spans="2:2" ht="23.25" customHeight="1">
      <c r="B8928" s="2669"/>
    </row>
    <row r="8929" spans="2:2" ht="23.25" customHeight="1">
      <c r="B8929" s="2669"/>
    </row>
    <row r="8930" spans="2:2" ht="23.25" customHeight="1">
      <c r="B8930" s="2669"/>
    </row>
    <row r="8931" spans="2:2" ht="23.25" customHeight="1">
      <c r="B8931" s="2669"/>
    </row>
    <row r="8932" spans="2:2" ht="23.25" customHeight="1">
      <c r="B8932" s="2669"/>
    </row>
    <row r="8933" spans="2:2" ht="23.25" customHeight="1">
      <c r="B8933" s="2669"/>
    </row>
    <row r="8934" spans="2:2" ht="23.25" customHeight="1">
      <c r="B8934" s="2669"/>
    </row>
    <row r="8935" spans="2:2" ht="23.25" customHeight="1">
      <c r="B8935" s="2669"/>
    </row>
    <row r="8936" spans="2:2" ht="23.25" customHeight="1">
      <c r="B8936" s="2669"/>
    </row>
    <row r="8937" spans="2:2" ht="23.25" customHeight="1">
      <c r="B8937" s="2669"/>
    </row>
    <row r="8938" spans="2:2" ht="23.25" customHeight="1">
      <c r="B8938" s="2669"/>
    </row>
    <row r="8939" spans="2:2" ht="23.25" customHeight="1">
      <c r="B8939" s="2669"/>
    </row>
    <row r="8940" spans="2:2" ht="23.25" customHeight="1">
      <c r="B8940" s="2669"/>
    </row>
    <row r="8941" spans="2:2" ht="23.25" customHeight="1">
      <c r="B8941" s="2669"/>
    </row>
    <row r="8942" spans="2:2" ht="23.25" customHeight="1">
      <c r="B8942" s="2669"/>
    </row>
    <row r="8943" spans="2:2" ht="23.25" customHeight="1">
      <c r="B8943" s="2669"/>
    </row>
    <row r="8944" spans="2:2" ht="23.25" customHeight="1">
      <c r="B8944" s="2669"/>
    </row>
    <row r="8945" spans="2:2" ht="23.25" customHeight="1">
      <c r="B8945" s="2669"/>
    </row>
    <row r="8946" spans="2:2" ht="23.25" customHeight="1">
      <c r="B8946" s="2669"/>
    </row>
    <row r="8947" spans="2:2" ht="23.25" customHeight="1">
      <c r="B8947" s="2669"/>
    </row>
    <row r="8948" spans="2:2" ht="23.25" customHeight="1">
      <c r="B8948" s="2669"/>
    </row>
    <row r="8949" spans="2:2" ht="23.25" customHeight="1">
      <c r="B8949" s="2669"/>
    </row>
    <row r="8950" spans="2:2" ht="23.25" customHeight="1">
      <c r="B8950" s="2669"/>
    </row>
    <row r="8951" spans="2:2" ht="23.25" customHeight="1">
      <c r="B8951" s="2669"/>
    </row>
    <row r="8952" spans="2:2" ht="23.25" customHeight="1">
      <c r="B8952" s="2669"/>
    </row>
    <row r="8953" spans="2:2" ht="23.25" customHeight="1">
      <c r="B8953" s="2669"/>
    </row>
    <row r="8954" spans="2:2" ht="23.25" customHeight="1">
      <c r="B8954" s="2669"/>
    </row>
    <row r="8955" spans="2:2" ht="23.25" customHeight="1">
      <c r="B8955" s="2669"/>
    </row>
    <row r="8956" spans="2:2" ht="23.25" customHeight="1">
      <c r="B8956" s="2669"/>
    </row>
    <row r="8957" spans="2:2" ht="23.25" customHeight="1">
      <c r="B8957" s="2669"/>
    </row>
    <row r="8958" spans="2:2" ht="23.25" customHeight="1">
      <c r="B8958" s="2669"/>
    </row>
    <row r="8959" spans="2:2" ht="23.25" customHeight="1">
      <c r="B8959" s="2669"/>
    </row>
    <row r="8960" spans="2:2" ht="23.25" customHeight="1">
      <c r="B8960" s="2669"/>
    </row>
    <row r="8961" spans="2:2" ht="23.25" customHeight="1">
      <c r="B8961" s="2669"/>
    </row>
    <row r="8962" spans="2:2" ht="23.25" customHeight="1">
      <c r="B8962" s="2669"/>
    </row>
    <row r="8963" spans="2:2" ht="23.25" customHeight="1">
      <c r="B8963" s="2669"/>
    </row>
    <row r="8964" spans="2:2" ht="23.25" customHeight="1">
      <c r="B8964" s="2669"/>
    </row>
    <row r="8965" spans="2:2" ht="23.25" customHeight="1">
      <c r="B8965" s="2669"/>
    </row>
    <row r="8966" spans="2:2" ht="23.25" customHeight="1">
      <c r="B8966" s="2669"/>
    </row>
    <row r="8967" spans="2:2" ht="23.25" customHeight="1">
      <c r="B8967" s="2669"/>
    </row>
    <row r="8968" spans="2:2" ht="23.25" customHeight="1">
      <c r="B8968" s="2669"/>
    </row>
    <row r="8969" spans="2:2" ht="23.25" customHeight="1">
      <c r="B8969" s="2669"/>
    </row>
    <row r="8970" spans="2:2" ht="23.25" customHeight="1">
      <c r="B8970" s="2669"/>
    </row>
    <row r="8971" spans="2:2" ht="23.25" customHeight="1">
      <c r="B8971" s="2669"/>
    </row>
    <row r="8972" spans="2:2" ht="23.25" customHeight="1">
      <c r="B8972" s="2669"/>
    </row>
    <row r="8973" spans="2:2" ht="23.25" customHeight="1">
      <c r="B8973" s="2669"/>
    </row>
    <row r="8974" spans="2:2" ht="23.25" customHeight="1">
      <c r="B8974" s="2669"/>
    </row>
    <row r="8975" spans="2:2" ht="23.25" customHeight="1">
      <c r="B8975" s="2669"/>
    </row>
    <row r="8976" spans="2:2" ht="23.25" customHeight="1">
      <c r="B8976" s="2669"/>
    </row>
    <row r="8977" spans="2:2" ht="23.25" customHeight="1">
      <c r="B8977" s="2669"/>
    </row>
    <row r="8978" spans="2:2" ht="23.25" customHeight="1">
      <c r="B8978" s="2669"/>
    </row>
    <row r="8979" spans="2:2" ht="23.25" customHeight="1">
      <c r="B8979" s="2669"/>
    </row>
    <row r="8980" spans="2:2" ht="23.25" customHeight="1">
      <c r="B8980" s="2669"/>
    </row>
    <row r="8981" spans="2:2" ht="23.25" customHeight="1">
      <c r="B8981" s="2669"/>
    </row>
    <row r="8982" spans="2:2" ht="23.25" customHeight="1">
      <c r="B8982" s="2669"/>
    </row>
    <row r="8983" spans="2:2" ht="23.25" customHeight="1">
      <c r="B8983" s="2669"/>
    </row>
    <row r="8984" spans="2:2" ht="23.25" customHeight="1">
      <c r="B8984" s="2669"/>
    </row>
    <row r="8985" spans="2:2" ht="23.25" customHeight="1">
      <c r="B8985" s="2669"/>
    </row>
    <row r="8986" spans="2:2" ht="23.25" customHeight="1">
      <c r="B8986" s="2669"/>
    </row>
    <row r="8987" spans="2:2" ht="23.25" customHeight="1">
      <c r="B8987" s="2669"/>
    </row>
    <row r="8988" spans="2:2" ht="23.25" customHeight="1">
      <c r="B8988" s="2669"/>
    </row>
    <row r="8989" spans="2:2" ht="23.25" customHeight="1">
      <c r="B8989" s="2669"/>
    </row>
    <row r="8990" spans="2:2" ht="23.25" customHeight="1">
      <c r="B8990" s="2669"/>
    </row>
    <row r="8991" spans="2:2" ht="23.25" customHeight="1">
      <c r="B8991" s="2669"/>
    </row>
    <row r="8992" spans="2:2" ht="23.25" customHeight="1">
      <c r="B8992" s="2669"/>
    </row>
    <row r="8993" spans="2:2" ht="23.25" customHeight="1">
      <c r="B8993" s="2669"/>
    </row>
    <row r="8994" spans="2:2" ht="23.25" customHeight="1">
      <c r="B8994" s="2669"/>
    </row>
    <row r="8995" spans="2:2" ht="23.25" customHeight="1">
      <c r="B8995" s="2669"/>
    </row>
    <row r="8996" spans="2:2" ht="23.25" customHeight="1">
      <c r="B8996" s="2669"/>
    </row>
    <row r="8997" spans="2:2" ht="23.25" customHeight="1">
      <c r="B8997" s="2669"/>
    </row>
    <row r="8998" spans="2:2" ht="23.25" customHeight="1">
      <c r="B8998" s="2669"/>
    </row>
    <row r="8999" spans="2:2" ht="23.25" customHeight="1">
      <c r="B8999" s="2669"/>
    </row>
    <row r="9000" spans="2:2" ht="23.25" customHeight="1">
      <c r="B9000" s="2669"/>
    </row>
    <row r="9001" spans="2:2" ht="23.25" customHeight="1">
      <c r="B9001" s="2669"/>
    </row>
    <row r="9002" spans="2:2" ht="23.25" customHeight="1">
      <c r="B9002" s="2669"/>
    </row>
    <row r="9003" spans="2:2" ht="23.25" customHeight="1">
      <c r="B9003" s="2669"/>
    </row>
    <row r="9004" spans="2:2" ht="23.25" customHeight="1">
      <c r="B9004" s="2669"/>
    </row>
    <row r="9005" spans="2:2" ht="23.25" customHeight="1">
      <c r="B9005" s="2669"/>
    </row>
    <row r="9006" spans="2:2" ht="23.25" customHeight="1">
      <c r="B9006" s="2669"/>
    </row>
    <row r="9007" spans="2:2" ht="23.25" customHeight="1">
      <c r="B9007" s="2669"/>
    </row>
    <row r="9008" spans="2:2" ht="23.25" customHeight="1">
      <c r="B9008" s="2669"/>
    </row>
    <row r="9009" spans="2:2" ht="23.25" customHeight="1">
      <c r="B9009" s="2669"/>
    </row>
    <row r="9010" spans="2:2" ht="23.25" customHeight="1">
      <c r="B9010" s="2669"/>
    </row>
    <row r="9011" spans="2:2" ht="23.25" customHeight="1">
      <c r="B9011" s="2669"/>
    </row>
    <row r="9012" spans="2:2" ht="23.25" customHeight="1">
      <c r="B9012" s="2669"/>
    </row>
    <row r="9013" spans="2:2" ht="23.25" customHeight="1">
      <c r="B9013" s="2669"/>
    </row>
    <row r="9014" spans="2:2" ht="23.25" customHeight="1">
      <c r="B9014" s="2669"/>
    </row>
    <row r="9015" spans="2:2" ht="23.25" customHeight="1">
      <c r="B9015" s="2669"/>
    </row>
    <row r="9016" spans="2:2" ht="23.25" customHeight="1">
      <c r="B9016" s="2669"/>
    </row>
    <row r="9017" spans="2:2" ht="23.25" customHeight="1">
      <c r="B9017" s="2669"/>
    </row>
    <row r="9018" spans="2:2" ht="23.25" customHeight="1">
      <c r="B9018" s="2669"/>
    </row>
    <row r="9019" spans="2:2" ht="23.25" customHeight="1">
      <c r="B9019" s="2669"/>
    </row>
    <row r="9020" spans="2:2" ht="23.25" customHeight="1">
      <c r="B9020" s="2669"/>
    </row>
    <row r="9021" spans="2:2" ht="23.25" customHeight="1">
      <c r="B9021" s="2669"/>
    </row>
    <row r="9022" spans="2:2" ht="23.25" customHeight="1">
      <c r="B9022" s="2669"/>
    </row>
    <row r="9023" spans="2:2" ht="23.25" customHeight="1">
      <c r="B9023" s="2669"/>
    </row>
    <row r="9024" spans="2:2" ht="23.25" customHeight="1">
      <c r="B9024" s="2669"/>
    </row>
    <row r="9025" spans="2:2" ht="23.25" customHeight="1">
      <c r="B9025" s="2669"/>
    </row>
    <row r="9026" spans="2:2" ht="23.25" customHeight="1">
      <c r="B9026" s="2669"/>
    </row>
    <row r="9027" spans="2:2" ht="23.25" customHeight="1">
      <c r="B9027" s="2669"/>
    </row>
    <row r="9028" spans="2:2" ht="23.25" customHeight="1">
      <c r="B9028" s="2669"/>
    </row>
    <row r="9029" spans="2:2" ht="23.25" customHeight="1">
      <c r="B9029" s="2669"/>
    </row>
    <row r="9030" spans="2:2" ht="23.25" customHeight="1">
      <c r="B9030" s="2669"/>
    </row>
    <row r="9031" spans="2:2" ht="23.25" customHeight="1">
      <c r="B9031" s="2669"/>
    </row>
    <row r="9032" spans="2:2" ht="23.25" customHeight="1">
      <c r="B9032" s="2669"/>
    </row>
    <row r="9033" spans="2:2" ht="23.25" customHeight="1">
      <c r="B9033" s="2669"/>
    </row>
    <row r="9034" spans="2:2" ht="23.25" customHeight="1">
      <c r="B9034" s="2669"/>
    </row>
    <row r="9035" spans="2:2" ht="23.25" customHeight="1">
      <c r="B9035" s="2669"/>
    </row>
    <row r="9036" spans="2:2" ht="23.25" customHeight="1">
      <c r="B9036" s="2669"/>
    </row>
    <row r="9037" spans="2:2" ht="23.25" customHeight="1">
      <c r="B9037" s="2669"/>
    </row>
    <row r="9038" spans="2:2" ht="23.25" customHeight="1">
      <c r="B9038" s="2669"/>
    </row>
    <row r="9039" spans="2:2" ht="23.25" customHeight="1">
      <c r="B9039" s="2669"/>
    </row>
    <row r="9040" spans="2:2" ht="23.25" customHeight="1">
      <c r="B9040" s="2669"/>
    </row>
    <row r="9041" spans="2:2" ht="23.25" customHeight="1">
      <c r="B9041" s="2669"/>
    </row>
    <row r="9042" spans="2:2" ht="23.25" customHeight="1">
      <c r="B9042" s="2669"/>
    </row>
    <row r="9043" spans="2:2" ht="23.25" customHeight="1">
      <c r="B9043" s="2669"/>
    </row>
    <row r="9044" spans="2:2" ht="23.25" customHeight="1">
      <c r="B9044" s="2669"/>
    </row>
    <row r="9045" spans="2:2" ht="23.25" customHeight="1">
      <c r="B9045" s="2669"/>
    </row>
    <row r="9046" spans="2:2" ht="23.25" customHeight="1">
      <c r="B9046" s="2669"/>
    </row>
    <row r="9047" spans="2:2" ht="23.25" customHeight="1">
      <c r="B9047" s="2669"/>
    </row>
    <row r="9048" spans="2:2" ht="23.25" customHeight="1">
      <c r="B9048" s="2669"/>
    </row>
    <row r="9049" spans="2:2" ht="23.25" customHeight="1">
      <c r="B9049" s="2669"/>
    </row>
    <row r="9050" spans="2:2" ht="23.25" customHeight="1">
      <c r="B9050" s="2669"/>
    </row>
    <row r="9051" spans="2:2" ht="23.25" customHeight="1">
      <c r="B9051" s="2669"/>
    </row>
    <row r="9052" spans="2:2" ht="23.25" customHeight="1">
      <c r="B9052" s="2669"/>
    </row>
    <row r="9053" spans="2:2" ht="23.25" customHeight="1">
      <c r="B9053" s="2669"/>
    </row>
    <row r="9054" spans="2:2" ht="23.25" customHeight="1">
      <c r="B9054" s="2669"/>
    </row>
    <row r="9055" spans="2:2" ht="23.25" customHeight="1">
      <c r="B9055" s="2669"/>
    </row>
    <row r="9056" spans="2:2" ht="23.25" customHeight="1">
      <c r="B9056" s="2669"/>
    </row>
    <row r="9057" spans="2:2" ht="23.25" customHeight="1">
      <c r="B9057" s="2669"/>
    </row>
    <row r="9058" spans="2:2" ht="23.25" customHeight="1">
      <c r="B9058" s="2669"/>
    </row>
    <row r="9059" spans="2:2" ht="23.25" customHeight="1">
      <c r="B9059" s="2669"/>
    </row>
    <row r="9060" spans="2:2" ht="23.25" customHeight="1">
      <c r="B9060" s="2669"/>
    </row>
    <row r="9061" spans="2:2" ht="23.25" customHeight="1">
      <c r="B9061" s="2669"/>
    </row>
    <row r="9062" spans="2:2" ht="23.25" customHeight="1">
      <c r="B9062" s="2669"/>
    </row>
    <row r="9063" spans="2:2" ht="23.25" customHeight="1">
      <c r="B9063" s="2669"/>
    </row>
    <row r="9064" spans="2:2" ht="23.25" customHeight="1">
      <c r="B9064" s="2669"/>
    </row>
    <row r="9065" spans="2:2" ht="23.25" customHeight="1">
      <c r="B9065" s="2669"/>
    </row>
    <row r="9066" spans="2:2" ht="23.25" customHeight="1">
      <c r="B9066" s="2669"/>
    </row>
    <row r="9067" spans="2:2" ht="23.25" customHeight="1">
      <c r="B9067" s="2669"/>
    </row>
    <row r="9068" spans="2:2" ht="23.25" customHeight="1">
      <c r="B9068" s="2669"/>
    </row>
    <row r="9069" spans="2:2" ht="23.25" customHeight="1">
      <c r="B9069" s="2669"/>
    </row>
    <row r="9070" spans="2:2" ht="23.25" customHeight="1">
      <c r="B9070" s="2669"/>
    </row>
    <row r="9071" spans="2:2" ht="23.25" customHeight="1">
      <c r="B9071" s="2669"/>
    </row>
    <row r="9072" spans="2:2" ht="23.25" customHeight="1">
      <c r="B9072" s="2669"/>
    </row>
    <row r="9073" spans="2:2" ht="23.25" customHeight="1">
      <c r="B9073" s="2669"/>
    </row>
    <row r="9074" spans="2:2" ht="23.25" customHeight="1">
      <c r="B9074" s="2669"/>
    </row>
    <row r="9075" spans="2:2" ht="23.25" customHeight="1">
      <c r="B9075" s="2669"/>
    </row>
    <row r="9076" spans="2:2" ht="23.25" customHeight="1">
      <c r="B9076" s="2669"/>
    </row>
    <row r="9077" spans="2:2" ht="23.25" customHeight="1">
      <c r="B9077" s="2669"/>
    </row>
    <row r="9078" spans="2:2" ht="23.25" customHeight="1">
      <c r="B9078" s="2669"/>
    </row>
    <row r="9079" spans="2:2" ht="23.25" customHeight="1">
      <c r="B9079" s="2669"/>
    </row>
    <row r="9080" spans="2:2" ht="23.25" customHeight="1">
      <c r="B9080" s="2669"/>
    </row>
    <row r="9081" spans="2:2" ht="23.25" customHeight="1">
      <c r="B9081" s="2669"/>
    </row>
    <row r="9082" spans="2:2" ht="23.25" customHeight="1">
      <c r="B9082" s="2669"/>
    </row>
    <row r="9083" spans="2:2" ht="23.25" customHeight="1">
      <c r="B9083" s="2669"/>
    </row>
    <row r="9084" spans="2:2" ht="23.25" customHeight="1">
      <c r="B9084" s="2669"/>
    </row>
    <row r="9085" spans="2:2" ht="23.25" customHeight="1">
      <c r="B9085" s="2669"/>
    </row>
    <row r="9086" spans="2:2" ht="23.25" customHeight="1">
      <c r="B9086" s="2669"/>
    </row>
    <row r="9087" spans="2:2" ht="23.25" customHeight="1">
      <c r="B9087" s="2669"/>
    </row>
    <row r="9088" spans="2:2" ht="23.25" customHeight="1">
      <c r="B9088" s="2669"/>
    </row>
    <row r="9089" spans="2:2" ht="23.25" customHeight="1">
      <c r="B9089" s="2669"/>
    </row>
    <row r="9090" spans="2:2" ht="23.25" customHeight="1">
      <c r="B9090" s="2669"/>
    </row>
    <row r="9091" spans="2:2" ht="23.25" customHeight="1">
      <c r="B9091" s="2669"/>
    </row>
    <row r="9092" spans="2:2" ht="23.25" customHeight="1">
      <c r="B9092" s="2669"/>
    </row>
    <row r="9093" spans="2:2" ht="23.25" customHeight="1">
      <c r="B9093" s="2669"/>
    </row>
    <row r="9094" spans="2:2" ht="23.25" customHeight="1">
      <c r="B9094" s="2669"/>
    </row>
    <row r="9095" spans="2:2" ht="23.25" customHeight="1">
      <c r="B9095" s="2669"/>
    </row>
    <row r="9096" spans="2:2" ht="23.25" customHeight="1">
      <c r="B9096" s="2669"/>
    </row>
    <row r="9097" spans="2:2" ht="23.25" customHeight="1">
      <c r="B9097" s="2669"/>
    </row>
    <row r="9098" spans="2:2" ht="23.25" customHeight="1">
      <c r="B9098" s="2669"/>
    </row>
    <row r="9099" spans="2:2" ht="23.25" customHeight="1">
      <c r="B9099" s="2669"/>
    </row>
    <row r="9100" spans="2:2" ht="23.25" customHeight="1">
      <c r="B9100" s="2669"/>
    </row>
    <row r="9101" spans="2:2" ht="23.25" customHeight="1">
      <c r="B9101" s="2669"/>
    </row>
    <row r="9102" spans="2:2" ht="23.25" customHeight="1">
      <c r="B9102" s="2669"/>
    </row>
    <row r="9103" spans="2:2" ht="23.25" customHeight="1">
      <c r="B9103" s="2669"/>
    </row>
    <row r="9104" spans="2:2" ht="23.25" customHeight="1">
      <c r="B9104" s="2669"/>
    </row>
    <row r="9105" spans="2:2" ht="23.25" customHeight="1">
      <c r="B9105" s="2669"/>
    </row>
    <row r="9106" spans="2:2" ht="23.25" customHeight="1">
      <c r="B9106" s="2669"/>
    </row>
    <row r="9107" spans="2:2" ht="23.25" customHeight="1">
      <c r="B9107" s="2669"/>
    </row>
    <row r="9108" spans="2:2" ht="23.25" customHeight="1">
      <c r="B9108" s="2669"/>
    </row>
    <row r="9109" spans="2:2" ht="23.25" customHeight="1">
      <c r="B9109" s="2669"/>
    </row>
    <row r="9110" spans="2:2" ht="23.25" customHeight="1">
      <c r="B9110" s="2669"/>
    </row>
    <row r="9111" spans="2:2" ht="23.25" customHeight="1">
      <c r="B9111" s="2669"/>
    </row>
    <row r="9112" spans="2:2" ht="23.25" customHeight="1">
      <c r="B9112" s="2669"/>
    </row>
    <row r="9113" spans="2:2" ht="23.25" customHeight="1">
      <c r="B9113" s="2669"/>
    </row>
    <row r="9114" spans="2:2" ht="23.25" customHeight="1">
      <c r="B9114" s="2669"/>
    </row>
    <row r="9115" spans="2:2" ht="23.25" customHeight="1">
      <c r="B9115" s="2669"/>
    </row>
    <row r="9116" spans="2:2" ht="23.25" customHeight="1">
      <c r="B9116" s="2669"/>
    </row>
    <row r="9117" spans="2:2" ht="23.25" customHeight="1">
      <c r="B9117" s="2669"/>
    </row>
    <row r="9118" spans="2:2" ht="23.25" customHeight="1">
      <c r="B9118" s="2669"/>
    </row>
    <row r="9119" spans="2:2" ht="23.25" customHeight="1">
      <c r="B9119" s="2669"/>
    </row>
    <row r="9120" spans="2:2" ht="23.25" customHeight="1">
      <c r="B9120" s="2669"/>
    </row>
    <row r="9121" spans="2:2" ht="23.25" customHeight="1">
      <c r="B9121" s="2669"/>
    </row>
    <row r="9122" spans="2:2" ht="23.25" customHeight="1">
      <c r="B9122" s="2669"/>
    </row>
    <row r="9123" spans="2:2" ht="23.25" customHeight="1">
      <c r="B9123" s="2669"/>
    </row>
    <row r="9124" spans="2:2" ht="23.25" customHeight="1">
      <c r="B9124" s="2669"/>
    </row>
    <row r="9125" spans="2:2" ht="23.25" customHeight="1">
      <c r="B9125" s="2669"/>
    </row>
    <row r="9126" spans="2:2" ht="23.25" customHeight="1">
      <c r="B9126" s="2669"/>
    </row>
    <row r="9127" spans="2:2" ht="23.25" customHeight="1">
      <c r="B9127" s="2669"/>
    </row>
    <row r="9128" spans="2:2" ht="23.25" customHeight="1">
      <c r="B9128" s="2669"/>
    </row>
    <row r="9129" spans="2:2" ht="23.25" customHeight="1">
      <c r="B9129" s="2669"/>
    </row>
    <row r="9130" spans="2:2" ht="23.25" customHeight="1">
      <c r="B9130" s="2669"/>
    </row>
    <row r="9131" spans="2:2" ht="23.25" customHeight="1">
      <c r="B9131" s="2669"/>
    </row>
    <row r="9132" spans="2:2" ht="23.25" customHeight="1">
      <c r="B9132" s="2669"/>
    </row>
    <row r="9133" spans="2:2" ht="23.25" customHeight="1">
      <c r="B9133" s="2669"/>
    </row>
    <row r="9134" spans="2:2" ht="23.25" customHeight="1">
      <c r="B9134" s="2669"/>
    </row>
    <row r="9135" spans="2:2" ht="23.25" customHeight="1">
      <c r="B9135" s="2669"/>
    </row>
    <row r="9136" spans="2:2" ht="23.25" customHeight="1">
      <c r="B9136" s="2669"/>
    </row>
    <row r="9137" spans="2:2" ht="23.25" customHeight="1">
      <c r="B9137" s="2669"/>
    </row>
    <row r="9138" spans="2:2" ht="23.25" customHeight="1">
      <c r="B9138" s="2669"/>
    </row>
    <row r="9139" spans="2:2" ht="23.25" customHeight="1">
      <c r="B9139" s="2669"/>
    </row>
    <row r="9140" spans="2:2" ht="23.25" customHeight="1">
      <c r="B9140" s="2669"/>
    </row>
    <row r="9141" spans="2:2" ht="23.25" customHeight="1">
      <c r="B9141" s="2669"/>
    </row>
    <row r="9142" spans="2:2" ht="23.25" customHeight="1">
      <c r="B9142" s="2669"/>
    </row>
    <row r="9143" spans="2:2" ht="23.25" customHeight="1">
      <c r="B9143" s="2669"/>
    </row>
    <row r="9144" spans="2:2" ht="23.25" customHeight="1">
      <c r="B9144" s="2669"/>
    </row>
    <row r="9145" spans="2:2" ht="23.25" customHeight="1">
      <c r="B9145" s="2669"/>
    </row>
    <row r="9146" spans="2:2" ht="23.25" customHeight="1">
      <c r="B9146" s="2669"/>
    </row>
    <row r="9147" spans="2:2" ht="23.25" customHeight="1">
      <c r="B9147" s="2669"/>
    </row>
    <row r="9148" spans="2:2" ht="23.25" customHeight="1">
      <c r="B9148" s="2669"/>
    </row>
    <row r="9149" spans="2:2" ht="23.25" customHeight="1">
      <c r="B9149" s="2669"/>
    </row>
    <row r="9150" spans="2:2" ht="23.25" customHeight="1">
      <c r="B9150" s="2669"/>
    </row>
    <row r="9151" spans="2:2" ht="23.25" customHeight="1">
      <c r="B9151" s="2669"/>
    </row>
    <row r="9152" spans="2:2" ht="23.25" customHeight="1">
      <c r="B9152" s="2669"/>
    </row>
    <row r="9153" spans="2:2" ht="23.25" customHeight="1">
      <c r="B9153" s="2669"/>
    </row>
    <row r="9154" spans="2:2" ht="23.25" customHeight="1">
      <c r="B9154" s="2669"/>
    </row>
    <row r="9155" spans="2:2" ht="23.25" customHeight="1">
      <c r="B9155" s="2669"/>
    </row>
    <row r="9156" spans="2:2" ht="23.25" customHeight="1">
      <c r="B9156" s="2669"/>
    </row>
    <row r="9157" spans="2:2" ht="23.25" customHeight="1">
      <c r="B9157" s="2669"/>
    </row>
    <row r="9158" spans="2:2" ht="23.25" customHeight="1">
      <c r="B9158" s="2669"/>
    </row>
    <row r="9159" spans="2:2" ht="23.25" customHeight="1">
      <c r="B9159" s="2669"/>
    </row>
    <row r="9160" spans="2:2" ht="23.25" customHeight="1">
      <c r="B9160" s="2669"/>
    </row>
    <row r="9161" spans="2:2" ht="23.25" customHeight="1">
      <c r="B9161" s="2669"/>
    </row>
    <row r="9162" spans="2:2" ht="23.25" customHeight="1">
      <c r="B9162" s="2669"/>
    </row>
    <row r="9163" spans="2:2" ht="23.25" customHeight="1">
      <c r="B9163" s="2669"/>
    </row>
    <row r="9164" spans="2:2" ht="23.25" customHeight="1">
      <c r="B9164" s="2669"/>
    </row>
    <row r="9165" spans="2:2" ht="23.25" customHeight="1">
      <c r="B9165" s="2669"/>
    </row>
    <row r="9166" spans="2:2" ht="23.25" customHeight="1">
      <c r="B9166" s="2669"/>
    </row>
    <row r="9167" spans="2:2" ht="23.25" customHeight="1">
      <c r="B9167" s="2669"/>
    </row>
    <row r="9168" spans="2:2" ht="23.25" customHeight="1">
      <c r="B9168" s="2669"/>
    </row>
    <row r="9169" spans="2:2" ht="23.25" customHeight="1">
      <c r="B9169" s="2669"/>
    </row>
    <row r="9170" spans="2:2" ht="23.25" customHeight="1">
      <c r="B9170" s="2669"/>
    </row>
    <row r="9171" spans="2:2" ht="23.25" customHeight="1">
      <c r="B9171" s="2669"/>
    </row>
    <row r="9172" spans="2:2" ht="23.25" customHeight="1">
      <c r="B9172" s="2669"/>
    </row>
    <row r="9173" spans="2:2" ht="23.25" customHeight="1">
      <c r="B9173" s="2669"/>
    </row>
    <row r="9174" spans="2:2" ht="23.25" customHeight="1">
      <c r="B9174" s="2669"/>
    </row>
    <row r="9175" spans="2:2" ht="23.25" customHeight="1">
      <c r="B9175" s="2669"/>
    </row>
    <row r="9176" spans="2:2" ht="23.25" customHeight="1">
      <c r="B9176" s="2669"/>
    </row>
    <row r="9177" spans="2:2" ht="23.25" customHeight="1">
      <c r="B9177" s="2669"/>
    </row>
    <row r="9178" spans="2:2" ht="23.25" customHeight="1">
      <c r="B9178" s="2669"/>
    </row>
    <row r="9179" spans="2:2" ht="23.25" customHeight="1">
      <c r="B9179" s="2669"/>
    </row>
    <row r="9180" spans="2:2" ht="23.25" customHeight="1">
      <c r="B9180" s="2669"/>
    </row>
    <row r="9181" spans="2:2" ht="23.25" customHeight="1">
      <c r="B9181" s="2669"/>
    </row>
    <row r="9182" spans="2:2" ht="23.25" customHeight="1">
      <c r="B9182" s="2669"/>
    </row>
    <row r="9183" spans="2:2" ht="23.25" customHeight="1">
      <c r="B9183" s="2669"/>
    </row>
    <row r="9184" spans="2:2" ht="23.25" customHeight="1">
      <c r="B9184" s="2669"/>
    </row>
    <row r="9185" spans="2:2" ht="23.25" customHeight="1">
      <c r="B9185" s="2669"/>
    </row>
    <row r="9186" spans="2:2" ht="23.25" customHeight="1">
      <c r="B9186" s="2669"/>
    </row>
    <row r="9187" spans="2:2" ht="23.25" customHeight="1">
      <c r="B9187" s="2669"/>
    </row>
    <row r="9188" spans="2:2" ht="23.25" customHeight="1">
      <c r="B9188" s="2669"/>
    </row>
    <row r="9189" spans="2:2" ht="23.25" customHeight="1">
      <c r="B9189" s="2669"/>
    </row>
    <row r="9190" spans="2:2" ht="23.25" customHeight="1">
      <c r="B9190" s="2669"/>
    </row>
    <row r="9191" spans="2:2" ht="23.25" customHeight="1">
      <c r="B9191" s="2669"/>
    </row>
    <row r="9192" spans="2:2" ht="23.25" customHeight="1">
      <c r="B9192" s="2669"/>
    </row>
    <row r="9193" spans="2:2" ht="23.25" customHeight="1">
      <c r="B9193" s="2669"/>
    </row>
    <row r="9194" spans="2:2" ht="23.25" customHeight="1">
      <c r="B9194" s="2669"/>
    </row>
    <row r="9195" spans="2:2" ht="23.25" customHeight="1">
      <c r="B9195" s="2669"/>
    </row>
    <row r="9196" spans="2:2" ht="23.25" customHeight="1">
      <c r="B9196" s="2669"/>
    </row>
    <row r="9197" spans="2:2" ht="23.25" customHeight="1">
      <c r="B9197" s="2669"/>
    </row>
    <row r="9198" spans="2:2" ht="23.25" customHeight="1">
      <c r="B9198" s="2669"/>
    </row>
    <row r="9199" spans="2:2" ht="23.25" customHeight="1">
      <c r="B9199" s="2669"/>
    </row>
    <row r="9200" spans="2:2" ht="23.25" customHeight="1">
      <c r="B9200" s="2669"/>
    </row>
    <row r="9201" spans="2:2" ht="23.25" customHeight="1">
      <c r="B9201" s="2669"/>
    </row>
    <row r="9202" spans="2:2" ht="23.25" customHeight="1">
      <c r="B9202" s="2669"/>
    </row>
    <row r="9203" spans="2:2" ht="23.25" customHeight="1">
      <c r="B9203" s="2669"/>
    </row>
    <row r="9204" spans="2:2" ht="23.25" customHeight="1">
      <c r="B9204" s="2669"/>
    </row>
    <row r="9205" spans="2:2" ht="23.25" customHeight="1">
      <c r="B9205" s="2669"/>
    </row>
    <row r="9206" spans="2:2" ht="23.25" customHeight="1">
      <c r="B9206" s="2669"/>
    </row>
    <row r="9207" spans="2:2" ht="23.25" customHeight="1">
      <c r="B9207" s="2669"/>
    </row>
    <row r="9208" spans="2:2" ht="23.25" customHeight="1">
      <c r="B9208" s="2669"/>
    </row>
    <row r="9209" spans="2:2" ht="23.25" customHeight="1">
      <c r="B9209" s="2669"/>
    </row>
    <row r="9210" spans="2:2" ht="23.25" customHeight="1">
      <c r="B9210" s="2669"/>
    </row>
    <row r="9211" spans="2:2" ht="23.25" customHeight="1">
      <c r="B9211" s="2669"/>
    </row>
    <row r="9212" spans="2:2" ht="23.25" customHeight="1">
      <c r="B9212" s="2669"/>
    </row>
    <row r="9213" spans="2:2" ht="23.25" customHeight="1">
      <c r="B9213" s="2669"/>
    </row>
    <row r="9214" spans="2:2" ht="23.25" customHeight="1">
      <c r="B9214" s="2669"/>
    </row>
    <row r="9215" spans="2:2" ht="23.25" customHeight="1">
      <c r="B9215" s="2669"/>
    </row>
    <row r="9216" spans="2:2" ht="23.25" customHeight="1">
      <c r="B9216" s="2669"/>
    </row>
    <row r="9217" spans="2:2" ht="23.25" customHeight="1">
      <c r="B9217" s="2669"/>
    </row>
    <row r="9218" spans="2:2" ht="23.25" customHeight="1">
      <c r="B9218" s="2669"/>
    </row>
    <row r="9219" spans="2:2" ht="23.25" customHeight="1">
      <c r="B9219" s="2669"/>
    </row>
    <row r="9220" spans="2:2" ht="23.25" customHeight="1">
      <c r="B9220" s="2669"/>
    </row>
    <row r="9221" spans="2:2" ht="23.25" customHeight="1">
      <c r="B9221" s="2669"/>
    </row>
    <row r="9222" spans="2:2" ht="23.25" customHeight="1">
      <c r="B9222" s="2669"/>
    </row>
    <row r="9223" spans="2:2" ht="23.25" customHeight="1">
      <c r="B9223" s="2669"/>
    </row>
    <row r="9224" spans="2:2" ht="23.25" customHeight="1">
      <c r="B9224" s="2669"/>
    </row>
    <row r="9225" spans="2:2" ht="23.25" customHeight="1">
      <c r="B9225" s="2669"/>
    </row>
    <row r="9226" spans="2:2" ht="23.25" customHeight="1">
      <c r="B9226" s="2669"/>
    </row>
    <row r="9227" spans="2:2" ht="23.25" customHeight="1">
      <c r="B9227" s="2669"/>
    </row>
    <row r="9228" spans="2:2" ht="23.25" customHeight="1">
      <c r="B9228" s="2669"/>
    </row>
    <row r="9229" spans="2:2" ht="23.25" customHeight="1">
      <c r="B9229" s="2669"/>
    </row>
    <row r="9230" spans="2:2" ht="23.25" customHeight="1">
      <c r="B9230" s="2669"/>
    </row>
    <row r="9231" spans="2:2" ht="23.25" customHeight="1">
      <c r="B9231" s="2669"/>
    </row>
    <row r="9232" spans="2:2" ht="23.25" customHeight="1">
      <c r="B9232" s="2669"/>
    </row>
    <row r="9233" spans="2:2" ht="23.25" customHeight="1">
      <c r="B9233" s="2669"/>
    </row>
    <row r="9234" spans="2:2" ht="23.25" customHeight="1">
      <c r="B9234" s="2669"/>
    </row>
    <row r="9235" spans="2:2" ht="23.25" customHeight="1">
      <c r="B9235" s="2669"/>
    </row>
    <row r="9236" spans="2:2" ht="23.25" customHeight="1">
      <c r="B9236" s="2669"/>
    </row>
    <row r="9237" spans="2:2" ht="23.25" customHeight="1">
      <c r="B9237" s="2669"/>
    </row>
    <row r="9238" spans="2:2" ht="23.25" customHeight="1">
      <c r="B9238" s="2669"/>
    </row>
    <row r="9239" spans="2:2" ht="23.25" customHeight="1">
      <c r="B9239" s="2669"/>
    </row>
    <row r="9240" spans="2:2" ht="23.25" customHeight="1">
      <c r="B9240" s="2669"/>
    </row>
    <row r="9241" spans="2:2" ht="23.25" customHeight="1">
      <c r="B9241" s="2669"/>
    </row>
    <row r="9242" spans="2:2" ht="23.25" customHeight="1">
      <c r="B9242" s="2669"/>
    </row>
    <row r="9243" spans="2:2" ht="23.25" customHeight="1">
      <c r="B9243" s="2669"/>
    </row>
    <row r="9244" spans="2:2" ht="23.25" customHeight="1">
      <c r="B9244" s="2669"/>
    </row>
    <row r="9245" spans="2:2" ht="23.25" customHeight="1">
      <c r="B9245" s="2669"/>
    </row>
    <row r="9246" spans="2:2" ht="23.25" customHeight="1">
      <c r="B9246" s="2669"/>
    </row>
    <row r="9247" spans="2:2" ht="23.25" customHeight="1">
      <c r="B9247" s="2669"/>
    </row>
    <row r="9248" spans="2:2" ht="23.25" customHeight="1">
      <c r="B9248" s="2669"/>
    </row>
    <row r="9249" spans="2:2" ht="23.25" customHeight="1">
      <c r="B9249" s="2669"/>
    </row>
    <row r="9250" spans="2:2" ht="23.25" customHeight="1">
      <c r="B9250" s="2669"/>
    </row>
    <row r="9251" spans="2:2" ht="23.25" customHeight="1">
      <c r="B9251" s="2669"/>
    </row>
    <row r="9252" spans="2:2" ht="23.25" customHeight="1">
      <c r="B9252" s="2669"/>
    </row>
    <row r="9253" spans="2:2" ht="23.25" customHeight="1">
      <c r="B9253" s="2669"/>
    </row>
    <row r="9254" spans="2:2" ht="23.25" customHeight="1">
      <c r="B9254" s="2669"/>
    </row>
    <row r="9255" spans="2:2" ht="23.25" customHeight="1">
      <c r="B9255" s="2669"/>
    </row>
    <row r="9256" spans="2:2" ht="23.25" customHeight="1">
      <c r="B9256" s="2669"/>
    </row>
    <row r="9257" spans="2:2" ht="23.25" customHeight="1">
      <c r="B9257" s="2669"/>
    </row>
    <row r="9258" spans="2:2" ht="23.25" customHeight="1">
      <c r="B9258" s="2669"/>
    </row>
    <row r="9259" spans="2:2" ht="23.25" customHeight="1">
      <c r="B9259" s="2669"/>
    </row>
    <row r="9260" spans="2:2" ht="23.25" customHeight="1">
      <c r="B9260" s="2669"/>
    </row>
    <row r="9261" spans="2:2" ht="23.25" customHeight="1">
      <c r="B9261" s="2669"/>
    </row>
    <row r="9262" spans="2:2" ht="23.25" customHeight="1">
      <c r="B9262" s="2669"/>
    </row>
    <row r="9263" spans="2:2" ht="23.25" customHeight="1">
      <c r="B9263" s="2669"/>
    </row>
    <row r="9264" spans="2:2" ht="23.25" customHeight="1">
      <c r="B9264" s="2669"/>
    </row>
    <row r="9265" spans="2:2" ht="23.25" customHeight="1">
      <c r="B9265" s="2669"/>
    </row>
    <row r="9266" spans="2:2" ht="23.25" customHeight="1">
      <c r="B9266" s="2669"/>
    </row>
    <row r="9267" spans="2:2" ht="23.25" customHeight="1">
      <c r="B9267" s="2669"/>
    </row>
    <row r="9268" spans="2:2" ht="23.25" customHeight="1">
      <c r="B9268" s="2669"/>
    </row>
    <row r="9269" spans="2:2" ht="23.25" customHeight="1">
      <c r="B9269" s="2669"/>
    </row>
    <row r="9270" spans="2:2" ht="23.25" customHeight="1">
      <c r="B9270" s="2669"/>
    </row>
    <row r="9271" spans="2:2" ht="23.25" customHeight="1">
      <c r="B9271" s="2669"/>
    </row>
    <row r="9272" spans="2:2" ht="23.25" customHeight="1">
      <c r="B9272" s="2669"/>
    </row>
    <row r="9273" spans="2:2" ht="23.25" customHeight="1">
      <c r="B9273" s="2669"/>
    </row>
    <row r="9274" spans="2:2" ht="23.25" customHeight="1">
      <c r="B9274" s="2669"/>
    </row>
    <row r="9275" spans="2:2" ht="23.25" customHeight="1">
      <c r="B9275" s="2669"/>
    </row>
    <row r="9276" spans="2:2" ht="23.25" customHeight="1">
      <c r="B9276" s="2669"/>
    </row>
    <row r="9277" spans="2:2" ht="23.25" customHeight="1">
      <c r="B9277" s="2669"/>
    </row>
    <row r="9278" spans="2:2" ht="23.25" customHeight="1">
      <c r="B9278" s="2669"/>
    </row>
    <row r="9279" spans="2:2" ht="23.25" customHeight="1">
      <c r="B9279" s="2669"/>
    </row>
    <row r="9280" spans="2:2" ht="23.25" customHeight="1">
      <c r="B9280" s="2669"/>
    </row>
    <row r="9281" spans="2:2" ht="23.25" customHeight="1">
      <c r="B9281" s="2669"/>
    </row>
    <row r="9282" spans="2:2" ht="23.25" customHeight="1">
      <c r="B9282" s="2669"/>
    </row>
    <row r="9283" spans="2:2" ht="23.25" customHeight="1">
      <c r="B9283" s="2669"/>
    </row>
    <row r="9284" spans="2:2" ht="23.25" customHeight="1">
      <c r="B9284" s="2669"/>
    </row>
    <row r="9285" spans="2:2" ht="23.25" customHeight="1">
      <c r="B9285" s="2669"/>
    </row>
    <row r="9286" spans="2:2" ht="23.25" customHeight="1">
      <c r="B9286" s="2669"/>
    </row>
    <row r="9287" spans="2:2" ht="23.25" customHeight="1">
      <c r="B9287" s="2669"/>
    </row>
    <row r="9288" spans="2:2" ht="23.25" customHeight="1">
      <c r="B9288" s="2669"/>
    </row>
    <row r="9289" spans="2:2" ht="23.25" customHeight="1">
      <c r="B9289" s="2669"/>
    </row>
    <row r="9290" spans="2:2" ht="23.25" customHeight="1">
      <c r="B9290" s="2669"/>
    </row>
    <row r="9291" spans="2:2" ht="23.25" customHeight="1">
      <c r="B9291" s="2669"/>
    </row>
    <row r="9292" spans="2:2" ht="23.25" customHeight="1">
      <c r="B9292" s="2669"/>
    </row>
    <row r="9293" spans="2:2" ht="23.25" customHeight="1">
      <c r="B9293" s="2669"/>
    </row>
    <row r="9294" spans="2:2" ht="23.25" customHeight="1">
      <c r="B9294" s="2669"/>
    </row>
    <row r="9295" spans="2:2" ht="23.25" customHeight="1">
      <c r="B9295" s="2669"/>
    </row>
    <row r="9296" spans="2:2" ht="23.25" customHeight="1">
      <c r="B9296" s="2669"/>
    </row>
    <row r="9297" spans="2:2" ht="23.25" customHeight="1">
      <c r="B9297" s="2669"/>
    </row>
    <row r="9298" spans="2:2" ht="23.25" customHeight="1">
      <c r="B9298" s="2669"/>
    </row>
    <row r="9299" spans="2:2" ht="23.25" customHeight="1">
      <c r="B9299" s="2669"/>
    </row>
    <row r="9300" spans="2:2" ht="23.25" customHeight="1">
      <c r="B9300" s="2669"/>
    </row>
    <row r="9301" spans="2:2" ht="23.25" customHeight="1">
      <c r="B9301" s="2669"/>
    </row>
    <row r="9302" spans="2:2" ht="23.25" customHeight="1">
      <c r="B9302" s="2669"/>
    </row>
    <row r="9303" spans="2:2" ht="23.25" customHeight="1">
      <c r="B9303" s="2669"/>
    </row>
    <row r="9304" spans="2:2" ht="23.25" customHeight="1">
      <c r="B9304" s="2669"/>
    </row>
    <row r="9305" spans="2:2" ht="23.25" customHeight="1">
      <c r="B9305" s="2669"/>
    </row>
    <row r="9306" spans="2:2" ht="23.25" customHeight="1">
      <c r="B9306" s="2669"/>
    </row>
    <row r="9307" spans="2:2" ht="23.25" customHeight="1">
      <c r="B9307" s="2669"/>
    </row>
    <row r="9308" spans="2:2" ht="23.25" customHeight="1">
      <c r="B9308" s="2669"/>
    </row>
    <row r="9309" spans="2:2" ht="23.25" customHeight="1">
      <c r="B9309" s="2669"/>
    </row>
    <row r="9310" spans="2:2" ht="23.25" customHeight="1">
      <c r="B9310" s="2669"/>
    </row>
    <row r="9311" spans="2:2" ht="23.25" customHeight="1">
      <c r="B9311" s="2669"/>
    </row>
    <row r="9312" spans="2:2" ht="23.25" customHeight="1">
      <c r="B9312" s="2669"/>
    </row>
    <row r="9313" spans="2:2" ht="23.25" customHeight="1">
      <c r="B9313" s="2669"/>
    </row>
    <row r="9314" spans="2:2" ht="23.25" customHeight="1">
      <c r="B9314" s="2669"/>
    </row>
    <row r="9315" spans="2:2" ht="23.25" customHeight="1">
      <c r="B9315" s="2669"/>
    </row>
    <row r="9316" spans="2:2" ht="23.25" customHeight="1">
      <c r="B9316" s="2669"/>
    </row>
    <row r="9317" spans="2:2" ht="23.25" customHeight="1">
      <c r="B9317" s="2669"/>
    </row>
    <row r="9318" spans="2:2" ht="23.25" customHeight="1">
      <c r="B9318" s="2669"/>
    </row>
    <row r="9319" spans="2:2" ht="23.25" customHeight="1">
      <c r="B9319" s="2669"/>
    </row>
    <row r="9320" spans="2:2" ht="23.25" customHeight="1">
      <c r="B9320" s="2669"/>
    </row>
    <row r="9321" spans="2:2" ht="23.25" customHeight="1">
      <c r="B9321" s="2669"/>
    </row>
    <row r="9322" spans="2:2" ht="23.25" customHeight="1">
      <c r="B9322" s="2669"/>
    </row>
    <row r="9323" spans="2:2" ht="23.25" customHeight="1">
      <c r="B9323" s="2669"/>
    </row>
    <row r="9324" spans="2:2" ht="23.25" customHeight="1">
      <c r="B9324" s="2669"/>
    </row>
    <row r="9325" spans="2:2" ht="23.25" customHeight="1">
      <c r="B9325" s="2669"/>
    </row>
    <row r="9326" spans="2:2" ht="23.25" customHeight="1">
      <c r="B9326" s="2669"/>
    </row>
    <row r="9327" spans="2:2" ht="23.25" customHeight="1">
      <c r="B9327" s="2669"/>
    </row>
    <row r="9328" spans="2:2" ht="23.25" customHeight="1">
      <c r="B9328" s="2669"/>
    </row>
    <row r="9329" spans="2:2" ht="23.25" customHeight="1">
      <c r="B9329" s="2669"/>
    </row>
    <row r="9330" spans="2:2" ht="23.25" customHeight="1">
      <c r="B9330" s="2669"/>
    </row>
    <row r="9331" spans="2:2" ht="23.25" customHeight="1">
      <c r="B9331" s="2669"/>
    </row>
    <row r="9332" spans="2:2" ht="23.25" customHeight="1">
      <c r="B9332" s="2669"/>
    </row>
    <row r="9333" spans="2:2" ht="23.25" customHeight="1">
      <c r="B9333" s="2669"/>
    </row>
    <row r="9334" spans="2:2" ht="23.25" customHeight="1">
      <c r="B9334" s="2669"/>
    </row>
    <row r="9335" spans="2:2" ht="23.25" customHeight="1">
      <c r="B9335" s="2669"/>
    </row>
    <row r="9336" spans="2:2" ht="23.25" customHeight="1">
      <c r="B9336" s="2669"/>
    </row>
    <row r="9337" spans="2:2" ht="23.25" customHeight="1">
      <c r="B9337" s="2669"/>
    </row>
    <row r="9338" spans="2:2" ht="23.25" customHeight="1">
      <c r="B9338" s="2669"/>
    </row>
    <row r="9339" spans="2:2" ht="23.25" customHeight="1">
      <c r="B9339" s="2669"/>
    </row>
    <row r="9340" spans="2:2" ht="23.25" customHeight="1">
      <c r="B9340" s="2669"/>
    </row>
    <row r="9341" spans="2:2" ht="23.25" customHeight="1">
      <c r="B9341" s="2669"/>
    </row>
    <row r="9342" spans="2:2" ht="23.25" customHeight="1">
      <c r="B9342" s="2669"/>
    </row>
    <row r="9343" spans="2:2" ht="23.25" customHeight="1">
      <c r="B9343" s="2669"/>
    </row>
    <row r="9344" spans="2:2" ht="23.25" customHeight="1">
      <c r="B9344" s="2669"/>
    </row>
    <row r="9345" spans="2:2" ht="23.25" customHeight="1">
      <c r="B9345" s="2669"/>
    </row>
    <row r="9346" spans="2:2" ht="23.25" customHeight="1">
      <c r="B9346" s="2669"/>
    </row>
    <row r="9347" spans="2:2" ht="23.25" customHeight="1">
      <c r="B9347" s="2669"/>
    </row>
    <row r="9348" spans="2:2" ht="23.25" customHeight="1">
      <c r="B9348" s="2669"/>
    </row>
    <row r="9349" spans="2:2" ht="23.25" customHeight="1">
      <c r="B9349" s="2669"/>
    </row>
    <row r="9350" spans="2:2" ht="23.25" customHeight="1">
      <c r="B9350" s="2669"/>
    </row>
    <row r="9351" spans="2:2" ht="23.25" customHeight="1">
      <c r="B9351" s="2669"/>
    </row>
    <row r="9352" spans="2:2" ht="23.25" customHeight="1">
      <c r="B9352" s="2669"/>
    </row>
    <row r="9353" spans="2:2" ht="23.25" customHeight="1">
      <c r="B9353" s="2669"/>
    </row>
    <row r="9354" spans="2:2" ht="23.25" customHeight="1">
      <c r="B9354" s="2669"/>
    </row>
    <row r="9355" spans="2:2" ht="23.25" customHeight="1">
      <c r="B9355" s="2669"/>
    </row>
    <row r="9356" spans="2:2" ht="23.25" customHeight="1">
      <c r="B9356" s="2669"/>
    </row>
    <row r="9357" spans="2:2" ht="23.25" customHeight="1">
      <c r="B9357" s="2669"/>
    </row>
    <row r="9358" spans="2:2" ht="23.25" customHeight="1">
      <c r="B9358" s="2669"/>
    </row>
    <row r="9359" spans="2:2" ht="23.25" customHeight="1">
      <c r="B9359" s="2669"/>
    </row>
    <row r="9360" spans="2:2" ht="23.25" customHeight="1">
      <c r="B9360" s="2669"/>
    </row>
    <row r="9361" spans="2:2" ht="23.25" customHeight="1">
      <c r="B9361" s="2669"/>
    </row>
    <row r="9362" spans="2:2" ht="23.25" customHeight="1">
      <c r="B9362" s="2669"/>
    </row>
    <row r="9363" spans="2:2" ht="23.25" customHeight="1">
      <c r="B9363" s="2669"/>
    </row>
    <row r="9364" spans="2:2" ht="23.25" customHeight="1">
      <c r="B9364" s="2669"/>
    </row>
    <row r="9365" spans="2:2" ht="23.25" customHeight="1">
      <c r="B9365" s="2669"/>
    </row>
    <row r="9366" spans="2:2" ht="23.25" customHeight="1">
      <c r="B9366" s="2669"/>
    </row>
    <row r="9367" spans="2:2" ht="23.25" customHeight="1">
      <c r="B9367" s="2669"/>
    </row>
    <row r="9368" spans="2:2" ht="23.25" customHeight="1">
      <c r="B9368" s="2669"/>
    </row>
    <row r="9369" spans="2:2" ht="23.25" customHeight="1">
      <c r="B9369" s="2669"/>
    </row>
    <row r="9370" spans="2:2" ht="23.25" customHeight="1">
      <c r="B9370" s="2669"/>
    </row>
    <row r="9371" spans="2:2" ht="23.25" customHeight="1">
      <c r="B9371" s="2669"/>
    </row>
    <row r="9372" spans="2:2" ht="23.25" customHeight="1">
      <c r="B9372" s="2669"/>
    </row>
    <row r="9373" spans="2:2" ht="23.25" customHeight="1">
      <c r="B9373" s="2669"/>
    </row>
    <row r="9374" spans="2:2" ht="23.25" customHeight="1">
      <c r="B9374" s="2669"/>
    </row>
    <row r="9375" spans="2:2" ht="23.25" customHeight="1">
      <c r="B9375" s="2669"/>
    </row>
    <row r="9376" spans="2:2" ht="23.25" customHeight="1">
      <c r="B9376" s="2669"/>
    </row>
    <row r="9377" spans="2:2" ht="23.25" customHeight="1">
      <c r="B9377" s="2669"/>
    </row>
    <row r="9378" spans="2:2" ht="23.25" customHeight="1">
      <c r="B9378" s="2669"/>
    </row>
    <row r="9379" spans="2:2" ht="23.25" customHeight="1">
      <c r="B9379" s="2669"/>
    </row>
    <row r="9380" spans="2:2" ht="23.25" customHeight="1">
      <c r="B9380" s="2669"/>
    </row>
    <row r="9381" spans="2:2" ht="23.25" customHeight="1">
      <c r="B9381" s="2669"/>
    </row>
    <row r="9382" spans="2:2" ht="23.25" customHeight="1">
      <c r="B9382" s="2669"/>
    </row>
    <row r="9383" spans="2:2" ht="23.25" customHeight="1">
      <c r="B9383" s="2669"/>
    </row>
    <row r="9384" spans="2:2" ht="23.25" customHeight="1">
      <c r="B9384" s="2669"/>
    </row>
    <row r="9385" spans="2:2" ht="23.25" customHeight="1">
      <c r="B9385" s="2669"/>
    </row>
    <row r="9386" spans="2:2" ht="23.25" customHeight="1">
      <c r="B9386" s="2669"/>
    </row>
    <row r="9387" spans="2:2" ht="23.25" customHeight="1">
      <c r="B9387" s="2669"/>
    </row>
    <row r="9388" spans="2:2" ht="23.25" customHeight="1">
      <c r="B9388" s="2669"/>
    </row>
    <row r="9389" spans="2:2" ht="23.25" customHeight="1">
      <c r="B9389" s="2669"/>
    </row>
    <row r="9390" spans="2:2" ht="23.25" customHeight="1">
      <c r="B9390" s="2669"/>
    </row>
    <row r="9391" spans="2:2" ht="23.25" customHeight="1">
      <c r="B9391" s="2669"/>
    </row>
    <row r="9392" spans="2:2" ht="23.25" customHeight="1">
      <c r="B9392" s="2669"/>
    </row>
    <row r="9393" spans="2:2" ht="23.25" customHeight="1">
      <c r="B9393" s="2669"/>
    </row>
    <row r="9394" spans="2:2" ht="23.25" customHeight="1">
      <c r="B9394" s="2669"/>
    </row>
    <row r="9395" spans="2:2" ht="23.25" customHeight="1">
      <c r="B9395" s="2669"/>
    </row>
    <row r="9396" spans="2:2" ht="23.25" customHeight="1">
      <c r="B9396" s="2669"/>
    </row>
    <row r="9397" spans="2:2" ht="23.25" customHeight="1">
      <c r="B9397" s="2669"/>
    </row>
    <row r="9398" spans="2:2" ht="23.25" customHeight="1">
      <c r="B9398" s="2669"/>
    </row>
    <row r="9399" spans="2:2" ht="23.25" customHeight="1">
      <c r="B9399" s="2669"/>
    </row>
    <row r="9400" spans="2:2" ht="23.25" customHeight="1">
      <c r="B9400" s="2669"/>
    </row>
    <row r="9401" spans="2:2" ht="23.25" customHeight="1">
      <c r="B9401" s="2669"/>
    </row>
    <row r="9402" spans="2:2" ht="23.25" customHeight="1">
      <c r="B9402" s="2669"/>
    </row>
    <row r="9403" spans="2:2" ht="23.25" customHeight="1">
      <c r="B9403" s="2669"/>
    </row>
    <row r="9404" spans="2:2" ht="23.25" customHeight="1">
      <c r="B9404" s="2669"/>
    </row>
    <row r="9405" spans="2:2" ht="23.25" customHeight="1">
      <c r="B9405" s="2669"/>
    </row>
    <row r="9406" spans="2:2" ht="23.25" customHeight="1">
      <c r="B9406" s="2669"/>
    </row>
    <row r="9407" spans="2:2" ht="23.25" customHeight="1">
      <c r="B9407" s="2669"/>
    </row>
    <row r="9408" spans="2:2" ht="23.25" customHeight="1">
      <c r="B9408" s="2669"/>
    </row>
    <row r="9409" spans="2:2" ht="23.25" customHeight="1">
      <c r="B9409" s="2669"/>
    </row>
    <row r="9410" spans="2:2" ht="23.25" customHeight="1">
      <c r="B9410" s="2669"/>
    </row>
    <row r="9411" spans="2:2" ht="23.25" customHeight="1">
      <c r="B9411" s="2669"/>
    </row>
    <row r="9412" spans="2:2" ht="23.25" customHeight="1">
      <c r="B9412" s="2669"/>
    </row>
    <row r="9413" spans="2:2" ht="23.25" customHeight="1">
      <c r="B9413" s="2669"/>
    </row>
    <row r="9414" spans="2:2" ht="23.25" customHeight="1">
      <c r="B9414" s="2669"/>
    </row>
    <row r="9415" spans="2:2" ht="23.25" customHeight="1">
      <c r="B9415" s="2669"/>
    </row>
    <row r="9416" spans="2:2" ht="23.25" customHeight="1">
      <c r="B9416" s="2669"/>
    </row>
    <row r="9417" spans="2:2" ht="23.25" customHeight="1">
      <c r="B9417" s="2669"/>
    </row>
    <row r="9418" spans="2:2" ht="23.25" customHeight="1">
      <c r="B9418" s="2669"/>
    </row>
    <row r="9419" spans="2:2" ht="23.25" customHeight="1">
      <c r="B9419" s="2669"/>
    </row>
    <row r="9420" spans="2:2" ht="23.25" customHeight="1">
      <c r="B9420" s="2669"/>
    </row>
    <row r="9421" spans="2:2" ht="23.25" customHeight="1">
      <c r="B9421" s="2669"/>
    </row>
    <row r="9422" spans="2:2" ht="23.25" customHeight="1">
      <c r="B9422" s="2669"/>
    </row>
    <row r="9423" spans="2:2" ht="23.25" customHeight="1">
      <c r="B9423" s="2669"/>
    </row>
    <row r="9424" spans="2:2" ht="23.25" customHeight="1">
      <c r="B9424" s="2669"/>
    </row>
    <row r="9425" spans="2:2" ht="23.25" customHeight="1">
      <c r="B9425" s="2669"/>
    </row>
    <row r="9426" spans="2:2" ht="23.25" customHeight="1">
      <c r="B9426" s="2669"/>
    </row>
    <row r="9427" spans="2:2" ht="23.25" customHeight="1">
      <c r="B9427" s="2669"/>
    </row>
    <row r="9428" spans="2:2" ht="23.25" customHeight="1">
      <c r="B9428" s="2669"/>
    </row>
    <row r="9429" spans="2:2" ht="23.25" customHeight="1">
      <c r="B9429" s="2669"/>
    </row>
    <row r="9430" spans="2:2" ht="23.25" customHeight="1">
      <c r="B9430" s="2669"/>
    </row>
    <row r="9431" spans="2:2" ht="23.25" customHeight="1">
      <c r="B9431" s="2669"/>
    </row>
    <row r="9432" spans="2:2" ht="23.25" customHeight="1">
      <c r="B9432" s="2669"/>
    </row>
    <row r="9433" spans="2:2" ht="23.25" customHeight="1">
      <c r="B9433" s="2669"/>
    </row>
    <row r="9434" spans="2:2" ht="23.25" customHeight="1">
      <c r="B9434" s="2669"/>
    </row>
    <row r="9435" spans="2:2" ht="23.25" customHeight="1">
      <c r="B9435" s="2669"/>
    </row>
    <row r="9436" spans="2:2" ht="23.25" customHeight="1">
      <c r="B9436" s="2669"/>
    </row>
    <row r="9437" spans="2:2" ht="23.25" customHeight="1">
      <c r="B9437" s="2669"/>
    </row>
    <row r="9438" spans="2:2" ht="23.25" customHeight="1">
      <c r="B9438" s="2669"/>
    </row>
    <row r="9439" spans="2:2" ht="23.25" customHeight="1">
      <c r="B9439" s="2669"/>
    </row>
    <row r="9440" spans="2:2" ht="23.25" customHeight="1">
      <c r="B9440" s="2669"/>
    </row>
    <row r="9441" spans="2:2" ht="23.25" customHeight="1">
      <c r="B9441" s="2669"/>
    </row>
    <row r="9442" spans="2:2" ht="23.25" customHeight="1">
      <c r="B9442" s="2669"/>
    </row>
    <row r="9443" spans="2:2" ht="23.25" customHeight="1">
      <c r="B9443" s="2669"/>
    </row>
    <row r="9444" spans="2:2" ht="23.25" customHeight="1">
      <c r="B9444" s="2669"/>
    </row>
    <row r="9445" spans="2:2" ht="23.25" customHeight="1">
      <c r="B9445" s="2669"/>
    </row>
    <row r="9446" spans="2:2" ht="23.25" customHeight="1">
      <c r="B9446" s="2669"/>
    </row>
    <row r="9447" spans="2:2" ht="23.25" customHeight="1">
      <c r="B9447" s="2669"/>
    </row>
    <row r="9448" spans="2:2" ht="23.25" customHeight="1">
      <c r="B9448" s="2669"/>
    </row>
    <row r="9449" spans="2:2" ht="23.25" customHeight="1">
      <c r="B9449" s="2669"/>
    </row>
    <row r="9450" spans="2:2" ht="23.25" customHeight="1">
      <c r="B9450" s="2669"/>
    </row>
    <row r="9451" spans="2:2" ht="23.25" customHeight="1">
      <c r="B9451" s="2669"/>
    </row>
    <row r="9452" spans="2:2" ht="23.25" customHeight="1">
      <c r="B9452" s="2669"/>
    </row>
    <row r="9453" spans="2:2" ht="23.25" customHeight="1">
      <c r="B9453" s="2669"/>
    </row>
    <row r="9454" spans="2:2" ht="23.25" customHeight="1">
      <c r="B9454" s="2669"/>
    </row>
    <row r="9455" spans="2:2" ht="23.25" customHeight="1">
      <c r="B9455" s="2669"/>
    </row>
    <row r="9456" spans="2:2" ht="23.25" customHeight="1">
      <c r="B9456" s="2669"/>
    </row>
    <row r="9457" spans="2:2" ht="23.25" customHeight="1">
      <c r="B9457" s="2669"/>
    </row>
    <row r="9458" spans="2:2" ht="23.25" customHeight="1">
      <c r="B9458" s="2669"/>
    </row>
    <row r="9459" spans="2:2" ht="23.25" customHeight="1">
      <c r="B9459" s="2669"/>
    </row>
    <row r="9460" spans="2:2" ht="23.25" customHeight="1">
      <c r="B9460" s="2669"/>
    </row>
    <row r="9461" spans="2:2" ht="23.25" customHeight="1">
      <c r="B9461" s="2669"/>
    </row>
    <row r="9462" spans="2:2" ht="23.25" customHeight="1">
      <c r="B9462" s="2669"/>
    </row>
    <row r="9463" spans="2:2" ht="23.25" customHeight="1">
      <c r="B9463" s="2669"/>
    </row>
    <row r="9464" spans="2:2" ht="23.25" customHeight="1">
      <c r="B9464" s="2669"/>
    </row>
    <row r="9465" spans="2:2" ht="23.25" customHeight="1">
      <c r="B9465" s="2669"/>
    </row>
    <row r="9466" spans="2:2" ht="23.25" customHeight="1">
      <c r="B9466" s="2669"/>
    </row>
    <row r="9467" spans="2:2" ht="23.25" customHeight="1">
      <c r="B9467" s="2669"/>
    </row>
    <row r="9468" spans="2:2" ht="23.25" customHeight="1">
      <c r="B9468" s="2669"/>
    </row>
    <row r="9469" spans="2:2" ht="23.25" customHeight="1">
      <c r="B9469" s="2669"/>
    </row>
    <row r="9470" spans="2:2" ht="23.25" customHeight="1">
      <c r="B9470" s="2669"/>
    </row>
    <row r="9471" spans="2:2" ht="23.25" customHeight="1">
      <c r="B9471" s="2669"/>
    </row>
    <row r="9472" spans="2:2" ht="23.25" customHeight="1">
      <c r="B9472" s="2669"/>
    </row>
    <row r="9473" spans="2:2" ht="23.25" customHeight="1">
      <c r="B9473" s="2669"/>
    </row>
    <row r="9474" spans="2:2" ht="23.25" customHeight="1">
      <c r="B9474" s="2669"/>
    </row>
    <row r="9475" spans="2:2" ht="23.25" customHeight="1">
      <c r="B9475" s="2669"/>
    </row>
    <row r="9476" spans="2:2" ht="23.25" customHeight="1">
      <c r="B9476" s="2669"/>
    </row>
    <row r="9477" spans="2:2" ht="23.25" customHeight="1">
      <c r="B9477" s="2669"/>
    </row>
    <row r="9478" spans="2:2" ht="23.25" customHeight="1">
      <c r="B9478" s="2669"/>
    </row>
    <row r="9479" spans="2:2" ht="23.25" customHeight="1">
      <c r="B9479" s="2669"/>
    </row>
    <row r="9480" spans="2:2" ht="23.25" customHeight="1">
      <c r="B9480" s="2669"/>
    </row>
    <row r="9481" spans="2:2" ht="23.25" customHeight="1">
      <c r="B9481" s="2669"/>
    </row>
    <row r="9482" spans="2:2" ht="23.25" customHeight="1">
      <c r="B9482" s="2669"/>
    </row>
    <row r="9483" spans="2:2" ht="23.25" customHeight="1">
      <c r="B9483" s="2669"/>
    </row>
    <row r="9484" spans="2:2" ht="23.25" customHeight="1">
      <c r="B9484" s="2669"/>
    </row>
    <row r="9485" spans="2:2" ht="23.25" customHeight="1">
      <c r="B9485" s="2669"/>
    </row>
    <row r="9486" spans="2:2" ht="23.25" customHeight="1">
      <c r="B9486" s="2669"/>
    </row>
    <row r="9487" spans="2:2" ht="23.25" customHeight="1">
      <c r="B9487" s="2669"/>
    </row>
    <row r="9488" spans="2:2" ht="23.25" customHeight="1">
      <c r="B9488" s="2669"/>
    </row>
    <row r="9489" spans="2:2" ht="23.25" customHeight="1">
      <c r="B9489" s="2669"/>
    </row>
    <row r="9490" spans="2:2" ht="23.25" customHeight="1">
      <c r="B9490" s="2669"/>
    </row>
    <row r="9491" spans="2:2" ht="23.25" customHeight="1">
      <c r="B9491" s="2669"/>
    </row>
    <row r="9492" spans="2:2" ht="23.25" customHeight="1">
      <c r="B9492" s="2669"/>
    </row>
    <row r="9493" spans="2:2" ht="23.25" customHeight="1">
      <c r="B9493" s="2669"/>
    </row>
    <row r="9494" spans="2:2" ht="23.25" customHeight="1">
      <c r="B9494" s="2669"/>
    </row>
    <row r="9495" spans="2:2" ht="23.25" customHeight="1">
      <c r="B9495" s="2669"/>
    </row>
    <row r="9496" spans="2:2" ht="23.25" customHeight="1">
      <c r="B9496" s="2669"/>
    </row>
    <row r="9497" spans="2:2" ht="23.25" customHeight="1">
      <c r="B9497" s="2669"/>
    </row>
    <row r="9498" spans="2:2" ht="23.25" customHeight="1">
      <c r="B9498" s="2669"/>
    </row>
    <row r="9499" spans="2:2" ht="23.25" customHeight="1">
      <c r="B9499" s="2669"/>
    </row>
    <row r="9500" spans="2:2" ht="23.25" customHeight="1">
      <c r="B9500" s="2669"/>
    </row>
    <row r="9501" spans="2:2" ht="23.25" customHeight="1">
      <c r="B9501" s="2669"/>
    </row>
    <row r="9502" spans="2:2" ht="23.25" customHeight="1">
      <c r="B9502" s="2669"/>
    </row>
    <row r="9503" spans="2:2" ht="23.25" customHeight="1">
      <c r="B9503" s="2669"/>
    </row>
    <row r="9504" spans="2:2" ht="23.25" customHeight="1">
      <c r="B9504" s="2669"/>
    </row>
    <row r="9505" spans="2:2" ht="23.25" customHeight="1">
      <c r="B9505" s="2669"/>
    </row>
    <row r="9506" spans="2:2" ht="23.25" customHeight="1">
      <c r="B9506" s="2669"/>
    </row>
    <row r="9507" spans="2:2" ht="23.25" customHeight="1">
      <c r="B9507" s="2669"/>
    </row>
    <row r="9508" spans="2:2" ht="23.25" customHeight="1">
      <c r="B9508" s="2669"/>
    </row>
    <row r="9509" spans="2:2" ht="23.25" customHeight="1">
      <c r="B9509" s="2669"/>
    </row>
    <row r="9510" spans="2:2" ht="23.25" customHeight="1">
      <c r="B9510" s="2669"/>
    </row>
    <row r="9511" spans="2:2" ht="23.25" customHeight="1">
      <c r="B9511" s="2669"/>
    </row>
    <row r="9512" spans="2:2" ht="23.25" customHeight="1">
      <c r="B9512" s="2669"/>
    </row>
    <row r="9513" spans="2:2" ht="23.25" customHeight="1">
      <c r="B9513" s="2669"/>
    </row>
    <row r="9514" spans="2:2" ht="23.25" customHeight="1">
      <c r="B9514" s="2669"/>
    </row>
    <row r="9515" spans="2:2" ht="23.25" customHeight="1">
      <c r="B9515" s="2669"/>
    </row>
    <row r="9516" spans="2:2" ht="23.25" customHeight="1">
      <c r="B9516" s="2669"/>
    </row>
    <row r="9517" spans="2:2" ht="23.25" customHeight="1">
      <c r="B9517" s="2669"/>
    </row>
    <row r="9518" spans="2:2" ht="23.25" customHeight="1">
      <c r="B9518" s="2669"/>
    </row>
    <row r="9519" spans="2:2" ht="23.25" customHeight="1">
      <c r="B9519" s="2669"/>
    </row>
    <row r="9520" spans="2:2" ht="23.25" customHeight="1">
      <c r="B9520" s="2669"/>
    </row>
    <row r="9521" spans="2:2" ht="23.25" customHeight="1">
      <c r="B9521" s="2669"/>
    </row>
    <row r="9522" spans="2:2" ht="23.25" customHeight="1">
      <c r="B9522" s="2669"/>
    </row>
    <row r="9523" spans="2:2" ht="23.25" customHeight="1">
      <c r="B9523" s="2669"/>
    </row>
    <row r="9524" spans="2:2" ht="23.25" customHeight="1">
      <c r="B9524" s="2669"/>
    </row>
    <row r="9525" spans="2:2" ht="23.25" customHeight="1">
      <c r="B9525" s="2669"/>
    </row>
    <row r="9526" spans="2:2" ht="23.25" customHeight="1">
      <c r="B9526" s="2669"/>
    </row>
    <row r="9527" spans="2:2" ht="23.25" customHeight="1">
      <c r="B9527" s="2669"/>
    </row>
    <row r="9528" spans="2:2" ht="23.25" customHeight="1">
      <c r="B9528" s="2669"/>
    </row>
    <row r="9529" spans="2:2" ht="23.25" customHeight="1">
      <c r="B9529" s="2669"/>
    </row>
    <row r="9530" spans="2:2" ht="23.25" customHeight="1">
      <c r="B9530" s="2669"/>
    </row>
    <row r="9531" spans="2:2" ht="23.25" customHeight="1">
      <c r="B9531" s="2669"/>
    </row>
    <row r="9532" spans="2:2" ht="23.25" customHeight="1">
      <c r="B9532" s="2669"/>
    </row>
    <row r="9533" spans="2:2" ht="23.25" customHeight="1">
      <c r="B9533" s="2669"/>
    </row>
    <row r="9534" spans="2:2" ht="23.25" customHeight="1">
      <c r="B9534" s="2669"/>
    </row>
    <row r="9535" spans="2:2" ht="23.25" customHeight="1">
      <c r="B9535" s="2669"/>
    </row>
    <row r="9536" spans="2:2" ht="23.25" customHeight="1">
      <c r="B9536" s="2669"/>
    </row>
    <row r="9537" spans="2:2" ht="23.25" customHeight="1">
      <c r="B9537" s="2669"/>
    </row>
    <row r="9538" spans="2:2" ht="23.25" customHeight="1">
      <c r="B9538" s="2669"/>
    </row>
    <row r="9539" spans="2:2" ht="23.25" customHeight="1">
      <c r="B9539" s="2669"/>
    </row>
    <row r="9540" spans="2:2" ht="23.25" customHeight="1">
      <c r="B9540" s="2669"/>
    </row>
    <row r="9541" spans="2:2" ht="23.25" customHeight="1">
      <c r="B9541" s="2669"/>
    </row>
    <row r="9542" spans="2:2" ht="23.25" customHeight="1">
      <c r="B9542" s="2669"/>
    </row>
    <row r="9543" spans="2:2" ht="23.25" customHeight="1">
      <c r="B9543" s="2669"/>
    </row>
    <row r="9544" spans="2:2" ht="23.25" customHeight="1">
      <c r="B9544" s="2669"/>
    </row>
    <row r="9545" spans="2:2" ht="23.25" customHeight="1">
      <c r="B9545" s="2669"/>
    </row>
    <row r="9546" spans="2:2" ht="23.25" customHeight="1">
      <c r="B9546" s="2669"/>
    </row>
    <row r="9547" spans="2:2" ht="23.25" customHeight="1">
      <c r="B9547" s="2669"/>
    </row>
    <row r="9548" spans="2:2" ht="23.25" customHeight="1">
      <c r="B9548" s="2669"/>
    </row>
    <row r="9549" spans="2:2" ht="23.25" customHeight="1">
      <c r="B9549" s="2669"/>
    </row>
    <row r="9550" spans="2:2" ht="23.25" customHeight="1">
      <c r="B9550" s="2669"/>
    </row>
    <row r="9551" spans="2:2" ht="23.25" customHeight="1">
      <c r="B9551" s="2669"/>
    </row>
    <row r="9552" spans="2:2" ht="23.25" customHeight="1">
      <c r="B9552" s="2669"/>
    </row>
    <row r="9553" spans="2:2" ht="23.25" customHeight="1">
      <c r="B9553" s="2669"/>
    </row>
    <row r="9554" spans="2:2" ht="23.25" customHeight="1">
      <c r="B9554" s="2669"/>
    </row>
    <row r="9555" spans="2:2" ht="23.25" customHeight="1">
      <c r="B9555" s="2669"/>
    </row>
    <row r="9556" spans="2:2" ht="23.25" customHeight="1">
      <c r="B9556" s="2669"/>
    </row>
    <row r="9557" spans="2:2" ht="23.25" customHeight="1">
      <c r="B9557" s="2669"/>
    </row>
    <row r="9558" spans="2:2" ht="23.25" customHeight="1">
      <c r="B9558" s="2669"/>
    </row>
    <row r="9559" spans="2:2" ht="23.25" customHeight="1">
      <c r="B9559" s="2669"/>
    </row>
    <row r="9560" spans="2:2" ht="23.25" customHeight="1">
      <c r="B9560" s="2669"/>
    </row>
    <row r="9561" spans="2:2" ht="23.25" customHeight="1">
      <c r="B9561" s="2669"/>
    </row>
    <row r="9562" spans="2:2" ht="23.25" customHeight="1">
      <c r="B9562" s="2669"/>
    </row>
    <row r="9563" spans="2:2" ht="23.25" customHeight="1">
      <c r="B9563" s="2669"/>
    </row>
    <row r="9564" spans="2:2" ht="23.25" customHeight="1">
      <c r="B9564" s="2669"/>
    </row>
    <row r="9565" spans="2:2" ht="23.25" customHeight="1">
      <c r="B9565" s="2669"/>
    </row>
    <row r="9566" spans="2:2" ht="23.25" customHeight="1">
      <c r="B9566" s="2669"/>
    </row>
    <row r="9567" spans="2:2" ht="23.25" customHeight="1">
      <c r="B9567" s="2669"/>
    </row>
    <row r="9568" spans="2:2" ht="23.25" customHeight="1">
      <c r="B9568" s="2669"/>
    </row>
    <row r="9569" spans="2:2" ht="23.25" customHeight="1">
      <c r="B9569" s="2669"/>
    </row>
    <row r="9570" spans="2:2" ht="23.25" customHeight="1">
      <c r="B9570" s="2669"/>
    </row>
    <row r="9571" spans="2:2" ht="23.25" customHeight="1">
      <c r="B9571" s="2669"/>
    </row>
    <row r="9572" spans="2:2" ht="23.25" customHeight="1">
      <c r="B9572" s="2669"/>
    </row>
    <row r="9573" spans="2:2" ht="23.25" customHeight="1">
      <c r="B9573" s="2669"/>
    </row>
    <row r="9574" spans="2:2" ht="23.25" customHeight="1">
      <c r="B9574" s="2669"/>
    </row>
    <row r="9575" spans="2:2" ht="23.25" customHeight="1">
      <c r="B9575" s="2669"/>
    </row>
    <row r="9576" spans="2:2" ht="23.25" customHeight="1">
      <c r="B9576" s="2669"/>
    </row>
    <row r="9577" spans="2:2" ht="23.25" customHeight="1">
      <c r="B9577" s="2669"/>
    </row>
    <row r="9578" spans="2:2" ht="23.25" customHeight="1">
      <c r="B9578" s="2669"/>
    </row>
    <row r="9579" spans="2:2" ht="23.25" customHeight="1">
      <c r="B9579" s="2669"/>
    </row>
    <row r="9580" spans="2:2" ht="23.25" customHeight="1">
      <c r="B9580" s="2669"/>
    </row>
    <row r="9581" spans="2:2" ht="23.25" customHeight="1">
      <c r="B9581" s="2669"/>
    </row>
    <row r="9582" spans="2:2" ht="23.25" customHeight="1">
      <c r="B9582" s="2669"/>
    </row>
    <row r="9583" spans="2:2" ht="23.25" customHeight="1">
      <c r="B9583" s="2669"/>
    </row>
    <row r="9584" spans="2:2" ht="23.25" customHeight="1">
      <c r="B9584" s="2669"/>
    </row>
    <row r="9585" spans="2:2" ht="23.25" customHeight="1">
      <c r="B9585" s="2669"/>
    </row>
    <row r="9586" spans="2:2" ht="23.25" customHeight="1">
      <c r="B9586" s="2669"/>
    </row>
    <row r="9587" spans="2:2" ht="23.25" customHeight="1">
      <c r="B9587" s="2669"/>
    </row>
    <row r="9588" spans="2:2" ht="23.25" customHeight="1">
      <c r="B9588" s="2669"/>
    </row>
    <row r="9589" spans="2:2" ht="23.25" customHeight="1">
      <c r="B9589" s="2669"/>
    </row>
    <row r="9590" spans="2:2" ht="23.25" customHeight="1">
      <c r="B9590" s="2669"/>
    </row>
    <row r="9591" spans="2:2" ht="23.25" customHeight="1">
      <c r="B9591" s="2669"/>
    </row>
    <row r="9592" spans="2:2" ht="23.25" customHeight="1">
      <c r="B9592" s="2669"/>
    </row>
    <row r="9593" spans="2:2" ht="23.25" customHeight="1">
      <c r="B9593" s="2669"/>
    </row>
    <row r="9594" spans="2:2" ht="23.25" customHeight="1">
      <c r="B9594" s="2669"/>
    </row>
    <row r="9595" spans="2:2" ht="23.25" customHeight="1">
      <c r="B9595" s="2669"/>
    </row>
    <row r="9596" spans="2:2" ht="23.25" customHeight="1">
      <c r="B9596" s="2669"/>
    </row>
    <row r="9597" spans="2:2" ht="23.25" customHeight="1">
      <c r="B9597" s="2669"/>
    </row>
    <row r="9598" spans="2:2" ht="23.25" customHeight="1">
      <c r="B9598" s="2669"/>
    </row>
    <row r="9599" spans="2:2" ht="23.25" customHeight="1">
      <c r="B9599" s="2669"/>
    </row>
    <row r="9600" spans="2:2" ht="23.25" customHeight="1">
      <c r="B9600" s="2669"/>
    </row>
    <row r="9601" spans="2:2" ht="23.25" customHeight="1">
      <c r="B9601" s="2669"/>
    </row>
    <row r="9602" spans="2:2" ht="23.25" customHeight="1">
      <c r="B9602" s="2669"/>
    </row>
    <row r="9603" spans="2:2" ht="23.25" customHeight="1">
      <c r="B9603" s="2669"/>
    </row>
    <row r="9604" spans="2:2" ht="23.25" customHeight="1">
      <c r="B9604" s="2669"/>
    </row>
    <row r="9605" spans="2:2" ht="23.25" customHeight="1">
      <c r="B9605" s="2669"/>
    </row>
    <row r="9606" spans="2:2" ht="23.25" customHeight="1">
      <c r="B9606" s="2669"/>
    </row>
    <row r="9607" spans="2:2" ht="23.25" customHeight="1">
      <c r="B9607" s="2669"/>
    </row>
    <row r="9608" spans="2:2" ht="23.25" customHeight="1">
      <c r="B9608" s="2669"/>
    </row>
    <row r="9609" spans="2:2" ht="23.25" customHeight="1">
      <c r="B9609" s="2669"/>
    </row>
    <row r="9610" spans="2:2" ht="23.25" customHeight="1">
      <c r="B9610" s="2669"/>
    </row>
    <row r="9611" spans="2:2" ht="23.25" customHeight="1">
      <c r="B9611" s="2669"/>
    </row>
    <row r="9612" spans="2:2" ht="23.25" customHeight="1">
      <c r="B9612" s="2669"/>
    </row>
    <row r="9613" spans="2:2" ht="23.25" customHeight="1">
      <c r="B9613" s="2669"/>
    </row>
    <row r="9614" spans="2:2" ht="23.25" customHeight="1">
      <c r="B9614" s="2669"/>
    </row>
    <row r="9615" spans="2:2" ht="23.25" customHeight="1">
      <c r="B9615" s="2669"/>
    </row>
    <row r="9616" spans="2:2" ht="23.25" customHeight="1">
      <c r="B9616" s="2669"/>
    </row>
    <row r="9617" spans="2:2" ht="23.25" customHeight="1">
      <c r="B9617" s="2669"/>
    </row>
    <row r="9618" spans="2:2" ht="23.25" customHeight="1">
      <c r="B9618" s="2669"/>
    </row>
    <row r="9619" spans="2:2" ht="23.25" customHeight="1">
      <c r="B9619" s="2669"/>
    </row>
    <row r="9620" spans="2:2" ht="23.25" customHeight="1">
      <c r="B9620" s="2669"/>
    </row>
    <row r="9621" spans="2:2" ht="23.25" customHeight="1">
      <c r="B9621" s="2669"/>
    </row>
    <row r="9622" spans="2:2" ht="23.25" customHeight="1">
      <c r="B9622" s="2669"/>
    </row>
    <row r="9623" spans="2:2" ht="23.25" customHeight="1">
      <c r="B9623" s="2669"/>
    </row>
    <row r="9624" spans="2:2" ht="23.25" customHeight="1">
      <c r="B9624" s="2669"/>
    </row>
    <row r="9625" spans="2:2" ht="23.25" customHeight="1">
      <c r="B9625" s="2669"/>
    </row>
    <row r="9626" spans="2:2" ht="23.25" customHeight="1">
      <c r="B9626" s="2669"/>
    </row>
    <row r="9627" spans="2:2" ht="23.25" customHeight="1">
      <c r="B9627" s="2669"/>
    </row>
    <row r="9628" spans="2:2" ht="23.25" customHeight="1">
      <c r="B9628" s="2669"/>
    </row>
    <row r="9629" spans="2:2" ht="23.25" customHeight="1">
      <c r="B9629" s="2669"/>
    </row>
    <row r="9630" spans="2:2" ht="23.25" customHeight="1">
      <c r="B9630" s="2669"/>
    </row>
    <row r="9631" spans="2:2" ht="23.25" customHeight="1">
      <c r="B9631" s="2669"/>
    </row>
    <row r="9632" spans="2:2" ht="23.25" customHeight="1">
      <c r="B9632" s="2669"/>
    </row>
    <row r="9633" spans="2:2" ht="23.25" customHeight="1">
      <c r="B9633" s="2669"/>
    </row>
    <row r="9634" spans="2:2" ht="23.25" customHeight="1">
      <c r="B9634" s="2669"/>
    </row>
    <row r="9635" spans="2:2" ht="23.25" customHeight="1">
      <c r="B9635" s="2669"/>
    </row>
    <row r="9636" spans="2:2" ht="23.25" customHeight="1">
      <c r="B9636" s="2669"/>
    </row>
    <row r="9637" spans="2:2" ht="23.25" customHeight="1">
      <c r="B9637" s="2669"/>
    </row>
    <row r="9638" spans="2:2" ht="23.25" customHeight="1">
      <c r="B9638" s="2669"/>
    </row>
    <row r="9639" spans="2:2" ht="23.25" customHeight="1">
      <c r="B9639" s="2669"/>
    </row>
    <row r="9640" spans="2:2" ht="23.25" customHeight="1">
      <c r="B9640" s="2669"/>
    </row>
    <row r="9641" spans="2:2" ht="23.25" customHeight="1">
      <c r="B9641" s="2669"/>
    </row>
    <row r="9642" spans="2:2" ht="23.25" customHeight="1">
      <c r="B9642" s="2669"/>
    </row>
    <row r="9643" spans="2:2" ht="23.25" customHeight="1">
      <c r="B9643" s="2669"/>
    </row>
    <row r="9644" spans="2:2" ht="23.25" customHeight="1">
      <c r="B9644" s="2669"/>
    </row>
    <row r="9645" spans="2:2" ht="23.25" customHeight="1">
      <c r="B9645" s="2669"/>
    </row>
    <row r="9646" spans="2:2" ht="23.25" customHeight="1">
      <c r="B9646" s="2669"/>
    </row>
    <row r="9647" spans="2:2" ht="23.25" customHeight="1">
      <c r="B9647" s="2669"/>
    </row>
    <row r="9648" spans="2:2" ht="23.25" customHeight="1">
      <c r="B9648" s="2669"/>
    </row>
    <row r="9649" spans="2:2" ht="23.25" customHeight="1">
      <c r="B9649" s="2669"/>
    </row>
    <row r="9650" spans="2:2" ht="23.25" customHeight="1">
      <c r="B9650" s="2669"/>
    </row>
    <row r="9651" spans="2:2" ht="23.25" customHeight="1">
      <c r="B9651" s="2669"/>
    </row>
    <row r="9652" spans="2:2" ht="23.25" customHeight="1">
      <c r="B9652" s="2669"/>
    </row>
    <row r="9653" spans="2:2" ht="23.25" customHeight="1">
      <c r="B9653" s="2669"/>
    </row>
    <row r="9654" spans="2:2" ht="23.25" customHeight="1">
      <c r="B9654" s="2669"/>
    </row>
    <row r="9655" spans="2:2" ht="23.25" customHeight="1">
      <c r="B9655" s="2669"/>
    </row>
    <row r="9656" spans="2:2" ht="23.25" customHeight="1">
      <c r="B9656" s="2669"/>
    </row>
    <row r="9657" spans="2:2" ht="23.25" customHeight="1">
      <c r="B9657" s="2669"/>
    </row>
    <row r="9658" spans="2:2" ht="23.25" customHeight="1">
      <c r="B9658" s="2669"/>
    </row>
    <row r="9659" spans="2:2" ht="23.25" customHeight="1">
      <c r="B9659" s="2669"/>
    </row>
    <row r="9660" spans="2:2" ht="23.25" customHeight="1">
      <c r="B9660" s="2669"/>
    </row>
    <row r="9661" spans="2:2" ht="23.25" customHeight="1">
      <c r="B9661" s="2669"/>
    </row>
    <row r="9662" spans="2:2" ht="23.25" customHeight="1">
      <c r="B9662" s="2669"/>
    </row>
    <row r="9663" spans="2:2" ht="23.25" customHeight="1">
      <c r="B9663" s="2669"/>
    </row>
    <row r="9664" spans="2:2" ht="23.25" customHeight="1">
      <c r="B9664" s="2669"/>
    </row>
    <row r="9665" spans="2:2" ht="23.25" customHeight="1">
      <c r="B9665" s="2669"/>
    </row>
    <row r="9666" spans="2:2" ht="23.25" customHeight="1">
      <c r="B9666" s="2669"/>
    </row>
    <row r="9667" spans="2:2" ht="23.25" customHeight="1">
      <c r="B9667" s="2669"/>
    </row>
    <row r="9668" spans="2:2" ht="23.25" customHeight="1">
      <c r="B9668" s="2669"/>
    </row>
    <row r="9669" spans="2:2" ht="23.25" customHeight="1">
      <c r="B9669" s="2669"/>
    </row>
    <row r="9670" spans="2:2" ht="23.25" customHeight="1">
      <c r="B9670" s="2669"/>
    </row>
    <row r="9671" spans="2:2" ht="23.25" customHeight="1">
      <c r="B9671" s="2669"/>
    </row>
    <row r="9672" spans="2:2" ht="23.25" customHeight="1">
      <c r="B9672" s="2669"/>
    </row>
    <row r="9673" spans="2:2" ht="23.25" customHeight="1">
      <c r="B9673" s="2669"/>
    </row>
    <row r="9674" spans="2:2" ht="23.25" customHeight="1">
      <c r="B9674" s="2669"/>
    </row>
    <row r="9675" spans="2:2" ht="23.25" customHeight="1">
      <c r="B9675" s="2669"/>
    </row>
    <row r="9676" spans="2:2" ht="23.25" customHeight="1">
      <c r="B9676" s="2669"/>
    </row>
    <row r="9677" spans="2:2" ht="23.25" customHeight="1">
      <c r="B9677" s="2669"/>
    </row>
    <row r="9678" spans="2:2" ht="23.25" customHeight="1">
      <c r="B9678" s="2669"/>
    </row>
    <row r="9679" spans="2:2" ht="23.25" customHeight="1">
      <c r="B9679" s="2669"/>
    </row>
    <row r="9680" spans="2:2" ht="23.25" customHeight="1">
      <c r="B9680" s="2669"/>
    </row>
    <row r="9681" spans="2:2" ht="23.25" customHeight="1">
      <c r="B9681" s="2669"/>
    </row>
    <row r="9682" spans="2:2" ht="23.25" customHeight="1">
      <c r="B9682" s="2669"/>
    </row>
    <row r="9683" spans="2:2" ht="23.25" customHeight="1">
      <c r="B9683" s="2669"/>
    </row>
    <row r="9684" spans="2:2" ht="23.25" customHeight="1">
      <c r="B9684" s="2669"/>
    </row>
    <row r="9685" spans="2:2" ht="23.25" customHeight="1">
      <c r="B9685" s="2669"/>
    </row>
    <row r="9686" spans="2:2" ht="23.25" customHeight="1">
      <c r="B9686" s="2669"/>
    </row>
    <row r="9687" spans="2:2" ht="23.25" customHeight="1">
      <c r="B9687" s="2669"/>
    </row>
    <row r="9688" spans="2:2" ht="23.25" customHeight="1">
      <c r="B9688" s="2669"/>
    </row>
    <row r="9689" spans="2:2" ht="23.25" customHeight="1">
      <c r="B9689" s="2669"/>
    </row>
    <row r="9690" spans="2:2" ht="23.25" customHeight="1">
      <c r="B9690" s="2669"/>
    </row>
    <row r="9691" spans="2:2" ht="23.25" customHeight="1">
      <c r="B9691" s="2669"/>
    </row>
    <row r="9692" spans="2:2" ht="23.25" customHeight="1">
      <c r="B9692" s="2669"/>
    </row>
    <row r="9693" spans="2:2" ht="23.25" customHeight="1">
      <c r="B9693" s="2669"/>
    </row>
    <row r="9694" spans="2:2" ht="23.25" customHeight="1">
      <c r="B9694" s="2669"/>
    </row>
    <row r="9695" spans="2:2" ht="23.25" customHeight="1">
      <c r="B9695" s="2669"/>
    </row>
    <row r="9696" spans="2:2" ht="23.25" customHeight="1">
      <c r="B9696" s="2669"/>
    </row>
    <row r="9697" spans="2:2" ht="23.25" customHeight="1">
      <c r="B9697" s="2669"/>
    </row>
    <row r="9698" spans="2:2" ht="23.25" customHeight="1">
      <c r="B9698" s="2669"/>
    </row>
    <row r="9699" spans="2:2" ht="23.25" customHeight="1">
      <c r="B9699" s="2669"/>
    </row>
    <row r="9700" spans="2:2" ht="23.25" customHeight="1">
      <c r="B9700" s="2669"/>
    </row>
    <row r="9701" spans="2:2" ht="23.25" customHeight="1">
      <c r="B9701" s="2669"/>
    </row>
    <row r="9702" spans="2:2" ht="23.25" customHeight="1">
      <c r="B9702" s="2669"/>
    </row>
    <row r="9703" spans="2:2" ht="23.25" customHeight="1">
      <c r="B9703" s="2669"/>
    </row>
    <row r="9704" spans="2:2" ht="23.25" customHeight="1">
      <c r="B9704" s="2669"/>
    </row>
    <row r="9705" spans="2:2" ht="23.25" customHeight="1">
      <c r="B9705" s="2669"/>
    </row>
    <row r="9706" spans="2:2" ht="23.25" customHeight="1">
      <c r="B9706" s="2669"/>
    </row>
    <row r="9707" spans="2:2" ht="23.25" customHeight="1">
      <c r="B9707" s="2669"/>
    </row>
    <row r="9708" spans="2:2" ht="23.25" customHeight="1">
      <c r="B9708" s="2669"/>
    </row>
    <row r="9709" spans="2:2" ht="23.25" customHeight="1">
      <c r="B9709" s="2669"/>
    </row>
    <row r="9710" spans="2:2" ht="23.25" customHeight="1">
      <c r="B9710" s="2669"/>
    </row>
    <row r="9711" spans="2:2" ht="23.25" customHeight="1">
      <c r="B9711" s="2669"/>
    </row>
    <row r="9712" spans="2:2" ht="23.25" customHeight="1">
      <c r="B9712" s="2669"/>
    </row>
    <row r="9713" spans="2:2" ht="23.25" customHeight="1">
      <c r="B9713" s="2669"/>
    </row>
    <row r="9714" spans="2:2" ht="23.25" customHeight="1">
      <c r="B9714" s="2669"/>
    </row>
    <row r="9715" spans="2:2" ht="23.25" customHeight="1">
      <c r="B9715" s="2669"/>
    </row>
    <row r="9716" spans="2:2" ht="23.25" customHeight="1">
      <c r="B9716" s="2669"/>
    </row>
    <row r="9717" spans="2:2" ht="23.25" customHeight="1">
      <c r="B9717" s="2669"/>
    </row>
    <row r="9718" spans="2:2" ht="23.25" customHeight="1">
      <c r="B9718" s="2669"/>
    </row>
    <row r="9719" spans="2:2" ht="23.25" customHeight="1">
      <c r="B9719" s="2669"/>
    </row>
    <row r="9720" spans="2:2" ht="23.25" customHeight="1">
      <c r="B9720" s="2669"/>
    </row>
    <row r="9721" spans="2:2" ht="23.25" customHeight="1">
      <c r="B9721" s="2669"/>
    </row>
    <row r="9722" spans="2:2" ht="23.25" customHeight="1">
      <c r="B9722" s="2669"/>
    </row>
    <row r="9723" spans="2:2" ht="23.25" customHeight="1">
      <c r="B9723" s="2669"/>
    </row>
    <row r="9724" spans="2:2" ht="23.25" customHeight="1">
      <c r="B9724" s="2669"/>
    </row>
    <row r="9725" spans="2:2" ht="23.25" customHeight="1">
      <c r="B9725" s="2669"/>
    </row>
    <row r="9726" spans="2:2" ht="23.25" customHeight="1">
      <c r="B9726" s="2669"/>
    </row>
    <row r="9727" spans="2:2" ht="23.25" customHeight="1">
      <c r="B9727" s="2669"/>
    </row>
    <row r="9728" spans="2:2" ht="23.25" customHeight="1">
      <c r="B9728" s="2669"/>
    </row>
    <row r="9729" spans="2:2" ht="23.25" customHeight="1">
      <c r="B9729" s="2669"/>
    </row>
    <row r="9730" spans="2:2" ht="23.25" customHeight="1">
      <c r="B9730" s="2669"/>
    </row>
    <row r="9731" spans="2:2" ht="23.25" customHeight="1">
      <c r="B9731" s="2669"/>
    </row>
    <row r="9732" spans="2:2" ht="23.25" customHeight="1">
      <c r="B9732" s="2669"/>
    </row>
    <row r="9733" spans="2:2" ht="23.25" customHeight="1">
      <c r="B9733" s="2669"/>
    </row>
    <row r="9734" spans="2:2" ht="23.25" customHeight="1">
      <c r="B9734" s="2669"/>
    </row>
    <row r="9735" spans="2:2" ht="23.25" customHeight="1">
      <c r="B9735" s="2669"/>
    </row>
    <row r="9736" spans="2:2" ht="23.25" customHeight="1">
      <c r="B9736" s="2669"/>
    </row>
    <row r="9737" spans="2:2" ht="23.25" customHeight="1">
      <c r="B9737" s="2669"/>
    </row>
    <row r="9738" spans="2:2" ht="23.25" customHeight="1">
      <c r="B9738" s="2669"/>
    </row>
    <row r="9739" spans="2:2" ht="23.25" customHeight="1">
      <c r="B9739" s="2669"/>
    </row>
    <row r="9740" spans="2:2" ht="23.25" customHeight="1">
      <c r="B9740" s="2669"/>
    </row>
    <row r="9741" spans="2:2" ht="23.25" customHeight="1">
      <c r="B9741" s="2669"/>
    </row>
    <row r="9742" spans="2:2" ht="23.25" customHeight="1">
      <c r="B9742" s="2669"/>
    </row>
    <row r="9743" spans="2:2" ht="23.25" customHeight="1">
      <c r="B9743" s="2669"/>
    </row>
    <row r="9744" spans="2:2" ht="23.25" customHeight="1">
      <c r="B9744" s="2669"/>
    </row>
    <row r="9745" spans="2:2" ht="23.25" customHeight="1">
      <c r="B9745" s="2669"/>
    </row>
    <row r="9746" spans="2:2" ht="23.25" customHeight="1">
      <c r="B9746" s="2669"/>
    </row>
    <row r="9747" spans="2:2" ht="23.25" customHeight="1">
      <c r="B9747" s="2669"/>
    </row>
    <row r="9748" spans="2:2" ht="23.25" customHeight="1">
      <c r="B9748" s="2669"/>
    </row>
    <row r="9749" spans="2:2" ht="23.25" customHeight="1">
      <c r="B9749" s="2669"/>
    </row>
    <row r="9750" spans="2:2" ht="23.25" customHeight="1">
      <c r="B9750" s="2669"/>
    </row>
    <row r="9751" spans="2:2" ht="23.25" customHeight="1">
      <c r="B9751" s="2669"/>
    </row>
    <row r="9752" spans="2:2" ht="23.25" customHeight="1">
      <c r="B9752" s="2669"/>
    </row>
    <row r="9753" spans="2:2" ht="23.25" customHeight="1">
      <c r="B9753" s="2669"/>
    </row>
    <row r="9754" spans="2:2" ht="23.25" customHeight="1">
      <c r="B9754" s="2669"/>
    </row>
    <row r="9755" spans="2:2" ht="23.25" customHeight="1">
      <c r="B9755" s="2669"/>
    </row>
    <row r="9756" spans="2:2" ht="23.25" customHeight="1">
      <c r="B9756" s="2669"/>
    </row>
    <row r="9757" spans="2:2" ht="23.25" customHeight="1">
      <c r="B9757" s="2669"/>
    </row>
    <row r="9758" spans="2:2" ht="23.25" customHeight="1">
      <c r="B9758" s="2669"/>
    </row>
    <row r="9759" spans="2:2" ht="23.25" customHeight="1">
      <c r="B9759" s="2669"/>
    </row>
    <row r="9760" spans="2:2" ht="23.25" customHeight="1">
      <c r="B9760" s="2669"/>
    </row>
    <row r="9761" spans="2:2" ht="23.25" customHeight="1">
      <c r="B9761" s="2669"/>
    </row>
    <row r="9762" spans="2:2" ht="23.25" customHeight="1">
      <c r="B9762" s="2669"/>
    </row>
    <row r="9763" spans="2:2" ht="23.25" customHeight="1">
      <c r="B9763" s="2669"/>
    </row>
    <row r="9764" spans="2:2" ht="23.25" customHeight="1">
      <c r="B9764" s="2669"/>
    </row>
    <row r="9765" spans="2:2" ht="23.25" customHeight="1">
      <c r="B9765" s="2669"/>
    </row>
    <row r="9766" spans="2:2" ht="23.25" customHeight="1">
      <c r="B9766" s="2669"/>
    </row>
    <row r="9767" spans="2:2" ht="23.25" customHeight="1">
      <c r="B9767" s="2669"/>
    </row>
    <row r="9768" spans="2:2" ht="23.25" customHeight="1">
      <c r="B9768" s="2669"/>
    </row>
    <row r="9769" spans="2:2" ht="23.25" customHeight="1">
      <c r="B9769" s="2669"/>
    </row>
    <row r="9770" spans="2:2" ht="23.25" customHeight="1">
      <c r="B9770" s="2669"/>
    </row>
    <row r="9771" spans="2:2" ht="23.25" customHeight="1">
      <c r="B9771" s="2669"/>
    </row>
    <row r="9772" spans="2:2" ht="23.25" customHeight="1">
      <c r="B9772" s="2669"/>
    </row>
    <row r="9773" spans="2:2" ht="23.25" customHeight="1">
      <c r="B9773" s="2669"/>
    </row>
    <row r="9774" spans="2:2" ht="23.25" customHeight="1">
      <c r="B9774" s="2669"/>
    </row>
    <row r="9775" spans="2:2" ht="23.25" customHeight="1">
      <c r="B9775" s="2669"/>
    </row>
    <row r="9776" spans="2:2" ht="23.25" customHeight="1">
      <c r="B9776" s="2669"/>
    </row>
    <row r="9777" spans="2:2" ht="23.25" customHeight="1">
      <c r="B9777" s="2669"/>
    </row>
    <row r="9778" spans="2:2" ht="23.25" customHeight="1">
      <c r="B9778" s="2669"/>
    </row>
    <row r="9779" spans="2:2" ht="23.25" customHeight="1">
      <c r="B9779" s="2669"/>
    </row>
    <row r="9780" spans="2:2" ht="23.25" customHeight="1">
      <c r="B9780" s="2669"/>
    </row>
    <row r="9781" spans="2:2" ht="23.25" customHeight="1">
      <c r="B9781" s="2669"/>
    </row>
    <row r="9782" spans="2:2" ht="23.25" customHeight="1">
      <c r="B9782" s="2669"/>
    </row>
    <row r="9783" spans="2:2" ht="23.25" customHeight="1">
      <c r="B9783" s="2669"/>
    </row>
    <row r="9784" spans="2:2" ht="23.25" customHeight="1">
      <c r="B9784" s="2669"/>
    </row>
    <row r="9785" spans="2:2" ht="23.25" customHeight="1">
      <c r="B9785" s="2669"/>
    </row>
    <row r="9786" spans="2:2" ht="23.25" customHeight="1">
      <c r="B9786" s="2669"/>
    </row>
    <row r="9787" spans="2:2" ht="23.25" customHeight="1">
      <c r="B9787" s="2669"/>
    </row>
    <row r="9788" spans="2:2" ht="23.25" customHeight="1">
      <c r="B9788" s="2669"/>
    </row>
    <row r="9789" spans="2:2" ht="23.25" customHeight="1">
      <c r="B9789" s="2669"/>
    </row>
    <row r="9790" spans="2:2" ht="23.25" customHeight="1">
      <c r="B9790" s="2669"/>
    </row>
    <row r="9791" spans="2:2" ht="23.25" customHeight="1">
      <c r="B9791" s="2669"/>
    </row>
    <row r="9792" spans="2:2" ht="23.25" customHeight="1">
      <c r="B9792" s="2669"/>
    </row>
    <row r="9793" spans="2:2" ht="23.25" customHeight="1">
      <c r="B9793" s="2669"/>
    </row>
    <row r="9794" spans="2:2" ht="23.25" customHeight="1">
      <c r="B9794" s="2669"/>
    </row>
    <row r="9795" spans="2:2" ht="23.25" customHeight="1">
      <c r="B9795" s="2669"/>
    </row>
    <row r="9796" spans="2:2" ht="23.25" customHeight="1">
      <c r="B9796" s="2669"/>
    </row>
    <row r="9797" spans="2:2" ht="23.25" customHeight="1">
      <c r="B9797" s="2669"/>
    </row>
    <row r="9798" spans="2:2" ht="23.25" customHeight="1">
      <c r="B9798" s="2669"/>
    </row>
    <row r="9799" spans="2:2" ht="23.25" customHeight="1">
      <c r="B9799" s="2669"/>
    </row>
    <row r="9800" spans="2:2" ht="23.25" customHeight="1">
      <c r="B9800" s="2669"/>
    </row>
    <row r="9801" spans="2:2" ht="23.25" customHeight="1">
      <c r="B9801" s="2669"/>
    </row>
    <row r="9802" spans="2:2" ht="23.25" customHeight="1">
      <c r="B9802" s="2669"/>
    </row>
    <row r="9803" spans="2:2" ht="23.25" customHeight="1">
      <c r="B9803" s="2669"/>
    </row>
    <row r="9804" spans="2:2" ht="23.25" customHeight="1">
      <c r="B9804" s="2669"/>
    </row>
    <row r="9805" spans="2:2" ht="23.25" customHeight="1">
      <c r="B9805" s="2669"/>
    </row>
    <row r="9806" spans="2:2" ht="23.25" customHeight="1">
      <c r="B9806" s="2669"/>
    </row>
    <row r="9807" spans="2:2" ht="23.25" customHeight="1">
      <c r="B9807" s="2669"/>
    </row>
    <row r="9808" spans="2:2" ht="23.25" customHeight="1">
      <c r="B9808" s="2669"/>
    </row>
    <row r="9809" spans="2:2" ht="23.25" customHeight="1">
      <c r="B9809" s="2669"/>
    </row>
    <row r="9810" spans="2:2" ht="23.25" customHeight="1">
      <c r="B9810" s="2669"/>
    </row>
    <row r="9811" spans="2:2" ht="23.25" customHeight="1">
      <c r="B9811" s="2669"/>
    </row>
    <row r="9812" spans="2:2" ht="23.25" customHeight="1">
      <c r="B9812" s="2669"/>
    </row>
    <row r="9813" spans="2:2" ht="23.25" customHeight="1">
      <c r="B9813" s="2669"/>
    </row>
    <row r="9814" spans="2:2" ht="23.25" customHeight="1">
      <c r="B9814" s="2669"/>
    </row>
    <row r="9815" spans="2:2" ht="23.25" customHeight="1">
      <c r="B9815" s="2669"/>
    </row>
    <row r="9816" spans="2:2" ht="23.25" customHeight="1">
      <c r="B9816" s="2669"/>
    </row>
    <row r="9817" spans="2:2" ht="23.25" customHeight="1">
      <c r="B9817" s="2669"/>
    </row>
    <row r="9818" spans="2:2" ht="23.25" customHeight="1">
      <c r="B9818" s="2669"/>
    </row>
    <row r="9819" spans="2:2" ht="23.25" customHeight="1">
      <c r="B9819" s="2669"/>
    </row>
    <row r="9820" spans="2:2" ht="23.25" customHeight="1">
      <c r="B9820" s="2669"/>
    </row>
    <row r="9821" spans="2:2" ht="23.25" customHeight="1">
      <c r="B9821" s="2669"/>
    </row>
    <row r="9822" spans="2:2" ht="23.25" customHeight="1">
      <c r="B9822" s="2669"/>
    </row>
    <row r="9823" spans="2:2" ht="23.25" customHeight="1">
      <c r="B9823" s="2669"/>
    </row>
    <row r="9824" spans="2:2" ht="23.25" customHeight="1">
      <c r="B9824" s="2669"/>
    </row>
    <row r="9825" spans="2:2" ht="23.25" customHeight="1">
      <c r="B9825" s="2669"/>
    </row>
    <row r="9826" spans="2:2" ht="23.25" customHeight="1">
      <c r="B9826" s="2669"/>
    </row>
    <row r="9827" spans="2:2" ht="23.25" customHeight="1">
      <c r="B9827" s="2669"/>
    </row>
    <row r="9828" spans="2:2" ht="23.25" customHeight="1">
      <c r="B9828" s="2669"/>
    </row>
    <row r="9829" spans="2:2" ht="23.25" customHeight="1">
      <c r="B9829" s="2669"/>
    </row>
    <row r="9830" spans="2:2" ht="23.25" customHeight="1">
      <c r="B9830" s="2669"/>
    </row>
    <row r="9831" spans="2:2" ht="23.25" customHeight="1">
      <c r="B9831" s="2669"/>
    </row>
    <row r="9832" spans="2:2" ht="23.25" customHeight="1">
      <c r="B9832" s="2669"/>
    </row>
    <row r="9833" spans="2:2" ht="23.25" customHeight="1">
      <c r="B9833" s="2669"/>
    </row>
    <row r="9834" spans="2:2" ht="23.25" customHeight="1">
      <c r="B9834" s="2669"/>
    </row>
    <row r="9835" spans="2:2" ht="23.25" customHeight="1">
      <c r="B9835" s="2669"/>
    </row>
    <row r="9836" spans="2:2" ht="23.25" customHeight="1">
      <c r="B9836" s="2669"/>
    </row>
    <row r="9837" spans="2:2" ht="23.25" customHeight="1">
      <c r="B9837" s="2669"/>
    </row>
    <row r="9838" spans="2:2" ht="23.25" customHeight="1">
      <c r="B9838" s="2669"/>
    </row>
    <row r="9839" spans="2:2" ht="23.25" customHeight="1">
      <c r="B9839" s="2669"/>
    </row>
    <row r="9840" spans="2:2" ht="23.25" customHeight="1">
      <c r="B9840" s="2669"/>
    </row>
    <row r="9841" spans="2:2" ht="23.25" customHeight="1">
      <c r="B9841" s="2669"/>
    </row>
    <row r="9842" spans="2:2" ht="23.25" customHeight="1">
      <c r="B9842" s="2669"/>
    </row>
    <row r="9843" spans="2:2" ht="23.25" customHeight="1">
      <c r="B9843" s="2669"/>
    </row>
    <row r="9844" spans="2:2" ht="23.25" customHeight="1">
      <c r="B9844" s="2669"/>
    </row>
    <row r="9845" spans="2:2" ht="23.25" customHeight="1">
      <c r="B9845" s="2669"/>
    </row>
    <row r="9846" spans="2:2" ht="23.25" customHeight="1">
      <c r="B9846" s="2669"/>
    </row>
    <row r="9847" spans="2:2" ht="23.25" customHeight="1">
      <c r="B9847" s="2669"/>
    </row>
    <row r="9848" spans="2:2" ht="23.25" customHeight="1">
      <c r="B9848" s="2669"/>
    </row>
    <row r="9849" spans="2:2" ht="23.25" customHeight="1">
      <c r="B9849" s="2669"/>
    </row>
    <row r="9850" spans="2:2" ht="23.25" customHeight="1">
      <c r="B9850" s="2669"/>
    </row>
    <row r="9851" spans="2:2" ht="23.25" customHeight="1">
      <c r="B9851" s="2669"/>
    </row>
    <row r="9852" spans="2:2" ht="23.25" customHeight="1">
      <c r="B9852" s="2669"/>
    </row>
    <row r="9853" spans="2:2" ht="23.25" customHeight="1">
      <c r="B9853" s="2669"/>
    </row>
    <row r="9854" spans="2:2" ht="23.25" customHeight="1">
      <c r="B9854" s="2669"/>
    </row>
    <row r="9855" spans="2:2" ht="23.25" customHeight="1">
      <c r="B9855" s="2669"/>
    </row>
    <row r="9856" spans="2:2" ht="23.25" customHeight="1">
      <c r="B9856" s="2669"/>
    </row>
    <row r="9857" spans="2:2" ht="23.25" customHeight="1">
      <c r="B9857" s="2669"/>
    </row>
    <row r="9858" spans="2:2" ht="23.25" customHeight="1">
      <c r="B9858" s="2669"/>
    </row>
    <row r="9859" spans="2:2" ht="23.25" customHeight="1">
      <c r="B9859" s="2669"/>
    </row>
    <row r="9860" spans="2:2" ht="23.25" customHeight="1">
      <c r="B9860" s="2669"/>
    </row>
    <row r="9861" spans="2:2" ht="23.25" customHeight="1">
      <c r="B9861" s="2669"/>
    </row>
    <row r="9862" spans="2:2" ht="23.25" customHeight="1">
      <c r="B9862" s="2669"/>
    </row>
    <row r="9863" spans="2:2" ht="23.25" customHeight="1">
      <c r="B9863" s="2669"/>
    </row>
    <row r="9864" spans="2:2" ht="23.25" customHeight="1">
      <c r="B9864" s="2669"/>
    </row>
    <row r="9865" spans="2:2" ht="23.25" customHeight="1">
      <c r="B9865" s="2669"/>
    </row>
    <row r="9866" spans="2:2" ht="23.25" customHeight="1">
      <c r="B9866" s="2669"/>
    </row>
    <row r="9867" spans="2:2" ht="23.25" customHeight="1">
      <c r="B9867" s="2669"/>
    </row>
    <row r="9868" spans="2:2" ht="23.25" customHeight="1">
      <c r="B9868" s="2669"/>
    </row>
    <row r="9869" spans="2:2" ht="23.25" customHeight="1">
      <c r="B9869" s="2669"/>
    </row>
    <row r="9870" spans="2:2" ht="23.25" customHeight="1">
      <c r="B9870" s="2669"/>
    </row>
    <row r="9871" spans="2:2" ht="23.25" customHeight="1">
      <c r="B9871" s="2669"/>
    </row>
    <row r="9872" spans="2:2" ht="23.25" customHeight="1">
      <c r="B9872" s="2669"/>
    </row>
    <row r="9873" spans="2:2" ht="23.25" customHeight="1">
      <c r="B9873" s="2669"/>
    </row>
    <row r="9874" spans="2:2" ht="23.25" customHeight="1">
      <c r="B9874" s="2669"/>
    </row>
    <row r="9875" spans="2:2" ht="23.25" customHeight="1">
      <c r="B9875" s="2669"/>
    </row>
    <row r="9876" spans="2:2" ht="23.25" customHeight="1">
      <c r="B9876" s="2669"/>
    </row>
    <row r="9877" spans="2:2" ht="23.25" customHeight="1">
      <c r="B9877" s="2669"/>
    </row>
    <row r="9878" spans="2:2" ht="23.25" customHeight="1">
      <c r="B9878" s="2669"/>
    </row>
    <row r="9879" spans="2:2" ht="23.25" customHeight="1">
      <c r="B9879" s="2669"/>
    </row>
    <row r="9880" spans="2:2" ht="23.25" customHeight="1">
      <c r="B9880" s="2669"/>
    </row>
    <row r="9881" spans="2:2" ht="23.25" customHeight="1">
      <c r="B9881" s="2669"/>
    </row>
    <row r="9882" spans="2:2" ht="23.25" customHeight="1">
      <c r="B9882" s="2669"/>
    </row>
    <row r="9883" spans="2:2" ht="23.25" customHeight="1">
      <c r="B9883" s="2669"/>
    </row>
    <row r="9884" spans="2:2" ht="23.25" customHeight="1">
      <c r="B9884" s="2669"/>
    </row>
    <row r="9885" spans="2:2" ht="23.25" customHeight="1">
      <c r="B9885" s="2669"/>
    </row>
    <row r="9886" spans="2:2" ht="23.25" customHeight="1">
      <c r="B9886" s="2669"/>
    </row>
    <row r="9887" spans="2:2" ht="23.25" customHeight="1">
      <c r="B9887" s="2669"/>
    </row>
    <row r="9888" spans="2:2" ht="23.25" customHeight="1">
      <c r="B9888" s="2669"/>
    </row>
    <row r="9889" spans="2:2" ht="23.25" customHeight="1">
      <c r="B9889" s="2669"/>
    </row>
    <row r="9890" spans="2:2" ht="23.25" customHeight="1">
      <c r="B9890" s="2669"/>
    </row>
    <row r="9891" spans="2:2" ht="23.25" customHeight="1">
      <c r="B9891" s="2669"/>
    </row>
    <row r="9892" spans="2:2" ht="23.25" customHeight="1">
      <c r="B9892" s="2669"/>
    </row>
    <row r="9893" spans="2:2" ht="23.25" customHeight="1">
      <c r="B9893" s="2669"/>
    </row>
    <row r="9894" spans="2:2" ht="23.25" customHeight="1">
      <c r="B9894" s="2669"/>
    </row>
    <row r="9895" spans="2:2" ht="23.25" customHeight="1">
      <c r="B9895" s="2669"/>
    </row>
    <row r="9896" spans="2:2" ht="23.25" customHeight="1">
      <c r="B9896" s="2669"/>
    </row>
    <row r="9897" spans="2:2" ht="23.25" customHeight="1">
      <c r="B9897" s="2669"/>
    </row>
    <row r="9898" spans="2:2" ht="23.25" customHeight="1">
      <c r="B9898" s="2669"/>
    </row>
    <row r="9899" spans="2:2" ht="23.25" customHeight="1">
      <c r="B9899" s="2669"/>
    </row>
    <row r="9900" spans="2:2" ht="23.25" customHeight="1">
      <c r="B9900" s="2669"/>
    </row>
    <row r="9901" spans="2:2" ht="23.25" customHeight="1">
      <c r="B9901" s="2669"/>
    </row>
    <row r="9902" spans="2:2" ht="23.25" customHeight="1">
      <c r="B9902" s="2669"/>
    </row>
    <row r="9903" spans="2:2" ht="23.25" customHeight="1">
      <c r="B9903" s="2669"/>
    </row>
    <row r="9904" spans="2:2" ht="23.25" customHeight="1">
      <c r="B9904" s="2669"/>
    </row>
    <row r="9905" spans="2:2" ht="23.25" customHeight="1">
      <c r="B9905" s="2669"/>
    </row>
    <row r="9906" spans="2:2" ht="23.25" customHeight="1">
      <c r="B9906" s="2669"/>
    </row>
    <row r="9907" spans="2:2" ht="23.25" customHeight="1">
      <c r="B9907" s="2669"/>
    </row>
    <row r="9908" spans="2:2" ht="23.25" customHeight="1">
      <c r="B9908" s="2669"/>
    </row>
    <row r="9909" spans="2:2" ht="23.25" customHeight="1">
      <c r="B9909" s="2669"/>
    </row>
    <row r="9910" spans="2:2" ht="23.25" customHeight="1">
      <c r="B9910" s="2669"/>
    </row>
    <row r="9911" spans="2:2" ht="23.25" customHeight="1">
      <c r="B9911" s="2669"/>
    </row>
    <row r="9912" spans="2:2" ht="23.25" customHeight="1">
      <c r="B9912" s="2669"/>
    </row>
    <row r="9913" spans="2:2" ht="23.25" customHeight="1">
      <c r="B9913" s="2669"/>
    </row>
    <row r="9914" spans="2:2" ht="23.25" customHeight="1">
      <c r="B9914" s="2669"/>
    </row>
    <row r="9915" spans="2:2" ht="23.25" customHeight="1">
      <c r="B9915" s="2669"/>
    </row>
    <row r="9916" spans="2:2" ht="23.25" customHeight="1">
      <c r="B9916" s="2669"/>
    </row>
    <row r="9917" spans="2:2" ht="23.25" customHeight="1">
      <c r="B9917" s="2669"/>
    </row>
    <row r="9918" spans="2:2" ht="23.25" customHeight="1">
      <c r="B9918" s="2669"/>
    </row>
    <row r="9919" spans="2:2" ht="23.25" customHeight="1">
      <c r="B9919" s="2669"/>
    </row>
    <row r="9920" spans="2:2" ht="23.25" customHeight="1">
      <c r="B9920" s="2669"/>
    </row>
    <row r="9921" spans="2:2" ht="23.25" customHeight="1">
      <c r="B9921" s="2669"/>
    </row>
    <row r="9922" spans="2:2" ht="23.25" customHeight="1">
      <c r="B9922" s="2669"/>
    </row>
    <row r="9923" spans="2:2" ht="23.25" customHeight="1">
      <c r="B9923" s="2669"/>
    </row>
    <row r="9924" spans="2:2" ht="23.25" customHeight="1">
      <c r="B9924" s="2669"/>
    </row>
    <row r="9925" spans="2:2" ht="23.25" customHeight="1">
      <c r="B9925" s="2669"/>
    </row>
    <row r="9926" spans="2:2" ht="23.25" customHeight="1">
      <c r="B9926" s="2669"/>
    </row>
    <row r="9927" spans="2:2" ht="23.25" customHeight="1">
      <c r="B9927" s="2669"/>
    </row>
    <row r="9928" spans="2:2" ht="23.25" customHeight="1">
      <c r="B9928" s="2669"/>
    </row>
    <row r="9929" spans="2:2" ht="23.25" customHeight="1">
      <c r="B9929" s="2669"/>
    </row>
    <row r="9930" spans="2:2" ht="23.25" customHeight="1">
      <c r="B9930" s="2669"/>
    </row>
    <row r="9931" spans="2:2" ht="23.25" customHeight="1">
      <c r="B9931" s="2669"/>
    </row>
    <row r="9932" spans="2:2" ht="23.25" customHeight="1">
      <c r="B9932" s="2669"/>
    </row>
    <row r="9933" spans="2:2" ht="23.25" customHeight="1">
      <c r="B9933" s="2669"/>
    </row>
    <row r="9934" spans="2:2" ht="23.25" customHeight="1">
      <c r="B9934" s="2669"/>
    </row>
    <row r="9935" spans="2:2" ht="23.25" customHeight="1">
      <c r="B9935" s="2669"/>
    </row>
    <row r="9936" spans="2:2" ht="23.25" customHeight="1">
      <c r="B9936" s="2669"/>
    </row>
    <row r="9937" spans="2:2" ht="23.25" customHeight="1">
      <c r="B9937" s="2669"/>
    </row>
    <row r="9938" spans="2:2" ht="23.25" customHeight="1">
      <c r="B9938" s="2669"/>
    </row>
    <row r="9939" spans="2:2" ht="23.25" customHeight="1">
      <c r="B9939" s="2669"/>
    </row>
    <row r="9940" spans="2:2" ht="23.25" customHeight="1">
      <c r="B9940" s="2669"/>
    </row>
    <row r="9941" spans="2:2" ht="23.25" customHeight="1">
      <c r="B9941" s="2669"/>
    </row>
    <row r="9942" spans="2:2" ht="23.25" customHeight="1">
      <c r="B9942" s="2669"/>
    </row>
    <row r="9943" spans="2:2" ht="23.25" customHeight="1">
      <c r="B9943" s="2669"/>
    </row>
    <row r="9944" spans="2:2" ht="23.25" customHeight="1">
      <c r="B9944" s="2669"/>
    </row>
    <row r="9945" spans="2:2" ht="23.25" customHeight="1">
      <c r="B9945" s="2669"/>
    </row>
    <row r="9946" spans="2:2" ht="23.25" customHeight="1">
      <c r="B9946" s="2669"/>
    </row>
    <row r="9947" spans="2:2" ht="23.25" customHeight="1">
      <c r="B9947" s="2669"/>
    </row>
    <row r="9948" spans="2:2" ht="23.25" customHeight="1">
      <c r="B9948" s="2669"/>
    </row>
    <row r="9949" spans="2:2" ht="23.25" customHeight="1">
      <c r="B9949" s="2669"/>
    </row>
    <row r="9950" spans="2:2" ht="23.25" customHeight="1">
      <c r="B9950" s="2669"/>
    </row>
    <row r="9951" spans="2:2" ht="23.25" customHeight="1">
      <c r="B9951" s="2669"/>
    </row>
    <row r="9952" spans="2:2" ht="23.25" customHeight="1">
      <c r="B9952" s="2669"/>
    </row>
    <row r="9953" spans="2:2" ht="23.25" customHeight="1">
      <c r="B9953" s="2669"/>
    </row>
    <row r="9954" spans="2:2" ht="23.25" customHeight="1">
      <c r="B9954" s="2669"/>
    </row>
    <row r="9955" spans="2:2" ht="23.25" customHeight="1">
      <c r="B9955" s="2669"/>
    </row>
    <row r="9956" spans="2:2" ht="23.25" customHeight="1">
      <c r="B9956" s="2669"/>
    </row>
    <row r="9957" spans="2:2" ht="23.25" customHeight="1">
      <c r="B9957" s="2669"/>
    </row>
    <row r="9958" spans="2:2" ht="23.25" customHeight="1">
      <c r="B9958" s="2669"/>
    </row>
    <row r="9959" spans="2:2" ht="23.25" customHeight="1">
      <c r="B9959" s="2669"/>
    </row>
    <row r="9960" spans="2:2" ht="23.25" customHeight="1">
      <c r="B9960" s="2669"/>
    </row>
    <row r="9961" spans="2:2" ht="23.25" customHeight="1">
      <c r="B9961" s="2669"/>
    </row>
    <row r="9962" spans="2:2" ht="23.25" customHeight="1">
      <c r="B9962" s="2669"/>
    </row>
    <row r="9963" spans="2:2" ht="23.25" customHeight="1">
      <c r="B9963" s="2669"/>
    </row>
    <row r="9964" spans="2:2" ht="23.25" customHeight="1">
      <c r="B9964" s="2669"/>
    </row>
    <row r="9965" spans="2:2" ht="23.25" customHeight="1">
      <c r="B9965" s="2669"/>
    </row>
    <row r="9966" spans="2:2" ht="23.25" customHeight="1">
      <c r="B9966" s="2669"/>
    </row>
    <row r="9967" spans="2:2" ht="23.25" customHeight="1">
      <c r="B9967" s="2669"/>
    </row>
    <row r="9968" spans="2:2" ht="23.25" customHeight="1">
      <c r="B9968" s="2669"/>
    </row>
    <row r="9969" spans="2:2" ht="23.25" customHeight="1">
      <c r="B9969" s="2669"/>
    </row>
    <row r="9970" spans="2:2" ht="23.25" customHeight="1">
      <c r="B9970" s="2669"/>
    </row>
    <row r="9971" spans="2:2" ht="23.25" customHeight="1">
      <c r="B9971" s="2669"/>
    </row>
    <row r="9972" spans="2:2" ht="23.25" customHeight="1">
      <c r="B9972" s="2669"/>
    </row>
    <row r="9973" spans="2:2" ht="23.25" customHeight="1">
      <c r="B9973" s="2669"/>
    </row>
    <row r="9974" spans="2:2" ht="23.25" customHeight="1">
      <c r="B9974" s="2669"/>
    </row>
    <row r="9975" spans="2:2" ht="23.25" customHeight="1">
      <c r="B9975" s="2669"/>
    </row>
    <row r="9976" spans="2:2" ht="23.25" customHeight="1">
      <c r="B9976" s="2669"/>
    </row>
    <row r="9977" spans="2:2" ht="23.25" customHeight="1">
      <c r="B9977" s="2669"/>
    </row>
    <row r="9978" spans="2:2" ht="23.25" customHeight="1">
      <c r="B9978" s="2669"/>
    </row>
    <row r="9979" spans="2:2" ht="23.25" customHeight="1">
      <c r="B9979" s="2669"/>
    </row>
    <row r="9980" spans="2:2" ht="23.25" customHeight="1">
      <c r="B9980" s="2669"/>
    </row>
    <row r="9981" spans="2:2" ht="23.25" customHeight="1">
      <c r="B9981" s="2669"/>
    </row>
    <row r="9982" spans="2:2" ht="23.25" customHeight="1">
      <c r="B9982" s="2669"/>
    </row>
    <row r="9983" spans="2:2" ht="23.25" customHeight="1">
      <c r="B9983" s="2669"/>
    </row>
    <row r="9984" spans="2:2" ht="23.25" customHeight="1">
      <c r="B9984" s="2669"/>
    </row>
    <row r="9985" spans="2:2" ht="23.25" customHeight="1">
      <c r="B9985" s="2669"/>
    </row>
    <row r="9986" spans="2:2" ht="23.25" customHeight="1">
      <c r="B9986" s="2669"/>
    </row>
    <row r="9987" spans="2:2" ht="23.25" customHeight="1">
      <c r="B9987" s="2669"/>
    </row>
    <row r="9988" spans="2:2" ht="23.25" customHeight="1">
      <c r="B9988" s="2669"/>
    </row>
    <row r="9989" spans="2:2" ht="23.25" customHeight="1">
      <c r="B9989" s="2669"/>
    </row>
    <row r="9990" spans="2:2" ht="23.25" customHeight="1">
      <c r="B9990" s="2669"/>
    </row>
    <row r="9991" spans="2:2" ht="23.25" customHeight="1">
      <c r="B9991" s="2669"/>
    </row>
    <row r="9992" spans="2:2" ht="23.25" customHeight="1">
      <c r="B9992" s="2669"/>
    </row>
    <row r="9993" spans="2:2" ht="23.25" customHeight="1">
      <c r="B9993" s="2669"/>
    </row>
    <row r="9994" spans="2:2" ht="23.25" customHeight="1">
      <c r="B9994" s="2669"/>
    </row>
    <row r="9995" spans="2:2" ht="23.25" customHeight="1">
      <c r="B9995" s="2669"/>
    </row>
    <row r="9996" spans="2:2" ht="23.25" customHeight="1">
      <c r="B9996" s="2669"/>
    </row>
    <row r="9997" spans="2:2" ht="23.25" customHeight="1">
      <c r="B9997" s="2669"/>
    </row>
    <row r="9998" spans="2:2" ht="23.25" customHeight="1">
      <c r="B9998" s="2669"/>
    </row>
    <row r="9999" spans="2:2" ht="23.25" customHeight="1">
      <c r="B9999" s="2669"/>
    </row>
    <row r="10000" spans="2:2" ht="23.25" customHeight="1">
      <c r="B10000" s="2669"/>
    </row>
    <row r="10001" spans="2:2" ht="23.25" customHeight="1">
      <c r="B10001" s="2669"/>
    </row>
    <row r="10002" spans="2:2" ht="23.25" customHeight="1">
      <c r="B10002" s="2669"/>
    </row>
    <row r="10003" spans="2:2" ht="23.25" customHeight="1">
      <c r="B10003" s="2669"/>
    </row>
    <row r="10004" spans="2:2" ht="23.25" customHeight="1">
      <c r="B10004" s="2669"/>
    </row>
    <row r="10005" spans="2:2" ht="23.25" customHeight="1">
      <c r="B10005" s="2669"/>
    </row>
    <row r="10006" spans="2:2" ht="23.25" customHeight="1">
      <c r="B10006" s="2669"/>
    </row>
    <row r="10007" spans="2:2" ht="23.25" customHeight="1">
      <c r="B10007" s="2669"/>
    </row>
    <row r="10008" spans="2:2" ht="23.25" customHeight="1">
      <c r="B10008" s="2669"/>
    </row>
    <row r="10009" spans="2:2" ht="23.25" customHeight="1">
      <c r="B10009" s="2669"/>
    </row>
    <row r="10010" spans="2:2" ht="23.25" customHeight="1">
      <c r="B10010" s="2669"/>
    </row>
    <row r="10011" spans="2:2" ht="23.25" customHeight="1">
      <c r="B10011" s="2669"/>
    </row>
    <row r="10012" spans="2:2" ht="23.25" customHeight="1">
      <c r="B10012" s="2669"/>
    </row>
    <row r="10013" spans="2:2" ht="23.25" customHeight="1">
      <c r="B10013" s="2669"/>
    </row>
    <row r="10014" spans="2:2" ht="23.25" customHeight="1">
      <c r="B10014" s="2669"/>
    </row>
    <row r="10015" spans="2:2" ht="23.25" customHeight="1">
      <c r="B10015" s="2669"/>
    </row>
    <row r="10016" spans="2:2" ht="23.25" customHeight="1">
      <c r="B10016" s="2669"/>
    </row>
    <row r="10017" spans="2:2" ht="23.25" customHeight="1">
      <c r="B10017" s="2669"/>
    </row>
    <row r="10018" spans="2:2" ht="23.25" customHeight="1">
      <c r="B10018" s="2669"/>
    </row>
    <row r="10019" spans="2:2" ht="23.25" customHeight="1">
      <c r="B10019" s="2669"/>
    </row>
    <row r="10020" spans="2:2" ht="23.25" customHeight="1">
      <c r="B10020" s="2669"/>
    </row>
    <row r="10021" spans="2:2" ht="23.25" customHeight="1">
      <c r="B10021" s="2669"/>
    </row>
    <row r="10022" spans="2:2" ht="23.25" customHeight="1">
      <c r="B10022" s="2669"/>
    </row>
    <row r="10023" spans="2:2" ht="23.25" customHeight="1">
      <c r="B10023" s="2669"/>
    </row>
    <row r="10024" spans="2:2" ht="23.25" customHeight="1">
      <c r="B10024" s="2669"/>
    </row>
    <row r="10025" spans="2:2" ht="23.25" customHeight="1">
      <c r="B10025" s="2669"/>
    </row>
    <row r="10026" spans="2:2" ht="23.25" customHeight="1">
      <c r="B10026" s="2669"/>
    </row>
    <row r="10027" spans="2:2" ht="23.25" customHeight="1">
      <c r="B10027" s="2669"/>
    </row>
    <row r="10028" spans="2:2" ht="23.25" customHeight="1">
      <c r="B10028" s="2669"/>
    </row>
    <row r="10029" spans="2:2" ht="23.25" customHeight="1">
      <c r="B10029" s="2669"/>
    </row>
    <row r="10030" spans="2:2" ht="23.25" customHeight="1">
      <c r="B10030" s="2669"/>
    </row>
    <row r="10031" spans="2:2" ht="23.25" customHeight="1">
      <c r="B10031" s="2669"/>
    </row>
    <row r="10032" spans="2:2" ht="23.25" customHeight="1">
      <c r="B10032" s="2669"/>
    </row>
    <row r="10033" spans="2:2" ht="23.25" customHeight="1">
      <c r="B10033" s="2669"/>
    </row>
    <row r="10034" spans="2:2" ht="23.25" customHeight="1">
      <c r="B10034" s="2669"/>
    </row>
    <row r="10035" spans="2:2" ht="23.25" customHeight="1">
      <c r="B10035" s="2669"/>
    </row>
    <row r="10036" spans="2:2" ht="23.25" customHeight="1">
      <c r="B10036" s="2669"/>
    </row>
    <row r="10037" spans="2:2" ht="23.25" customHeight="1">
      <c r="B10037" s="2669"/>
    </row>
    <row r="10038" spans="2:2" ht="23.25" customHeight="1">
      <c r="B10038" s="2669"/>
    </row>
    <row r="10039" spans="2:2" ht="23.25" customHeight="1">
      <c r="B10039" s="2669"/>
    </row>
    <row r="10040" spans="2:2" ht="23.25" customHeight="1">
      <c r="B10040" s="2669"/>
    </row>
    <row r="10041" spans="2:2" ht="23.25" customHeight="1">
      <c r="B10041" s="2669"/>
    </row>
    <row r="10042" spans="2:2" ht="23.25" customHeight="1">
      <c r="B10042" s="2669"/>
    </row>
    <row r="10043" spans="2:2" ht="23.25" customHeight="1">
      <c r="B10043" s="2669"/>
    </row>
    <row r="10044" spans="2:2" ht="23.25" customHeight="1">
      <c r="B10044" s="2669"/>
    </row>
    <row r="10045" spans="2:2" ht="23.25" customHeight="1">
      <c r="B10045" s="2669"/>
    </row>
    <row r="10046" spans="2:2" ht="23.25" customHeight="1">
      <c r="B10046" s="2669"/>
    </row>
    <row r="10047" spans="2:2" ht="23.25" customHeight="1">
      <c r="B10047" s="2669"/>
    </row>
    <row r="10048" spans="2:2" ht="23.25" customHeight="1">
      <c r="B10048" s="2669"/>
    </row>
    <row r="10049" spans="2:2" ht="23.25" customHeight="1">
      <c r="B10049" s="2669"/>
    </row>
    <row r="10050" spans="2:2" ht="23.25" customHeight="1">
      <c r="B10050" s="2669"/>
    </row>
    <row r="10051" spans="2:2" ht="23.25" customHeight="1">
      <c r="B10051" s="2669"/>
    </row>
    <row r="10052" spans="2:2" ht="23.25" customHeight="1">
      <c r="B10052" s="2669"/>
    </row>
    <row r="10053" spans="2:2" ht="23.25" customHeight="1">
      <c r="B10053" s="2669"/>
    </row>
    <row r="10054" spans="2:2" ht="23.25" customHeight="1">
      <c r="B10054" s="2669"/>
    </row>
    <row r="10055" spans="2:2" ht="23.25" customHeight="1">
      <c r="B10055" s="2669"/>
    </row>
    <row r="10056" spans="2:2" ht="23.25" customHeight="1">
      <c r="B10056" s="2669"/>
    </row>
    <row r="10057" spans="2:2" ht="23.25" customHeight="1">
      <c r="B10057" s="2669"/>
    </row>
    <row r="10058" spans="2:2" ht="23.25" customHeight="1">
      <c r="B10058" s="2669"/>
    </row>
    <row r="10059" spans="2:2" ht="23.25" customHeight="1">
      <c r="B10059" s="2669"/>
    </row>
    <row r="10060" spans="2:2" ht="23.25" customHeight="1">
      <c r="B10060" s="2669"/>
    </row>
    <row r="10061" spans="2:2" ht="23.25" customHeight="1">
      <c r="B10061" s="2669"/>
    </row>
    <row r="10062" spans="2:2" ht="23.25" customHeight="1">
      <c r="B10062" s="2669"/>
    </row>
    <row r="10063" spans="2:2" ht="23.25" customHeight="1">
      <c r="B10063" s="2669"/>
    </row>
    <row r="10064" spans="2:2" ht="23.25" customHeight="1">
      <c r="B10064" s="2669"/>
    </row>
    <row r="10065" spans="2:2" ht="23.25" customHeight="1">
      <c r="B10065" s="2669"/>
    </row>
    <row r="10066" spans="2:2" ht="23.25" customHeight="1">
      <c r="B10066" s="2669"/>
    </row>
    <row r="10067" spans="2:2" ht="23.25" customHeight="1">
      <c r="B10067" s="2669"/>
    </row>
    <row r="10068" spans="2:2" ht="23.25" customHeight="1">
      <c r="B10068" s="2669"/>
    </row>
    <row r="10069" spans="2:2" ht="23.25" customHeight="1">
      <c r="B10069" s="2669"/>
    </row>
    <row r="10070" spans="2:2" ht="23.25" customHeight="1">
      <c r="B10070" s="2669"/>
    </row>
    <row r="10071" spans="2:2" ht="23.25" customHeight="1">
      <c r="B10071" s="2669"/>
    </row>
    <row r="10072" spans="2:2" ht="23.25" customHeight="1">
      <c r="B10072" s="2669"/>
    </row>
    <row r="10073" spans="2:2" ht="23.25" customHeight="1">
      <c r="B10073" s="2669"/>
    </row>
    <row r="10074" spans="2:2" ht="23.25" customHeight="1">
      <c r="B10074" s="2669"/>
    </row>
    <row r="10075" spans="2:2" ht="23.25" customHeight="1">
      <c r="B10075" s="2669"/>
    </row>
    <row r="10076" spans="2:2" ht="23.25" customHeight="1">
      <c r="B10076" s="2669"/>
    </row>
    <row r="10077" spans="2:2" ht="23.25" customHeight="1">
      <c r="B10077" s="2669"/>
    </row>
    <row r="10078" spans="2:2" ht="23.25" customHeight="1">
      <c r="B10078" s="2669"/>
    </row>
    <row r="10079" spans="2:2" ht="23.25" customHeight="1">
      <c r="B10079" s="2669"/>
    </row>
    <row r="10080" spans="2:2" ht="23.25" customHeight="1">
      <c r="B10080" s="2669"/>
    </row>
    <row r="10081" spans="2:2" ht="23.25" customHeight="1">
      <c r="B10081" s="2669"/>
    </row>
    <row r="10082" spans="2:2" ht="23.25" customHeight="1">
      <c r="B10082" s="2669"/>
    </row>
    <row r="10083" spans="2:2" ht="23.25" customHeight="1">
      <c r="B10083" s="2669"/>
    </row>
    <row r="10084" spans="2:2" ht="23.25" customHeight="1">
      <c r="B10084" s="2669"/>
    </row>
    <row r="10085" spans="2:2" ht="23.25" customHeight="1">
      <c r="B10085" s="2669"/>
    </row>
    <row r="10086" spans="2:2" ht="23.25" customHeight="1">
      <c r="B10086" s="2669"/>
    </row>
    <row r="10087" spans="2:2" ht="23.25" customHeight="1">
      <c r="B10087" s="2669"/>
    </row>
    <row r="10088" spans="2:2" ht="23.25" customHeight="1">
      <c r="B10088" s="2669"/>
    </row>
    <row r="10089" spans="2:2" ht="23.25" customHeight="1">
      <c r="B10089" s="2669"/>
    </row>
    <row r="10090" spans="2:2" ht="23.25" customHeight="1">
      <c r="B10090" s="2669"/>
    </row>
    <row r="10091" spans="2:2" ht="23.25" customHeight="1">
      <c r="B10091" s="2669"/>
    </row>
    <row r="10092" spans="2:2" ht="23.25" customHeight="1">
      <c r="B10092" s="2669"/>
    </row>
    <row r="10093" spans="2:2" ht="23.25" customHeight="1">
      <c r="B10093" s="2669"/>
    </row>
    <row r="10094" spans="2:2" ht="23.25" customHeight="1">
      <c r="B10094" s="2669"/>
    </row>
    <row r="10095" spans="2:2" ht="23.25" customHeight="1">
      <c r="B10095" s="2669"/>
    </row>
    <row r="10096" spans="2:2" ht="23.25" customHeight="1">
      <c r="B10096" s="2669"/>
    </row>
    <row r="10097" spans="2:2" ht="23.25" customHeight="1">
      <c r="B10097" s="2669"/>
    </row>
    <row r="10098" spans="2:2" ht="23.25" customHeight="1">
      <c r="B10098" s="2669"/>
    </row>
    <row r="10099" spans="2:2" ht="23.25" customHeight="1">
      <c r="B10099" s="2669"/>
    </row>
    <row r="10100" spans="2:2" ht="23.25" customHeight="1">
      <c r="B10100" s="2669"/>
    </row>
    <row r="10101" spans="2:2" ht="23.25" customHeight="1">
      <c r="B10101" s="2669"/>
    </row>
    <row r="10102" spans="2:2" ht="23.25" customHeight="1">
      <c r="B10102" s="2669"/>
    </row>
    <row r="10103" spans="2:2" ht="23.25" customHeight="1">
      <c r="B10103" s="2669"/>
    </row>
    <row r="10104" spans="2:2" ht="23.25" customHeight="1">
      <c r="B10104" s="2669"/>
    </row>
    <row r="10105" spans="2:2" ht="23.25" customHeight="1">
      <c r="B10105" s="2669"/>
    </row>
    <row r="10106" spans="2:2" ht="23.25" customHeight="1">
      <c r="B10106" s="2669"/>
    </row>
    <row r="10107" spans="2:2" ht="23.25" customHeight="1">
      <c r="B10107" s="2669"/>
    </row>
    <row r="10108" spans="2:2" ht="23.25" customHeight="1">
      <c r="B10108" s="2669"/>
    </row>
    <row r="10109" spans="2:2" ht="23.25" customHeight="1">
      <c r="B10109" s="2669"/>
    </row>
    <row r="10110" spans="2:2" ht="23.25" customHeight="1">
      <c r="B10110" s="2669"/>
    </row>
    <row r="10111" spans="2:2" ht="23.25" customHeight="1">
      <c r="B10111" s="2669"/>
    </row>
    <row r="10112" spans="2:2" ht="23.25" customHeight="1">
      <c r="B10112" s="2669"/>
    </row>
    <row r="10113" spans="2:2" ht="23.25" customHeight="1">
      <c r="B10113" s="2669"/>
    </row>
    <row r="10114" spans="2:2" ht="23.25" customHeight="1">
      <c r="B10114" s="2669"/>
    </row>
    <row r="10115" spans="2:2" ht="23.25" customHeight="1">
      <c r="B10115" s="2669"/>
    </row>
    <row r="10116" spans="2:2" ht="23.25" customHeight="1">
      <c r="B10116" s="2669"/>
    </row>
    <row r="10117" spans="2:2" ht="23.25" customHeight="1">
      <c r="B10117" s="2669"/>
    </row>
    <row r="10118" spans="2:2" ht="23.25" customHeight="1">
      <c r="B10118" s="2669"/>
    </row>
    <row r="10119" spans="2:2" ht="23.25" customHeight="1">
      <c r="B10119" s="2669"/>
    </row>
    <row r="10120" spans="2:2" ht="23.25" customHeight="1">
      <c r="B10120" s="2669"/>
    </row>
    <row r="10121" spans="2:2" ht="23.25" customHeight="1">
      <c r="B10121" s="2669"/>
    </row>
    <row r="10122" spans="2:2" ht="23.25" customHeight="1">
      <c r="B10122" s="2669"/>
    </row>
    <row r="10123" spans="2:2" ht="23.25" customHeight="1">
      <c r="B10123" s="2669"/>
    </row>
    <row r="10124" spans="2:2" ht="23.25" customHeight="1">
      <c r="B10124" s="2669"/>
    </row>
    <row r="10125" spans="2:2" ht="23.25" customHeight="1">
      <c r="B10125" s="2669"/>
    </row>
    <row r="10126" spans="2:2" ht="23.25" customHeight="1">
      <c r="B10126" s="2669"/>
    </row>
    <row r="10127" spans="2:2" ht="23.25" customHeight="1">
      <c r="B10127" s="2669"/>
    </row>
    <row r="10128" spans="2:2" ht="23.25" customHeight="1">
      <c r="B10128" s="2669"/>
    </row>
    <row r="10129" spans="2:2" ht="23.25" customHeight="1">
      <c r="B10129" s="2669"/>
    </row>
    <row r="10130" spans="2:2" ht="23.25" customHeight="1">
      <c r="B10130" s="2669"/>
    </row>
    <row r="10131" spans="2:2" ht="23.25" customHeight="1">
      <c r="B10131" s="2669"/>
    </row>
    <row r="10132" spans="2:2" ht="23.25" customHeight="1">
      <c r="B10132" s="2669"/>
    </row>
    <row r="10133" spans="2:2" ht="23.25" customHeight="1">
      <c r="B10133" s="2669"/>
    </row>
    <row r="10134" spans="2:2" ht="23.25" customHeight="1">
      <c r="B10134" s="2669"/>
    </row>
    <row r="10135" spans="2:2" ht="23.25" customHeight="1">
      <c r="B10135" s="2669"/>
    </row>
    <row r="10136" spans="2:2" ht="23.25" customHeight="1">
      <c r="B10136" s="2669"/>
    </row>
    <row r="10137" spans="2:2" ht="23.25" customHeight="1">
      <c r="B10137" s="2669"/>
    </row>
    <row r="10138" spans="2:2" ht="23.25" customHeight="1">
      <c r="B10138" s="2669"/>
    </row>
    <row r="10139" spans="2:2" ht="23.25" customHeight="1">
      <c r="B10139" s="2669"/>
    </row>
    <row r="10140" spans="2:2" ht="23.25" customHeight="1">
      <c r="B10140" s="2669"/>
    </row>
    <row r="10141" spans="2:2" ht="23.25" customHeight="1">
      <c r="B10141" s="2669"/>
    </row>
    <row r="10142" spans="2:2" ht="23.25" customHeight="1">
      <c r="B10142" s="2669"/>
    </row>
    <row r="10143" spans="2:2" ht="23.25" customHeight="1">
      <c r="B10143" s="2669"/>
    </row>
    <row r="10144" spans="2:2" ht="23.25" customHeight="1">
      <c r="B10144" s="2669"/>
    </row>
    <row r="10145" spans="2:2" ht="23.25" customHeight="1">
      <c r="B10145" s="2669"/>
    </row>
    <row r="10146" spans="2:2" ht="23.25" customHeight="1">
      <c r="B10146" s="2669"/>
    </row>
    <row r="10147" spans="2:2" ht="23.25" customHeight="1">
      <c r="B10147" s="2669"/>
    </row>
    <row r="10148" spans="2:2" ht="23.25" customHeight="1">
      <c r="B10148" s="2669"/>
    </row>
    <row r="10149" spans="2:2" ht="23.25" customHeight="1">
      <c r="B10149" s="2669"/>
    </row>
    <row r="10150" spans="2:2" ht="23.25" customHeight="1">
      <c r="B10150" s="2669"/>
    </row>
    <row r="10151" spans="2:2" ht="23.25" customHeight="1">
      <c r="B10151" s="2669"/>
    </row>
    <row r="10152" spans="2:2" ht="23.25" customHeight="1">
      <c r="B10152" s="2669"/>
    </row>
    <row r="10153" spans="2:2" ht="23.25" customHeight="1">
      <c r="B10153" s="2669"/>
    </row>
    <row r="10154" spans="2:2" ht="23.25" customHeight="1">
      <c r="B10154" s="2669"/>
    </row>
    <row r="10155" spans="2:2" ht="23.25" customHeight="1">
      <c r="B10155" s="2669"/>
    </row>
    <row r="10156" spans="2:2" ht="23.25" customHeight="1">
      <c r="B10156" s="2669"/>
    </row>
    <row r="10157" spans="2:2" ht="23.25" customHeight="1">
      <c r="B10157" s="2669"/>
    </row>
    <row r="10158" spans="2:2" ht="23.25" customHeight="1">
      <c r="B10158" s="2669"/>
    </row>
    <row r="10159" spans="2:2" ht="23.25" customHeight="1">
      <c r="B10159" s="2669"/>
    </row>
    <row r="10160" spans="2:2" ht="23.25" customHeight="1">
      <c r="B10160" s="2669"/>
    </row>
    <row r="10161" spans="2:2" ht="23.25" customHeight="1">
      <c r="B10161" s="2669"/>
    </row>
    <row r="10162" spans="2:2" ht="23.25" customHeight="1">
      <c r="B10162" s="2669"/>
    </row>
    <row r="10163" spans="2:2" ht="23.25" customHeight="1">
      <c r="B10163" s="2669"/>
    </row>
    <row r="10164" spans="2:2" ht="23.25" customHeight="1">
      <c r="B10164" s="2669"/>
    </row>
    <row r="10165" spans="2:2" ht="23.25" customHeight="1">
      <c r="B10165" s="2669"/>
    </row>
    <row r="10166" spans="2:2" ht="23.25" customHeight="1">
      <c r="B10166" s="2669"/>
    </row>
    <row r="10167" spans="2:2" ht="23.25" customHeight="1">
      <c r="B10167" s="2669"/>
    </row>
    <row r="10168" spans="2:2" ht="23.25" customHeight="1">
      <c r="B10168" s="2669"/>
    </row>
    <row r="10169" spans="2:2" ht="23.25" customHeight="1">
      <c r="B10169" s="2669"/>
    </row>
    <row r="10170" spans="2:2" ht="23.25" customHeight="1">
      <c r="B10170" s="2669"/>
    </row>
    <row r="10171" spans="2:2" ht="23.25" customHeight="1">
      <c r="B10171" s="2669"/>
    </row>
    <row r="10172" spans="2:2" ht="23.25" customHeight="1">
      <c r="B10172" s="2669"/>
    </row>
    <row r="10173" spans="2:2" ht="23.25" customHeight="1">
      <c r="B10173" s="2669"/>
    </row>
    <row r="10174" spans="2:2" ht="23.25" customHeight="1">
      <c r="B10174" s="2669"/>
    </row>
    <row r="10175" spans="2:2" ht="23.25" customHeight="1">
      <c r="B10175" s="2669"/>
    </row>
    <row r="10176" spans="2:2" ht="23.25" customHeight="1">
      <c r="B10176" s="2669"/>
    </row>
    <row r="10177" spans="2:2" ht="23.25" customHeight="1">
      <c r="B10177" s="2669"/>
    </row>
    <row r="10178" spans="2:2" ht="23.25" customHeight="1">
      <c r="B10178" s="2669"/>
    </row>
    <row r="10179" spans="2:2" ht="23.25" customHeight="1">
      <c r="B10179" s="2669"/>
    </row>
    <row r="10180" spans="2:2" ht="23.25" customHeight="1">
      <c r="B10180" s="2669"/>
    </row>
    <row r="10181" spans="2:2" ht="23.25" customHeight="1">
      <c r="B10181" s="2669"/>
    </row>
    <row r="10182" spans="2:2" ht="23.25" customHeight="1">
      <c r="B10182" s="2669"/>
    </row>
    <row r="10183" spans="2:2" ht="23.25" customHeight="1">
      <c r="B10183" s="2669"/>
    </row>
    <row r="10184" spans="2:2" ht="23.25" customHeight="1">
      <c r="B10184" s="2669"/>
    </row>
    <row r="10185" spans="2:2" ht="23.25" customHeight="1">
      <c r="B10185" s="2669"/>
    </row>
    <row r="10186" spans="2:2" ht="23.25" customHeight="1">
      <c r="B10186" s="2669"/>
    </row>
    <row r="10187" spans="2:2" ht="23.25" customHeight="1">
      <c r="B10187" s="2669"/>
    </row>
    <row r="10188" spans="2:2" ht="23.25" customHeight="1">
      <c r="B10188" s="2669"/>
    </row>
    <row r="10189" spans="2:2" ht="23.25" customHeight="1">
      <c r="B10189" s="2669"/>
    </row>
    <row r="10190" spans="2:2" ht="23.25" customHeight="1">
      <c r="B10190" s="2669"/>
    </row>
    <row r="10191" spans="2:2" ht="23.25" customHeight="1">
      <c r="B10191" s="2669"/>
    </row>
    <row r="10192" spans="2:2" ht="23.25" customHeight="1">
      <c r="B10192" s="2669"/>
    </row>
    <row r="10193" spans="2:2" ht="23.25" customHeight="1">
      <c r="B10193" s="2669"/>
    </row>
    <row r="10194" spans="2:2" ht="23.25" customHeight="1">
      <c r="B10194" s="2669"/>
    </row>
    <row r="10195" spans="2:2" ht="23.25" customHeight="1">
      <c r="B10195" s="2669"/>
    </row>
    <row r="10196" spans="2:2" ht="23.25" customHeight="1">
      <c r="B10196" s="2669"/>
    </row>
    <row r="10197" spans="2:2" ht="23.25" customHeight="1">
      <c r="B10197" s="2669"/>
    </row>
    <row r="10198" spans="2:2" ht="23.25" customHeight="1">
      <c r="B10198" s="2669"/>
    </row>
    <row r="10199" spans="2:2" ht="23.25" customHeight="1">
      <c r="B10199" s="2669"/>
    </row>
    <row r="10200" spans="2:2" ht="23.25" customHeight="1">
      <c r="B10200" s="2669"/>
    </row>
    <row r="10201" spans="2:2" ht="23.25" customHeight="1">
      <c r="B10201" s="2669"/>
    </row>
    <row r="10202" spans="2:2" ht="23.25" customHeight="1">
      <c r="B10202" s="2669"/>
    </row>
    <row r="10203" spans="2:2" ht="23.25" customHeight="1">
      <c r="B10203" s="2669"/>
    </row>
    <row r="10204" spans="2:2" ht="23.25" customHeight="1">
      <c r="B10204" s="2669"/>
    </row>
    <row r="10205" spans="2:2" ht="23.25" customHeight="1">
      <c r="B10205" s="2669"/>
    </row>
    <row r="10206" spans="2:2" ht="23.25" customHeight="1">
      <c r="B10206" s="2669"/>
    </row>
    <row r="10207" spans="2:2" ht="23.25" customHeight="1">
      <c r="B10207" s="2669"/>
    </row>
    <row r="10208" spans="2:2" ht="23.25" customHeight="1">
      <c r="B10208" s="2669"/>
    </row>
    <row r="10209" spans="2:2" ht="23.25" customHeight="1">
      <c r="B10209" s="2669"/>
    </row>
    <row r="10210" spans="2:2" ht="23.25" customHeight="1">
      <c r="B10210" s="2669"/>
    </row>
    <row r="10211" spans="2:2" ht="23.25" customHeight="1">
      <c r="B10211" s="2669"/>
    </row>
    <row r="10212" spans="2:2" ht="23.25" customHeight="1">
      <c r="B10212" s="2669"/>
    </row>
    <row r="10213" spans="2:2" ht="23.25" customHeight="1">
      <c r="B10213" s="2669"/>
    </row>
    <row r="10214" spans="2:2" ht="23.25" customHeight="1">
      <c r="B10214" s="2669"/>
    </row>
    <row r="10215" spans="2:2" ht="23.25" customHeight="1">
      <c r="B10215" s="2669"/>
    </row>
    <row r="10216" spans="2:2" ht="23.25" customHeight="1">
      <c r="B10216" s="2669"/>
    </row>
    <row r="10217" spans="2:2" ht="23.25" customHeight="1">
      <c r="B10217" s="2669"/>
    </row>
    <row r="10218" spans="2:2" ht="23.25" customHeight="1">
      <c r="B10218" s="2669"/>
    </row>
    <row r="10219" spans="2:2" ht="23.25" customHeight="1">
      <c r="B10219" s="2669"/>
    </row>
    <row r="10220" spans="2:2" ht="23.25" customHeight="1">
      <c r="B10220" s="2669"/>
    </row>
    <row r="10221" spans="2:2" ht="23.25" customHeight="1">
      <c r="B10221" s="2669"/>
    </row>
    <row r="10222" spans="2:2" ht="23.25" customHeight="1">
      <c r="B10222" s="2669"/>
    </row>
    <row r="10223" spans="2:2" ht="23.25" customHeight="1">
      <c r="B10223" s="2669"/>
    </row>
    <row r="10224" spans="2:2" ht="23.25" customHeight="1">
      <c r="B10224" s="2669"/>
    </row>
    <row r="10225" spans="2:2" ht="23.25" customHeight="1">
      <c r="B10225" s="2669"/>
    </row>
    <row r="10226" spans="2:2" ht="23.25" customHeight="1">
      <c r="B10226" s="2669"/>
    </row>
    <row r="10227" spans="2:2" ht="23.25" customHeight="1">
      <c r="B10227" s="2669"/>
    </row>
    <row r="10228" spans="2:2" ht="23.25" customHeight="1">
      <c r="B10228" s="2669"/>
    </row>
    <row r="10229" spans="2:2" ht="23.25" customHeight="1">
      <c r="B10229" s="2669"/>
    </row>
    <row r="10230" spans="2:2" ht="23.25" customHeight="1">
      <c r="B10230" s="2669"/>
    </row>
    <row r="10231" spans="2:2" ht="23.25" customHeight="1">
      <c r="B10231" s="2669"/>
    </row>
    <row r="10232" spans="2:2" ht="23.25" customHeight="1">
      <c r="B10232" s="2669"/>
    </row>
    <row r="10233" spans="2:2" ht="23.25" customHeight="1">
      <c r="B10233" s="2669"/>
    </row>
    <row r="10234" spans="2:2" ht="23.25" customHeight="1">
      <c r="B10234" s="2669"/>
    </row>
    <row r="10235" spans="2:2" ht="23.25" customHeight="1">
      <c r="B10235" s="2669"/>
    </row>
    <row r="10236" spans="2:2" ht="23.25" customHeight="1">
      <c r="B10236" s="2669"/>
    </row>
    <row r="10237" spans="2:2" ht="23.25" customHeight="1">
      <c r="B10237" s="2669"/>
    </row>
    <row r="10238" spans="2:2" ht="23.25" customHeight="1">
      <c r="B10238" s="2669"/>
    </row>
    <row r="10239" spans="2:2" ht="23.25" customHeight="1">
      <c r="B10239" s="2669"/>
    </row>
    <row r="10240" spans="2:2" ht="23.25" customHeight="1">
      <c r="B10240" s="2669"/>
    </row>
    <row r="10241" spans="2:2" ht="23.25" customHeight="1">
      <c r="B10241" s="2669"/>
    </row>
    <row r="10242" spans="2:2" ht="23.25" customHeight="1">
      <c r="B10242" s="2669"/>
    </row>
    <row r="10243" spans="2:2" ht="23.25" customHeight="1">
      <c r="B10243" s="2669"/>
    </row>
    <row r="10244" spans="2:2" ht="23.25" customHeight="1">
      <c r="B10244" s="2669"/>
    </row>
    <row r="10245" spans="2:2" ht="23.25" customHeight="1">
      <c r="B10245" s="2669"/>
    </row>
    <row r="10246" spans="2:2" ht="23.25" customHeight="1">
      <c r="B10246" s="2669"/>
    </row>
    <row r="10247" spans="2:2" ht="23.25" customHeight="1">
      <c r="B10247" s="2669"/>
    </row>
    <row r="10248" spans="2:2" ht="23.25" customHeight="1">
      <c r="B10248" s="2669"/>
    </row>
    <row r="10249" spans="2:2" ht="23.25" customHeight="1">
      <c r="B10249" s="2669"/>
    </row>
    <row r="10250" spans="2:2" ht="23.25" customHeight="1">
      <c r="B10250" s="2669"/>
    </row>
    <row r="10251" spans="2:2" ht="23.25" customHeight="1">
      <c r="B10251" s="2669"/>
    </row>
    <row r="10252" spans="2:2" ht="23.25" customHeight="1">
      <c r="B10252" s="2669"/>
    </row>
    <row r="10253" spans="2:2" ht="23.25" customHeight="1">
      <c r="B10253" s="2669"/>
    </row>
    <row r="10254" spans="2:2" ht="23.25" customHeight="1">
      <c r="B10254" s="2669"/>
    </row>
    <row r="10255" spans="2:2" ht="23.25" customHeight="1">
      <c r="B10255" s="2669"/>
    </row>
    <row r="10256" spans="2:2" ht="23.25" customHeight="1">
      <c r="B10256" s="2669"/>
    </row>
    <row r="10257" spans="2:2" ht="23.25" customHeight="1">
      <c r="B10257" s="2669"/>
    </row>
    <row r="10258" spans="2:2" ht="23.25" customHeight="1">
      <c r="B10258" s="2669"/>
    </row>
    <row r="10259" spans="2:2" ht="23.25" customHeight="1">
      <c r="B10259" s="2669"/>
    </row>
    <row r="10260" spans="2:2" ht="23.25" customHeight="1">
      <c r="B10260" s="2669"/>
    </row>
    <row r="10261" spans="2:2" ht="23.25" customHeight="1">
      <c r="B10261" s="2669"/>
    </row>
    <row r="10262" spans="2:2" ht="23.25" customHeight="1">
      <c r="B10262" s="2669"/>
    </row>
    <row r="10263" spans="2:2" ht="23.25" customHeight="1">
      <c r="B10263" s="2669"/>
    </row>
    <row r="10264" spans="2:2" ht="23.25" customHeight="1">
      <c r="B10264" s="2669"/>
    </row>
    <row r="10265" spans="2:2" ht="23.25" customHeight="1">
      <c r="B10265" s="2669"/>
    </row>
    <row r="10266" spans="2:2" ht="23.25" customHeight="1">
      <c r="B10266" s="2669"/>
    </row>
    <row r="10267" spans="2:2" ht="23.25" customHeight="1">
      <c r="B10267" s="2669"/>
    </row>
    <row r="10268" spans="2:2" ht="23.25" customHeight="1">
      <c r="B10268" s="2669"/>
    </row>
    <row r="10269" spans="2:2" ht="23.25" customHeight="1">
      <c r="B10269" s="2669"/>
    </row>
    <row r="10270" spans="2:2" ht="23.25" customHeight="1">
      <c r="B10270" s="2669"/>
    </row>
    <row r="10271" spans="2:2" ht="23.25" customHeight="1">
      <c r="B10271" s="2669"/>
    </row>
    <row r="10272" spans="2:2" ht="23.25" customHeight="1">
      <c r="B10272" s="2669"/>
    </row>
    <row r="10273" spans="2:2" ht="23.25" customHeight="1">
      <c r="B10273" s="2669"/>
    </row>
    <row r="10274" spans="2:2" ht="23.25" customHeight="1">
      <c r="B10274" s="2669"/>
    </row>
    <row r="10275" spans="2:2" ht="23.25" customHeight="1">
      <c r="B10275" s="2669"/>
    </row>
    <row r="10276" spans="2:2" ht="23.25" customHeight="1">
      <c r="B10276" s="2669"/>
    </row>
    <row r="10277" spans="2:2" ht="23.25" customHeight="1">
      <c r="B10277" s="2669"/>
    </row>
    <row r="10278" spans="2:2" ht="23.25" customHeight="1">
      <c r="B10278" s="2669"/>
    </row>
    <row r="10279" spans="2:2" ht="23.25" customHeight="1">
      <c r="B10279" s="2669"/>
    </row>
    <row r="10280" spans="2:2" ht="23.25" customHeight="1">
      <c r="B10280" s="2669"/>
    </row>
    <row r="10281" spans="2:2" ht="23.25" customHeight="1">
      <c r="B10281" s="2669"/>
    </row>
    <row r="10282" spans="2:2" ht="23.25" customHeight="1">
      <c r="B10282" s="2669"/>
    </row>
    <row r="10283" spans="2:2" ht="23.25" customHeight="1">
      <c r="B10283" s="2669"/>
    </row>
    <row r="10284" spans="2:2" ht="23.25" customHeight="1">
      <c r="B10284" s="2669"/>
    </row>
    <row r="10285" spans="2:2" ht="23.25" customHeight="1">
      <c r="B10285" s="2669"/>
    </row>
    <row r="10286" spans="2:2" ht="23.25" customHeight="1">
      <c r="B10286" s="2669"/>
    </row>
    <row r="10287" spans="2:2" ht="23.25" customHeight="1">
      <c r="B10287" s="2669"/>
    </row>
    <row r="10288" spans="2:2" ht="23.25" customHeight="1">
      <c r="B10288" s="2669"/>
    </row>
    <row r="10289" spans="2:2" ht="23.25" customHeight="1">
      <c r="B10289" s="2669"/>
    </row>
    <row r="10290" spans="2:2" ht="23.25" customHeight="1">
      <c r="B10290" s="2669"/>
    </row>
    <row r="10291" spans="2:2" ht="23.25" customHeight="1">
      <c r="B10291" s="2669"/>
    </row>
    <row r="10292" spans="2:2" ht="23.25" customHeight="1">
      <c r="B10292" s="2669"/>
    </row>
    <row r="10293" spans="2:2" ht="23.25" customHeight="1">
      <c r="B10293" s="2669"/>
    </row>
    <row r="10294" spans="2:2" ht="23.25" customHeight="1">
      <c r="B10294" s="2669"/>
    </row>
    <row r="10295" spans="2:2" ht="23.25" customHeight="1">
      <c r="B10295" s="2669"/>
    </row>
    <row r="10296" spans="2:2" ht="23.25" customHeight="1">
      <c r="B10296" s="2669"/>
    </row>
    <row r="10297" spans="2:2" ht="23.25" customHeight="1">
      <c r="B10297" s="2669"/>
    </row>
    <row r="10298" spans="2:2" ht="23.25" customHeight="1">
      <c r="B10298" s="2669"/>
    </row>
    <row r="10299" spans="2:2" ht="23.25" customHeight="1">
      <c r="B10299" s="2669"/>
    </row>
    <row r="10300" spans="2:2" ht="23.25" customHeight="1">
      <c r="B10300" s="2669"/>
    </row>
    <row r="10301" spans="2:2" ht="23.25" customHeight="1">
      <c r="B10301" s="2669"/>
    </row>
    <row r="10302" spans="2:2" ht="23.25" customHeight="1">
      <c r="B10302" s="2669"/>
    </row>
    <row r="10303" spans="2:2" ht="23.25" customHeight="1">
      <c r="B10303" s="2669"/>
    </row>
    <row r="10304" spans="2:2" ht="23.25" customHeight="1">
      <c r="B10304" s="2669"/>
    </row>
    <row r="10305" spans="2:2" ht="23.25" customHeight="1">
      <c r="B10305" s="2669"/>
    </row>
    <row r="10306" spans="2:2" ht="23.25" customHeight="1">
      <c r="B10306" s="2669"/>
    </row>
    <row r="10307" spans="2:2" ht="23.25" customHeight="1">
      <c r="B10307" s="2669"/>
    </row>
    <row r="10308" spans="2:2" ht="23.25" customHeight="1">
      <c r="B10308" s="2669"/>
    </row>
    <row r="10309" spans="2:2" ht="23.25" customHeight="1">
      <c r="B10309" s="2669"/>
    </row>
    <row r="10310" spans="2:2" ht="23.25" customHeight="1">
      <c r="B10310" s="2669"/>
    </row>
    <row r="10311" spans="2:2" ht="23.25" customHeight="1">
      <c r="B10311" s="2669"/>
    </row>
    <row r="10312" spans="2:2" ht="23.25" customHeight="1">
      <c r="B10312" s="2669"/>
    </row>
    <row r="10313" spans="2:2" ht="23.25" customHeight="1">
      <c r="B10313" s="2669"/>
    </row>
    <row r="10314" spans="2:2" ht="23.25" customHeight="1">
      <c r="B10314" s="2669"/>
    </row>
    <row r="10315" spans="2:2" ht="23.25" customHeight="1">
      <c r="B10315" s="2669"/>
    </row>
    <row r="10316" spans="2:2" ht="23.25" customHeight="1">
      <c r="B10316" s="2669"/>
    </row>
    <row r="10317" spans="2:2" ht="23.25" customHeight="1">
      <c r="B10317" s="2669"/>
    </row>
    <row r="10318" spans="2:2" ht="23.25" customHeight="1">
      <c r="B10318" s="2669"/>
    </row>
    <row r="10319" spans="2:2" ht="23.25" customHeight="1">
      <c r="B10319" s="2669"/>
    </row>
    <row r="10320" spans="2:2" ht="23.25" customHeight="1">
      <c r="B10320" s="2669"/>
    </row>
    <row r="10321" spans="2:2" ht="23.25" customHeight="1">
      <c r="B10321" s="2669"/>
    </row>
    <row r="10322" spans="2:2" ht="23.25" customHeight="1">
      <c r="B10322" s="2669"/>
    </row>
    <row r="10323" spans="2:2" ht="23.25" customHeight="1">
      <c r="B10323" s="2669"/>
    </row>
    <row r="10324" spans="2:2" ht="23.25" customHeight="1">
      <c r="B10324" s="2669"/>
    </row>
    <row r="10325" spans="2:2" ht="23.25" customHeight="1">
      <c r="B10325" s="2669"/>
    </row>
    <row r="10326" spans="2:2" ht="23.25" customHeight="1">
      <c r="B10326" s="2669"/>
    </row>
    <row r="10327" spans="2:2" ht="23.25" customHeight="1">
      <c r="B10327" s="2669"/>
    </row>
    <row r="10328" spans="2:2" ht="23.25" customHeight="1">
      <c r="B10328" s="2669"/>
    </row>
    <row r="10329" spans="2:2" ht="23.25" customHeight="1">
      <c r="B10329" s="2669"/>
    </row>
    <row r="10330" spans="2:2" ht="23.25" customHeight="1">
      <c r="B10330" s="2669"/>
    </row>
    <row r="10331" spans="2:2" ht="23.25" customHeight="1">
      <c r="B10331" s="2669"/>
    </row>
    <row r="10332" spans="2:2" ht="23.25" customHeight="1">
      <c r="B10332" s="2669"/>
    </row>
    <row r="10333" spans="2:2" ht="23.25" customHeight="1">
      <c r="B10333" s="2669"/>
    </row>
    <row r="10334" spans="2:2" ht="23.25" customHeight="1">
      <c r="B10334" s="2669"/>
    </row>
    <row r="10335" spans="2:2" ht="23.25" customHeight="1">
      <c r="B10335" s="2669"/>
    </row>
    <row r="10336" spans="2:2" ht="23.25" customHeight="1">
      <c r="B10336" s="2669"/>
    </row>
    <row r="10337" spans="2:2" ht="23.25" customHeight="1">
      <c r="B10337" s="2669"/>
    </row>
    <row r="10338" spans="2:2" ht="23.25" customHeight="1">
      <c r="B10338" s="2669"/>
    </row>
    <row r="10339" spans="2:2" ht="23.25" customHeight="1">
      <c r="B10339" s="2669"/>
    </row>
    <row r="10340" spans="2:2" ht="23.25" customHeight="1">
      <c r="B10340" s="2669"/>
    </row>
    <row r="10341" spans="2:2" ht="23.25" customHeight="1">
      <c r="B10341" s="2669"/>
    </row>
    <row r="10342" spans="2:2" ht="23.25" customHeight="1">
      <c r="B10342" s="2669"/>
    </row>
    <row r="10343" spans="2:2" ht="23.25" customHeight="1">
      <c r="B10343" s="2669"/>
    </row>
    <row r="10344" spans="2:2" ht="23.25" customHeight="1">
      <c r="B10344" s="2669"/>
    </row>
    <row r="10345" spans="2:2" ht="23.25" customHeight="1">
      <c r="B10345" s="2669"/>
    </row>
    <row r="10346" spans="2:2" ht="23.25" customHeight="1">
      <c r="B10346" s="2669"/>
    </row>
    <row r="10347" spans="2:2" ht="23.25" customHeight="1">
      <c r="B10347" s="2669"/>
    </row>
    <row r="10348" spans="2:2" ht="23.25" customHeight="1">
      <c r="B10348" s="2669"/>
    </row>
    <row r="10349" spans="2:2" ht="23.25" customHeight="1">
      <c r="B10349" s="2669"/>
    </row>
    <row r="10350" spans="2:2" ht="23.25" customHeight="1">
      <c r="B10350" s="2669"/>
    </row>
    <row r="10351" spans="2:2" ht="23.25" customHeight="1">
      <c r="B10351" s="2669"/>
    </row>
    <row r="10352" spans="2:2" ht="23.25" customHeight="1">
      <c r="B10352" s="2669"/>
    </row>
    <row r="10353" spans="2:2" ht="23.25" customHeight="1">
      <c r="B10353" s="2669"/>
    </row>
    <row r="10354" spans="2:2" ht="23.25" customHeight="1">
      <c r="B10354" s="2669"/>
    </row>
    <row r="10355" spans="2:2" ht="23.25" customHeight="1">
      <c r="B10355" s="2669"/>
    </row>
    <row r="10356" spans="2:2" ht="23.25" customHeight="1">
      <c r="B10356" s="2669"/>
    </row>
    <row r="10357" spans="2:2" ht="23.25" customHeight="1">
      <c r="B10357" s="2669"/>
    </row>
    <row r="10358" spans="2:2" ht="23.25" customHeight="1">
      <c r="B10358" s="2669"/>
    </row>
    <row r="10359" spans="2:2" ht="23.25" customHeight="1">
      <c r="B10359" s="2669"/>
    </row>
    <row r="10360" spans="2:2" ht="23.25" customHeight="1">
      <c r="B10360" s="2669"/>
    </row>
    <row r="10361" spans="2:2" ht="23.25" customHeight="1">
      <c r="B10361" s="2669"/>
    </row>
    <row r="10362" spans="2:2" ht="23.25" customHeight="1">
      <c r="B10362" s="2669"/>
    </row>
    <row r="10363" spans="2:2" ht="23.25" customHeight="1">
      <c r="B10363" s="2669"/>
    </row>
    <row r="10364" spans="2:2" ht="23.25" customHeight="1">
      <c r="B10364" s="2669"/>
    </row>
    <row r="10365" spans="2:2" ht="23.25" customHeight="1">
      <c r="B10365" s="2669"/>
    </row>
    <row r="10366" spans="2:2" ht="23.25" customHeight="1">
      <c r="B10366" s="2669"/>
    </row>
    <row r="10367" spans="2:2" ht="23.25" customHeight="1">
      <c r="B10367" s="2669"/>
    </row>
    <row r="10368" spans="2:2" ht="23.25" customHeight="1">
      <c r="B10368" s="2669"/>
    </row>
    <row r="10369" spans="2:2" ht="23.25" customHeight="1">
      <c r="B10369" s="2669"/>
    </row>
    <row r="10370" spans="2:2" ht="23.25" customHeight="1">
      <c r="B10370" s="2669"/>
    </row>
    <row r="10371" spans="2:2" ht="23.25" customHeight="1">
      <c r="B10371" s="2669"/>
    </row>
    <row r="10372" spans="2:2" ht="23.25" customHeight="1">
      <c r="B10372" s="2669"/>
    </row>
    <row r="10373" spans="2:2" ht="23.25" customHeight="1">
      <c r="B10373" s="2669"/>
    </row>
    <row r="10374" spans="2:2" ht="23.25" customHeight="1">
      <c r="B10374" s="2669"/>
    </row>
    <row r="10375" spans="2:2" ht="23.25" customHeight="1">
      <c r="B10375" s="2669"/>
    </row>
    <row r="10376" spans="2:2" ht="23.25" customHeight="1">
      <c r="B10376" s="2669"/>
    </row>
    <row r="10377" spans="2:2" ht="23.25" customHeight="1">
      <c r="B10377" s="2669"/>
    </row>
    <row r="10378" spans="2:2" ht="23.25" customHeight="1">
      <c r="B10378" s="2669"/>
    </row>
    <row r="10379" spans="2:2" ht="23.25" customHeight="1">
      <c r="B10379" s="2669"/>
    </row>
    <row r="10380" spans="2:2" ht="23.25" customHeight="1">
      <c r="B10380" s="2669"/>
    </row>
    <row r="10381" spans="2:2" ht="23.25" customHeight="1">
      <c r="B10381" s="2669"/>
    </row>
    <row r="10382" spans="2:2" ht="23.25" customHeight="1">
      <c r="B10382" s="2669"/>
    </row>
    <row r="10383" spans="2:2" ht="23.25" customHeight="1">
      <c r="B10383" s="2669"/>
    </row>
    <row r="10384" spans="2:2" ht="23.25" customHeight="1">
      <c r="B10384" s="2669"/>
    </row>
    <row r="10385" spans="2:2" ht="23.25" customHeight="1">
      <c r="B10385" s="2669"/>
    </row>
    <row r="10386" spans="2:2" ht="23.25" customHeight="1">
      <c r="B10386" s="2669"/>
    </row>
    <row r="10387" spans="2:2" ht="23.25" customHeight="1">
      <c r="B10387" s="2669"/>
    </row>
    <row r="10388" spans="2:2" ht="23.25" customHeight="1">
      <c r="B10388" s="2669"/>
    </row>
    <row r="10389" spans="2:2" ht="23.25" customHeight="1">
      <c r="B10389" s="2669"/>
    </row>
    <row r="10390" spans="2:2" ht="23.25" customHeight="1">
      <c r="B10390" s="2669"/>
    </row>
    <row r="10391" spans="2:2" ht="23.25" customHeight="1">
      <c r="B10391" s="2669"/>
    </row>
    <row r="10392" spans="2:2" ht="23.25" customHeight="1">
      <c r="B10392" s="2669"/>
    </row>
    <row r="10393" spans="2:2" ht="23.25" customHeight="1">
      <c r="B10393" s="2669"/>
    </row>
    <row r="10394" spans="2:2" ht="23.25" customHeight="1">
      <c r="B10394" s="2669"/>
    </row>
    <row r="10395" spans="2:2" ht="23.25" customHeight="1">
      <c r="B10395" s="2669"/>
    </row>
    <row r="10396" spans="2:2" ht="23.25" customHeight="1">
      <c r="B10396" s="2669"/>
    </row>
    <row r="10397" spans="2:2" ht="23.25" customHeight="1">
      <c r="B10397" s="2669"/>
    </row>
    <row r="10398" spans="2:2" ht="23.25" customHeight="1">
      <c r="B10398" s="2669"/>
    </row>
    <row r="10399" spans="2:2" ht="23.25" customHeight="1">
      <c r="B10399" s="2669"/>
    </row>
    <row r="10400" spans="2:2" ht="23.25" customHeight="1">
      <c r="B10400" s="2669"/>
    </row>
    <row r="10401" spans="2:2" ht="23.25" customHeight="1">
      <c r="B10401" s="2669"/>
    </row>
    <row r="10402" spans="2:2" ht="23.25" customHeight="1">
      <c r="B10402" s="2669"/>
    </row>
    <row r="10403" spans="2:2" ht="23.25" customHeight="1">
      <c r="B10403" s="2669"/>
    </row>
    <row r="10404" spans="2:2" ht="23.25" customHeight="1">
      <c r="B10404" s="2669"/>
    </row>
    <row r="10405" spans="2:2" ht="23.25" customHeight="1">
      <c r="B10405" s="2669"/>
    </row>
    <row r="10406" spans="2:2" ht="23.25" customHeight="1">
      <c r="B10406" s="2669"/>
    </row>
    <row r="10407" spans="2:2" ht="23.25" customHeight="1">
      <c r="B10407" s="2669"/>
    </row>
    <row r="10408" spans="2:2" ht="23.25" customHeight="1">
      <c r="B10408" s="2669"/>
    </row>
    <row r="10409" spans="2:2" ht="23.25" customHeight="1">
      <c r="B10409" s="2669"/>
    </row>
    <row r="10410" spans="2:2" ht="23.25" customHeight="1">
      <c r="B10410" s="2669"/>
    </row>
    <row r="10411" spans="2:2" ht="23.25" customHeight="1">
      <c r="B10411" s="2669"/>
    </row>
    <row r="10412" spans="2:2" ht="23.25" customHeight="1">
      <c r="B10412" s="2669"/>
    </row>
    <row r="10413" spans="2:2" ht="23.25" customHeight="1">
      <c r="B10413" s="2669"/>
    </row>
    <row r="10414" spans="2:2" ht="23.25" customHeight="1">
      <c r="B10414" s="2669"/>
    </row>
    <row r="10415" spans="2:2" ht="23.25" customHeight="1">
      <c r="B10415" s="2669"/>
    </row>
    <row r="10416" spans="2:2" ht="23.25" customHeight="1">
      <c r="B10416" s="2669"/>
    </row>
    <row r="10417" spans="2:2" ht="23.25" customHeight="1">
      <c r="B10417" s="2669"/>
    </row>
    <row r="10418" spans="2:2" ht="23.25" customHeight="1">
      <c r="B10418" s="2669"/>
    </row>
    <row r="10419" spans="2:2" ht="23.25" customHeight="1">
      <c r="B10419" s="2669"/>
    </row>
    <row r="10420" spans="2:2" ht="23.25" customHeight="1">
      <c r="B10420" s="2669"/>
    </row>
    <row r="10421" spans="2:2" ht="23.25" customHeight="1">
      <c r="B10421" s="2669"/>
    </row>
    <row r="10422" spans="2:2" ht="23.25" customHeight="1">
      <c r="B10422" s="2669"/>
    </row>
    <row r="10423" spans="2:2" ht="23.25" customHeight="1">
      <c r="B10423" s="2669"/>
    </row>
    <row r="10424" spans="2:2" ht="23.25" customHeight="1">
      <c r="B10424" s="2669"/>
    </row>
    <row r="10425" spans="2:2" ht="23.25" customHeight="1">
      <c r="B10425" s="2669"/>
    </row>
    <row r="10426" spans="2:2" ht="23.25" customHeight="1">
      <c r="B10426" s="2669"/>
    </row>
    <row r="10427" spans="2:2" ht="23.25" customHeight="1">
      <c r="B10427" s="2669"/>
    </row>
    <row r="10428" spans="2:2" ht="23.25" customHeight="1">
      <c r="B10428" s="2669"/>
    </row>
    <row r="10429" spans="2:2" ht="23.25" customHeight="1">
      <c r="B10429" s="2669"/>
    </row>
    <row r="10430" spans="2:2" ht="23.25" customHeight="1">
      <c r="B10430" s="2669"/>
    </row>
    <row r="10431" spans="2:2" ht="23.25" customHeight="1">
      <c r="B10431" s="2669"/>
    </row>
    <row r="10432" spans="2:2" ht="23.25" customHeight="1">
      <c r="B10432" s="2669"/>
    </row>
    <row r="10433" spans="2:2" ht="23.25" customHeight="1">
      <c r="B10433" s="2669"/>
    </row>
    <row r="10434" spans="2:2" ht="23.25" customHeight="1">
      <c r="B10434" s="2669"/>
    </row>
    <row r="10435" spans="2:2" ht="23.25" customHeight="1">
      <c r="B10435" s="2669"/>
    </row>
    <row r="10436" spans="2:2" ht="23.25" customHeight="1">
      <c r="B10436" s="2669"/>
    </row>
    <row r="10437" spans="2:2" ht="23.25" customHeight="1">
      <c r="B10437" s="2669"/>
    </row>
    <row r="10438" spans="2:2" ht="23.25" customHeight="1">
      <c r="B10438" s="2669"/>
    </row>
    <row r="10439" spans="2:2" ht="23.25" customHeight="1">
      <c r="B10439" s="2669"/>
    </row>
    <row r="10440" spans="2:2" ht="23.25" customHeight="1">
      <c r="B10440" s="2669"/>
    </row>
    <row r="10441" spans="2:2" ht="23.25" customHeight="1">
      <c r="B10441" s="2669"/>
    </row>
    <row r="10442" spans="2:2" ht="23.25" customHeight="1">
      <c r="B10442" s="2669"/>
    </row>
    <row r="10443" spans="2:2" ht="23.25" customHeight="1">
      <c r="B10443" s="2669"/>
    </row>
    <row r="10444" spans="2:2" ht="23.25" customHeight="1">
      <c r="B10444" s="2669"/>
    </row>
    <row r="10445" spans="2:2" ht="23.25" customHeight="1">
      <c r="B10445" s="2669"/>
    </row>
    <row r="10446" spans="2:2" ht="23.25" customHeight="1">
      <c r="B10446" s="2669"/>
    </row>
    <row r="10447" spans="2:2" ht="23.25" customHeight="1">
      <c r="B10447" s="2669"/>
    </row>
    <row r="10448" spans="2:2" ht="23.25" customHeight="1">
      <c r="B10448" s="2669"/>
    </row>
    <row r="10449" spans="2:2" ht="23.25" customHeight="1">
      <c r="B10449" s="2669"/>
    </row>
    <row r="10450" spans="2:2" ht="23.25" customHeight="1">
      <c r="B10450" s="2669"/>
    </row>
    <row r="10451" spans="2:2" ht="23.25" customHeight="1">
      <c r="B10451" s="2669"/>
    </row>
    <row r="10452" spans="2:2" ht="23.25" customHeight="1">
      <c r="B10452" s="2669"/>
    </row>
    <row r="10453" spans="2:2" ht="23.25" customHeight="1">
      <c r="B10453" s="2669"/>
    </row>
    <row r="10454" spans="2:2" ht="23.25" customHeight="1">
      <c r="B10454" s="2669"/>
    </row>
    <row r="10455" spans="2:2" ht="23.25" customHeight="1">
      <c r="B10455" s="2669"/>
    </row>
    <row r="10456" spans="2:2" ht="23.25" customHeight="1">
      <c r="B10456" s="2669"/>
    </row>
    <row r="10457" spans="2:2" ht="23.25" customHeight="1">
      <c r="B10457" s="2669"/>
    </row>
    <row r="10458" spans="2:2" ht="23.25" customHeight="1">
      <c r="B10458" s="2669"/>
    </row>
    <row r="10459" spans="2:2" ht="23.25" customHeight="1">
      <c r="B10459" s="2669"/>
    </row>
    <row r="10460" spans="2:2" ht="23.25" customHeight="1">
      <c r="B10460" s="2669"/>
    </row>
    <row r="10461" spans="2:2" ht="23.25" customHeight="1">
      <c r="B10461" s="2669"/>
    </row>
    <row r="10462" spans="2:2" ht="23.25" customHeight="1">
      <c r="B10462" s="2669"/>
    </row>
    <row r="10463" spans="2:2" ht="23.25" customHeight="1">
      <c r="B10463" s="2669"/>
    </row>
    <row r="10464" spans="2:2" ht="23.25" customHeight="1">
      <c r="B10464" s="2669"/>
    </row>
    <row r="10465" spans="2:2" ht="23.25" customHeight="1">
      <c r="B10465" s="2669"/>
    </row>
    <row r="10466" spans="2:2" ht="23.25" customHeight="1">
      <c r="B10466" s="2669"/>
    </row>
    <row r="10467" spans="2:2" ht="23.25" customHeight="1">
      <c r="B10467" s="2669"/>
    </row>
    <row r="10468" spans="2:2" ht="23.25" customHeight="1">
      <c r="B10468" s="2669"/>
    </row>
    <row r="10469" spans="2:2" ht="23.25" customHeight="1">
      <c r="B10469" s="2669"/>
    </row>
    <row r="10470" spans="2:2" ht="23.25" customHeight="1">
      <c r="B10470" s="2669"/>
    </row>
    <row r="10471" spans="2:2" ht="23.25" customHeight="1">
      <c r="B10471" s="2669"/>
    </row>
    <row r="10472" spans="2:2" ht="23.25" customHeight="1">
      <c r="B10472" s="2669"/>
    </row>
    <row r="10473" spans="2:2" ht="23.25" customHeight="1">
      <c r="B10473" s="2669"/>
    </row>
    <row r="10474" spans="2:2" ht="23.25" customHeight="1">
      <c r="B10474" s="2669"/>
    </row>
    <row r="10475" spans="2:2" ht="23.25" customHeight="1">
      <c r="B10475" s="2669"/>
    </row>
    <row r="10476" spans="2:2" ht="23.25" customHeight="1">
      <c r="B10476" s="2669"/>
    </row>
    <row r="10477" spans="2:2" ht="23.25" customHeight="1">
      <c r="B10477" s="2669"/>
    </row>
    <row r="10478" spans="2:2" ht="23.25" customHeight="1">
      <c r="B10478" s="2669"/>
    </row>
    <row r="10479" spans="2:2" ht="23.25" customHeight="1">
      <c r="B10479" s="2669"/>
    </row>
    <row r="10480" spans="2:2" ht="23.25" customHeight="1">
      <c r="B10480" s="2669"/>
    </row>
    <row r="10481" spans="2:2" ht="23.25" customHeight="1">
      <c r="B10481" s="2669"/>
    </row>
    <row r="10482" spans="2:2" ht="23.25" customHeight="1">
      <c r="B10482" s="2669"/>
    </row>
    <row r="10483" spans="2:2" ht="23.25" customHeight="1">
      <c r="B10483" s="2669"/>
    </row>
    <row r="10484" spans="2:2" ht="23.25" customHeight="1">
      <c r="B10484" s="2669"/>
    </row>
    <row r="10485" spans="2:2" ht="23.25" customHeight="1">
      <c r="B10485" s="2669"/>
    </row>
    <row r="10486" spans="2:2" ht="23.25" customHeight="1">
      <c r="B10486" s="2669"/>
    </row>
    <row r="10487" spans="2:2" ht="23.25" customHeight="1">
      <c r="B10487" s="2669"/>
    </row>
    <row r="10488" spans="2:2" ht="23.25" customHeight="1">
      <c r="B10488" s="2669"/>
    </row>
    <row r="10489" spans="2:2" ht="23.25" customHeight="1">
      <c r="B10489" s="2669"/>
    </row>
    <row r="10490" spans="2:2" ht="23.25" customHeight="1">
      <c r="B10490" s="2669"/>
    </row>
    <row r="10491" spans="2:2" ht="23.25" customHeight="1">
      <c r="B10491" s="2669"/>
    </row>
    <row r="10492" spans="2:2" ht="23.25" customHeight="1">
      <c r="B10492" s="2669"/>
    </row>
    <row r="10493" spans="2:2" ht="23.25" customHeight="1">
      <c r="B10493" s="2669"/>
    </row>
    <row r="10494" spans="2:2" ht="23.25" customHeight="1">
      <c r="B10494" s="2669"/>
    </row>
    <row r="10495" spans="2:2" ht="23.25" customHeight="1">
      <c r="B10495" s="2669"/>
    </row>
    <row r="10496" spans="2:2" ht="23.25" customHeight="1">
      <c r="B10496" s="2669"/>
    </row>
    <row r="10497" spans="2:2" ht="23.25" customHeight="1">
      <c r="B10497" s="2669"/>
    </row>
    <row r="10498" spans="2:2" ht="23.25" customHeight="1">
      <c r="B10498" s="2669"/>
    </row>
    <row r="10499" spans="2:2" ht="23.25" customHeight="1">
      <c r="B10499" s="2669"/>
    </row>
    <row r="10500" spans="2:2" ht="23.25" customHeight="1">
      <c r="B10500" s="2669"/>
    </row>
    <row r="10501" spans="2:2" ht="23.25" customHeight="1">
      <c r="B10501" s="2669"/>
    </row>
    <row r="10502" spans="2:2" ht="23.25" customHeight="1">
      <c r="B10502" s="2669"/>
    </row>
    <row r="10503" spans="2:2" ht="23.25" customHeight="1">
      <c r="B10503" s="2669"/>
    </row>
    <row r="10504" spans="2:2" ht="23.25" customHeight="1">
      <c r="B10504" s="2669"/>
    </row>
    <row r="10505" spans="2:2" ht="23.25" customHeight="1">
      <c r="B10505" s="2669"/>
    </row>
    <row r="10506" spans="2:2" ht="23.25" customHeight="1">
      <c r="B10506" s="2669"/>
    </row>
    <row r="10507" spans="2:2" ht="23.25" customHeight="1">
      <c r="B10507" s="2669"/>
    </row>
    <row r="10508" spans="2:2" ht="23.25" customHeight="1">
      <c r="B10508" s="2669"/>
    </row>
    <row r="10509" spans="2:2" ht="23.25" customHeight="1">
      <c r="B10509" s="2669"/>
    </row>
    <row r="10510" spans="2:2" ht="23.25" customHeight="1">
      <c r="B10510" s="2669"/>
    </row>
    <row r="10511" spans="2:2" ht="23.25" customHeight="1">
      <c r="B10511" s="2669"/>
    </row>
    <row r="10512" spans="2:2" ht="23.25" customHeight="1">
      <c r="B10512" s="2669"/>
    </row>
    <row r="10513" spans="2:2" ht="23.25" customHeight="1">
      <c r="B10513" s="2669"/>
    </row>
    <row r="10514" spans="2:2" ht="23.25" customHeight="1">
      <c r="B10514" s="2669"/>
    </row>
    <row r="10515" spans="2:2" ht="23.25" customHeight="1">
      <c r="B10515" s="2669"/>
    </row>
    <row r="10516" spans="2:2" ht="23.25" customHeight="1">
      <c r="B10516" s="2669"/>
    </row>
    <row r="10517" spans="2:2" ht="23.25" customHeight="1">
      <c r="B10517" s="2669"/>
    </row>
    <row r="10518" spans="2:2" ht="23.25" customHeight="1">
      <c r="B10518" s="2669"/>
    </row>
    <row r="10519" spans="2:2" ht="23.25" customHeight="1">
      <c r="B10519" s="2669"/>
    </row>
    <row r="10520" spans="2:2" ht="23.25" customHeight="1">
      <c r="B10520" s="2669"/>
    </row>
    <row r="10521" spans="2:2" ht="23.25" customHeight="1">
      <c r="B10521" s="2669"/>
    </row>
    <row r="10522" spans="2:2" ht="23.25" customHeight="1">
      <c r="B10522" s="2669"/>
    </row>
    <row r="10523" spans="2:2" ht="23.25" customHeight="1">
      <c r="B10523" s="2669"/>
    </row>
    <row r="10524" spans="2:2" ht="23.25" customHeight="1">
      <c r="B10524" s="2669"/>
    </row>
    <row r="10525" spans="2:2" ht="23.25" customHeight="1">
      <c r="B10525" s="2669"/>
    </row>
    <row r="10526" spans="2:2" ht="23.25" customHeight="1">
      <c r="B10526" s="2669"/>
    </row>
    <row r="10527" spans="2:2" ht="23.25" customHeight="1">
      <c r="B10527" s="2669"/>
    </row>
    <row r="10528" spans="2:2" ht="23.25" customHeight="1">
      <c r="B10528" s="2669"/>
    </row>
    <row r="10529" spans="2:2" ht="23.25" customHeight="1">
      <c r="B10529" s="2669"/>
    </row>
    <row r="10530" spans="2:2" ht="23.25" customHeight="1">
      <c r="B10530" s="2669"/>
    </row>
    <row r="10531" spans="2:2" ht="23.25" customHeight="1">
      <c r="B10531" s="2669"/>
    </row>
    <row r="10532" spans="2:2" ht="23.25" customHeight="1">
      <c r="B10532" s="2669"/>
    </row>
    <row r="10533" spans="2:2" ht="23.25" customHeight="1">
      <c r="B10533" s="2669"/>
    </row>
    <row r="10534" spans="2:2" ht="23.25" customHeight="1">
      <c r="B10534" s="2669"/>
    </row>
    <row r="10535" spans="2:2" ht="23.25" customHeight="1">
      <c r="B10535" s="2669"/>
    </row>
    <row r="10536" spans="2:2" ht="23.25" customHeight="1">
      <c r="B10536" s="2669"/>
    </row>
    <row r="10537" spans="2:2" ht="23.25" customHeight="1">
      <c r="B10537" s="2669"/>
    </row>
    <row r="10538" spans="2:2" ht="23.25" customHeight="1">
      <c r="B10538" s="2669"/>
    </row>
    <row r="10539" spans="2:2" ht="23.25" customHeight="1">
      <c r="B10539" s="2669"/>
    </row>
    <row r="10540" spans="2:2" ht="23.25" customHeight="1">
      <c r="B10540" s="2669"/>
    </row>
    <row r="10541" spans="2:2" ht="23.25" customHeight="1">
      <c r="B10541" s="2669"/>
    </row>
    <row r="10542" spans="2:2" ht="23.25" customHeight="1">
      <c r="B10542" s="2669"/>
    </row>
    <row r="10543" spans="2:2" ht="23.25" customHeight="1">
      <c r="B10543" s="2669"/>
    </row>
    <row r="10544" spans="2:2" ht="23.25" customHeight="1">
      <c r="B10544" s="2669"/>
    </row>
    <row r="10545" spans="2:2" ht="23.25" customHeight="1">
      <c r="B10545" s="2669"/>
    </row>
    <row r="10546" spans="2:2" ht="23.25" customHeight="1">
      <c r="B10546" s="2669"/>
    </row>
    <row r="10547" spans="2:2" ht="23.25" customHeight="1">
      <c r="B10547" s="2669"/>
    </row>
    <row r="10548" spans="2:2" ht="23.25" customHeight="1">
      <c r="B10548" s="2669"/>
    </row>
    <row r="10549" spans="2:2" ht="23.25" customHeight="1">
      <c r="B10549" s="2669"/>
    </row>
    <row r="10550" spans="2:2" ht="23.25" customHeight="1">
      <c r="B10550" s="2669"/>
    </row>
    <row r="10551" spans="2:2" ht="23.25" customHeight="1">
      <c r="B10551" s="2669"/>
    </row>
    <row r="10552" spans="2:2" ht="23.25" customHeight="1">
      <c r="B10552" s="2669"/>
    </row>
    <row r="10553" spans="2:2" ht="23.25" customHeight="1">
      <c r="B10553" s="2669"/>
    </row>
    <row r="10554" spans="2:2" ht="23.25" customHeight="1">
      <c r="B10554" s="2669"/>
    </row>
    <row r="10555" spans="2:2" ht="23.25" customHeight="1">
      <c r="B10555" s="2669"/>
    </row>
    <row r="10556" spans="2:2" ht="23.25" customHeight="1">
      <c r="B10556" s="2669"/>
    </row>
    <row r="10557" spans="2:2" ht="23.25" customHeight="1">
      <c r="B10557" s="2669"/>
    </row>
    <row r="10558" spans="2:2" ht="23.25" customHeight="1">
      <c r="B10558" s="2669"/>
    </row>
    <row r="10559" spans="2:2" ht="23.25" customHeight="1">
      <c r="B10559" s="2669"/>
    </row>
    <row r="10560" spans="2:2" ht="23.25" customHeight="1">
      <c r="B10560" s="2669"/>
    </row>
    <row r="10561" spans="2:2" ht="23.25" customHeight="1">
      <c r="B10561" s="2669"/>
    </row>
    <row r="10562" spans="2:2" ht="23.25" customHeight="1">
      <c r="B10562" s="2669"/>
    </row>
    <row r="10563" spans="2:2" ht="23.25" customHeight="1">
      <c r="B10563" s="2669"/>
    </row>
    <row r="10564" spans="2:2" ht="23.25" customHeight="1">
      <c r="B10564" s="2669"/>
    </row>
    <row r="10565" spans="2:2" ht="23.25" customHeight="1">
      <c r="B10565" s="2669"/>
    </row>
    <row r="10566" spans="2:2" ht="23.25" customHeight="1">
      <c r="B10566" s="2669"/>
    </row>
    <row r="10567" spans="2:2" ht="23.25" customHeight="1">
      <c r="B10567" s="2669"/>
    </row>
    <row r="10568" spans="2:2" ht="23.25" customHeight="1">
      <c r="B10568" s="2669"/>
    </row>
    <row r="10569" spans="2:2" ht="23.25" customHeight="1">
      <c r="B10569" s="2669"/>
    </row>
    <row r="10570" spans="2:2" ht="23.25" customHeight="1">
      <c r="B10570" s="2669"/>
    </row>
    <row r="10571" spans="2:2" ht="23.25" customHeight="1">
      <c r="B10571" s="2669"/>
    </row>
    <row r="10572" spans="2:2" ht="23.25" customHeight="1">
      <c r="B10572" s="2669"/>
    </row>
    <row r="10573" spans="2:2" ht="23.25" customHeight="1">
      <c r="B10573" s="2669"/>
    </row>
    <row r="10574" spans="2:2" ht="23.25" customHeight="1">
      <c r="B10574" s="2669"/>
    </row>
    <row r="10575" spans="2:2" ht="23.25" customHeight="1">
      <c r="B10575" s="2669"/>
    </row>
    <row r="10576" spans="2:2" ht="23.25" customHeight="1">
      <c r="B10576" s="2669"/>
    </row>
    <row r="10577" spans="2:2" ht="23.25" customHeight="1">
      <c r="B10577" s="2669"/>
    </row>
    <row r="10578" spans="2:2" ht="23.25" customHeight="1">
      <c r="B10578" s="2669"/>
    </row>
    <row r="10579" spans="2:2" ht="23.25" customHeight="1">
      <c r="B10579" s="2669"/>
    </row>
    <row r="10580" spans="2:2" ht="23.25" customHeight="1">
      <c r="B10580" s="2669"/>
    </row>
    <row r="10581" spans="2:2" ht="23.25" customHeight="1">
      <c r="B10581" s="2669"/>
    </row>
    <row r="10582" spans="2:2" ht="23.25" customHeight="1">
      <c r="B10582" s="2669"/>
    </row>
    <row r="10583" spans="2:2" ht="23.25" customHeight="1">
      <c r="B10583" s="2669"/>
    </row>
    <row r="10584" spans="2:2" ht="23.25" customHeight="1">
      <c r="B10584" s="2669"/>
    </row>
    <row r="10585" spans="2:2" ht="23.25" customHeight="1">
      <c r="B10585" s="2669"/>
    </row>
    <row r="10586" spans="2:2" ht="23.25" customHeight="1">
      <c r="B10586" s="2669"/>
    </row>
    <row r="10587" spans="2:2" ht="23.25" customHeight="1">
      <c r="B10587" s="2669"/>
    </row>
    <row r="10588" spans="2:2" ht="23.25" customHeight="1">
      <c r="B10588" s="2669"/>
    </row>
    <row r="10589" spans="2:2" ht="23.25" customHeight="1">
      <c r="B10589" s="2669"/>
    </row>
    <row r="10590" spans="2:2" ht="23.25" customHeight="1">
      <c r="B10590" s="2669"/>
    </row>
    <row r="10591" spans="2:2" ht="23.25" customHeight="1">
      <c r="B10591" s="2669"/>
    </row>
    <row r="10592" spans="2:2" ht="23.25" customHeight="1">
      <c r="B10592" s="2669"/>
    </row>
    <row r="10593" spans="2:2" ht="23.25" customHeight="1">
      <c r="B10593" s="2669"/>
    </row>
    <row r="10594" spans="2:2" ht="23.25" customHeight="1">
      <c r="B10594" s="2669"/>
    </row>
    <row r="10595" spans="2:2" ht="23.25" customHeight="1">
      <c r="B10595" s="2669"/>
    </row>
    <row r="10596" spans="2:2" ht="23.25" customHeight="1">
      <c r="B10596" s="2669"/>
    </row>
    <row r="10597" spans="2:2" ht="23.25" customHeight="1">
      <c r="B10597" s="2669"/>
    </row>
    <row r="10598" spans="2:2" ht="23.25" customHeight="1">
      <c r="B10598" s="2669"/>
    </row>
    <row r="10599" spans="2:2" ht="23.25" customHeight="1">
      <c r="B10599" s="2669"/>
    </row>
    <row r="10600" spans="2:2" ht="23.25" customHeight="1">
      <c r="B10600" s="2669"/>
    </row>
    <row r="10601" spans="2:2" ht="23.25" customHeight="1">
      <c r="B10601" s="2669"/>
    </row>
    <row r="10602" spans="2:2" ht="23.25" customHeight="1">
      <c r="B10602" s="2669"/>
    </row>
    <row r="10603" spans="2:2" ht="23.25" customHeight="1">
      <c r="B10603" s="2669"/>
    </row>
    <row r="10604" spans="2:2" ht="23.25" customHeight="1">
      <c r="B10604" s="2669"/>
    </row>
    <row r="10605" spans="2:2" ht="23.25" customHeight="1">
      <c r="B10605" s="2669"/>
    </row>
    <row r="10606" spans="2:2" ht="23.25" customHeight="1">
      <c r="B10606" s="2669"/>
    </row>
    <row r="10607" spans="2:2" ht="23.25" customHeight="1">
      <c r="B10607" s="2669"/>
    </row>
    <row r="10608" spans="2:2" ht="23.25" customHeight="1">
      <c r="B10608" s="2669"/>
    </row>
    <row r="10609" spans="2:2" ht="23.25" customHeight="1">
      <c r="B10609" s="2669"/>
    </row>
    <row r="10610" spans="2:2" ht="23.25" customHeight="1">
      <c r="B10610" s="2669"/>
    </row>
    <row r="10611" spans="2:2" ht="23.25" customHeight="1">
      <c r="B10611" s="2669"/>
    </row>
    <row r="10612" spans="2:2" ht="23.25" customHeight="1">
      <c r="B10612" s="2669"/>
    </row>
    <row r="10613" spans="2:2" ht="23.25" customHeight="1">
      <c r="B10613" s="2669"/>
    </row>
    <row r="10614" spans="2:2" ht="23.25" customHeight="1">
      <c r="B10614" s="2669"/>
    </row>
    <row r="10615" spans="2:2" ht="23.25" customHeight="1">
      <c r="B10615" s="2669"/>
    </row>
    <row r="10616" spans="2:2" ht="23.25" customHeight="1">
      <c r="B10616" s="2669"/>
    </row>
    <row r="10617" spans="2:2" ht="23.25" customHeight="1">
      <c r="B10617" s="2669"/>
    </row>
    <row r="10618" spans="2:2" ht="23.25" customHeight="1">
      <c r="B10618" s="2669"/>
    </row>
    <row r="10619" spans="2:2" ht="23.25" customHeight="1">
      <c r="B10619" s="2669"/>
    </row>
    <row r="10620" spans="2:2" ht="23.25" customHeight="1">
      <c r="B10620" s="2669"/>
    </row>
    <row r="10621" spans="2:2" ht="23.25" customHeight="1">
      <c r="B10621" s="2669"/>
    </row>
    <row r="10622" spans="2:2" ht="23.25" customHeight="1">
      <c r="B10622" s="2669"/>
    </row>
    <row r="10623" spans="2:2" ht="23.25" customHeight="1">
      <c r="B10623" s="2669"/>
    </row>
    <row r="10624" spans="2:2" ht="23.25" customHeight="1">
      <c r="B10624" s="2669"/>
    </row>
    <row r="10625" spans="2:2" ht="23.25" customHeight="1">
      <c r="B10625" s="2669"/>
    </row>
    <row r="10626" spans="2:2" ht="23.25" customHeight="1">
      <c r="B10626" s="2669"/>
    </row>
    <row r="10627" spans="2:2" ht="23.25" customHeight="1">
      <c r="B10627" s="2669"/>
    </row>
    <row r="10628" spans="2:2" ht="23.25" customHeight="1">
      <c r="B10628" s="2669"/>
    </row>
    <row r="10629" spans="2:2" ht="23.25" customHeight="1">
      <c r="B10629" s="2669"/>
    </row>
    <row r="10630" spans="2:2" ht="23.25" customHeight="1">
      <c r="B10630" s="2669"/>
    </row>
    <row r="10631" spans="2:2" ht="23.25" customHeight="1">
      <c r="B10631" s="2669"/>
    </row>
    <row r="10632" spans="2:2" ht="23.25" customHeight="1">
      <c r="B10632" s="2669"/>
    </row>
    <row r="10633" spans="2:2" ht="23.25" customHeight="1">
      <c r="B10633" s="2669"/>
    </row>
    <row r="10634" spans="2:2" ht="23.25" customHeight="1">
      <c r="B10634" s="2669"/>
    </row>
    <row r="10635" spans="2:2" ht="23.25" customHeight="1">
      <c r="B10635" s="2669"/>
    </row>
    <row r="10636" spans="2:2" ht="23.25" customHeight="1">
      <c r="B10636" s="2669"/>
    </row>
    <row r="10637" spans="2:2" ht="23.25" customHeight="1">
      <c r="B10637" s="2669"/>
    </row>
    <row r="10638" spans="2:2" ht="23.25" customHeight="1">
      <c r="B10638" s="2669"/>
    </row>
    <row r="10639" spans="2:2" ht="23.25" customHeight="1">
      <c r="B10639" s="2669"/>
    </row>
    <row r="10640" spans="2:2" ht="23.25" customHeight="1">
      <c r="B10640" s="2669"/>
    </row>
    <row r="10641" spans="2:2" ht="23.25" customHeight="1">
      <c r="B10641" s="2669"/>
    </row>
    <row r="10642" spans="2:2" ht="23.25" customHeight="1">
      <c r="B10642" s="2669"/>
    </row>
    <row r="10643" spans="2:2" ht="23.25" customHeight="1">
      <c r="B10643" s="2669"/>
    </row>
    <row r="10644" spans="2:2" ht="23.25" customHeight="1">
      <c r="B10644" s="2669"/>
    </row>
    <row r="10645" spans="2:2" ht="23.25" customHeight="1">
      <c r="B10645" s="2669"/>
    </row>
    <row r="10646" spans="2:2" ht="23.25" customHeight="1">
      <c r="B10646" s="2669"/>
    </row>
    <row r="10647" spans="2:2" ht="23.25" customHeight="1">
      <c r="B10647" s="2669"/>
    </row>
    <row r="10648" spans="2:2" ht="23.25" customHeight="1">
      <c r="B10648" s="2669"/>
    </row>
    <row r="10649" spans="2:2" ht="23.25" customHeight="1">
      <c r="B10649" s="2669"/>
    </row>
    <row r="10650" spans="2:2" ht="23.25" customHeight="1">
      <c r="B10650" s="2669"/>
    </row>
    <row r="10651" spans="2:2" ht="23.25" customHeight="1">
      <c r="B10651" s="2669"/>
    </row>
    <row r="10652" spans="2:2" ht="23.25" customHeight="1">
      <c r="B10652" s="2669"/>
    </row>
    <row r="10653" spans="2:2" ht="23.25" customHeight="1">
      <c r="B10653" s="2669"/>
    </row>
    <row r="10654" spans="2:2" ht="23.25" customHeight="1">
      <c r="B10654" s="2669"/>
    </row>
    <row r="10655" spans="2:2" ht="23.25" customHeight="1">
      <c r="B10655" s="2669"/>
    </row>
    <row r="10656" spans="2:2" ht="23.25" customHeight="1">
      <c r="B10656" s="2669"/>
    </row>
    <row r="10657" spans="2:2" ht="23.25" customHeight="1">
      <c r="B10657" s="2669"/>
    </row>
    <row r="10658" spans="2:2" ht="23.25" customHeight="1">
      <c r="B10658" s="2669"/>
    </row>
    <row r="10659" spans="2:2" ht="23.25" customHeight="1">
      <c r="B10659" s="2669"/>
    </row>
    <row r="10660" spans="2:2" ht="23.25" customHeight="1">
      <c r="B10660" s="2669"/>
    </row>
    <row r="10661" spans="2:2" ht="23.25" customHeight="1">
      <c r="B10661" s="2669"/>
    </row>
    <row r="10662" spans="2:2" ht="23.25" customHeight="1">
      <c r="B10662" s="2669"/>
    </row>
    <row r="10663" spans="2:2" ht="23.25" customHeight="1">
      <c r="B10663" s="2669"/>
    </row>
    <row r="10664" spans="2:2" ht="23.25" customHeight="1">
      <c r="B10664" s="2669"/>
    </row>
    <row r="10665" spans="2:2" ht="23.25" customHeight="1">
      <c r="B10665" s="2669"/>
    </row>
    <row r="10666" spans="2:2" ht="23.25" customHeight="1">
      <c r="B10666" s="2669"/>
    </row>
    <row r="10667" spans="2:2" ht="23.25" customHeight="1">
      <c r="B10667" s="2669"/>
    </row>
    <row r="10668" spans="2:2" ht="23.25" customHeight="1">
      <c r="B10668" s="2669"/>
    </row>
    <row r="10669" spans="2:2" ht="23.25" customHeight="1">
      <c r="B10669" s="2669"/>
    </row>
    <row r="10670" spans="2:2" ht="23.25" customHeight="1">
      <c r="B10670" s="2669"/>
    </row>
    <row r="10671" spans="2:2" ht="23.25" customHeight="1">
      <c r="B10671" s="2669"/>
    </row>
    <row r="10672" spans="2:2" ht="23.25" customHeight="1">
      <c r="B10672" s="2669"/>
    </row>
    <row r="10673" spans="2:2" ht="23.25" customHeight="1">
      <c r="B10673" s="2669"/>
    </row>
    <row r="10674" spans="2:2" ht="23.25" customHeight="1">
      <c r="B10674" s="2669"/>
    </row>
    <row r="10675" spans="2:2" ht="23.25" customHeight="1">
      <c r="B10675" s="2669"/>
    </row>
    <row r="10676" spans="2:2" ht="23.25" customHeight="1">
      <c r="B10676" s="2669"/>
    </row>
    <row r="10677" spans="2:2" ht="23.25" customHeight="1">
      <c r="B10677" s="2669"/>
    </row>
    <row r="10678" spans="2:2" ht="23.25" customHeight="1">
      <c r="B10678" s="2669"/>
    </row>
    <row r="10679" spans="2:2" ht="23.25" customHeight="1">
      <c r="B10679" s="2669"/>
    </row>
    <row r="10680" spans="2:2" ht="23.25" customHeight="1">
      <c r="B10680" s="2669"/>
    </row>
    <row r="10681" spans="2:2" ht="23.25" customHeight="1">
      <c r="B10681" s="2669"/>
    </row>
    <row r="10682" spans="2:2" ht="23.25" customHeight="1">
      <c r="B10682" s="2669"/>
    </row>
    <row r="10683" spans="2:2" ht="23.25" customHeight="1">
      <c r="B10683" s="2669"/>
    </row>
    <row r="10684" spans="2:2" ht="23.25" customHeight="1">
      <c r="B10684" s="2669"/>
    </row>
    <row r="10685" spans="2:2" ht="23.25" customHeight="1">
      <c r="B10685" s="2669"/>
    </row>
    <row r="10686" spans="2:2" ht="23.25" customHeight="1">
      <c r="B10686" s="2669"/>
    </row>
    <row r="10687" spans="2:2" ht="23.25" customHeight="1">
      <c r="B10687" s="2669"/>
    </row>
    <row r="10688" spans="2:2" ht="23.25" customHeight="1">
      <c r="B10688" s="2669"/>
    </row>
    <row r="10689" spans="2:2" ht="23.25" customHeight="1">
      <c r="B10689" s="2669"/>
    </row>
    <row r="10690" spans="2:2" ht="23.25" customHeight="1">
      <c r="B10690" s="2669"/>
    </row>
    <row r="10691" spans="2:2" ht="23.25" customHeight="1">
      <c r="B10691" s="2669"/>
    </row>
    <row r="10692" spans="2:2" ht="23.25" customHeight="1">
      <c r="B10692" s="2669"/>
    </row>
    <row r="10693" spans="2:2" ht="23.25" customHeight="1">
      <c r="B10693" s="2669"/>
    </row>
    <row r="10694" spans="2:2" ht="23.25" customHeight="1">
      <c r="B10694" s="2669"/>
    </row>
    <row r="10695" spans="2:2" ht="23.25" customHeight="1">
      <c r="B10695" s="2669"/>
    </row>
    <row r="10696" spans="2:2" ht="23.25" customHeight="1">
      <c r="B10696" s="2669"/>
    </row>
    <row r="10697" spans="2:2" ht="23.25" customHeight="1">
      <c r="B10697" s="2669"/>
    </row>
    <row r="10698" spans="2:2" ht="23.25" customHeight="1">
      <c r="B10698" s="2669"/>
    </row>
    <row r="10699" spans="2:2" ht="23.25" customHeight="1">
      <c r="B10699" s="2669"/>
    </row>
    <row r="10700" spans="2:2" ht="23.25" customHeight="1">
      <c r="B10700" s="2669"/>
    </row>
    <row r="10701" spans="2:2" ht="23.25" customHeight="1">
      <c r="B10701" s="2669"/>
    </row>
    <row r="10702" spans="2:2" ht="23.25" customHeight="1">
      <c r="B10702" s="2669"/>
    </row>
    <row r="10703" spans="2:2" ht="23.25" customHeight="1">
      <c r="B10703" s="2669"/>
    </row>
    <row r="10704" spans="2:2" ht="23.25" customHeight="1">
      <c r="B10704" s="2669"/>
    </row>
    <row r="10705" spans="2:2" ht="23.25" customHeight="1">
      <c r="B10705" s="2669"/>
    </row>
    <row r="10706" spans="2:2" ht="23.25" customHeight="1">
      <c r="B10706" s="2669"/>
    </row>
    <row r="10707" spans="2:2" ht="23.25" customHeight="1">
      <c r="B10707" s="2669"/>
    </row>
    <row r="10708" spans="2:2" ht="23.25" customHeight="1">
      <c r="B10708" s="2669"/>
    </row>
    <row r="10709" spans="2:2" ht="23.25" customHeight="1">
      <c r="B10709" s="2669"/>
    </row>
    <row r="10710" spans="2:2" ht="23.25" customHeight="1">
      <c r="B10710" s="2669"/>
    </row>
    <row r="10711" spans="2:2" ht="23.25" customHeight="1">
      <c r="B10711" s="2669"/>
    </row>
    <row r="10712" spans="2:2" ht="23.25" customHeight="1">
      <c r="B10712" s="2669"/>
    </row>
    <row r="10713" spans="2:2" ht="23.25" customHeight="1">
      <c r="B10713" s="2669"/>
    </row>
    <row r="10714" spans="2:2" ht="23.25" customHeight="1">
      <c r="B10714" s="2669"/>
    </row>
    <row r="10715" spans="2:2" ht="23.25" customHeight="1">
      <c r="B10715" s="2669"/>
    </row>
    <row r="10716" spans="2:2" ht="23.25" customHeight="1">
      <c r="B10716" s="2669"/>
    </row>
    <row r="10717" spans="2:2" ht="23.25" customHeight="1">
      <c r="B10717" s="2669"/>
    </row>
    <row r="10718" spans="2:2" ht="23.25" customHeight="1">
      <c r="B10718" s="2669"/>
    </row>
    <row r="10719" spans="2:2" ht="23.25" customHeight="1">
      <c r="B10719" s="2669"/>
    </row>
    <row r="10720" spans="2:2" ht="23.25" customHeight="1">
      <c r="B10720" s="2669"/>
    </row>
    <row r="10721" spans="2:2" ht="23.25" customHeight="1">
      <c r="B10721" s="2669"/>
    </row>
    <row r="10722" spans="2:2" ht="23.25" customHeight="1">
      <c r="B10722" s="2669"/>
    </row>
    <row r="10723" spans="2:2" ht="23.25" customHeight="1">
      <c r="B10723" s="2669"/>
    </row>
    <row r="10724" spans="2:2" ht="23.25" customHeight="1">
      <c r="B10724" s="2669"/>
    </row>
    <row r="10725" spans="2:2" ht="23.25" customHeight="1">
      <c r="B10725" s="2669"/>
    </row>
    <row r="10726" spans="2:2" ht="23.25" customHeight="1">
      <c r="B10726" s="2669"/>
    </row>
    <row r="10727" spans="2:2" ht="23.25" customHeight="1">
      <c r="B10727" s="2669"/>
    </row>
    <row r="10728" spans="2:2" ht="23.25" customHeight="1">
      <c r="B10728" s="2669"/>
    </row>
    <row r="10729" spans="2:2" ht="23.25" customHeight="1">
      <c r="B10729" s="2669"/>
    </row>
    <row r="10730" spans="2:2" ht="23.25" customHeight="1">
      <c r="B10730" s="2669"/>
    </row>
    <row r="10731" spans="2:2" ht="23.25" customHeight="1">
      <c r="B10731" s="2669"/>
    </row>
    <row r="10732" spans="2:2" ht="23.25" customHeight="1">
      <c r="B10732" s="2669"/>
    </row>
    <row r="10733" spans="2:2" ht="23.25" customHeight="1">
      <c r="B10733" s="2669"/>
    </row>
    <row r="10734" spans="2:2" ht="23.25" customHeight="1">
      <c r="B10734" s="2669"/>
    </row>
    <row r="10735" spans="2:2" ht="23.25" customHeight="1">
      <c r="B10735" s="2669"/>
    </row>
    <row r="10736" spans="2:2" ht="23.25" customHeight="1">
      <c r="B10736" s="2669"/>
    </row>
    <row r="10737" spans="2:2" ht="23.25" customHeight="1">
      <c r="B10737" s="2669"/>
    </row>
    <row r="10738" spans="2:2" ht="23.25" customHeight="1">
      <c r="B10738" s="2669"/>
    </row>
    <row r="10739" spans="2:2" ht="23.25" customHeight="1">
      <c r="B10739" s="2669"/>
    </row>
    <row r="10740" spans="2:2" ht="23.25" customHeight="1">
      <c r="B10740" s="2669"/>
    </row>
    <row r="10741" spans="2:2" ht="23.25" customHeight="1">
      <c r="B10741" s="2669"/>
    </row>
    <row r="10742" spans="2:2" ht="23.25" customHeight="1">
      <c r="B10742" s="2669"/>
    </row>
    <row r="10743" spans="2:2" ht="23.25" customHeight="1">
      <c r="B10743" s="2669"/>
    </row>
    <row r="10744" spans="2:2" ht="23.25" customHeight="1">
      <c r="B10744" s="2669"/>
    </row>
    <row r="10745" spans="2:2" ht="23.25" customHeight="1">
      <c r="B10745" s="2669"/>
    </row>
    <row r="10746" spans="2:2" ht="23.25" customHeight="1">
      <c r="B10746" s="2669"/>
    </row>
    <row r="10747" spans="2:2" ht="23.25" customHeight="1">
      <c r="B10747" s="2669"/>
    </row>
    <row r="10748" spans="2:2" ht="23.25" customHeight="1">
      <c r="B10748" s="2669"/>
    </row>
    <row r="10749" spans="2:2" ht="23.25" customHeight="1">
      <c r="B10749" s="2669"/>
    </row>
    <row r="10750" spans="2:2" ht="23.25" customHeight="1">
      <c r="B10750" s="2669"/>
    </row>
    <row r="10751" spans="2:2" ht="23.25" customHeight="1">
      <c r="B10751" s="2669"/>
    </row>
    <row r="10752" spans="2:2" ht="23.25" customHeight="1">
      <c r="B10752" s="2669"/>
    </row>
    <row r="10753" spans="2:2" ht="23.25" customHeight="1">
      <c r="B10753" s="2669"/>
    </row>
    <row r="10754" spans="2:2" ht="23.25" customHeight="1">
      <c r="B10754" s="2669"/>
    </row>
    <row r="10755" spans="2:2" ht="23.25" customHeight="1">
      <c r="B10755" s="2669"/>
    </row>
    <row r="10756" spans="2:2" ht="23.25" customHeight="1">
      <c r="B10756" s="2669"/>
    </row>
    <row r="10757" spans="2:2" ht="23.25" customHeight="1">
      <c r="B10757" s="2669"/>
    </row>
    <row r="10758" spans="2:2" ht="23.25" customHeight="1">
      <c r="B10758" s="2669"/>
    </row>
    <row r="10759" spans="2:2" ht="23.25" customHeight="1">
      <c r="B10759" s="2669"/>
    </row>
    <row r="10760" spans="2:2" ht="23.25" customHeight="1">
      <c r="B10760" s="2669"/>
    </row>
    <row r="10761" spans="2:2" ht="23.25" customHeight="1">
      <c r="B10761" s="2669"/>
    </row>
    <row r="10762" spans="2:2" ht="23.25" customHeight="1">
      <c r="B10762" s="2669"/>
    </row>
    <row r="10763" spans="2:2" ht="23.25" customHeight="1">
      <c r="B10763" s="2669"/>
    </row>
    <row r="10764" spans="2:2" ht="23.25" customHeight="1">
      <c r="B10764" s="2669"/>
    </row>
    <row r="10765" spans="2:2" ht="23.25" customHeight="1">
      <c r="B10765" s="2669"/>
    </row>
    <row r="10766" spans="2:2" ht="23.25" customHeight="1">
      <c r="B10766" s="2669"/>
    </row>
    <row r="10767" spans="2:2" ht="23.25" customHeight="1">
      <c r="B10767" s="2669"/>
    </row>
    <row r="10768" spans="2:2" ht="23.25" customHeight="1">
      <c r="B10768" s="2669"/>
    </row>
    <row r="10769" spans="2:2" ht="23.25" customHeight="1">
      <c r="B10769" s="2669"/>
    </row>
    <row r="10770" spans="2:2" ht="23.25" customHeight="1">
      <c r="B10770" s="2669"/>
    </row>
    <row r="10771" spans="2:2" ht="23.25" customHeight="1">
      <c r="B10771" s="2669"/>
    </row>
    <row r="10772" spans="2:2" ht="23.25" customHeight="1">
      <c r="B10772" s="2669"/>
    </row>
    <row r="10773" spans="2:2" ht="23.25" customHeight="1">
      <c r="B10773" s="2669"/>
    </row>
    <row r="10774" spans="2:2" ht="23.25" customHeight="1">
      <c r="B10774" s="2669"/>
    </row>
    <row r="10775" spans="2:2" ht="23.25" customHeight="1">
      <c r="B10775" s="2669"/>
    </row>
    <row r="10776" spans="2:2" ht="23.25" customHeight="1">
      <c r="B10776" s="2669"/>
    </row>
    <row r="10777" spans="2:2" ht="23.25" customHeight="1">
      <c r="B10777" s="2669"/>
    </row>
    <row r="10778" spans="2:2" ht="23.25" customHeight="1">
      <c r="B10778" s="2669"/>
    </row>
    <row r="10779" spans="2:2" ht="23.25" customHeight="1">
      <c r="B10779" s="2669"/>
    </row>
    <row r="10780" spans="2:2" ht="23.25" customHeight="1">
      <c r="B10780" s="2669"/>
    </row>
    <row r="10781" spans="2:2" ht="23.25" customHeight="1">
      <c r="B10781" s="2669"/>
    </row>
    <row r="10782" spans="2:2" ht="23.25" customHeight="1">
      <c r="B10782" s="2669"/>
    </row>
    <row r="10783" spans="2:2" ht="23.25" customHeight="1">
      <c r="B10783" s="2669"/>
    </row>
    <row r="10784" spans="2:2" ht="23.25" customHeight="1">
      <c r="B10784" s="2669"/>
    </row>
    <row r="10785" spans="2:2" ht="23.25" customHeight="1">
      <c r="B10785" s="2669"/>
    </row>
    <row r="10786" spans="2:2" ht="23.25" customHeight="1">
      <c r="B10786" s="2669"/>
    </row>
    <row r="10787" spans="2:2" ht="23.25" customHeight="1">
      <c r="B10787" s="2669"/>
    </row>
    <row r="10788" spans="2:2" ht="23.25" customHeight="1">
      <c r="B10788" s="2669"/>
    </row>
    <row r="10789" spans="2:2" ht="23.25" customHeight="1">
      <c r="B10789" s="2669"/>
    </row>
    <row r="10790" spans="2:2" ht="23.25" customHeight="1">
      <c r="B10790" s="2669"/>
    </row>
    <row r="10791" spans="2:2" ht="23.25" customHeight="1">
      <c r="B10791" s="2669"/>
    </row>
    <row r="10792" spans="2:2" ht="23.25" customHeight="1">
      <c r="B10792" s="2669"/>
    </row>
    <row r="10793" spans="2:2" ht="23.25" customHeight="1">
      <c r="B10793" s="2669"/>
    </row>
    <row r="10794" spans="2:2" ht="23.25" customHeight="1">
      <c r="B10794" s="2669"/>
    </row>
    <row r="10795" spans="2:2" ht="23.25" customHeight="1">
      <c r="B10795" s="2669"/>
    </row>
    <row r="10796" spans="2:2" ht="23.25" customHeight="1">
      <c r="B10796" s="2669"/>
    </row>
    <row r="10797" spans="2:2" ht="23.25" customHeight="1">
      <c r="B10797" s="2669"/>
    </row>
    <row r="10798" spans="2:2" ht="23.25" customHeight="1">
      <c r="B10798" s="2669"/>
    </row>
    <row r="10799" spans="2:2" ht="23.25" customHeight="1">
      <c r="B10799" s="2669"/>
    </row>
    <row r="10800" spans="2:2" ht="23.25" customHeight="1">
      <c r="B10800" s="2669"/>
    </row>
    <row r="10801" spans="2:2" ht="23.25" customHeight="1">
      <c r="B10801" s="2669"/>
    </row>
    <row r="10802" spans="2:2" ht="23.25" customHeight="1">
      <c r="B10802" s="2669"/>
    </row>
    <row r="10803" spans="2:2" ht="23.25" customHeight="1">
      <c r="B10803" s="2669"/>
    </row>
    <row r="10804" spans="2:2" ht="23.25" customHeight="1">
      <c r="B10804" s="2669"/>
    </row>
    <row r="10805" spans="2:2" ht="23.25" customHeight="1">
      <c r="B10805" s="2669"/>
    </row>
    <row r="10806" spans="2:2" ht="23.25" customHeight="1">
      <c r="B10806" s="2669"/>
    </row>
    <row r="10807" spans="2:2" ht="23.25" customHeight="1">
      <c r="B10807" s="2669"/>
    </row>
    <row r="10808" spans="2:2" ht="23.25" customHeight="1">
      <c r="B10808" s="2669"/>
    </row>
    <row r="10809" spans="2:2" ht="23.25" customHeight="1">
      <c r="B10809" s="2669"/>
    </row>
    <row r="10810" spans="2:2" ht="23.25" customHeight="1">
      <c r="B10810" s="2669"/>
    </row>
    <row r="10811" spans="2:2" ht="23.25" customHeight="1">
      <c r="B10811" s="2669"/>
    </row>
    <row r="10812" spans="2:2" ht="23.25" customHeight="1">
      <c r="B10812" s="2669"/>
    </row>
    <row r="10813" spans="2:2" ht="23.25" customHeight="1">
      <c r="B10813" s="2669"/>
    </row>
    <row r="10814" spans="2:2" ht="23.25" customHeight="1">
      <c r="B10814" s="2669"/>
    </row>
    <row r="10815" spans="2:2" ht="23.25" customHeight="1">
      <c r="B10815" s="2669"/>
    </row>
    <row r="10816" spans="2:2" ht="23.25" customHeight="1">
      <c r="B10816" s="2669"/>
    </row>
    <row r="10817" spans="2:2" ht="23.25" customHeight="1">
      <c r="B10817" s="2669"/>
    </row>
    <row r="10818" spans="2:2" ht="23.25" customHeight="1">
      <c r="B10818" s="2669"/>
    </row>
    <row r="10819" spans="2:2" ht="23.25" customHeight="1">
      <c r="B10819" s="2669"/>
    </row>
    <row r="10820" spans="2:2" ht="23.25" customHeight="1">
      <c r="B10820" s="2669"/>
    </row>
    <row r="10821" spans="2:2" ht="23.25" customHeight="1">
      <c r="B10821" s="2669"/>
    </row>
    <row r="10822" spans="2:2" ht="23.25" customHeight="1">
      <c r="B10822" s="2669"/>
    </row>
    <row r="10823" spans="2:2" ht="23.25" customHeight="1">
      <c r="B10823" s="2669"/>
    </row>
    <row r="10824" spans="2:2" ht="23.25" customHeight="1">
      <c r="B10824" s="2669"/>
    </row>
    <row r="10825" spans="2:2" ht="23.25" customHeight="1">
      <c r="B10825" s="2669"/>
    </row>
    <row r="10826" spans="2:2" ht="23.25" customHeight="1">
      <c r="B10826" s="2669"/>
    </row>
    <row r="10827" spans="2:2" ht="23.25" customHeight="1">
      <c r="B10827" s="2669"/>
    </row>
    <row r="10828" spans="2:2" ht="23.25" customHeight="1">
      <c r="B10828" s="2669"/>
    </row>
    <row r="10829" spans="2:2" ht="23.25" customHeight="1">
      <c r="B10829" s="2669"/>
    </row>
    <row r="10830" spans="2:2" ht="23.25" customHeight="1">
      <c r="B10830" s="2669"/>
    </row>
    <row r="10831" spans="2:2" ht="23.25" customHeight="1">
      <c r="B10831" s="2669"/>
    </row>
    <row r="10832" spans="2:2" ht="23.25" customHeight="1">
      <c r="B10832" s="2669"/>
    </row>
    <row r="10833" spans="2:2" ht="23.25" customHeight="1">
      <c r="B10833" s="2669"/>
    </row>
    <row r="10834" spans="2:2" ht="23.25" customHeight="1">
      <c r="B10834" s="2669"/>
    </row>
    <row r="10835" spans="2:2" ht="23.25" customHeight="1">
      <c r="B10835" s="2669"/>
    </row>
    <row r="10836" spans="2:2" ht="23.25" customHeight="1">
      <c r="B10836" s="2669"/>
    </row>
    <row r="10837" spans="2:2" ht="23.25" customHeight="1">
      <c r="B10837" s="2669"/>
    </row>
    <row r="10838" spans="2:2" ht="23.25" customHeight="1">
      <c r="B10838" s="2669"/>
    </row>
    <row r="10839" spans="2:2" ht="23.25" customHeight="1">
      <c r="B10839" s="2669"/>
    </row>
    <row r="10840" spans="2:2" ht="23.25" customHeight="1">
      <c r="B10840" s="2669"/>
    </row>
    <row r="10841" spans="2:2" ht="23.25" customHeight="1">
      <c r="B10841" s="2669"/>
    </row>
    <row r="10842" spans="2:2" ht="23.25" customHeight="1">
      <c r="B10842" s="2669"/>
    </row>
    <row r="10843" spans="2:2" ht="23.25" customHeight="1">
      <c r="B10843" s="2669"/>
    </row>
    <row r="10844" spans="2:2" ht="23.25" customHeight="1">
      <c r="B10844" s="2669"/>
    </row>
    <row r="10845" spans="2:2" ht="23.25" customHeight="1">
      <c r="B10845" s="2669"/>
    </row>
    <row r="10846" spans="2:2" ht="23.25" customHeight="1">
      <c r="B10846" s="2669"/>
    </row>
    <row r="10847" spans="2:2" ht="23.25" customHeight="1">
      <c r="B10847" s="2669"/>
    </row>
    <row r="10848" spans="2:2" ht="23.25" customHeight="1">
      <c r="B10848" s="2669"/>
    </row>
    <row r="10849" spans="2:2" ht="23.25" customHeight="1">
      <c r="B10849" s="2669"/>
    </row>
    <row r="10850" spans="2:2" ht="23.25" customHeight="1">
      <c r="B10850" s="2669"/>
    </row>
    <row r="10851" spans="2:2" ht="23.25" customHeight="1">
      <c r="B10851" s="2669"/>
    </row>
    <row r="10852" spans="2:2" ht="23.25" customHeight="1">
      <c r="B10852" s="2669"/>
    </row>
    <row r="10853" spans="2:2" ht="23.25" customHeight="1">
      <c r="B10853" s="2669"/>
    </row>
    <row r="10854" spans="2:2" ht="23.25" customHeight="1">
      <c r="B10854" s="2669"/>
    </row>
    <row r="10855" spans="2:2" ht="23.25" customHeight="1">
      <c r="B10855" s="2669"/>
    </row>
    <row r="10856" spans="2:2" ht="23.25" customHeight="1">
      <c r="B10856" s="2669"/>
    </row>
    <row r="10857" spans="2:2" ht="23.25" customHeight="1">
      <c r="B10857" s="2669"/>
    </row>
    <row r="10858" spans="2:2" ht="23.25" customHeight="1">
      <c r="B10858" s="2669"/>
    </row>
    <row r="10859" spans="2:2" ht="23.25" customHeight="1">
      <c r="B10859" s="2669"/>
    </row>
    <row r="10860" spans="2:2" ht="23.25" customHeight="1">
      <c r="B10860" s="2669"/>
    </row>
    <row r="10861" spans="2:2" ht="23.25" customHeight="1">
      <c r="B10861" s="2669"/>
    </row>
    <row r="10862" spans="2:2" ht="23.25" customHeight="1">
      <c r="B10862" s="2669"/>
    </row>
    <row r="10863" spans="2:2" ht="23.25" customHeight="1">
      <c r="B10863" s="2669"/>
    </row>
    <row r="10864" spans="2:2" ht="23.25" customHeight="1">
      <c r="B10864" s="2669"/>
    </row>
    <row r="10865" spans="2:2" ht="23.25" customHeight="1">
      <c r="B10865" s="2669"/>
    </row>
    <row r="10866" spans="2:2" ht="23.25" customHeight="1">
      <c r="B10866" s="2669"/>
    </row>
    <row r="10867" spans="2:2" ht="23.25" customHeight="1">
      <c r="B10867" s="2669"/>
    </row>
    <row r="10868" spans="2:2" ht="23.25" customHeight="1">
      <c r="B10868" s="2669"/>
    </row>
    <row r="10869" spans="2:2" ht="23.25" customHeight="1">
      <c r="B10869" s="2669"/>
    </row>
    <row r="10870" spans="2:2" ht="23.25" customHeight="1">
      <c r="B10870" s="2669"/>
    </row>
    <row r="10871" spans="2:2" ht="23.25" customHeight="1">
      <c r="B10871" s="2669"/>
    </row>
    <row r="10872" spans="2:2" ht="23.25" customHeight="1">
      <c r="B10872" s="2669"/>
    </row>
    <row r="10873" spans="2:2" ht="23.25" customHeight="1">
      <c r="B10873" s="2669"/>
    </row>
    <row r="10874" spans="2:2" ht="23.25" customHeight="1">
      <c r="B10874" s="2669"/>
    </row>
    <row r="10875" spans="2:2" ht="23.25" customHeight="1">
      <c r="B10875" s="2669"/>
    </row>
    <row r="10876" spans="2:2" ht="23.25" customHeight="1">
      <c r="B10876" s="2669"/>
    </row>
    <row r="10877" spans="2:2" ht="23.25" customHeight="1">
      <c r="B10877" s="2669"/>
    </row>
    <row r="10878" spans="2:2" ht="23.25" customHeight="1">
      <c r="B10878" s="2669"/>
    </row>
    <row r="10879" spans="2:2" ht="23.25" customHeight="1">
      <c r="B10879" s="2669"/>
    </row>
    <row r="10880" spans="2:2" ht="23.25" customHeight="1">
      <c r="B10880" s="2669"/>
    </row>
    <row r="10881" spans="2:2" ht="23.25" customHeight="1">
      <c r="B10881" s="2669"/>
    </row>
    <row r="10882" spans="2:2" ht="23.25" customHeight="1">
      <c r="B10882" s="2669"/>
    </row>
    <row r="10883" spans="2:2" ht="23.25" customHeight="1">
      <c r="B10883" s="2669"/>
    </row>
    <row r="10884" spans="2:2" ht="23.25" customHeight="1">
      <c r="B10884" s="2669"/>
    </row>
    <row r="10885" spans="2:2" ht="23.25" customHeight="1">
      <c r="B10885" s="2669"/>
    </row>
    <row r="10886" spans="2:2" ht="23.25" customHeight="1">
      <c r="B10886" s="2669"/>
    </row>
    <row r="10887" spans="2:2" ht="23.25" customHeight="1">
      <c r="B10887" s="2669"/>
    </row>
    <row r="10888" spans="2:2" ht="23.25" customHeight="1">
      <c r="B10888" s="2669"/>
    </row>
    <row r="10889" spans="2:2" ht="23.25" customHeight="1">
      <c r="B10889" s="2669"/>
    </row>
    <row r="10890" spans="2:2" ht="23.25" customHeight="1">
      <c r="B10890" s="2669"/>
    </row>
    <row r="10891" spans="2:2" ht="23.25" customHeight="1">
      <c r="B10891" s="2669"/>
    </row>
    <row r="10892" spans="2:2" ht="23.25" customHeight="1">
      <c r="B10892" s="2669"/>
    </row>
    <row r="10893" spans="2:2" ht="23.25" customHeight="1">
      <c r="B10893" s="2669"/>
    </row>
    <row r="10894" spans="2:2" ht="23.25" customHeight="1">
      <c r="B10894" s="2669"/>
    </row>
    <row r="10895" spans="2:2" ht="23.25" customHeight="1">
      <c r="B10895" s="2669"/>
    </row>
    <row r="10896" spans="2:2" ht="23.25" customHeight="1">
      <c r="B10896" s="2669"/>
    </row>
    <row r="10897" spans="2:2" ht="23.25" customHeight="1">
      <c r="B10897" s="2669"/>
    </row>
    <row r="10898" spans="2:2" ht="23.25" customHeight="1">
      <c r="B10898" s="2669"/>
    </row>
    <row r="10899" spans="2:2" ht="23.25" customHeight="1">
      <c r="B10899" s="2669"/>
    </row>
    <row r="10900" spans="2:2" ht="23.25" customHeight="1">
      <c r="B10900" s="2669"/>
    </row>
    <row r="10901" spans="2:2" ht="23.25" customHeight="1">
      <c r="B10901" s="2669"/>
    </row>
    <row r="10902" spans="2:2" ht="23.25" customHeight="1">
      <c r="B10902" s="2669"/>
    </row>
    <row r="10903" spans="2:2" ht="23.25" customHeight="1">
      <c r="B10903" s="2669"/>
    </row>
    <row r="10904" spans="2:2" ht="23.25" customHeight="1">
      <c r="B10904" s="2669"/>
    </row>
    <row r="10905" spans="2:2" ht="23.25" customHeight="1">
      <c r="B10905" s="2669"/>
    </row>
    <row r="10906" spans="2:2" ht="23.25" customHeight="1">
      <c r="B10906" s="2669"/>
    </row>
    <row r="10907" spans="2:2" ht="23.25" customHeight="1">
      <c r="B10907" s="2669"/>
    </row>
    <row r="10908" spans="2:2" ht="23.25" customHeight="1">
      <c r="B10908" s="2669"/>
    </row>
    <row r="10909" spans="2:2" ht="23.25" customHeight="1">
      <c r="B10909" s="2669"/>
    </row>
    <row r="10910" spans="2:2" ht="23.25" customHeight="1">
      <c r="B10910" s="2669"/>
    </row>
    <row r="10911" spans="2:2" ht="23.25" customHeight="1">
      <c r="B10911" s="2669"/>
    </row>
    <row r="10912" spans="2:2" ht="23.25" customHeight="1">
      <c r="B10912" s="2669"/>
    </row>
    <row r="10913" spans="2:2" ht="23.25" customHeight="1">
      <c r="B10913" s="2669"/>
    </row>
    <row r="10914" spans="2:2" ht="23.25" customHeight="1">
      <c r="B10914" s="2669"/>
    </row>
    <row r="10915" spans="2:2" ht="23.25" customHeight="1">
      <c r="B10915" s="2669"/>
    </row>
    <row r="10916" spans="2:2" ht="23.25" customHeight="1">
      <c r="B10916" s="2669"/>
    </row>
    <row r="10917" spans="2:2" ht="23.25" customHeight="1">
      <c r="B10917" s="2669"/>
    </row>
    <row r="10918" spans="2:2" ht="23.25" customHeight="1">
      <c r="B10918" s="2669"/>
    </row>
    <row r="10919" spans="2:2" ht="23.25" customHeight="1">
      <c r="B10919" s="2669"/>
    </row>
    <row r="10920" spans="2:2" ht="23.25" customHeight="1">
      <c r="B10920" s="2669"/>
    </row>
    <row r="10921" spans="2:2" ht="23.25" customHeight="1">
      <c r="B10921" s="2669"/>
    </row>
    <row r="10922" spans="2:2" ht="23.25" customHeight="1">
      <c r="B10922" s="2669"/>
    </row>
    <row r="10923" spans="2:2" ht="23.25" customHeight="1">
      <c r="B10923" s="2669"/>
    </row>
    <row r="10924" spans="2:2" ht="23.25" customHeight="1">
      <c r="B10924" s="2669"/>
    </row>
    <row r="10925" spans="2:2" ht="23.25" customHeight="1">
      <c r="B10925" s="2669"/>
    </row>
    <row r="10926" spans="2:2" ht="23.25" customHeight="1">
      <c r="B10926" s="2669"/>
    </row>
    <row r="10927" spans="2:2" ht="23.25" customHeight="1">
      <c r="B10927" s="2669"/>
    </row>
    <row r="10928" spans="2:2" ht="23.25" customHeight="1">
      <c r="B10928" s="2669"/>
    </row>
    <row r="10929" spans="2:2" ht="23.25" customHeight="1">
      <c r="B10929" s="2669"/>
    </row>
    <row r="10930" spans="2:2" ht="23.25" customHeight="1">
      <c r="B10930" s="2669"/>
    </row>
    <row r="10931" spans="2:2" ht="23.25" customHeight="1">
      <c r="B10931" s="2669"/>
    </row>
    <row r="10932" spans="2:2" ht="23.25" customHeight="1">
      <c r="B10932" s="2669"/>
    </row>
    <row r="10933" spans="2:2" ht="23.25" customHeight="1">
      <c r="B10933" s="2669"/>
    </row>
    <row r="10934" spans="2:2" ht="23.25" customHeight="1">
      <c r="B10934" s="2669"/>
    </row>
    <row r="10935" spans="2:2" ht="23.25" customHeight="1">
      <c r="B10935" s="2669"/>
    </row>
    <row r="10936" spans="2:2" ht="23.25" customHeight="1">
      <c r="B10936" s="2669"/>
    </row>
    <row r="10937" spans="2:2" ht="23.25" customHeight="1">
      <c r="B10937" s="2669"/>
    </row>
    <row r="10938" spans="2:2" ht="23.25" customHeight="1">
      <c r="B10938" s="2669"/>
    </row>
    <row r="10939" spans="2:2" ht="23.25" customHeight="1">
      <c r="B10939" s="2669"/>
    </row>
    <row r="10940" spans="2:2" ht="23.25" customHeight="1">
      <c r="B10940" s="2669"/>
    </row>
    <row r="10941" spans="2:2" ht="23.25" customHeight="1">
      <c r="B10941" s="2669"/>
    </row>
    <row r="10942" spans="2:2" ht="23.25" customHeight="1">
      <c r="B10942" s="2669"/>
    </row>
    <row r="10943" spans="2:2" ht="23.25" customHeight="1">
      <c r="B10943" s="2669"/>
    </row>
    <row r="10944" spans="2:2" ht="23.25" customHeight="1">
      <c r="B10944" s="2669"/>
    </row>
    <row r="10945" spans="2:2" ht="23.25" customHeight="1">
      <c r="B10945" s="2669"/>
    </row>
    <row r="10946" spans="2:2" ht="23.25" customHeight="1">
      <c r="B10946" s="2669"/>
    </row>
    <row r="10947" spans="2:2" ht="23.25" customHeight="1">
      <c r="B10947" s="2669"/>
    </row>
    <row r="10948" spans="2:2" ht="23.25" customHeight="1">
      <c r="B10948" s="2669"/>
    </row>
    <row r="10949" spans="2:2" ht="23.25" customHeight="1">
      <c r="B10949" s="2669"/>
    </row>
    <row r="10950" spans="2:2" ht="23.25" customHeight="1">
      <c r="B10950" s="2669"/>
    </row>
    <row r="10951" spans="2:2" ht="23.25" customHeight="1">
      <c r="B10951" s="2669"/>
    </row>
    <row r="10952" spans="2:2" ht="23.25" customHeight="1">
      <c r="B10952" s="2669"/>
    </row>
    <row r="10953" spans="2:2" ht="23.25" customHeight="1">
      <c r="B10953" s="2669"/>
    </row>
    <row r="10954" spans="2:2" ht="23.25" customHeight="1">
      <c r="B10954" s="2669"/>
    </row>
    <row r="10955" spans="2:2" ht="23.25" customHeight="1">
      <c r="B10955" s="2669"/>
    </row>
    <row r="10956" spans="2:2" ht="23.25" customHeight="1">
      <c r="B10956" s="2669"/>
    </row>
    <row r="10957" spans="2:2" ht="23.25" customHeight="1">
      <c r="B10957" s="2669"/>
    </row>
    <row r="10958" spans="2:2" ht="23.25" customHeight="1">
      <c r="B10958" s="2669"/>
    </row>
    <row r="10959" spans="2:2" ht="23.25" customHeight="1">
      <c r="B10959" s="2669"/>
    </row>
    <row r="10960" spans="2:2" ht="23.25" customHeight="1">
      <c r="B10960" s="2669"/>
    </row>
    <row r="10961" spans="2:2" ht="23.25" customHeight="1">
      <c r="B10961" s="2669"/>
    </row>
    <row r="10962" spans="2:2" ht="23.25" customHeight="1">
      <c r="B10962" s="2669"/>
    </row>
    <row r="10963" spans="2:2" ht="23.25" customHeight="1">
      <c r="B10963" s="2669"/>
    </row>
    <row r="10964" spans="2:2" ht="23.25" customHeight="1">
      <c r="B10964" s="2669"/>
    </row>
    <row r="10965" spans="2:2" ht="23.25" customHeight="1">
      <c r="B10965" s="2669"/>
    </row>
    <row r="10966" spans="2:2" ht="23.25" customHeight="1">
      <c r="B10966" s="2669"/>
    </row>
    <row r="10967" spans="2:2" ht="23.25" customHeight="1">
      <c r="B10967" s="2669"/>
    </row>
    <row r="10968" spans="2:2" ht="23.25" customHeight="1">
      <c r="B10968" s="2669"/>
    </row>
    <row r="10969" spans="2:2" ht="23.25" customHeight="1">
      <c r="B10969" s="2669"/>
    </row>
    <row r="10970" spans="2:2" ht="23.25" customHeight="1">
      <c r="B10970" s="2669"/>
    </row>
    <row r="10971" spans="2:2" ht="23.25" customHeight="1">
      <c r="B10971" s="2669"/>
    </row>
    <row r="10972" spans="2:2" ht="23.25" customHeight="1">
      <c r="B10972" s="2669"/>
    </row>
    <row r="10973" spans="2:2" ht="23.25" customHeight="1">
      <c r="B10973" s="2669"/>
    </row>
    <row r="10974" spans="2:2" ht="23.25" customHeight="1">
      <c r="B10974" s="2669"/>
    </row>
    <row r="10975" spans="2:2" ht="23.25" customHeight="1">
      <c r="B10975" s="2669"/>
    </row>
    <row r="10976" spans="2:2" ht="23.25" customHeight="1">
      <c r="B10976" s="2669"/>
    </row>
    <row r="10977" spans="2:2" ht="23.25" customHeight="1">
      <c r="B10977" s="2669"/>
    </row>
    <row r="10978" spans="2:2" ht="23.25" customHeight="1">
      <c r="B10978" s="2669"/>
    </row>
    <row r="10979" spans="2:2" ht="23.25" customHeight="1">
      <c r="B10979" s="2669"/>
    </row>
    <row r="10980" spans="2:2" ht="23.25" customHeight="1">
      <c r="B10980" s="2669"/>
    </row>
    <row r="10981" spans="2:2" ht="23.25" customHeight="1">
      <c r="B10981" s="2669"/>
    </row>
    <row r="10982" spans="2:2" ht="23.25" customHeight="1">
      <c r="B10982" s="2669"/>
    </row>
    <row r="10983" spans="2:2" ht="23.25" customHeight="1">
      <c r="B10983" s="2669"/>
    </row>
    <row r="10984" spans="2:2" ht="23.25" customHeight="1">
      <c r="B10984" s="2669"/>
    </row>
    <row r="10985" spans="2:2" ht="23.25" customHeight="1">
      <c r="B10985" s="2669"/>
    </row>
    <row r="10986" spans="2:2" ht="23.25" customHeight="1">
      <c r="B10986" s="2669"/>
    </row>
    <row r="10987" spans="2:2" ht="23.25" customHeight="1">
      <c r="B10987" s="2669"/>
    </row>
    <row r="10988" spans="2:2" ht="23.25" customHeight="1">
      <c r="B10988" s="2669"/>
    </row>
    <row r="10989" spans="2:2" ht="23.25" customHeight="1">
      <c r="B10989" s="2669"/>
    </row>
    <row r="10990" spans="2:2" ht="23.25" customHeight="1">
      <c r="B10990" s="2669"/>
    </row>
    <row r="10991" spans="2:2" ht="23.25" customHeight="1">
      <c r="B10991" s="2669"/>
    </row>
    <row r="10992" spans="2:2" ht="23.25" customHeight="1">
      <c r="B10992" s="2669"/>
    </row>
    <row r="10993" spans="2:2" ht="23.25" customHeight="1">
      <c r="B10993" s="2669"/>
    </row>
    <row r="10994" spans="2:2" ht="23.25" customHeight="1">
      <c r="B10994" s="2669"/>
    </row>
    <row r="10995" spans="2:2" ht="23.25" customHeight="1">
      <c r="B10995" s="2669"/>
    </row>
    <row r="10996" spans="2:2" ht="23.25" customHeight="1">
      <c r="B10996" s="2669"/>
    </row>
    <row r="10997" spans="2:2" ht="23.25" customHeight="1">
      <c r="B10997" s="2669"/>
    </row>
    <row r="10998" spans="2:2" ht="23.25" customHeight="1">
      <c r="B10998" s="2669"/>
    </row>
    <row r="10999" spans="2:2" ht="23.25" customHeight="1">
      <c r="B10999" s="2669"/>
    </row>
    <row r="11000" spans="2:2" ht="23.25" customHeight="1">
      <c r="B11000" s="2669"/>
    </row>
    <row r="11001" spans="2:2" ht="23.25" customHeight="1">
      <c r="B11001" s="2669"/>
    </row>
    <row r="11002" spans="2:2" ht="23.25" customHeight="1">
      <c r="B11002" s="2669"/>
    </row>
    <row r="11003" spans="2:2" ht="23.25" customHeight="1">
      <c r="B11003" s="2669"/>
    </row>
    <row r="11004" spans="2:2" ht="23.25" customHeight="1">
      <c r="B11004" s="2669"/>
    </row>
    <row r="11005" spans="2:2" ht="23.25" customHeight="1">
      <c r="B11005" s="2669"/>
    </row>
    <row r="11006" spans="2:2" ht="23.25" customHeight="1">
      <c r="B11006" s="2669"/>
    </row>
    <row r="11007" spans="2:2" ht="23.25" customHeight="1">
      <c r="B11007" s="2669"/>
    </row>
    <row r="11008" spans="2:2" ht="23.25" customHeight="1">
      <c r="B11008" s="2669"/>
    </row>
    <row r="11009" spans="2:2" ht="23.25" customHeight="1">
      <c r="B11009" s="2669"/>
    </row>
    <row r="11010" spans="2:2" ht="23.25" customHeight="1">
      <c r="B11010" s="2669"/>
    </row>
    <row r="11011" spans="2:2" ht="23.25" customHeight="1">
      <c r="B11011" s="2669"/>
    </row>
    <row r="11012" spans="2:2" ht="23.25" customHeight="1">
      <c r="B11012" s="2669"/>
    </row>
    <row r="11013" spans="2:2" ht="23.25" customHeight="1">
      <c r="B11013" s="2669"/>
    </row>
    <row r="11014" spans="2:2" ht="23.25" customHeight="1">
      <c r="B11014" s="2669"/>
    </row>
    <row r="11015" spans="2:2" ht="23.25" customHeight="1">
      <c r="B11015" s="2669"/>
    </row>
    <row r="11016" spans="2:2" ht="23.25" customHeight="1">
      <c r="B11016" s="2669"/>
    </row>
    <row r="11017" spans="2:2" ht="23.25" customHeight="1">
      <c r="B11017" s="2669"/>
    </row>
    <row r="11018" spans="2:2" ht="23.25" customHeight="1">
      <c r="B11018" s="2669"/>
    </row>
    <row r="11019" spans="2:2" ht="23.25" customHeight="1">
      <c r="B11019" s="2669"/>
    </row>
    <row r="11020" spans="2:2" ht="23.25" customHeight="1">
      <c r="B11020" s="2669"/>
    </row>
    <row r="11021" spans="2:2" ht="23.25" customHeight="1">
      <c r="B11021" s="2669"/>
    </row>
    <row r="11022" spans="2:2" ht="23.25" customHeight="1">
      <c r="B11022" s="2669"/>
    </row>
    <row r="11023" spans="2:2" ht="23.25" customHeight="1">
      <c r="B11023" s="2669"/>
    </row>
    <row r="11024" spans="2:2" ht="23.25" customHeight="1">
      <c r="B11024" s="2669"/>
    </row>
    <row r="11025" spans="2:2" ht="23.25" customHeight="1">
      <c r="B11025" s="2669"/>
    </row>
    <row r="11026" spans="2:2" ht="23.25" customHeight="1">
      <c r="B11026" s="2669"/>
    </row>
    <row r="11027" spans="2:2" ht="23.25" customHeight="1">
      <c r="B11027" s="2669"/>
    </row>
    <row r="11028" spans="2:2" ht="23.25" customHeight="1">
      <c r="B11028" s="2669"/>
    </row>
    <row r="11029" spans="2:2" ht="23.25" customHeight="1">
      <c r="B11029" s="2669"/>
    </row>
    <row r="11030" spans="2:2" ht="23.25" customHeight="1">
      <c r="B11030" s="2669"/>
    </row>
    <row r="11031" spans="2:2" ht="23.25" customHeight="1">
      <c r="B11031" s="2669"/>
    </row>
    <row r="11032" spans="2:2" ht="23.25" customHeight="1">
      <c r="B11032" s="2669"/>
    </row>
    <row r="11033" spans="2:2" ht="23.25" customHeight="1">
      <c r="B11033" s="2669"/>
    </row>
    <row r="11034" spans="2:2" ht="23.25" customHeight="1">
      <c r="B11034" s="2669"/>
    </row>
    <row r="11035" spans="2:2" ht="23.25" customHeight="1">
      <c r="B11035" s="2669"/>
    </row>
    <row r="11036" spans="2:2" ht="23.25" customHeight="1">
      <c r="B11036" s="2669"/>
    </row>
    <row r="11037" spans="2:2" ht="23.25" customHeight="1">
      <c r="B11037" s="2669"/>
    </row>
    <row r="11038" spans="2:2" ht="23.25" customHeight="1">
      <c r="B11038" s="2669"/>
    </row>
    <row r="11039" spans="2:2" ht="23.25" customHeight="1">
      <c r="B11039" s="2669"/>
    </row>
    <row r="11040" spans="2:2" ht="23.25" customHeight="1">
      <c r="B11040" s="2669"/>
    </row>
    <row r="11041" spans="2:2" ht="23.25" customHeight="1">
      <c r="B11041" s="2669"/>
    </row>
    <row r="11042" spans="2:2" ht="23.25" customHeight="1">
      <c r="B11042" s="2669"/>
    </row>
    <row r="11043" spans="2:2" ht="23.25" customHeight="1">
      <c r="B11043" s="2669"/>
    </row>
    <row r="11044" spans="2:2" ht="23.25" customHeight="1">
      <c r="B11044" s="2669"/>
    </row>
    <row r="11045" spans="2:2" ht="23.25" customHeight="1">
      <c r="B11045" s="2669"/>
    </row>
    <row r="11046" spans="2:2" ht="23.25" customHeight="1">
      <c r="B11046" s="2669"/>
    </row>
    <row r="11047" spans="2:2" ht="23.25" customHeight="1">
      <c r="B11047" s="2669"/>
    </row>
    <row r="11048" spans="2:2" ht="23.25" customHeight="1">
      <c r="B11048" s="2669"/>
    </row>
    <row r="11049" spans="2:2" ht="23.25" customHeight="1">
      <c r="B11049" s="2669"/>
    </row>
    <row r="11050" spans="2:2" ht="23.25" customHeight="1">
      <c r="B11050" s="2669"/>
    </row>
    <row r="11051" spans="2:2" ht="23.25" customHeight="1">
      <c r="B11051" s="2669"/>
    </row>
    <row r="11052" spans="2:2" ht="23.25" customHeight="1">
      <c r="B11052" s="2669"/>
    </row>
    <row r="11053" spans="2:2" ht="23.25" customHeight="1">
      <c r="B11053" s="2669"/>
    </row>
    <row r="11054" spans="2:2" ht="23.25" customHeight="1">
      <c r="B11054" s="2669"/>
    </row>
    <row r="11055" spans="2:2" ht="23.25" customHeight="1">
      <c r="B11055" s="2669"/>
    </row>
    <row r="11056" spans="2:2" ht="23.25" customHeight="1">
      <c r="B11056" s="2669"/>
    </row>
    <row r="11057" spans="2:2" ht="23.25" customHeight="1">
      <c r="B11057" s="2669"/>
    </row>
    <row r="11058" spans="2:2" ht="23.25" customHeight="1">
      <c r="B11058" s="2669"/>
    </row>
    <row r="11059" spans="2:2" ht="23.25" customHeight="1">
      <c r="B11059" s="2669"/>
    </row>
    <row r="11060" spans="2:2" ht="23.25" customHeight="1">
      <c r="B11060" s="2669"/>
    </row>
    <row r="11061" spans="2:2" ht="23.25" customHeight="1">
      <c r="B11061" s="2669"/>
    </row>
    <row r="11062" spans="2:2" ht="23.25" customHeight="1">
      <c r="B11062" s="2669"/>
    </row>
    <row r="11063" spans="2:2" ht="23.25" customHeight="1">
      <c r="B11063" s="2669"/>
    </row>
    <row r="11064" spans="2:2" ht="23.25" customHeight="1">
      <c r="B11064" s="2669"/>
    </row>
    <row r="11065" spans="2:2" ht="23.25" customHeight="1">
      <c r="B11065" s="2669"/>
    </row>
    <row r="11066" spans="2:2" ht="23.25" customHeight="1">
      <c r="B11066" s="2669"/>
    </row>
    <row r="11067" spans="2:2" ht="23.25" customHeight="1">
      <c r="B11067" s="2669"/>
    </row>
    <row r="11068" spans="2:2" ht="23.25" customHeight="1">
      <c r="B11068" s="2669"/>
    </row>
    <row r="11069" spans="2:2" ht="23.25" customHeight="1">
      <c r="B11069" s="2669"/>
    </row>
    <row r="11070" spans="2:2" ht="23.25" customHeight="1">
      <c r="B11070" s="2669"/>
    </row>
    <row r="11071" spans="2:2" ht="23.25" customHeight="1">
      <c r="B11071" s="2669"/>
    </row>
    <row r="11072" spans="2:2" ht="23.25" customHeight="1">
      <c r="B11072" s="2669"/>
    </row>
    <row r="11073" spans="2:2" ht="23.25" customHeight="1">
      <c r="B11073" s="2669"/>
    </row>
    <row r="11074" spans="2:2" ht="23.25" customHeight="1">
      <c r="B11074" s="2669"/>
    </row>
    <row r="11075" spans="2:2" ht="23.25" customHeight="1">
      <c r="B11075" s="2669"/>
    </row>
    <row r="11076" spans="2:2" ht="23.25" customHeight="1">
      <c r="B11076" s="2669"/>
    </row>
    <row r="11077" spans="2:2" ht="23.25" customHeight="1">
      <c r="B11077" s="2669"/>
    </row>
    <row r="11078" spans="2:2" ht="23.25" customHeight="1">
      <c r="B11078" s="2669"/>
    </row>
    <row r="11079" spans="2:2" ht="23.25" customHeight="1">
      <c r="B11079" s="2669"/>
    </row>
    <row r="11080" spans="2:2" ht="23.25" customHeight="1">
      <c r="B11080" s="2669"/>
    </row>
    <row r="11081" spans="2:2" ht="23.25" customHeight="1">
      <c r="B11081" s="2669"/>
    </row>
    <row r="11082" spans="2:2" ht="23.25" customHeight="1">
      <c r="B11082" s="2669"/>
    </row>
    <row r="11083" spans="2:2" ht="23.25" customHeight="1">
      <c r="B11083" s="2669"/>
    </row>
    <row r="11084" spans="2:2" ht="23.25" customHeight="1">
      <c r="B11084" s="2669"/>
    </row>
    <row r="11085" spans="2:2" ht="23.25" customHeight="1">
      <c r="B11085" s="2669"/>
    </row>
    <row r="11086" spans="2:2" ht="23.25" customHeight="1">
      <c r="B11086" s="2669"/>
    </row>
    <row r="11087" spans="2:2" ht="23.25" customHeight="1">
      <c r="B11087" s="2669"/>
    </row>
    <row r="11088" spans="2:2" ht="23.25" customHeight="1">
      <c r="B11088" s="2669"/>
    </row>
    <row r="11089" spans="2:2" ht="23.25" customHeight="1">
      <c r="B11089" s="2669"/>
    </row>
    <row r="11090" spans="2:2" ht="23.25" customHeight="1">
      <c r="B11090" s="2669"/>
    </row>
    <row r="11091" spans="2:2" ht="23.25" customHeight="1">
      <c r="B11091" s="2669"/>
    </row>
    <row r="11092" spans="2:2" ht="23.25" customHeight="1">
      <c r="B11092" s="2669"/>
    </row>
    <row r="11093" spans="2:2" ht="23.25" customHeight="1">
      <c r="B11093" s="2669"/>
    </row>
    <row r="11094" spans="2:2" ht="23.25" customHeight="1">
      <c r="B11094" s="2669"/>
    </row>
    <row r="11095" spans="2:2" ht="23.25" customHeight="1">
      <c r="B11095" s="2669"/>
    </row>
    <row r="11096" spans="2:2" ht="23.25" customHeight="1">
      <c r="B11096" s="2669"/>
    </row>
    <row r="11097" spans="2:2" ht="23.25" customHeight="1">
      <c r="B11097" s="2669"/>
    </row>
    <row r="11098" spans="2:2" ht="23.25" customHeight="1">
      <c r="B11098" s="2669"/>
    </row>
    <row r="11099" spans="2:2" ht="23.25" customHeight="1">
      <c r="B11099" s="2669"/>
    </row>
    <row r="11100" spans="2:2" ht="23.25" customHeight="1">
      <c r="B11100" s="2669"/>
    </row>
    <row r="11101" spans="2:2" ht="23.25" customHeight="1">
      <c r="B11101" s="2669"/>
    </row>
    <row r="11102" spans="2:2" ht="23.25" customHeight="1">
      <c r="B11102" s="2669"/>
    </row>
    <row r="11103" spans="2:2" ht="23.25" customHeight="1">
      <c r="B11103" s="2669"/>
    </row>
    <row r="11104" spans="2:2" ht="23.25" customHeight="1">
      <c r="B11104" s="2669"/>
    </row>
    <row r="11105" spans="2:2" ht="23.25" customHeight="1">
      <c r="B11105" s="2669"/>
    </row>
    <row r="11106" spans="2:2" ht="23.25" customHeight="1">
      <c r="B11106" s="2669"/>
    </row>
    <row r="11107" spans="2:2" ht="23.25" customHeight="1">
      <c r="B11107" s="2669"/>
    </row>
    <row r="11108" spans="2:2" ht="23.25" customHeight="1">
      <c r="B11108" s="2669"/>
    </row>
    <row r="11109" spans="2:2" ht="23.25" customHeight="1">
      <c r="B11109" s="2669"/>
    </row>
    <row r="11110" spans="2:2" ht="23.25" customHeight="1">
      <c r="B11110" s="2669"/>
    </row>
    <row r="11111" spans="2:2" ht="23.25" customHeight="1">
      <c r="B11111" s="2669"/>
    </row>
    <row r="11112" spans="2:2" ht="23.25" customHeight="1">
      <c r="B11112" s="2669"/>
    </row>
    <row r="11113" spans="2:2" ht="23.25" customHeight="1">
      <c r="B11113" s="2669"/>
    </row>
    <row r="11114" spans="2:2" ht="23.25" customHeight="1">
      <c r="B11114" s="2669"/>
    </row>
    <row r="11115" spans="2:2" ht="23.25" customHeight="1">
      <c r="B11115" s="2669"/>
    </row>
    <row r="11116" spans="2:2" ht="23.25" customHeight="1">
      <c r="B11116" s="2669"/>
    </row>
    <row r="11117" spans="2:2" ht="23.25" customHeight="1">
      <c r="B11117" s="2669"/>
    </row>
    <row r="11118" spans="2:2" ht="23.25" customHeight="1">
      <c r="B11118" s="2669"/>
    </row>
    <row r="11119" spans="2:2" ht="23.25" customHeight="1">
      <c r="B11119" s="2669"/>
    </row>
    <row r="11120" spans="2:2" ht="23.25" customHeight="1">
      <c r="B11120" s="2669"/>
    </row>
    <row r="11121" spans="2:2" ht="23.25" customHeight="1">
      <c r="B11121" s="2669"/>
    </row>
    <row r="11122" spans="2:2" ht="23.25" customHeight="1">
      <c r="B11122" s="2669"/>
    </row>
    <row r="11123" spans="2:2" ht="23.25" customHeight="1">
      <c r="B11123" s="2669"/>
    </row>
    <row r="11124" spans="2:2" ht="23.25" customHeight="1">
      <c r="B11124" s="2669"/>
    </row>
    <row r="11125" spans="2:2" ht="23.25" customHeight="1">
      <c r="B11125" s="2669"/>
    </row>
    <row r="11126" spans="2:2" ht="23.25" customHeight="1">
      <c r="B11126" s="2669"/>
    </row>
    <row r="11127" spans="2:2" ht="23.25" customHeight="1">
      <c r="B11127" s="2669"/>
    </row>
    <row r="11128" spans="2:2" ht="23.25" customHeight="1">
      <c r="B11128" s="2669"/>
    </row>
    <row r="11129" spans="2:2" ht="23.25" customHeight="1">
      <c r="B11129" s="2669"/>
    </row>
    <row r="11130" spans="2:2" ht="23.25" customHeight="1">
      <c r="B11130" s="2669"/>
    </row>
    <row r="11131" spans="2:2" ht="23.25" customHeight="1">
      <c r="B11131" s="2669"/>
    </row>
    <row r="11132" spans="2:2" ht="23.25" customHeight="1">
      <c r="B11132" s="2669"/>
    </row>
    <row r="11133" spans="2:2" ht="23.25" customHeight="1">
      <c r="B11133" s="2669"/>
    </row>
    <row r="11134" spans="2:2" ht="23.25" customHeight="1">
      <c r="B11134" s="2669"/>
    </row>
    <row r="11135" spans="2:2" ht="23.25" customHeight="1">
      <c r="B11135" s="2669"/>
    </row>
    <row r="11136" spans="2:2" ht="23.25" customHeight="1">
      <c r="B11136" s="2669"/>
    </row>
    <row r="11137" spans="2:2" ht="23.25" customHeight="1">
      <c r="B11137" s="2669"/>
    </row>
    <row r="11138" spans="2:2" ht="23.25" customHeight="1">
      <c r="B11138" s="2669"/>
    </row>
    <row r="11139" spans="2:2" ht="23.25" customHeight="1">
      <c r="B11139" s="2669"/>
    </row>
    <row r="11140" spans="2:2" ht="23.25" customHeight="1">
      <c r="B11140" s="2669"/>
    </row>
    <row r="11141" spans="2:2" ht="23.25" customHeight="1">
      <c r="B11141" s="2669"/>
    </row>
    <row r="11142" spans="2:2" ht="23.25" customHeight="1">
      <c r="B11142" s="2669"/>
    </row>
    <row r="11143" spans="2:2" ht="23.25" customHeight="1">
      <c r="B11143" s="2669"/>
    </row>
    <row r="11144" spans="2:2" ht="23.25" customHeight="1">
      <c r="B11144" s="2669"/>
    </row>
    <row r="11145" spans="2:2" ht="23.25" customHeight="1">
      <c r="B11145" s="2669"/>
    </row>
    <row r="11146" spans="2:2" ht="23.25" customHeight="1">
      <c r="B11146" s="2669"/>
    </row>
    <row r="11147" spans="2:2" ht="23.25" customHeight="1">
      <c r="B11147" s="2669"/>
    </row>
    <row r="11148" spans="2:2" ht="23.25" customHeight="1">
      <c r="B11148" s="2669"/>
    </row>
    <row r="11149" spans="2:2" ht="23.25" customHeight="1">
      <c r="B11149" s="2669"/>
    </row>
    <row r="11150" spans="2:2" ht="23.25" customHeight="1">
      <c r="B11150" s="2669"/>
    </row>
    <row r="11151" spans="2:2" ht="23.25" customHeight="1">
      <c r="B11151" s="2669"/>
    </row>
    <row r="11152" spans="2:2" ht="23.25" customHeight="1">
      <c r="B11152" s="2669"/>
    </row>
    <row r="11153" spans="2:2" ht="23.25" customHeight="1">
      <c r="B11153" s="2669"/>
    </row>
    <row r="11154" spans="2:2" ht="23.25" customHeight="1">
      <c r="B11154" s="2669"/>
    </row>
    <row r="11155" spans="2:2" ht="23.25" customHeight="1">
      <c r="B11155" s="2669"/>
    </row>
    <row r="11156" spans="2:2" ht="23.25" customHeight="1">
      <c r="B11156" s="2669"/>
    </row>
    <row r="11157" spans="2:2" ht="23.25" customHeight="1">
      <c r="B11157" s="2669"/>
    </row>
    <row r="11158" spans="2:2" ht="23.25" customHeight="1">
      <c r="B11158" s="2669"/>
    </row>
    <row r="11159" spans="2:2" ht="23.25" customHeight="1">
      <c r="B11159" s="2669"/>
    </row>
    <row r="11160" spans="2:2" ht="23.25" customHeight="1">
      <c r="B11160" s="2669"/>
    </row>
    <row r="11161" spans="2:2" ht="23.25" customHeight="1">
      <c r="B11161" s="2669"/>
    </row>
    <row r="11162" spans="2:2" ht="23.25" customHeight="1">
      <c r="B11162" s="2669"/>
    </row>
    <row r="11163" spans="2:2" ht="23.25" customHeight="1">
      <c r="B11163" s="2669"/>
    </row>
    <row r="11164" spans="2:2" ht="23.25" customHeight="1">
      <c r="B11164" s="2669"/>
    </row>
    <row r="11165" spans="2:2" ht="23.25" customHeight="1">
      <c r="B11165" s="2669"/>
    </row>
    <row r="11166" spans="2:2" ht="23.25" customHeight="1">
      <c r="B11166" s="2669"/>
    </row>
    <row r="11167" spans="2:2" ht="23.25" customHeight="1">
      <c r="B11167" s="2669"/>
    </row>
    <row r="11168" spans="2:2" ht="23.25" customHeight="1">
      <c r="B11168" s="2669"/>
    </row>
    <row r="11169" spans="2:2" ht="23.25" customHeight="1">
      <c r="B11169" s="2669"/>
    </row>
    <row r="11170" spans="2:2" ht="23.25" customHeight="1">
      <c r="B11170" s="2669"/>
    </row>
    <row r="11171" spans="2:2" ht="23.25" customHeight="1">
      <c r="B11171" s="2669"/>
    </row>
    <row r="11172" spans="2:2" ht="23.25" customHeight="1">
      <c r="B11172" s="2669"/>
    </row>
    <row r="11173" spans="2:2" ht="23.25" customHeight="1">
      <c r="B11173" s="2669"/>
    </row>
    <row r="11174" spans="2:2" ht="23.25" customHeight="1">
      <c r="B11174" s="2669"/>
    </row>
    <row r="11175" spans="2:2" ht="23.25" customHeight="1">
      <c r="B11175" s="2669"/>
    </row>
    <row r="11176" spans="2:2" ht="23.25" customHeight="1">
      <c r="B11176" s="2669"/>
    </row>
    <row r="11177" spans="2:2" ht="23.25" customHeight="1">
      <c r="B11177" s="2669"/>
    </row>
    <row r="11178" spans="2:2" ht="23.25" customHeight="1">
      <c r="B11178" s="2669"/>
    </row>
    <row r="11179" spans="2:2" ht="23.25" customHeight="1">
      <c r="B11179" s="2669"/>
    </row>
    <row r="11180" spans="2:2" ht="23.25" customHeight="1">
      <c r="B11180" s="2669"/>
    </row>
    <row r="11181" spans="2:2" ht="23.25" customHeight="1">
      <c r="B11181" s="2669"/>
    </row>
    <row r="11182" spans="2:2" ht="23.25" customHeight="1">
      <c r="B11182" s="2669"/>
    </row>
    <row r="11183" spans="2:2" ht="23.25" customHeight="1">
      <c r="B11183" s="2669"/>
    </row>
    <row r="11184" spans="2:2" ht="23.25" customHeight="1">
      <c r="B11184" s="2669"/>
    </row>
    <row r="11185" spans="2:2" ht="23.25" customHeight="1">
      <c r="B11185" s="2669"/>
    </row>
    <row r="11186" spans="2:2" ht="23.25" customHeight="1">
      <c r="B11186" s="2669"/>
    </row>
    <row r="11187" spans="2:2" ht="23.25" customHeight="1">
      <c r="B11187" s="2669"/>
    </row>
    <row r="11188" spans="2:2" ht="23.25" customHeight="1">
      <c r="B11188" s="2669"/>
    </row>
    <row r="11189" spans="2:2" ht="23.25" customHeight="1">
      <c r="B11189" s="2669"/>
    </row>
    <row r="11190" spans="2:2" ht="23.25" customHeight="1">
      <c r="B11190" s="2669"/>
    </row>
    <row r="11191" spans="2:2" ht="23.25" customHeight="1">
      <c r="B11191" s="2669"/>
    </row>
    <row r="11192" spans="2:2" ht="23.25" customHeight="1">
      <c r="B11192" s="2669"/>
    </row>
    <row r="11193" spans="2:2" ht="23.25" customHeight="1">
      <c r="B11193" s="2669"/>
    </row>
    <row r="11194" spans="2:2" ht="23.25" customHeight="1">
      <c r="B11194" s="2669"/>
    </row>
    <row r="11195" spans="2:2" ht="23.25" customHeight="1">
      <c r="B11195" s="2669"/>
    </row>
    <row r="11196" spans="2:2" ht="23.25" customHeight="1">
      <c r="B11196" s="2669"/>
    </row>
    <row r="11197" spans="2:2" ht="23.25" customHeight="1">
      <c r="B11197" s="2669"/>
    </row>
    <row r="11198" spans="2:2" ht="23.25" customHeight="1">
      <c r="B11198" s="2669"/>
    </row>
    <row r="11199" spans="2:2" ht="23.25" customHeight="1">
      <c r="B11199" s="2669"/>
    </row>
    <row r="11200" spans="2:2" ht="23.25" customHeight="1">
      <c r="B11200" s="2669"/>
    </row>
    <row r="11201" spans="2:2" ht="23.25" customHeight="1">
      <c r="B11201" s="2669"/>
    </row>
    <row r="11202" spans="2:2" ht="23.25" customHeight="1">
      <c r="B11202" s="2669"/>
    </row>
    <row r="11203" spans="2:2" ht="23.25" customHeight="1">
      <c r="B11203" s="2669"/>
    </row>
    <row r="11204" spans="2:2" ht="23.25" customHeight="1">
      <c r="B11204" s="2669"/>
    </row>
    <row r="11205" spans="2:2" ht="23.25" customHeight="1">
      <c r="B11205" s="2669"/>
    </row>
    <row r="11206" spans="2:2" ht="23.25" customHeight="1">
      <c r="B11206" s="2669"/>
    </row>
    <row r="11207" spans="2:2" ht="23.25" customHeight="1">
      <c r="B11207" s="2669"/>
    </row>
    <row r="11208" spans="2:2" ht="23.25" customHeight="1">
      <c r="B11208" s="2669"/>
    </row>
    <row r="11209" spans="2:2" ht="23.25" customHeight="1">
      <c r="B11209" s="2669"/>
    </row>
    <row r="11210" spans="2:2" ht="23.25" customHeight="1">
      <c r="B11210" s="2669"/>
    </row>
    <row r="11211" spans="2:2" ht="23.25" customHeight="1">
      <c r="B11211" s="2669"/>
    </row>
    <row r="11212" spans="2:2" ht="23.25" customHeight="1">
      <c r="B11212" s="2669"/>
    </row>
    <row r="11213" spans="2:2" ht="23.25" customHeight="1">
      <c r="B11213" s="2669"/>
    </row>
    <row r="11214" spans="2:2" ht="23.25" customHeight="1">
      <c r="B11214" s="2669"/>
    </row>
    <row r="11215" spans="2:2" ht="23.25" customHeight="1">
      <c r="B11215" s="2669"/>
    </row>
    <row r="11216" spans="2:2" ht="23.25" customHeight="1">
      <c r="B11216" s="2669"/>
    </row>
    <row r="11217" spans="2:2" ht="23.25" customHeight="1">
      <c r="B11217" s="2669"/>
    </row>
    <row r="11218" spans="2:2" ht="23.25" customHeight="1">
      <c r="B11218" s="2669"/>
    </row>
    <row r="11219" spans="2:2" ht="23.25" customHeight="1">
      <c r="B11219" s="2669"/>
    </row>
    <row r="11220" spans="2:2" ht="23.25" customHeight="1">
      <c r="B11220" s="2669"/>
    </row>
    <row r="11221" spans="2:2" ht="23.25" customHeight="1">
      <c r="B11221" s="2669"/>
    </row>
    <row r="11222" spans="2:2" ht="23.25" customHeight="1">
      <c r="B11222" s="2669"/>
    </row>
    <row r="11223" spans="2:2" ht="23.25" customHeight="1">
      <c r="B11223" s="2669"/>
    </row>
    <row r="11224" spans="2:2" ht="23.25" customHeight="1">
      <c r="B11224" s="2669"/>
    </row>
    <row r="11225" spans="2:2" ht="23.25" customHeight="1">
      <c r="B11225" s="2669"/>
    </row>
    <row r="11226" spans="2:2" ht="23.25" customHeight="1">
      <c r="B11226" s="2669"/>
    </row>
    <row r="11227" spans="2:2" ht="23.25" customHeight="1">
      <c r="B11227" s="2669"/>
    </row>
    <row r="11228" spans="2:2" ht="23.25" customHeight="1">
      <c r="B11228" s="2669"/>
    </row>
    <row r="11229" spans="2:2" ht="23.25" customHeight="1">
      <c r="B11229" s="2669"/>
    </row>
    <row r="11230" spans="2:2" ht="23.25" customHeight="1">
      <c r="B11230" s="2669"/>
    </row>
    <row r="11231" spans="2:2" ht="23.25" customHeight="1">
      <c r="B11231" s="2669"/>
    </row>
    <row r="11232" spans="2:2" ht="23.25" customHeight="1">
      <c r="B11232" s="2669"/>
    </row>
    <row r="11233" spans="2:2" ht="23.25" customHeight="1">
      <c r="B11233" s="2669"/>
    </row>
    <row r="11234" spans="2:2" ht="23.25" customHeight="1">
      <c r="B11234" s="2669"/>
    </row>
    <row r="11235" spans="2:2" ht="23.25" customHeight="1">
      <c r="B11235" s="2669"/>
    </row>
    <row r="11236" spans="2:2" ht="23.25" customHeight="1">
      <c r="B11236" s="2669"/>
    </row>
    <row r="11237" spans="2:2" ht="23.25" customHeight="1">
      <c r="B11237" s="2669"/>
    </row>
    <row r="11238" spans="2:2" ht="23.25" customHeight="1">
      <c r="B11238" s="2669"/>
    </row>
    <row r="11239" spans="2:2" ht="23.25" customHeight="1">
      <c r="B11239" s="2669"/>
    </row>
    <row r="11240" spans="2:2" ht="23.25" customHeight="1">
      <c r="B11240" s="2669"/>
    </row>
    <row r="11241" spans="2:2" ht="23.25" customHeight="1">
      <c r="B11241" s="2669"/>
    </row>
    <row r="11242" spans="2:2" ht="23.25" customHeight="1">
      <c r="B11242" s="2669"/>
    </row>
    <row r="11243" spans="2:2" ht="23.25" customHeight="1">
      <c r="B11243" s="2669"/>
    </row>
    <row r="11244" spans="2:2" ht="23.25" customHeight="1">
      <c r="B11244" s="2669"/>
    </row>
    <row r="11245" spans="2:2" ht="23.25" customHeight="1">
      <c r="B11245" s="2669"/>
    </row>
    <row r="11246" spans="2:2" ht="23.25" customHeight="1">
      <c r="B11246" s="2669"/>
    </row>
    <row r="11247" spans="2:2" ht="23.25" customHeight="1">
      <c r="B11247" s="2669"/>
    </row>
    <row r="11248" spans="2:2" ht="23.25" customHeight="1">
      <c r="B11248" s="2669"/>
    </row>
    <row r="11249" spans="2:2" ht="23.25" customHeight="1">
      <c r="B11249" s="2669"/>
    </row>
    <row r="11250" spans="2:2" ht="23.25" customHeight="1">
      <c r="B11250" s="2669"/>
    </row>
    <row r="11251" spans="2:2" ht="23.25" customHeight="1">
      <c r="B11251" s="2669"/>
    </row>
    <row r="11252" spans="2:2" ht="23.25" customHeight="1">
      <c r="B11252" s="2669"/>
    </row>
    <row r="11253" spans="2:2" ht="23.25" customHeight="1">
      <c r="B11253" s="2669"/>
    </row>
    <row r="11254" spans="2:2" ht="23.25" customHeight="1">
      <c r="B11254" s="2669"/>
    </row>
    <row r="11255" spans="2:2" ht="23.25" customHeight="1">
      <c r="B11255" s="2669"/>
    </row>
    <row r="11256" spans="2:2" ht="23.25" customHeight="1">
      <c r="B11256" s="2669"/>
    </row>
    <row r="11257" spans="2:2" ht="23.25" customHeight="1">
      <c r="B11257" s="2669"/>
    </row>
    <row r="11258" spans="2:2" ht="23.25" customHeight="1">
      <c r="B11258" s="2669"/>
    </row>
    <row r="11259" spans="2:2" ht="23.25" customHeight="1">
      <c r="B11259" s="2669"/>
    </row>
    <row r="11260" spans="2:2" ht="23.25" customHeight="1">
      <c r="B11260" s="2669"/>
    </row>
    <row r="11261" spans="2:2" ht="23.25" customHeight="1">
      <c r="B11261" s="2669"/>
    </row>
    <row r="11262" spans="2:2" ht="23.25" customHeight="1">
      <c r="B11262" s="2669"/>
    </row>
    <row r="11263" spans="2:2" ht="23.25" customHeight="1">
      <c r="B11263" s="2669"/>
    </row>
    <row r="11264" spans="2:2" ht="23.25" customHeight="1">
      <c r="B11264" s="2669"/>
    </row>
    <row r="11265" spans="2:2" ht="23.25" customHeight="1">
      <c r="B11265" s="2669"/>
    </row>
    <row r="11266" spans="2:2" ht="23.25" customHeight="1">
      <c r="B11266" s="2669"/>
    </row>
    <row r="11267" spans="2:2" ht="23.25" customHeight="1">
      <c r="B11267" s="2669"/>
    </row>
    <row r="11268" spans="2:2" ht="23.25" customHeight="1">
      <c r="B11268" s="2669"/>
    </row>
    <row r="11269" spans="2:2" ht="23.25" customHeight="1">
      <c r="B11269" s="2669"/>
    </row>
    <row r="11270" spans="2:2" ht="23.25" customHeight="1">
      <c r="B11270" s="2669"/>
    </row>
    <row r="11271" spans="2:2" ht="23.25" customHeight="1">
      <c r="B11271" s="2669"/>
    </row>
    <row r="11272" spans="2:2" ht="23.25" customHeight="1">
      <c r="B11272" s="2669"/>
    </row>
    <row r="11273" spans="2:2" ht="23.25" customHeight="1">
      <c r="B11273" s="2669"/>
    </row>
    <row r="11274" spans="2:2" ht="23.25" customHeight="1">
      <c r="B11274" s="2669"/>
    </row>
    <row r="11275" spans="2:2" ht="23.25" customHeight="1">
      <c r="B11275" s="2669"/>
    </row>
    <row r="11276" spans="2:2" ht="23.25" customHeight="1">
      <c r="B11276" s="2669"/>
    </row>
    <row r="11277" spans="2:2" ht="23.25" customHeight="1">
      <c r="B11277" s="2669"/>
    </row>
    <row r="11278" spans="2:2" ht="23.25" customHeight="1">
      <c r="B11278" s="2669"/>
    </row>
    <row r="11279" spans="2:2" ht="23.25" customHeight="1">
      <c r="B11279" s="2669"/>
    </row>
    <row r="11280" spans="2:2" ht="23.25" customHeight="1">
      <c r="B11280" s="2669"/>
    </row>
    <row r="11281" spans="2:2" ht="23.25" customHeight="1">
      <c r="B11281" s="2669"/>
    </row>
    <row r="11282" spans="2:2" ht="23.25" customHeight="1">
      <c r="B11282" s="2669"/>
    </row>
    <row r="11283" spans="2:2" ht="23.25" customHeight="1">
      <c r="B11283" s="2669"/>
    </row>
    <row r="11284" spans="2:2" ht="23.25" customHeight="1">
      <c r="B11284" s="2669"/>
    </row>
    <row r="11285" spans="2:2" ht="23.25" customHeight="1">
      <c r="B11285" s="2669"/>
    </row>
    <row r="11286" spans="2:2" ht="23.25" customHeight="1">
      <c r="B11286" s="2669"/>
    </row>
    <row r="11287" spans="2:2" ht="23.25" customHeight="1">
      <c r="B11287" s="2669"/>
    </row>
    <row r="11288" spans="2:2" ht="23.25" customHeight="1">
      <c r="B11288" s="2669"/>
    </row>
    <row r="11289" spans="2:2" ht="23.25" customHeight="1">
      <c r="B11289" s="2669"/>
    </row>
    <row r="11290" spans="2:2" ht="23.25" customHeight="1">
      <c r="B11290" s="2669"/>
    </row>
    <row r="11291" spans="2:2" ht="23.25" customHeight="1">
      <c r="B11291" s="2669"/>
    </row>
    <row r="11292" spans="2:2" ht="23.25" customHeight="1">
      <c r="B11292" s="2669"/>
    </row>
    <row r="11293" spans="2:2" ht="23.25" customHeight="1">
      <c r="B11293" s="2669"/>
    </row>
    <row r="11294" spans="2:2" ht="23.25" customHeight="1">
      <c r="B11294" s="2669"/>
    </row>
    <row r="11295" spans="2:2" ht="23.25" customHeight="1">
      <c r="B11295" s="2669"/>
    </row>
    <row r="11296" spans="2:2" ht="23.25" customHeight="1">
      <c r="B11296" s="2669"/>
    </row>
    <row r="11297" spans="2:2" ht="23.25" customHeight="1">
      <c r="B11297" s="2669"/>
    </row>
    <row r="11298" spans="2:2" ht="23.25" customHeight="1">
      <c r="B11298" s="2669"/>
    </row>
    <row r="11299" spans="2:2" ht="23.25" customHeight="1">
      <c r="B11299" s="2669"/>
    </row>
    <row r="11300" spans="2:2" ht="23.25" customHeight="1">
      <c r="B11300" s="2669"/>
    </row>
    <row r="11301" spans="2:2" ht="23.25" customHeight="1">
      <c r="B11301" s="2669"/>
    </row>
    <row r="11302" spans="2:2" ht="23.25" customHeight="1">
      <c r="B11302" s="2669"/>
    </row>
    <row r="11303" spans="2:2" ht="23.25" customHeight="1">
      <c r="B11303" s="2669"/>
    </row>
    <row r="11304" spans="2:2" ht="23.25" customHeight="1">
      <c r="B11304" s="2669"/>
    </row>
    <row r="11305" spans="2:2" ht="23.25" customHeight="1">
      <c r="B11305" s="2669"/>
    </row>
    <row r="11306" spans="2:2" ht="23.25" customHeight="1">
      <c r="B11306" s="2669"/>
    </row>
    <row r="11307" spans="2:2" ht="23.25" customHeight="1">
      <c r="B11307" s="2669"/>
    </row>
    <row r="11308" spans="2:2" ht="23.25" customHeight="1">
      <c r="B11308" s="2669"/>
    </row>
    <row r="11309" spans="2:2" ht="23.25" customHeight="1">
      <c r="B11309" s="2669"/>
    </row>
    <row r="11310" spans="2:2" ht="23.25" customHeight="1">
      <c r="B11310" s="2669"/>
    </row>
    <row r="11311" spans="2:2" ht="23.25" customHeight="1">
      <c r="B11311" s="2669"/>
    </row>
    <row r="11312" spans="2:2" ht="23.25" customHeight="1">
      <c r="B11312" s="2669"/>
    </row>
    <row r="11313" spans="2:2" ht="23.25" customHeight="1">
      <c r="B11313" s="2669"/>
    </row>
    <row r="11314" spans="2:2" ht="23.25" customHeight="1">
      <c r="B11314" s="2669"/>
    </row>
    <row r="11315" spans="2:2" ht="23.25" customHeight="1">
      <c r="B11315" s="2669"/>
    </row>
    <row r="11316" spans="2:2" ht="23.25" customHeight="1">
      <c r="B11316" s="2669"/>
    </row>
    <row r="11317" spans="2:2" ht="23.25" customHeight="1">
      <c r="B11317" s="2669"/>
    </row>
    <row r="11318" spans="2:2" ht="23.25" customHeight="1">
      <c r="B11318" s="2669"/>
    </row>
    <row r="11319" spans="2:2" ht="23.25" customHeight="1">
      <c r="B11319" s="2669"/>
    </row>
    <row r="11320" spans="2:2" ht="23.25" customHeight="1">
      <c r="B11320" s="2669"/>
    </row>
    <row r="11321" spans="2:2" ht="23.25" customHeight="1">
      <c r="B11321" s="2669"/>
    </row>
    <row r="11322" spans="2:2" ht="23.25" customHeight="1">
      <c r="B11322" s="2669"/>
    </row>
    <row r="11323" spans="2:2" ht="23.25" customHeight="1">
      <c r="B11323" s="2669"/>
    </row>
    <row r="11324" spans="2:2" ht="23.25" customHeight="1">
      <c r="B11324" s="2669"/>
    </row>
    <row r="11325" spans="2:2" ht="23.25" customHeight="1">
      <c r="B11325" s="2669"/>
    </row>
    <row r="11326" spans="2:2" ht="23.25" customHeight="1">
      <c r="B11326" s="2669"/>
    </row>
    <row r="11327" spans="2:2" ht="23.25" customHeight="1">
      <c r="B11327" s="2669"/>
    </row>
    <row r="11328" spans="2:2" ht="23.25" customHeight="1">
      <c r="B11328" s="2669"/>
    </row>
    <row r="11329" spans="2:2" ht="23.25" customHeight="1">
      <c r="B11329" s="2669"/>
    </row>
    <row r="11330" spans="2:2" ht="23.25" customHeight="1">
      <c r="B11330" s="2669"/>
    </row>
    <row r="11331" spans="2:2" ht="23.25" customHeight="1">
      <c r="B11331" s="2669"/>
    </row>
    <row r="11332" spans="2:2" ht="23.25" customHeight="1">
      <c r="B11332" s="2669"/>
    </row>
    <row r="11333" spans="2:2" ht="23.25" customHeight="1">
      <c r="B11333" s="2669"/>
    </row>
    <row r="11334" spans="2:2" ht="23.25" customHeight="1">
      <c r="B11334" s="2669"/>
    </row>
    <row r="11335" spans="2:2" ht="23.25" customHeight="1">
      <c r="B11335" s="2669"/>
    </row>
    <row r="11336" spans="2:2" ht="23.25" customHeight="1">
      <c r="B11336" s="2669"/>
    </row>
    <row r="11337" spans="2:2" ht="23.25" customHeight="1">
      <c r="B11337" s="2669"/>
    </row>
    <row r="11338" spans="2:2" ht="23.25" customHeight="1">
      <c r="B11338" s="2669"/>
    </row>
    <row r="11339" spans="2:2" ht="23.25" customHeight="1">
      <c r="B11339" s="2669"/>
    </row>
    <row r="11340" spans="2:2" ht="23.25" customHeight="1">
      <c r="B11340" s="2669"/>
    </row>
    <row r="11341" spans="2:2" ht="23.25" customHeight="1">
      <c r="B11341" s="2669"/>
    </row>
    <row r="11342" spans="2:2" ht="23.25" customHeight="1">
      <c r="B11342" s="2669"/>
    </row>
    <row r="11343" spans="2:2" ht="23.25" customHeight="1">
      <c r="B11343" s="2669"/>
    </row>
    <row r="11344" spans="2:2" ht="23.25" customHeight="1">
      <c r="B11344" s="2669"/>
    </row>
    <row r="11345" spans="2:2" ht="23.25" customHeight="1">
      <c r="B11345" s="2669"/>
    </row>
    <row r="11346" spans="2:2" ht="23.25" customHeight="1">
      <c r="B11346" s="2669"/>
    </row>
    <row r="11347" spans="2:2" ht="23.25" customHeight="1">
      <c r="B11347" s="2669"/>
    </row>
    <row r="11348" spans="2:2" ht="23.25" customHeight="1">
      <c r="B11348" s="2669"/>
    </row>
    <row r="11349" spans="2:2" ht="23.25" customHeight="1">
      <c r="B11349" s="2669"/>
    </row>
    <row r="11350" spans="2:2" ht="23.25" customHeight="1">
      <c r="B11350" s="2669"/>
    </row>
    <row r="11351" spans="2:2" ht="23.25" customHeight="1">
      <c r="B11351" s="2669"/>
    </row>
    <row r="11352" spans="2:2" ht="23.25" customHeight="1">
      <c r="B11352" s="2669"/>
    </row>
    <row r="11353" spans="2:2" ht="23.25" customHeight="1">
      <c r="B11353" s="2669"/>
    </row>
    <row r="11354" spans="2:2" ht="23.25" customHeight="1">
      <c r="B11354" s="2669"/>
    </row>
    <row r="11355" spans="2:2" ht="23.25" customHeight="1">
      <c r="B11355" s="2669"/>
    </row>
    <row r="11356" spans="2:2" ht="23.25" customHeight="1">
      <c r="B11356" s="2669"/>
    </row>
    <row r="11357" spans="2:2" ht="23.25" customHeight="1">
      <c r="B11357" s="2669"/>
    </row>
    <row r="11358" spans="2:2" ht="23.25" customHeight="1">
      <c r="B11358" s="2669"/>
    </row>
    <row r="11359" spans="2:2" ht="23.25" customHeight="1">
      <c r="B11359" s="2669"/>
    </row>
    <row r="11360" spans="2:2" ht="23.25" customHeight="1">
      <c r="B11360" s="2669"/>
    </row>
    <row r="11361" spans="2:2" ht="23.25" customHeight="1">
      <c r="B11361" s="2669"/>
    </row>
    <row r="11362" spans="2:2" ht="23.25" customHeight="1">
      <c r="B11362" s="2669"/>
    </row>
    <row r="11363" spans="2:2" ht="23.25" customHeight="1">
      <c r="B11363" s="2669"/>
    </row>
    <row r="11364" spans="2:2" ht="23.25" customHeight="1">
      <c r="B11364" s="2669"/>
    </row>
    <row r="11365" spans="2:2" ht="23.25" customHeight="1">
      <c r="B11365" s="2669"/>
    </row>
    <row r="11366" spans="2:2" ht="23.25" customHeight="1">
      <c r="B11366" s="2669"/>
    </row>
    <row r="11367" spans="2:2" ht="23.25" customHeight="1">
      <c r="B11367" s="2669"/>
    </row>
    <row r="11368" spans="2:2" ht="23.25" customHeight="1">
      <c r="B11368" s="2669"/>
    </row>
    <row r="11369" spans="2:2" ht="23.25" customHeight="1">
      <c r="B11369" s="2669"/>
    </row>
    <row r="11370" spans="2:2" ht="23.25" customHeight="1">
      <c r="B11370" s="2669"/>
    </row>
    <row r="11371" spans="2:2" ht="23.25" customHeight="1">
      <c r="B11371" s="2669"/>
    </row>
    <row r="11372" spans="2:2" ht="23.25" customHeight="1">
      <c r="B11372" s="2669"/>
    </row>
    <row r="11373" spans="2:2" ht="23.25" customHeight="1">
      <c r="B11373" s="2669"/>
    </row>
    <row r="11374" spans="2:2" ht="23.25" customHeight="1">
      <c r="B11374" s="2669"/>
    </row>
    <row r="11375" spans="2:2" ht="23.25" customHeight="1">
      <c r="B11375" s="2669"/>
    </row>
    <row r="11376" spans="2:2" ht="23.25" customHeight="1">
      <c r="B11376" s="2669"/>
    </row>
    <row r="11377" spans="2:2" ht="23.25" customHeight="1">
      <c r="B11377" s="2669"/>
    </row>
    <row r="11378" spans="2:2" ht="23.25" customHeight="1">
      <c r="B11378" s="2669"/>
    </row>
    <row r="11379" spans="2:2" ht="23.25" customHeight="1">
      <c r="B11379" s="2669"/>
    </row>
    <row r="11380" spans="2:2" ht="23.25" customHeight="1">
      <c r="B11380" s="2669"/>
    </row>
    <row r="11381" spans="2:2" ht="23.25" customHeight="1">
      <c r="B11381" s="2669"/>
    </row>
    <row r="11382" spans="2:2" ht="23.25" customHeight="1">
      <c r="B11382" s="2669"/>
    </row>
    <row r="11383" spans="2:2" ht="23.25" customHeight="1">
      <c r="B11383" s="2669"/>
    </row>
    <row r="11384" spans="2:2" ht="23.25" customHeight="1">
      <c r="B11384" s="2669"/>
    </row>
    <row r="11385" spans="2:2" ht="23.25" customHeight="1">
      <c r="B11385" s="2669"/>
    </row>
    <row r="11386" spans="2:2" ht="23.25" customHeight="1">
      <c r="B11386" s="2669"/>
    </row>
    <row r="11387" spans="2:2" ht="23.25" customHeight="1">
      <c r="B11387" s="2669"/>
    </row>
    <row r="11388" spans="2:2" ht="23.25" customHeight="1">
      <c r="B11388" s="2669"/>
    </row>
    <row r="11389" spans="2:2" ht="23.25" customHeight="1">
      <c r="B11389" s="2669"/>
    </row>
    <row r="11390" spans="2:2" ht="23.25" customHeight="1">
      <c r="B11390" s="2669"/>
    </row>
    <row r="11391" spans="2:2" ht="23.25" customHeight="1">
      <c r="B11391" s="2669"/>
    </row>
    <row r="11392" spans="2:2" ht="23.25" customHeight="1">
      <c r="B11392" s="2669"/>
    </row>
    <row r="11393" spans="2:2" ht="23.25" customHeight="1">
      <c r="B11393" s="2669"/>
    </row>
    <row r="11394" spans="2:2" ht="23.25" customHeight="1">
      <c r="B11394" s="2669"/>
    </row>
    <row r="11395" spans="2:2" ht="23.25" customHeight="1">
      <c r="B11395" s="2669"/>
    </row>
    <row r="11396" spans="2:2" ht="23.25" customHeight="1">
      <c r="B11396" s="2669"/>
    </row>
    <row r="11397" spans="2:2" ht="23.25" customHeight="1">
      <c r="B11397" s="2669"/>
    </row>
    <row r="11398" spans="2:2" ht="23.25" customHeight="1">
      <c r="B11398" s="2669"/>
    </row>
    <row r="11399" spans="2:2" ht="23.25" customHeight="1">
      <c r="B11399" s="2669"/>
    </row>
    <row r="11400" spans="2:2" ht="23.25" customHeight="1">
      <c r="B11400" s="2669"/>
    </row>
    <row r="11401" spans="2:2" ht="23.25" customHeight="1">
      <c r="B11401" s="2669"/>
    </row>
    <row r="11402" spans="2:2" ht="23.25" customHeight="1">
      <c r="B11402" s="2669"/>
    </row>
    <row r="11403" spans="2:2" ht="23.25" customHeight="1">
      <c r="B11403" s="2669"/>
    </row>
    <row r="11404" spans="2:2" ht="23.25" customHeight="1">
      <c r="B11404" s="2669"/>
    </row>
    <row r="11405" spans="2:2" ht="23.25" customHeight="1">
      <c r="B11405" s="2669"/>
    </row>
    <row r="11406" spans="2:2" ht="23.25" customHeight="1">
      <c r="B11406" s="2669"/>
    </row>
    <row r="11407" spans="2:2" ht="23.25" customHeight="1">
      <c r="B11407" s="2669"/>
    </row>
    <row r="11408" spans="2:2" ht="23.25" customHeight="1">
      <c r="B11408" s="2669"/>
    </row>
    <row r="11409" spans="2:2" ht="23.25" customHeight="1">
      <c r="B11409" s="2669"/>
    </row>
    <row r="11410" spans="2:2" ht="23.25" customHeight="1">
      <c r="B11410" s="2669"/>
    </row>
    <row r="11411" spans="2:2" ht="23.25" customHeight="1">
      <c r="B11411" s="2669"/>
    </row>
    <row r="11412" spans="2:2" ht="23.25" customHeight="1">
      <c r="B11412" s="2669"/>
    </row>
    <row r="11413" spans="2:2" ht="23.25" customHeight="1">
      <c r="B11413" s="2669"/>
    </row>
    <row r="11414" spans="2:2" ht="23.25" customHeight="1">
      <c r="B11414" s="2669"/>
    </row>
    <row r="11415" spans="2:2" ht="23.25" customHeight="1">
      <c r="B11415" s="2669"/>
    </row>
    <row r="11416" spans="2:2" ht="23.25" customHeight="1">
      <c r="B11416" s="2669"/>
    </row>
    <row r="11417" spans="2:2" ht="23.25" customHeight="1">
      <c r="B11417" s="2669"/>
    </row>
    <row r="11418" spans="2:2" ht="23.25" customHeight="1">
      <c r="B11418" s="2669"/>
    </row>
    <row r="11419" spans="2:2" ht="23.25" customHeight="1">
      <c r="B11419" s="2669"/>
    </row>
    <row r="11420" spans="2:2" ht="23.25" customHeight="1">
      <c r="B11420" s="2669"/>
    </row>
    <row r="11421" spans="2:2" ht="23.25" customHeight="1">
      <c r="B11421" s="2669"/>
    </row>
    <row r="11422" spans="2:2" ht="23.25" customHeight="1">
      <c r="B11422" s="2669"/>
    </row>
    <row r="11423" spans="2:2" ht="23.25" customHeight="1">
      <c r="B11423" s="2669"/>
    </row>
    <row r="11424" spans="2:2" ht="23.25" customHeight="1">
      <c r="B11424" s="2669"/>
    </row>
    <row r="11425" spans="2:2" ht="23.25" customHeight="1">
      <c r="B11425" s="2669"/>
    </row>
    <row r="11426" spans="2:2" ht="23.25" customHeight="1">
      <c r="B11426" s="2669"/>
    </row>
    <row r="11427" spans="2:2" ht="23.25" customHeight="1">
      <c r="B11427" s="2669"/>
    </row>
    <row r="11428" spans="2:2" ht="23.25" customHeight="1">
      <c r="B11428" s="2669"/>
    </row>
    <row r="11429" spans="2:2" ht="23.25" customHeight="1">
      <c r="B11429" s="2669"/>
    </row>
    <row r="11430" spans="2:2" ht="23.25" customHeight="1">
      <c r="B11430" s="2669"/>
    </row>
    <row r="11431" spans="2:2" ht="23.25" customHeight="1">
      <c r="B11431" s="2669"/>
    </row>
    <row r="11432" spans="2:2" ht="23.25" customHeight="1">
      <c r="B11432" s="2669"/>
    </row>
    <row r="11433" spans="2:2" ht="23.25" customHeight="1">
      <c r="B11433" s="2669"/>
    </row>
    <row r="11434" spans="2:2" ht="23.25" customHeight="1">
      <c r="B11434" s="2669"/>
    </row>
    <row r="11435" spans="2:2" ht="23.25" customHeight="1">
      <c r="B11435" s="2669"/>
    </row>
    <row r="11436" spans="2:2" ht="23.25" customHeight="1">
      <c r="B11436" s="2669"/>
    </row>
    <row r="11437" spans="2:2" ht="23.25" customHeight="1">
      <c r="B11437" s="2669"/>
    </row>
    <row r="11438" spans="2:2" ht="23.25" customHeight="1">
      <c r="B11438" s="2669"/>
    </row>
    <row r="11439" spans="2:2" ht="23.25" customHeight="1">
      <c r="B11439" s="2669"/>
    </row>
    <row r="11440" spans="2:2" ht="23.25" customHeight="1">
      <c r="B11440" s="2669"/>
    </row>
    <row r="11441" spans="2:2" ht="23.25" customHeight="1">
      <c r="B11441" s="2669"/>
    </row>
    <row r="11442" spans="2:2" ht="23.25" customHeight="1">
      <c r="B11442" s="2669"/>
    </row>
    <row r="11443" spans="2:2" ht="23.25" customHeight="1">
      <c r="B11443" s="2669"/>
    </row>
    <row r="11444" spans="2:2" ht="23.25" customHeight="1">
      <c r="B11444" s="2669"/>
    </row>
    <row r="11445" spans="2:2" ht="23.25" customHeight="1">
      <c r="B11445" s="2669"/>
    </row>
    <row r="11446" spans="2:2" ht="23.25" customHeight="1">
      <c r="B11446" s="2669"/>
    </row>
    <row r="11447" spans="2:2" ht="23.25" customHeight="1">
      <c r="B11447" s="2669"/>
    </row>
    <row r="11448" spans="2:2" ht="23.25" customHeight="1">
      <c r="B11448" s="2669"/>
    </row>
    <row r="11449" spans="2:2" ht="23.25" customHeight="1">
      <c r="B11449" s="2669"/>
    </row>
    <row r="11450" spans="2:2" ht="23.25" customHeight="1">
      <c r="B11450" s="2669"/>
    </row>
    <row r="11451" spans="2:2" ht="23.25" customHeight="1">
      <c r="B11451" s="2669"/>
    </row>
    <row r="11452" spans="2:2" ht="23.25" customHeight="1">
      <c r="B11452" s="2669"/>
    </row>
    <row r="11453" spans="2:2" ht="23.25" customHeight="1">
      <c r="B11453" s="2669"/>
    </row>
    <row r="11454" spans="2:2" ht="23.25" customHeight="1">
      <c r="B11454" s="2669"/>
    </row>
    <row r="11455" spans="2:2" ht="23.25" customHeight="1">
      <c r="B11455" s="2669"/>
    </row>
    <row r="11456" spans="2:2" ht="23.25" customHeight="1">
      <c r="B11456" s="2669"/>
    </row>
    <row r="11457" spans="2:2" ht="23.25" customHeight="1">
      <c r="B11457" s="2669"/>
    </row>
    <row r="11458" spans="2:2" ht="23.25" customHeight="1">
      <c r="B11458" s="2669"/>
    </row>
    <row r="11459" spans="2:2" ht="23.25" customHeight="1">
      <c r="B11459" s="2669"/>
    </row>
    <row r="11460" spans="2:2" ht="23.25" customHeight="1">
      <c r="B11460" s="2669"/>
    </row>
    <row r="11461" spans="2:2" ht="23.25" customHeight="1">
      <c r="B11461" s="2669"/>
    </row>
    <row r="11462" spans="2:2" ht="23.25" customHeight="1">
      <c r="B11462" s="2669"/>
    </row>
    <row r="11463" spans="2:2" ht="23.25" customHeight="1">
      <c r="B11463" s="2669"/>
    </row>
    <row r="11464" spans="2:2" ht="23.25" customHeight="1">
      <c r="B11464" s="2669"/>
    </row>
    <row r="11465" spans="2:2" ht="23.25" customHeight="1">
      <c r="B11465" s="2669"/>
    </row>
    <row r="11466" spans="2:2" ht="23.25" customHeight="1">
      <c r="B11466" s="2669"/>
    </row>
    <row r="11467" spans="2:2" ht="23.25" customHeight="1">
      <c r="B11467" s="2669"/>
    </row>
    <row r="11468" spans="2:2" ht="23.25" customHeight="1">
      <c r="B11468" s="2669"/>
    </row>
    <row r="11469" spans="2:2" ht="23.25" customHeight="1">
      <c r="B11469" s="2669"/>
    </row>
    <row r="11470" spans="2:2" ht="23.25" customHeight="1">
      <c r="B11470" s="2669"/>
    </row>
    <row r="11471" spans="2:2" ht="23.25" customHeight="1">
      <c r="B11471" s="2669"/>
    </row>
    <row r="11472" spans="2:2" ht="23.25" customHeight="1">
      <c r="B11472" s="2669"/>
    </row>
    <row r="11473" spans="2:2" ht="23.25" customHeight="1">
      <c r="B11473" s="2669"/>
    </row>
    <row r="11474" spans="2:2" ht="23.25" customHeight="1">
      <c r="B11474" s="2669"/>
    </row>
    <row r="11475" spans="2:2" ht="23.25" customHeight="1">
      <c r="B11475" s="2669"/>
    </row>
    <row r="11476" spans="2:2" ht="23.25" customHeight="1">
      <c r="B11476" s="2669"/>
    </row>
    <row r="11477" spans="2:2" ht="23.25" customHeight="1">
      <c r="B11477" s="2669"/>
    </row>
    <row r="11478" spans="2:2" ht="23.25" customHeight="1">
      <c r="B11478" s="2669"/>
    </row>
    <row r="11479" spans="2:2" ht="23.25" customHeight="1">
      <c r="B11479" s="2669"/>
    </row>
    <row r="11480" spans="2:2" ht="23.25" customHeight="1">
      <c r="B11480" s="2669"/>
    </row>
    <row r="11481" spans="2:2" ht="23.25" customHeight="1">
      <c r="B11481" s="2669"/>
    </row>
    <row r="11482" spans="2:2" ht="23.25" customHeight="1">
      <c r="B11482" s="2669"/>
    </row>
    <row r="11483" spans="2:2" ht="23.25" customHeight="1">
      <c r="B11483" s="2669"/>
    </row>
    <row r="11484" spans="2:2" ht="23.25" customHeight="1">
      <c r="B11484" s="2669"/>
    </row>
    <row r="11485" spans="2:2" ht="23.25" customHeight="1">
      <c r="B11485" s="2669"/>
    </row>
    <row r="11486" spans="2:2" ht="23.25" customHeight="1">
      <c r="B11486" s="2669"/>
    </row>
    <row r="11487" spans="2:2" ht="23.25" customHeight="1">
      <c r="B11487" s="2669"/>
    </row>
    <row r="11488" spans="2:2" ht="23.25" customHeight="1">
      <c r="B11488" s="2669"/>
    </row>
    <row r="11489" spans="2:2" ht="23.25" customHeight="1">
      <c r="B11489" s="2669"/>
    </row>
    <row r="11490" spans="2:2" ht="23.25" customHeight="1">
      <c r="B11490" s="2669"/>
    </row>
    <row r="11491" spans="2:2" ht="23.25" customHeight="1">
      <c r="B11491" s="2669"/>
    </row>
    <row r="11492" spans="2:2" ht="23.25" customHeight="1">
      <c r="B11492" s="2669"/>
    </row>
    <row r="11493" spans="2:2" ht="23.25" customHeight="1">
      <c r="B11493" s="2669"/>
    </row>
    <row r="11494" spans="2:2" ht="23.25" customHeight="1">
      <c r="B11494" s="2669"/>
    </row>
    <row r="11495" spans="2:2" ht="23.25" customHeight="1">
      <c r="B11495" s="2669"/>
    </row>
    <row r="11496" spans="2:2" ht="23.25" customHeight="1">
      <c r="B11496" s="2669"/>
    </row>
    <row r="11497" spans="2:2" ht="23.25" customHeight="1">
      <c r="B11497" s="2669"/>
    </row>
    <row r="11498" spans="2:2" ht="23.25" customHeight="1">
      <c r="B11498" s="2669"/>
    </row>
    <row r="11499" spans="2:2" ht="23.25" customHeight="1">
      <c r="B11499" s="2669"/>
    </row>
    <row r="11500" spans="2:2" ht="23.25" customHeight="1">
      <c r="B11500" s="2669"/>
    </row>
    <row r="11501" spans="2:2" ht="23.25" customHeight="1">
      <c r="B11501" s="2669"/>
    </row>
    <row r="11502" spans="2:2" ht="23.25" customHeight="1">
      <c r="B11502" s="2669"/>
    </row>
    <row r="11503" spans="2:2" ht="23.25" customHeight="1">
      <c r="B11503" s="2669"/>
    </row>
    <row r="11504" spans="2:2" ht="23.25" customHeight="1">
      <c r="B11504" s="2669"/>
    </row>
    <row r="11505" spans="2:2" ht="23.25" customHeight="1">
      <c r="B11505" s="2669"/>
    </row>
    <row r="11506" spans="2:2" ht="23.25" customHeight="1">
      <c r="B11506" s="2669"/>
    </row>
    <row r="11507" spans="2:2" ht="23.25" customHeight="1">
      <c r="B11507" s="2669"/>
    </row>
    <row r="11508" spans="2:2" ht="23.25" customHeight="1">
      <c r="B11508" s="2669"/>
    </row>
    <row r="11509" spans="2:2" ht="23.25" customHeight="1">
      <c r="B11509" s="2669"/>
    </row>
    <row r="11510" spans="2:2" ht="23.25" customHeight="1">
      <c r="B11510" s="2669"/>
    </row>
    <row r="11511" spans="2:2" ht="23.25" customHeight="1">
      <c r="B11511" s="2669"/>
    </row>
    <row r="11512" spans="2:2" ht="23.25" customHeight="1">
      <c r="B11512" s="2669"/>
    </row>
    <row r="11513" spans="2:2" ht="23.25" customHeight="1">
      <c r="B11513" s="2669"/>
    </row>
    <row r="11514" spans="2:2" ht="23.25" customHeight="1">
      <c r="B11514" s="2669"/>
    </row>
    <row r="11515" spans="2:2" ht="23.25" customHeight="1">
      <c r="B11515" s="2669"/>
    </row>
    <row r="11516" spans="2:2" ht="23.25" customHeight="1">
      <c r="B11516" s="2669"/>
    </row>
    <row r="11517" spans="2:2" ht="23.25" customHeight="1">
      <c r="B11517" s="2669"/>
    </row>
    <row r="11518" spans="2:2" ht="23.25" customHeight="1">
      <c r="B11518" s="2669"/>
    </row>
    <row r="11519" spans="2:2" ht="23.25" customHeight="1">
      <c r="B11519" s="2669"/>
    </row>
    <row r="11520" spans="2:2" ht="23.25" customHeight="1">
      <c r="B11520" s="2669"/>
    </row>
    <row r="11521" spans="2:2" ht="23.25" customHeight="1">
      <c r="B11521" s="2669"/>
    </row>
    <row r="11522" spans="2:2" ht="23.25" customHeight="1">
      <c r="B11522" s="2669"/>
    </row>
    <row r="11523" spans="2:2" ht="23.25" customHeight="1">
      <c r="B11523" s="2669"/>
    </row>
    <row r="11524" spans="2:2" ht="23.25" customHeight="1">
      <c r="B11524" s="2669"/>
    </row>
    <row r="11525" spans="2:2" ht="23.25" customHeight="1">
      <c r="B11525" s="2669"/>
    </row>
    <row r="11526" spans="2:2" ht="23.25" customHeight="1">
      <c r="B11526" s="2669"/>
    </row>
    <row r="11527" spans="2:2" ht="23.25" customHeight="1">
      <c r="B11527" s="2669"/>
    </row>
    <row r="11528" spans="2:2" ht="23.25" customHeight="1">
      <c r="B11528" s="2669"/>
    </row>
    <row r="11529" spans="2:2" ht="23.25" customHeight="1">
      <c r="B11529" s="2669"/>
    </row>
    <row r="11530" spans="2:2" ht="23.25" customHeight="1">
      <c r="B11530" s="2669"/>
    </row>
    <row r="11531" spans="2:2" ht="23.25" customHeight="1">
      <c r="B11531" s="2669"/>
    </row>
    <row r="11532" spans="2:2" ht="23.25" customHeight="1">
      <c r="B11532" s="2669"/>
    </row>
    <row r="11533" spans="2:2" ht="23.25" customHeight="1">
      <c r="B11533" s="2669"/>
    </row>
    <row r="11534" spans="2:2" ht="23.25" customHeight="1">
      <c r="B11534" s="2669"/>
    </row>
    <row r="11535" spans="2:2" ht="23.25" customHeight="1">
      <c r="B11535" s="2669"/>
    </row>
    <row r="11536" spans="2:2" ht="23.25" customHeight="1">
      <c r="B11536" s="2669"/>
    </row>
    <row r="11537" spans="2:2" ht="23.25" customHeight="1">
      <c r="B11537" s="2669"/>
    </row>
    <row r="11538" spans="2:2" ht="23.25" customHeight="1">
      <c r="B11538" s="2669"/>
    </row>
    <row r="11539" spans="2:2" ht="23.25" customHeight="1">
      <c r="B11539" s="2669"/>
    </row>
    <row r="11540" spans="2:2" ht="23.25" customHeight="1">
      <c r="B11540" s="2669"/>
    </row>
    <row r="11541" spans="2:2" ht="23.25" customHeight="1">
      <c r="B11541" s="2669"/>
    </row>
    <row r="11542" spans="2:2" ht="23.25" customHeight="1">
      <c r="B11542" s="2669"/>
    </row>
    <row r="11543" spans="2:2" ht="23.25" customHeight="1">
      <c r="B11543" s="2669"/>
    </row>
    <row r="11544" spans="2:2" ht="23.25" customHeight="1">
      <c r="B11544" s="2669"/>
    </row>
    <row r="11545" spans="2:2" ht="23.25" customHeight="1">
      <c r="B11545" s="2669"/>
    </row>
    <row r="11546" spans="2:2" ht="23.25" customHeight="1">
      <c r="B11546" s="2669"/>
    </row>
    <row r="11547" spans="2:2" ht="23.25" customHeight="1">
      <c r="B11547" s="2669"/>
    </row>
    <row r="11548" spans="2:2" ht="23.25" customHeight="1">
      <c r="B11548" s="2669"/>
    </row>
    <row r="11549" spans="2:2" ht="23.25" customHeight="1">
      <c r="B11549" s="2669"/>
    </row>
    <row r="11550" spans="2:2" ht="23.25" customHeight="1">
      <c r="B11550" s="2669"/>
    </row>
    <row r="11551" spans="2:2" ht="23.25" customHeight="1">
      <c r="B11551" s="2669"/>
    </row>
    <row r="11552" spans="2:2" ht="23.25" customHeight="1">
      <c r="B11552" s="2669"/>
    </row>
    <row r="11553" spans="2:2" ht="23.25" customHeight="1">
      <c r="B11553" s="2669"/>
    </row>
    <row r="11554" spans="2:2" ht="23.25" customHeight="1">
      <c r="B11554" s="2669"/>
    </row>
    <row r="11555" spans="2:2" ht="23.25" customHeight="1">
      <c r="B11555" s="2669"/>
    </row>
    <row r="11556" spans="2:2" ht="23.25" customHeight="1">
      <c r="B11556" s="2669"/>
    </row>
    <row r="11557" spans="2:2" ht="23.25" customHeight="1">
      <c r="B11557" s="2669"/>
    </row>
    <row r="11558" spans="2:2" ht="23.25" customHeight="1">
      <c r="B11558" s="2669"/>
    </row>
    <row r="11559" spans="2:2" ht="23.25" customHeight="1">
      <c r="B11559" s="2669"/>
    </row>
    <row r="11560" spans="2:2" ht="23.25" customHeight="1">
      <c r="B11560" s="2669"/>
    </row>
    <row r="11561" spans="2:2" ht="23.25" customHeight="1">
      <c r="B11561" s="2669"/>
    </row>
    <row r="11562" spans="2:2" ht="23.25" customHeight="1">
      <c r="B11562" s="2669"/>
    </row>
    <row r="11563" spans="2:2" ht="23.25" customHeight="1">
      <c r="B11563" s="2669"/>
    </row>
    <row r="11564" spans="2:2" ht="23.25" customHeight="1">
      <c r="B11564" s="2669"/>
    </row>
    <row r="11565" spans="2:2" ht="23.25" customHeight="1">
      <c r="B11565" s="2669"/>
    </row>
    <row r="11566" spans="2:2" ht="23.25" customHeight="1">
      <c r="B11566" s="2669"/>
    </row>
    <row r="11567" spans="2:2" ht="23.25" customHeight="1">
      <c r="B11567" s="2669"/>
    </row>
    <row r="11568" spans="2:2" ht="23.25" customHeight="1">
      <c r="B11568" s="2669"/>
    </row>
    <row r="11569" spans="2:2" ht="23.25" customHeight="1">
      <c r="B11569" s="2669"/>
    </row>
    <row r="11570" spans="2:2" ht="23.25" customHeight="1">
      <c r="B11570" s="2669"/>
    </row>
    <row r="11571" spans="2:2" ht="23.25" customHeight="1">
      <c r="B11571" s="2669"/>
    </row>
    <row r="11572" spans="2:2" ht="23.25" customHeight="1">
      <c r="B11572" s="2669"/>
    </row>
    <row r="11573" spans="2:2" ht="23.25" customHeight="1">
      <c r="B11573" s="2669"/>
    </row>
    <row r="11574" spans="2:2" ht="23.25" customHeight="1">
      <c r="B11574" s="2669"/>
    </row>
    <row r="11575" spans="2:2" ht="23.25" customHeight="1">
      <c r="B11575" s="2669"/>
    </row>
    <row r="11576" spans="2:2" ht="23.25" customHeight="1">
      <c r="B11576" s="2669"/>
    </row>
    <row r="11577" spans="2:2" ht="23.25" customHeight="1">
      <c r="B11577" s="2669"/>
    </row>
    <row r="11578" spans="2:2" ht="23.25" customHeight="1">
      <c r="B11578" s="2669"/>
    </row>
    <row r="11579" spans="2:2" ht="23.25" customHeight="1">
      <c r="B11579" s="2669"/>
    </row>
    <row r="11580" spans="2:2" ht="23.25" customHeight="1">
      <c r="B11580" s="2669"/>
    </row>
    <row r="11581" spans="2:2" ht="23.25" customHeight="1">
      <c r="B11581" s="2669"/>
    </row>
    <row r="11582" spans="2:2" ht="23.25" customHeight="1">
      <c r="B11582" s="2669"/>
    </row>
    <row r="11583" spans="2:2" ht="23.25" customHeight="1">
      <c r="B11583" s="2669"/>
    </row>
    <row r="11584" spans="2:2" ht="23.25" customHeight="1">
      <c r="B11584" s="2669"/>
    </row>
    <row r="11585" spans="2:2" ht="23.25" customHeight="1">
      <c r="B11585" s="2669"/>
    </row>
    <row r="11586" spans="2:2" ht="23.25" customHeight="1">
      <c r="B11586" s="2669"/>
    </row>
    <row r="11587" spans="2:2" ht="23.25" customHeight="1">
      <c r="B11587" s="2669"/>
    </row>
    <row r="11588" spans="2:2" ht="23.25" customHeight="1">
      <c r="B11588" s="2669"/>
    </row>
    <row r="11589" spans="2:2" ht="23.25" customHeight="1">
      <c r="B11589" s="2669"/>
    </row>
    <row r="11590" spans="2:2" ht="23.25" customHeight="1">
      <c r="B11590" s="2669"/>
    </row>
    <row r="11591" spans="2:2" ht="23.25" customHeight="1">
      <c r="B11591" s="2669"/>
    </row>
    <row r="11592" spans="2:2" ht="23.25" customHeight="1">
      <c r="B11592" s="2669"/>
    </row>
    <row r="11593" spans="2:2" ht="23.25" customHeight="1">
      <c r="B11593" s="2669"/>
    </row>
    <row r="11594" spans="2:2" ht="23.25" customHeight="1">
      <c r="B11594" s="2669"/>
    </row>
    <row r="11595" spans="2:2" ht="23.25" customHeight="1">
      <c r="B11595" s="2669"/>
    </row>
    <row r="11596" spans="2:2" ht="23.25" customHeight="1">
      <c r="B11596" s="2669"/>
    </row>
    <row r="11597" spans="2:2" ht="23.25" customHeight="1">
      <c r="B11597" s="2669"/>
    </row>
    <row r="11598" spans="2:2" ht="23.25" customHeight="1">
      <c r="B11598" s="2669"/>
    </row>
    <row r="11599" spans="2:2" ht="23.25" customHeight="1">
      <c r="B11599" s="2669"/>
    </row>
    <row r="11600" spans="2:2" ht="23.25" customHeight="1">
      <c r="B11600" s="2669"/>
    </row>
    <row r="11601" spans="2:2" ht="23.25" customHeight="1">
      <c r="B11601" s="2669"/>
    </row>
    <row r="11602" spans="2:2" ht="23.25" customHeight="1">
      <c r="B11602" s="2669"/>
    </row>
    <row r="11603" spans="2:2" ht="23.25" customHeight="1">
      <c r="B11603" s="2669"/>
    </row>
    <row r="11604" spans="2:2" ht="23.25" customHeight="1">
      <c r="B11604" s="2669"/>
    </row>
    <row r="11605" spans="2:2" ht="23.25" customHeight="1">
      <c r="B11605" s="2669"/>
    </row>
    <row r="11606" spans="2:2" ht="23.25" customHeight="1">
      <c r="B11606" s="2669"/>
    </row>
    <row r="11607" spans="2:2" ht="23.25" customHeight="1">
      <c r="B11607" s="2669"/>
    </row>
    <row r="11608" spans="2:2" ht="23.25" customHeight="1">
      <c r="B11608" s="2669"/>
    </row>
    <row r="11609" spans="2:2" ht="23.25" customHeight="1">
      <c r="B11609" s="2669"/>
    </row>
    <row r="11610" spans="2:2" ht="23.25" customHeight="1">
      <c r="B11610" s="2669"/>
    </row>
    <row r="11611" spans="2:2" ht="23.25" customHeight="1">
      <c r="B11611" s="2669"/>
    </row>
    <row r="11612" spans="2:2" ht="23.25" customHeight="1">
      <c r="B11612" s="2669"/>
    </row>
    <row r="11613" spans="2:2" ht="23.25" customHeight="1">
      <c r="B11613" s="2669"/>
    </row>
    <row r="11614" spans="2:2" ht="23.25" customHeight="1">
      <c r="B11614" s="2669"/>
    </row>
    <row r="11615" spans="2:2" ht="23.25" customHeight="1">
      <c r="B11615" s="2669"/>
    </row>
    <row r="11616" spans="2:2" ht="23.25" customHeight="1">
      <c r="B11616" s="2669"/>
    </row>
    <row r="11617" spans="2:2" ht="23.25" customHeight="1">
      <c r="B11617" s="2669"/>
    </row>
    <row r="11618" spans="2:2" ht="23.25" customHeight="1">
      <c r="B11618" s="2669"/>
    </row>
    <row r="11619" spans="2:2" ht="23.25" customHeight="1">
      <c r="B11619" s="2669"/>
    </row>
    <row r="11620" spans="2:2" ht="23.25" customHeight="1">
      <c r="B11620" s="2669"/>
    </row>
    <row r="11621" spans="2:2" ht="23.25" customHeight="1">
      <c r="B11621" s="2669"/>
    </row>
    <row r="11622" spans="2:2" ht="23.25" customHeight="1">
      <c r="B11622" s="2669"/>
    </row>
    <row r="11623" spans="2:2" ht="23.25" customHeight="1">
      <c r="B11623" s="2669"/>
    </row>
    <row r="11624" spans="2:2" ht="23.25" customHeight="1">
      <c r="B11624" s="2669"/>
    </row>
    <row r="11625" spans="2:2" ht="23.25" customHeight="1">
      <c r="B11625" s="2669"/>
    </row>
    <row r="11626" spans="2:2" ht="23.25" customHeight="1">
      <c r="B11626" s="2669"/>
    </row>
    <row r="11627" spans="2:2" ht="23.25" customHeight="1">
      <c r="B11627" s="2669"/>
    </row>
    <row r="11628" spans="2:2" ht="23.25" customHeight="1">
      <c r="B11628" s="2669"/>
    </row>
    <row r="11629" spans="2:2" ht="23.25" customHeight="1">
      <c r="B11629" s="2669"/>
    </row>
    <row r="11630" spans="2:2" ht="23.25" customHeight="1">
      <c r="B11630" s="2669"/>
    </row>
    <row r="11631" spans="2:2" ht="23.25" customHeight="1">
      <c r="B11631" s="2669"/>
    </row>
    <row r="11632" spans="2:2" ht="23.25" customHeight="1">
      <c r="B11632" s="2669"/>
    </row>
    <row r="11633" spans="2:2" ht="23.25" customHeight="1">
      <c r="B11633" s="2669"/>
    </row>
    <row r="11634" spans="2:2" ht="23.25" customHeight="1">
      <c r="B11634" s="2669"/>
    </row>
    <row r="11635" spans="2:2" ht="23.25" customHeight="1">
      <c r="B11635" s="2669"/>
    </row>
    <row r="11636" spans="2:2" ht="23.25" customHeight="1">
      <c r="B11636" s="2669"/>
    </row>
    <row r="11637" spans="2:2" ht="23.25" customHeight="1">
      <c r="B11637" s="2669"/>
    </row>
    <row r="11638" spans="2:2" ht="23.25" customHeight="1">
      <c r="B11638" s="2669"/>
    </row>
    <row r="11639" spans="2:2" ht="23.25" customHeight="1">
      <c r="B11639" s="2669"/>
    </row>
    <row r="11640" spans="2:2" ht="23.25" customHeight="1">
      <c r="B11640" s="2669"/>
    </row>
    <row r="11641" spans="2:2" ht="23.25" customHeight="1">
      <c r="B11641" s="2669"/>
    </row>
    <row r="11642" spans="2:2" ht="23.25" customHeight="1">
      <c r="B11642" s="2669"/>
    </row>
    <row r="11643" spans="2:2" ht="23.25" customHeight="1">
      <c r="B11643" s="2669"/>
    </row>
    <row r="11644" spans="2:2" ht="23.25" customHeight="1">
      <c r="B11644" s="2669"/>
    </row>
    <row r="11645" spans="2:2" ht="23.25" customHeight="1">
      <c r="B11645" s="2669"/>
    </row>
    <row r="11646" spans="2:2" ht="23.25" customHeight="1">
      <c r="B11646" s="2669"/>
    </row>
    <row r="11647" spans="2:2" ht="23.25" customHeight="1">
      <c r="B11647" s="2669"/>
    </row>
    <row r="11648" spans="2:2" ht="23.25" customHeight="1">
      <c r="B11648" s="2669"/>
    </row>
    <row r="11649" spans="2:2" ht="23.25" customHeight="1">
      <c r="B11649" s="2669"/>
    </row>
    <row r="11650" spans="2:2" ht="23.25" customHeight="1">
      <c r="B11650" s="2669"/>
    </row>
    <row r="11651" spans="2:2" ht="23.25" customHeight="1">
      <c r="B11651" s="2669"/>
    </row>
    <row r="11652" spans="2:2" ht="23.25" customHeight="1">
      <c r="B11652" s="2669"/>
    </row>
    <row r="11653" spans="2:2" ht="23.25" customHeight="1">
      <c r="B11653" s="2669"/>
    </row>
    <row r="11654" spans="2:2" ht="23.25" customHeight="1">
      <c r="B11654" s="2669"/>
    </row>
    <row r="11655" spans="2:2" ht="23.25" customHeight="1">
      <c r="B11655" s="2669"/>
    </row>
    <row r="11656" spans="2:2" ht="23.25" customHeight="1">
      <c r="B11656" s="2669"/>
    </row>
    <row r="11657" spans="2:2" ht="23.25" customHeight="1">
      <c r="B11657" s="2669"/>
    </row>
    <row r="11658" spans="2:2" ht="23.25" customHeight="1">
      <c r="B11658" s="2669"/>
    </row>
    <row r="11659" spans="2:2" ht="23.25" customHeight="1">
      <c r="B11659" s="2669"/>
    </row>
    <row r="11660" spans="2:2" ht="23.25" customHeight="1">
      <c r="B11660" s="2669"/>
    </row>
    <row r="11661" spans="2:2" ht="23.25" customHeight="1">
      <c r="B11661" s="2669"/>
    </row>
    <row r="11662" spans="2:2" ht="23.25" customHeight="1">
      <c r="B11662" s="2669"/>
    </row>
    <row r="11663" spans="2:2" ht="23.25" customHeight="1">
      <c r="B11663" s="2669"/>
    </row>
    <row r="11664" spans="2:2" ht="23.25" customHeight="1">
      <c r="B11664" s="2669"/>
    </row>
    <row r="11665" spans="2:2" ht="23.25" customHeight="1">
      <c r="B11665" s="2669"/>
    </row>
    <row r="11666" spans="2:2" ht="23.25" customHeight="1">
      <c r="B11666" s="2669"/>
    </row>
    <row r="11667" spans="2:2" ht="23.25" customHeight="1">
      <c r="B11667" s="2669"/>
    </row>
    <row r="11668" spans="2:2" ht="23.25" customHeight="1">
      <c r="B11668" s="2669"/>
    </row>
    <row r="11669" spans="2:2" ht="23.25" customHeight="1">
      <c r="B11669" s="2669"/>
    </row>
    <row r="11670" spans="2:2" ht="23.25" customHeight="1">
      <c r="B11670" s="2669"/>
    </row>
    <row r="11671" spans="2:2" ht="23.25" customHeight="1">
      <c r="B11671" s="2669"/>
    </row>
    <row r="11672" spans="2:2" ht="23.25" customHeight="1">
      <c r="B11672" s="2669"/>
    </row>
    <row r="11673" spans="2:2" ht="23.25" customHeight="1">
      <c r="B11673" s="2669"/>
    </row>
    <row r="11674" spans="2:2" ht="23.25" customHeight="1">
      <c r="B11674" s="2669"/>
    </row>
    <row r="11675" spans="2:2" ht="23.25" customHeight="1">
      <c r="B11675" s="2669"/>
    </row>
    <row r="11676" spans="2:2" ht="23.25" customHeight="1">
      <c r="B11676" s="2669"/>
    </row>
    <row r="11677" spans="2:2" ht="23.25" customHeight="1">
      <c r="B11677" s="2669"/>
    </row>
    <row r="11678" spans="2:2" ht="23.25" customHeight="1">
      <c r="B11678" s="2669"/>
    </row>
    <row r="11679" spans="2:2" ht="23.25" customHeight="1">
      <c r="B11679" s="2669"/>
    </row>
    <row r="11680" spans="2:2" ht="23.25" customHeight="1">
      <c r="B11680" s="2669"/>
    </row>
    <row r="11681" spans="2:2" ht="23.25" customHeight="1">
      <c r="B11681" s="2669"/>
    </row>
    <row r="11682" spans="2:2" ht="23.25" customHeight="1">
      <c r="B11682" s="2669"/>
    </row>
    <row r="11683" spans="2:2" ht="23.25" customHeight="1">
      <c r="B11683" s="2669"/>
    </row>
    <row r="11684" spans="2:2" ht="23.25" customHeight="1">
      <c r="B11684" s="2669"/>
    </row>
    <row r="11685" spans="2:2" ht="23.25" customHeight="1">
      <c r="B11685" s="2669"/>
    </row>
    <row r="11686" spans="2:2" ht="23.25" customHeight="1">
      <c r="B11686" s="2669"/>
    </row>
    <row r="11687" spans="2:2" ht="23.25" customHeight="1">
      <c r="B11687" s="2669"/>
    </row>
    <row r="11688" spans="2:2" ht="23.25" customHeight="1">
      <c r="B11688" s="2669"/>
    </row>
    <row r="11689" spans="2:2" ht="23.25" customHeight="1">
      <c r="B11689" s="2669"/>
    </row>
    <row r="11690" spans="2:2" ht="23.25" customHeight="1">
      <c r="B11690" s="2669"/>
    </row>
    <row r="11691" spans="2:2" ht="23.25" customHeight="1">
      <c r="B11691" s="2669"/>
    </row>
    <row r="11692" spans="2:2" ht="23.25" customHeight="1">
      <c r="B11692" s="2669"/>
    </row>
    <row r="11693" spans="2:2" ht="23.25" customHeight="1">
      <c r="B11693" s="2669"/>
    </row>
    <row r="11694" spans="2:2" ht="23.25" customHeight="1">
      <c r="B11694" s="2669"/>
    </row>
    <row r="11695" spans="2:2" ht="23.25" customHeight="1">
      <c r="B11695" s="2669"/>
    </row>
    <row r="11696" spans="2:2" ht="23.25" customHeight="1">
      <c r="B11696" s="2669"/>
    </row>
    <row r="11697" spans="2:2" ht="23.25" customHeight="1">
      <c r="B11697" s="2669"/>
    </row>
    <row r="11698" spans="2:2" ht="23.25" customHeight="1">
      <c r="B11698" s="2669"/>
    </row>
    <row r="11699" spans="2:2" ht="23.25" customHeight="1">
      <c r="B11699" s="2669"/>
    </row>
    <row r="11700" spans="2:2" ht="23.25" customHeight="1">
      <c r="B11700" s="2669"/>
    </row>
    <row r="11701" spans="2:2" ht="23.25" customHeight="1">
      <c r="B11701" s="2669"/>
    </row>
    <row r="11702" spans="2:2" ht="23.25" customHeight="1">
      <c r="B11702" s="2669"/>
    </row>
    <row r="11703" spans="2:2" ht="23.25" customHeight="1">
      <c r="B11703" s="2669"/>
    </row>
    <row r="11704" spans="2:2" ht="23.25" customHeight="1">
      <c r="B11704" s="2669"/>
    </row>
    <row r="11705" spans="2:2" ht="23.25" customHeight="1">
      <c r="B11705" s="2669"/>
    </row>
    <row r="11706" spans="2:2" ht="23.25" customHeight="1">
      <c r="B11706" s="2669"/>
    </row>
    <row r="11707" spans="2:2" ht="23.25" customHeight="1">
      <c r="B11707" s="2669"/>
    </row>
    <row r="11708" spans="2:2" ht="23.25" customHeight="1">
      <c r="B11708" s="2669"/>
    </row>
    <row r="11709" spans="2:2" ht="23.25" customHeight="1">
      <c r="B11709" s="2669"/>
    </row>
    <row r="11710" spans="2:2" ht="23.25" customHeight="1">
      <c r="B11710" s="2669"/>
    </row>
    <row r="11711" spans="2:2" ht="23.25" customHeight="1">
      <c r="B11711" s="2669"/>
    </row>
    <row r="11712" spans="2:2" ht="23.25" customHeight="1">
      <c r="B11712" s="2669"/>
    </row>
    <row r="11713" spans="2:2" ht="23.25" customHeight="1">
      <c r="B11713" s="2669"/>
    </row>
    <row r="11714" spans="2:2" ht="23.25" customHeight="1">
      <c r="B11714" s="2669"/>
    </row>
    <row r="11715" spans="2:2" ht="23.25" customHeight="1">
      <c r="B11715" s="2669"/>
    </row>
    <row r="11716" spans="2:2" ht="23.25" customHeight="1">
      <c r="B11716" s="2669"/>
    </row>
    <row r="11717" spans="2:2" ht="23.25" customHeight="1">
      <c r="B11717" s="2669"/>
    </row>
    <row r="11718" spans="2:2" ht="23.25" customHeight="1">
      <c r="B11718" s="2669"/>
    </row>
    <row r="11719" spans="2:2" ht="23.25" customHeight="1">
      <c r="B11719" s="2669"/>
    </row>
    <row r="11720" spans="2:2" ht="23.25" customHeight="1">
      <c r="B11720" s="2669"/>
    </row>
    <row r="11721" spans="2:2" ht="23.25" customHeight="1">
      <c r="B11721" s="2669"/>
    </row>
    <row r="11722" spans="2:2" ht="23.25" customHeight="1">
      <c r="B11722" s="2669"/>
    </row>
    <row r="11723" spans="2:2" ht="23.25" customHeight="1">
      <c r="B11723" s="2669"/>
    </row>
    <row r="11724" spans="2:2" ht="23.25" customHeight="1">
      <c r="B11724" s="2669"/>
    </row>
    <row r="11725" spans="2:2" ht="23.25" customHeight="1">
      <c r="B11725" s="2669"/>
    </row>
    <row r="11726" spans="2:2" ht="23.25" customHeight="1">
      <c r="B11726" s="2669"/>
    </row>
    <row r="11727" spans="2:2" ht="23.25" customHeight="1">
      <c r="B11727" s="2669"/>
    </row>
    <row r="11728" spans="2:2" ht="23.25" customHeight="1">
      <c r="B11728" s="2669"/>
    </row>
    <row r="11729" spans="2:2" ht="23.25" customHeight="1">
      <c r="B11729" s="2669"/>
    </row>
    <row r="11730" spans="2:2" ht="23.25" customHeight="1">
      <c r="B11730" s="2669"/>
    </row>
    <row r="11731" spans="2:2" ht="23.25" customHeight="1">
      <c r="B11731" s="2669"/>
    </row>
    <row r="11732" spans="2:2" ht="23.25" customHeight="1">
      <c r="B11732" s="2669"/>
    </row>
    <row r="11733" spans="2:2" ht="23.25" customHeight="1">
      <c r="B11733" s="2669"/>
    </row>
    <row r="11734" spans="2:2" ht="23.25" customHeight="1">
      <c r="B11734" s="2669"/>
    </row>
    <row r="11735" spans="2:2" ht="23.25" customHeight="1">
      <c r="B11735" s="2669"/>
    </row>
    <row r="11736" spans="2:2" ht="23.25" customHeight="1">
      <c r="B11736" s="2669"/>
    </row>
    <row r="11737" spans="2:2" ht="23.25" customHeight="1">
      <c r="B11737" s="2669"/>
    </row>
    <row r="11738" spans="2:2" ht="23.25" customHeight="1">
      <c r="B11738" s="2669"/>
    </row>
    <row r="11739" spans="2:2" ht="23.25" customHeight="1">
      <c r="B11739" s="2669"/>
    </row>
    <row r="11740" spans="2:2" ht="23.25" customHeight="1">
      <c r="B11740" s="2669"/>
    </row>
    <row r="11741" spans="2:2" ht="23.25" customHeight="1">
      <c r="B11741" s="2669"/>
    </row>
    <row r="11742" spans="2:2" ht="23.25" customHeight="1">
      <c r="B11742" s="2669"/>
    </row>
    <row r="11743" spans="2:2" ht="23.25" customHeight="1">
      <c r="B11743" s="2669"/>
    </row>
    <row r="11744" spans="2:2" ht="23.25" customHeight="1">
      <c r="B11744" s="2669"/>
    </row>
    <row r="11745" spans="2:2" ht="23.25" customHeight="1">
      <c r="B11745" s="2669"/>
    </row>
    <row r="11746" spans="2:2" ht="23.25" customHeight="1">
      <c r="B11746" s="2669"/>
    </row>
    <row r="11747" spans="2:2" ht="23.25" customHeight="1">
      <c r="B11747" s="2669"/>
    </row>
    <row r="11748" spans="2:2" ht="23.25" customHeight="1">
      <c r="B11748" s="2669"/>
    </row>
    <row r="11749" spans="2:2" ht="23.25" customHeight="1">
      <c r="B11749" s="2669"/>
    </row>
    <row r="11750" spans="2:2" ht="23.25" customHeight="1">
      <c r="B11750" s="2669"/>
    </row>
    <row r="11751" spans="2:2" ht="23.25" customHeight="1">
      <c r="B11751" s="2669"/>
    </row>
    <row r="11752" spans="2:2" ht="23.25" customHeight="1">
      <c r="B11752" s="2669"/>
    </row>
    <row r="11753" spans="2:2" ht="23.25" customHeight="1">
      <c r="B11753" s="2669"/>
    </row>
    <row r="11754" spans="2:2" ht="23.25" customHeight="1">
      <c r="B11754" s="2669"/>
    </row>
    <row r="11755" spans="2:2" ht="23.25" customHeight="1">
      <c r="B11755" s="2669"/>
    </row>
    <row r="11756" spans="2:2" ht="23.25" customHeight="1">
      <c r="B11756" s="2669"/>
    </row>
    <row r="11757" spans="2:2" ht="23.25" customHeight="1">
      <c r="B11757" s="2669"/>
    </row>
    <row r="11758" spans="2:2" ht="23.25" customHeight="1">
      <c r="B11758" s="2669"/>
    </row>
    <row r="11759" spans="2:2" ht="23.25" customHeight="1">
      <c r="B11759" s="2669"/>
    </row>
    <row r="11760" spans="2:2" ht="23.25" customHeight="1">
      <c r="B11760" s="2669"/>
    </row>
    <row r="11761" spans="2:2" ht="23.25" customHeight="1">
      <c r="B11761" s="2669"/>
    </row>
    <row r="11762" spans="2:2" ht="23.25" customHeight="1">
      <c r="B11762" s="2669"/>
    </row>
    <row r="11763" spans="2:2" ht="23.25" customHeight="1">
      <c r="B11763" s="2669"/>
    </row>
    <row r="11764" spans="2:2" ht="23.25" customHeight="1">
      <c r="B11764" s="2669"/>
    </row>
    <row r="11765" spans="2:2" ht="23.25" customHeight="1">
      <c r="B11765" s="2669"/>
    </row>
    <row r="11766" spans="2:2" ht="23.25" customHeight="1">
      <c r="B11766" s="2669"/>
    </row>
    <row r="11767" spans="2:2" ht="23.25" customHeight="1">
      <c r="B11767" s="2669"/>
    </row>
    <row r="11768" spans="2:2" ht="23.25" customHeight="1">
      <c r="B11768" s="2669"/>
    </row>
    <row r="11769" spans="2:2" ht="23.25" customHeight="1">
      <c r="B11769" s="2669"/>
    </row>
    <row r="11770" spans="2:2" ht="23.25" customHeight="1">
      <c r="B11770" s="2669"/>
    </row>
    <row r="11771" spans="2:2" ht="23.25" customHeight="1">
      <c r="B11771" s="2669"/>
    </row>
    <row r="11772" spans="2:2" ht="23.25" customHeight="1">
      <c r="B11772" s="2669"/>
    </row>
    <row r="11773" spans="2:2" ht="23.25" customHeight="1">
      <c r="B11773" s="2669"/>
    </row>
    <row r="11774" spans="2:2" ht="23.25" customHeight="1">
      <c r="B11774" s="2669"/>
    </row>
    <row r="11775" spans="2:2" ht="23.25" customHeight="1">
      <c r="B11775" s="2669"/>
    </row>
    <row r="11776" spans="2:2" ht="23.25" customHeight="1">
      <c r="B11776" s="2669"/>
    </row>
    <row r="11777" spans="2:2" ht="23.25" customHeight="1">
      <c r="B11777" s="2669"/>
    </row>
    <row r="11778" spans="2:2" ht="23.25" customHeight="1">
      <c r="B11778" s="2669"/>
    </row>
    <row r="11779" spans="2:2" ht="23.25" customHeight="1">
      <c r="B11779" s="2669"/>
    </row>
    <row r="11780" spans="2:2" ht="23.25" customHeight="1">
      <c r="B11780" s="2669"/>
    </row>
    <row r="11781" spans="2:2" ht="23.25" customHeight="1">
      <c r="B11781" s="2669"/>
    </row>
    <row r="11782" spans="2:2" ht="23.25" customHeight="1">
      <c r="B11782" s="2669"/>
    </row>
    <row r="11783" spans="2:2" ht="23.25" customHeight="1">
      <c r="B11783" s="2669"/>
    </row>
    <row r="11784" spans="2:2" ht="23.25" customHeight="1">
      <c r="B11784" s="2669"/>
    </row>
    <row r="11785" spans="2:2" ht="23.25" customHeight="1">
      <c r="B11785" s="2669"/>
    </row>
    <row r="11786" spans="2:2" ht="23.25" customHeight="1">
      <c r="B11786" s="2669"/>
    </row>
    <row r="11787" spans="2:2" ht="23.25" customHeight="1">
      <c r="B11787" s="2669"/>
    </row>
    <row r="11788" spans="2:2" ht="23.25" customHeight="1">
      <c r="B11788" s="2669"/>
    </row>
    <row r="11789" spans="2:2" ht="23.25" customHeight="1">
      <c r="B11789" s="2669"/>
    </row>
    <row r="11790" spans="2:2" ht="23.25" customHeight="1">
      <c r="B11790" s="2669"/>
    </row>
    <row r="11791" spans="2:2" ht="23.25" customHeight="1">
      <c r="B11791" s="2669"/>
    </row>
    <row r="11792" spans="2:2" ht="23.25" customHeight="1">
      <c r="B11792" s="2669"/>
    </row>
    <row r="11793" spans="2:2" ht="23.25" customHeight="1">
      <c r="B11793" s="2669"/>
    </row>
    <row r="11794" spans="2:2" ht="23.25" customHeight="1">
      <c r="B11794" s="2669"/>
    </row>
    <row r="11795" spans="2:2" ht="23.25" customHeight="1">
      <c r="B11795" s="2669"/>
    </row>
    <row r="11796" spans="2:2" ht="23.25" customHeight="1">
      <c r="B11796" s="2669"/>
    </row>
    <row r="11797" spans="2:2" ht="23.25" customHeight="1">
      <c r="B11797" s="2669"/>
    </row>
    <row r="11798" spans="2:2" ht="23.25" customHeight="1">
      <c r="B11798" s="2669"/>
    </row>
    <row r="11799" spans="2:2" ht="23.25" customHeight="1">
      <c r="B11799" s="2669"/>
    </row>
    <row r="11800" spans="2:2" ht="23.25" customHeight="1">
      <c r="B11800" s="2669"/>
    </row>
    <row r="11801" spans="2:2" ht="23.25" customHeight="1">
      <c r="B11801" s="2669"/>
    </row>
    <row r="11802" spans="2:2" ht="23.25" customHeight="1">
      <c r="B11802" s="2669"/>
    </row>
    <row r="11803" spans="2:2" ht="23.25" customHeight="1">
      <c r="B11803" s="2669"/>
    </row>
    <row r="11804" spans="2:2" ht="23.25" customHeight="1">
      <c r="B11804" s="2669"/>
    </row>
    <row r="11805" spans="2:2" ht="23.25" customHeight="1">
      <c r="B11805" s="2669"/>
    </row>
    <row r="11806" spans="2:2" ht="23.25" customHeight="1">
      <c r="B11806" s="2669"/>
    </row>
    <row r="11807" spans="2:2" ht="23.25" customHeight="1">
      <c r="B11807" s="2669"/>
    </row>
    <row r="11808" spans="2:2" ht="23.25" customHeight="1">
      <c r="B11808" s="2669"/>
    </row>
    <row r="11809" spans="2:2" ht="23.25" customHeight="1">
      <c r="B11809" s="2669"/>
    </row>
    <row r="11810" spans="2:2" ht="23.25" customHeight="1">
      <c r="B11810" s="2669"/>
    </row>
    <row r="11811" spans="2:2" ht="23.25" customHeight="1">
      <c r="B11811" s="2669"/>
    </row>
    <row r="11812" spans="2:2" ht="23.25" customHeight="1">
      <c r="B11812" s="2669"/>
    </row>
    <row r="11813" spans="2:2" ht="23.25" customHeight="1">
      <c r="B11813" s="2669"/>
    </row>
    <row r="11814" spans="2:2" ht="23.25" customHeight="1">
      <c r="B11814" s="2669"/>
    </row>
    <row r="11815" spans="2:2" ht="23.25" customHeight="1">
      <c r="B11815" s="2669"/>
    </row>
    <row r="11816" spans="2:2" ht="23.25" customHeight="1">
      <c r="B11816" s="2669"/>
    </row>
    <row r="11817" spans="2:2" ht="23.25" customHeight="1">
      <c r="B11817" s="2669"/>
    </row>
    <row r="11818" spans="2:2" ht="23.25" customHeight="1">
      <c r="B11818" s="2669"/>
    </row>
    <row r="11819" spans="2:2" ht="23.25" customHeight="1">
      <c r="B11819" s="2669"/>
    </row>
    <row r="11820" spans="2:2" ht="23.25" customHeight="1">
      <c r="B11820" s="2669"/>
    </row>
    <row r="11821" spans="2:2" ht="23.25" customHeight="1">
      <c r="B11821" s="2669"/>
    </row>
    <row r="11822" spans="2:2" ht="23.25" customHeight="1">
      <c r="B11822" s="2669"/>
    </row>
    <row r="11823" spans="2:2" ht="23.25" customHeight="1">
      <c r="B11823" s="2669"/>
    </row>
    <row r="11824" spans="2:2" ht="23.25" customHeight="1">
      <c r="B11824" s="2669"/>
    </row>
    <row r="11825" spans="2:2" ht="23.25" customHeight="1">
      <c r="B11825" s="2669"/>
    </row>
    <row r="11826" spans="2:2" ht="23.25" customHeight="1">
      <c r="B11826" s="2669"/>
    </row>
    <row r="11827" spans="2:2" ht="23.25" customHeight="1">
      <c r="B11827" s="2669"/>
    </row>
    <row r="11828" spans="2:2" ht="23.25" customHeight="1">
      <c r="B11828" s="2669"/>
    </row>
    <row r="11829" spans="2:2" ht="23.25" customHeight="1">
      <c r="B11829" s="2669"/>
    </row>
    <row r="11830" spans="2:2" ht="23.25" customHeight="1">
      <c r="B11830" s="2669"/>
    </row>
    <row r="11831" spans="2:2" ht="23.25" customHeight="1">
      <c r="B11831" s="2669"/>
    </row>
    <row r="11832" spans="2:2" ht="23.25" customHeight="1">
      <c r="B11832" s="2669"/>
    </row>
    <row r="11833" spans="2:2" ht="23.25" customHeight="1">
      <c r="B11833" s="2669"/>
    </row>
    <row r="11834" spans="2:2" ht="23.25" customHeight="1">
      <c r="B11834" s="2669"/>
    </row>
    <row r="11835" spans="2:2" ht="23.25" customHeight="1">
      <c r="B11835" s="2669"/>
    </row>
    <row r="11836" spans="2:2" ht="23.25" customHeight="1">
      <c r="B11836" s="2669"/>
    </row>
    <row r="11837" spans="2:2" ht="23.25" customHeight="1">
      <c r="B11837" s="2669"/>
    </row>
    <row r="11838" spans="2:2" ht="23.25" customHeight="1">
      <c r="B11838" s="2669"/>
    </row>
    <row r="11839" spans="2:2" ht="23.25" customHeight="1">
      <c r="B11839" s="2669"/>
    </row>
    <row r="11840" spans="2:2" ht="23.25" customHeight="1">
      <c r="B11840" s="2669"/>
    </row>
    <row r="11841" spans="2:2" ht="23.25" customHeight="1">
      <c r="B11841" s="2669"/>
    </row>
    <row r="11842" spans="2:2" ht="23.25" customHeight="1">
      <c r="B11842" s="2669"/>
    </row>
    <row r="11843" spans="2:2" ht="23.25" customHeight="1">
      <c r="B11843" s="2669"/>
    </row>
    <row r="11844" spans="2:2" ht="23.25" customHeight="1">
      <c r="B11844" s="2669"/>
    </row>
    <row r="11845" spans="2:2" ht="23.25" customHeight="1">
      <c r="B11845" s="2669"/>
    </row>
    <row r="11846" spans="2:2" ht="23.25" customHeight="1">
      <c r="B11846" s="2669"/>
    </row>
    <row r="11847" spans="2:2" ht="23.25" customHeight="1">
      <c r="B11847" s="2669"/>
    </row>
    <row r="11848" spans="2:2" ht="23.25" customHeight="1">
      <c r="B11848" s="2669"/>
    </row>
    <row r="11849" spans="2:2" ht="23.25" customHeight="1">
      <c r="B11849" s="2669"/>
    </row>
    <row r="11850" spans="2:2" ht="23.25" customHeight="1">
      <c r="B11850" s="2669"/>
    </row>
    <row r="11851" spans="2:2" ht="23.25" customHeight="1">
      <c r="B11851" s="2669"/>
    </row>
    <row r="11852" spans="2:2" ht="23.25" customHeight="1">
      <c r="B11852" s="2669"/>
    </row>
    <row r="11853" spans="2:2" ht="23.25" customHeight="1">
      <c r="B11853" s="2669"/>
    </row>
    <row r="11854" spans="2:2" ht="23.25" customHeight="1">
      <c r="B11854" s="2669"/>
    </row>
    <row r="11855" spans="2:2" ht="23.25" customHeight="1">
      <c r="B11855" s="2669"/>
    </row>
    <row r="11856" spans="2:2" ht="23.25" customHeight="1">
      <c r="B11856" s="2669"/>
    </row>
    <row r="11857" spans="2:2" ht="23.25" customHeight="1">
      <c r="B11857" s="2669"/>
    </row>
    <row r="11858" spans="2:2" ht="23.25" customHeight="1">
      <c r="B11858" s="2669"/>
    </row>
    <row r="11859" spans="2:2" ht="23.25" customHeight="1">
      <c r="B11859" s="2669"/>
    </row>
    <row r="11860" spans="2:2" ht="23.25" customHeight="1">
      <c r="B11860" s="2669"/>
    </row>
    <row r="11861" spans="2:2" ht="23.25" customHeight="1">
      <c r="B11861" s="2669"/>
    </row>
    <row r="11862" spans="2:2" ht="23.25" customHeight="1">
      <c r="B11862" s="2669"/>
    </row>
    <row r="11863" spans="2:2" ht="23.25" customHeight="1">
      <c r="B11863" s="2669"/>
    </row>
    <row r="11864" spans="2:2" ht="23.25" customHeight="1">
      <c r="B11864" s="2669"/>
    </row>
    <row r="11865" spans="2:2" ht="23.25" customHeight="1">
      <c r="B11865" s="2669"/>
    </row>
    <row r="11866" spans="2:2" ht="23.25" customHeight="1">
      <c r="B11866" s="2669"/>
    </row>
    <row r="11867" spans="2:2" ht="23.25" customHeight="1">
      <c r="B11867" s="2669"/>
    </row>
    <row r="11868" spans="2:2" ht="23.25" customHeight="1">
      <c r="B11868" s="2669"/>
    </row>
    <row r="11869" spans="2:2" ht="23.25" customHeight="1">
      <c r="B11869" s="2669"/>
    </row>
    <row r="11870" spans="2:2" ht="23.25" customHeight="1">
      <c r="B11870" s="2669"/>
    </row>
    <row r="11871" spans="2:2" ht="23.25" customHeight="1">
      <c r="B11871" s="2669"/>
    </row>
    <row r="11872" spans="2:2" ht="23.25" customHeight="1">
      <c r="B11872" s="2669"/>
    </row>
    <row r="11873" spans="2:2" ht="23.25" customHeight="1">
      <c r="B11873" s="2669"/>
    </row>
    <row r="11874" spans="2:2" ht="23.25" customHeight="1">
      <c r="B11874" s="2669"/>
    </row>
    <row r="11875" spans="2:2" ht="23.25" customHeight="1">
      <c r="B11875" s="2669"/>
    </row>
    <row r="11876" spans="2:2" ht="23.25" customHeight="1">
      <c r="B11876" s="2669"/>
    </row>
    <row r="11877" spans="2:2" ht="23.25" customHeight="1">
      <c r="B11877" s="2669"/>
    </row>
    <row r="11878" spans="2:2" ht="23.25" customHeight="1">
      <c r="B11878" s="2669"/>
    </row>
    <row r="11879" spans="2:2" ht="23.25" customHeight="1">
      <c r="B11879" s="2669"/>
    </row>
    <row r="11880" spans="2:2" ht="23.25" customHeight="1">
      <c r="B11880" s="2669"/>
    </row>
    <row r="11881" spans="2:2" ht="23.25" customHeight="1">
      <c r="B11881" s="2669"/>
    </row>
    <row r="11882" spans="2:2" ht="23.25" customHeight="1">
      <c r="B11882" s="2669"/>
    </row>
    <row r="11883" spans="2:2" ht="23.25" customHeight="1">
      <c r="B11883" s="2669"/>
    </row>
    <row r="11884" spans="2:2" ht="23.25" customHeight="1">
      <c r="B11884" s="2669"/>
    </row>
    <row r="11885" spans="2:2" ht="23.25" customHeight="1">
      <c r="B11885" s="2669"/>
    </row>
    <row r="11886" spans="2:2" ht="23.25" customHeight="1">
      <c r="B11886" s="2669"/>
    </row>
    <row r="11887" spans="2:2" ht="23.25" customHeight="1">
      <c r="B11887" s="2669"/>
    </row>
    <row r="11888" spans="2:2" ht="23.25" customHeight="1">
      <c r="B11888" s="2669"/>
    </row>
    <row r="11889" spans="2:2" ht="23.25" customHeight="1">
      <c r="B11889" s="2669"/>
    </row>
    <row r="11890" spans="2:2" ht="23.25" customHeight="1">
      <c r="B11890" s="2669"/>
    </row>
    <row r="11891" spans="2:2" ht="23.25" customHeight="1">
      <c r="B11891" s="2669"/>
    </row>
    <row r="11892" spans="2:2" ht="23.25" customHeight="1">
      <c r="B11892" s="2669"/>
    </row>
    <row r="11893" spans="2:2" ht="23.25" customHeight="1">
      <c r="B11893" s="2669"/>
    </row>
    <row r="11894" spans="2:2" ht="23.25" customHeight="1">
      <c r="B11894" s="2669"/>
    </row>
    <row r="11895" spans="2:2" ht="23.25" customHeight="1">
      <c r="B11895" s="2669"/>
    </row>
    <row r="11896" spans="2:2" ht="23.25" customHeight="1">
      <c r="B11896" s="2669"/>
    </row>
    <row r="11897" spans="2:2" ht="23.25" customHeight="1">
      <c r="B11897" s="2669"/>
    </row>
    <row r="11898" spans="2:2" ht="23.25" customHeight="1">
      <c r="B11898" s="2669"/>
    </row>
    <row r="11899" spans="2:2" ht="23.25" customHeight="1">
      <c r="B11899" s="2669"/>
    </row>
    <row r="11900" spans="2:2" ht="23.25" customHeight="1">
      <c r="B11900" s="2669"/>
    </row>
    <row r="11901" spans="2:2" ht="23.25" customHeight="1">
      <c r="B11901" s="2669"/>
    </row>
    <row r="11902" spans="2:2" ht="23.25" customHeight="1">
      <c r="B11902" s="2669"/>
    </row>
    <row r="11903" spans="2:2" ht="23.25" customHeight="1">
      <c r="B11903" s="2669"/>
    </row>
    <row r="11904" spans="2:2" ht="23.25" customHeight="1">
      <c r="B11904" s="2669"/>
    </row>
    <row r="11905" spans="2:2" ht="23.25" customHeight="1">
      <c r="B11905" s="2669"/>
    </row>
    <row r="11906" spans="2:2" ht="23.25" customHeight="1">
      <c r="B11906" s="2669"/>
    </row>
    <row r="11907" spans="2:2" ht="23.25" customHeight="1">
      <c r="B11907" s="2669"/>
    </row>
    <row r="11908" spans="2:2" ht="23.25" customHeight="1">
      <c r="B11908" s="2669"/>
    </row>
    <row r="11909" spans="2:2" ht="23.25" customHeight="1">
      <c r="B11909" s="2669"/>
    </row>
    <row r="11910" spans="2:2" ht="23.25" customHeight="1">
      <c r="B11910" s="2669"/>
    </row>
    <row r="11911" spans="2:2" ht="23.25" customHeight="1">
      <c r="B11911" s="2669"/>
    </row>
    <row r="11912" spans="2:2" ht="23.25" customHeight="1">
      <c r="B11912" s="2669"/>
    </row>
    <row r="11913" spans="2:2" ht="23.25" customHeight="1">
      <c r="B11913" s="2669"/>
    </row>
    <row r="11914" spans="2:2" ht="23.25" customHeight="1">
      <c r="B11914" s="2669"/>
    </row>
    <row r="11915" spans="2:2" ht="23.25" customHeight="1">
      <c r="B11915" s="2669"/>
    </row>
    <row r="11916" spans="2:2" ht="23.25" customHeight="1">
      <c r="B11916" s="2669"/>
    </row>
    <row r="11917" spans="2:2" ht="23.25" customHeight="1">
      <c r="B11917" s="2669"/>
    </row>
    <row r="11918" spans="2:2" ht="23.25" customHeight="1">
      <c r="B11918" s="2669"/>
    </row>
    <row r="11919" spans="2:2" ht="23.25" customHeight="1">
      <c r="B11919" s="2669"/>
    </row>
    <row r="11920" spans="2:2" ht="23.25" customHeight="1">
      <c r="B11920" s="2669"/>
    </row>
    <row r="11921" spans="2:2" ht="23.25" customHeight="1">
      <c r="B11921" s="2669"/>
    </row>
    <row r="11922" spans="2:2" ht="23.25" customHeight="1">
      <c r="B11922" s="2669"/>
    </row>
    <row r="11923" spans="2:2" ht="23.25" customHeight="1">
      <c r="B11923" s="2669"/>
    </row>
    <row r="11924" spans="2:2" ht="23.25" customHeight="1">
      <c r="B11924" s="2669"/>
    </row>
    <row r="11925" spans="2:2" ht="23.25" customHeight="1">
      <c r="B11925" s="2669"/>
    </row>
    <row r="11926" spans="2:2" ht="23.25" customHeight="1">
      <c r="B11926" s="2669"/>
    </row>
    <row r="11927" spans="2:2" ht="23.25" customHeight="1">
      <c r="B11927" s="2669"/>
    </row>
    <row r="11928" spans="2:2" ht="23.25" customHeight="1">
      <c r="B11928" s="2669"/>
    </row>
    <row r="11929" spans="2:2" ht="23.25" customHeight="1">
      <c r="B11929" s="2669"/>
    </row>
    <row r="11930" spans="2:2" ht="23.25" customHeight="1">
      <c r="B11930" s="2669"/>
    </row>
    <row r="11931" spans="2:2" ht="23.25" customHeight="1">
      <c r="B11931" s="2669"/>
    </row>
    <row r="11932" spans="2:2" ht="23.25" customHeight="1">
      <c r="B11932" s="2669"/>
    </row>
    <row r="11933" spans="2:2" ht="23.25" customHeight="1">
      <c r="B11933" s="2669"/>
    </row>
    <row r="11934" spans="2:2" ht="23.25" customHeight="1">
      <c r="B11934" s="2669"/>
    </row>
    <row r="11935" spans="2:2" ht="23.25" customHeight="1">
      <c r="B11935" s="2669"/>
    </row>
    <row r="11936" spans="2:2" ht="23.25" customHeight="1">
      <c r="B11936" s="2669"/>
    </row>
    <row r="11937" spans="2:2" ht="23.25" customHeight="1">
      <c r="B11937" s="2669"/>
    </row>
    <row r="11938" spans="2:2" ht="23.25" customHeight="1">
      <c r="B11938" s="2669"/>
    </row>
    <row r="11939" spans="2:2" ht="23.25" customHeight="1">
      <c r="B11939" s="2669"/>
    </row>
    <row r="11940" spans="2:2" ht="23.25" customHeight="1">
      <c r="B11940" s="2669"/>
    </row>
    <row r="11941" spans="2:2" ht="23.25" customHeight="1">
      <c r="B11941" s="2669"/>
    </row>
    <row r="11942" spans="2:2" ht="23.25" customHeight="1">
      <c r="B11942" s="2669"/>
    </row>
    <row r="11943" spans="2:2" ht="23.25" customHeight="1">
      <c r="B11943" s="2669"/>
    </row>
    <row r="11944" spans="2:2" ht="23.25" customHeight="1">
      <c r="B11944" s="2669"/>
    </row>
    <row r="11945" spans="2:2" ht="23.25" customHeight="1">
      <c r="B11945" s="2669"/>
    </row>
    <row r="11946" spans="2:2" ht="23.25" customHeight="1">
      <c r="B11946" s="2669"/>
    </row>
    <row r="11947" spans="2:2" ht="23.25" customHeight="1">
      <c r="B11947" s="2669"/>
    </row>
    <row r="11948" spans="2:2" ht="23.25" customHeight="1">
      <c r="B11948" s="2669"/>
    </row>
    <row r="11949" spans="2:2" ht="23.25" customHeight="1">
      <c r="B11949" s="2669"/>
    </row>
    <row r="11950" spans="2:2" ht="23.25" customHeight="1">
      <c r="B11950" s="2669"/>
    </row>
    <row r="11951" spans="2:2" ht="23.25" customHeight="1">
      <c r="B11951" s="2669"/>
    </row>
    <row r="11952" spans="2:2" ht="23.25" customHeight="1">
      <c r="B11952" s="2669"/>
    </row>
    <row r="11953" spans="2:2" ht="23.25" customHeight="1">
      <c r="B11953" s="2669"/>
    </row>
    <row r="11954" spans="2:2" ht="23.25" customHeight="1">
      <c r="B11954" s="2669"/>
    </row>
    <row r="11955" spans="2:2" ht="23.25" customHeight="1">
      <c r="B11955" s="2669"/>
    </row>
    <row r="11956" spans="2:2" ht="23.25" customHeight="1">
      <c r="B11956" s="2669"/>
    </row>
    <row r="11957" spans="2:2" ht="23.25" customHeight="1">
      <c r="B11957" s="2669"/>
    </row>
    <row r="11958" spans="2:2" ht="23.25" customHeight="1">
      <c r="B11958" s="2669"/>
    </row>
    <row r="11959" spans="2:2" ht="23.25" customHeight="1">
      <c r="B11959" s="2669"/>
    </row>
    <row r="11960" spans="2:2" ht="23.25" customHeight="1">
      <c r="B11960" s="2669"/>
    </row>
    <row r="11961" spans="2:2" ht="23.25" customHeight="1">
      <c r="B11961" s="2669"/>
    </row>
    <row r="11962" spans="2:2" ht="23.25" customHeight="1">
      <c r="B11962" s="2669"/>
    </row>
    <row r="11963" spans="2:2" ht="23.25" customHeight="1">
      <c r="B11963" s="2669"/>
    </row>
    <row r="11964" spans="2:2" ht="23.25" customHeight="1">
      <c r="B11964" s="2669"/>
    </row>
    <row r="11965" spans="2:2" ht="23.25" customHeight="1">
      <c r="B11965" s="2669"/>
    </row>
    <row r="11966" spans="2:2" ht="23.25" customHeight="1">
      <c r="B11966" s="2669"/>
    </row>
    <row r="11967" spans="2:2" ht="23.25" customHeight="1">
      <c r="B11967" s="2669"/>
    </row>
    <row r="11968" spans="2:2" ht="23.25" customHeight="1">
      <c r="B11968" s="2669"/>
    </row>
    <row r="11969" spans="2:2" ht="23.25" customHeight="1">
      <c r="B11969" s="2669"/>
    </row>
    <row r="11970" spans="2:2" ht="23.25" customHeight="1">
      <c r="B11970" s="2669"/>
    </row>
    <row r="11971" spans="2:2" ht="23.25" customHeight="1">
      <c r="B11971" s="2669"/>
    </row>
    <row r="11972" spans="2:2" ht="23.25" customHeight="1">
      <c r="B11972" s="2669"/>
    </row>
    <row r="11973" spans="2:2" ht="23.25" customHeight="1">
      <c r="B11973" s="2669"/>
    </row>
    <row r="11974" spans="2:2" ht="23.25" customHeight="1">
      <c r="B11974" s="2669"/>
    </row>
    <row r="11975" spans="2:2" ht="23.25" customHeight="1">
      <c r="B11975" s="2669"/>
    </row>
    <row r="11976" spans="2:2" ht="23.25" customHeight="1">
      <c r="B11976" s="2669"/>
    </row>
    <row r="11977" spans="2:2" ht="23.25" customHeight="1">
      <c r="B11977" s="2669"/>
    </row>
    <row r="11978" spans="2:2" ht="23.25" customHeight="1">
      <c r="B11978" s="2669"/>
    </row>
    <row r="11979" spans="2:2" ht="23.25" customHeight="1">
      <c r="B11979" s="2669"/>
    </row>
    <row r="11980" spans="2:2" ht="23.25" customHeight="1">
      <c r="B11980" s="2669"/>
    </row>
    <row r="11981" spans="2:2" ht="23.25" customHeight="1">
      <c r="B11981" s="2669"/>
    </row>
    <row r="11982" spans="2:2" ht="23.25" customHeight="1">
      <c r="B11982" s="2669"/>
    </row>
    <row r="11983" spans="2:2" ht="23.25" customHeight="1">
      <c r="B11983" s="2669"/>
    </row>
    <row r="11984" spans="2:2" ht="23.25" customHeight="1">
      <c r="B11984" s="2669"/>
    </row>
    <row r="11985" spans="2:2" ht="23.25" customHeight="1">
      <c r="B11985" s="2669"/>
    </row>
    <row r="11986" spans="2:2" ht="23.25" customHeight="1">
      <c r="B11986" s="2669"/>
    </row>
    <row r="11987" spans="2:2" ht="23.25" customHeight="1">
      <c r="B11987" s="2669"/>
    </row>
    <row r="11988" spans="2:2" ht="23.25" customHeight="1">
      <c r="B11988" s="2669"/>
    </row>
    <row r="11989" spans="2:2" ht="23.25" customHeight="1">
      <c r="B11989" s="2669"/>
    </row>
    <row r="11990" spans="2:2" ht="23.25" customHeight="1">
      <c r="B11990" s="2669"/>
    </row>
    <row r="11991" spans="2:2" ht="23.25" customHeight="1">
      <c r="B11991" s="2669"/>
    </row>
    <row r="11992" spans="2:2" ht="23.25" customHeight="1">
      <c r="B11992" s="2669"/>
    </row>
    <row r="11993" spans="2:2" ht="23.25" customHeight="1">
      <c r="B11993" s="2669"/>
    </row>
    <row r="11994" spans="2:2" ht="23.25" customHeight="1">
      <c r="B11994" s="2669"/>
    </row>
    <row r="11995" spans="2:2" ht="23.25" customHeight="1">
      <c r="B11995" s="2669"/>
    </row>
    <row r="11996" spans="2:2" ht="23.25" customHeight="1">
      <c r="B11996" s="2669"/>
    </row>
    <row r="11997" spans="2:2" ht="23.25" customHeight="1">
      <c r="B11997" s="2669"/>
    </row>
    <row r="11998" spans="2:2" ht="23.25" customHeight="1">
      <c r="B11998" s="2669"/>
    </row>
    <row r="11999" spans="2:2" ht="23.25" customHeight="1">
      <c r="B11999" s="2669"/>
    </row>
    <row r="12000" spans="2:2" ht="23.25" customHeight="1">
      <c r="B12000" s="2669"/>
    </row>
    <row r="12001" spans="2:2" ht="23.25" customHeight="1">
      <c r="B12001" s="2669"/>
    </row>
    <row r="12002" spans="2:2" ht="23.25" customHeight="1">
      <c r="B12002" s="2669"/>
    </row>
    <row r="12003" spans="2:2" ht="23.25" customHeight="1">
      <c r="B12003" s="2669"/>
    </row>
    <row r="12004" spans="2:2" ht="23.25" customHeight="1">
      <c r="B12004" s="2669"/>
    </row>
    <row r="12005" spans="2:2" ht="23.25" customHeight="1">
      <c r="B12005" s="2669"/>
    </row>
    <row r="12006" spans="2:2" ht="23.25" customHeight="1">
      <c r="B12006" s="2669"/>
    </row>
    <row r="12007" spans="2:2" ht="23.25" customHeight="1">
      <c r="B12007" s="2669"/>
    </row>
    <row r="12008" spans="2:2" ht="23.25" customHeight="1">
      <c r="B12008" s="2669"/>
    </row>
    <row r="12009" spans="2:2" ht="23.25" customHeight="1">
      <c r="B12009" s="2669"/>
    </row>
    <row r="12010" spans="2:2" ht="23.25" customHeight="1">
      <c r="B12010" s="2669"/>
    </row>
    <row r="12011" spans="2:2" ht="23.25" customHeight="1">
      <c r="B12011" s="2669"/>
    </row>
    <row r="12012" spans="2:2" ht="23.25" customHeight="1">
      <c r="B12012" s="2669"/>
    </row>
    <row r="12013" spans="2:2" ht="23.25" customHeight="1">
      <c r="B12013" s="2669"/>
    </row>
    <row r="12014" spans="2:2" ht="23.25" customHeight="1">
      <c r="B12014" s="2669"/>
    </row>
    <row r="12015" spans="2:2" ht="23.25" customHeight="1">
      <c r="B12015" s="2669"/>
    </row>
    <row r="12016" spans="2:2" ht="23.25" customHeight="1">
      <c r="B12016" s="2669"/>
    </row>
    <row r="12017" spans="2:2" ht="23.25" customHeight="1">
      <c r="B12017" s="2669"/>
    </row>
    <row r="12018" spans="2:2" ht="23.25" customHeight="1">
      <c r="B12018" s="2669"/>
    </row>
    <row r="12019" spans="2:2" ht="23.25" customHeight="1">
      <c r="B12019" s="2669"/>
    </row>
    <row r="12020" spans="2:2" ht="23.25" customHeight="1">
      <c r="B12020" s="2669"/>
    </row>
    <row r="12021" spans="2:2" ht="23.25" customHeight="1">
      <c r="B12021" s="2669"/>
    </row>
    <row r="12022" spans="2:2" ht="23.25" customHeight="1">
      <c r="B12022" s="2669"/>
    </row>
    <row r="12023" spans="2:2" ht="23.25" customHeight="1">
      <c r="B12023" s="2669"/>
    </row>
    <row r="12024" spans="2:2" ht="23.25" customHeight="1">
      <c r="B12024" s="2669"/>
    </row>
    <row r="12025" spans="2:2" ht="23.25" customHeight="1">
      <c r="B12025" s="2669"/>
    </row>
    <row r="12026" spans="2:2" ht="23.25" customHeight="1">
      <c r="B12026" s="2669"/>
    </row>
    <row r="12027" spans="2:2" ht="23.25" customHeight="1">
      <c r="B12027" s="2669"/>
    </row>
    <row r="12028" spans="2:2" ht="23.25" customHeight="1">
      <c r="B12028" s="2669"/>
    </row>
    <row r="12029" spans="2:2" ht="23.25" customHeight="1">
      <c r="B12029" s="2669"/>
    </row>
    <row r="12030" spans="2:2" ht="23.25" customHeight="1">
      <c r="B12030" s="2669"/>
    </row>
    <row r="12031" spans="2:2" ht="23.25" customHeight="1">
      <c r="B12031" s="2669"/>
    </row>
    <row r="12032" spans="2:2" ht="23.25" customHeight="1">
      <c r="B12032" s="2669"/>
    </row>
    <row r="12033" spans="2:2" ht="23.25" customHeight="1">
      <c r="B12033" s="2669"/>
    </row>
    <row r="12034" spans="2:2" ht="23.25" customHeight="1">
      <c r="B12034" s="2669"/>
    </row>
    <row r="12035" spans="2:2" ht="23.25" customHeight="1">
      <c r="B12035" s="2669"/>
    </row>
    <row r="12036" spans="2:2" ht="23.25" customHeight="1">
      <c r="B12036" s="2669"/>
    </row>
    <row r="12037" spans="2:2" ht="23.25" customHeight="1">
      <c r="B12037" s="2669"/>
    </row>
    <row r="12038" spans="2:2" ht="23.25" customHeight="1">
      <c r="B12038" s="2669"/>
    </row>
    <row r="12039" spans="2:2" ht="23.25" customHeight="1">
      <c r="B12039" s="2669"/>
    </row>
    <row r="12040" spans="2:2" ht="23.25" customHeight="1">
      <c r="B12040" s="2669"/>
    </row>
    <row r="12041" spans="2:2" ht="23.25" customHeight="1">
      <c r="B12041" s="2669"/>
    </row>
    <row r="12042" spans="2:2" ht="23.25" customHeight="1">
      <c r="B12042" s="2669"/>
    </row>
    <row r="12043" spans="2:2" ht="23.25" customHeight="1">
      <c r="B12043" s="2669"/>
    </row>
    <row r="12044" spans="2:2" ht="23.25" customHeight="1">
      <c r="B12044" s="2669"/>
    </row>
    <row r="12045" spans="2:2" ht="23.25" customHeight="1">
      <c r="B12045" s="2669"/>
    </row>
    <row r="12046" spans="2:2" ht="23.25" customHeight="1">
      <c r="B12046" s="2669"/>
    </row>
    <row r="12047" spans="2:2" ht="23.25" customHeight="1">
      <c r="B12047" s="2669"/>
    </row>
    <row r="12048" spans="2:2" ht="23.25" customHeight="1">
      <c r="B12048" s="2669"/>
    </row>
    <row r="12049" spans="2:2" ht="23.25" customHeight="1">
      <c r="B12049" s="2669"/>
    </row>
    <row r="12050" spans="2:2" ht="23.25" customHeight="1">
      <c r="B12050" s="2669"/>
    </row>
    <row r="12051" spans="2:2" ht="23.25" customHeight="1">
      <c r="B12051" s="2669"/>
    </row>
    <row r="12052" spans="2:2" ht="23.25" customHeight="1">
      <c r="B12052" s="2669"/>
    </row>
    <row r="12053" spans="2:2" ht="23.25" customHeight="1">
      <c r="B12053" s="2669"/>
    </row>
    <row r="12054" spans="2:2" ht="23.25" customHeight="1">
      <c r="B12054" s="2669"/>
    </row>
    <row r="12055" spans="2:2" ht="23.25" customHeight="1">
      <c r="B12055" s="2669"/>
    </row>
    <row r="12056" spans="2:2" ht="23.25" customHeight="1">
      <c r="B12056" s="2669"/>
    </row>
    <row r="12057" spans="2:2" ht="23.25" customHeight="1">
      <c r="B12057" s="2669"/>
    </row>
    <row r="12058" spans="2:2" ht="23.25" customHeight="1">
      <c r="B12058" s="2669"/>
    </row>
    <row r="12059" spans="2:2" ht="23.25" customHeight="1">
      <c r="B12059" s="2669"/>
    </row>
    <row r="12060" spans="2:2" ht="23.25" customHeight="1">
      <c r="B12060" s="2669"/>
    </row>
    <row r="12061" spans="2:2" ht="23.25" customHeight="1">
      <c r="B12061" s="2669"/>
    </row>
    <row r="12062" spans="2:2" ht="23.25" customHeight="1">
      <c r="B12062" s="2669"/>
    </row>
    <row r="12063" spans="2:2" ht="23.25" customHeight="1">
      <c r="B12063" s="2669"/>
    </row>
    <row r="12064" spans="2:2" ht="23.25" customHeight="1">
      <c r="B12064" s="2669"/>
    </row>
    <row r="12065" spans="2:2" ht="23.25" customHeight="1">
      <c r="B12065" s="2669"/>
    </row>
    <row r="12066" spans="2:2" ht="23.25" customHeight="1">
      <c r="B12066" s="2669"/>
    </row>
    <row r="12067" spans="2:2" ht="23.25" customHeight="1">
      <c r="B12067" s="2669"/>
    </row>
    <row r="12068" spans="2:2" ht="23.25" customHeight="1">
      <c r="B12068" s="2669"/>
    </row>
    <row r="12069" spans="2:2" ht="23.25" customHeight="1">
      <c r="B12069" s="2669"/>
    </row>
    <row r="12070" spans="2:2" ht="23.25" customHeight="1">
      <c r="B12070" s="2669"/>
    </row>
    <row r="12071" spans="2:2" ht="23.25" customHeight="1">
      <c r="B12071" s="2669"/>
    </row>
    <row r="12072" spans="2:2" ht="23.25" customHeight="1">
      <c r="B12072" s="2669"/>
    </row>
    <row r="12073" spans="2:2" ht="23.25" customHeight="1">
      <c r="B12073" s="2669"/>
    </row>
    <row r="12074" spans="2:2" ht="23.25" customHeight="1">
      <c r="B12074" s="2669"/>
    </row>
    <row r="12075" spans="2:2" ht="23.25" customHeight="1">
      <c r="B12075" s="2669"/>
    </row>
    <row r="12076" spans="2:2" ht="23.25" customHeight="1">
      <c r="B12076" s="2669"/>
    </row>
    <row r="12077" spans="2:2" ht="23.25" customHeight="1">
      <c r="B12077" s="2669"/>
    </row>
    <row r="12078" spans="2:2" ht="23.25" customHeight="1">
      <c r="B12078" s="2669"/>
    </row>
    <row r="12079" spans="2:2" ht="23.25" customHeight="1">
      <c r="B12079" s="2669"/>
    </row>
    <row r="12080" spans="2:2" ht="23.25" customHeight="1">
      <c r="B12080" s="2669"/>
    </row>
    <row r="12081" spans="2:2" ht="23.25" customHeight="1">
      <c r="B12081" s="2669"/>
    </row>
    <row r="12082" spans="2:2" ht="23.25" customHeight="1">
      <c r="B12082" s="2669"/>
    </row>
    <row r="12083" spans="2:2" ht="23.25" customHeight="1">
      <c r="B12083" s="2669"/>
    </row>
    <row r="12084" spans="2:2" ht="23.25" customHeight="1">
      <c r="B12084" s="2669"/>
    </row>
    <row r="12085" spans="2:2" ht="23.25" customHeight="1">
      <c r="B12085" s="2669"/>
    </row>
    <row r="12086" spans="2:2" ht="23.25" customHeight="1">
      <c r="B12086" s="2669"/>
    </row>
    <row r="12087" spans="2:2" ht="23.25" customHeight="1">
      <c r="B12087" s="2669"/>
    </row>
    <row r="12088" spans="2:2" ht="23.25" customHeight="1">
      <c r="B12088" s="2669"/>
    </row>
    <row r="12089" spans="2:2" ht="23.25" customHeight="1">
      <c r="B12089" s="2669"/>
    </row>
    <row r="12090" spans="2:2" ht="23.25" customHeight="1">
      <c r="B12090" s="2669"/>
    </row>
    <row r="12091" spans="2:2" ht="23.25" customHeight="1">
      <c r="B12091" s="2669"/>
    </row>
    <row r="12092" spans="2:2" ht="23.25" customHeight="1">
      <c r="B12092" s="2669"/>
    </row>
    <row r="12093" spans="2:2" ht="23.25" customHeight="1">
      <c r="B12093" s="2669"/>
    </row>
    <row r="12094" spans="2:2" ht="23.25" customHeight="1">
      <c r="B12094" s="2669"/>
    </row>
    <row r="12095" spans="2:2" ht="23.25" customHeight="1">
      <c r="B12095" s="2669"/>
    </row>
    <row r="12096" spans="2:2" ht="23.25" customHeight="1">
      <c r="B12096" s="2669"/>
    </row>
    <row r="12097" spans="2:2" ht="23.25" customHeight="1">
      <c r="B12097" s="2669"/>
    </row>
    <row r="12098" spans="2:2" ht="23.25" customHeight="1">
      <c r="B12098" s="2669"/>
    </row>
    <row r="12099" spans="2:2" ht="23.25" customHeight="1">
      <c r="B12099" s="2669"/>
    </row>
    <row r="12100" spans="2:2" ht="23.25" customHeight="1">
      <c r="B12100" s="2669"/>
    </row>
    <row r="12101" spans="2:2" ht="23.25" customHeight="1">
      <c r="B12101" s="2669"/>
    </row>
    <row r="12102" spans="2:2" ht="23.25" customHeight="1">
      <c r="B12102" s="2669"/>
    </row>
    <row r="12103" spans="2:2" ht="23.25" customHeight="1">
      <c r="B12103" s="2669"/>
    </row>
    <row r="12104" spans="2:2" ht="23.25" customHeight="1">
      <c r="B12104" s="2669"/>
    </row>
    <row r="12105" spans="2:2" ht="23.25" customHeight="1">
      <c r="B12105" s="2669"/>
    </row>
    <row r="12106" spans="2:2" ht="23.25" customHeight="1">
      <c r="B12106" s="2669"/>
    </row>
    <row r="12107" spans="2:2" ht="23.25" customHeight="1">
      <c r="B12107" s="2669"/>
    </row>
    <row r="12108" spans="2:2" ht="23.25" customHeight="1">
      <c r="B12108" s="2669"/>
    </row>
    <row r="12109" spans="2:2" ht="23.25" customHeight="1">
      <c r="B12109" s="2669"/>
    </row>
    <row r="12110" spans="2:2" ht="23.25" customHeight="1">
      <c r="B12110" s="2669"/>
    </row>
    <row r="12111" spans="2:2" ht="23.25" customHeight="1">
      <c r="B12111" s="2669"/>
    </row>
    <row r="12112" spans="2:2" ht="23.25" customHeight="1">
      <c r="B12112" s="2669"/>
    </row>
    <row r="12113" spans="2:2" ht="23.25" customHeight="1">
      <c r="B12113" s="2669"/>
    </row>
    <row r="12114" spans="2:2" ht="23.25" customHeight="1">
      <c r="B12114" s="2669"/>
    </row>
    <row r="12115" spans="2:2" ht="23.25" customHeight="1">
      <c r="B12115" s="2669"/>
    </row>
    <row r="12116" spans="2:2" ht="23.25" customHeight="1">
      <c r="B12116" s="2669"/>
    </row>
    <row r="12117" spans="2:2" ht="23.25" customHeight="1">
      <c r="B12117" s="2669"/>
    </row>
    <row r="12118" spans="2:2" ht="23.25" customHeight="1">
      <c r="B12118" s="2669"/>
    </row>
    <row r="12119" spans="2:2" ht="23.25" customHeight="1">
      <c r="B12119" s="2669"/>
    </row>
    <row r="12120" spans="2:2" ht="23.25" customHeight="1">
      <c r="B12120" s="2669"/>
    </row>
    <row r="12121" spans="2:2" ht="23.25" customHeight="1">
      <c r="B12121" s="2669"/>
    </row>
    <row r="12122" spans="2:2" ht="23.25" customHeight="1">
      <c r="B12122" s="2669"/>
    </row>
    <row r="12123" spans="2:2" ht="23.25" customHeight="1">
      <c r="B12123" s="2669"/>
    </row>
    <row r="12124" spans="2:2" ht="23.25" customHeight="1">
      <c r="B12124" s="2669"/>
    </row>
    <row r="12125" spans="2:2" ht="23.25" customHeight="1">
      <c r="B12125" s="2669"/>
    </row>
    <row r="12126" spans="2:2" ht="23.25" customHeight="1">
      <c r="B12126" s="2669"/>
    </row>
    <row r="12127" spans="2:2" ht="23.25" customHeight="1">
      <c r="B12127" s="2669"/>
    </row>
    <row r="12128" spans="2:2" ht="23.25" customHeight="1">
      <c r="B12128" s="2669"/>
    </row>
    <row r="12129" spans="2:2" ht="23.25" customHeight="1">
      <c r="B12129" s="2669"/>
    </row>
    <row r="12130" spans="2:2" ht="23.25" customHeight="1">
      <c r="B12130" s="2669"/>
    </row>
    <row r="12131" spans="2:2" ht="23.25" customHeight="1">
      <c r="B12131" s="2669"/>
    </row>
    <row r="12132" spans="2:2" ht="23.25" customHeight="1">
      <c r="B12132" s="2669"/>
    </row>
    <row r="12133" spans="2:2" ht="23.25" customHeight="1">
      <c r="B12133" s="2669"/>
    </row>
    <row r="12134" spans="2:2" ht="23.25" customHeight="1">
      <c r="B12134" s="2669"/>
    </row>
    <row r="12135" spans="2:2" ht="23.25" customHeight="1">
      <c r="B12135" s="2669"/>
    </row>
    <row r="12136" spans="2:2" ht="23.25" customHeight="1">
      <c r="B12136" s="2669"/>
    </row>
    <row r="12137" spans="2:2" ht="23.25" customHeight="1">
      <c r="B12137" s="2669"/>
    </row>
    <row r="12138" spans="2:2" ht="23.25" customHeight="1">
      <c r="B12138" s="2669"/>
    </row>
    <row r="12139" spans="2:2" ht="23.25" customHeight="1">
      <c r="B12139" s="2669"/>
    </row>
    <row r="12140" spans="2:2" ht="23.25" customHeight="1">
      <c r="B12140" s="2669"/>
    </row>
    <row r="12141" spans="2:2" ht="23.25" customHeight="1">
      <c r="B12141" s="2669"/>
    </row>
    <row r="12142" spans="2:2" ht="23.25" customHeight="1">
      <c r="B12142" s="2669"/>
    </row>
    <row r="12143" spans="2:2" ht="23.25" customHeight="1">
      <c r="B12143" s="2669"/>
    </row>
    <row r="12144" spans="2:2" ht="23.25" customHeight="1">
      <c r="B12144" s="2669"/>
    </row>
    <row r="12145" spans="2:2" ht="23.25" customHeight="1">
      <c r="B12145" s="2669"/>
    </row>
    <row r="12146" spans="2:2" ht="23.25" customHeight="1">
      <c r="B12146" s="2669"/>
    </row>
    <row r="12147" spans="2:2" ht="23.25" customHeight="1">
      <c r="B12147" s="2669"/>
    </row>
    <row r="12148" spans="2:2" ht="23.25" customHeight="1">
      <c r="B12148" s="2669"/>
    </row>
    <row r="12149" spans="2:2" ht="23.25" customHeight="1">
      <c r="B12149" s="2669"/>
    </row>
    <row r="12150" spans="2:2" ht="23.25" customHeight="1">
      <c r="B12150" s="2669"/>
    </row>
    <row r="12151" spans="2:2" ht="23.25" customHeight="1">
      <c r="B12151" s="2669"/>
    </row>
    <row r="12152" spans="2:2" ht="23.25" customHeight="1">
      <c r="B12152" s="2669"/>
    </row>
    <row r="12153" spans="2:2" ht="23.25" customHeight="1">
      <c r="B12153" s="2669"/>
    </row>
    <row r="12154" spans="2:2" ht="23.25" customHeight="1">
      <c r="B12154" s="2669"/>
    </row>
    <row r="12155" spans="2:2" ht="23.25" customHeight="1">
      <c r="B12155" s="2669"/>
    </row>
    <row r="12156" spans="2:2" ht="23.25" customHeight="1">
      <c r="B12156" s="2669"/>
    </row>
    <row r="12157" spans="2:2" ht="23.25" customHeight="1">
      <c r="B12157" s="2669"/>
    </row>
    <row r="12158" spans="2:2" ht="23.25" customHeight="1">
      <c r="B12158" s="2669"/>
    </row>
    <row r="12159" spans="2:2" ht="23.25" customHeight="1">
      <c r="B12159" s="2669"/>
    </row>
    <row r="12160" spans="2:2" ht="23.25" customHeight="1">
      <c r="B12160" s="2669"/>
    </row>
    <row r="12161" spans="2:2" ht="23.25" customHeight="1">
      <c r="B12161" s="2669"/>
    </row>
    <row r="12162" spans="2:2" ht="23.25" customHeight="1">
      <c r="B12162" s="2669"/>
    </row>
    <row r="12163" spans="2:2" ht="23.25" customHeight="1">
      <c r="B12163" s="2669"/>
    </row>
    <row r="12164" spans="2:2" ht="23.25" customHeight="1">
      <c r="B12164" s="2669"/>
    </row>
    <row r="12165" spans="2:2" ht="23.25" customHeight="1">
      <c r="B12165" s="2669"/>
    </row>
    <row r="12166" spans="2:2" ht="23.25" customHeight="1">
      <c r="B12166" s="2669"/>
    </row>
    <row r="12167" spans="2:2" ht="23.25" customHeight="1">
      <c r="B12167" s="2669"/>
    </row>
    <row r="12168" spans="2:2" ht="23.25" customHeight="1">
      <c r="B12168" s="2669"/>
    </row>
    <row r="12169" spans="2:2" ht="23.25" customHeight="1">
      <c r="B12169" s="2669"/>
    </row>
    <row r="12170" spans="2:2" ht="23.25" customHeight="1">
      <c r="B12170" s="2669"/>
    </row>
    <row r="12171" spans="2:2" ht="23.25" customHeight="1">
      <c r="B12171" s="2669"/>
    </row>
    <row r="12172" spans="2:2" ht="23.25" customHeight="1">
      <c r="B12172" s="2669"/>
    </row>
    <row r="12173" spans="2:2" ht="23.25" customHeight="1">
      <c r="B12173" s="2669"/>
    </row>
    <row r="12174" spans="2:2" ht="23.25" customHeight="1">
      <c r="B12174" s="2669"/>
    </row>
    <row r="12175" spans="2:2" ht="23.25" customHeight="1">
      <c r="B12175" s="2669"/>
    </row>
    <row r="12176" spans="2:2" ht="23.25" customHeight="1">
      <c r="B12176" s="2669"/>
    </row>
    <row r="12177" spans="2:2" ht="23.25" customHeight="1">
      <c r="B12177" s="2669"/>
    </row>
    <row r="12178" spans="2:2" ht="23.25" customHeight="1">
      <c r="B12178" s="2669"/>
    </row>
    <row r="12179" spans="2:2" ht="23.25" customHeight="1">
      <c r="B12179" s="2669"/>
    </row>
    <row r="12180" spans="2:2" ht="23.25" customHeight="1">
      <c r="B12180" s="2669"/>
    </row>
    <row r="12181" spans="2:2" ht="23.25" customHeight="1">
      <c r="B12181" s="2669"/>
    </row>
    <row r="12182" spans="2:2" ht="23.25" customHeight="1">
      <c r="B12182" s="2669"/>
    </row>
    <row r="12183" spans="2:2" ht="23.25" customHeight="1">
      <c r="B12183" s="2669"/>
    </row>
    <row r="12184" spans="2:2" ht="23.25" customHeight="1">
      <c r="B12184" s="2669"/>
    </row>
    <row r="12185" spans="2:2" ht="23.25" customHeight="1">
      <c r="B12185" s="2669"/>
    </row>
    <row r="12186" spans="2:2" ht="23.25" customHeight="1">
      <c r="B12186" s="2669"/>
    </row>
    <row r="12187" spans="2:2" ht="23.25" customHeight="1">
      <c r="B12187" s="2669"/>
    </row>
    <row r="12188" spans="2:2" ht="23.25" customHeight="1">
      <c r="B12188" s="2669"/>
    </row>
    <row r="12189" spans="2:2" ht="23.25" customHeight="1">
      <c r="B12189" s="2669"/>
    </row>
    <row r="12190" spans="2:2" ht="23.25" customHeight="1">
      <c r="B12190" s="2669"/>
    </row>
    <row r="12191" spans="2:2" ht="23.25" customHeight="1">
      <c r="B12191" s="2669"/>
    </row>
    <row r="12192" spans="2:2" ht="23.25" customHeight="1">
      <c r="B12192" s="2669"/>
    </row>
    <row r="12193" spans="2:2" ht="23.25" customHeight="1">
      <c r="B12193" s="2669"/>
    </row>
    <row r="12194" spans="2:2" ht="23.25" customHeight="1">
      <c r="B12194" s="2669"/>
    </row>
    <row r="12195" spans="2:2" ht="23.25" customHeight="1">
      <c r="B12195" s="2669"/>
    </row>
    <row r="12196" spans="2:2" ht="23.25" customHeight="1">
      <c r="B12196" s="2669"/>
    </row>
    <row r="12197" spans="2:2" ht="23.25" customHeight="1">
      <c r="B12197" s="2669"/>
    </row>
    <row r="12198" spans="2:2" ht="23.25" customHeight="1">
      <c r="B12198" s="2669"/>
    </row>
    <row r="12199" spans="2:2" ht="23.25" customHeight="1">
      <c r="B12199" s="2669"/>
    </row>
    <row r="12200" spans="2:2" ht="23.25" customHeight="1">
      <c r="B12200" s="2669"/>
    </row>
    <row r="12201" spans="2:2" ht="23.25" customHeight="1">
      <c r="B12201" s="2669"/>
    </row>
    <row r="12202" spans="2:2" ht="23.25" customHeight="1">
      <c r="B12202" s="2669"/>
    </row>
    <row r="12203" spans="2:2" ht="23.25" customHeight="1">
      <c r="B12203" s="2669"/>
    </row>
    <row r="12204" spans="2:2" ht="23.25" customHeight="1">
      <c r="B12204" s="2669"/>
    </row>
    <row r="12205" spans="2:2" ht="23.25" customHeight="1">
      <c r="B12205" s="2669"/>
    </row>
    <row r="12206" spans="2:2" ht="23.25" customHeight="1">
      <c r="B12206" s="2669"/>
    </row>
    <row r="12207" spans="2:2" ht="23.25" customHeight="1">
      <c r="B12207" s="2669"/>
    </row>
    <row r="12208" spans="2:2" ht="23.25" customHeight="1">
      <c r="B12208" s="2669"/>
    </row>
    <row r="12209" spans="2:2" ht="23.25" customHeight="1">
      <c r="B12209" s="2669"/>
    </row>
    <row r="12210" spans="2:2" ht="23.25" customHeight="1">
      <c r="B12210" s="2669"/>
    </row>
    <row r="12211" spans="2:2" ht="23.25" customHeight="1">
      <c r="B12211" s="2669"/>
    </row>
    <row r="12212" spans="2:2" ht="23.25" customHeight="1">
      <c r="B12212" s="2669"/>
    </row>
    <row r="12213" spans="2:2" ht="23.25" customHeight="1">
      <c r="B12213" s="2669"/>
    </row>
    <row r="12214" spans="2:2" ht="23.25" customHeight="1">
      <c r="B12214" s="2669"/>
    </row>
    <row r="12215" spans="2:2" ht="23.25" customHeight="1">
      <c r="B12215" s="2669"/>
    </row>
    <row r="12216" spans="2:2" ht="23.25" customHeight="1">
      <c r="B12216" s="2669"/>
    </row>
    <row r="12217" spans="2:2" ht="23.25" customHeight="1">
      <c r="B12217" s="2669"/>
    </row>
    <row r="12218" spans="2:2" ht="23.25" customHeight="1">
      <c r="B12218" s="2669"/>
    </row>
    <row r="12219" spans="2:2" ht="23.25" customHeight="1">
      <c r="B12219" s="2669"/>
    </row>
    <row r="12220" spans="2:2" ht="23.25" customHeight="1">
      <c r="B12220" s="2669"/>
    </row>
    <row r="12221" spans="2:2" ht="23.25" customHeight="1">
      <c r="B12221" s="2669"/>
    </row>
    <row r="12222" spans="2:2" ht="23.25" customHeight="1">
      <c r="B12222" s="2669"/>
    </row>
    <row r="12223" spans="2:2" ht="23.25" customHeight="1">
      <c r="B12223" s="2669"/>
    </row>
    <row r="12224" spans="2:2" ht="23.25" customHeight="1">
      <c r="B12224" s="2669"/>
    </row>
    <row r="12225" spans="2:2" ht="23.25" customHeight="1">
      <c r="B12225" s="2669"/>
    </row>
    <row r="12226" spans="2:2" ht="23.25" customHeight="1">
      <c r="B12226" s="2669"/>
    </row>
    <row r="12227" spans="2:2" ht="23.25" customHeight="1">
      <c r="B12227" s="2669"/>
    </row>
    <row r="12228" spans="2:2" ht="23.25" customHeight="1">
      <c r="B12228" s="2669"/>
    </row>
    <row r="12229" spans="2:2" ht="23.25" customHeight="1">
      <c r="B12229" s="2669"/>
    </row>
    <row r="12230" spans="2:2" ht="23.25" customHeight="1">
      <c r="B12230" s="2669"/>
    </row>
    <row r="12231" spans="2:2" ht="23.25" customHeight="1">
      <c r="B12231" s="2669"/>
    </row>
    <row r="12232" spans="2:2" ht="23.25" customHeight="1">
      <c r="B12232" s="2669"/>
    </row>
    <row r="12233" spans="2:2" ht="23.25" customHeight="1">
      <c r="B12233" s="2669"/>
    </row>
    <row r="12234" spans="2:2" ht="23.25" customHeight="1">
      <c r="B12234" s="2669"/>
    </row>
    <row r="12235" spans="2:2" ht="23.25" customHeight="1">
      <c r="B12235" s="2669"/>
    </row>
    <row r="12236" spans="2:2" ht="23.25" customHeight="1">
      <c r="B12236" s="2669"/>
    </row>
    <row r="12237" spans="2:2" ht="23.25" customHeight="1">
      <c r="B12237" s="2669"/>
    </row>
    <row r="12238" spans="2:2" ht="23.25" customHeight="1">
      <c r="B12238" s="2669"/>
    </row>
    <row r="12239" spans="2:2" ht="23.25" customHeight="1">
      <c r="B12239" s="2669"/>
    </row>
    <row r="12240" spans="2:2" ht="23.25" customHeight="1">
      <c r="B12240" s="2669"/>
    </row>
    <row r="12241" spans="2:2" ht="23.25" customHeight="1">
      <c r="B12241" s="2669"/>
    </row>
    <row r="12242" spans="2:2" ht="23.25" customHeight="1">
      <c r="B12242" s="2669"/>
    </row>
    <row r="12243" spans="2:2" ht="23.25" customHeight="1">
      <c r="B12243" s="2669"/>
    </row>
    <row r="12244" spans="2:2" ht="23.25" customHeight="1">
      <c r="B12244" s="2669"/>
    </row>
    <row r="12245" spans="2:2" ht="23.25" customHeight="1">
      <c r="B12245" s="2669"/>
    </row>
    <row r="12246" spans="2:2" ht="23.25" customHeight="1">
      <c r="B12246" s="2669"/>
    </row>
    <row r="12247" spans="2:2" ht="23.25" customHeight="1">
      <c r="B12247" s="2669"/>
    </row>
    <row r="12248" spans="2:2" ht="23.25" customHeight="1">
      <c r="B12248" s="2669"/>
    </row>
    <row r="12249" spans="2:2" ht="23.25" customHeight="1">
      <c r="B12249" s="2669"/>
    </row>
    <row r="12250" spans="2:2" ht="23.25" customHeight="1">
      <c r="B12250" s="2669"/>
    </row>
    <row r="12251" spans="2:2" ht="23.25" customHeight="1">
      <c r="B12251" s="2669"/>
    </row>
    <row r="12252" spans="2:2" ht="23.25" customHeight="1">
      <c r="B12252" s="2669"/>
    </row>
    <row r="12253" spans="2:2" ht="23.25" customHeight="1">
      <c r="B12253" s="2669"/>
    </row>
    <row r="12254" spans="2:2" ht="23.25" customHeight="1">
      <c r="B12254" s="2669"/>
    </row>
    <row r="12255" spans="2:2" ht="23.25" customHeight="1">
      <c r="B12255" s="2669"/>
    </row>
    <row r="12256" spans="2:2" ht="23.25" customHeight="1">
      <c r="B12256" s="2669"/>
    </row>
    <row r="12257" spans="2:2" ht="23.25" customHeight="1">
      <c r="B12257" s="2669"/>
    </row>
    <row r="12258" spans="2:2" ht="23.25" customHeight="1">
      <c r="B12258" s="2669"/>
    </row>
    <row r="12259" spans="2:2" ht="23.25" customHeight="1">
      <c r="B12259" s="2669"/>
    </row>
    <row r="12260" spans="2:2" ht="23.25" customHeight="1">
      <c r="B12260" s="2669"/>
    </row>
    <row r="12261" spans="2:2" ht="23.25" customHeight="1">
      <c r="B12261" s="2669"/>
    </row>
    <row r="12262" spans="2:2" ht="23.25" customHeight="1">
      <c r="B12262" s="2669"/>
    </row>
    <row r="12263" spans="2:2" ht="23.25" customHeight="1">
      <c r="B12263" s="2669"/>
    </row>
    <row r="12264" spans="2:2" ht="23.25" customHeight="1">
      <c r="B12264" s="2669"/>
    </row>
    <row r="12265" spans="2:2" ht="23.25" customHeight="1">
      <c r="B12265" s="2669"/>
    </row>
    <row r="12266" spans="2:2" ht="23.25" customHeight="1">
      <c r="B12266" s="2669"/>
    </row>
    <row r="12267" spans="2:2" ht="23.25" customHeight="1">
      <c r="B12267" s="2669"/>
    </row>
    <row r="12268" spans="2:2" ht="23.25" customHeight="1">
      <c r="B12268" s="2669"/>
    </row>
    <row r="12269" spans="2:2" ht="23.25" customHeight="1">
      <c r="B12269" s="2669"/>
    </row>
    <row r="12270" spans="2:2" ht="23.25" customHeight="1">
      <c r="B12270" s="2669"/>
    </row>
    <row r="12271" spans="2:2" ht="23.25" customHeight="1">
      <c r="B12271" s="2669"/>
    </row>
    <row r="12272" spans="2:2" ht="23.25" customHeight="1">
      <c r="B12272" s="2669"/>
    </row>
    <row r="12273" spans="2:2" ht="23.25" customHeight="1">
      <c r="B12273" s="2669"/>
    </row>
    <row r="12274" spans="2:2" ht="23.25" customHeight="1">
      <c r="B12274" s="2669"/>
    </row>
    <row r="12275" spans="2:2" ht="23.25" customHeight="1">
      <c r="B12275" s="2669"/>
    </row>
    <row r="12276" spans="2:2" ht="23.25" customHeight="1">
      <c r="B12276" s="2669"/>
    </row>
    <row r="12277" spans="2:2" ht="23.25" customHeight="1">
      <c r="B12277" s="2669"/>
    </row>
    <row r="12278" spans="2:2" ht="23.25" customHeight="1">
      <c r="B12278" s="2669"/>
    </row>
    <row r="12279" spans="2:2" ht="23.25" customHeight="1">
      <c r="B12279" s="2669"/>
    </row>
    <row r="12280" spans="2:2" ht="23.25" customHeight="1">
      <c r="B12280" s="2669"/>
    </row>
    <row r="12281" spans="2:2" ht="23.25" customHeight="1">
      <c r="B12281" s="2669"/>
    </row>
    <row r="12282" spans="2:2" ht="23.25" customHeight="1">
      <c r="B12282" s="2669"/>
    </row>
    <row r="12283" spans="2:2" ht="23.25" customHeight="1">
      <c r="B12283" s="2669"/>
    </row>
    <row r="12284" spans="2:2" ht="23.25" customHeight="1">
      <c r="B12284" s="2669"/>
    </row>
    <row r="12285" spans="2:2" ht="23.25" customHeight="1">
      <c r="B12285" s="2669"/>
    </row>
    <row r="12286" spans="2:2" ht="23.25" customHeight="1">
      <c r="B12286" s="2669"/>
    </row>
    <row r="12287" spans="2:2" ht="23.25" customHeight="1">
      <c r="B12287" s="2669"/>
    </row>
    <row r="12288" spans="2:2" ht="23.25" customHeight="1">
      <c r="B12288" s="2669"/>
    </row>
    <row r="12289" spans="2:2" ht="23.25" customHeight="1">
      <c r="B12289" s="2669"/>
    </row>
    <row r="12290" spans="2:2" ht="23.25" customHeight="1">
      <c r="B12290" s="2669"/>
    </row>
    <row r="12291" spans="2:2" ht="23.25" customHeight="1">
      <c r="B12291" s="2669"/>
    </row>
    <row r="12292" spans="2:2" ht="23.25" customHeight="1">
      <c r="B12292" s="2669"/>
    </row>
    <row r="12293" spans="2:2" ht="23.25" customHeight="1">
      <c r="B12293" s="2669"/>
    </row>
    <row r="12294" spans="2:2" ht="23.25" customHeight="1">
      <c r="B12294" s="2669"/>
    </row>
    <row r="12295" spans="2:2" ht="23.25" customHeight="1">
      <c r="B12295" s="2669"/>
    </row>
    <row r="12296" spans="2:2" ht="23.25" customHeight="1">
      <c r="B12296" s="2669"/>
    </row>
    <row r="12297" spans="2:2" ht="23.25" customHeight="1">
      <c r="B12297" s="2669"/>
    </row>
    <row r="12298" spans="2:2" ht="23.25" customHeight="1">
      <c r="B12298" s="2669"/>
    </row>
    <row r="12299" spans="2:2" ht="23.25" customHeight="1">
      <c r="B12299" s="2669"/>
    </row>
    <row r="12300" spans="2:2" ht="23.25" customHeight="1">
      <c r="B12300" s="2669"/>
    </row>
    <row r="12301" spans="2:2" ht="23.25" customHeight="1">
      <c r="B12301" s="2669"/>
    </row>
    <row r="12302" spans="2:2" ht="23.25" customHeight="1">
      <c r="B12302" s="2669"/>
    </row>
    <row r="12303" spans="2:2" ht="23.25" customHeight="1">
      <c r="B12303" s="2669"/>
    </row>
    <row r="12304" spans="2:2" ht="23.25" customHeight="1">
      <c r="B12304" s="2669"/>
    </row>
    <row r="12305" spans="2:2" ht="23.25" customHeight="1">
      <c r="B12305" s="2669"/>
    </row>
    <row r="12306" spans="2:2" ht="23.25" customHeight="1">
      <c r="B12306" s="2669"/>
    </row>
    <row r="12307" spans="2:2" ht="23.25" customHeight="1">
      <c r="B12307" s="2669"/>
    </row>
    <row r="12308" spans="2:2" ht="23.25" customHeight="1">
      <c r="B12308" s="2669"/>
    </row>
    <row r="12309" spans="2:2" ht="23.25" customHeight="1">
      <c r="B12309" s="2669"/>
    </row>
    <row r="12310" spans="2:2" ht="23.25" customHeight="1">
      <c r="B12310" s="2669"/>
    </row>
    <row r="12311" spans="2:2" ht="23.25" customHeight="1">
      <c r="B12311" s="2669"/>
    </row>
    <row r="12312" spans="2:2" ht="23.25" customHeight="1">
      <c r="B12312" s="2669"/>
    </row>
    <row r="12313" spans="2:2" ht="23.25" customHeight="1">
      <c r="B12313" s="2669"/>
    </row>
    <row r="12314" spans="2:2" ht="23.25" customHeight="1">
      <c r="B12314" s="2669"/>
    </row>
    <row r="12315" spans="2:2" ht="23.25" customHeight="1">
      <c r="B12315" s="2669"/>
    </row>
    <row r="12316" spans="2:2" ht="23.25" customHeight="1">
      <c r="B12316" s="2669"/>
    </row>
    <row r="12317" spans="2:2" ht="23.25" customHeight="1">
      <c r="B12317" s="2669"/>
    </row>
    <row r="12318" spans="2:2" ht="23.25" customHeight="1">
      <c r="B12318" s="2669"/>
    </row>
    <row r="12319" spans="2:2" ht="23.25" customHeight="1">
      <c r="B12319" s="2669"/>
    </row>
    <row r="12320" spans="2:2" ht="23.25" customHeight="1">
      <c r="B12320" s="2669"/>
    </row>
    <row r="12321" spans="2:2" ht="23.25" customHeight="1">
      <c r="B12321" s="2669"/>
    </row>
    <row r="12322" spans="2:2" ht="23.25" customHeight="1">
      <c r="B12322" s="2669"/>
    </row>
    <row r="12323" spans="2:2" ht="23.25" customHeight="1">
      <c r="B12323" s="2669"/>
    </row>
    <row r="12324" spans="2:2" ht="23.25" customHeight="1">
      <c r="B12324" s="2669"/>
    </row>
    <row r="12325" spans="2:2" ht="23.25" customHeight="1">
      <c r="B12325" s="2669"/>
    </row>
    <row r="12326" spans="2:2" ht="23.25" customHeight="1">
      <c r="B12326" s="2669"/>
    </row>
    <row r="12327" spans="2:2" ht="23.25" customHeight="1">
      <c r="B12327" s="2669"/>
    </row>
    <row r="12328" spans="2:2" ht="23.25" customHeight="1">
      <c r="B12328" s="2669"/>
    </row>
    <row r="12329" spans="2:2" ht="23.25" customHeight="1">
      <c r="B12329" s="2669"/>
    </row>
    <row r="12330" spans="2:2" ht="23.25" customHeight="1">
      <c r="B12330" s="2669"/>
    </row>
    <row r="12331" spans="2:2" ht="23.25" customHeight="1">
      <c r="B12331" s="2669"/>
    </row>
    <row r="12332" spans="2:2" ht="23.25" customHeight="1">
      <c r="B12332" s="2669"/>
    </row>
    <row r="12333" spans="2:2" ht="23.25" customHeight="1">
      <c r="B12333" s="2669"/>
    </row>
    <row r="12334" spans="2:2" ht="23.25" customHeight="1">
      <c r="B12334" s="2669"/>
    </row>
    <row r="12335" spans="2:2" ht="23.25" customHeight="1">
      <c r="B12335" s="2669"/>
    </row>
    <row r="12336" spans="2:2" ht="23.25" customHeight="1">
      <c r="B12336" s="2669"/>
    </row>
    <row r="12337" spans="2:2" ht="23.25" customHeight="1">
      <c r="B12337" s="2669"/>
    </row>
    <row r="12338" spans="2:2" ht="23.25" customHeight="1">
      <c r="B12338" s="2669"/>
    </row>
    <row r="12339" spans="2:2" ht="23.25" customHeight="1">
      <c r="B12339" s="2669"/>
    </row>
    <row r="12340" spans="2:2" ht="23.25" customHeight="1">
      <c r="B12340" s="2669"/>
    </row>
    <row r="12341" spans="2:2" ht="23.25" customHeight="1">
      <c r="B12341" s="2669"/>
    </row>
    <row r="12342" spans="2:2" ht="23.25" customHeight="1">
      <c r="B12342" s="2669"/>
    </row>
    <row r="12343" spans="2:2" ht="23.25" customHeight="1">
      <c r="B12343" s="2669"/>
    </row>
    <row r="12344" spans="2:2" ht="23.25" customHeight="1">
      <c r="B12344" s="2669"/>
    </row>
    <row r="12345" spans="2:2" ht="23.25" customHeight="1">
      <c r="B12345" s="2669"/>
    </row>
    <row r="12346" spans="2:2" ht="23.25" customHeight="1">
      <c r="B12346" s="2669"/>
    </row>
    <row r="12347" spans="2:2" ht="23.25" customHeight="1">
      <c r="B12347" s="2669"/>
    </row>
    <row r="12348" spans="2:2" ht="23.25" customHeight="1">
      <c r="B12348" s="2669"/>
    </row>
    <row r="12349" spans="2:2" ht="23.25" customHeight="1">
      <c r="B12349" s="2669"/>
    </row>
    <row r="12350" spans="2:2" ht="23.25" customHeight="1">
      <c r="B12350" s="2669"/>
    </row>
    <row r="12351" spans="2:2" ht="23.25" customHeight="1">
      <c r="B12351" s="2669"/>
    </row>
    <row r="12352" spans="2:2" ht="23.25" customHeight="1">
      <c r="B12352" s="2669"/>
    </row>
    <row r="12353" spans="2:2" ht="23.25" customHeight="1">
      <c r="B12353" s="2669"/>
    </row>
    <row r="12354" spans="2:2" ht="23.25" customHeight="1">
      <c r="B12354" s="2669"/>
    </row>
    <row r="12355" spans="2:2" ht="23.25" customHeight="1">
      <c r="B12355" s="2669"/>
    </row>
    <row r="12356" spans="2:2" ht="23.25" customHeight="1">
      <c r="B12356" s="2669"/>
    </row>
    <row r="12357" spans="2:2" ht="23.25" customHeight="1">
      <c r="B12357" s="2669"/>
    </row>
    <row r="12358" spans="2:2" ht="23.25" customHeight="1">
      <c r="B12358" s="2669"/>
    </row>
    <row r="12359" spans="2:2" ht="23.25" customHeight="1">
      <c r="B12359" s="2669"/>
    </row>
    <row r="12360" spans="2:2" ht="23.25" customHeight="1">
      <c r="B12360" s="2669"/>
    </row>
    <row r="12361" spans="2:2" ht="23.25" customHeight="1">
      <c r="B12361" s="2669"/>
    </row>
    <row r="12362" spans="2:2" ht="23.25" customHeight="1">
      <c r="B12362" s="2669"/>
    </row>
    <row r="12363" spans="2:2" ht="23.25" customHeight="1">
      <c r="B12363" s="2669"/>
    </row>
    <row r="12364" spans="2:2" ht="23.25" customHeight="1">
      <c r="B12364" s="2669"/>
    </row>
    <row r="12365" spans="2:2" ht="23.25" customHeight="1">
      <c r="B12365" s="2669"/>
    </row>
    <row r="12366" spans="2:2" ht="23.25" customHeight="1">
      <c r="B12366" s="2669"/>
    </row>
    <row r="12367" spans="2:2" ht="23.25" customHeight="1">
      <c r="B12367" s="2669"/>
    </row>
    <row r="12368" spans="2:2" ht="23.25" customHeight="1">
      <c r="B12368" s="2669"/>
    </row>
    <row r="12369" spans="2:2" ht="23.25" customHeight="1">
      <c r="B12369" s="2669"/>
    </row>
    <row r="12370" spans="2:2" ht="23.25" customHeight="1">
      <c r="B12370" s="2669"/>
    </row>
    <row r="12371" spans="2:2" ht="23.25" customHeight="1">
      <c r="B12371" s="2669"/>
    </row>
    <row r="12372" spans="2:2" ht="23.25" customHeight="1">
      <c r="B12372" s="2669"/>
    </row>
    <row r="12373" spans="2:2" ht="23.25" customHeight="1">
      <c r="B12373" s="2669"/>
    </row>
    <row r="12374" spans="2:2" ht="23.25" customHeight="1">
      <c r="B12374" s="2669"/>
    </row>
    <row r="12375" spans="2:2" ht="23.25" customHeight="1">
      <c r="B12375" s="2669"/>
    </row>
    <row r="12376" spans="2:2" ht="23.25" customHeight="1">
      <c r="B12376" s="2669"/>
    </row>
    <row r="12377" spans="2:2" ht="23.25" customHeight="1">
      <c r="B12377" s="2669"/>
    </row>
    <row r="12378" spans="2:2" ht="23.25" customHeight="1">
      <c r="B12378" s="2669"/>
    </row>
    <row r="12379" spans="2:2" ht="23.25" customHeight="1">
      <c r="B12379" s="2669"/>
    </row>
    <row r="12380" spans="2:2" ht="23.25" customHeight="1">
      <c r="B12380" s="2669"/>
    </row>
    <row r="12381" spans="2:2" ht="23.25" customHeight="1">
      <c r="B12381" s="2669"/>
    </row>
    <row r="12382" spans="2:2" ht="23.25" customHeight="1">
      <c r="B12382" s="2669"/>
    </row>
    <row r="12383" spans="2:2" ht="23.25" customHeight="1">
      <c r="B12383" s="2669"/>
    </row>
    <row r="12384" spans="2:2" ht="23.25" customHeight="1">
      <c r="B12384" s="2669"/>
    </row>
    <row r="12385" spans="2:2" ht="23.25" customHeight="1">
      <c r="B12385" s="2669"/>
    </row>
    <row r="12386" spans="2:2" ht="23.25" customHeight="1">
      <c r="B12386" s="2669"/>
    </row>
    <row r="12387" spans="2:2" ht="23.25" customHeight="1">
      <c r="B12387" s="2669"/>
    </row>
    <row r="12388" spans="2:2" ht="23.25" customHeight="1">
      <c r="B12388" s="2669"/>
    </row>
    <row r="12389" spans="2:2" ht="23.25" customHeight="1">
      <c r="B12389" s="2669"/>
    </row>
    <row r="12390" spans="2:2" ht="23.25" customHeight="1">
      <c r="B12390" s="2669"/>
    </row>
    <row r="12391" spans="2:2" ht="23.25" customHeight="1">
      <c r="B12391" s="2669"/>
    </row>
    <row r="12392" spans="2:2" ht="23.25" customHeight="1">
      <c r="B12392" s="2669"/>
    </row>
    <row r="12393" spans="2:2" ht="23.25" customHeight="1">
      <c r="B12393" s="2669"/>
    </row>
    <row r="12394" spans="2:2" ht="23.25" customHeight="1">
      <c r="B12394" s="2669"/>
    </row>
    <row r="12395" spans="2:2" ht="23.25" customHeight="1">
      <c r="B12395" s="2669"/>
    </row>
    <row r="12396" spans="2:2" ht="23.25" customHeight="1">
      <c r="B12396" s="2669"/>
    </row>
    <row r="12397" spans="2:2" ht="23.25" customHeight="1">
      <c r="B12397" s="2669"/>
    </row>
    <row r="12398" spans="2:2" ht="23.25" customHeight="1">
      <c r="B12398" s="2669"/>
    </row>
    <row r="12399" spans="2:2" ht="23.25" customHeight="1">
      <c r="B12399" s="2669"/>
    </row>
    <row r="12400" spans="2:2" ht="23.25" customHeight="1">
      <c r="B12400" s="2669"/>
    </row>
    <row r="12401" spans="2:2" ht="23.25" customHeight="1">
      <c r="B12401" s="2669"/>
    </row>
    <row r="12402" spans="2:2" ht="23.25" customHeight="1">
      <c r="B12402" s="2669"/>
    </row>
    <row r="12403" spans="2:2" ht="23.25" customHeight="1">
      <c r="B12403" s="2669"/>
    </row>
    <row r="12404" spans="2:2" ht="23.25" customHeight="1">
      <c r="B12404" s="2669"/>
    </row>
    <row r="12405" spans="2:2" ht="23.25" customHeight="1">
      <c r="B12405" s="2669"/>
    </row>
    <row r="12406" spans="2:2" ht="23.25" customHeight="1">
      <c r="B12406" s="2669"/>
    </row>
    <row r="12407" spans="2:2" ht="23.25" customHeight="1">
      <c r="B12407" s="2669"/>
    </row>
    <row r="12408" spans="2:2" ht="23.25" customHeight="1">
      <c r="B12408" s="2669"/>
    </row>
    <row r="12409" spans="2:2" ht="23.25" customHeight="1">
      <c r="B12409" s="2669"/>
    </row>
    <row r="12410" spans="2:2" ht="23.25" customHeight="1">
      <c r="B12410" s="2669"/>
    </row>
    <row r="12411" spans="2:2" ht="23.25" customHeight="1">
      <c r="B12411" s="2669"/>
    </row>
    <row r="12412" spans="2:2" ht="23.25" customHeight="1">
      <c r="B12412" s="2669"/>
    </row>
    <row r="12413" spans="2:2" ht="23.25" customHeight="1">
      <c r="B12413" s="2669"/>
    </row>
    <row r="12414" spans="2:2" ht="23.25" customHeight="1">
      <c r="B12414" s="2669"/>
    </row>
    <row r="12415" spans="2:2" ht="23.25" customHeight="1">
      <c r="B12415" s="2669"/>
    </row>
    <row r="12416" spans="2:2" ht="23.25" customHeight="1">
      <c r="B12416" s="2669"/>
    </row>
    <row r="12417" spans="2:2" ht="23.25" customHeight="1">
      <c r="B12417" s="2669"/>
    </row>
    <row r="12418" spans="2:2" ht="23.25" customHeight="1">
      <c r="B12418" s="2669"/>
    </row>
    <row r="12419" spans="2:2" ht="23.25" customHeight="1">
      <c r="B12419" s="2669"/>
    </row>
    <row r="12420" spans="2:2" ht="23.25" customHeight="1">
      <c r="B12420" s="2669"/>
    </row>
    <row r="12421" spans="2:2" ht="23.25" customHeight="1">
      <c r="B12421" s="2669"/>
    </row>
    <row r="12422" spans="2:2" ht="23.25" customHeight="1">
      <c r="B12422" s="2669"/>
    </row>
    <row r="12423" spans="2:2" ht="23.25" customHeight="1">
      <c r="B12423" s="2669"/>
    </row>
    <row r="12424" spans="2:2" ht="23.25" customHeight="1">
      <c r="B12424" s="2669"/>
    </row>
    <row r="12425" spans="2:2" ht="23.25" customHeight="1">
      <c r="B12425" s="2669"/>
    </row>
    <row r="12426" spans="2:2" ht="23.25" customHeight="1">
      <c r="B12426" s="2669"/>
    </row>
    <row r="12427" spans="2:2" ht="23.25" customHeight="1">
      <c r="B12427" s="2669"/>
    </row>
    <row r="12428" spans="2:2" ht="23.25" customHeight="1">
      <c r="B12428" s="2669"/>
    </row>
    <row r="12429" spans="2:2" ht="23.25" customHeight="1">
      <c r="B12429" s="2669"/>
    </row>
    <row r="12430" spans="2:2" ht="23.25" customHeight="1">
      <c r="B12430" s="2669"/>
    </row>
    <row r="12431" spans="2:2" ht="23.25" customHeight="1">
      <c r="B12431" s="2669"/>
    </row>
    <row r="12432" spans="2:2" ht="23.25" customHeight="1">
      <c r="B12432" s="2669"/>
    </row>
    <row r="12433" spans="2:2" ht="23.25" customHeight="1">
      <c r="B12433" s="2669"/>
    </row>
    <row r="12434" spans="2:2" ht="23.25" customHeight="1">
      <c r="B12434" s="2669"/>
    </row>
    <row r="12435" spans="2:2" ht="23.25" customHeight="1">
      <c r="B12435" s="2669"/>
    </row>
    <row r="12436" spans="2:2" ht="23.25" customHeight="1">
      <c r="B12436" s="2669"/>
    </row>
    <row r="12437" spans="2:2" ht="23.25" customHeight="1">
      <c r="B12437" s="2669"/>
    </row>
    <row r="12438" spans="2:2" ht="23.25" customHeight="1">
      <c r="B12438" s="2669"/>
    </row>
    <row r="12439" spans="2:2" ht="23.25" customHeight="1">
      <c r="B12439" s="2669"/>
    </row>
    <row r="12440" spans="2:2" ht="23.25" customHeight="1">
      <c r="B12440" s="2669"/>
    </row>
    <row r="12441" spans="2:2" ht="23.25" customHeight="1">
      <c r="B12441" s="2669"/>
    </row>
    <row r="12442" spans="2:2" ht="23.25" customHeight="1">
      <c r="B12442" s="2669"/>
    </row>
    <row r="12443" spans="2:2" ht="23.25" customHeight="1">
      <c r="B12443" s="2669"/>
    </row>
    <row r="12444" spans="2:2" ht="23.25" customHeight="1">
      <c r="B12444" s="2669"/>
    </row>
    <row r="12445" spans="2:2" ht="23.25" customHeight="1">
      <c r="B12445" s="2669"/>
    </row>
    <row r="12446" spans="2:2" ht="23.25" customHeight="1">
      <c r="B12446" s="2669"/>
    </row>
    <row r="12447" spans="2:2" ht="23.25" customHeight="1">
      <c r="B12447" s="2669"/>
    </row>
    <row r="12448" spans="2:2" ht="23.25" customHeight="1">
      <c r="B12448" s="2669"/>
    </row>
    <row r="12449" spans="2:2" ht="23.25" customHeight="1">
      <c r="B12449" s="2669"/>
    </row>
    <row r="12450" spans="2:2" ht="23.25" customHeight="1">
      <c r="B12450" s="2669"/>
    </row>
    <row r="12451" spans="2:2" ht="23.25" customHeight="1">
      <c r="B12451" s="2669"/>
    </row>
    <row r="12452" spans="2:2" ht="23.25" customHeight="1">
      <c r="B12452" s="2669"/>
    </row>
    <row r="12453" spans="2:2" ht="23.25" customHeight="1">
      <c r="B12453" s="2669"/>
    </row>
    <row r="12454" spans="2:2" ht="23.25" customHeight="1">
      <c r="B12454" s="2669"/>
    </row>
    <row r="12455" spans="2:2" ht="23.25" customHeight="1">
      <c r="B12455" s="2669"/>
    </row>
    <row r="12456" spans="2:2" ht="23.25" customHeight="1">
      <c r="B12456" s="2669"/>
    </row>
    <row r="12457" spans="2:2" ht="23.25" customHeight="1">
      <c r="B12457" s="2669"/>
    </row>
    <row r="12458" spans="2:2" ht="23.25" customHeight="1">
      <c r="B12458" s="2669"/>
    </row>
    <row r="12459" spans="2:2" ht="23.25" customHeight="1">
      <c r="B12459" s="2669"/>
    </row>
    <row r="12460" spans="2:2" ht="23.25" customHeight="1">
      <c r="B12460" s="2669"/>
    </row>
    <row r="12461" spans="2:2" ht="23.25" customHeight="1">
      <c r="B12461" s="2669"/>
    </row>
    <row r="12462" spans="2:2" ht="23.25" customHeight="1">
      <c r="B12462" s="2669"/>
    </row>
    <row r="12463" spans="2:2" ht="23.25" customHeight="1">
      <c r="B12463" s="2669"/>
    </row>
    <row r="12464" spans="2:2" ht="23.25" customHeight="1">
      <c r="B12464" s="2669"/>
    </row>
    <row r="12465" spans="2:2" ht="23.25" customHeight="1">
      <c r="B12465" s="2669"/>
    </row>
    <row r="12466" spans="2:2" ht="23.25" customHeight="1">
      <c r="B12466" s="2669"/>
    </row>
    <row r="12467" spans="2:2" ht="23.25" customHeight="1">
      <c r="B12467" s="2669"/>
    </row>
    <row r="12468" spans="2:2" ht="23.25" customHeight="1">
      <c r="B12468" s="2669"/>
    </row>
    <row r="12469" spans="2:2" ht="23.25" customHeight="1">
      <c r="B12469" s="2669"/>
    </row>
    <row r="12470" spans="2:2" ht="23.25" customHeight="1">
      <c r="B12470" s="2669"/>
    </row>
    <row r="12471" spans="2:2" ht="23.25" customHeight="1">
      <c r="B12471" s="2669"/>
    </row>
    <row r="12472" spans="2:2" ht="23.25" customHeight="1">
      <c r="B12472" s="2669"/>
    </row>
    <row r="12473" spans="2:2" ht="23.25" customHeight="1">
      <c r="B12473" s="2669"/>
    </row>
    <row r="12474" spans="2:2" ht="23.25" customHeight="1">
      <c r="B12474" s="2669"/>
    </row>
    <row r="12475" spans="2:2" ht="23.25" customHeight="1">
      <c r="B12475" s="2669"/>
    </row>
    <row r="12476" spans="2:2" ht="23.25" customHeight="1">
      <c r="B12476" s="2669"/>
    </row>
    <row r="12477" spans="2:2" ht="23.25" customHeight="1">
      <c r="B12477" s="2669"/>
    </row>
    <row r="12478" spans="2:2" ht="23.25" customHeight="1">
      <c r="B12478" s="2669"/>
    </row>
    <row r="12479" spans="2:2" ht="23.25" customHeight="1">
      <c r="B12479" s="2669"/>
    </row>
    <row r="12480" spans="2:2" ht="23.25" customHeight="1">
      <c r="B12480" s="2669"/>
    </row>
    <row r="12481" spans="2:2" ht="23.25" customHeight="1">
      <c r="B12481" s="2669"/>
    </row>
    <row r="12482" spans="2:2" ht="23.25" customHeight="1">
      <c r="B12482" s="2669"/>
    </row>
    <row r="12483" spans="2:2" ht="23.25" customHeight="1">
      <c r="B12483" s="2669"/>
    </row>
    <row r="12484" spans="2:2" ht="23.25" customHeight="1">
      <c r="B12484" s="2669"/>
    </row>
    <row r="12485" spans="2:2" ht="23.25" customHeight="1">
      <c r="B12485" s="2669"/>
    </row>
    <row r="12486" spans="2:2" ht="23.25" customHeight="1">
      <c r="B12486" s="2669"/>
    </row>
    <row r="12487" spans="2:2" ht="23.25" customHeight="1">
      <c r="B12487" s="2669"/>
    </row>
    <row r="12488" spans="2:2" ht="23.25" customHeight="1">
      <c r="B12488" s="2669"/>
    </row>
    <row r="12489" spans="2:2" ht="23.25" customHeight="1">
      <c r="B12489" s="2669"/>
    </row>
    <row r="12490" spans="2:2" ht="23.25" customHeight="1">
      <c r="B12490" s="2669"/>
    </row>
    <row r="12491" spans="2:2" ht="23.25" customHeight="1">
      <c r="B12491" s="2669"/>
    </row>
    <row r="12492" spans="2:2" ht="23.25" customHeight="1">
      <c r="B12492" s="2669"/>
    </row>
    <row r="12493" spans="2:2" ht="23.25" customHeight="1">
      <c r="B12493" s="2669"/>
    </row>
    <row r="12494" spans="2:2" ht="23.25" customHeight="1">
      <c r="B12494" s="2669"/>
    </row>
    <row r="12495" spans="2:2" ht="23.25" customHeight="1">
      <c r="B12495" s="2669"/>
    </row>
    <row r="12496" spans="2:2" ht="23.25" customHeight="1">
      <c r="B12496" s="2669"/>
    </row>
    <row r="12497" spans="2:2" ht="23.25" customHeight="1">
      <c r="B12497" s="2669"/>
    </row>
    <row r="12498" spans="2:2" ht="23.25" customHeight="1">
      <c r="B12498" s="2669"/>
    </row>
    <row r="12499" spans="2:2" ht="23.25" customHeight="1">
      <c r="B12499" s="2669"/>
    </row>
    <row r="12500" spans="2:2" ht="23.25" customHeight="1">
      <c r="B12500" s="2669"/>
    </row>
    <row r="12501" spans="2:2" ht="23.25" customHeight="1">
      <c r="B12501" s="2669"/>
    </row>
    <row r="12502" spans="2:2" ht="23.25" customHeight="1">
      <c r="B12502" s="2669"/>
    </row>
    <row r="12503" spans="2:2" ht="23.25" customHeight="1">
      <c r="B12503" s="2669"/>
    </row>
    <row r="12504" spans="2:2" ht="23.25" customHeight="1">
      <c r="B12504" s="2669"/>
    </row>
    <row r="12505" spans="2:2" ht="23.25" customHeight="1">
      <c r="B12505" s="2669"/>
    </row>
    <row r="12506" spans="2:2" ht="23.25" customHeight="1">
      <c r="B12506" s="2669"/>
    </row>
    <row r="12507" spans="2:2" ht="23.25" customHeight="1">
      <c r="B12507" s="2669"/>
    </row>
    <row r="12508" spans="2:2" ht="23.25" customHeight="1">
      <c r="B12508" s="2669"/>
    </row>
    <row r="12509" spans="2:2" ht="23.25" customHeight="1">
      <c r="B12509" s="2669"/>
    </row>
    <row r="12510" spans="2:2" ht="23.25" customHeight="1">
      <c r="B12510" s="2669"/>
    </row>
    <row r="12511" spans="2:2" ht="23.25" customHeight="1">
      <c r="B12511" s="2669"/>
    </row>
    <row r="12512" spans="2:2" ht="23.25" customHeight="1">
      <c r="B12512" s="2669"/>
    </row>
    <row r="12513" spans="2:2" ht="23.25" customHeight="1">
      <c r="B12513" s="2669"/>
    </row>
    <row r="12514" spans="2:2" ht="23.25" customHeight="1">
      <c r="B12514" s="2669"/>
    </row>
    <row r="12515" spans="2:2" ht="23.25" customHeight="1">
      <c r="B12515" s="2669"/>
    </row>
    <row r="12516" spans="2:2" ht="23.25" customHeight="1">
      <c r="B12516" s="2669"/>
    </row>
    <row r="12517" spans="2:2" ht="23.25" customHeight="1">
      <c r="B12517" s="2669"/>
    </row>
    <row r="12518" spans="2:2" ht="23.25" customHeight="1">
      <c r="B12518" s="2669"/>
    </row>
    <row r="12519" spans="2:2" ht="23.25" customHeight="1">
      <c r="B12519" s="2669"/>
    </row>
    <row r="12520" spans="2:2" ht="23.25" customHeight="1">
      <c r="B12520" s="2669"/>
    </row>
    <row r="12521" spans="2:2" ht="23.25" customHeight="1">
      <c r="B12521" s="2669"/>
    </row>
    <row r="12522" spans="2:2" ht="23.25" customHeight="1">
      <c r="B12522" s="2669"/>
    </row>
    <row r="12523" spans="2:2" ht="23.25" customHeight="1">
      <c r="B12523" s="2669"/>
    </row>
    <row r="12524" spans="2:2" ht="23.25" customHeight="1">
      <c r="B12524" s="2669"/>
    </row>
    <row r="12525" spans="2:2" ht="23.25" customHeight="1">
      <c r="B12525" s="2669"/>
    </row>
    <row r="12526" spans="2:2" ht="23.25" customHeight="1">
      <c r="B12526" s="2669"/>
    </row>
    <row r="12527" spans="2:2" ht="23.25" customHeight="1">
      <c r="B12527" s="2669"/>
    </row>
    <row r="12528" spans="2:2" ht="23.25" customHeight="1">
      <c r="B12528" s="2669"/>
    </row>
    <row r="12529" spans="2:2" ht="23.25" customHeight="1">
      <c r="B12529" s="2669"/>
    </row>
    <row r="12530" spans="2:2" ht="23.25" customHeight="1">
      <c r="B12530" s="2669"/>
    </row>
    <row r="12531" spans="2:2" ht="23.25" customHeight="1">
      <c r="B12531" s="2669"/>
    </row>
    <row r="12532" spans="2:2" ht="23.25" customHeight="1">
      <c r="B12532" s="2669"/>
    </row>
    <row r="12533" spans="2:2" ht="23.25" customHeight="1">
      <c r="B12533" s="2669"/>
    </row>
    <row r="12534" spans="2:2" ht="23.25" customHeight="1">
      <c r="B12534" s="2669"/>
    </row>
    <row r="12535" spans="2:2" ht="23.25" customHeight="1">
      <c r="B12535" s="2669"/>
    </row>
    <row r="12536" spans="2:2" ht="23.25" customHeight="1">
      <c r="B12536" s="2669"/>
    </row>
    <row r="12537" spans="2:2" ht="23.25" customHeight="1">
      <c r="B12537" s="2669"/>
    </row>
    <row r="12538" spans="2:2" ht="23.25" customHeight="1">
      <c r="B12538" s="2669"/>
    </row>
    <row r="12539" spans="2:2" ht="23.25" customHeight="1">
      <c r="B12539" s="2669"/>
    </row>
    <row r="12540" spans="2:2" ht="23.25" customHeight="1">
      <c r="B12540" s="2669"/>
    </row>
    <row r="12541" spans="2:2" ht="23.25" customHeight="1">
      <c r="B12541" s="2669"/>
    </row>
    <row r="12542" spans="2:2" ht="23.25" customHeight="1">
      <c r="B12542" s="2669"/>
    </row>
    <row r="12543" spans="2:2" ht="23.25" customHeight="1">
      <c r="B12543" s="2669"/>
    </row>
    <row r="12544" spans="2:2" ht="23.25" customHeight="1">
      <c r="B12544" s="2669"/>
    </row>
    <row r="12545" spans="2:2" ht="23.25" customHeight="1">
      <c r="B12545" s="2669"/>
    </row>
    <row r="12546" spans="2:2" ht="23.25" customHeight="1">
      <c r="B12546" s="2669"/>
    </row>
    <row r="12547" spans="2:2" ht="23.25" customHeight="1">
      <c r="B12547" s="2669"/>
    </row>
    <row r="12548" spans="2:2" ht="23.25" customHeight="1">
      <c r="B12548" s="2669"/>
    </row>
    <row r="12549" spans="2:2" ht="23.25" customHeight="1">
      <c r="B12549" s="2669"/>
    </row>
    <row r="12550" spans="2:2" ht="23.25" customHeight="1">
      <c r="B12550" s="2669"/>
    </row>
    <row r="12551" spans="2:2" ht="23.25" customHeight="1">
      <c r="B12551" s="2669"/>
    </row>
    <row r="12552" spans="2:2" ht="23.25" customHeight="1">
      <c r="B12552" s="2669"/>
    </row>
    <row r="12553" spans="2:2" ht="23.25" customHeight="1">
      <c r="B12553" s="2669"/>
    </row>
    <row r="12554" spans="2:2" ht="23.25" customHeight="1">
      <c r="B12554" s="2669"/>
    </row>
    <row r="12555" spans="2:2" ht="23.25" customHeight="1">
      <c r="B12555" s="2669"/>
    </row>
    <row r="12556" spans="2:2" ht="23.25" customHeight="1">
      <c r="B12556" s="2669"/>
    </row>
    <row r="12557" spans="2:2" ht="23.25" customHeight="1">
      <c r="B12557" s="2669"/>
    </row>
    <row r="12558" spans="2:2" ht="23.25" customHeight="1">
      <c r="B12558" s="2669"/>
    </row>
    <row r="12559" spans="2:2" ht="23.25" customHeight="1">
      <c r="B12559" s="2669"/>
    </row>
    <row r="12560" spans="2:2" ht="23.25" customHeight="1">
      <c r="B12560" s="2669"/>
    </row>
    <row r="12561" spans="2:2" ht="23.25" customHeight="1">
      <c r="B12561" s="2669"/>
    </row>
    <row r="12562" spans="2:2" ht="23.25" customHeight="1">
      <c r="B12562" s="2669"/>
    </row>
    <row r="12563" spans="2:2" ht="23.25" customHeight="1">
      <c r="B12563" s="2669"/>
    </row>
    <row r="12564" spans="2:2" ht="23.25" customHeight="1">
      <c r="B12564" s="2669"/>
    </row>
    <row r="12565" spans="2:2" ht="23.25" customHeight="1">
      <c r="B12565" s="2669"/>
    </row>
    <row r="12566" spans="2:2" ht="23.25" customHeight="1">
      <c r="B12566" s="2669"/>
    </row>
    <row r="12567" spans="2:2" ht="23.25" customHeight="1">
      <c r="B12567" s="2669"/>
    </row>
    <row r="12568" spans="2:2" ht="23.25" customHeight="1">
      <c r="B12568" s="2669"/>
    </row>
    <row r="12569" spans="2:2" ht="23.25" customHeight="1">
      <c r="B12569" s="2669"/>
    </row>
    <row r="12570" spans="2:2" ht="23.25" customHeight="1">
      <c r="B12570" s="2669"/>
    </row>
    <row r="12571" spans="2:2" ht="23.25" customHeight="1">
      <c r="B12571" s="2669"/>
    </row>
    <row r="12572" spans="2:2" ht="23.25" customHeight="1">
      <c r="B12572" s="2669"/>
    </row>
    <row r="12573" spans="2:2" ht="23.25" customHeight="1">
      <c r="B12573" s="2669"/>
    </row>
    <row r="12574" spans="2:2" ht="23.25" customHeight="1">
      <c r="B12574" s="2669"/>
    </row>
    <row r="12575" spans="2:2" ht="23.25" customHeight="1">
      <c r="B12575" s="2669"/>
    </row>
    <row r="12576" spans="2:2" ht="23.25" customHeight="1">
      <c r="B12576" s="2669"/>
    </row>
    <row r="12577" spans="2:2" ht="23.25" customHeight="1">
      <c r="B12577" s="2669"/>
    </row>
    <row r="12578" spans="2:2" ht="23.25" customHeight="1">
      <c r="B12578" s="2669"/>
    </row>
    <row r="12579" spans="2:2" ht="23.25" customHeight="1">
      <c r="B12579" s="2669"/>
    </row>
    <row r="12580" spans="2:2" ht="23.25" customHeight="1">
      <c r="B12580" s="2669"/>
    </row>
    <row r="12581" spans="2:2" ht="23.25" customHeight="1">
      <c r="B12581" s="2669"/>
    </row>
    <row r="12582" spans="2:2" ht="23.25" customHeight="1">
      <c r="B12582" s="2669"/>
    </row>
    <row r="12583" spans="2:2" ht="23.25" customHeight="1">
      <c r="B12583" s="2669"/>
    </row>
    <row r="12584" spans="2:2" ht="23.25" customHeight="1">
      <c r="B12584" s="2669"/>
    </row>
    <row r="12585" spans="2:2" ht="23.25" customHeight="1">
      <c r="B12585" s="2669"/>
    </row>
    <row r="12586" spans="2:2" ht="23.25" customHeight="1">
      <c r="B12586" s="2669"/>
    </row>
    <row r="12587" spans="2:2" ht="23.25" customHeight="1">
      <c r="B12587" s="2669"/>
    </row>
    <row r="12588" spans="2:2" ht="23.25" customHeight="1">
      <c r="B12588" s="2669"/>
    </row>
    <row r="12589" spans="2:2" ht="23.25" customHeight="1">
      <c r="B12589" s="2669"/>
    </row>
    <row r="12590" spans="2:2" ht="23.25" customHeight="1">
      <c r="B12590" s="2669"/>
    </row>
    <row r="12591" spans="2:2" ht="23.25" customHeight="1">
      <c r="B12591" s="2669"/>
    </row>
    <row r="12592" spans="2:2" ht="23.25" customHeight="1">
      <c r="B12592" s="2669"/>
    </row>
    <row r="12593" spans="2:2" ht="23.25" customHeight="1">
      <c r="B12593" s="2669"/>
    </row>
    <row r="12594" spans="2:2" ht="23.25" customHeight="1">
      <c r="B12594" s="2669"/>
    </row>
    <row r="12595" spans="2:2" ht="23.25" customHeight="1">
      <c r="B12595" s="2669"/>
    </row>
    <row r="12596" spans="2:2" ht="23.25" customHeight="1">
      <c r="B12596" s="2669"/>
    </row>
    <row r="12597" spans="2:2" ht="23.25" customHeight="1">
      <c r="B12597" s="2669"/>
    </row>
    <row r="12598" spans="2:2" ht="23.25" customHeight="1">
      <c r="B12598" s="2669"/>
    </row>
    <row r="12599" spans="2:2" ht="23.25" customHeight="1">
      <c r="B12599" s="2669"/>
    </row>
    <row r="12600" spans="2:2" ht="23.25" customHeight="1">
      <c r="B12600" s="2669"/>
    </row>
    <row r="12601" spans="2:2" ht="23.25" customHeight="1">
      <c r="B12601" s="2669"/>
    </row>
    <row r="12602" spans="2:2" ht="23.25" customHeight="1">
      <c r="B12602" s="2669"/>
    </row>
    <row r="12603" spans="2:2" ht="23.25" customHeight="1">
      <c r="B12603" s="2669"/>
    </row>
    <row r="12604" spans="2:2" ht="23.25" customHeight="1">
      <c r="B12604" s="2669"/>
    </row>
    <row r="12605" spans="2:2" ht="23.25" customHeight="1">
      <c r="B12605" s="2669"/>
    </row>
    <row r="12606" spans="2:2" ht="23.25" customHeight="1">
      <c r="B12606" s="2669"/>
    </row>
    <row r="12607" spans="2:2" ht="23.25" customHeight="1">
      <c r="B12607" s="2669"/>
    </row>
    <row r="12608" spans="2:2" ht="23.25" customHeight="1">
      <c r="B12608" s="2669"/>
    </row>
    <row r="12609" spans="2:2" ht="23.25" customHeight="1">
      <c r="B12609" s="2669"/>
    </row>
    <row r="12610" spans="2:2" ht="23.25" customHeight="1">
      <c r="B12610" s="2669"/>
    </row>
    <row r="12611" spans="2:2" ht="23.25" customHeight="1">
      <c r="B12611" s="2669"/>
    </row>
    <row r="12612" spans="2:2" ht="23.25" customHeight="1">
      <c r="B12612" s="2669"/>
    </row>
    <row r="12613" spans="2:2" ht="23.25" customHeight="1">
      <c r="B12613" s="2669"/>
    </row>
    <row r="12614" spans="2:2" ht="23.25" customHeight="1">
      <c r="B12614" s="2669"/>
    </row>
    <row r="12615" spans="2:2" ht="23.25" customHeight="1">
      <c r="B12615" s="2669"/>
    </row>
    <row r="12616" spans="2:2" ht="23.25" customHeight="1">
      <c r="B12616" s="2669"/>
    </row>
    <row r="12617" spans="2:2" ht="23.25" customHeight="1">
      <c r="B12617" s="2669"/>
    </row>
    <row r="12618" spans="2:2" ht="23.25" customHeight="1">
      <c r="B12618" s="2669"/>
    </row>
    <row r="12619" spans="2:2" ht="23.25" customHeight="1">
      <c r="B12619" s="2669"/>
    </row>
    <row r="12620" spans="2:2" ht="23.25" customHeight="1">
      <c r="B12620" s="2669"/>
    </row>
    <row r="12621" spans="2:2" ht="23.25" customHeight="1">
      <c r="B12621" s="2669"/>
    </row>
    <row r="12622" spans="2:2" ht="23.25" customHeight="1">
      <c r="B12622" s="2669"/>
    </row>
    <row r="12623" spans="2:2" ht="23.25" customHeight="1">
      <c r="B12623" s="2669"/>
    </row>
    <row r="12624" spans="2:2" ht="23.25" customHeight="1">
      <c r="B12624" s="2669"/>
    </row>
    <row r="12625" spans="2:2" ht="23.25" customHeight="1">
      <c r="B12625" s="2669"/>
    </row>
    <row r="12626" spans="2:2" ht="23.25" customHeight="1">
      <c r="B12626" s="2669"/>
    </row>
    <row r="12627" spans="2:2" ht="23.25" customHeight="1">
      <c r="B12627" s="2669"/>
    </row>
    <row r="12628" spans="2:2" ht="23.25" customHeight="1">
      <c r="B12628" s="2669"/>
    </row>
    <row r="12629" spans="2:2" ht="23.25" customHeight="1">
      <c r="B12629" s="2669"/>
    </row>
    <row r="12630" spans="2:2" ht="23.25" customHeight="1">
      <c r="B12630" s="2669"/>
    </row>
    <row r="12631" spans="2:2" ht="23.25" customHeight="1">
      <c r="B12631" s="2669"/>
    </row>
    <row r="12632" spans="2:2" ht="23.25" customHeight="1">
      <c r="B12632" s="2669"/>
    </row>
    <row r="12633" spans="2:2" ht="23.25" customHeight="1">
      <c r="B12633" s="2669"/>
    </row>
    <row r="12634" spans="2:2" ht="23.25" customHeight="1">
      <c r="B12634" s="2669"/>
    </row>
    <row r="12635" spans="2:2" ht="23.25" customHeight="1">
      <c r="B12635" s="2669"/>
    </row>
    <row r="12636" spans="2:2" ht="23.25" customHeight="1">
      <c r="B12636" s="2669"/>
    </row>
    <row r="12637" spans="2:2" ht="23.25" customHeight="1">
      <c r="B12637" s="2669"/>
    </row>
    <row r="12638" spans="2:2" ht="23.25" customHeight="1">
      <c r="B12638" s="2669"/>
    </row>
    <row r="12639" spans="2:2" ht="23.25" customHeight="1">
      <c r="B12639" s="2669"/>
    </row>
    <row r="12640" spans="2:2" ht="23.25" customHeight="1">
      <c r="B12640" s="2669"/>
    </row>
    <row r="12641" spans="2:2" ht="23.25" customHeight="1">
      <c r="B12641" s="2669"/>
    </row>
    <row r="12642" spans="2:2" ht="23.25" customHeight="1">
      <c r="B12642" s="2669"/>
    </row>
    <row r="12643" spans="2:2" ht="23.25" customHeight="1">
      <c r="B12643" s="2669"/>
    </row>
    <row r="12644" spans="2:2" ht="23.25" customHeight="1">
      <c r="B12644" s="2669"/>
    </row>
    <row r="12645" spans="2:2" ht="23.25" customHeight="1">
      <c r="B12645" s="2669"/>
    </row>
    <row r="12646" spans="2:2" ht="23.25" customHeight="1">
      <c r="B12646" s="2669"/>
    </row>
    <row r="12647" spans="2:2" ht="23.25" customHeight="1">
      <c r="B12647" s="2669"/>
    </row>
    <row r="12648" spans="2:2" ht="23.25" customHeight="1">
      <c r="B12648" s="2669"/>
    </row>
    <row r="12649" spans="2:2" ht="23.25" customHeight="1">
      <c r="B12649" s="2669"/>
    </row>
    <row r="12650" spans="2:2" ht="23.25" customHeight="1">
      <c r="B12650" s="2669"/>
    </row>
    <row r="12651" spans="2:2" ht="23.25" customHeight="1">
      <c r="B12651" s="2669"/>
    </row>
    <row r="12652" spans="2:2" ht="23.25" customHeight="1">
      <c r="B12652" s="2669"/>
    </row>
    <row r="12653" spans="2:2" ht="23.25" customHeight="1">
      <c r="B12653" s="2669"/>
    </row>
    <row r="12654" spans="2:2" ht="23.25" customHeight="1">
      <c r="B12654" s="2669"/>
    </row>
    <row r="12655" spans="2:2" ht="23.25" customHeight="1">
      <c r="B12655" s="2669"/>
    </row>
    <row r="12656" spans="2:2" ht="23.25" customHeight="1">
      <c r="B12656" s="2669"/>
    </row>
    <row r="12657" spans="2:2" ht="23.25" customHeight="1">
      <c r="B12657" s="2669"/>
    </row>
    <row r="12658" spans="2:2" ht="23.25" customHeight="1">
      <c r="B12658" s="2669"/>
    </row>
    <row r="12659" spans="2:2" ht="23.25" customHeight="1">
      <c r="B12659" s="2669"/>
    </row>
    <row r="12660" spans="2:2" ht="23.25" customHeight="1">
      <c r="B12660" s="2669"/>
    </row>
    <row r="12661" spans="2:2" ht="23.25" customHeight="1">
      <c r="B12661" s="2669"/>
    </row>
    <row r="12662" spans="2:2" ht="23.25" customHeight="1">
      <c r="B12662" s="2669"/>
    </row>
    <row r="12663" spans="2:2" ht="23.25" customHeight="1">
      <c r="B12663" s="2669"/>
    </row>
    <row r="12664" spans="2:2" ht="23.25" customHeight="1">
      <c r="B12664" s="2669"/>
    </row>
    <row r="12665" spans="2:2" ht="23.25" customHeight="1">
      <c r="B12665" s="2669"/>
    </row>
    <row r="12666" spans="2:2" ht="23.25" customHeight="1">
      <c r="B12666" s="2669"/>
    </row>
    <row r="12667" spans="2:2" ht="23.25" customHeight="1">
      <c r="B12667" s="2669"/>
    </row>
    <row r="12668" spans="2:2" ht="23.25" customHeight="1">
      <c r="B12668" s="2669"/>
    </row>
    <row r="12669" spans="2:2" ht="23.25" customHeight="1">
      <c r="B12669" s="2669"/>
    </row>
    <row r="12670" spans="2:2" ht="23.25" customHeight="1">
      <c r="B12670" s="2669"/>
    </row>
    <row r="12671" spans="2:2" ht="23.25" customHeight="1">
      <c r="B12671" s="2669"/>
    </row>
    <row r="12672" spans="2:2" ht="23.25" customHeight="1">
      <c r="B12672" s="2669"/>
    </row>
    <row r="12673" spans="2:2" ht="23.25" customHeight="1">
      <c r="B12673" s="2669"/>
    </row>
    <row r="12674" spans="2:2" ht="23.25" customHeight="1">
      <c r="B12674" s="2669"/>
    </row>
    <row r="12675" spans="2:2" ht="23.25" customHeight="1">
      <c r="B12675" s="2669"/>
    </row>
    <row r="12676" spans="2:2" ht="23.25" customHeight="1">
      <c r="B12676" s="2669"/>
    </row>
    <row r="12677" spans="2:2" ht="23.25" customHeight="1">
      <c r="B12677" s="2669"/>
    </row>
    <row r="12678" spans="2:2" ht="23.25" customHeight="1">
      <c r="B12678" s="2669"/>
    </row>
    <row r="12679" spans="2:2" ht="23.25" customHeight="1">
      <c r="B12679" s="2669"/>
    </row>
    <row r="12680" spans="2:2" ht="23.25" customHeight="1">
      <c r="B12680" s="2669"/>
    </row>
    <row r="12681" spans="2:2" ht="23.25" customHeight="1">
      <c r="B12681" s="2669"/>
    </row>
    <row r="12682" spans="2:2" ht="23.25" customHeight="1">
      <c r="B12682" s="2669"/>
    </row>
    <row r="12683" spans="2:2" ht="23.25" customHeight="1">
      <c r="B12683" s="2669"/>
    </row>
    <row r="12684" spans="2:2" ht="23.25" customHeight="1">
      <c r="B12684" s="2669"/>
    </row>
    <row r="12685" spans="2:2" ht="23.25" customHeight="1">
      <c r="B12685" s="2669"/>
    </row>
    <row r="12686" spans="2:2" ht="23.25" customHeight="1">
      <c r="B12686" s="2669"/>
    </row>
    <row r="12687" spans="2:2" ht="23.25" customHeight="1">
      <c r="B12687" s="2669"/>
    </row>
    <row r="12688" spans="2:2" ht="23.25" customHeight="1">
      <c r="B12688" s="2669"/>
    </row>
    <row r="12689" spans="2:2" ht="23.25" customHeight="1">
      <c r="B12689" s="2669"/>
    </row>
    <row r="12690" spans="2:2" ht="23.25" customHeight="1">
      <c r="B12690" s="2669"/>
    </row>
    <row r="12691" spans="2:2" ht="23.25" customHeight="1">
      <c r="B12691" s="2669"/>
    </row>
    <row r="12692" spans="2:2" ht="23.25" customHeight="1">
      <c r="B12692" s="2669"/>
    </row>
    <row r="12693" spans="2:2" ht="23.25" customHeight="1">
      <c r="B12693" s="2669"/>
    </row>
    <row r="12694" spans="2:2" ht="23.25" customHeight="1">
      <c r="B12694" s="2669"/>
    </row>
    <row r="12695" spans="2:2" ht="23.25" customHeight="1">
      <c r="B12695" s="2669"/>
    </row>
    <row r="12696" spans="2:2" ht="23.25" customHeight="1">
      <c r="B12696" s="2669"/>
    </row>
    <row r="12697" spans="2:2" ht="23.25" customHeight="1">
      <c r="B12697" s="2669"/>
    </row>
    <row r="12698" spans="2:2" ht="23.25" customHeight="1">
      <c r="B12698" s="2669"/>
    </row>
    <row r="12699" spans="2:2" ht="23.25" customHeight="1">
      <c r="B12699" s="2669"/>
    </row>
    <row r="12700" spans="2:2" ht="23.25" customHeight="1">
      <c r="B12700" s="2669"/>
    </row>
    <row r="12701" spans="2:2" ht="23.25" customHeight="1">
      <c r="B12701" s="2669"/>
    </row>
    <row r="12702" spans="2:2" ht="23.25" customHeight="1">
      <c r="B12702" s="2669"/>
    </row>
    <row r="12703" spans="2:2" ht="23.25" customHeight="1">
      <c r="B12703" s="2669"/>
    </row>
    <row r="12704" spans="2:2" ht="23.25" customHeight="1">
      <c r="B12704" s="2669"/>
    </row>
    <row r="12705" spans="2:2" ht="23.25" customHeight="1">
      <c r="B12705" s="2669"/>
    </row>
    <row r="12706" spans="2:2" ht="23.25" customHeight="1">
      <c r="B12706" s="2669"/>
    </row>
    <row r="12707" spans="2:2" ht="23.25" customHeight="1">
      <c r="B12707" s="2669"/>
    </row>
    <row r="12708" spans="2:2" ht="23.25" customHeight="1">
      <c r="B12708" s="2669"/>
    </row>
    <row r="12709" spans="2:2" ht="23.25" customHeight="1">
      <c r="B12709" s="2669"/>
    </row>
    <row r="12710" spans="2:2" ht="23.25" customHeight="1">
      <c r="B12710" s="2669"/>
    </row>
    <row r="12711" spans="2:2" ht="23.25" customHeight="1">
      <c r="B12711" s="2669"/>
    </row>
    <row r="12712" spans="2:2" ht="23.25" customHeight="1">
      <c r="B12712" s="2669"/>
    </row>
    <row r="12713" spans="2:2" ht="23.25" customHeight="1">
      <c r="B12713" s="2669"/>
    </row>
    <row r="12714" spans="2:2" ht="23.25" customHeight="1">
      <c r="B12714" s="2669"/>
    </row>
    <row r="12715" spans="2:2" ht="23.25" customHeight="1">
      <c r="B12715" s="2669"/>
    </row>
    <row r="12716" spans="2:2" ht="23.25" customHeight="1">
      <c r="B12716" s="2669"/>
    </row>
    <row r="12717" spans="2:2" ht="23.25" customHeight="1">
      <c r="B12717" s="2669"/>
    </row>
    <row r="12718" spans="2:2" ht="23.25" customHeight="1">
      <c r="B12718" s="2669"/>
    </row>
    <row r="12719" spans="2:2" ht="23.25" customHeight="1">
      <c r="B12719" s="2669"/>
    </row>
    <row r="12720" spans="2:2" ht="23.25" customHeight="1">
      <c r="B12720" s="2669"/>
    </row>
    <row r="12721" spans="2:2" ht="23.25" customHeight="1">
      <c r="B12721" s="2669"/>
    </row>
    <row r="12722" spans="2:2" ht="23.25" customHeight="1">
      <c r="B12722" s="2669"/>
    </row>
    <row r="12723" spans="2:2" ht="23.25" customHeight="1">
      <c r="B12723" s="2669"/>
    </row>
    <row r="12724" spans="2:2" ht="23.25" customHeight="1">
      <c r="B12724" s="2669"/>
    </row>
    <row r="12725" spans="2:2" ht="23.25" customHeight="1">
      <c r="B12725" s="2669"/>
    </row>
    <row r="12726" spans="2:2" ht="23.25" customHeight="1">
      <c r="B12726" s="2669"/>
    </row>
    <row r="12727" spans="2:2" ht="23.25" customHeight="1">
      <c r="B12727" s="2669"/>
    </row>
    <row r="12728" spans="2:2" ht="23.25" customHeight="1">
      <c r="B12728" s="2669"/>
    </row>
    <row r="12729" spans="2:2" ht="23.25" customHeight="1">
      <c r="B12729" s="2669"/>
    </row>
    <row r="12730" spans="2:2" ht="23.25" customHeight="1">
      <c r="B12730" s="2669"/>
    </row>
    <row r="12731" spans="2:2" ht="23.25" customHeight="1">
      <c r="B12731" s="2669"/>
    </row>
    <row r="12732" spans="2:2" ht="23.25" customHeight="1">
      <c r="B12732" s="2669"/>
    </row>
    <row r="12733" spans="2:2" ht="23.25" customHeight="1">
      <c r="B12733" s="2669"/>
    </row>
    <row r="12734" spans="2:2" ht="23.25" customHeight="1">
      <c r="B12734" s="2669"/>
    </row>
    <row r="12735" spans="2:2" ht="23.25" customHeight="1">
      <c r="B12735" s="2669"/>
    </row>
    <row r="12736" spans="2:2" ht="23.25" customHeight="1">
      <c r="B12736" s="2669"/>
    </row>
    <row r="12737" spans="2:2" ht="23.25" customHeight="1">
      <c r="B12737" s="2669"/>
    </row>
    <row r="12738" spans="2:2" ht="23.25" customHeight="1">
      <c r="B12738" s="2669"/>
    </row>
    <row r="12739" spans="2:2" ht="23.25" customHeight="1">
      <c r="B12739" s="2669"/>
    </row>
    <row r="12740" spans="2:2" ht="23.25" customHeight="1">
      <c r="B12740" s="2669"/>
    </row>
    <row r="12741" spans="2:2" ht="23.25" customHeight="1">
      <c r="B12741" s="2669"/>
    </row>
    <row r="12742" spans="2:2" ht="23.25" customHeight="1">
      <c r="B12742" s="2669"/>
    </row>
    <row r="12743" spans="2:2" ht="23.25" customHeight="1">
      <c r="B12743" s="2669"/>
    </row>
    <row r="12744" spans="2:2" ht="23.25" customHeight="1">
      <c r="B12744" s="2669"/>
    </row>
    <row r="12745" spans="2:2" ht="23.25" customHeight="1">
      <c r="B12745" s="2669"/>
    </row>
    <row r="12746" spans="2:2" ht="23.25" customHeight="1">
      <c r="B12746" s="2669"/>
    </row>
    <row r="12747" spans="2:2" ht="23.25" customHeight="1">
      <c r="B12747" s="2669"/>
    </row>
    <row r="12748" spans="2:2" ht="23.25" customHeight="1">
      <c r="B12748" s="2669"/>
    </row>
    <row r="12749" spans="2:2" ht="23.25" customHeight="1">
      <c r="B12749" s="2669"/>
    </row>
    <row r="12750" spans="2:2" ht="23.25" customHeight="1">
      <c r="B12750" s="2669"/>
    </row>
    <row r="12751" spans="2:2" ht="23.25" customHeight="1">
      <c r="B12751" s="2669"/>
    </row>
    <row r="12752" spans="2:2" ht="23.25" customHeight="1">
      <c r="B12752" s="2669"/>
    </row>
    <row r="12753" spans="2:2" ht="23.25" customHeight="1">
      <c r="B12753" s="2669"/>
    </row>
    <row r="12754" spans="2:2" ht="23.25" customHeight="1">
      <c r="B12754" s="2669"/>
    </row>
    <row r="12755" spans="2:2" ht="23.25" customHeight="1">
      <c r="B12755" s="2669"/>
    </row>
    <row r="12756" spans="2:2" ht="23.25" customHeight="1">
      <c r="B12756" s="2669"/>
    </row>
    <row r="12757" spans="2:2" ht="23.25" customHeight="1">
      <c r="B12757" s="2669"/>
    </row>
    <row r="12758" spans="2:2" ht="23.25" customHeight="1">
      <c r="B12758" s="2669"/>
    </row>
    <row r="12759" spans="2:2" ht="23.25" customHeight="1">
      <c r="B12759" s="2669"/>
    </row>
    <row r="12760" spans="2:2" ht="23.25" customHeight="1">
      <c r="B12760" s="2669"/>
    </row>
    <row r="12761" spans="2:2" ht="23.25" customHeight="1">
      <c r="B12761" s="2669"/>
    </row>
    <row r="12762" spans="2:2" ht="23.25" customHeight="1">
      <c r="B12762" s="2669"/>
    </row>
    <row r="12763" spans="2:2" ht="23.25" customHeight="1">
      <c r="B12763" s="2669"/>
    </row>
    <row r="12764" spans="2:2" ht="23.25" customHeight="1">
      <c r="B12764" s="2669"/>
    </row>
    <row r="12765" spans="2:2" ht="23.25" customHeight="1">
      <c r="B12765" s="2669"/>
    </row>
    <row r="12766" spans="2:2" ht="23.25" customHeight="1">
      <c r="B12766" s="2669"/>
    </row>
    <row r="12767" spans="2:2" ht="23.25" customHeight="1">
      <c r="B12767" s="2669"/>
    </row>
    <row r="12768" spans="2:2" ht="23.25" customHeight="1">
      <c r="B12768" s="2669"/>
    </row>
    <row r="12769" spans="2:2" ht="23.25" customHeight="1">
      <c r="B12769" s="2669"/>
    </row>
    <row r="12770" spans="2:2" ht="23.25" customHeight="1">
      <c r="B12770" s="2669"/>
    </row>
    <row r="12771" spans="2:2" ht="23.25" customHeight="1">
      <c r="B12771" s="2669"/>
    </row>
    <row r="12772" spans="2:2" ht="23.25" customHeight="1">
      <c r="B12772" s="2669"/>
    </row>
    <row r="12773" spans="2:2" ht="23.25" customHeight="1">
      <c r="B12773" s="2669"/>
    </row>
    <row r="12774" spans="2:2" ht="23.25" customHeight="1">
      <c r="B12774" s="2669"/>
    </row>
    <row r="12775" spans="2:2" ht="23.25" customHeight="1">
      <c r="B12775" s="2669"/>
    </row>
    <row r="12776" spans="2:2" ht="23.25" customHeight="1">
      <c r="B12776" s="2669"/>
    </row>
    <row r="12777" spans="2:2" ht="23.25" customHeight="1">
      <c r="B12777" s="2669"/>
    </row>
    <row r="12778" spans="2:2" ht="23.25" customHeight="1">
      <c r="B12778" s="2669"/>
    </row>
    <row r="12779" spans="2:2" ht="23.25" customHeight="1">
      <c r="B12779" s="2669"/>
    </row>
    <row r="12780" spans="2:2" ht="23.25" customHeight="1">
      <c r="B12780" s="2669"/>
    </row>
    <row r="12781" spans="2:2" ht="23.25" customHeight="1">
      <c r="B12781" s="2669"/>
    </row>
    <row r="12782" spans="2:2" ht="23.25" customHeight="1">
      <c r="B12782" s="2669"/>
    </row>
    <row r="12783" spans="2:2" ht="23.25" customHeight="1">
      <c r="B12783" s="2669"/>
    </row>
    <row r="12784" spans="2:2" ht="23.25" customHeight="1">
      <c r="B12784" s="2669"/>
    </row>
    <row r="12785" spans="2:2" ht="23.25" customHeight="1">
      <c r="B12785" s="2669"/>
    </row>
    <row r="12786" spans="2:2" ht="23.25" customHeight="1">
      <c r="B12786" s="2669"/>
    </row>
    <row r="12787" spans="2:2" ht="23.25" customHeight="1">
      <c r="B12787" s="2669"/>
    </row>
    <row r="12788" spans="2:2" ht="23.25" customHeight="1">
      <c r="B12788" s="2669"/>
    </row>
    <row r="12789" spans="2:2" ht="23.25" customHeight="1">
      <c r="B12789" s="2669"/>
    </row>
    <row r="12790" spans="2:2" ht="23.25" customHeight="1">
      <c r="B12790" s="2669"/>
    </row>
    <row r="12791" spans="2:2" ht="23.25" customHeight="1">
      <c r="B12791" s="2669"/>
    </row>
    <row r="12792" spans="2:2" ht="23.25" customHeight="1">
      <c r="B12792" s="2669"/>
    </row>
    <row r="12793" spans="2:2" ht="23.25" customHeight="1">
      <c r="B12793" s="2669"/>
    </row>
    <row r="12794" spans="2:2" ht="23.25" customHeight="1">
      <c r="B12794" s="2669"/>
    </row>
    <row r="12795" spans="2:2" ht="23.25" customHeight="1">
      <c r="B12795" s="2669"/>
    </row>
    <row r="12796" spans="2:2" ht="23.25" customHeight="1">
      <c r="B12796" s="2669"/>
    </row>
    <row r="12797" spans="2:2" ht="23.25" customHeight="1">
      <c r="B12797" s="2669"/>
    </row>
    <row r="12798" spans="2:2" ht="23.25" customHeight="1">
      <c r="B12798" s="2669"/>
    </row>
    <row r="12799" spans="2:2" ht="23.25" customHeight="1">
      <c r="B12799" s="2669"/>
    </row>
    <row r="12800" spans="2:2" ht="23.25" customHeight="1">
      <c r="B12800" s="2669"/>
    </row>
    <row r="12801" spans="2:2" ht="23.25" customHeight="1">
      <c r="B12801" s="2669"/>
    </row>
    <row r="12802" spans="2:2" ht="23.25" customHeight="1">
      <c r="B12802" s="2669"/>
    </row>
    <row r="12803" spans="2:2" ht="23.25" customHeight="1">
      <c r="B12803" s="2669"/>
    </row>
    <row r="12804" spans="2:2" ht="23.25" customHeight="1">
      <c r="B12804" s="2669"/>
    </row>
    <row r="12805" spans="2:2" ht="23.25" customHeight="1">
      <c r="B12805" s="2669"/>
    </row>
    <row r="12806" spans="2:2" ht="23.25" customHeight="1">
      <c r="B12806" s="2669"/>
    </row>
    <row r="12807" spans="2:2" ht="23.25" customHeight="1">
      <c r="B12807" s="2669"/>
    </row>
    <row r="12808" spans="2:2" ht="23.25" customHeight="1">
      <c r="B12808" s="2669"/>
    </row>
    <row r="12809" spans="2:2" ht="23.25" customHeight="1">
      <c r="B12809" s="2669"/>
    </row>
    <row r="12810" spans="2:2" ht="23.25" customHeight="1">
      <c r="B12810" s="2669"/>
    </row>
    <row r="12811" spans="2:2" ht="23.25" customHeight="1">
      <c r="B12811" s="2669"/>
    </row>
    <row r="12812" spans="2:2" ht="23.25" customHeight="1">
      <c r="B12812" s="2669"/>
    </row>
    <row r="12813" spans="2:2" ht="23.25" customHeight="1">
      <c r="B12813" s="2669"/>
    </row>
    <row r="12814" spans="2:2" ht="23.25" customHeight="1">
      <c r="B12814" s="2669"/>
    </row>
    <row r="12815" spans="2:2" ht="23.25" customHeight="1">
      <c r="B12815" s="2669"/>
    </row>
    <row r="12816" spans="2:2" ht="23.25" customHeight="1">
      <c r="B12816" s="2669"/>
    </row>
    <row r="12817" spans="2:2" ht="23.25" customHeight="1">
      <c r="B12817" s="2669"/>
    </row>
    <row r="12818" spans="2:2" ht="23.25" customHeight="1">
      <c r="B12818" s="2669"/>
    </row>
    <row r="12819" spans="2:2" ht="23.25" customHeight="1">
      <c r="B12819" s="2669"/>
    </row>
    <row r="12820" spans="2:2" ht="23.25" customHeight="1">
      <c r="B12820" s="2669"/>
    </row>
    <row r="12821" spans="2:2" ht="23.25" customHeight="1">
      <c r="B12821" s="2669"/>
    </row>
    <row r="12822" spans="2:2" ht="23.25" customHeight="1">
      <c r="B12822" s="2669"/>
    </row>
    <row r="12823" spans="2:2" ht="23.25" customHeight="1">
      <c r="B12823" s="2669"/>
    </row>
    <row r="12824" spans="2:2" ht="23.25" customHeight="1">
      <c r="B12824" s="2669"/>
    </row>
    <row r="12825" spans="2:2" ht="23.25" customHeight="1">
      <c r="B12825" s="2669"/>
    </row>
    <row r="12826" spans="2:2" ht="23.25" customHeight="1">
      <c r="B12826" s="2669"/>
    </row>
    <row r="12827" spans="2:2" ht="23.25" customHeight="1">
      <c r="B12827" s="2669"/>
    </row>
    <row r="12828" spans="2:2" ht="23.25" customHeight="1">
      <c r="B12828" s="2669"/>
    </row>
    <row r="12829" spans="2:2" ht="23.25" customHeight="1">
      <c r="B12829" s="2669"/>
    </row>
    <row r="12830" spans="2:2" ht="23.25" customHeight="1">
      <c r="B12830" s="2669"/>
    </row>
    <row r="12831" spans="2:2" ht="23.25" customHeight="1">
      <c r="B12831" s="2669"/>
    </row>
    <row r="12832" spans="2:2" ht="23.25" customHeight="1">
      <c r="B12832" s="2669"/>
    </row>
    <row r="12833" spans="2:2" ht="23.25" customHeight="1">
      <c r="B12833" s="2669"/>
    </row>
    <row r="12834" spans="2:2" ht="23.25" customHeight="1">
      <c r="B12834" s="2669"/>
    </row>
    <row r="12835" spans="2:2" ht="23.25" customHeight="1">
      <c r="B12835" s="2669"/>
    </row>
    <row r="12836" spans="2:2" ht="23.25" customHeight="1">
      <c r="B12836" s="2669"/>
    </row>
    <row r="12837" spans="2:2" ht="23.25" customHeight="1">
      <c r="B12837" s="2669"/>
    </row>
    <row r="12838" spans="2:2" ht="23.25" customHeight="1">
      <c r="B12838" s="2669"/>
    </row>
    <row r="12839" spans="2:2" ht="23.25" customHeight="1">
      <c r="B12839" s="2669"/>
    </row>
    <row r="12840" spans="2:2" ht="23.25" customHeight="1">
      <c r="B12840" s="2669"/>
    </row>
    <row r="12841" spans="2:2" ht="23.25" customHeight="1">
      <c r="B12841" s="2669"/>
    </row>
    <row r="12842" spans="2:2" ht="23.25" customHeight="1">
      <c r="B12842" s="2669"/>
    </row>
    <row r="12843" spans="2:2" ht="23.25" customHeight="1">
      <c r="B12843" s="2669"/>
    </row>
    <row r="12844" spans="2:2" ht="23.25" customHeight="1">
      <c r="B12844" s="2669"/>
    </row>
    <row r="12845" spans="2:2" ht="23.25" customHeight="1">
      <c r="B12845" s="2669"/>
    </row>
    <row r="12846" spans="2:2" ht="23.25" customHeight="1">
      <c r="B12846" s="2669"/>
    </row>
    <row r="12847" spans="2:2" ht="23.25" customHeight="1">
      <c r="B12847" s="2669"/>
    </row>
    <row r="12848" spans="2:2" ht="23.25" customHeight="1">
      <c r="B12848" s="2669"/>
    </row>
    <row r="12849" spans="2:2" ht="23.25" customHeight="1">
      <c r="B12849" s="2669"/>
    </row>
    <row r="12850" spans="2:2" ht="23.25" customHeight="1">
      <c r="B12850" s="2669"/>
    </row>
    <row r="12851" spans="2:2" ht="23.25" customHeight="1">
      <c r="B12851" s="2669"/>
    </row>
    <row r="12852" spans="2:2" ht="23.25" customHeight="1">
      <c r="B12852" s="2669"/>
    </row>
    <row r="12853" spans="2:2" ht="23.25" customHeight="1">
      <c r="B12853" s="2669"/>
    </row>
    <row r="12854" spans="2:2" ht="23.25" customHeight="1">
      <c r="B12854" s="2669"/>
    </row>
    <row r="12855" spans="2:2" ht="23.25" customHeight="1">
      <c r="B12855" s="2669"/>
    </row>
    <row r="12856" spans="2:2" ht="23.25" customHeight="1">
      <c r="B12856" s="2669"/>
    </row>
    <row r="12857" spans="2:2" ht="23.25" customHeight="1">
      <c r="B12857" s="2669"/>
    </row>
    <row r="12858" spans="2:2" ht="23.25" customHeight="1">
      <c r="B12858" s="2669"/>
    </row>
    <row r="12859" spans="2:2" ht="23.25" customHeight="1">
      <c r="B12859" s="2669"/>
    </row>
    <row r="12860" spans="2:2" ht="23.25" customHeight="1">
      <c r="B12860" s="2669"/>
    </row>
    <row r="12861" spans="2:2" ht="23.25" customHeight="1">
      <c r="B12861" s="2669"/>
    </row>
    <row r="12862" spans="2:2" ht="23.25" customHeight="1">
      <c r="B12862" s="2669"/>
    </row>
    <row r="12863" spans="2:2" ht="23.25" customHeight="1">
      <c r="B12863" s="2669"/>
    </row>
    <row r="12864" spans="2:2" ht="23.25" customHeight="1">
      <c r="B12864" s="2669"/>
    </row>
    <row r="12865" spans="2:2" ht="23.25" customHeight="1">
      <c r="B12865" s="2669"/>
    </row>
    <row r="12866" spans="2:2" ht="23.25" customHeight="1">
      <c r="B12866" s="2669"/>
    </row>
    <row r="12867" spans="2:2" ht="23.25" customHeight="1">
      <c r="B12867" s="2669"/>
    </row>
    <row r="12868" spans="2:2" ht="23.25" customHeight="1">
      <c r="B12868" s="2669"/>
    </row>
    <row r="12869" spans="2:2" ht="23.25" customHeight="1">
      <c r="B12869" s="2669"/>
    </row>
    <row r="12870" spans="2:2" ht="23.25" customHeight="1">
      <c r="B12870" s="2669"/>
    </row>
    <row r="12871" spans="2:2" ht="23.25" customHeight="1">
      <c r="B12871" s="2669"/>
    </row>
    <row r="12872" spans="2:2" ht="23.25" customHeight="1">
      <c r="B12872" s="2669"/>
    </row>
    <row r="12873" spans="2:2" ht="23.25" customHeight="1">
      <c r="B12873" s="2669"/>
    </row>
    <row r="12874" spans="2:2" ht="23.25" customHeight="1">
      <c r="B12874" s="2669"/>
    </row>
    <row r="12875" spans="2:2" ht="23.25" customHeight="1">
      <c r="B12875" s="2669"/>
    </row>
    <row r="12876" spans="2:2" ht="23.25" customHeight="1">
      <c r="B12876" s="2669"/>
    </row>
    <row r="12877" spans="2:2" ht="23.25" customHeight="1">
      <c r="B12877" s="2669"/>
    </row>
    <row r="12878" spans="2:2" ht="23.25" customHeight="1">
      <c r="B12878" s="2669"/>
    </row>
    <row r="12879" spans="2:2" ht="23.25" customHeight="1">
      <c r="B12879" s="2669"/>
    </row>
    <row r="12880" spans="2:2" ht="23.25" customHeight="1">
      <c r="B12880" s="2669"/>
    </row>
    <row r="12881" spans="2:2" ht="23.25" customHeight="1">
      <c r="B12881" s="2669"/>
    </row>
    <row r="12882" spans="2:2" ht="23.25" customHeight="1">
      <c r="B12882" s="2669"/>
    </row>
    <row r="12883" spans="2:2" ht="23.25" customHeight="1">
      <c r="B12883" s="2669"/>
    </row>
    <row r="12884" spans="2:2" ht="23.25" customHeight="1">
      <c r="B12884" s="2669"/>
    </row>
    <row r="12885" spans="2:2" ht="23.25" customHeight="1">
      <c r="B12885" s="2669"/>
    </row>
    <row r="12886" spans="2:2" ht="23.25" customHeight="1">
      <c r="B12886" s="2669"/>
    </row>
    <row r="12887" spans="2:2" ht="23.25" customHeight="1">
      <c r="B12887" s="2669"/>
    </row>
    <row r="12888" spans="2:2" ht="23.25" customHeight="1">
      <c r="B12888" s="2669"/>
    </row>
    <row r="12889" spans="2:2" ht="23.25" customHeight="1">
      <c r="B12889" s="2669"/>
    </row>
    <row r="12890" spans="2:2" ht="23.25" customHeight="1">
      <c r="B12890" s="2669"/>
    </row>
    <row r="12891" spans="2:2" ht="23.25" customHeight="1">
      <c r="B12891" s="2669"/>
    </row>
    <row r="12892" spans="2:2" ht="23.25" customHeight="1">
      <c r="B12892" s="2669"/>
    </row>
    <row r="12893" spans="2:2" ht="23.25" customHeight="1">
      <c r="B12893" s="2669"/>
    </row>
    <row r="12894" spans="2:2" ht="23.25" customHeight="1">
      <c r="B12894" s="2669"/>
    </row>
    <row r="12895" spans="2:2" ht="23.25" customHeight="1">
      <c r="B12895" s="2669"/>
    </row>
    <row r="12896" spans="2:2" ht="23.25" customHeight="1">
      <c r="B12896" s="2669"/>
    </row>
    <row r="12897" spans="2:2" ht="23.25" customHeight="1">
      <c r="B12897" s="2669"/>
    </row>
    <row r="12898" spans="2:2" ht="23.25" customHeight="1">
      <c r="B12898" s="2669"/>
    </row>
    <row r="12899" spans="2:2" ht="23.25" customHeight="1">
      <c r="B12899" s="2669"/>
    </row>
    <row r="12900" spans="2:2" ht="23.25" customHeight="1">
      <c r="B12900" s="2669"/>
    </row>
    <row r="12901" spans="2:2" ht="23.25" customHeight="1">
      <c r="B12901" s="2669"/>
    </row>
    <row r="12902" spans="2:2" ht="23.25" customHeight="1">
      <c r="B12902" s="2669"/>
    </row>
    <row r="12903" spans="2:2" ht="23.25" customHeight="1">
      <c r="B12903" s="2669"/>
    </row>
    <row r="12904" spans="2:2" ht="23.25" customHeight="1">
      <c r="B12904" s="2669"/>
    </row>
    <row r="12905" spans="2:2" ht="23.25" customHeight="1">
      <c r="B12905" s="2669"/>
    </row>
    <row r="12906" spans="2:2" ht="23.25" customHeight="1">
      <c r="B12906" s="2669"/>
    </row>
    <row r="12907" spans="2:2" ht="23.25" customHeight="1">
      <c r="B12907" s="2669"/>
    </row>
    <row r="12908" spans="2:2" ht="23.25" customHeight="1">
      <c r="B12908" s="2669"/>
    </row>
    <row r="12909" spans="2:2" ht="23.25" customHeight="1">
      <c r="B12909" s="2669"/>
    </row>
    <row r="12910" spans="2:2" ht="23.25" customHeight="1">
      <c r="B12910" s="2669"/>
    </row>
    <row r="12911" spans="2:2" ht="23.25" customHeight="1">
      <c r="B12911" s="2669"/>
    </row>
    <row r="12912" spans="2:2" ht="23.25" customHeight="1">
      <c r="B12912" s="2669"/>
    </row>
    <row r="12913" spans="2:2" ht="23.25" customHeight="1">
      <c r="B12913" s="2669"/>
    </row>
    <row r="12914" spans="2:2" ht="23.25" customHeight="1">
      <c r="B12914" s="2669"/>
    </row>
    <row r="12915" spans="2:2" ht="23.25" customHeight="1">
      <c r="B12915" s="2669"/>
    </row>
    <row r="12916" spans="2:2" ht="23.25" customHeight="1">
      <c r="B12916" s="2669"/>
    </row>
    <row r="12917" spans="2:2" ht="23.25" customHeight="1">
      <c r="B12917" s="2669"/>
    </row>
    <row r="12918" spans="2:2" ht="23.25" customHeight="1">
      <c r="B12918" s="2669"/>
    </row>
    <row r="12919" spans="2:2" ht="23.25" customHeight="1">
      <c r="B12919" s="2669"/>
    </row>
    <row r="12920" spans="2:2" ht="23.25" customHeight="1">
      <c r="B12920" s="2669"/>
    </row>
    <row r="12921" spans="2:2" ht="23.25" customHeight="1">
      <c r="B12921" s="2669"/>
    </row>
    <row r="12922" spans="2:2" ht="23.25" customHeight="1">
      <c r="B12922" s="2669"/>
    </row>
    <row r="12923" spans="2:2" ht="23.25" customHeight="1">
      <c r="B12923" s="2669"/>
    </row>
    <row r="12924" spans="2:2" ht="23.25" customHeight="1">
      <c r="B12924" s="2669"/>
    </row>
    <row r="12925" spans="2:2" ht="23.25" customHeight="1">
      <c r="B12925" s="2669"/>
    </row>
    <row r="12926" spans="2:2" ht="23.25" customHeight="1">
      <c r="B12926" s="2669"/>
    </row>
    <row r="12927" spans="2:2" ht="23.25" customHeight="1">
      <c r="B12927" s="2669"/>
    </row>
    <row r="12928" spans="2:2" ht="23.25" customHeight="1">
      <c r="B12928" s="2669"/>
    </row>
    <row r="12929" spans="2:2" ht="23.25" customHeight="1">
      <c r="B12929" s="2669"/>
    </row>
    <row r="12930" spans="2:2" ht="23.25" customHeight="1">
      <c r="B12930" s="2669"/>
    </row>
    <row r="12931" spans="2:2" ht="23.25" customHeight="1">
      <c r="B12931" s="2669"/>
    </row>
    <row r="12932" spans="2:2" ht="23.25" customHeight="1">
      <c r="B12932" s="2669"/>
    </row>
    <row r="12933" spans="2:2" ht="23.25" customHeight="1">
      <c r="B12933" s="2669"/>
    </row>
    <row r="12934" spans="2:2" ht="23.25" customHeight="1">
      <c r="B12934" s="2669"/>
    </row>
    <row r="12935" spans="2:2" ht="23.25" customHeight="1">
      <c r="B12935" s="2669"/>
    </row>
    <row r="12936" spans="2:2" ht="23.25" customHeight="1">
      <c r="B12936" s="2669"/>
    </row>
    <row r="12937" spans="2:2" ht="23.25" customHeight="1">
      <c r="B12937" s="2669"/>
    </row>
    <row r="12938" spans="2:2" ht="23.25" customHeight="1">
      <c r="B12938" s="2669"/>
    </row>
    <row r="12939" spans="2:2" ht="23.25" customHeight="1">
      <c r="B12939" s="2669"/>
    </row>
    <row r="12940" spans="2:2" ht="23.25" customHeight="1">
      <c r="B12940" s="2669"/>
    </row>
    <row r="12941" spans="2:2" ht="23.25" customHeight="1">
      <c r="B12941" s="2669"/>
    </row>
    <row r="12942" spans="2:2" ht="23.25" customHeight="1">
      <c r="B12942" s="2669"/>
    </row>
    <row r="12943" spans="2:2" ht="23.25" customHeight="1">
      <c r="B12943" s="2669"/>
    </row>
    <row r="12944" spans="2:2" ht="23.25" customHeight="1">
      <c r="B12944" s="2669"/>
    </row>
    <row r="12945" spans="2:2" ht="23.25" customHeight="1">
      <c r="B12945" s="2669"/>
    </row>
    <row r="12946" spans="2:2" ht="23.25" customHeight="1">
      <c r="B12946" s="2669"/>
    </row>
    <row r="12947" spans="2:2" ht="23.25" customHeight="1">
      <c r="B12947" s="2669"/>
    </row>
    <row r="12948" spans="2:2" ht="23.25" customHeight="1">
      <c r="B12948" s="2669"/>
    </row>
    <row r="12949" spans="2:2" ht="23.25" customHeight="1">
      <c r="B12949" s="2669"/>
    </row>
    <row r="12950" spans="2:2" ht="23.25" customHeight="1">
      <c r="B12950" s="2669"/>
    </row>
    <row r="12951" spans="2:2" ht="23.25" customHeight="1">
      <c r="B12951" s="2669"/>
    </row>
    <row r="12952" spans="2:2" ht="23.25" customHeight="1">
      <c r="B12952" s="2669"/>
    </row>
    <row r="12953" spans="2:2" ht="23.25" customHeight="1">
      <c r="B12953" s="2669"/>
    </row>
    <row r="12954" spans="2:2" ht="23.25" customHeight="1">
      <c r="B12954" s="2669"/>
    </row>
    <row r="12955" spans="2:2" ht="23.25" customHeight="1">
      <c r="B12955" s="2669"/>
    </row>
    <row r="12956" spans="2:2" ht="23.25" customHeight="1">
      <c r="B12956" s="2669"/>
    </row>
    <row r="12957" spans="2:2" ht="23.25" customHeight="1">
      <c r="B12957" s="2669"/>
    </row>
    <row r="12958" spans="2:2" ht="23.25" customHeight="1">
      <c r="B12958" s="2669"/>
    </row>
    <row r="12959" spans="2:2" ht="23.25" customHeight="1">
      <c r="B12959" s="2669"/>
    </row>
    <row r="12960" spans="2:2" ht="23.25" customHeight="1">
      <c r="B12960" s="2669"/>
    </row>
    <row r="12961" spans="2:2" ht="23.25" customHeight="1">
      <c r="B12961" s="2669"/>
    </row>
    <row r="12962" spans="2:2" ht="23.25" customHeight="1">
      <c r="B12962" s="2669"/>
    </row>
    <row r="12963" spans="2:2" ht="23.25" customHeight="1">
      <c r="B12963" s="2669"/>
    </row>
    <row r="12964" spans="2:2" ht="23.25" customHeight="1">
      <c r="B12964" s="2669"/>
    </row>
    <row r="12965" spans="2:2" ht="23.25" customHeight="1">
      <c r="B12965" s="2669"/>
    </row>
    <row r="12966" spans="2:2" ht="23.25" customHeight="1">
      <c r="B12966" s="2669"/>
    </row>
    <row r="12967" spans="2:2" ht="23.25" customHeight="1">
      <c r="B12967" s="2669"/>
    </row>
    <row r="12968" spans="2:2" ht="23.25" customHeight="1">
      <c r="B12968" s="2669"/>
    </row>
    <row r="12969" spans="2:2" ht="23.25" customHeight="1">
      <c r="B12969" s="2669"/>
    </row>
    <row r="12970" spans="2:2" ht="23.25" customHeight="1">
      <c r="B12970" s="2669"/>
    </row>
    <row r="12971" spans="2:2" ht="23.25" customHeight="1">
      <c r="B12971" s="2669"/>
    </row>
    <row r="12972" spans="2:2" ht="23.25" customHeight="1">
      <c r="B12972" s="2669"/>
    </row>
    <row r="12973" spans="2:2" ht="23.25" customHeight="1">
      <c r="B12973" s="2669"/>
    </row>
    <row r="12974" spans="2:2" ht="23.25" customHeight="1">
      <c r="B12974" s="2669"/>
    </row>
    <row r="12975" spans="2:2" ht="23.25" customHeight="1">
      <c r="B12975" s="2669"/>
    </row>
    <row r="12976" spans="2:2" ht="23.25" customHeight="1">
      <c r="B12976" s="2669"/>
    </row>
    <row r="12977" spans="2:2" ht="23.25" customHeight="1">
      <c r="B12977" s="2669"/>
    </row>
    <row r="12978" spans="2:2" ht="23.25" customHeight="1">
      <c r="B12978" s="2669"/>
    </row>
    <row r="12979" spans="2:2" ht="23.25" customHeight="1">
      <c r="B12979" s="2669"/>
    </row>
    <row r="12980" spans="2:2" ht="23.25" customHeight="1">
      <c r="B12980" s="2669"/>
    </row>
    <row r="12981" spans="2:2" ht="23.25" customHeight="1">
      <c r="B12981" s="2669"/>
    </row>
    <row r="12982" spans="2:2" ht="23.25" customHeight="1">
      <c r="B12982" s="2669"/>
    </row>
    <row r="12983" spans="2:2" ht="23.25" customHeight="1">
      <c r="B12983" s="2669"/>
    </row>
    <row r="12984" spans="2:2" ht="23.25" customHeight="1">
      <c r="B12984" s="2669"/>
    </row>
    <row r="12985" spans="2:2" ht="23.25" customHeight="1">
      <c r="B12985" s="2669"/>
    </row>
    <row r="12986" spans="2:2" ht="23.25" customHeight="1">
      <c r="B12986" s="2669"/>
    </row>
    <row r="12987" spans="2:2" ht="23.25" customHeight="1">
      <c r="B12987" s="2669"/>
    </row>
    <row r="12988" spans="2:2" ht="23.25" customHeight="1">
      <c r="B12988" s="2669"/>
    </row>
    <row r="12989" spans="2:2" ht="23.25" customHeight="1">
      <c r="B12989" s="2669"/>
    </row>
    <row r="12990" spans="2:2" ht="23.25" customHeight="1">
      <c r="B12990" s="2669"/>
    </row>
    <row r="12991" spans="2:2" ht="23.25" customHeight="1">
      <c r="B12991" s="2669"/>
    </row>
    <row r="12992" spans="2:2" ht="23.25" customHeight="1">
      <c r="B12992" s="2669"/>
    </row>
    <row r="12993" spans="2:2" ht="23.25" customHeight="1">
      <c r="B12993" s="2669"/>
    </row>
    <row r="12994" spans="2:2" ht="23.25" customHeight="1">
      <c r="B12994" s="2669"/>
    </row>
    <row r="12995" spans="2:2" ht="23.25" customHeight="1">
      <c r="B12995" s="2669"/>
    </row>
    <row r="12996" spans="2:2" ht="23.25" customHeight="1">
      <c r="B12996" s="2669"/>
    </row>
    <row r="12997" spans="2:2" ht="23.25" customHeight="1">
      <c r="B12997" s="2669"/>
    </row>
    <row r="12998" spans="2:2" ht="23.25" customHeight="1">
      <c r="B12998" s="2669"/>
    </row>
    <row r="12999" spans="2:2" ht="23.25" customHeight="1">
      <c r="B12999" s="2669"/>
    </row>
    <row r="13000" spans="2:2" ht="23.25" customHeight="1">
      <c r="B13000" s="2669"/>
    </row>
    <row r="13001" spans="2:2" ht="23.25" customHeight="1">
      <c r="B13001" s="2669"/>
    </row>
    <row r="13002" spans="2:2" ht="23.25" customHeight="1">
      <c r="B13002" s="2669"/>
    </row>
    <row r="13003" spans="2:2" ht="23.25" customHeight="1">
      <c r="B13003" s="2669"/>
    </row>
    <row r="13004" spans="2:2" ht="23.25" customHeight="1">
      <c r="B13004" s="2669"/>
    </row>
    <row r="13005" spans="2:2" ht="23.25" customHeight="1">
      <c r="B13005" s="2669"/>
    </row>
    <row r="13006" spans="2:2" ht="23.25" customHeight="1">
      <c r="B13006" s="2669"/>
    </row>
    <row r="13007" spans="2:2" ht="23.25" customHeight="1">
      <c r="B13007" s="2669"/>
    </row>
    <row r="13008" spans="2:2" ht="23.25" customHeight="1">
      <c r="B13008" s="2669"/>
    </row>
    <row r="13009" spans="2:2" ht="23.25" customHeight="1">
      <c r="B13009" s="2669"/>
    </row>
    <row r="13010" spans="2:2" ht="23.25" customHeight="1">
      <c r="B13010" s="2669"/>
    </row>
    <row r="13011" spans="2:2" ht="23.25" customHeight="1">
      <c r="B13011" s="2669"/>
    </row>
    <row r="13012" spans="2:2" ht="23.25" customHeight="1">
      <c r="B13012" s="2669"/>
    </row>
    <row r="13013" spans="2:2" ht="23.25" customHeight="1">
      <c r="B13013" s="2669"/>
    </row>
    <row r="13014" spans="2:2" ht="23.25" customHeight="1">
      <c r="B13014" s="2669"/>
    </row>
    <row r="13015" spans="2:2" ht="23.25" customHeight="1">
      <c r="B13015" s="2669"/>
    </row>
    <row r="13016" spans="2:2" ht="23.25" customHeight="1">
      <c r="B13016" s="2669"/>
    </row>
    <row r="13017" spans="2:2" ht="23.25" customHeight="1">
      <c r="B13017" s="2669"/>
    </row>
    <row r="13018" spans="2:2" ht="23.25" customHeight="1">
      <c r="B13018" s="2669"/>
    </row>
    <row r="13019" spans="2:2" ht="23.25" customHeight="1">
      <c r="B13019" s="2669"/>
    </row>
    <row r="13020" spans="2:2" ht="23.25" customHeight="1">
      <c r="B13020" s="2669"/>
    </row>
    <row r="13021" spans="2:2" ht="23.25" customHeight="1">
      <c r="B13021" s="2669"/>
    </row>
    <row r="13022" spans="2:2" ht="23.25" customHeight="1">
      <c r="B13022" s="2669"/>
    </row>
    <row r="13023" spans="2:2" ht="23.25" customHeight="1">
      <c r="B13023" s="2669"/>
    </row>
    <row r="13024" spans="2:2" ht="23.25" customHeight="1">
      <c r="B13024" s="2669"/>
    </row>
    <row r="13025" spans="2:2" ht="23.25" customHeight="1">
      <c r="B13025" s="2669"/>
    </row>
    <row r="13026" spans="2:2" ht="23.25" customHeight="1">
      <c r="B13026" s="2669"/>
    </row>
    <row r="13027" spans="2:2" ht="23.25" customHeight="1">
      <c r="B13027" s="2669"/>
    </row>
    <row r="13028" spans="2:2" ht="23.25" customHeight="1">
      <c r="B13028" s="2669"/>
    </row>
    <row r="13029" spans="2:2" ht="23.25" customHeight="1">
      <c r="B13029" s="2669"/>
    </row>
    <row r="13030" spans="2:2" ht="23.25" customHeight="1">
      <c r="B13030" s="2669"/>
    </row>
    <row r="13031" spans="2:2" ht="23.25" customHeight="1">
      <c r="B13031" s="2669"/>
    </row>
    <row r="13032" spans="2:2" ht="23.25" customHeight="1">
      <c r="B13032" s="2669"/>
    </row>
    <row r="13033" spans="2:2" ht="23.25" customHeight="1">
      <c r="B13033" s="2669"/>
    </row>
    <row r="13034" spans="2:2" ht="23.25" customHeight="1">
      <c r="B13034" s="2669"/>
    </row>
    <row r="13035" spans="2:2" ht="23.25" customHeight="1">
      <c r="B13035" s="2669"/>
    </row>
    <row r="13036" spans="2:2" ht="23.25" customHeight="1">
      <c r="B13036" s="2669"/>
    </row>
    <row r="13037" spans="2:2" ht="23.25" customHeight="1">
      <c r="B13037" s="2669"/>
    </row>
    <row r="13038" spans="2:2" ht="23.25" customHeight="1">
      <c r="B13038" s="2669"/>
    </row>
    <row r="13039" spans="2:2" ht="23.25" customHeight="1">
      <c r="B13039" s="2669"/>
    </row>
    <row r="13040" spans="2:2" ht="23.25" customHeight="1">
      <c r="B13040" s="2669"/>
    </row>
    <row r="13041" spans="2:2" ht="23.25" customHeight="1">
      <c r="B13041" s="2669"/>
    </row>
    <row r="13042" spans="2:2" ht="23.25" customHeight="1">
      <c r="B13042" s="2669"/>
    </row>
    <row r="13043" spans="2:2" ht="23.25" customHeight="1">
      <c r="B13043" s="2669"/>
    </row>
    <row r="13044" spans="2:2" ht="23.25" customHeight="1">
      <c r="B13044" s="2669"/>
    </row>
    <row r="13045" spans="2:2" ht="23.25" customHeight="1">
      <c r="B13045" s="2669"/>
    </row>
    <row r="13046" spans="2:2" ht="23.25" customHeight="1">
      <c r="B13046" s="2669"/>
    </row>
    <row r="13047" spans="2:2" ht="23.25" customHeight="1">
      <c r="B13047" s="2669"/>
    </row>
    <row r="13048" spans="2:2" ht="23.25" customHeight="1">
      <c r="B13048" s="2669"/>
    </row>
    <row r="13049" spans="2:2" ht="23.25" customHeight="1">
      <c r="B13049" s="2669"/>
    </row>
    <row r="13050" spans="2:2" ht="23.25" customHeight="1">
      <c r="B13050" s="2669"/>
    </row>
    <row r="13051" spans="2:2" ht="23.25" customHeight="1">
      <c r="B13051" s="2669"/>
    </row>
    <row r="13052" spans="2:2" ht="23.25" customHeight="1">
      <c r="B13052" s="2669"/>
    </row>
    <row r="13053" spans="2:2" ht="23.25" customHeight="1">
      <c r="B13053" s="2669"/>
    </row>
    <row r="13054" spans="2:2" ht="23.25" customHeight="1">
      <c r="B13054" s="2669"/>
    </row>
    <row r="13055" spans="2:2" ht="23.25" customHeight="1">
      <c r="B13055" s="2669"/>
    </row>
    <row r="13056" spans="2:2" ht="23.25" customHeight="1">
      <c r="B13056" s="2669"/>
    </row>
    <row r="13057" spans="2:2" ht="23.25" customHeight="1">
      <c r="B13057" s="2669"/>
    </row>
    <row r="13058" spans="2:2" ht="23.25" customHeight="1">
      <c r="B13058" s="2669"/>
    </row>
    <row r="13059" spans="2:2" ht="23.25" customHeight="1">
      <c r="B13059" s="2669"/>
    </row>
    <row r="13060" spans="2:2" ht="23.25" customHeight="1">
      <c r="B13060" s="2669"/>
    </row>
    <row r="13061" spans="2:2" ht="23.25" customHeight="1">
      <c r="B13061" s="2669"/>
    </row>
    <row r="13062" spans="2:2" ht="23.25" customHeight="1">
      <c r="B13062" s="2669"/>
    </row>
    <row r="13063" spans="2:2" ht="23.25" customHeight="1">
      <c r="B13063" s="2669"/>
    </row>
    <row r="13064" spans="2:2" ht="23.25" customHeight="1">
      <c r="B13064" s="2669"/>
    </row>
    <row r="13065" spans="2:2" ht="23.25" customHeight="1">
      <c r="B13065" s="2669"/>
    </row>
    <row r="13066" spans="2:2" ht="23.25" customHeight="1">
      <c r="B13066" s="2669"/>
    </row>
    <row r="13067" spans="2:2" ht="23.25" customHeight="1">
      <c r="B13067" s="2669"/>
    </row>
    <row r="13068" spans="2:2" ht="23.25" customHeight="1">
      <c r="B13068" s="2669"/>
    </row>
    <row r="13069" spans="2:2" ht="23.25" customHeight="1">
      <c r="B13069" s="2669"/>
    </row>
    <row r="13070" spans="2:2" ht="23.25" customHeight="1">
      <c r="B13070" s="2669"/>
    </row>
    <row r="13071" spans="2:2" ht="23.25" customHeight="1">
      <c r="B13071" s="2669"/>
    </row>
    <row r="13072" spans="2:2" ht="23.25" customHeight="1">
      <c r="B13072" s="2669"/>
    </row>
    <row r="13073" spans="2:2" ht="23.25" customHeight="1">
      <c r="B13073" s="2669"/>
    </row>
    <row r="13074" spans="2:2" ht="23.25" customHeight="1">
      <c r="B13074" s="2669"/>
    </row>
    <row r="13075" spans="2:2" ht="23.25" customHeight="1">
      <c r="B13075" s="2669"/>
    </row>
    <row r="13076" spans="2:2" ht="23.25" customHeight="1">
      <c r="B13076" s="2669"/>
    </row>
    <row r="13077" spans="2:2" ht="23.25" customHeight="1">
      <c r="B13077" s="2669"/>
    </row>
    <row r="13078" spans="2:2" ht="23.25" customHeight="1">
      <c r="B13078" s="2669"/>
    </row>
    <row r="13079" spans="2:2" ht="23.25" customHeight="1">
      <c r="B13079" s="2669"/>
    </row>
    <row r="13080" spans="2:2" ht="23.25" customHeight="1">
      <c r="B13080" s="2669"/>
    </row>
    <row r="13081" spans="2:2" ht="23.25" customHeight="1">
      <c r="B13081" s="2669"/>
    </row>
    <row r="13082" spans="2:2" ht="23.25" customHeight="1">
      <c r="B13082" s="2669"/>
    </row>
    <row r="13083" spans="2:2" ht="23.25" customHeight="1">
      <c r="B13083" s="2669"/>
    </row>
    <row r="13084" spans="2:2" ht="23.25" customHeight="1">
      <c r="B13084" s="2669"/>
    </row>
    <row r="13085" spans="2:2" ht="23.25" customHeight="1">
      <c r="B13085" s="2669"/>
    </row>
    <row r="13086" spans="2:2" ht="23.25" customHeight="1">
      <c r="B13086" s="2669"/>
    </row>
    <row r="13087" spans="2:2" ht="23.25" customHeight="1">
      <c r="B13087" s="2669"/>
    </row>
    <row r="13088" spans="2:2" ht="23.25" customHeight="1">
      <c r="B13088" s="2669"/>
    </row>
    <row r="13089" spans="2:2" ht="23.25" customHeight="1">
      <c r="B13089" s="2669"/>
    </row>
    <row r="13090" spans="2:2" ht="23.25" customHeight="1">
      <c r="B13090" s="2669"/>
    </row>
    <row r="13091" spans="2:2" ht="23.25" customHeight="1">
      <c r="B13091" s="2669"/>
    </row>
    <row r="13092" spans="2:2" ht="23.25" customHeight="1">
      <c r="B13092" s="2669"/>
    </row>
    <row r="13093" spans="2:2" ht="23.25" customHeight="1">
      <c r="B13093" s="2669"/>
    </row>
    <row r="13094" spans="2:2" ht="23.25" customHeight="1">
      <c r="B13094" s="2669"/>
    </row>
    <row r="13095" spans="2:2" ht="23.25" customHeight="1">
      <c r="B13095" s="2669"/>
    </row>
    <row r="13096" spans="2:2" ht="23.25" customHeight="1">
      <c r="B13096" s="2669"/>
    </row>
    <row r="13097" spans="2:2" ht="23.25" customHeight="1">
      <c r="B13097" s="2669"/>
    </row>
    <row r="13098" spans="2:2" ht="23.25" customHeight="1">
      <c r="B13098" s="2669"/>
    </row>
    <row r="13099" spans="2:2" ht="23.25" customHeight="1">
      <c r="B13099" s="2669"/>
    </row>
    <row r="13100" spans="2:2" ht="23.25" customHeight="1">
      <c r="B13100" s="2669"/>
    </row>
    <row r="13101" spans="2:2" ht="23.25" customHeight="1">
      <c r="B13101" s="2669"/>
    </row>
    <row r="13102" spans="2:2" ht="23.25" customHeight="1">
      <c r="B13102" s="2669"/>
    </row>
    <row r="13103" spans="2:2" ht="23.25" customHeight="1">
      <c r="B13103" s="2669"/>
    </row>
    <row r="13104" spans="2:2" ht="23.25" customHeight="1">
      <c r="B13104" s="2669"/>
    </row>
    <row r="13105" spans="2:2" ht="23.25" customHeight="1">
      <c r="B13105" s="2669"/>
    </row>
    <row r="13106" spans="2:2" ht="23.25" customHeight="1">
      <c r="B13106" s="2669"/>
    </row>
    <row r="13107" spans="2:2" ht="23.25" customHeight="1">
      <c r="B13107" s="2669"/>
    </row>
    <row r="13108" spans="2:2" ht="23.25" customHeight="1">
      <c r="B13108" s="2669"/>
    </row>
    <row r="13109" spans="2:2" ht="23.25" customHeight="1">
      <c r="B13109" s="2669"/>
    </row>
    <row r="13110" spans="2:2" ht="23.25" customHeight="1">
      <c r="B13110" s="2669"/>
    </row>
    <row r="13111" spans="2:2" ht="23.25" customHeight="1">
      <c r="B13111" s="2669"/>
    </row>
    <row r="13112" spans="2:2" ht="23.25" customHeight="1">
      <c r="B13112" s="2669"/>
    </row>
    <row r="13113" spans="2:2" ht="23.25" customHeight="1">
      <c r="B13113" s="2669"/>
    </row>
    <row r="13114" spans="2:2" ht="23.25" customHeight="1">
      <c r="B13114" s="2669"/>
    </row>
    <row r="13115" spans="2:2" ht="23.25" customHeight="1">
      <c r="B13115" s="2669"/>
    </row>
    <row r="13116" spans="2:2" ht="23.25" customHeight="1">
      <c r="B13116" s="2669"/>
    </row>
    <row r="13117" spans="2:2" ht="23.25" customHeight="1">
      <c r="B13117" s="2669"/>
    </row>
    <row r="13118" spans="2:2" ht="23.25" customHeight="1">
      <c r="B13118" s="2669"/>
    </row>
    <row r="13119" spans="2:2" ht="23.25" customHeight="1">
      <c r="B13119" s="2669"/>
    </row>
    <row r="13120" spans="2:2" ht="23.25" customHeight="1">
      <c r="B13120" s="2669"/>
    </row>
    <row r="13121" spans="2:2" ht="23.25" customHeight="1">
      <c r="B13121" s="2669"/>
    </row>
    <row r="13122" spans="2:2" ht="23.25" customHeight="1">
      <c r="B13122" s="2669"/>
    </row>
    <row r="13123" spans="2:2" ht="23.25" customHeight="1">
      <c r="B13123" s="2669"/>
    </row>
    <row r="13124" spans="2:2" ht="23.25" customHeight="1">
      <c r="B13124" s="2669"/>
    </row>
    <row r="13125" spans="2:2" ht="23.25" customHeight="1">
      <c r="B13125" s="2669"/>
    </row>
    <row r="13126" spans="2:2" ht="23.25" customHeight="1">
      <c r="B13126" s="2669"/>
    </row>
    <row r="13127" spans="2:2" ht="23.25" customHeight="1">
      <c r="B13127" s="2669"/>
    </row>
    <row r="13128" spans="2:2" ht="23.25" customHeight="1">
      <c r="B13128" s="2669"/>
    </row>
    <row r="13129" spans="2:2" ht="23.25" customHeight="1">
      <c r="B13129" s="2669"/>
    </row>
    <row r="13130" spans="2:2" ht="23.25" customHeight="1">
      <c r="B13130" s="2669"/>
    </row>
    <row r="13131" spans="2:2" ht="23.25" customHeight="1">
      <c r="B13131" s="2669"/>
    </row>
    <row r="13132" spans="2:2" ht="23.25" customHeight="1">
      <c r="B13132" s="2669"/>
    </row>
    <row r="13133" spans="2:2" ht="23.25" customHeight="1">
      <c r="B13133" s="2669"/>
    </row>
    <row r="13134" spans="2:2" ht="23.25" customHeight="1">
      <c r="B13134" s="2669"/>
    </row>
    <row r="13135" spans="2:2" ht="23.25" customHeight="1">
      <c r="B13135" s="2669"/>
    </row>
    <row r="13136" spans="2:2" ht="23.25" customHeight="1">
      <c r="B13136" s="2669"/>
    </row>
    <row r="13137" spans="2:2" ht="23.25" customHeight="1">
      <c r="B13137" s="2669"/>
    </row>
    <row r="13138" spans="2:2" ht="23.25" customHeight="1">
      <c r="B13138" s="2669"/>
    </row>
    <row r="13139" spans="2:2" ht="23.25" customHeight="1">
      <c r="B13139" s="2669"/>
    </row>
    <row r="13140" spans="2:2" ht="23.25" customHeight="1">
      <c r="B13140" s="2669"/>
    </row>
    <row r="13141" spans="2:2" ht="23.25" customHeight="1">
      <c r="B13141" s="2669"/>
    </row>
    <row r="13142" spans="2:2" ht="23.25" customHeight="1">
      <c r="B13142" s="2669"/>
    </row>
    <row r="13143" spans="2:2" ht="23.25" customHeight="1">
      <c r="B13143" s="2669"/>
    </row>
    <row r="13144" spans="2:2" ht="23.25" customHeight="1">
      <c r="B13144" s="2669"/>
    </row>
    <row r="13145" spans="2:2" ht="23.25" customHeight="1">
      <c r="B13145" s="2669"/>
    </row>
    <row r="13146" spans="2:2" ht="23.25" customHeight="1">
      <c r="B13146" s="2669"/>
    </row>
    <row r="13147" spans="2:2" ht="23.25" customHeight="1">
      <c r="B13147" s="2669"/>
    </row>
    <row r="13148" spans="2:2" ht="23.25" customHeight="1">
      <c r="B13148" s="2669"/>
    </row>
    <row r="13149" spans="2:2" ht="23.25" customHeight="1">
      <c r="B13149" s="2669"/>
    </row>
    <row r="13150" spans="2:2" ht="23.25" customHeight="1">
      <c r="B13150" s="2669"/>
    </row>
    <row r="13151" spans="2:2" ht="23.25" customHeight="1">
      <c r="B13151" s="2669"/>
    </row>
    <row r="13152" spans="2:2" ht="23.25" customHeight="1">
      <c r="B13152" s="2669"/>
    </row>
    <row r="13153" spans="2:2" ht="23.25" customHeight="1">
      <c r="B13153" s="2669"/>
    </row>
    <row r="13154" spans="2:2" ht="23.25" customHeight="1">
      <c r="B13154" s="2669"/>
    </row>
    <row r="13155" spans="2:2" ht="23.25" customHeight="1">
      <c r="B13155" s="2669"/>
    </row>
    <row r="13156" spans="2:2" ht="23.25" customHeight="1">
      <c r="B13156" s="2669"/>
    </row>
    <row r="13157" spans="2:2" ht="23.25" customHeight="1">
      <c r="B13157" s="2669"/>
    </row>
    <row r="13158" spans="2:2" ht="23.25" customHeight="1">
      <c r="B13158" s="2669"/>
    </row>
    <row r="13159" spans="2:2" ht="23.25" customHeight="1">
      <c r="B13159" s="2669"/>
    </row>
    <row r="13160" spans="2:2" ht="23.25" customHeight="1">
      <c r="B13160" s="2669"/>
    </row>
    <row r="13161" spans="2:2" ht="23.25" customHeight="1">
      <c r="B13161" s="2669"/>
    </row>
    <row r="13162" spans="2:2" ht="23.25" customHeight="1">
      <c r="B13162" s="2669"/>
    </row>
    <row r="13163" spans="2:2" ht="23.25" customHeight="1">
      <c r="B13163" s="2669"/>
    </row>
    <row r="13164" spans="2:2" ht="23.25" customHeight="1">
      <c r="B13164" s="2669"/>
    </row>
    <row r="13165" spans="2:2" ht="23.25" customHeight="1">
      <c r="B13165" s="2669"/>
    </row>
    <row r="13166" spans="2:2" ht="23.25" customHeight="1">
      <c r="B13166" s="2669"/>
    </row>
    <row r="13167" spans="2:2" ht="23.25" customHeight="1">
      <c r="B13167" s="2669"/>
    </row>
    <row r="13168" spans="2:2" ht="23.25" customHeight="1">
      <c r="B13168" s="2669"/>
    </row>
    <row r="13169" spans="2:2" ht="23.25" customHeight="1">
      <c r="B13169" s="2669"/>
    </row>
    <row r="13170" spans="2:2" ht="23.25" customHeight="1">
      <c r="B13170" s="2669"/>
    </row>
    <row r="13171" spans="2:2" ht="23.25" customHeight="1">
      <c r="B13171" s="2669"/>
    </row>
    <row r="13172" spans="2:2" ht="23.25" customHeight="1">
      <c r="B13172" s="2669"/>
    </row>
    <row r="13173" spans="2:2" ht="23.25" customHeight="1">
      <c r="B13173" s="2669"/>
    </row>
    <row r="13174" spans="2:2" ht="23.25" customHeight="1">
      <c r="B13174" s="2669"/>
    </row>
    <row r="13175" spans="2:2" ht="23.25" customHeight="1">
      <c r="B13175" s="2669"/>
    </row>
    <row r="13176" spans="2:2" ht="23.25" customHeight="1">
      <c r="B13176" s="2669"/>
    </row>
    <row r="13177" spans="2:2" ht="23.25" customHeight="1">
      <c r="B13177" s="2669"/>
    </row>
    <row r="13178" spans="2:2" ht="23.25" customHeight="1">
      <c r="B13178" s="2669"/>
    </row>
    <row r="13179" spans="2:2" ht="23.25" customHeight="1">
      <c r="B13179" s="2669"/>
    </row>
    <row r="13180" spans="2:2" ht="23.25" customHeight="1">
      <c r="B13180" s="2669"/>
    </row>
    <row r="13181" spans="2:2" ht="23.25" customHeight="1">
      <c r="B13181" s="2669"/>
    </row>
    <row r="13182" spans="2:2" ht="23.25" customHeight="1">
      <c r="B13182" s="2669"/>
    </row>
    <row r="13183" spans="2:2" ht="23.25" customHeight="1">
      <c r="B13183" s="2669"/>
    </row>
    <row r="13184" spans="2:2" ht="23.25" customHeight="1">
      <c r="B13184" s="2669"/>
    </row>
    <row r="13185" spans="2:2" ht="23.25" customHeight="1">
      <c r="B13185" s="2669"/>
    </row>
    <row r="13186" spans="2:2" ht="23.25" customHeight="1">
      <c r="B13186" s="2669"/>
    </row>
    <row r="13187" spans="2:2" ht="23.25" customHeight="1">
      <c r="B13187" s="2669"/>
    </row>
    <row r="13188" spans="2:2" ht="23.25" customHeight="1">
      <c r="B13188" s="2669"/>
    </row>
    <row r="13189" spans="2:2" ht="23.25" customHeight="1">
      <c r="B13189" s="2669"/>
    </row>
    <row r="13190" spans="2:2" ht="23.25" customHeight="1">
      <c r="B13190" s="2669"/>
    </row>
    <row r="13191" spans="2:2" ht="23.25" customHeight="1">
      <c r="B13191" s="2669"/>
    </row>
    <row r="13192" spans="2:2" ht="23.25" customHeight="1">
      <c r="B13192" s="2669"/>
    </row>
    <row r="13193" spans="2:2" ht="23.25" customHeight="1">
      <c r="B13193" s="2669"/>
    </row>
    <row r="13194" spans="2:2" ht="23.25" customHeight="1">
      <c r="B13194" s="2669"/>
    </row>
    <row r="13195" spans="2:2" ht="23.25" customHeight="1">
      <c r="B13195" s="2669"/>
    </row>
    <row r="13196" spans="2:2" ht="23.25" customHeight="1">
      <c r="B13196" s="2669"/>
    </row>
    <row r="13197" spans="2:2" ht="23.25" customHeight="1">
      <c r="B13197" s="2669"/>
    </row>
    <row r="13198" spans="2:2" ht="23.25" customHeight="1">
      <c r="B13198" s="2669"/>
    </row>
    <row r="13199" spans="2:2" ht="23.25" customHeight="1">
      <c r="B13199" s="2669"/>
    </row>
    <row r="13200" spans="2:2" ht="23.25" customHeight="1">
      <c r="B13200" s="2669"/>
    </row>
    <row r="13201" spans="2:2" ht="23.25" customHeight="1">
      <c r="B13201" s="2669"/>
    </row>
    <row r="13202" spans="2:2" ht="23.25" customHeight="1">
      <c r="B13202" s="2669"/>
    </row>
    <row r="13203" spans="2:2" ht="23.25" customHeight="1">
      <c r="B13203" s="2669"/>
    </row>
    <row r="13204" spans="2:2" ht="23.25" customHeight="1">
      <c r="B13204" s="2669"/>
    </row>
    <row r="13205" spans="2:2" ht="23.25" customHeight="1">
      <c r="B13205" s="2669"/>
    </row>
    <row r="13206" spans="2:2" ht="23.25" customHeight="1">
      <c r="B13206" s="2669"/>
    </row>
    <row r="13207" spans="2:2" ht="23.25" customHeight="1">
      <c r="B13207" s="2669"/>
    </row>
    <row r="13208" spans="2:2" ht="23.25" customHeight="1">
      <c r="B13208" s="2669"/>
    </row>
    <row r="13209" spans="2:2" ht="23.25" customHeight="1">
      <c r="B13209" s="2669"/>
    </row>
    <row r="13210" spans="2:2" ht="23.25" customHeight="1">
      <c r="B13210" s="2669"/>
    </row>
    <row r="13211" spans="2:2" ht="23.25" customHeight="1">
      <c r="B13211" s="2669"/>
    </row>
    <row r="13212" spans="2:2" ht="23.25" customHeight="1">
      <c r="B13212" s="2669"/>
    </row>
    <row r="13213" spans="2:2" ht="23.25" customHeight="1">
      <c r="B13213" s="2669"/>
    </row>
    <row r="13214" spans="2:2" ht="23.25" customHeight="1">
      <c r="B13214" s="2669"/>
    </row>
    <row r="13215" spans="2:2" ht="23.25" customHeight="1">
      <c r="B13215" s="2669"/>
    </row>
    <row r="13216" spans="2:2" ht="23.25" customHeight="1">
      <c r="B13216" s="2669"/>
    </row>
    <row r="13217" spans="2:2" ht="23.25" customHeight="1">
      <c r="B13217" s="2669"/>
    </row>
    <row r="13218" spans="2:2" ht="23.25" customHeight="1">
      <c r="B13218" s="2669"/>
    </row>
    <row r="13219" spans="2:2" ht="23.25" customHeight="1">
      <c r="B13219" s="2669"/>
    </row>
    <row r="13220" spans="2:2" ht="23.25" customHeight="1">
      <c r="B13220" s="2669"/>
    </row>
    <row r="13221" spans="2:2" ht="23.25" customHeight="1">
      <c r="B13221" s="2669"/>
    </row>
    <row r="13222" spans="2:2" ht="23.25" customHeight="1">
      <c r="B13222" s="2669"/>
    </row>
    <row r="13223" spans="2:2" ht="23.25" customHeight="1">
      <c r="B13223" s="2669"/>
    </row>
    <row r="13224" spans="2:2" ht="23.25" customHeight="1">
      <c r="B13224" s="2669"/>
    </row>
    <row r="13225" spans="2:2" ht="23.25" customHeight="1">
      <c r="B13225" s="2669"/>
    </row>
    <row r="13226" spans="2:2" ht="23.25" customHeight="1">
      <c r="B13226" s="2669"/>
    </row>
    <row r="13227" spans="2:2" ht="23.25" customHeight="1">
      <c r="B13227" s="2669"/>
    </row>
    <row r="13228" spans="2:2" ht="23.25" customHeight="1">
      <c r="B13228" s="2669"/>
    </row>
    <row r="13229" spans="2:2" ht="23.25" customHeight="1">
      <c r="B13229" s="2669"/>
    </row>
    <row r="13230" spans="2:2" ht="23.25" customHeight="1">
      <c r="B13230" s="2669"/>
    </row>
    <row r="13231" spans="2:2" ht="23.25" customHeight="1">
      <c r="B13231" s="2669"/>
    </row>
    <row r="13232" spans="2:2" ht="23.25" customHeight="1">
      <c r="B13232" s="2669"/>
    </row>
    <row r="13233" spans="2:2" ht="23.25" customHeight="1">
      <c r="B13233" s="2669"/>
    </row>
    <row r="13234" spans="2:2" ht="23.25" customHeight="1">
      <c r="B13234" s="2669"/>
    </row>
    <row r="13235" spans="2:2" ht="23.25" customHeight="1">
      <c r="B13235" s="2669"/>
    </row>
    <row r="13236" spans="2:2" ht="23.25" customHeight="1">
      <c r="B13236" s="2669"/>
    </row>
    <row r="13237" spans="2:2" ht="23.25" customHeight="1">
      <c r="B13237" s="2669"/>
    </row>
    <row r="13238" spans="2:2" ht="23.25" customHeight="1">
      <c r="B13238" s="2669"/>
    </row>
    <row r="13239" spans="2:2" ht="23.25" customHeight="1">
      <c r="B13239" s="2669"/>
    </row>
    <row r="13240" spans="2:2" ht="23.25" customHeight="1">
      <c r="B13240" s="2669"/>
    </row>
    <row r="13241" spans="2:2" ht="23.25" customHeight="1">
      <c r="B13241" s="2669"/>
    </row>
    <row r="13242" spans="2:2" ht="23.25" customHeight="1">
      <c r="B13242" s="2669"/>
    </row>
    <row r="13243" spans="2:2" ht="23.25" customHeight="1">
      <c r="B13243" s="2669"/>
    </row>
    <row r="13244" spans="2:2" ht="23.25" customHeight="1">
      <c r="B13244" s="2669"/>
    </row>
    <row r="13245" spans="2:2" ht="23.25" customHeight="1">
      <c r="B13245" s="2669"/>
    </row>
    <row r="13246" spans="2:2" ht="23.25" customHeight="1">
      <c r="B13246" s="2669"/>
    </row>
    <row r="13247" spans="2:2" ht="23.25" customHeight="1">
      <c r="B13247" s="2669"/>
    </row>
    <row r="13248" spans="2:2" ht="23.25" customHeight="1">
      <c r="B13248" s="2669"/>
    </row>
    <row r="13249" spans="2:2" ht="23.25" customHeight="1">
      <c r="B13249" s="2669"/>
    </row>
    <row r="13250" spans="2:2" ht="23.25" customHeight="1">
      <c r="B13250" s="2669"/>
    </row>
    <row r="13251" spans="2:2" ht="23.25" customHeight="1">
      <c r="B13251" s="2669"/>
    </row>
    <row r="13252" spans="2:2" ht="23.25" customHeight="1">
      <c r="B13252" s="2669"/>
    </row>
    <row r="13253" spans="2:2" ht="23.25" customHeight="1">
      <c r="B13253" s="2669"/>
    </row>
    <row r="13254" spans="2:2" ht="23.25" customHeight="1">
      <c r="B13254" s="2669"/>
    </row>
    <row r="13255" spans="2:2" ht="23.25" customHeight="1">
      <c r="B13255" s="2669"/>
    </row>
    <row r="13256" spans="2:2" ht="23.25" customHeight="1">
      <c r="B13256" s="2669"/>
    </row>
    <row r="13257" spans="2:2" ht="23.25" customHeight="1">
      <c r="B13257" s="2669"/>
    </row>
    <row r="13258" spans="2:2" ht="23.25" customHeight="1">
      <c r="B13258" s="2669"/>
    </row>
    <row r="13259" spans="2:2" ht="23.25" customHeight="1">
      <c r="B13259" s="2669"/>
    </row>
    <row r="13260" spans="2:2" ht="23.25" customHeight="1">
      <c r="B13260" s="2669"/>
    </row>
    <row r="13261" spans="2:2" ht="23.25" customHeight="1">
      <c r="B13261" s="2669"/>
    </row>
    <row r="13262" spans="2:2" ht="23.25" customHeight="1">
      <c r="B13262" s="2669"/>
    </row>
    <row r="13263" spans="2:2" ht="23.25" customHeight="1">
      <c r="B13263" s="2669"/>
    </row>
    <row r="13264" spans="2:2" ht="23.25" customHeight="1">
      <c r="B13264" s="2669"/>
    </row>
    <row r="13265" spans="2:2" ht="23.25" customHeight="1">
      <c r="B13265" s="2669"/>
    </row>
    <row r="13266" spans="2:2" ht="23.25" customHeight="1">
      <c r="B13266" s="2669"/>
    </row>
    <row r="13267" spans="2:2" ht="23.25" customHeight="1">
      <c r="B13267" s="2669"/>
    </row>
    <row r="13268" spans="2:2" ht="23.25" customHeight="1">
      <c r="B13268" s="2669"/>
    </row>
    <row r="13269" spans="2:2" ht="23.25" customHeight="1">
      <c r="B13269" s="2669"/>
    </row>
    <row r="13270" spans="2:2" ht="23.25" customHeight="1">
      <c r="B13270" s="2669"/>
    </row>
    <row r="13271" spans="2:2" ht="23.25" customHeight="1">
      <c r="B13271" s="2669"/>
    </row>
    <row r="13272" spans="2:2" ht="23.25" customHeight="1">
      <c r="B13272" s="2669"/>
    </row>
    <row r="13273" spans="2:2" ht="23.25" customHeight="1">
      <c r="B13273" s="2669"/>
    </row>
    <row r="13274" spans="2:2" ht="23.25" customHeight="1">
      <c r="B13274" s="2669"/>
    </row>
    <row r="13275" spans="2:2" ht="23.25" customHeight="1">
      <c r="B13275" s="2669"/>
    </row>
    <row r="13276" spans="2:2" ht="23.25" customHeight="1">
      <c r="B13276" s="2669"/>
    </row>
    <row r="13277" spans="2:2" ht="23.25" customHeight="1">
      <c r="B13277" s="2669"/>
    </row>
    <row r="13278" spans="2:2" ht="23.25" customHeight="1">
      <c r="B13278" s="2669"/>
    </row>
    <row r="13279" spans="2:2" ht="23.25" customHeight="1">
      <c r="B13279" s="2669"/>
    </row>
    <row r="13280" spans="2:2" ht="23.25" customHeight="1">
      <c r="B13280" s="2669"/>
    </row>
    <row r="13281" spans="2:2" ht="23.25" customHeight="1">
      <c r="B13281" s="2669"/>
    </row>
    <row r="13282" spans="2:2" ht="23.25" customHeight="1">
      <c r="B13282" s="2669"/>
    </row>
    <row r="13283" spans="2:2" ht="23.25" customHeight="1">
      <c r="B13283" s="2669"/>
    </row>
    <row r="13284" spans="2:2" ht="23.25" customHeight="1">
      <c r="B13284" s="2669"/>
    </row>
    <row r="13285" spans="2:2" ht="23.25" customHeight="1">
      <c r="B13285" s="2669"/>
    </row>
    <row r="13286" spans="2:2" ht="23.25" customHeight="1">
      <c r="B13286" s="2669"/>
    </row>
    <row r="13287" spans="2:2" ht="23.25" customHeight="1">
      <c r="B13287" s="2669"/>
    </row>
    <row r="13288" spans="2:2" ht="23.25" customHeight="1">
      <c r="B13288" s="2669"/>
    </row>
    <row r="13289" spans="2:2" ht="23.25" customHeight="1">
      <c r="B13289" s="2669"/>
    </row>
    <row r="13290" spans="2:2" ht="23.25" customHeight="1">
      <c r="B13290" s="2669"/>
    </row>
    <row r="13291" spans="2:2" ht="23.25" customHeight="1">
      <c r="B13291" s="2669"/>
    </row>
    <row r="13292" spans="2:2" ht="23.25" customHeight="1">
      <c r="B13292" s="2669"/>
    </row>
    <row r="13293" spans="2:2" ht="23.25" customHeight="1">
      <c r="B13293" s="2669"/>
    </row>
    <row r="13294" spans="2:2" ht="23.25" customHeight="1">
      <c r="B13294" s="2669"/>
    </row>
    <row r="13295" spans="2:2" ht="23.25" customHeight="1">
      <c r="B13295" s="2669"/>
    </row>
    <row r="13296" spans="2:2" ht="23.25" customHeight="1">
      <c r="B13296" s="2669"/>
    </row>
    <row r="13297" spans="2:2" ht="23.25" customHeight="1">
      <c r="B13297" s="2669"/>
    </row>
    <row r="13298" spans="2:2" ht="23.25" customHeight="1">
      <c r="B13298" s="2669"/>
    </row>
    <row r="13299" spans="2:2" ht="23.25" customHeight="1">
      <c r="B13299" s="2669"/>
    </row>
    <row r="13300" spans="2:2" ht="23.25" customHeight="1">
      <c r="B13300" s="2669"/>
    </row>
    <row r="13301" spans="2:2" ht="23.25" customHeight="1">
      <c r="B13301" s="2669"/>
    </row>
    <row r="13302" spans="2:2" ht="23.25" customHeight="1">
      <c r="B13302" s="2669"/>
    </row>
    <row r="13303" spans="2:2" ht="23.25" customHeight="1">
      <c r="B13303" s="2669"/>
    </row>
    <row r="13304" spans="2:2" ht="23.25" customHeight="1">
      <c r="B13304" s="2669"/>
    </row>
    <row r="13305" spans="2:2" ht="23.25" customHeight="1">
      <c r="B13305" s="2669"/>
    </row>
    <row r="13306" spans="2:2" ht="23.25" customHeight="1">
      <c r="B13306" s="2669"/>
    </row>
    <row r="13307" spans="2:2" ht="23.25" customHeight="1">
      <c r="B13307" s="2669"/>
    </row>
    <row r="13308" spans="2:2" ht="23.25" customHeight="1">
      <c r="B13308" s="2669"/>
    </row>
    <row r="13309" spans="2:2" ht="23.25" customHeight="1">
      <c r="B13309" s="2669"/>
    </row>
    <row r="13310" spans="2:2" ht="23.25" customHeight="1">
      <c r="B13310" s="2669"/>
    </row>
    <row r="13311" spans="2:2" ht="23.25" customHeight="1">
      <c r="B13311" s="2669"/>
    </row>
    <row r="13312" spans="2:2" ht="23.25" customHeight="1">
      <c r="B13312" s="2669"/>
    </row>
    <row r="13313" spans="2:2" ht="23.25" customHeight="1">
      <c r="B13313" s="2669"/>
    </row>
    <row r="13314" spans="2:2" ht="23.25" customHeight="1">
      <c r="B13314" s="2669"/>
    </row>
    <row r="13315" spans="2:2" ht="23.25" customHeight="1">
      <c r="B13315" s="2669"/>
    </row>
    <row r="13316" spans="2:2" ht="23.25" customHeight="1">
      <c r="B13316" s="2669"/>
    </row>
    <row r="13317" spans="2:2" ht="23.25" customHeight="1">
      <c r="B13317" s="2669"/>
    </row>
    <row r="13318" spans="2:2" ht="23.25" customHeight="1">
      <c r="B13318" s="2669"/>
    </row>
    <row r="13319" spans="2:2" ht="23.25" customHeight="1">
      <c r="B13319" s="2669"/>
    </row>
    <row r="13320" spans="2:2" ht="23.25" customHeight="1">
      <c r="B13320" s="2669"/>
    </row>
    <row r="13321" spans="2:2" ht="23.25" customHeight="1">
      <c r="B13321" s="2669"/>
    </row>
    <row r="13322" spans="2:2" ht="23.25" customHeight="1">
      <c r="B13322" s="2669"/>
    </row>
    <row r="13323" spans="2:2" ht="23.25" customHeight="1">
      <c r="B13323" s="2669"/>
    </row>
    <row r="13324" spans="2:2" ht="23.25" customHeight="1">
      <c r="B13324" s="2669"/>
    </row>
    <row r="13325" spans="2:2" ht="23.25" customHeight="1">
      <c r="B13325" s="2669"/>
    </row>
    <row r="13326" spans="2:2" ht="23.25" customHeight="1">
      <c r="B13326" s="2669"/>
    </row>
    <row r="13327" spans="2:2" ht="23.25" customHeight="1">
      <c r="B13327" s="2669"/>
    </row>
    <row r="13328" spans="2:2" ht="23.25" customHeight="1">
      <c r="B13328" s="2669"/>
    </row>
    <row r="13329" spans="2:2" ht="23.25" customHeight="1">
      <c r="B13329" s="2669"/>
    </row>
    <row r="13330" spans="2:2" ht="23.25" customHeight="1">
      <c r="B13330" s="2669"/>
    </row>
    <row r="13331" spans="2:2" ht="23.25" customHeight="1">
      <c r="B13331" s="2669"/>
    </row>
    <row r="13332" spans="2:2" ht="23.25" customHeight="1">
      <c r="B13332" s="2669"/>
    </row>
    <row r="13333" spans="2:2" ht="23.25" customHeight="1">
      <c r="B13333" s="2669"/>
    </row>
    <row r="13334" spans="2:2" ht="23.25" customHeight="1">
      <c r="B13334" s="2669"/>
    </row>
    <row r="13335" spans="2:2" ht="23.25" customHeight="1">
      <c r="B13335" s="2669"/>
    </row>
    <row r="13336" spans="2:2" ht="23.25" customHeight="1">
      <c r="B13336" s="2669"/>
    </row>
    <row r="13337" spans="2:2" ht="23.25" customHeight="1">
      <c r="B13337" s="2669"/>
    </row>
    <row r="13338" spans="2:2" ht="23.25" customHeight="1">
      <c r="B13338" s="2669"/>
    </row>
    <row r="13339" spans="2:2" ht="23.25" customHeight="1">
      <c r="B13339" s="2669"/>
    </row>
    <row r="13340" spans="2:2" ht="23.25" customHeight="1">
      <c r="B13340" s="2669"/>
    </row>
    <row r="13341" spans="2:2" ht="23.25" customHeight="1">
      <c r="B13341" s="2669"/>
    </row>
    <row r="13342" spans="2:2" ht="23.25" customHeight="1">
      <c r="B13342" s="2669"/>
    </row>
    <row r="13343" spans="2:2" ht="23.25" customHeight="1">
      <c r="B13343" s="2669"/>
    </row>
    <row r="13344" spans="2:2" ht="23.25" customHeight="1">
      <c r="B13344" s="2669"/>
    </row>
    <row r="13345" spans="2:2" ht="23.25" customHeight="1">
      <c r="B13345" s="2669"/>
    </row>
    <row r="13346" spans="2:2" ht="23.25" customHeight="1">
      <c r="B13346" s="2669"/>
    </row>
    <row r="13347" spans="2:2" ht="23.25" customHeight="1">
      <c r="B13347" s="2669"/>
    </row>
    <row r="13348" spans="2:2" ht="23.25" customHeight="1">
      <c r="B13348" s="2669"/>
    </row>
    <row r="13349" spans="2:2" ht="23.25" customHeight="1">
      <c r="B13349" s="2669"/>
    </row>
    <row r="13350" spans="2:2" ht="23.25" customHeight="1">
      <c r="B13350" s="2669"/>
    </row>
    <row r="13351" spans="2:2" ht="23.25" customHeight="1">
      <c r="B13351" s="2669"/>
    </row>
    <row r="13352" spans="2:2" ht="23.25" customHeight="1">
      <c r="B13352" s="2669"/>
    </row>
    <row r="13353" spans="2:2" ht="23.25" customHeight="1">
      <c r="B13353" s="2669"/>
    </row>
    <row r="13354" spans="2:2" ht="23.25" customHeight="1">
      <c r="B13354" s="2669"/>
    </row>
    <row r="13355" spans="2:2" ht="23.25" customHeight="1">
      <c r="B13355" s="2669"/>
    </row>
    <row r="13356" spans="2:2" ht="23.25" customHeight="1">
      <c r="B13356" s="2669"/>
    </row>
    <row r="13357" spans="2:2" ht="23.25" customHeight="1">
      <c r="B13357" s="2669"/>
    </row>
    <row r="13358" spans="2:2" ht="23.25" customHeight="1">
      <c r="B13358" s="2669"/>
    </row>
    <row r="13359" spans="2:2" ht="23.25" customHeight="1">
      <c r="B13359" s="2669"/>
    </row>
    <row r="13360" spans="2:2" ht="23.25" customHeight="1">
      <c r="B13360" s="2669"/>
    </row>
    <row r="13361" spans="2:2" ht="23.25" customHeight="1">
      <c r="B13361" s="2669"/>
    </row>
    <row r="13362" spans="2:2" ht="23.25" customHeight="1">
      <c r="B13362" s="2669"/>
    </row>
    <row r="13363" spans="2:2" ht="23.25" customHeight="1">
      <c r="B13363" s="2669"/>
    </row>
    <row r="13364" spans="2:2" ht="23.25" customHeight="1">
      <c r="B13364" s="2669"/>
    </row>
    <row r="13365" spans="2:2" ht="23.25" customHeight="1">
      <c r="B13365" s="2669"/>
    </row>
    <row r="13366" spans="2:2" ht="23.25" customHeight="1">
      <c r="B13366" s="2669"/>
    </row>
    <row r="13367" spans="2:2" ht="23.25" customHeight="1">
      <c r="B13367" s="2669"/>
    </row>
    <row r="13368" spans="2:2" ht="23.25" customHeight="1">
      <c r="B13368" s="2669"/>
    </row>
    <row r="13369" spans="2:2" ht="23.25" customHeight="1">
      <c r="B13369" s="2669"/>
    </row>
    <row r="13370" spans="2:2" ht="23.25" customHeight="1">
      <c r="B13370" s="2669"/>
    </row>
    <row r="13371" spans="2:2" ht="23.25" customHeight="1">
      <c r="B13371" s="2669"/>
    </row>
    <row r="13372" spans="2:2" ht="23.25" customHeight="1">
      <c r="B13372" s="2669"/>
    </row>
    <row r="13373" spans="2:2" ht="23.25" customHeight="1">
      <c r="B13373" s="2669"/>
    </row>
    <row r="13374" spans="2:2" ht="23.25" customHeight="1">
      <c r="B13374" s="2669"/>
    </row>
    <row r="13375" spans="2:2" ht="23.25" customHeight="1">
      <c r="B13375" s="2669"/>
    </row>
    <row r="13376" spans="2:2" ht="23.25" customHeight="1">
      <c r="B13376" s="2669"/>
    </row>
    <row r="13377" spans="2:2" ht="23.25" customHeight="1">
      <c r="B13377" s="2669"/>
    </row>
    <row r="13378" spans="2:2" ht="23.25" customHeight="1">
      <c r="B13378" s="2669"/>
    </row>
    <row r="13379" spans="2:2" ht="23.25" customHeight="1">
      <c r="B13379" s="2669"/>
    </row>
    <row r="13380" spans="2:2" ht="23.25" customHeight="1">
      <c r="B13380" s="2669"/>
    </row>
    <row r="13381" spans="2:2" ht="23.25" customHeight="1">
      <c r="B13381" s="2669"/>
    </row>
    <row r="13382" spans="2:2" ht="23.25" customHeight="1">
      <c r="B13382" s="2669"/>
    </row>
    <row r="13383" spans="2:2" ht="23.25" customHeight="1">
      <c r="B13383" s="2669"/>
    </row>
    <row r="13384" spans="2:2" ht="23.25" customHeight="1">
      <c r="B13384" s="2669"/>
    </row>
    <row r="13385" spans="2:2" ht="23.25" customHeight="1">
      <c r="B13385" s="2669"/>
    </row>
    <row r="13386" spans="2:2" ht="23.25" customHeight="1">
      <c r="B13386" s="2669"/>
    </row>
    <row r="13387" spans="2:2" ht="23.25" customHeight="1">
      <c r="B13387" s="2669"/>
    </row>
    <row r="13388" spans="2:2" ht="23.25" customHeight="1">
      <c r="B13388" s="2669"/>
    </row>
    <row r="13389" spans="2:2" ht="23.25" customHeight="1">
      <c r="B13389" s="2669"/>
    </row>
    <row r="13390" spans="2:2" ht="23.25" customHeight="1">
      <c r="B13390" s="2669"/>
    </row>
    <row r="13391" spans="2:2" ht="23.25" customHeight="1">
      <c r="B13391" s="2669"/>
    </row>
    <row r="13392" spans="2:2" ht="23.25" customHeight="1">
      <c r="B13392" s="2669"/>
    </row>
    <row r="13393" spans="2:2" ht="23.25" customHeight="1">
      <c r="B13393" s="2669"/>
    </row>
    <row r="13394" spans="2:2" ht="23.25" customHeight="1">
      <c r="B13394" s="2669"/>
    </row>
    <row r="13395" spans="2:2" ht="23.25" customHeight="1">
      <c r="B13395" s="2669"/>
    </row>
    <row r="13396" spans="2:2" ht="23.25" customHeight="1">
      <c r="B13396" s="2669"/>
    </row>
    <row r="13397" spans="2:2" ht="23.25" customHeight="1">
      <c r="B13397" s="2669"/>
    </row>
    <row r="13398" spans="2:2" ht="23.25" customHeight="1">
      <c r="B13398" s="2669"/>
    </row>
    <row r="13399" spans="2:2" ht="23.25" customHeight="1">
      <c r="B13399" s="2669"/>
    </row>
    <row r="13400" spans="2:2" ht="23.25" customHeight="1">
      <c r="B13400" s="2669"/>
    </row>
    <row r="13401" spans="2:2" ht="23.25" customHeight="1">
      <c r="B13401" s="2669"/>
    </row>
    <row r="13402" spans="2:2" ht="23.25" customHeight="1">
      <c r="B13402" s="2669"/>
    </row>
    <row r="13403" spans="2:2" ht="23.25" customHeight="1">
      <c r="B13403" s="2669"/>
    </row>
    <row r="13404" spans="2:2" ht="23.25" customHeight="1">
      <c r="B13404" s="2669"/>
    </row>
    <row r="13405" spans="2:2" ht="23.25" customHeight="1">
      <c r="B13405" s="2669"/>
    </row>
    <row r="13406" spans="2:2" ht="23.25" customHeight="1">
      <c r="B13406" s="2669"/>
    </row>
    <row r="13407" spans="2:2" ht="23.25" customHeight="1">
      <c r="B13407" s="2669"/>
    </row>
    <row r="13408" spans="2:2" ht="23.25" customHeight="1">
      <c r="B13408" s="2669"/>
    </row>
    <row r="13409" spans="2:2" ht="23.25" customHeight="1">
      <c r="B13409" s="2669"/>
    </row>
    <row r="13410" spans="2:2" ht="23.25" customHeight="1">
      <c r="B13410" s="2669"/>
    </row>
    <row r="13411" spans="2:2" ht="23.25" customHeight="1">
      <c r="B13411" s="2669"/>
    </row>
    <row r="13412" spans="2:2" ht="23.25" customHeight="1">
      <c r="B13412" s="2669"/>
    </row>
    <row r="13413" spans="2:2" ht="23.25" customHeight="1">
      <c r="B13413" s="2669"/>
    </row>
    <row r="13414" spans="2:2" ht="23.25" customHeight="1">
      <c r="B13414" s="2669"/>
    </row>
    <row r="13415" spans="2:2" ht="23.25" customHeight="1">
      <c r="B13415" s="2669"/>
    </row>
    <row r="13416" spans="2:2" ht="23.25" customHeight="1">
      <c r="B13416" s="2669"/>
    </row>
    <row r="13417" spans="2:2" ht="23.25" customHeight="1">
      <c r="B13417" s="2669"/>
    </row>
    <row r="13418" spans="2:2" ht="23.25" customHeight="1">
      <c r="B13418" s="2669"/>
    </row>
    <row r="13419" spans="2:2" ht="23.25" customHeight="1">
      <c r="B13419" s="2669"/>
    </row>
    <row r="13420" spans="2:2" ht="23.25" customHeight="1">
      <c r="B13420" s="2669"/>
    </row>
    <row r="13421" spans="2:2" ht="23.25" customHeight="1">
      <c r="B13421" s="2669"/>
    </row>
    <row r="13422" spans="2:2" ht="23.25" customHeight="1">
      <c r="B13422" s="2669"/>
    </row>
    <row r="13423" spans="2:2" ht="23.25" customHeight="1">
      <c r="B13423" s="2669"/>
    </row>
    <row r="13424" spans="2:2" ht="23.25" customHeight="1">
      <c r="B13424" s="2669"/>
    </row>
    <row r="13425" spans="2:2" ht="23.25" customHeight="1">
      <c r="B13425" s="2669"/>
    </row>
    <row r="13426" spans="2:2" ht="23.25" customHeight="1">
      <c r="B13426" s="2669"/>
    </row>
    <row r="13427" spans="2:2" ht="23.25" customHeight="1">
      <c r="B13427" s="2669"/>
    </row>
    <row r="13428" spans="2:2" ht="23.25" customHeight="1">
      <c r="B13428" s="2669"/>
    </row>
    <row r="13429" spans="2:2" ht="23.25" customHeight="1">
      <c r="B13429" s="2669"/>
    </row>
    <row r="13430" spans="2:2" ht="23.25" customHeight="1">
      <c r="B13430" s="2669"/>
    </row>
    <row r="13431" spans="2:2" ht="23.25" customHeight="1">
      <c r="B13431" s="2669"/>
    </row>
    <row r="13432" spans="2:2" ht="23.25" customHeight="1">
      <c r="B13432" s="2669"/>
    </row>
    <row r="13433" spans="2:2" ht="23.25" customHeight="1">
      <c r="B13433" s="2669"/>
    </row>
    <row r="13434" spans="2:2" ht="23.25" customHeight="1">
      <c r="B13434" s="2669"/>
    </row>
    <row r="13435" spans="2:2" ht="23.25" customHeight="1">
      <c r="B13435" s="2669"/>
    </row>
    <row r="13436" spans="2:2" ht="23.25" customHeight="1">
      <c r="B13436" s="2669"/>
    </row>
    <row r="13437" spans="2:2" ht="23.25" customHeight="1">
      <c r="B13437" s="2669"/>
    </row>
    <row r="13438" spans="2:2" ht="23.25" customHeight="1">
      <c r="B13438" s="2669"/>
    </row>
    <row r="13439" spans="2:2" ht="23.25" customHeight="1">
      <c r="B13439" s="2669"/>
    </row>
    <row r="13440" spans="2:2" ht="23.25" customHeight="1">
      <c r="B13440" s="2669"/>
    </row>
    <row r="13441" spans="2:2" ht="23.25" customHeight="1">
      <c r="B13441" s="2669"/>
    </row>
    <row r="13442" spans="2:2" ht="23.25" customHeight="1">
      <c r="B13442" s="2669"/>
    </row>
    <row r="13443" spans="2:2" ht="23.25" customHeight="1">
      <c r="B13443" s="2669"/>
    </row>
    <row r="13444" spans="2:2" ht="23.25" customHeight="1">
      <c r="B13444" s="2669"/>
    </row>
    <row r="13445" spans="2:2" ht="23.25" customHeight="1">
      <c r="B13445" s="2669"/>
    </row>
    <row r="13446" spans="2:2" ht="23.25" customHeight="1">
      <c r="B13446" s="2669"/>
    </row>
    <row r="13447" spans="2:2" ht="23.25" customHeight="1">
      <c r="B13447" s="2669"/>
    </row>
    <row r="13448" spans="2:2" ht="23.25" customHeight="1">
      <c r="B13448" s="2669"/>
    </row>
    <row r="13449" spans="2:2" ht="23.25" customHeight="1">
      <c r="B13449" s="2669"/>
    </row>
    <row r="13450" spans="2:2" ht="23.25" customHeight="1">
      <c r="B13450" s="2669"/>
    </row>
    <row r="13451" spans="2:2" ht="23.25" customHeight="1">
      <c r="B13451" s="2669"/>
    </row>
    <row r="13452" spans="2:2" ht="23.25" customHeight="1">
      <c r="B13452" s="2669"/>
    </row>
    <row r="13453" spans="2:2" ht="23.25" customHeight="1">
      <c r="B13453" s="2669"/>
    </row>
    <row r="13454" spans="2:2" ht="23.25" customHeight="1">
      <c r="B13454" s="2669"/>
    </row>
    <row r="13455" spans="2:2" ht="23.25" customHeight="1">
      <c r="B13455" s="2669"/>
    </row>
    <row r="13456" spans="2:2" ht="23.25" customHeight="1">
      <c r="B13456" s="2669"/>
    </row>
    <row r="13457" spans="2:2" ht="23.25" customHeight="1">
      <c r="B13457" s="2669"/>
    </row>
    <row r="13458" spans="2:2" ht="23.25" customHeight="1">
      <c r="B13458" s="2669"/>
    </row>
    <row r="13459" spans="2:2" ht="23.25" customHeight="1">
      <c r="B13459" s="2669"/>
    </row>
    <row r="13460" spans="2:2" ht="23.25" customHeight="1">
      <c r="B13460" s="2669"/>
    </row>
    <row r="13461" spans="2:2" ht="23.25" customHeight="1">
      <c r="B13461" s="2669"/>
    </row>
    <row r="13462" spans="2:2" ht="23.25" customHeight="1">
      <c r="B13462" s="2669"/>
    </row>
    <row r="13463" spans="2:2" ht="23.25" customHeight="1">
      <c r="B13463" s="2669"/>
    </row>
    <row r="13464" spans="2:2" ht="23.25" customHeight="1">
      <c r="B13464" s="2669"/>
    </row>
    <row r="13465" spans="2:2" ht="23.25" customHeight="1">
      <c r="B13465" s="2669"/>
    </row>
    <row r="13466" spans="2:2" ht="23.25" customHeight="1">
      <c r="B13466" s="2669"/>
    </row>
    <row r="13467" spans="2:2" ht="23.25" customHeight="1">
      <c r="B13467" s="2669"/>
    </row>
    <row r="13468" spans="2:2" ht="23.25" customHeight="1">
      <c r="B13468" s="2669"/>
    </row>
    <row r="13469" spans="2:2" ht="23.25" customHeight="1">
      <c r="B13469" s="2669"/>
    </row>
    <row r="13470" spans="2:2" ht="23.25" customHeight="1">
      <c r="B13470" s="2669"/>
    </row>
    <row r="13471" spans="2:2" ht="23.25" customHeight="1">
      <c r="B13471" s="2669"/>
    </row>
    <row r="13472" spans="2:2" ht="23.25" customHeight="1">
      <c r="B13472" s="2669"/>
    </row>
    <row r="13473" spans="2:2" ht="23.25" customHeight="1">
      <c r="B13473" s="2669"/>
    </row>
    <row r="13474" spans="2:2" ht="23.25" customHeight="1">
      <c r="B13474" s="2669"/>
    </row>
    <row r="13475" spans="2:2" ht="23.25" customHeight="1">
      <c r="B13475" s="2669"/>
    </row>
    <row r="13476" spans="2:2" ht="23.25" customHeight="1">
      <c r="B13476" s="2669"/>
    </row>
    <row r="13477" spans="2:2" ht="23.25" customHeight="1">
      <c r="B13477" s="2669"/>
    </row>
    <row r="13478" spans="2:2" ht="23.25" customHeight="1">
      <c r="B13478" s="2669"/>
    </row>
    <row r="13479" spans="2:2" ht="23.25" customHeight="1">
      <c r="B13479" s="2669"/>
    </row>
    <row r="13480" spans="2:2" ht="23.25" customHeight="1">
      <c r="B13480" s="2669"/>
    </row>
    <row r="13481" spans="2:2" ht="23.25" customHeight="1">
      <c r="B13481" s="2669"/>
    </row>
    <row r="13482" spans="2:2" ht="23.25" customHeight="1">
      <c r="B13482" s="2669"/>
    </row>
    <row r="13483" spans="2:2" ht="23.25" customHeight="1">
      <c r="B13483" s="2669"/>
    </row>
    <row r="13484" spans="2:2" ht="23.25" customHeight="1">
      <c r="B13484" s="2669"/>
    </row>
    <row r="13485" spans="2:2" ht="23.25" customHeight="1">
      <c r="B13485" s="2669"/>
    </row>
    <row r="13486" spans="2:2" ht="23.25" customHeight="1">
      <c r="B13486" s="2669"/>
    </row>
    <row r="13487" spans="2:2" ht="23.25" customHeight="1">
      <c r="B13487" s="2669"/>
    </row>
    <row r="13488" spans="2:2" ht="23.25" customHeight="1">
      <c r="B13488" s="2669"/>
    </row>
    <row r="13489" spans="2:2" ht="23.25" customHeight="1">
      <c r="B13489" s="2669"/>
    </row>
    <row r="13490" spans="2:2" ht="23.25" customHeight="1">
      <c r="B13490" s="2669"/>
    </row>
    <row r="13491" spans="2:2" ht="23.25" customHeight="1">
      <c r="B13491" s="2669"/>
    </row>
    <row r="13492" spans="2:2" ht="23.25" customHeight="1">
      <c r="B13492" s="2669"/>
    </row>
    <row r="13493" spans="2:2" ht="23.25" customHeight="1">
      <c r="B13493" s="2669"/>
    </row>
    <row r="13494" spans="2:2" ht="23.25" customHeight="1">
      <c r="B13494" s="2669"/>
    </row>
    <row r="13495" spans="2:2" ht="23.25" customHeight="1">
      <c r="B13495" s="2669"/>
    </row>
    <row r="13496" spans="2:2" ht="23.25" customHeight="1">
      <c r="B13496" s="2669"/>
    </row>
    <row r="13497" spans="2:2" ht="23.25" customHeight="1">
      <c r="B13497" s="2669"/>
    </row>
    <row r="13498" spans="2:2" ht="23.25" customHeight="1">
      <c r="B13498" s="2669"/>
    </row>
    <row r="13499" spans="2:2" ht="23.25" customHeight="1">
      <c r="B13499" s="2669"/>
    </row>
    <row r="13500" spans="2:2" ht="23.25" customHeight="1">
      <c r="B13500" s="2669"/>
    </row>
    <row r="13501" spans="2:2" ht="23.25" customHeight="1">
      <c r="B13501" s="2669"/>
    </row>
    <row r="13502" spans="2:2" ht="23.25" customHeight="1">
      <c r="B13502" s="2669"/>
    </row>
    <row r="13503" spans="2:2" ht="23.25" customHeight="1">
      <c r="B13503" s="2669"/>
    </row>
    <row r="13504" spans="2:2" ht="23.25" customHeight="1">
      <c r="B13504" s="2669"/>
    </row>
    <row r="13505" spans="2:2" ht="23.25" customHeight="1">
      <c r="B13505" s="2669"/>
    </row>
    <row r="13506" spans="2:2" ht="23.25" customHeight="1">
      <c r="B13506" s="2669"/>
    </row>
    <row r="13507" spans="2:2" ht="23.25" customHeight="1">
      <c r="B13507" s="2669"/>
    </row>
    <row r="13508" spans="2:2" ht="23.25" customHeight="1">
      <c r="B13508" s="2669"/>
    </row>
    <row r="13509" spans="2:2" ht="23.25" customHeight="1">
      <c r="B13509" s="2669"/>
    </row>
    <row r="13510" spans="2:2" ht="23.25" customHeight="1">
      <c r="B13510" s="2669"/>
    </row>
    <row r="13511" spans="2:2" ht="23.25" customHeight="1">
      <c r="B13511" s="2669"/>
    </row>
    <row r="13512" spans="2:2" ht="23.25" customHeight="1">
      <c r="B13512" s="2669"/>
    </row>
    <row r="13513" spans="2:2" ht="23.25" customHeight="1">
      <c r="B13513" s="2669"/>
    </row>
    <row r="13514" spans="2:2" ht="23.25" customHeight="1">
      <c r="B13514" s="2669"/>
    </row>
    <row r="13515" spans="2:2" ht="23.25" customHeight="1">
      <c r="B13515" s="2669"/>
    </row>
    <row r="13516" spans="2:2" ht="23.25" customHeight="1">
      <c r="B13516" s="2669"/>
    </row>
    <row r="13517" spans="2:2" ht="23.25" customHeight="1">
      <c r="B13517" s="2669"/>
    </row>
    <row r="13518" spans="2:2" ht="23.25" customHeight="1">
      <c r="B13518" s="2669"/>
    </row>
    <row r="13519" spans="2:2" ht="23.25" customHeight="1">
      <c r="B13519" s="2669"/>
    </row>
    <row r="13520" spans="2:2" ht="23.25" customHeight="1">
      <c r="B13520" s="2669"/>
    </row>
    <row r="13521" spans="2:2" ht="23.25" customHeight="1">
      <c r="B13521" s="2669"/>
    </row>
    <row r="13522" spans="2:2" ht="23.25" customHeight="1">
      <c r="B13522" s="2669"/>
    </row>
    <row r="13523" spans="2:2" ht="23.25" customHeight="1">
      <c r="B13523" s="2669"/>
    </row>
    <row r="13524" spans="2:2" ht="23.25" customHeight="1">
      <c r="B13524" s="2669"/>
    </row>
    <row r="13525" spans="2:2" ht="23.25" customHeight="1">
      <c r="B13525" s="2669"/>
    </row>
    <row r="13526" spans="2:2" ht="23.25" customHeight="1">
      <c r="B13526" s="2669"/>
    </row>
    <row r="13527" spans="2:2" ht="23.25" customHeight="1">
      <c r="B13527" s="2669"/>
    </row>
    <row r="13528" spans="2:2" ht="23.25" customHeight="1">
      <c r="B13528" s="2669"/>
    </row>
    <row r="13529" spans="2:2" ht="23.25" customHeight="1">
      <c r="B13529" s="2669"/>
    </row>
    <row r="13530" spans="2:2" ht="23.25" customHeight="1">
      <c r="B13530" s="2669"/>
    </row>
    <row r="13531" spans="2:2" ht="23.25" customHeight="1">
      <c r="B13531" s="2669"/>
    </row>
    <row r="13532" spans="2:2" ht="23.25" customHeight="1">
      <c r="B13532" s="2669"/>
    </row>
    <row r="13533" spans="2:2" ht="23.25" customHeight="1">
      <c r="B13533" s="2669"/>
    </row>
    <row r="13534" spans="2:2" ht="23.25" customHeight="1">
      <c r="B13534" s="2669"/>
    </row>
    <row r="13535" spans="2:2" ht="23.25" customHeight="1">
      <c r="B13535" s="2669"/>
    </row>
    <row r="13536" spans="2:2" ht="23.25" customHeight="1">
      <c r="B13536" s="2669"/>
    </row>
    <row r="13537" spans="2:2" ht="23.25" customHeight="1">
      <c r="B13537" s="2669"/>
    </row>
    <row r="13538" spans="2:2" ht="23.25" customHeight="1">
      <c r="B13538" s="2669"/>
    </row>
    <row r="13539" spans="2:2" ht="23.25" customHeight="1">
      <c r="B13539" s="2669"/>
    </row>
    <row r="13540" spans="2:2" ht="23.25" customHeight="1">
      <c r="B13540" s="2669"/>
    </row>
    <row r="13541" spans="2:2" ht="23.25" customHeight="1">
      <c r="B13541" s="2669"/>
    </row>
    <row r="13542" spans="2:2" ht="23.25" customHeight="1">
      <c r="B13542" s="2669"/>
    </row>
    <row r="13543" spans="2:2" ht="23.25" customHeight="1">
      <c r="B13543" s="2669"/>
    </row>
    <row r="13544" spans="2:2" ht="23.25" customHeight="1">
      <c r="B13544" s="2669"/>
    </row>
    <row r="13545" spans="2:2" ht="23.25" customHeight="1">
      <c r="B13545" s="2669"/>
    </row>
    <row r="13546" spans="2:2" ht="23.25" customHeight="1">
      <c r="B13546" s="2669"/>
    </row>
    <row r="13547" spans="2:2" ht="23.25" customHeight="1">
      <c r="B13547" s="2669"/>
    </row>
    <row r="13548" spans="2:2" ht="23.25" customHeight="1">
      <c r="B13548" s="2669"/>
    </row>
    <row r="13549" spans="2:2" ht="23.25" customHeight="1">
      <c r="B13549" s="2669"/>
    </row>
    <row r="13550" spans="2:2" ht="23.25" customHeight="1">
      <c r="B13550" s="2669"/>
    </row>
    <row r="13551" spans="2:2" ht="23.25" customHeight="1">
      <c r="B13551" s="2669"/>
    </row>
    <row r="13552" spans="2:2" ht="23.25" customHeight="1">
      <c r="B13552" s="2669"/>
    </row>
    <row r="13553" spans="2:2" ht="23.25" customHeight="1">
      <c r="B13553" s="2669"/>
    </row>
    <row r="13554" spans="2:2" ht="23.25" customHeight="1">
      <c r="B13554" s="2669"/>
    </row>
    <row r="13555" spans="2:2" ht="23.25" customHeight="1">
      <c r="B13555" s="2669"/>
    </row>
    <row r="13556" spans="2:2" ht="23.25" customHeight="1">
      <c r="B13556" s="2669"/>
    </row>
    <row r="13557" spans="2:2" ht="23.25" customHeight="1">
      <c r="B13557" s="2669"/>
    </row>
    <row r="13558" spans="2:2" ht="23.25" customHeight="1">
      <c r="B13558" s="2669"/>
    </row>
    <row r="13559" spans="2:2" ht="23.25" customHeight="1">
      <c r="B13559" s="2669"/>
    </row>
    <row r="13560" spans="2:2" ht="23.25" customHeight="1">
      <c r="B13560" s="2669"/>
    </row>
    <row r="13561" spans="2:2" ht="23.25" customHeight="1">
      <c r="B13561" s="2669"/>
    </row>
    <row r="13562" spans="2:2" ht="23.25" customHeight="1">
      <c r="B13562" s="2669"/>
    </row>
    <row r="13563" spans="2:2" ht="23.25" customHeight="1">
      <c r="B13563" s="2669"/>
    </row>
    <row r="13564" spans="2:2" ht="23.25" customHeight="1">
      <c r="B13564" s="2669"/>
    </row>
    <row r="13565" spans="2:2" ht="23.25" customHeight="1">
      <c r="B13565" s="2669"/>
    </row>
    <row r="13566" spans="2:2" ht="23.25" customHeight="1">
      <c r="B13566" s="2669"/>
    </row>
    <row r="13567" spans="2:2" ht="23.25" customHeight="1">
      <c r="B13567" s="2669"/>
    </row>
    <row r="13568" spans="2:2" ht="23.25" customHeight="1">
      <c r="B13568" s="2669"/>
    </row>
    <row r="13569" spans="2:2" ht="23.25" customHeight="1">
      <c r="B13569" s="2669"/>
    </row>
    <row r="13570" spans="2:2" ht="23.25" customHeight="1">
      <c r="B13570" s="2669"/>
    </row>
    <row r="13571" spans="2:2" ht="23.25" customHeight="1">
      <c r="B13571" s="2669"/>
    </row>
    <row r="13572" spans="2:2" ht="23.25" customHeight="1">
      <c r="B13572" s="2669"/>
    </row>
    <row r="13573" spans="2:2" ht="23.25" customHeight="1">
      <c r="B13573" s="2669"/>
    </row>
    <row r="13574" spans="2:2" ht="23.25" customHeight="1">
      <c r="B13574" s="2669"/>
    </row>
    <row r="13575" spans="2:2" ht="23.25" customHeight="1">
      <c r="B13575" s="2669"/>
    </row>
    <row r="13576" spans="2:2" ht="23.25" customHeight="1">
      <c r="B13576" s="2669"/>
    </row>
    <row r="13577" spans="2:2" ht="23.25" customHeight="1">
      <c r="B13577" s="2669"/>
    </row>
    <row r="13578" spans="2:2" ht="23.25" customHeight="1">
      <c r="B13578" s="2669"/>
    </row>
    <row r="13579" spans="2:2" ht="23.25" customHeight="1">
      <c r="B13579" s="2669"/>
    </row>
    <row r="13580" spans="2:2" ht="23.25" customHeight="1">
      <c r="B13580" s="2669"/>
    </row>
    <row r="13581" spans="2:2" ht="23.25" customHeight="1">
      <c r="B13581" s="2669"/>
    </row>
    <row r="13582" spans="2:2" ht="23.25" customHeight="1">
      <c r="B13582" s="2669"/>
    </row>
    <row r="13583" spans="2:2" ht="23.25" customHeight="1">
      <c r="B13583" s="2669"/>
    </row>
    <row r="13584" spans="2:2" ht="23.25" customHeight="1">
      <c r="B13584" s="2669"/>
    </row>
    <row r="13585" spans="2:2" ht="23.25" customHeight="1">
      <c r="B13585" s="2669"/>
    </row>
    <row r="13586" spans="2:2" ht="23.25" customHeight="1">
      <c r="B13586" s="2669"/>
    </row>
    <row r="13587" spans="2:2" ht="23.25" customHeight="1">
      <c r="B13587" s="2669"/>
    </row>
    <row r="13588" spans="2:2" ht="23.25" customHeight="1">
      <c r="B13588" s="2669"/>
    </row>
    <row r="13589" spans="2:2" ht="23.25" customHeight="1">
      <c r="B13589" s="2669"/>
    </row>
    <row r="13590" spans="2:2" ht="23.25" customHeight="1">
      <c r="B13590" s="2669"/>
    </row>
    <row r="13591" spans="2:2" ht="23.25" customHeight="1">
      <c r="B13591" s="2669"/>
    </row>
    <row r="13592" spans="2:2" ht="23.25" customHeight="1">
      <c r="B13592" s="2669"/>
    </row>
    <row r="13593" spans="2:2" ht="23.25" customHeight="1">
      <c r="B13593" s="2669"/>
    </row>
    <row r="13594" spans="2:2" ht="23.25" customHeight="1">
      <c r="B13594" s="2669"/>
    </row>
    <row r="13595" spans="2:2" ht="23.25" customHeight="1">
      <c r="B13595" s="2669"/>
    </row>
    <row r="13596" spans="2:2" ht="23.25" customHeight="1">
      <c r="B13596" s="2669"/>
    </row>
    <row r="13597" spans="2:2" ht="23.25" customHeight="1">
      <c r="B13597" s="2669"/>
    </row>
    <row r="13598" spans="2:2" ht="23.25" customHeight="1">
      <c r="B13598" s="2669"/>
    </row>
    <row r="13599" spans="2:2" ht="23.25" customHeight="1">
      <c r="B13599" s="2669"/>
    </row>
    <row r="13600" spans="2:2" ht="23.25" customHeight="1">
      <c r="B13600" s="2669"/>
    </row>
    <row r="13601" spans="2:2" ht="23.25" customHeight="1">
      <c r="B13601" s="2669"/>
    </row>
    <row r="13602" spans="2:2" ht="23.25" customHeight="1">
      <c r="B13602" s="2669"/>
    </row>
    <row r="13603" spans="2:2" ht="23.25" customHeight="1">
      <c r="B13603" s="2669"/>
    </row>
    <row r="13604" spans="2:2" ht="23.25" customHeight="1">
      <c r="B13604" s="2669"/>
    </row>
    <row r="13605" spans="2:2" ht="23.25" customHeight="1">
      <c r="B13605" s="2669"/>
    </row>
    <row r="13606" spans="2:2" ht="23.25" customHeight="1">
      <c r="B13606" s="2669"/>
    </row>
    <row r="13607" spans="2:2" ht="23.25" customHeight="1">
      <c r="B13607" s="2669"/>
    </row>
    <row r="13608" spans="2:2" ht="23.25" customHeight="1">
      <c r="B13608" s="2669"/>
    </row>
    <row r="13609" spans="2:2" ht="23.25" customHeight="1">
      <c r="B13609" s="2669"/>
    </row>
    <row r="13610" spans="2:2" ht="23.25" customHeight="1">
      <c r="B13610" s="2669"/>
    </row>
    <row r="13611" spans="2:2" ht="23.25" customHeight="1">
      <c r="B13611" s="2669"/>
    </row>
    <row r="13612" spans="2:2" ht="23.25" customHeight="1">
      <c r="B13612" s="2669"/>
    </row>
    <row r="13613" spans="2:2" ht="23.25" customHeight="1">
      <c r="B13613" s="2669"/>
    </row>
    <row r="13614" spans="2:2" ht="23.25" customHeight="1">
      <c r="B13614" s="2669"/>
    </row>
    <row r="13615" spans="2:2" ht="23.25" customHeight="1">
      <c r="B13615" s="2669"/>
    </row>
    <row r="13616" spans="2:2" ht="23.25" customHeight="1">
      <c r="B13616" s="2669"/>
    </row>
    <row r="13617" spans="2:2" ht="23.25" customHeight="1">
      <c r="B13617" s="2669"/>
    </row>
    <row r="13618" spans="2:2" ht="23.25" customHeight="1">
      <c r="B13618" s="2669"/>
    </row>
    <row r="13619" spans="2:2" ht="23.25" customHeight="1">
      <c r="B13619" s="2669"/>
    </row>
    <row r="13620" spans="2:2" ht="23.25" customHeight="1">
      <c r="B13620" s="2669"/>
    </row>
    <row r="13621" spans="2:2" ht="23.25" customHeight="1">
      <c r="B13621" s="2669"/>
    </row>
    <row r="13622" spans="2:2" ht="23.25" customHeight="1">
      <c r="B13622" s="2669"/>
    </row>
    <row r="13623" spans="2:2" ht="23.25" customHeight="1">
      <c r="B13623" s="2669"/>
    </row>
    <row r="13624" spans="2:2" ht="23.25" customHeight="1">
      <c r="B13624" s="2669"/>
    </row>
    <row r="13625" spans="2:2" ht="23.25" customHeight="1">
      <c r="B13625" s="2669"/>
    </row>
    <row r="13626" spans="2:2" ht="23.25" customHeight="1">
      <c r="B13626" s="2669"/>
    </row>
    <row r="13627" spans="2:2" ht="23.25" customHeight="1">
      <c r="B13627" s="2669"/>
    </row>
    <row r="13628" spans="2:2" ht="23.25" customHeight="1">
      <c r="B13628" s="2669"/>
    </row>
    <row r="13629" spans="2:2" ht="23.25" customHeight="1">
      <c r="B13629" s="2669"/>
    </row>
    <row r="13630" spans="2:2" ht="23.25" customHeight="1">
      <c r="B13630" s="2669"/>
    </row>
    <row r="13631" spans="2:2" ht="23.25" customHeight="1">
      <c r="B13631" s="2669"/>
    </row>
    <row r="13632" spans="2:2" ht="23.25" customHeight="1">
      <c r="B13632" s="2669"/>
    </row>
    <row r="13633" spans="2:2" ht="23.25" customHeight="1">
      <c r="B13633" s="2669"/>
    </row>
    <row r="13634" spans="2:2" ht="23.25" customHeight="1">
      <c r="B13634" s="2669"/>
    </row>
    <row r="13635" spans="2:2" ht="23.25" customHeight="1">
      <c r="B13635" s="2669"/>
    </row>
    <row r="13636" spans="2:2" ht="23.25" customHeight="1">
      <c r="B13636" s="2669"/>
    </row>
    <row r="13637" spans="2:2" ht="23.25" customHeight="1">
      <c r="B13637" s="2669"/>
    </row>
    <row r="13638" spans="2:2" ht="23.25" customHeight="1">
      <c r="B13638" s="2669"/>
    </row>
    <row r="13639" spans="2:2" ht="23.25" customHeight="1">
      <c r="B13639" s="2669"/>
    </row>
    <row r="13640" spans="2:2" ht="23.25" customHeight="1">
      <c r="B13640" s="2669"/>
    </row>
    <row r="13641" spans="2:2" ht="23.25" customHeight="1">
      <c r="B13641" s="2669"/>
    </row>
    <row r="13642" spans="2:2" ht="23.25" customHeight="1">
      <c r="B13642" s="2669"/>
    </row>
    <row r="13643" spans="2:2" ht="23.25" customHeight="1">
      <c r="B13643" s="2669"/>
    </row>
    <row r="13644" spans="2:2" ht="23.25" customHeight="1">
      <c r="B13644" s="2669"/>
    </row>
    <row r="13645" spans="2:2" ht="23.25" customHeight="1">
      <c r="B13645" s="2669"/>
    </row>
    <row r="13646" spans="2:2" ht="23.25" customHeight="1">
      <c r="B13646" s="2669"/>
    </row>
    <row r="13647" spans="2:2" ht="23.25" customHeight="1">
      <c r="B13647" s="2669"/>
    </row>
    <row r="13648" spans="2:2" ht="23.25" customHeight="1">
      <c r="B13648" s="2669"/>
    </row>
    <row r="13649" spans="2:2" ht="23.25" customHeight="1">
      <c r="B13649" s="2669"/>
    </row>
    <row r="13650" spans="2:2" ht="23.25" customHeight="1">
      <c r="B13650" s="2669"/>
    </row>
    <row r="13651" spans="2:2" ht="23.25" customHeight="1">
      <c r="B13651" s="2669"/>
    </row>
    <row r="13652" spans="2:2" ht="23.25" customHeight="1">
      <c r="B13652" s="2669"/>
    </row>
    <row r="13653" spans="2:2" ht="23.25" customHeight="1">
      <c r="B13653" s="2669"/>
    </row>
    <row r="13654" spans="2:2" ht="23.25" customHeight="1">
      <c r="B13654" s="2669"/>
    </row>
    <row r="13655" spans="2:2" ht="23.25" customHeight="1">
      <c r="B13655" s="2669"/>
    </row>
    <row r="13656" spans="2:2" ht="23.25" customHeight="1">
      <c r="B13656" s="2669"/>
    </row>
    <row r="13657" spans="2:2" ht="23.25" customHeight="1">
      <c r="B13657" s="2669"/>
    </row>
    <row r="13658" spans="2:2" ht="23.25" customHeight="1">
      <c r="B13658" s="2669"/>
    </row>
    <row r="13659" spans="2:2" ht="23.25" customHeight="1">
      <c r="B13659" s="2669"/>
    </row>
    <row r="13660" spans="2:2" ht="23.25" customHeight="1">
      <c r="B13660" s="2669"/>
    </row>
    <row r="13661" spans="2:2" ht="23.25" customHeight="1">
      <c r="B13661" s="2669"/>
    </row>
    <row r="13662" spans="2:2" ht="23.25" customHeight="1">
      <c r="B13662" s="2669"/>
    </row>
    <row r="13663" spans="2:2" ht="23.25" customHeight="1">
      <c r="B13663" s="2669"/>
    </row>
    <row r="13664" spans="2:2" ht="23.25" customHeight="1">
      <c r="B13664" s="2669"/>
    </row>
    <row r="13665" spans="2:2" ht="23.25" customHeight="1">
      <c r="B13665" s="2669"/>
    </row>
    <row r="13666" spans="2:2" ht="23.25" customHeight="1">
      <c r="B13666" s="2669"/>
    </row>
    <row r="13667" spans="2:2" ht="23.25" customHeight="1">
      <c r="B13667" s="2669"/>
    </row>
    <row r="13668" spans="2:2" ht="23.25" customHeight="1">
      <c r="B13668" s="2669"/>
    </row>
    <row r="13669" spans="2:2" ht="23.25" customHeight="1">
      <c r="B13669" s="2669"/>
    </row>
    <row r="13670" spans="2:2" ht="23.25" customHeight="1">
      <c r="B13670" s="2669"/>
    </row>
    <row r="13671" spans="2:2" ht="23.25" customHeight="1">
      <c r="B13671" s="2669"/>
    </row>
    <row r="13672" spans="2:2" ht="23.25" customHeight="1">
      <c r="B13672" s="2669"/>
    </row>
    <row r="13673" spans="2:2" ht="23.25" customHeight="1">
      <c r="B13673" s="2669"/>
    </row>
    <row r="13674" spans="2:2" ht="23.25" customHeight="1">
      <c r="B13674" s="2669"/>
    </row>
    <row r="13675" spans="2:2" ht="23.25" customHeight="1">
      <c r="B13675" s="2669"/>
    </row>
    <row r="13676" spans="2:2" ht="23.25" customHeight="1">
      <c r="B13676" s="2669"/>
    </row>
    <row r="13677" spans="2:2" ht="23.25" customHeight="1">
      <c r="B13677" s="2669"/>
    </row>
    <row r="13678" spans="2:2" ht="23.25" customHeight="1">
      <c r="B13678" s="2669"/>
    </row>
    <row r="13679" spans="2:2" ht="23.25" customHeight="1">
      <c r="B13679" s="2669"/>
    </row>
    <row r="13680" spans="2:2" ht="23.25" customHeight="1">
      <c r="B13680" s="2669"/>
    </row>
    <row r="13681" spans="2:2" ht="23.25" customHeight="1">
      <c r="B13681" s="2669"/>
    </row>
    <row r="13682" spans="2:2" ht="23.25" customHeight="1">
      <c r="B13682" s="2669"/>
    </row>
    <row r="13683" spans="2:2" ht="23.25" customHeight="1">
      <c r="B13683" s="2669"/>
    </row>
    <row r="13684" spans="2:2" ht="23.25" customHeight="1">
      <c r="B13684" s="2669"/>
    </row>
    <row r="13685" spans="2:2" ht="23.25" customHeight="1">
      <c r="B13685" s="2669"/>
    </row>
    <row r="13686" spans="2:2" ht="23.25" customHeight="1">
      <c r="B13686" s="2669"/>
    </row>
    <row r="13687" spans="2:2" ht="23.25" customHeight="1">
      <c r="B13687" s="2669"/>
    </row>
    <row r="13688" spans="2:2" ht="23.25" customHeight="1">
      <c r="B13688" s="2669"/>
    </row>
    <row r="13689" spans="2:2" ht="23.25" customHeight="1">
      <c r="B13689" s="2669"/>
    </row>
    <row r="13690" spans="2:2" ht="23.25" customHeight="1">
      <c r="B13690" s="2669"/>
    </row>
    <row r="13691" spans="2:2" ht="23.25" customHeight="1">
      <c r="B13691" s="2669"/>
    </row>
    <row r="13692" spans="2:2" ht="23.25" customHeight="1">
      <c r="B13692" s="2669"/>
    </row>
    <row r="13693" spans="2:2" ht="23.25" customHeight="1">
      <c r="B13693" s="2669"/>
    </row>
    <row r="13694" spans="2:2" ht="23.25" customHeight="1">
      <c r="B13694" s="2669"/>
    </row>
    <row r="13695" spans="2:2" ht="23.25" customHeight="1">
      <c r="B13695" s="2669"/>
    </row>
    <row r="13696" spans="2:2" ht="23.25" customHeight="1">
      <c r="B13696" s="2669"/>
    </row>
    <row r="13697" spans="2:2" ht="23.25" customHeight="1">
      <c r="B13697" s="2669"/>
    </row>
    <row r="13698" spans="2:2" ht="23.25" customHeight="1">
      <c r="B13698" s="2669"/>
    </row>
    <row r="13699" spans="2:2" ht="23.25" customHeight="1">
      <c r="B13699" s="2669"/>
    </row>
    <row r="13700" spans="2:2" ht="23.25" customHeight="1">
      <c r="B13700" s="2669"/>
    </row>
    <row r="13701" spans="2:2" ht="23.25" customHeight="1">
      <c r="B13701" s="2669"/>
    </row>
    <row r="13702" spans="2:2" ht="23.25" customHeight="1">
      <c r="B13702" s="2669"/>
    </row>
    <row r="13703" spans="2:2" ht="23.25" customHeight="1">
      <c r="B13703" s="2669"/>
    </row>
    <row r="13704" spans="2:2" ht="23.25" customHeight="1">
      <c r="B13704" s="2669"/>
    </row>
    <row r="13705" spans="2:2" ht="23.25" customHeight="1">
      <c r="B13705" s="2669"/>
    </row>
    <row r="13706" spans="2:2" ht="23.25" customHeight="1">
      <c r="B13706" s="2669"/>
    </row>
    <row r="13707" spans="2:2" ht="23.25" customHeight="1">
      <c r="B13707" s="2669"/>
    </row>
    <row r="13708" spans="2:2" ht="23.25" customHeight="1">
      <c r="B13708" s="2669"/>
    </row>
    <row r="13709" spans="2:2" ht="23.25" customHeight="1">
      <c r="B13709" s="2669"/>
    </row>
    <row r="13710" spans="2:2" ht="23.25" customHeight="1">
      <c r="B13710" s="2669"/>
    </row>
    <row r="13711" spans="2:2" ht="23.25" customHeight="1">
      <c r="B13711" s="2669"/>
    </row>
    <row r="13712" spans="2:2" ht="23.25" customHeight="1">
      <c r="B13712" s="2669"/>
    </row>
    <row r="13713" spans="2:2" ht="23.25" customHeight="1">
      <c r="B13713" s="2669"/>
    </row>
    <row r="13714" spans="2:2" ht="23.25" customHeight="1">
      <c r="B13714" s="2669"/>
    </row>
    <row r="13715" spans="2:2" ht="23.25" customHeight="1">
      <c r="B13715" s="2669"/>
    </row>
    <row r="13716" spans="2:2" ht="23.25" customHeight="1">
      <c r="B13716" s="2669"/>
    </row>
    <row r="13717" spans="2:2" ht="23.25" customHeight="1">
      <c r="B13717" s="2669"/>
    </row>
    <row r="13718" spans="2:2" ht="23.25" customHeight="1">
      <c r="B13718" s="2669"/>
    </row>
    <row r="13719" spans="2:2" ht="23.25" customHeight="1">
      <c r="B13719" s="2669"/>
    </row>
    <row r="13720" spans="2:2" ht="23.25" customHeight="1">
      <c r="B13720" s="2669"/>
    </row>
    <row r="13721" spans="2:2" ht="23.25" customHeight="1">
      <c r="B13721" s="2669"/>
    </row>
    <row r="13722" spans="2:2" ht="23.25" customHeight="1">
      <c r="B13722" s="2669"/>
    </row>
    <row r="13723" spans="2:2" ht="23.25" customHeight="1">
      <c r="B13723" s="2669"/>
    </row>
    <row r="13724" spans="2:2" ht="23.25" customHeight="1">
      <c r="B13724" s="2669"/>
    </row>
    <row r="13725" spans="2:2" ht="23.25" customHeight="1">
      <c r="B13725" s="2669"/>
    </row>
    <row r="13726" spans="2:2" ht="23.25" customHeight="1">
      <c r="B13726" s="2669"/>
    </row>
    <row r="13727" spans="2:2" ht="23.25" customHeight="1">
      <c r="B13727" s="2669"/>
    </row>
    <row r="13728" spans="2:2" ht="23.25" customHeight="1">
      <c r="B13728" s="2669"/>
    </row>
    <row r="13729" spans="2:2" ht="23.25" customHeight="1">
      <c r="B13729" s="2669"/>
    </row>
    <row r="13730" spans="2:2" ht="23.25" customHeight="1">
      <c r="B13730" s="2669"/>
    </row>
    <row r="13731" spans="2:2" ht="23.25" customHeight="1">
      <c r="B13731" s="2669"/>
    </row>
    <row r="13732" spans="2:2" ht="23.25" customHeight="1">
      <c r="B13732" s="2669"/>
    </row>
    <row r="13733" spans="2:2" ht="23.25" customHeight="1">
      <c r="B13733" s="2669"/>
    </row>
    <row r="13734" spans="2:2" ht="23.25" customHeight="1">
      <c r="B13734" s="2669"/>
    </row>
    <row r="13735" spans="2:2" ht="23.25" customHeight="1">
      <c r="B13735" s="2669"/>
    </row>
    <row r="13736" spans="2:2" ht="23.25" customHeight="1">
      <c r="B13736" s="2669"/>
    </row>
    <row r="13737" spans="2:2" ht="23.25" customHeight="1">
      <c r="B13737" s="2669"/>
    </row>
    <row r="13738" spans="2:2" ht="23.25" customHeight="1">
      <c r="B13738" s="2669"/>
    </row>
    <row r="13739" spans="2:2" ht="23.25" customHeight="1">
      <c r="B13739" s="2669"/>
    </row>
    <row r="13740" spans="2:2" ht="23.25" customHeight="1">
      <c r="B13740" s="2669"/>
    </row>
    <row r="13741" spans="2:2" ht="23.25" customHeight="1">
      <c r="B13741" s="2669"/>
    </row>
    <row r="13742" spans="2:2" ht="23.25" customHeight="1">
      <c r="B13742" s="2669"/>
    </row>
    <row r="13743" spans="2:2" ht="23.25" customHeight="1">
      <c r="B13743" s="2669"/>
    </row>
    <row r="13744" spans="2:2" ht="23.25" customHeight="1">
      <c r="B13744" s="2669"/>
    </row>
    <row r="13745" spans="2:2" ht="23.25" customHeight="1">
      <c r="B13745" s="2669"/>
    </row>
    <row r="13746" spans="2:2" ht="23.25" customHeight="1">
      <c r="B13746" s="2669"/>
    </row>
    <row r="13747" spans="2:2" ht="23.25" customHeight="1">
      <c r="B13747" s="2669"/>
    </row>
    <row r="13748" spans="2:2" ht="23.25" customHeight="1">
      <c r="B13748" s="2669"/>
    </row>
    <row r="13749" spans="2:2" ht="23.25" customHeight="1">
      <c r="B13749" s="2669"/>
    </row>
    <row r="13750" spans="2:2" ht="23.25" customHeight="1">
      <c r="B13750" s="2669"/>
    </row>
    <row r="13751" spans="2:2" ht="23.25" customHeight="1">
      <c r="B13751" s="2669"/>
    </row>
    <row r="13752" spans="2:2" ht="23.25" customHeight="1">
      <c r="B13752" s="2669"/>
    </row>
    <row r="13753" spans="2:2" ht="23.25" customHeight="1">
      <c r="B13753" s="2669"/>
    </row>
    <row r="13754" spans="2:2" ht="23.25" customHeight="1">
      <c r="B13754" s="2669"/>
    </row>
    <row r="13755" spans="2:2" ht="23.25" customHeight="1">
      <c r="B13755" s="2669"/>
    </row>
    <row r="13756" spans="2:2" ht="23.25" customHeight="1">
      <c r="B13756" s="2669"/>
    </row>
    <row r="13757" spans="2:2" ht="23.25" customHeight="1">
      <c r="B13757" s="2669"/>
    </row>
    <row r="13758" spans="2:2" ht="23.25" customHeight="1">
      <c r="B13758" s="2669"/>
    </row>
    <row r="13759" spans="2:2" ht="23.25" customHeight="1">
      <c r="B13759" s="2669"/>
    </row>
    <row r="13760" spans="2:2" ht="23.25" customHeight="1">
      <c r="B13760" s="2669"/>
    </row>
    <row r="13761" spans="2:2" ht="23.25" customHeight="1">
      <c r="B13761" s="2669"/>
    </row>
    <row r="13762" spans="2:2" ht="23.25" customHeight="1">
      <c r="B13762" s="2669"/>
    </row>
    <row r="13763" spans="2:2" ht="23.25" customHeight="1">
      <c r="B13763" s="2669"/>
    </row>
    <row r="13764" spans="2:2" ht="23.25" customHeight="1">
      <c r="B13764" s="2669"/>
    </row>
    <row r="13765" spans="2:2" ht="23.25" customHeight="1">
      <c r="B13765" s="2669"/>
    </row>
    <row r="13766" spans="2:2" ht="23.25" customHeight="1">
      <c r="B13766" s="2669"/>
    </row>
    <row r="13767" spans="2:2" ht="23.25" customHeight="1">
      <c r="B13767" s="2669"/>
    </row>
    <row r="13768" spans="2:2" ht="23.25" customHeight="1">
      <c r="B13768" s="2669"/>
    </row>
    <row r="13769" spans="2:2" ht="23.25" customHeight="1">
      <c r="B13769" s="2669"/>
    </row>
    <row r="13770" spans="2:2" ht="23.25" customHeight="1">
      <c r="B13770" s="2669"/>
    </row>
    <row r="13771" spans="2:2" ht="23.25" customHeight="1">
      <c r="B13771" s="2669"/>
    </row>
    <row r="13772" spans="2:2" ht="23.25" customHeight="1">
      <c r="B13772" s="2669"/>
    </row>
    <row r="13773" spans="2:2" ht="23.25" customHeight="1">
      <c r="B13773" s="2669"/>
    </row>
    <row r="13774" spans="2:2" ht="23.25" customHeight="1">
      <c r="B13774" s="2669"/>
    </row>
    <row r="13775" spans="2:2" ht="23.25" customHeight="1">
      <c r="B13775" s="2669"/>
    </row>
    <row r="13776" spans="2:2" ht="23.25" customHeight="1">
      <c r="B13776" s="2669"/>
    </row>
    <row r="13777" spans="2:2" ht="23.25" customHeight="1">
      <c r="B13777" s="2669"/>
    </row>
    <row r="13778" spans="2:2" ht="23.25" customHeight="1">
      <c r="B13778" s="2669"/>
    </row>
    <row r="13779" spans="2:2" ht="23.25" customHeight="1">
      <c r="B13779" s="2669"/>
    </row>
    <row r="13780" spans="2:2" ht="23.25" customHeight="1">
      <c r="B13780" s="2669"/>
    </row>
    <row r="13781" spans="2:2" ht="23.25" customHeight="1">
      <c r="B13781" s="2669"/>
    </row>
    <row r="13782" spans="2:2" ht="23.25" customHeight="1">
      <c r="B13782" s="2669"/>
    </row>
    <row r="13783" spans="2:2" ht="23.25" customHeight="1">
      <c r="B13783" s="2669"/>
    </row>
    <row r="13784" spans="2:2" ht="23.25" customHeight="1">
      <c r="B13784" s="2669"/>
    </row>
    <row r="13785" spans="2:2" ht="23.25" customHeight="1">
      <c r="B13785" s="2669"/>
    </row>
    <row r="13786" spans="2:2" ht="23.25" customHeight="1">
      <c r="B13786" s="2669"/>
    </row>
    <row r="13787" spans="2:2" ht="23.25" customHeight="1">
      <c r="B13787" s="2669"/>
    </row>
    <row r="13788" spans="2:2" ht="23.25" customHeight="1">
      <c r="B13788" s="2669"/>
    </row>
    <row r="13789" spans="2:2" ht="23.25" customHeight="1">
      <c r="B13789" s="2669"/>
    </row>
    <row r="13790" spans="2:2" ht="23.25" customHeight="1">
      <c r="B13790" s="2669"/>
    </row>
    <row r="13791" spans="2:2" ht="23.25" customHeight="1">
      <c r="B13791" s="2669"/>
    </row>
    <row r="13792" spans="2:2" ht="23.25" customHeight="1">
      <c r="B13792" s="2669"/>
    </row>
    <row r="13793" spans="2:2" ht="23.25" customHeight="1">
      <c r="B13793" s="2669"/>
    </row>
    <row r="13794" spans="2:2" ht="23.25" customHeight="1">
      <c r="B13794" s="2669"/>
    </row>
    <row r="13795" spans="2:2" ht="23.25" customHeight="1">
      <c r="B13795" s="2669"/>
    </row>
    <row r="13796" spans="2:2" ht="23.25" customHeight="1">
      <c r="B13796" s="2669"/>
    </row>
    <row r="13797" spans="2:2" ht="23.25" customHeight="1">
      <c r="B13797" s="2669"/>
    </row>
    <row r="13798" spans="2:2" ht="23.25" customHeight="1">
      <c r="B13798" s="2669"/>
    </row>
    <row r="13799" spans="2:2" ht="23.25" customHeight="1">
      <c r="B13799" s="2669"/>
    </row>
    <row r="13800" spans="2:2" ht="23.25" customHeight="1">
      <c r="B13800" s="2669"/>
    </row>
    <row r="13801" spans="2:2" ht="23.25" customHeight="1">
      <c r="B13801" s="2669"/>
    </row>
    <row r="13802" spans="2:2" ht="23.25" customHeight="1">
      <c r="B13802" s="2669"/>
    </row>
    <row r="13803" spans="2:2" ht="23.25" customHeight="1">
      <c r="B13803" s="2669"/>
    </row>
    <row r="13804" spans="2:2" ht="23.25" customHeight="1">
      <c r="B13804" s="2669"/>
    </row>
    <row r="13805" spans="2:2" ht="23.25" customHeight="1">
      <c r="B13805" s="2669"/>
    </row>
    <row r="13806" spans="2:2" ht="23.25" customHeight="1">
      <c r="B13806" s="2669"/>
    </row>
    <row r="13807" spans="2:2" ht="23.25" customHeight="1">
      <c r="B13807" s="2669"/>
    </row>
    <row r="13808" spans="2:2" ht="23.25" customHeight="1">
      <c r="B13808" s="2669"/>
    </row>
    <row r="13809" spans="2:2" ht="23.25" customHeight="1">
      <c r="B13809" s="2669"/>
    </row>
    <row r="13810" spans="2:2" ht="23.25" customHeight="1">
      <c r="B13810" s="2669"/>
    </row>
    <row r="13811" spans="2:2" ht="23.25" customHeight="1">
      <c r="B13811" s="2669"/>
    </row>
    <row r="13812" spans="2:2" ht="23.25" customHeight="1">
      <c r="B13812" s="2669"/>
    </row>
    <row r="13813" spans="2:2" ht="23.25" customHeight="1">
      <c r="B13813" s="2669"/>
    </row>
    <row r="13814" spans="2:2" ht="23.25" customHeight="1">
      <c r="B13814" s="2669"/>
    </row>
    <row r="13815" spans="2:2" ht="23.25" customHeight="1">
      <c r="B13815" s="2669"/>
    </row>
    <row r="13816" spans="2:2" ht="23.25" customHeight="1">
      <c r="B13816" s="2669"/>
    </row>
    <row r="13817" spans="2:2" ht="23.25" customHeight="1">
      <c r="B13817" s="2669"/>
    </row>
    <row r="13818" spans="2:2" ht="23.25" customHeight="1">
      <c r="B13818" s="2669"/>
    </row>
    <row r="13819" spans="2:2" ht="23.25" customHeight="1">
      <c r="B13819" s="2669"/>
    </row>
    <row r="13820" spans="2:2" ht="23.25" customHeight="1">
      <c r="B13820" s="2669"/>
    </row>
    <row r="13821" spans="2:2" ht="23.25" customHeight="1">
      <c r="B13821" s="2669"/>
    </row>
    <row r="13822" spans="2:2" ht="23.25" customHeight="1">
      <c r="B13822" s="2669"/>
    </row>
    <row r="13823" spans="2:2" ht="23.25" customHeight="1">
      <c r="B13823" s="2669"/>
    </row>
    <row r="13824" spans="2:2" ht="23.25" customHeight="1">
      <c r="B13824" s="2669"/>
    </row>
    <row r="13825" spans="2:2" ht="23.25" customHeight="1">
      <c r="B13825" s="2669"/>
    </row>
    <row r="13826" spans="2:2" ht="23.25" customHeight="1">
      <c r="B13826" s="2669"/>
    </row>
    <row r="13827" spans="2:2" ht="23.25" customHeight="1">
      <c r="B13827" s="2669"/>
    </row>
    <row r="13828" spans="2:2" ht="23.25" customHeight="1">
      <c r="B13828" s="2669"/>
    </row>
    <row r="13829" spans="2:2" ht="23.25" customHeight="1">
      <c r="B13829" s="2669"/>
    </row>
    <row r="13830" spans="2:2" ht="23.25" customHeight="1">
      <c r="B13830" s="2669"/>
    </row>
    <row r="13831" spans="2:2" ht="23.25" customHeight="1">
      <c r="B13831" s="2669"/>
    </row>
    <row r="13832" spans="2:2" ht="23.25" customHeight="1">
      <c r="B13832" s="2669"/>
    </row>
    <row r="13833" spans="2:2" ht="23.25" customHeight="1">
      <c r="B13833" s="2669"/>
    </row>
    <row r="13834" spans="2:2" ht="23.25" customHeight="1">
      <c r="B13834" s="2669"/>
    </row>
    <row r="13835" spans="2:2" ht="23.25" customHeight="1">
      <c r="B13835" s="2669"/>
    </row>
    <row r="13836" spans="2:2" ht="23.25" customHeight="1">
      <c r="B13836" s="2669"/>
    </row>
    <row r="13837" spans="2:2" ht="23.25" customHeight="1">
      <c r="B13837" s="2669"/>
    </row>
    <row r="13838" spans="2:2" ht="23.25" customHeight="1">
      <c r="B13838" s="2669"/>
    </row>
    <row r="13839" spans="2:2" ht="23.25" customHeight="1">
      <c r="B13839" s="2669"/>
    </row>
    <row r="13840" spans="2:2" ht="23.25" customHeight="1">
      <c r="B13840" s="2669"/>
    </row>
    <row r="13841" spans="2:2" ht="23.25" customHeight="1">
      <c r="B13841" s="2669"/>
    </row>
    <row r="13842" spans="2:2" ht="23.25" customHeight="1">
      <c r="B13842" s="2669"/>
    </row>
    <row r="13843" spans="2:2" ht="23.25" customHeight="1">
      <c r="B13843" s="2669"/>
    </row>
    <row r="13844" spans="2:2" ht="23.25" customHeight="1">
      <c r="B13844" s="2669"/>
    </row>
    <row r="13845" spans="2:2" ht="23.25" customHeight="1">
      <c r="B13845" s="2669"/>
    </row>
    <row r="13846" spans="2:2" ht="23.25" customHeight="1">
      <c r="B13846" s="2669"/>
    </row>
    <row r="13847" spans="2:2" ht="23.25" customHeight="1">
      <c r="B13847" s="2669"/>
    </row>
    <row r="13848" spans="2:2" ht="23.25" customHeight="1">
      <c r="B13848" s="2669"/>
    </row>
    <row r="13849" spans="2:2" ht="23.25" customHeight="1">
      <c r="B13849" s="2669"/>
    </row>
    <row r="13850" spans="2:2" ht="23.25" customHeight="1">
      <c r="B13850" s="2669"/>
    </row>
    <row r="13851" spans="2:2" ht="23.25" customHeight="1">
      <c r="B13851" s="2669"/>
    </row>
    <row r="13852" spans="2:2" ht="23.25" customHeight="1">
      <c r="B13852" s="2669"/>
    </row>
    <row r="13853" spans="2:2" ht="23.25" customHeight="1">
      <c r="B13853" s="2669"/>
    </row>
    <row r="13854" spans="2:2" ht="23.25" customHeight="1">
      <c r="B13854" s="2669"/>
    </row>
    <row r="13855" spans="2:2" ht="23.25" customHeight="1">
      <c r="B13855" s="2669"/>
    </row>
    <row r="13856" spans="2:2" ht="23.25" customHeight="1">
      <c r="B13856" s="2669"/>
    </row>
    <row r="13857" spans="2:2" ht="23.25" customHeight="1">
      <c r="B13857" s="2669"/>
    </row>
    <row r="13858" spans="2:2" ht="23.25" customHeight="1">
      <c r="B13858" s="2669"/>
    </row>
    <row r="13859" spans="2:2" ht="23.25" customHeight="1">
      <c r="B13859" s="2669"/>
    </row>
    <row r="13860" spans="2:2" ht="23.25" customHeight="1">
      <c r="B13860" s="2669"/>
    </row>
    <row r="13861" spans="2:2" ht="23.25" customHeight="1">
      <c r="B13861" s="2669"/>
    </row>
    <row r="13862" spans="2:2" ht="23.25" customHeight="1">
      <c r="B13862" s="2669"/>
    </row>
    <row r="13863" spans="2:2" ht="23.25" customHeight="1">
      <c r="B13863" s="2669"/>
    </row>
    <row r="13864" spans="2:2" ht="23.25" customHeight="1">
      <c r="B13864" s="2669"/>
    </row>
    <row r="13865" spans="2:2" ht="23.25" customHeight="1">
      <c r="B13865" s="2669"/>
    </row>
    <row r="13866" spans="2:2" ht="23.25" customHeight="1">
      <c r="B13866" s="2669"/>
    </row>
    <row r="13867" spans="2:2" ht="23.25" customHeight="1">
      <c r="B13867" s="2669"/>
    </row>
    <row r="13868" spans="2:2" ht="23.25" customHeight="1">
      <c r="B13868" s="2669"/>
    </row>
    <row r="13869" spans="2:2" ht="23.25" customHeight="1">
      <c r="B13869" s="2669"/>
    </row>
    <row r="13870" spans="2:2" ht="23.25" customHeight="1">
      <c r="B13870" s="2669"/>
    </row>
    <row r="13871" spans="2:2" ht="23.25" customHeight="1">
      <c r="B13871" s="2669"/>
    </row>
    <row r="13872" spans="2:2" ht="23.25" customHeight="1">
      <c r="B13872" s="2669"/>
    </row>
    <row r="13873" spans="2:2" ht="23.25" customHeight="1">
      <c r="B13873" s="2669"/>
    </row>
    <row r="13874" spans="2:2" ht="23.25" customHeight="1">
      <c r="B13874" s="2669"/>
    </row>
    <row r="13875" spans="2:2" ht="23.25" customHeight="1">
      <c r="B13875" s="2669"/>
    </row>
    <row r="13876" spans="2:2" ht="23.25" customHeight="1">
      <c r="B13876" s="2669"/>
    </row>
    <row r="13877" spans="2:2" ht="23.25" customHeight="1">
      <c r="B13877" s="2669"/>
    </row>
    <row r="13878" spans="2:2" ht="23.25" customHeight="1">
      <c r="B13878" s="2669"/>
    </row>
    <row r="13879" spans="2:2" ht="23.25" customHeight="1">
      <c r="B13879" s="2669"/>
    </row>
    <row r="13880" spans="2:2" ht="23.25" customHeight="1">
      <c r="B13880" s="2669"/>
    </row>
    <row r="13881" spans="2:2" ht="23.25" customHeight="1">
      <c r="B13881" s="2669"/>
    </row>
    <row r="13882" spans="2:2" ht="23.25" customHeight="1">
      <c r="B13882" s="2669"/>
    </row>
    <row r="13883" spans="2:2" ht="23.25" customHeight="1">
      <c r="B13883" s="2669"/>
    </row>
    <row r="13884" spans="2:2" ht="23.25" customHeight="1">
      <c r="B13884" s="2669"/>
    </row>
    <row r="13885" spans="2:2" ht="23.25" customHeight="1">
      <c r="B13885" s="2669"/>
    </row>
    <row r="13886" spans="2:2" ht="23.25" customHeight="1">
      <c r="B13886" s="2669"/>
    </row>
    <row r="13887" spans="2:2" ht="23.25" customHeight="1">
      <c r="B13887" s="2669"/>
    </row>
    <row r="13888" spans="2:2" ht="23.25" customHeight="1">
      <c r="B13888" s="2669"/>
    </row>
    <row r="13889" spans="2:2" ht="23.25" customHeight="1">
      <c r="B13889" s="2669"/>
    </row>
    <row r="13890" spans="2:2" ht="23.25" customHeight="1">
      <c r="B13890" s="2669"/>
    </row>
    <row r="13891" spans="2:2" ht="23.25" customHeight="1">
      <c r="B13891" s="2669"/>
    </row>
    <row r="13892" spans="2:2" ht="23.25" customHeight="1">
      <c r="B13892" s="2669"/>
    </row>
    <row r="13893" spans="2:2" ht="23.25" customHeight="1">
      <c r="B13893" s="2669"/>
    </row>
    <row r="13894" spans="2:2" ht="23.25" customHeight="1">
      <c r="B13894" s="2669"/>
    </row>
    <row r="13895" spans="2:2" ht="23.25" customHeight="1">
      <c r="B13895" s="2669"/>
    </row>
    <row r="13896" spans="2:2" ht="23.25" customHeight="1">
      <c r="B13896" s="2669"/>
    </row>
    <row r="13897" spans="2:2" ht="23.25" customHeight="1">
      <c r="B13897" s="2669"/>
    </row>
    <row r="13898" spans="2:2" ht="23.25" customHeight="1">
      <c r="B13898" s="2669"/>
    </row>
    <row r="13899" spans="2:2" ht="23.25" customHeight="1">
      <c r="B13899" s="2669"/>
    </row>
    <row r="13900" spans="2:2" ht="23.25" customHeight="1">
      <c r="B13900" s="2669"/>
    </row>
    <row r="13901" spans="2:2" ht="23.25" customHeight="1">
      <c r="B13901" s="2669"/>
    </row>
    <row r="13902" spans="2:2" ht="23.25" customHeight="1">
      <c r="B13902" s="2669"/>
    </row>
    <row r="13903" spans="2:2" ht="23.25" customHeight="1">
      <c r="B13903" s="2669"/>
    </row>
    <row r="13904" spans="2:2" ht="23.25" customHeight="1">
      <c r="B13904" s="2669"/>
    </row>
    <row r="13905" spans="2:2" ht="23.25" customHeight="1">
      <c r="B13905" s="2669"/>
    </row>
    <row r="13906" spans="2:2" ht="23.25" customHeight="1">
      <c r="B13906" s="2669"/>
    </row>
    <row r="13907" spans="2:2" ht="23.25" customHeight="1">
      <c r="B13907" s="2669"/>
    </row>
    <row r="13908" spans="2:2" ht="23.25" customHeight="1">
      <c r="B13908" s="2669"/>
    </row>
    <row r="13909" spans="2:2" ht="23.25" customHeight="1">
      <c r="B13909" s="2669"/>
    </row>
    <row r="13910" spans="2:2" ht="23.25" customHeight="1">
      <c r="B13910" s="2669"/>
    </row>
    <row r="13911" spans="2:2" ht="23.25" customHeight="1">
      <c r="B13911" s="2669"/>
    </row>
    <row r="13912" spans="2:2" ht="23.25" customHeight="1">
      <c r="B13912" s="2669"/>
    </row>
    <row r="13913" spans="2:2" ht="23.25" customHeight="1">
      <c r="B13913" s="2669"/>
    </row>
    <row r="13914" spans="2:2" ht="23.25" customHeight="1">
      <c r="B13914" s="2669"/>
    </row>
    <row r="13915" spans="2:2" ht="23.25" customHeight="1">
      <c r="B13915" s="2669"/>
    </row>
    <row r="13916" spans="2:2" ht="23.25" customHeight="1">
      <c r="B13916" s="2669"/>
    </row>
    <row r="13917" spans="2:2" ht="23.25" customHeight="1">
      <c r="B13917" s="2669"/>
    </row>
    <row r="13918" spans="2:2" ht="23.25" customHeight="1">
      <c r="B13918" s="2669"/>
    </row>
    <row r="13919" spans="2:2" ht="23.25" customHeight="1">
      <c r="B13919" s="2669"/>
    </row>
    <row r="13920" spans="2:2" ht="23.25" customHeight="1">
      <c r="B13920" s="2669"/>
    </row>
    <row r="13921" spans="2:2" ht="23.25" customHeight="1">
      <c r="B13921" s="2669"/>
    </row>
    <row r="13922" spans="2:2" ht="23.25" customHeight="1">
      <c r="B13922" s="2669"/>
    </row>
    <row r="13923" spans="2:2" ht="23.25" customHeight="1">
      <c r="B13923" s="2669"/>
    </row>
    <row r="13924" spans="2:2" ht="23.25" customHeight="1">
      <c r="B13924" s="2669"/>
    </row>
    <row r="13925" spans="2:2" ht="23.25" customHeight="1">
      <c r="B13925" s="2669"/>
    </row>
    <row r="13926" spans="2:2" ht="23.25" customHeight="1">
      <c r="B13926" s="2669"/>
    </row>
    <row r="13927" spans="2:2" ht="23.25" customHeight="1">
      <c r="B13927" s="2669"/>
    </row>
    <row r="13928" spans="2:2" ht="23.25" customHeight="1">
      <c r="B13928" s="2669"/>
    </row>
    <row r="13929" spans="2:2" ht="23.25" customHeight="1">
      <c r="B13929" s="2669"/>
    </row>
    <row r="13930" spans="2:2" ht="23.25" customHeight="1">
      <c r="B13930" s="2669"/>
    </row>
    <row r="13931" spans="2:2" ht="23.25" customHeight="1">
      <c r="B13931" s="2669"/>
    </row>
    <row r="13932" spans="2:2" ht="23.25" customHeight="1">
      <c r="B13932" s="2669"/>
    </row>
    <row r="13933" spans="2:2" ht="23.25" customHeight="1">
      <c r="B13933" s="2669"/>
    </row>
    <row r="13934" spans="2:2" ht="23.25" customHeight="1">
      <c r="B13934" s="2669"/>
    </row>
    <row r="13935" spans="2:2" ht="23.25" customHeight="1">
      <c r="B13935" s="2669"/>
    </row>
    <row r="13936" spans="2:2" ht="23.25" customHeight="1">
      <c r="B13936" s="2669"/>
    </row>
    <row r="13937" spans="2:2" ht="23.25" customHeight="1">
      <c r="B13937" s="2669"/>
    </row>
    <row r="13938" spans="2:2" ht="23.25" customHeight="1">
      <c r="B13938" s="2669"/>
    </row>
    <row r="13939" spans="2:2" ht="23.25" customHeight="1">
      <c r="B13939" s="2669"/>
    </row>
    <row r="13940" spans="2:2" ht="23.25" customHeight="1">
      <c r="B13940" s="2669"/>
    </row>
    <row r="13941" spans="2:2" ht="23.25" customHeight="1">
      <c r="B13941" s="2669"/>
    </row>
    <row r="13942" spans="2:2" ht="23.25" customHeight="1">
      <c r="B13942" s="2669"/>
    </row>
    <row r="13943" spans="2:2" ht="23.25" customHeight="1">
      <c r="B13943" s="2669"/>
    </row>
    <row r="13944" spans="2:2" ht="23.25" customHeight="1">
      <c r="B13944" s="2669"/>
    </row>
    <row r="13945" spans="2:2" ht="23.25" customHeight="1">
      <c r="B13945" s="2669"/>
    </row>
    <row r="13946" spans="2:2" ht="23.25" customHeight="1">
      <c r="B13946" s="2669"/>
    </row>
    <row r="13947" spans="2:2" ht="23.25" customHeight="1">
      <c r="B13947" s="2669"/>
    </row>
    <row r="13948" spans="2:2" ht="23.25" customHeight="1">
      <c r="B13948" s="2669"/>
    </row>
    <row r="13949" spans="2:2" ht="23.25" customHeight="1">
      <c r="B13949" s="2669"/>
    </row>
    <row r="13950" spans="2:2" ht="23.25" customHeight="1">
      <c r="B13950" s="2669"/>
    </row>
    <row r="13951" spans="2:2" ht="23.25" customHeight="1">
      <c r="B13951" s="2669"/>
    </row>
    <row r="13952" spans="2:2" ht="23.25" customHeight="1">
      <c r="B13952" s="2669"/>
    </row>
    <row r="13953" spans="2:2" ht="23.25" customHeight="1">
      <c r="B13953" s="2669"/>
    </row>
    <row r="13954" spans="2:2" ht="23.25" customHeight="1">
      <c r="B13954" s="2669"/>
    </row>
    <row r="13955" spans="2:2" ht="23.25" customHeight="1">
      <c r="B13955" s="2669"/>
    </row>
    <row r="13956" spans="2:2" ht="23.25" customHeight="1">
      <c r="B13956" s="2669"/>
    </row>
    <row r="13957" spans="2:2" ht="23.25" customHeight="1">
      <c r="B13957" s="2669"/>
    </row>
    <row r="13958" spans="2:2" ht="23.25" customHeight="1">
      <c r="B13958" s="2669"/>
    </row>
    <row r="13959" spans="2:2" ht="23.25" customHeight="1">
      <c r="B13959" s="2669"/>
    </row>
    <row r="13960" spans="2:2" ht="23.25" customHeight="1">
      <c r="B13960" s="2669"/>
    </row>
    <row r="13961" spans="2:2" ht="23.25" customHeight="1">
      <c r="B13961" s="2669"/>
    </row>
    <row r="13962" spans="2:2" ht="23.25" customHeight="1">
      <c r="B13962" s="2669"/>
    </row>
    <row r="13963" spans="2:2" ht="23.25" customHeight="1">
      <c r="B13963" s="2669"/>
    </row>
    <row r="13964" spans="2:2" ht="23.25" customHeight="1">
      <c r="B13964" s="2669"/>
    </row>
    <row r="13965" spans="2:2" ht="23.25" customHeight="1">
      <c r="B13965" s="2669"/>
    </row>
    <row r="13966" spans="2:2" ht="23.25" customHeight="1">
      <c r="B13966" s="2669"/>
    </row>
    <row r="13967" spans="2:2" ht="23.25" customHeight="1">
      <c r="B13967" s="2669"/>
    </row>
    <row r="13968" spans="2:2" ht="23.25" customHeight="1">
      <c r="B13968" s="2669"/>
    </row>
    <row r="13969" spans="2:2" ht="23.25" customHeight="1">
      <c r="B13969" s="2669"/>
    </row>
    <row r="13970" spans="2:2" ht="23.25" customHeight="1">
      <c r="B13970" s="2669"/>
    </row>
    <row r="13971" spans="2:2" ht="23.25" customHeight="1">
      <c r="B13971" s="2669"/>
    </row>
    <row r="13972" spans="2:2" ht="23.25" customHeight="1">
      <c r="B13972" s="2669"/>
    </row>
    <row r="13973" spans="2:2" ht="23.25" customHeight="1">
      <c r="B13973" s="2669"/>
    </row>
    <row r="13974" spans="2:2" ht="23.25" customHeight="1">
      <c r="B13974" s="2669"/>
    </row>
    <row r="13975" spans="2:2" ht="23.25" customHeight="1">
      <c r="B13975" s="2669"/>
    </row>
    <row r="13976" spans="2:2" ht="23.25" customHeight="1">
      <c r="B13976" s="2669"/>
    </row>
    <row r="13977" spans="2:2" ht="23.25" customHeight="1">
      <c r="B13977" s="2669"/>
    </row>
    <row r="13978" spans="2:2" ht="23.25" customHeight="1">
      <c r="B13978" s="2669"/>
    </row>
    <row r="13979" spans="2:2" ht="23.25" customHeight="1">
      <c r="B13979" s="2669"/>
    </row>
    <row r="13980" spans="2:2" ht="23.25" customHeight="1">
      <c r="B13980" s="2669"/>
    </row>
    <row r="13981" spans="2:2" ht="23.25" customHeight="1">
      <c r="B13981" s="2669"/>
    </row>
    <row r="13982" spans="2:2" ht="23.25" customHeight="1">
      <c r="B13982" s="2669"/>
    </row>
    <row r="13983" spans="2:2" ht="23.25" customHeight="1">
      <c r="B13983" s="2669"/>
    </row>
    <row r="13984" spans="2:2" ht="23.25" customHeight="1">
      <c r="B13984" s="2669"/>
    </row>
    <row r="13985" spans="2:2" ht="23.25" customHeight="1">
      <c r="B13985" s="2669"/>
    </row>
    <row r="13986" spans="2:2" ht="23.25" customHeight="1">
      <c r="B13986" s="2669"/>
    </row>
    <row r="13987" spans="2:2" ht="23.25" customHeight="1">
      <c r="B13987" s="2669"/>
    </row>
    <row r="13988" spans="2:2" ht="23.25" customHeight="1">
      <c r="B13988" s="2669"/>
    </row>
    <row r="13989" spans="2:2" ht="23.25" customHeight="1">
      <c r="B13989" s="2669"/>
    </row>
    <row r="13990" spans="2:2" ht="23.25" customHeight="1">
      <c r="B13990" s="2669"/>
    </row>
    <row r="13991" spans="2:2" ht="23.25" customHeight="1">
      <c r="B13991" s="2669"/>
    </row>
    <row r="13992" spans="2:2" ht="23.25" customHeight="1">
      <c r="B13992" s="2669"/>
    </row>
    <row r="13993" spans="2:2" ht="23.25" customHeight="1">
      <c r="B13993" s="2669"/>
    </row>
    <row r="13994" spans="2:2" ht="23.25" customHeight="1">
      <c r="B13994" s="2669"/>
    </row>
    <row r="13995" spans="2:2" ht="23.25" customHeight="1">
      <c r="B13995" s="2669"/>
    </row>
    <row r="13996" spans="2:2" ht="23.25" customHeight="1">
      <c r="B13996" s="2669"/>
    </row>
    <row r="13997" spans="2:2" ht="23.25" customHeight="1">
      <c r="B13997" s="2669"/>
    </row>
    <row r="13998" spans="2:2" ht="23.25" customHeight="1">
      <c r="B13998" s="2669"/>
    </row>
    <row r="13999" spans="2:2" ht="23.25" customHeight="1">
      <c r="B13999" s="2669"/>
    </row>
    <row r="14000" spans="2:2" ht="23.25" customHeight="1">
      <c r="B14000" s="2669"/>
    </row>
    <row r="14001" spans="2:2" ht="23.25" customHeight="1">
      <c r="B14001" s="2669"/>
    </row>
    <row r="14002" spans="2:2" ht="23.25" customHeight="1">
      <c r="B14002" s="2669"/>
    </row>
    <row r="14003" spans="2:2" ht="23.25" customHeight="1">
      <c r="B14003" s="2669"/>
    </row>
    <row r="14004" spans="2:2" ht="23.25" customHeight="1">
      <c r="B14004" s="2669"/>
    </row>
    <row r="14005" spans="2:2" ht="23.25" customHeight="1">
      <c r="B14005" s="2669"/>
    </row>
    <row r="14006" spans="2:2" ht="23.25" customHeight="1">
      <c r="B14006" s="2669"/>
    </row>
    <row r="14007" spans="2:2" ht="23.25" customHeight="1">
      <c r="B14007" s="2669"/>
    </row>
    <row r="14008" spans="2:2" ht="23.25" customHeight="1">
      <c r="B14008" s="2669"/>
    </row>
    <row r="14009" spans="2:2" ht="23.25" customHeight="1">
      <c r="B14009" s="2669"/>
    </row>
    <row r="14010" spans="2:2" ht="23.25" customHeight="1">
      <c r="B14010" s="2669"/>
    </row>
    <row r="14011" spans="2:2" ht="23.25" customHeight="1">
      <c r="B14011" s="2669"/>
    </row>
    <row r="14012" spans="2:2" ht="23.25" customHeight="1">
      <c r="B14012" s="2669"/>
    </row>
    <row r="14013" spans="2:2" ht="23.25" customHeight="1">
      <c r="B14013" s="2669"/>
    </row>
    <row r="14014" spans="2:2" ht="23.25" customHeight="1">
      <c r="B14014" s="2669"/>
    </row>
    <row r="14015" spans="2:2" ht="23.25" customHeight="1">
      <c r="B14015" s="2669"/>
    </row>
    <row r="14016" spans="2:2" ht="23.25" customHeight="1">
      <c r="B14016" s="2669"/>
    </row>
    <row r="14017" spans="2:2" ht="23.25" customHeight="1">
      <c r="B14017" s="2669"/>
    </row>
    <row r="14018" spans="2:2" ht="23.25" customHeight="1">
      <c r="B14018" s="2669"/>
    </row>
    <row r="14019" spans="2:2" ht="23.25" customHeight="1">
      <c r="B14019" s="2669"/>
    </row>
    <row r="14020" spans="2:2" ht="23.25" customHeight="1">
      <c r="B14020" s="2669"/>
    </row>
    <row r="14021" spans="2:2" ht="23.25" customHeight="1">
      <c r="B14021" s="2669"/>
    </row>
    <row r="14022" spans="2:2" ht="23.25" customHeight="1">
      <c r="B14022" s="2669"/>
    </row>
    <row r="14023" spans="2:2" ht="23.25" customHeight="1">
      <c r="B14023" s="2669"/>
    </row>
    <row r="14024" spans="2:2" ht="23.25" customHeight="1">
      <c r="B14024" s="2669"/>
    </row>
    <row r="14025" spans="2:2" ht="23.25" customHeight="1">
      <c r="B14025" s="2669"/>
    </row>
    <row r="14026" spans="2:2" ht="23.25" customHeight="1">
      <c r="B14026" s="2669"/>
    </row>
    <row r="14027" spans="2:2" ht="23.25" customHeight="1">
      <c r="B14027" s="2669"/>
    </row>
    <row r="14028" spans="2:2" ht="23.25" customHeight="1">
      <c r="B14028" s="2669"/>
    </row>
    <row r="14029" spans="2:2" ht="23.25" customHeight="1">
      <c r="B14029" s="2669"/>
    </row>
    <row r="14030" spans="2:2" ht="23.25" customHeight="1">
      <c r="B14030" s="2669"/>
    </row>
    <row r="14031" spans="2:2" ht="23.25" customHeight="1">
      <c r="B14031" s="2669"/>
    </row>
    <row r="14032" spans="2:2" ht="23.25" customHeight="1">
      <c r="B14032" s="2669"/>
    </row>
    <row r="14033" spans="2:2" ht="23.25" customHeight="1">
      <c r="B14033" s="2669"/>
    </row>
    <row r="14034" spans="2:2" ht="23.25" customHeight="1">
      <c r="B14034" s="2669"/>
    </row>
    <row r="14035" spans="2:2" ht="23.25" customHeight="1">
      <c r="B14035" s="2669"/>
    </row>
    <row r="14036" spans="2:2" ht="23.25" customHeight="1">
      <c r="B14036" s="2669"/>
    </row>
    <row r="14037" spans="2:2" ht="23.25" customHeight="1">
      <c r="B14037" s="2669"/>
    </row>
    <row r="14038" spans="2:2" ht="23.25" customHeight="1">
      <c r="B14038" s="2669"/>
    </row>
    <row r="14039" spans="2:2" ht="23.25" customHeight="1">
      <c r="B14039" s="2669"/>
    </row>
    <row r="14040" spans="2:2" ht="23.25" customHeight="1">
      <c r="B14040" s="2669"/>
    </row>
    <row r="14041" spans="2:2" ht="23.25" customHeight="1">
      <c r="B14041" s="2669"/>
    </row>
    <row r="14042" spans="2:2" ht="23.25" customHeight="1">
      <c r="B14042" s="2669"/>
    </row>
    <row r="14043" spans="2:2" ht="23.25" customHeight="1">
      <c r="B14043" s="2669"/>
    </row>
    <row r="14044" spans="2:2" ht="23.25" customHeight="1">
      <c r="B14044" s="2669"/>
    </row>
    <row r="14045" spans="2:2" ht="23.25" customHeight="1">
      <c r="B14045" s="2669"/>
    </row>
    <row r="14046" spans="2:2" ht="23.25" customHeight="1">
      <c r="B14046" s="2669"/>
    </row>
    <row r="14047" spans="2:2" ht="23.25" customHeight="1">
      <c r="B14047" s="2669"/>
    </row>
    <row r="14048" spans="2:2" ht="23.25" customHeight="1">
      <c r="B14048" s="2669"/>
    </row>
    <row r="14049" spans="2:2" ht="23.25" customHeight="1">
      <c r="B14049" s="2669"/>
    </row>
    <row r="14050" spans="2:2" ht="23.25" customHeight="1">
      <c r="B14050" s="2669"/>
    </row>
    <row r="14051" spans="2:2" ht="23.25" customHeight="1">
      <c r="B14051" s="2669"/>
    </row>
    <row r="14052" spans="2:2" ht="23.25" customHeight="1">
      <c r="B14052" s="2669"/>
    </row>
    <row r="14053" spans="2:2" ht="23.25" customHeight="1">
      <c r="B14053" s="2669"/>
    </row>
    <row r="14054" spans="2:2" ht="23.25" customHeight="1">
      <c r="B14054" s="2669"/>
    </row>
    <row r="14055" spans="2:2" ht="23.25" customHeight="1">
      <c r="B14055" s="2669"/>
    </row>
    <row r="14056" spans="2:2" ht="23.25" customHeight="1">
      <c r="B14056" s="2669"/>
    </row>
    <row r="14057" spans="2:2" ht="23.25" customHeight="1">
      <c r="B14057" s="2669"/>
    </row>
    <row r="14058" spans="2:2" ht="23.25" customHeight="1">
      <c r="B14058" s="2669"/>
    </row>
    <row r="14059" spans="2:2" ht="23.25" customHeight="1">
      <c r="B14059" s="2669"/>
    </row>
    <row r="14060" spans="2:2" ht="23.25" customHeight="1">
      <c r="B14060" s="2669"/>
    </row>
    <row r="14061" spans="2:2" ht="23.25" customHeight="1">
      <c r="B14061" s="2669"/>
    </row>
    <row r="14062" spans="2:2" ht="23.25" customHeight="1">
      <c r="B14062" s="2669"/>
    </row>
    <row r="14063" spans="2:2" ht="23.25" customHeight="1">
      <c r="B14063" s="2669"/>
    </row>
    <row r="14064" spans="2:2" ht="23.25" customHeight="1">
      <c r="B14064" s="2669"/>
    </row>
    <row r="14065" spans="2:2" ht="23.25" customHeight="1">
      <c r="B14065" s="2669"/>
    </row>
    <row r="14066" spans="2:2" ht="23.25" customHeight="1">
      <c r="B14066" s="2669"/>
    </row>
    <row r="14067" spans="2:2" ht="23.25" customHeight="1">
      <c r="B14067" s="2669"/>
    </row>
    <row r="14068" spans="2:2" ht="23.25" customHeight="1">
      <c r="B14068" s="2669"/>
    </row>
    <row r="14069" spans="2:2" ht="23.25" customHeight="1">
      <c r="B14069" s="2669"/>
    </row>
    <row r="14070" spans="2:2" ht="23.25" customHeight="1">
      <c r="B14070" s="2669"/>
    </row>
    <row r="14071" spans="2:2" ht="23.25" customHeight="1">
      <c r="B14071" s="2669"/>
    </row>
    <row r="14072" spans="2:2" ht="23.25" customHeight="1">
      <c r="B14072" s="2669"/>
    </row>
    <row r="14073" spans="2:2" ht="23.25" customHeight="1">
      <c r="B14073" s="2669"/>
    </row>
    <row r="14074" spans="2:2" ht="23.25" customHeight="1">
      <c r="B14074" s="2669"/>
    </row>
    <row r="14075" spans="2:2" ht="23.25" customHeight="1">
      <c r="B14075" s="2669"/>
    </row>
    <row r="14076" spans="2:2" ht="23.25" customHeight="1">
      <c r="B14076" s="2669"/>
    </row>
    <row r="14077" spans="2:2" ht="23.25" customHeight="1">
      <c r="B14077" s="2669"/>
    </row>
    <row r="14078" spans="2:2" ht="23.25" customHeight="1">
      <c r="B14078" s="2669"/>
    </row>
    <row r="14079" spans="2:2" ht="23.25" customHeight="1">
      <c r="B14079" s="2669"/>
    </row>
    <row r="14080" spans="2:2" ht="23.25" customHeight="1">
      <c r="B14080" s="2669"/>
    </row>
    <row r="14081" spans="2:2" ht="23.25" customHeight="1">
      <c r="B14081" s="2669"/>
    </row>
    <row r="14082" spans="2:2" ht="23.25" customHeight="1">
      <c r="B14082" s="2669"/>
    </row>
    <row r="14083" spans="2:2" ht="23.25" customHeight="1">
      <c r="B14083" s="2669"/>
    </row>
    <row r="14084" spans="2:2" ht="23.25" customHeight="1">
      <c r="B14084" s="2669"/>
    </row>
    <row r="14085" spans="2:2" ht="23.25" customHeight="1">
      <c r="B14085" s="2669"/>
    </row>
    <row r="14086" spans="2:2" ht="23.25" customHeight="1">
      <c r="B14086" s="2669"/>
    </row>
    <row r="14087" spans="2:2" ht="23.25" customHeight="1">
      <c r="B14087" s="2669"/>
    </row>
    <row r="14088" spans="2:2" ht="23.25" customHeight="1">
      <c r="B14088" s="2669"/>
    </row>
    <row r="14089" spans="2:2" ht="23.25" customHeight="1">
      <c r="B14089" s="2669"/>
    </row>
    <row r="14090" spans="2:2" ht="23.25" customHeight="1">
      <c r="B14090" s="2669"/>
    </row>
    <row r="14091" spans="2:2" ht="23.25" customHeight="1">
      <c r="B14091" s="2669"/>
    </row>
    <row r="14092" spans="2:2" ht="23.25" customHeight="1">
      <c r="B14092" s="2669"/>
    </row>
    <row r="14093" spans="2:2" ht="23.25" customHeight="1">
      <c r="B14093" s="2669"/>
    </row>
    <row r="14094" spans="2:2" ht="23.25" customHeight="1">
      <c r="B14094" s="2669"/>
    </row>
    <row r="14095" spans="2:2" ht="23.25" customHeight="1">
      <c r="B14095" s="2669"/>
    </row>
    <row r="14096" spans="2:2" ht="23.25" customHeight="1">
      <c r="B14096" s="2669"/>
    </row>
    <row r="14097" spans="2:2" ht="23.25" customHeight="1">
      <c r="B14097" s="2669"/>
    </row>
    <row r="14098" spans="2:2" ht="23.25" customHeight="1">
      <c r="B14098" s="2669"/>
    </row>
    <row r="14099" spans="2:2" ht="23.25" customHeight="1">
      <c r="B14099" s="2669"/>
    </row>
    <row r="14100" spans="2:2" ht="23.25" customHeight="1">
      <c r="B14100" s="2669"/>
    </row>
    <row r="14101" spans="2:2" ht="23.25" customHeight="1">
      <c r="B14101" s="2669"/>
    </row>
    <row r="14102" spans="2:2" ht="23.25" customHeight="1">
      <c r="B14102" s="2669"/>
    </row>
    <row r="14103" spans="2:2" ht="23.25" customHeight="1">
      <c r="B14103" s="2669"/>
    </row>
    <row r="14104" spans="2:2" ht="23.25" customHeight="1">
      <c r="B14104" s="2669"/>
    </row>
    <row r="14105" spans="2:2" ht="23.25" customHeight="1">
      <c r="B14105" s="2669"/>
    </row>
    <row r="14106" spans="2:2" ht="23.25" customHeight="1">
      <c r="B14106" s="2669"/>
    </row>
    <row r="14107" spans="2:2" ht="23.25" customHeight="1">
      <c r="B14107" s="2669"/>
    </row>
    <row r="14108" spans="2:2" ht="23.25" customHeight="1">
      <c r="B14108" s="2669"/>
    </row>
    <row r="14109" spans="2:2" ht="23.25" customHeight="1">
      <c r="B14109" s="2669"/>
    </row>
    <row r="14110" spans="2:2" ht="23.25" customHeight="1">
      <c r="B14110" s="2669"/>
    </row>
    <row r="14111" spans="2:2" ht="23.25" customHeight="1">
      <c r="B14111" s="2669"/>
    </row>
    <row r="14112" spans="2:2" ht="23.25" customHeight="1">
      <c r="B14112" s="2669"/>
    </row>
    <row r="14113" spans="2:2" ht="23.25" customHeight="1">
      <c r="B14113" s="2669"/>
    </row>
    <row r="14114" spans="2:2" ht="23.25" customHeight="1">
      <c r="B14114" s="2669"/>
    </row>
    <row r="14115" spans="2:2" ht="23.25" customHeight="1">
      <c r="B14115" s="2669"/>
    </row>
    <row r="14116" spans="2:2" ht="23.25" customHeight="1">
      <c r="B14116" s="2669"/>
    </row>
    <row r="14117" spans="2:2" ht="23.25" customHeight="1">
      <c r="B14117" s="2669"/>
    </row>
    <row r="14118" spans="2:2" ht="23.25" customHeight="1">
      <c r="B14118" s="2669"/>
    </row>
    <row r="14119" spans="2:2" ht="23.25" customHeight="1">
      <c r="B14119" s="2669"/>
    </row>
    <row r="14120" spans="2:2" ht="23.25" customHeight="1">
      <c r="B14120" s="2669"/>
    </row>
    <row r="14121" spans="2:2" ht="23.25" customHeight="1">
      <c r="B14121" s="2669"/>
    </row>
    <row r="14122" spans="2:2" ht="23.25" customHeight="1">
      <c r="B14122" s="2669"/>
    </row>
    <row r="14123" spans="2:2" ht="23.25" customHeight="1">
      <c r="B14123" s="2669"/>
    </row>
    <row r="14124" spans="2:2" ht="23.25" customHeight="1">
      <c r="B14124" s="2669"/>
    </row>
    <row r="14125" spans="2:2" ht="23.25" customHeight="1">
      <c r="B14125" s="2669"/>
    </row>
    <row r="14126" spans="2:2" ht="23.25" customHeight="1">
      <c r="B14126" s="2669"/>
    </row>
    <row r="14127" spans="2:2" ht="23.25" customHeight="1">
      <c r="B14127" s="2669"/>
    </row>
    <row r="14128" spans="2:2" ht="23.25" customHeight="1">
      <c r="B14128" s="2669"/>
    </row>
    <row r="14129" spans="2:2" ht="23.25" customHeight="1">
      <c r="B14129" s="2669"/>
    </row>
    <row r="14130" spans="2:2" ht="23.25" customHeight="1">
      <c r="B14130" s="2669"/>
    </row>
    <row r="14131" spans="2:2" ht="23.25" customHeight="1">
      <c r="B14131" s="2669"/>
    </row>
    <row r="14132" spans="2:2" ht="23.25" customHeight="1">
      <c r="B14132" s="2669"/>
    </row>
    <row r="14133" spans="2:2" ht="23.25" customHeight="1">
      <c r="B14133" s="2669"/>
    </row>
    <row r="14134" spans="2:2" ht="23.25" customHeight="1">
      <c r="B14134" s="2669"/>
    </row>
    <row r="14135" spans="2:2" ht="23.25" customHeight="1">
      <c r="B14135" s="2669"/>
    </row>
    <row r="14136" spans="2:2" ht="23.25" customHeight="1">
      <c r="B14136" s="2669"/>
    </row>
    <row r="14137" spans="2:2" ht="23.25" customHeight="1">
      <c r="B14137" s="2669"/>
    </row>
    <row r="14138" spans="2:2" ht="23.25" customHeight="1">
      <c r="B14138" s="2669"/>
    </row>
    <row r="14139" spans="2:2" ht="23.25" customHeight="1">
      <c r="B14139" s="2669"/>
    </row>
    <row r="14140" spans="2:2" ht="23.25" customHeight="1">
      <c r="B14140" s="2669"/>
    </row>
    <row r="14141" spans="2:2" ht="23.25" customHeight="1">
      <c r="B14141" s="2669"/>
    </row>
    <row r="14142" spans="2:2" ht="23.25" customHeight="1">
      <c r="B14142" s="2669"/>
    </row>
    <row r="14143" spans="2:2" ht="23.25" customHeight="1">
      <c r="B14143" s="2669"/>
    </row>
    <row r="14144" spans="2:2" ht="23.25" customHeight="1">
      <c r="B14144" s="2669"/>
    </row>
    <row r="14145" spans="2:2" ht="23.25" customHeight="1">
      <c r="B14145" s="2669"/>
    </row>
    <row r="14146" spans="2:2" ht="23.25" customHeight="1">
      <c r="B14146" s="2669"/>
    </row>
    <row r="14147" spans="2:2" ht="23.25" customHeight="1">
      <c r="B14147" s="2669"/>
    </row>
    <row r="14148" spans="2:2" ht="23.25" customHeight="1">
      <c r="B14148" s="2669"/>
    </row>
    <row r="14149" spans="2:2" ht="23.25" customHeight="1">
      <c r="B14149" s="2669"/>
    </row>
    <row r="14150" spans="2:2" ht="23.25" customHeight="1">
      <c r="B14150" s="2669"/>
    </row>
    <row r="14151" spans="2:2" ht="23.25" customHeight="1">
      <c r="B14151" s="2669"/>
    </row>
    <row r="14152" spans="2:2" ht="23.25" customHeight="1">
      <c r="B14152" s="2669"/>
    </row>
    <row r="14153" spans="2:2" ht="23.25" customHeight="1">
      <c r="B14153" s="2669"/>
    </row>
    <row r="14154" spans="2:2" ht="23.25" customHeight="1">
      <c r="B14154" s="2669"/>
    </row>
    <row r="14155" spans="2:2" ht="23.25" customHeight="1">
      <c r="B14155" s="2669"/>
    </row>
    <row r="14156" spans="2:2" ht="23.25" customHeight="1">
      <c r="B14156" s="2669"/>
    </row>
    <row r="14157" spans="2:2" ht="23.25" customHeight="1">
      <c r="B14157" s="2669"/>
    </row>
    <row r="14158" spans="2:2" ht="23.25" customHeight="1">
      <c r="B14158" s="2669"/>
    </row>
    <row r="14159" spans="2:2" ht="23.25" customHeight="1">
      <c r="B14159" s="2669"/>
    </row>
    <row r="14160" spans="2:2" ht="23.25" customHeight="1">
      <c r="B14160" s="2669"/>
    </row>
    <row r="14161" spans="2:2" ht="23.25" customHeight="1">
      <c r="B14161" s="2669"/>
    </row>
    <row r="14162" spans="2:2" ht="23.25" customHeight="1">
      <c r="B14162" s="2669"/>
    </row>
    <row r="14163" spans="2:2" ht="23.25" customHeight="1">
      <c r="B14163" s="2669"/>
    </row>
    <row r="14164" spans="2:2" ht="23.25" customHeight="1">
      <c r="B14164" s="2669"/>
    </row>
    <row r="14165" spans="2:2" ht="23.25" customHeight="1">
      <c r="B14165" s="2669"/>
    </row>
    <row r="14166" spans="2:2" ht="23.25" customHeight="1">
      <c r="B14166" s="2669"/>
    </row>
    <row r="14167" spans="2:2" ht="23.25" customHeight="1">
      <c r="B14167" s="2669"/>
    </row>
    <row r="14168" spans="2:2" ht="23.25" customHeight="1">
      <c r="B14168" s="2669"/>
    </row>
    <row r="14169" spans="2:2" ht="23.25" customHeight="1">
      <c r="B14169" s="2669"/>
    </row>
    <row r="14170" spans="2:2" ht="23.25" customHeight="1">
      <c r="B14170" s="2669"/>
    </row>
    <row r="14171" spans="2:2" ht="23.25" customHeight="1">
      <c r="B14171" s="2669"/>
    </row>
    <row r="14172" spans="2:2" ht="23.25" customHeight="1">
      <c r="B14172" s="2669"/>
    </row>
    <row r="14173" spans="2:2" ht="23.25" customHeight="1">
      <c r="B14173" s="2669"/>
    </row>
    <row r="14174" spans="2:2" ht="23.25" customHeight="1">
      <c r="B14174" s="2669"/>
    </row>
    <row r="14175" spans="2:2" ht="23.25" customHeight="1">
      <c r="B14175" s="2669"/>
    </row>
    <row r="14176" spans="2:2" ht="23.25" customHeight="1">
      <c r="B14176" s="2669"/>
    </row>
    <row r="14177" spans="2:2" ht="23.25" customHeight="1">
      <c r="B14177" s="2669"/>
    </row>
    <row r="14178" spans="2:2" ht="23.25" customHeight="1">
      <c r="B14178" s="2669"/>
    </row>
    <row r="14179" spans="2:2" ht="23.25" customHeight="1">
      <c r="B14179" s="2669"/>
    </row>
    <row r="14180" spans="2:2" ht="23.25" customHeight="1">
      <c r="B14180" s="2669"/>
    </row>
    <row r="14181" spans="2:2" ht="23.25" customHeight="1">
      <c r="B14181" s="2669"/>
    </row>
    <row r="14182" spans="2:2" ht="23.25" customHeight="1">
      <c r="B14182" s="2669"/>
    </row>
    <row r="14183" spans="2:2" ht="23.25" customHeight="1">
      <c r="B14183" s="2669"/>
    </row>
    <row r="14184" spans="2:2" ht="23.25" customHeight="1">
      <c r="B14184" s="2669"/>
    </row>
    <row r="14185" spans="2:2" ht="23.25" customHeight="1">
      <c r="B14185" s="2669"/>
    </row>
    <row r="14186" spans="2:2" ht="23.25" customHeight="1">
      <c r="B14186" s="2669"/>
    </row>
    <row r="14187" spans="2:2" ht="23.25" customHeight="1">
      <c r="B14187" s="2669"/>
    </row>
    <row r="14188" spans="2:2" ht="23.25" customHeight="1">
      <c r="B14188" s="2669"/>
    </row>
    <row r="14189" spans="2:2" ht="23.25" customHeight="1">
      <c r="B14189" s="2669"/>
    </row>
    <row r="14190" spans="2:2" ht="23.25" customHeight="1">
      <c r="B14190" s="2669"/>
    </row>
    <row r="14191" spans="2:2" ht="23.25" customHeight="1">
      <c r="B14191" s="2669"/>
    </row>
    <row r="14192" spans="2:2" ht="23.25" customHeight="1">
      <c r="B14192" s="2669"/>
    </row>
    <row r="14193" spans="2:2" ht="23.25" customHeight="1">
      <c r="B14193" s="2669"/>
    </row>
    <row r="14194" spans="2:2" ht="23.25" customHeight="1">
      <c r="B14194" s="2669"/>
    </row>
    <row r="14195" spans="2:2" ht="23.25" customHeight="1">
      <c r="B14195" s="2669"/>
    </row>
    <row r="14196" spans="2:2" ht="23.25" customHeight="1">
      <c r="B14196" s="2669"/>
    </row>
    <row r="14197" spans="2:2" ht="23.25" customHeight="1">
      <c r="B14197" s="2669"/>
    </row>
    <row r="14198" spans="2:2" ht="23.25" customHeight="1">
      <c r="B14198" s="2669"/>
    </row>
    <row r="14199" spans="2:2" ht="23.25" customHeight="1">
      <c r="B14199" s="2669"/>
    </row>
    <row r="14200" spans="2:2" ht="23.25" customHeight="1">
      <c r="B14200" s="2669"/>
    </row>
    <row r="14201" spans="2:2" ht="23.25" customHeight="1">
      <c r="B14201" s="2669"/>
    </row>
    <row r="14202" spans="2:2" ht="23.25" customHeight="1">
      <c r="B14202" s="2669"/>
    </row>
    <row r="14203" spans="2:2" ht="23.25" customHeight="1">
      <c r="B14203" s="2669"/>
    </row>
    <row r="14204" spans="2:2" ht="23.25" customHeight="1">
      <c r="B14204" s="2669"/>
    </row>
    <row r="14205" spans="2:2" ht="23.25" customHeight="1">
      <c r="B14205" s="2669"/>
    </row>
    <row r="14206" spans="2:2" ht="23.25" customHeight="1">
      <c r="B14206" s="2669"/>
    </row>
    <row r="14207" spans="2:2" ht="23.25" customHeight="1">
      <c r="B14207" s="2669"/>
    </row>
    <row r="14208" spans="2:2" ht="23.25" customHeight="1">
      <c r="B14208" s="2669"/>
    </row>
    <row r="14209" spans="2:2" ht="23.25" customHeight="1">
      <c r="B14209" s="2669"/>
    </row>
    <row r="14210" spans="2:2" ht="23.25" customHeight="1">
      <c r="B14210" s="2669"/>
    </row>
    <row r="14211" spans="2:2" ht="23.25" customHeight="1">
      <c r="B14211" s="2669"/>
    </row>
    <row r="14212" spans="2:2" ht="23.25" customHeight="1">
      <c r="B14212" s="2669"/>
    </row>
    <row r="14213" spans="2:2" ht="23.25" customHeight="1">
      <c r="B14213" s="2669"/>
    </row>
    <row r="14214" spans="2:2" ht="23.25" customHeight="1">
      <c r="B14214" s="2669"/>
    </row>
    <row r="14215" spans="2:2" ht="23.25" customHeight="1">
      <c r="B14215" s="2669"/>
    </row>
    <row r="14216" spans="2:2" ht="23.25" customHeight="1">
      <c r="B14216" s="2669"/>
    </row>
    <row r="14217" spans="2:2" ht="23.25" customHeight="1">
      <c r="B14217" s="2669"/>
    </row>
    <row r="14218" spans="2:2" ht="23.25" customHeight="1">
      <c r="B14218" s="2669"/>
    </row>
    <row r="14219" spans="2:2" ht="23.25" customHeight="1">
      <c r="B14219" s="2669"/>
    </row>
    <row r="14220" spans="2:2" ht="23.25" customHeight="1">
      <c r="B14220" s="2669"/>
    </row>
    <row r="14221" spans="2:2" ht="23.25" customHeight="1">
      <c r="B14221" s="2669"/>
    </row>
    <row r="14222" spans="2:2" ht="23.25" customHeight="1">
      <c r="B14222" s="2669"/>
    </row>
    <row r="14223" spans="2:2" ht="23.25" customHeight="1">
      <c r="B14223" s="2669"/>
    </row>
    <row r="14224" spans="2:2" ht="23.25" customHeight="1">
      <c r="B14224" s="2669"/>
    </row>
    <row r="14225" spans="2:2" ht="23.25" customHeight="1">
      <c r="B14225" s="2669"/>
    </row>
    <row r="14226" spans="2:2" ht="23.25" customHeight="1">
      <c r="B14226" s="2669"/>
    </row>
    <row r="14227" spans="2:2" ht="23.25" customHeight="1">
      <c r="B14227" s="2669"/>
    </row>
    <row r="14228" spans="2:2" ht="23.25" customHeight="1">
      <c r="B14228" s="2669"/>
    </row>
    <row r="14229" spans="2:2" ht="23.25" customHeight="1">
      <c r="B14229" s="2669"/>
    </row>
    <row r="14230" spans="2:2" ht="23.25" customHeight="1">
      <c r="B14230" s="2669"/>
    </row>
    <row r="14231" spans="2:2" ht="23.25" customHeight="1">
      <c r="B14231" s="2669"/>
    </row>
    <row r="14232" spans="2:2" ht="23.25" customHeight="1">
      <c r="B14232" s="2669"/>
    </row>
    <row r="14233" spans="2:2" ht="23.25" customHeight="1">
      <c r="B14233" s="2669"/>
    </row>
    <row r="14234" spans="2:2" ht="23.25" customHeight="1">
      <c r="B14234" s="2669"/>
    </row>
    <row r="14235" spans="2:2" ht="23.25" customHeight="1">
      <c r="B14235" s="2669"/>
    </row>
    <row r="14236" spans="2:2" ht="23.25" customHeight="1">
      <c r="B14236" s="2669"/>
    </row>
    <row r="14237" spans="2:2" ht="23.25" customHeight="1">
      <c r="B14237" s="2669"/>
    </row>
    <row r="14238" spans="2:2" ht="23.25" customHeight="1">
      <c r="B14238" s="2669"/>
    </row>
    <row r="14239" spans="2:2" ht="23.25" customHeight="1">
      <c r="B14239" s="2669"/>
    </row>
    <row r="14240" spans="2:2" ht="23.25" customHeight="1">
      <c r="B14240" s="2669"/>
    </row>
    <row r="14241" spans="2:2" ht="23.25" customHeight="1">
      <c r="B14241" s="2669"/>
    </row>
    <row r="14242" spans="2:2" ht="23.25" customHeight="1">
      <c r="B14242" s="2669"/>
    </row>
    <row r="14243" spans="2:2" ht="23.25" customHeight="1">
      <c r="B14243" s="2669"/>
    </row>
    <row r="14244" spans="2:2" ht="23.25" customHeight="1">
      <c r="B14244" s="2669"/>
    </row>
    <row r="14245" spans="2:2" ht="23.25" customHeight="1">
      <c r="B14245" s="2669"/>
    </row>
    <row r="14246" spans="2:2" ht="23.25" customHeight="1">
      <c r="B14246" s="2669"/>
    </row>
    <row r="14247" spans="2:2" ht="23.25" customHeight="1">
      <c r="B14247" s="2669"/>
    </row>
    <row r="14248" spans="2:2" ht="23.25" customHeight="1">
      <c r="B14248" s="2669"/>
    </row>
    <row r="14249" spans="2:2" ht="23.25" customHeight="1">
      <c r="B14249" s="2669"/>
    </row>
    <row r="14250" spans="2:2" ht="23.25" customHeight="1">
      <c r="B14250" s="2669"/>
    </row>
    <row r="14251" spans="2:2" ht="23.25" customHeight="1">
      <c r="B14251" s="2669"/>
    </row>
    <row r="14252" spans="2:2" ht="23.25" customHeight="1">
      <c r="B14252" s="2669"/>
    </row>
    <row r="14253" spans="2:2" ht="23.25" customHeight="1">
      <c r="B14253" s="2669"/>
    </row>
    <row r="14254" spans="2:2" ht="23.25" customHeight="1">
      <c r="B14254" s="2669"/>
    </row>
    <row r="14255" spans="2:2" ht="23.25" customHeight="1">
      <c r="B14255" s="2669"/>
    </row>
    <row r="14256" spans="2:2" ht="23.25" customHeight="1">
      <c r="B14256" s="2669"/>
    </row>
    <row r="14257" spans="2:2" ht="23.25" customHeight="1">
      <c r="B14257" s="2669"/>
    </row>
    <row r="14258" spans="2:2" ht="23.25" customHeight="1">
      <c r="B14258" s="2669"/>
    </row>
    <row r="14259" spans="2:2" ht="23.25" customHeight="1">
      <c r="B14259" s="2669"/>
    </row>
    <row r="14260" spans="2:2" ht="23.25" customHeight="1">
      <c r="B14260" s="2669"/>
    </row>
    <row r="14261" spans="2:2" ht="23.25" customHeight="1">
      <c r="B14261" s="2669"/>
    </row>
    <row r="14262" spans="2:2" ht="23.25" customHeight="1">
      <c r="B14262" s="2669"/>
    </row>
    <row r="14263" spans="2:2" ht="23.25" customHeight="1">
      <c r="B14263" s="2669"/>
    </row>
    <row r="14264" spans="2:2" ht="23.25" customHeight="1">
      <c r="B14264" s="2669"/>
    </row>
    <row r="14265" spans="2:2" ht="23.25" customHeight="1">
      <c r="B14265" s="2669"/>
    </row>
    <row r="14266" spans="2:2" ht="23.25" customHeight="1">
      <c r="B14266" s="2669"/>
    </row>
    <row r="14267" spans="2:2" ht="23.25" customHeight="1">
      <c r="B14267" s="2669"/>
    </row>
    <row r="14268" spans="2:2" ht="23.25" customHeight="1">
      <c r="B14268" s="2669"/>
    </row>
    <row r="14269" spans="2:2" ht="23.25" customHeight="1">
      <c r="B14269" s="2669"/>
    </row>
    <row r="14270" spans="2:2" ht="23.25" customHeight="1">
      <c r="B14270" s="2669"/>
    </row>
    <row r="14271" spans="2:2" ht="23.25" customHeight="1">
      <c r="B14271" s="2669"/>
    </row>
    <row r="14272" spans="2:2" ht="23.25" customHeight="1">
      <c r="B14272" s="2669"/>
    </row>
    <row r="14273" spans="2:2" ht="23.25" customHeight="1">
      <c r="B14273" s="2669"/>
    </row>
    <row r="14274" spans="2:2" ht="23.25" customHeight="1">
      <c r="B14274" s="2669"/>
    </row>
    <row r="14275" spans="2:2" ht="23.25" customHeight="1">
      <c r="B14275" s="2669"/>
    </row>
    <row r="14276" spans="2:2" ht="23.25" customHeight="1">
      <c r="B14276" s="2669"/>
    </row>
    <row r="14277" spans="2:2" ht="23.25" customHeight="1">
      <c r="B14277" s="2669"/>
    </row>
    <row r="14278" spans="2:2" ht="23.25" customHeight="1">
      <c r="B14278" s="2669"/>
    </row>
    <row r="14279" spans="2:2" ht="23.25" customHeight="1">
      <c r="B14279" s="2669"/>
    </row>
    <row r="14280" spans="2:2" ht="23.25" customHeight="1">
      <c r="B14280" s="2669"/>
    </row>
    <row r="14281" spans="2:2" ht="23.25" customHeight="1">
      <c r="B14281" s="2669"/>
    </row>
    <row r="14282" spans="2:2" ht="23.25" customHeight="1">
      <c r="B14282" s="2669"/>
    </row>
    <row r="14283" spans="2:2" ht="23.25" customHeight="1">
      <c r="B14283" s="2669"/>
    </row>
    <row r="14284" spans="2:2" ht="23.25" customHeight="1">
      <c r="B14284" s="2669"/>
    </row>
    <row r="14285" spans="2:2" ht="23.25" customHeight="1">
      <c r="B14285" s="2669"/>
    </row>
    <row r="14286" spans="2:2" ht="23.25" customHeight="1">
      <c r="B14286" s="2669"/>
    </row>
    <row r="14287" spans="2:2" ht="23.25" customHeight="1">
      <c r="B14287" s="2669"/>
    </row>
    <row r="14288" spans="2:2" ht="23.25" customHeight="1">
      <c r="B14288" s="2669"/>
    </row>
    <row r="14289" spans="2:2" ht="23.25" customHeight="1">
      <c r="B14289" s="2669"/>
    </row>
    <row r="14290" spans="2:2" ht="23.25" customHeight="1">
      <c r="B14290" s="2669"/>
    </row>
    <row r="14291" spans="2:2" ht="23.25" customHeight="1">
      <c r="B14291" s="2669"/>
    </row>
    <row r="14292" spans="2:2" ht="23.25" customHeight="1">
      <c r="B14292" s="2669"/>
    </row>
    <row r="14293" spans="2:2" ht="23.25" customHeight="1">
      <c r="B14293" s="2669"/>
    </row>
    <row r="14294" spans="2:2" ht="23.25" customHeight="1">
      <c r="B14294" s="2669"/>
    </row>
    <row r="14295" spans="2:2" ht="23.25" customHeight="1">
      <c r="B14295" s="2669"/>
    </row>
    <row r="14296" spans="2:2" ht="23.25" customHeight="1">
      <c r="B14296" s="2669"/>
    </row>
    <row r="14297" spans="2:2" ht="23.25" customHeight="1">
      <c r="B14297" s="2669"/>
    </row>
    <row r="14298" spans="2:2" ht="23.25" customHeight="1">
      <c r="B14298" s="2669"/>
    </row>
    <row r="14299" spans="2:2" ht="23.25" customHeight="1">
      <c r="B14299" s="2669"/>
    </row>
    <row r="14300" spans="2:2" ht="23.25" customHeight="1">
      <c r="B14300" s="2669"/>
    </row>
    <row r="14301" spans="2:2" ht="23.25" customHeight="1">
      <c r="B14301" s="2669"/>
    </row>
    <row r="14302" spans="2:2" ht="23.25" customHeight="1">
      <c r="B14302" s="2669"/>
    </row>
    <row r="14303" spans="2:2" ht="23.25" customHeight="1">
      <c r="B14303" s="2669"/>
    </row>
    <row r="14304" spans="2:2" ht="23.25" customHeight="1">
      <c r="B14304" s="2669"/>
    </row>
    <row r="14305" spans="2:2" ht="23.25" customHeight="1">
      <c r="B14305" s="2669"/>
    </row>
    <row r="14306" spans="2:2" ht="23.25" customHeight="1">
      <c r="B14306" s="2669"/>
    </row>
    <row r="14307" spans="2:2" ht="23.25" customHeight="1">
      <c r="B14307" s="2669"/>
    </row>
    <row r="14308" spans="2:2" ht="23.25" customHeight="1">
      <c r="B14308" s="2669"/>
    </row>
    <row r="14309" spans="2:2" ht="23.25" customHeight="1">
      <c r="B14309" s="2669"/>
    </row>
    <row r="14310" spans="2:2" ht="23.25" customHeight="1">
      <c r="B14310" s="2669"/>
    </row>
    <row r="14311" spans="2:2" ht="23.25" customHeight="1">
      <c r="B14311" s="2669"/>
    </row>
    <row r="14312" spans="2:2" ht="23.25" customHeight="1">
      <c r="B14312" s="2669"/>
    </row>
    <row r="14313" spans="2:2" ht="23.25" customHeight="1">
      <c r="B14313" s="2669"/>
    </row>
    <row r="14314" spans="2:2" ht="23.25" customHeight="1">
      <c r="B14314" s="2669"/>
    </row>
    <row r="14315" spans="2:2" ht="23.25" customHeight="1">
      <c r="B14315" s="2669"/>
    </row>
    <row r="14316" spans="2:2" ht="23.25" customHeight="1">
      <c r="B14316" s="2669"/>
    </row>
    <row r="14317" spans="2:2" ht="23.25" customHeight="1">
      <c r="B14317" s="2669"/>
    </row>
    <row r="14318" spans="2:2" ht="23.25" customHeight="1">
      <c r="B14318" s="2669"/>
    </row>
    <row r="14319" spans="2:2" ht="23.25" customHeight="1">
      <c r="B14319" s="2669"/>
    </row>
    <row r="14320" spans="2:2" ht="23.25" customHeight="1">
      <c r="B14320" s="2669"/>
    </row>
    <row r="14321" spans="2:2" ht="23.25" customHeight="1">
      <c r="B14321" s="2669"/>
    </row>
    <row r="14322" spans="2:2" ht="23.25" customHeight="1">
      <c r="B14322" s="2669"/>
    </row>
    <row r="14323" spans="2:2" ht="23.25" customHeight="1">
      <c r="B14323" s="2669"/>
    </row>
    <row r="14324" spans="2:2" ht="23.25" customHeight="1">
      <c r="B14324" s="2669"/>
    </row>
    <row r="14325" spans="2:2" ht="23.25" customHeight="1">
      <c r="B14325" s="2669"/>
    </row>
    <row r="14326" spans="2:2" ht="23.25" customHeight="1">
      <c r="B14326" s="2669"/>
    </row>
    <row r="14327" spans="2:2" ht="23.25" customHeight="1">
      <c r="B14327" s="2669"/>
    </row>
    <row r="14328" spans="2:2" ht="23.25" customHeight="1">
      <c r="B14328" s="2669"/>
    </row>
    <row r="14329" spans="2:2" ht="23.25" customHeight="1">
      <c r="B14329" s="2669"/>
    </row>
    <row r="14330" spans="2:2" ht="23.25" customHeight="1">
      <c r="B14330" s="2669"/>
    </row>
    <row r="14331" spans="2:2" ht="23.25" customHeight="1">
      <c r="B14331" s="2669"/>
    </row>
    <row r="14332" spans="2:2" ht="23.25" customHeight="1">
      <c r="B14332" s="2669"/>
    </row>
    <row r="14333" spans="2:2" ht="23.25" customHeight="1">
      <c r="B14333" s="2669"/>
    </row>
    <row r="14334" spans="2:2" ht="23.25" customHeight="1">
      <c r="B14334" s="2669"/>
    </row>
    <row r="14335" spans="2:2" ht="23.25" customHeight="1">
      <c r="B14335" s="2669"/>
    </row>
    <row r="14336" spans="2:2" ht="23.25" customHeight="1">
      <c r="B14336" s="2669"/>
    </row>
    <row r="14337" spans="2:2" ht="23.25" customHeight="1">
      <c r="B14337" s="2669"/>
    </row>
    <row r="14338" spans="2:2" ht="23.25" customHeight="1">
      <c r="B14338" s="2669"/>
    </row>
    <row r="14339" spans="2:2" ht="23.25" customHeight="1">
      <c r="B14339" s="2669"/>
    </row>
    <row r="14340" spans="2:2" ht="23.25" customHeight="1">
      <c r="B14340" s="2669"/>
    </row>
    <row r="14341" spans="2:2" ht="23.25" customHeight="1">
      <c r="B14341" s="2669"/>
    </row>
    <row r="14342" spans="2:2" ht="23.25" customHeight="1">
      <c r="B14342" s="2669"/>
    </row>
    <row r="14343" spans="2:2" ht="23.25" customHeight="1">
      <c r="B14343" s="2669"/>
    </row>
    <row r="14344" spans="2:2" ht="23.25" customHeight="1">
      <c r="B14344" s="2669"/>
    </row>
    <row r="14345" spans="2:2" ht="23.25" customHeight="1">
      <c r="B14345" s="2669"/>
    </row>
    <row r="14346" spans="2:2" ht="23.25" customHeight="1">
      <c r="B14346" s="2669"/>
    </row>
    <row r="14347" spans="2:2" ht="23.25" customHeight="1">
      <c r="B14347" s="2669"/>
    </row>
    <row r="14348" spans="2:2" ht="23.25" customHeight="1">
      <c r="B14348" s="2669"/>
    </row>
    <row r="14349" spans="2:2" ht="23.25" customHeight="1">
      <c r="B14349" s="2669"/>
    </row>
    <row r="14350" spans="2:2" ht="23.25" customHeight="1">
      <c r="B14350" s="2669"/>
    </row>
    <row r="14351" spans="2:2" ht="23.25" customHeight="1">
      <c r="B14351" s="2669"/>
    </row>
    <row r="14352" spans="2:2" ht="23.25" customHeight="1">
      <c r="B14352" s="2669"/>
    </row>
    <row r="14353" spans="2:2" ht="23.25" customHeight="1">
      <c r="B14353" s="2669"/>
    </row>
    <row r="14354" spans="2:2" ht="23.25" customHeight="1">
      <c r="B14354" s="2669"/>
    </row>
    <row r="14355" spans="2:2" ht="23.25" customHeight="1">
      <c r="B14355" s="2669"/>
    </row>
    <row r="14356" spans="2:2" ht="23.25" customHeight="1">
      <c r="B14356" s="2669"/>
    </row>
    <row r="14357" spans="2:2" ht="23.25" customHeight="1">
      <c r="B14357" s="2669"/>
    </row>
    <row r="14358" spans="2:2" ht="23.25" customHeight="1">
      <c r="B14358" s="2669"/>
    </row>
    <row r="14359" spans="2:2" ht="23.25" customHeight="1">
      <c r="B14359" s="2669"/>
    </row>
    <row r="14360" spans="2:2" ht="23.25" customHeight="1">
      <c r="B14360" s="2669"/>
    </row>
    <row r="14361" spans="2:2" ht="23.25" customHeight="1">
      <c r="B14361" s="2669"/>
    </row>
    <row r="14362" spans="2:2" ht="23.25" customHeight="1">
      <c r="B14362" s="2669"/>
    </row>
    <row r="14363" spans="2:2" ht="23.25" customHeight="1">
      <c r="B14363" s="2669"/>
    </row>
    <row r="14364" spans="2:2" ht="23.25" customHeight="1">
      <c r="B14364" s="2669"/>
    </row>
    <row r="14365" spans="2:2" ht="23.25" customHeight="1">
      <c r="B14365" s="2669"/>
    </row>
    <row r="14366" spans="2:2" ht="23.25" customHeight="1">
      <c r="B14366" s="2669"/>
    </row>
    <row r="14367" spans="2:2" ht="23.25" customHeight="1">
      <c r="B14367" s="2669"/>
    </row>
    <row r="14368" spans="2:2" ht="23.25" customHeight="1">
      <c r="B14368" s="2669"/>
    </row>
    <row r="14369" spans="2:2" ht="23.25" customHeight="1">
      <c r="B14369" s="2669"/>
    </row>
    <row r="14370" spans="2:2" ht="23.25" customHeight="1">
      <c r="B14370" s="2669"/>
    </row>
    <row r="14371" spans="2:2" ht="23.25" customHeight="1">
      <c r="B14371" s="2669"/>
    </row>
    <row r="14372" spans="2:2" ht="23.25" customHeight="1">
      <c r="B14372" s="2669"/>
    </row>
    <row r="14373" spans="2:2" ht="23.25" customHeight="1">
      <c r="B14373" s="2669"/>
    </row>
    <row r="14374" spans="2:2" ht="23.25" customHeight="1">
      <c r="B14374" s="2669"/>
    </row>
    <row r="14375" spans="2:2" ht="23.25" customHeight="1">
      <c r="B14375" s="2669"/>
    </row>
    <row r="14376" spans="2:2" ht="23.25" customHeight="1">
      <c r="B14376" s="2669"/>
    </row>
    <row r="14377" spans="2:2" ht="23.25" customHeight="1">
      <c r="B14377" s="2669"/>
    </row>
    <row r="14378" spans="2:2" ht="23.25" customHeight="1">
      <c r="B14378" s="2669"/>
    </row>
    <row r="14379" spans="2:2" ht="23.25" customHeight="1">
      <c r="B14379" s="2669"/>
    </row>
    <row r="14380" spans="2:2" ht="23.25" customHeight="1">
      <c r="B14380" s="2669"/>
    </row>
    <row r="14381" spans="2:2" ht="23.25" customHeight="1">
      <c r="B14381" s="2669"/>
    </row>
    <row r="14382" spans="2:2" ht="23.25" customHeight="1">
      <c r="B14382" s="2669"/>
    </row>
    <row r="14383" spans="2:2" ht="23.25" customHeight="1">
      <c r="B14383" s="2669"/>
    </row>
    <row r="14384" spans="2:2" ht="23.25" customHeight="1">
      <c r="B14384" s="2669"/>
    </row>
    <row r="14385" spans="2:2" ht="23.25" customHeight="1">
      <c r="B14385" s="2669"/>
    </row>
    <row r="14386" spans="2:2" ht="23.25" customHeight="1">
      <c r="B14386" s="2669"/>
    </row>
    <row r="14387" spans="2:2" ht="23.25" customHeight="1">
      <c r="B14387" s="2669"/>
    </row>
    <row r="14388" spans="2:2" ht="23.25" customHeight="1">
      <c r="B14388" s="2669"/>
    </row>
    <row r="14389" spans="2:2" ht="23.25" customHeight="1">
      <c r="B14389" s="2669"/>
    </row>
    <row r="14390" spans="2:2" ht="23.25" customHeight="1">
      <c r="B14390" s="2669"/>
    </row>
    <row r="14391" spans="2:2" ht="23.25" customHeight="1">
      <c r="B14391" s="2669"/>
    </row>
    <row r="14392" spans="2:2" ht="23.25" customHeight="1">
      <c r="B14392" s="2669"/>
    </row>
    <row r="14393" spans="2:2" ht="23.25" customHeight="1">
      <c r="B14393" s="2669"/>
    </row>
    <row r="14394" spans="2:2" ht="23.25" customHeight="1">
      <c r="B14394" s="2669"/>
    </row>
    <row r="14395" spans="2:2" ht="23.25" customHeight="1">
      <c r="B14395" s="2669"/>
    </row>
    <row r="14396" spans="2:2" ht="23.25" customHeight="1">
      <c r="B14396" s="2669"/>
    </row>
    <row r="14397" spans="2:2" ht="23.25" customHeight="1">
      <c r="B14397" s="2669"/>
    </row>
    <row r="14398" spans="2:2" ht="23.25" customHeight="1">
      <c r="B14398" s="2669"/>
    </row>
    <row r="14399" spans="2:2" ht="23.25" customHeight="1">
      <c r="B14399" s="2669"/>
    </row>
    <row r="14400" spans="2:2" ht="23.25" customHeight="1">
      <c r="B14400" s="2669"/>
    </row>
    <row r="14401" spans="2:2" ht="23.25" customHeight="1">
      <c r="B14401" s="2669"/>
    </row>
    <row r="14402" spans="2:2" ht="23.25" customHeight="1">
      <c r="B14402" s="2669"/>
    </row>
    <row r="14403" spans="2:2" ht="23.25" customHeight="1">
      <c r="B14403" s="2669"/>
    </row>
    <row r="14404" spans="2:2" ht="23.25" customHeight="1">
      <c r="B14404" s="2669"/>
    </row>
    <row r="14405" spans="2:2" ht="23.25" customHeight="1">
      <c r="B14405" s="2669"/>
    </row>
    <row r="14406" spans="2:2" ht="23.25" customHeight="1">
      <c r="B14406" s="2669"/>
    </row>
    <row r="14407" spans="2:2" ht="23.25" customHeight="1">
      <c r="B14407" s="2669"/>
    </row>
    <row r="14408" spans="2:2" ht="23.25" customHeight="1">
      <c r="B14408" s="2669"/>
    </row>
    <row r="14409" spans="2:2" ht="23.25" customHeight="1">
      <c r="B14409" s="2669"/>
    </row>
    <row r="14410" spans="2:2" ht="23.25" customHeight="1">
      <c r="B14410" s="2669"/>
    </row>
    <row r="14411" spans="2:2" ht="23.25" customHeight="1">
      <c r="B14411" s="2669"/>
    </row>
    <row r="14412" spans="2:2" ht="23.25" customHeight="1">
      <c r="B14412" s="2669"/>
    </row>
    <row r="14413" spans="2:2" ht="23.25" customHeight="1">
      <c r="B14413" s="2669"/>
    </row>
    <row r="14414" spans="2:2" ht="23.25" customHeight="1">
      <c r="B14414" s="2669"/>
    </row>
    <row r="14415" spans="2:2" ht="23.25" customHeight="1">
      <c r="B14415" s="2669"/>
    </row>
    <row r="14416" spans="2:2" ht="23.25" customHeight="1">
      <c r="B14416" s="2669"/>
    </row>
    <row r="14417" spans="2:2" ht="23.25" customHeight="1">
      <c r="B14417" s="2669"/>
    </row>
    <row r="14418" spans="2:2" ht="23.25" customHeight="1">
      <c r="B14418" s="2669"/>
    </row>
    <row r="14419" spans="2:2" ht="23.25" customHeight="1">
      <c r="B14419" s="2669"/>
    </row>
    <row r="14420" spans="2:2" ht="23.25" customHeight="1">
      <c r="B14420" s="2669"/>
    </row>
    <row r="14421" spans="2:2" ht="23.25" customHeight="1">
      <c r="B14421" s="2669"/>
    </row>
    <row r="14422" spans="2:2" ht="23.25" customHeight="1">
      <c r="B14422" s="2669"/>
    </row>
    <row r="14423" spans="2:2" ht="23.25" customHeight="1">
      <c r="B14423" s="2669"/>
    </row>
    <row r="14424" spans="2:2" ht="23.25" customHeight="1">
      <c r="B14424" s="2669"/>
    </row>
    <row r="14425" spans="2:2" ht="23.25" customHeight="1">
      <c r="B14425" s="2669"/>
    </row>
    <row r="14426" spans="2:2" ht="23.25" customHeight="1">
      <c r="B14426" s="2669"/>
    </row>
    <row r="14427" spans="2:2" ht="23.25" customHeight="1">
      <c r="B14427" s="2669"/>
    </row>
    <row r="14428" spans="2:2" ht="23.25" customHeight="1">
      <c r="B14428" s="2669"/>
    </row>
    <row r="14429" spans="2:2" ht="23.25" customHeight="1">
      <c r="B14429" s="2669"/>
    </row>
    <row r="14430" spans="2:2" ht="23.25" customHeight="1">
      <c r="B14430" s="2669"/>
    </row>
    <row r="14431" spans="2:2" ht="23.25" customHeight="1">
      <c r="B14431" s="2669"/>
    </row>
    <row r="14432" spans="2:2" ht="23.25" customHeight="1">
      <c r="B14432" s="2669"/>
    </row>
    <row r="14433" spans="2:2" ht="23.25" customHeight="1">
      <c r="B14433" s="2669"/>
    </row>
    <row r="14434" spans="2:2" ht="23.25" customHeight="1">
      <c r="B14434" s="2669"/>
    </row>
    <row r="14435" spans="2:2" ht="23.25" customHeight="1">
      <c r="B14435" s="2669"/>
    </row>
    <row r="14436" spans="2:2" ht="23.25" customHeight="1">
      <c r="B14436" s="2669"/>
    </row>
    <row r="14437" spans="2:2" ht="23.25" customHeight="1">
      <c r="B14437" s="2669"/>
    </row>
    <row r="14438" spans="2:2" ht="23.25" customHeight="1">
      <c r="B14438" s="2669"/>
    </row>
    <row r="14439" spans="2:2" ht="23.25" customHeight="1">
      <c r="B14439" s="2669"/>
    </row>
    <row r="14440" spans="2:2" ht="23.25" customHeight="1">
      <c r="B14440" s="2669"/>
    </row>
    <row r="14441" spans="2:2" ht="23.25" customHeight="1">
      <c r="B14441" s="2669"/>
    </row>
    <row r="14442" spans="2:2" ht="23.25" customHeight="1">
      <c r="B14442" s="2669"/>
    </row>
    <row r="14443" spans="2:2" ht="23.25" customHeight="1">
      <c r="B14443" s="2669"/>
    </row>
    <row r="14444" spans="2:2" ht="23.25" customHeight="1">
      <c r="B14444" s="2669"/>
    </row>
    <row r="14445" spans="2:2" ht="23.25" customHeight="1">
      <c r="B14445" s="2669"/>
    </row>
    <row r="14446" spans="2:2" ht="23.25" customHeight="1">
      <c r="B14446" s="2669"/>
    </row>
    <row r="14447" spans="2:2" ht="23.25" customHeight="1">
      <c r="B14447" s="2669"/>
    </row>
    <row r="14448" spans="2:2" ht="23.25" customHeight="1">
      <c r="B14448" s="2669"/>
    </row>
    <row r="14449" spans="2:2" ht="23.25" customHeight="1">
      <c r="B14449" s="2669"/>
    </row>
    <row r="14450" spans="2:2" ht="23.25" customHeight="1">
      <c r="B14450" s="2669"/>
    </row>
    <row r="14451" spans="2:2" ht="23.25" customHeight="1">
      <c r="B14451" s="2669"/>
    </row>
    <row r="14452" spans="2:2" ht="23.25" customHeight="1">
      <c r="B14452" s="2669"/>
    </row>
    <row r="14453" spans="2:2" ht="23.25" customHeight="1">
      <c r="B14453" s="2669"/>
    </row>
    <row r="14454" spans="2:2" ht="23.25" customHeight="1">
      <c r="B14454" s="2669"/>
    </row>
    <row r="14455" spans="2:2" ht="23.25" customHeight="1">
      <c r="B14455" s="2669"/>
    </row>
    <row r="14456" spans="2:2" ht="23.25" customHeight="1">
      <c r="B14456" s="2669"/>
    </row>
    <row r="14457" spans="2:2" ht="23.25" customHeight="1">
      <c r="B14457" s="2669"/>
    </row>
    <row r="14458" spans="2:2" ht="23.25" customHeight="1">
      <c r="B14458" s="2669"/>
    </row>
    <row r="14459" spans="2:2" ht="23.25" customHeight="1">
      <c r="B14459" s="2669"/>
    </row>
    <row r="14460" spans="2:2" ht="23.25" customHeight="1">
      <c r="B14460" s="2669"/>
    </row>
    <row r="14461" spans="2:2" ht="23.25" customHeight="1">
      <c r="B14461" s="2669"/>
    </row>
    <row r="14462" spans="2:2" ht="23.25" customHeight="1">
      <c r="B14462" s="2669"/>
    </row>
    <row r="14463" spans="2:2" ht="23.25" customHeight="1">
      <c r="B14463" s="2669"/>
    </row>
    <row r="14464" spans="2:2" ht="23.25" customHeight="1">
      <c r="B14464" s="2669"/>
    </row>
    <row r="14465" spans="2:2" ht="23.25" customHeight="1">
      <c r="B14465" s="2669"/>
    </row>
    <row r="14466" spans="2:2" ht="23.25" customHeight="1">
      <c r="B14466" s="2669"/>
    </row>
    <row r="14467" spans="2:2" ht="23.25" customHeight="1">
      <c r="B14467" s="2669"/>
    </row>
    <row r="14468" spans="2:2" ht="23.25" customHeight="1">
      <c r="B14468" s="2669"/>
    </row>
    <row r="14469" spans="2:2" ht="23.25" customHeight="1">
      <c r="B14469" s="2669"/>
    </row>
    <row r="14470" spans="2:2" ht="23.25" customHeight="1">
      <c r="B14470" s="2669"/>
    </row>
    <row r="14471" spans="2:2" ht="23.25" customHeight="1">
      <c r="B14471" s="2669"/>
    </row>
    <row r="14472" spans="2:2" ht="23.25" customHeight="1">
      <c r="B14472" s="2669"/>
    </row>
    <row r="14473" spans="2:2" ht="23.25" customHeight="1">
      <c r="B14473" s="2669"/>
    </row>
    <row r="14474" spans="2:2" ht="23.25" customHeight="1">
      <c r="B14474" s="2669"/>
    </row>
    <row r="14475" spans="2:2" ht="23.25" customHeight="1">
      <c r="B14475" s="2669"/>
    </row>
    <row r="14476" spans="2:2" ht="23.25" customHeight="1">
      <c r="B14476" s="2669"/>
    </row>
    <row r="14477" spans="2:2" ht="23.25" customHeight="1">
      <c r="B14477" s="2669"/>
    </row>
    <row r="14478" spans="2:2" ht="23.25" customHeight="1">
      <c r="B14478" s="2669"/>
    </row>
    <row r="14479" spans="2:2" ht="23.25" customHeight="1">
      <c r="B14479" s="2669"/>
    </row>
    <row r="14480" spans="2:2" ht="23.25" customHeight="1">
      <c r="B14480" s="2669"/>
    </row>
    <row r="14481" spans="2:2" ht="23.25" customHeight="1">
      <c r="B14481" s="2669"/>
    </row>
    <row r="14482" spans="2:2" ht="23.25" customHeight="1">
      <c r="B14482" s="2669"/>
    </row>
    <row r="14483" spans="2:2" ht="23.25" customHeight="1">
      <c r="B14483" s="2669"/>
    </row>
    <row r="14484" spans="2:2" ht="23.25" customHeight="1">
      <c r="B14484" s="2669"/>
    </row>
    <row r="14485" spans="2:2" ht="23.25" customHeight="1">
      <c r="B14485" s="2669"/>
    </row>
    <row r="14486" spans="2:2" ht="23.25" customHeight="1">
      <c r="B14486" s="2669"/>
    </row>
    <row r="14487" spans="2:2" ht="23.25" customHeight="1">
      <c r="B14487" s="2669"/>
    </row>
    <row r="14488" spans="2:2" ht="23.25" customHeight="1">
      <c r="B14488" s="2669"/>
    </row>
    <row r="14489" spans="2:2" ht="23.25" customHeight="1">
      <c r="B14489" s="2669"/>
    </row>
    <row r="14490" spans="2:2" ht="23.25" customHeight="1">
      <c r="B14490" s="2669"/>
    </row>
    <row r="14491" spans="2:2" ht="23.25" customHeight="1">
      <c r="B14491" s="2669"/>
    </row>
    <row r="14492" spans="2:2" ht="23.25" customHeight="1">
      <c r="B14492" s="2669"/>
    </row>
    <row r="14493" spans="2:2" ht="23.25" customHeight="1">
      <c r="B14493" s="2669"/>
    </row>
    <row r="14494" spans="2:2" ht="23.25" customHeight="1">
      <c r="B14494" s="2669"/>
    </row>
    <row r="14495" spans="2:2" ht="23.25" customHeight="1">
      <c r="B14495" s="2669"/>
    </row>
    <row r="14496" spans="2:2" ht="23.25" customHeight="1">
      <c r="B14496" s="2669"/>
    </row>
    <row r="14497" spans="2:2" ht="23.25" customHeight="1">
      <c r="B14497" s="2669"/>
    </row>
    <row r="14498" spans="2:2" ht="23.25" customHeight="1">
      <c r="B14498" s="2669"/>
    </row>
    <row r="14499" spans="2:2" ht="23.25" customHeight="1">
      <c r="B14499" s="2669"/>
    </row>
    <row r="14500" spans="2:2" ht="23.25" customHeight="1">
      <c r="B14500" s="2669"/>
    </row>
    <row r="14501" spans="2:2" ht="23.25" customHeight="1">
      <c r="B14501" s="2669"/>
    </row>
    <row r="14502" spans="2:2" ht="23.25" customHeight="1">
      <c r="B14502" s="2669"/>
    </row>
    <row r="14503" spans="2:2" ht="23.25" customHeight="1">
      <c r="B14503" s="2669"/>
    </row>
    <row r="14504" spans="2:2" ht="23.25" customHeight="1">
      <c r="B14504" s="2669"/>
    </row>
    <row r="14505" spans="2:2" ht="23.25" customHeight="1">
      <c r="B14505" s="2669"/>
    </row>
    <row r="14506" spans="2:2" ht="23.25" customHeight="1">
      <c r="B14506" s="2669"/>
    </row>
    <row r="14507" spans="2:2" ht="23.25" customHeight="1">
      <c r="B14507" s="2669"/>
    </row>
    <row r="14508" spans="2:2" ht="23.25" customHeight="1">
      <c r="B14508" s="2669"/>
    </row>
    <row r="14509" spans="2:2" ht="23.25" customHeight="1">
      <c r="B14509" s="2669"/>
    </row>
    <row r="14510" spans="2:2" ht="23.25" customHeight="1">
      <c r="B14510" s="2669"/>
    </row>
    <row r="14511" spans="2:2" ht="23.25" customHeight="1">
      <c r="B14511" s="2669"/>
    </row>
    <row r="14512" spans="2:2" ht="23.25" customHeight="1">
      <c r="B14512" s="2669"/>
    </row>
    <row r="14513" spans="2:2" ht="23.25" customHeight="1">
      <c r="B14513" s="2669"/>
    </row>
    <row r="14514" spans="2:2" ht="23.25" customHeight="1">
      <c r="B14514" s="2669"/>
    </row>
    <row r="14515" spans="2:2" ht="23.25" customHeight="1">
      <c r="B14515" s="2669"/>
    </row>
    <row r="14516" spans="2:2" ht="23.25" customHeight="1">
      <c r="B14516" s="2669"/>
    </row>
    <row r="14517" spans="2:2" ht="23.25" customHeight="1">
      <c r="B14517" s="2669"/>
    </row>
    <row r="14518" spans="2:2" ht="23.25" customHeight="1">
      <c r="B14518" s="2669"/>
    </row>
    <row r="14519" spans="2:2" ht="23.25" customHeight="1">
      <c r="B14519" s="2669"/>
    </row>
    <row r="14520" spans="2:2" ht="23.25" customHeight="1">
      <c r="B14520" s="2669"/>
    </row>
    <row r="14521" spans="2:2" ht="23.25" customHeight="1">
      <c r="B14521" s="2669"/>
    </row>
    <row r="14522" spans="2:2" ht="23.25" customHeight="1">
      <c r="B14522" s="2669"/>
    </row>
    <row r="14523" spans="2:2" ht="23.25" customHeight="1">
      <c r="B14523" s="2669"/>
    </row>
    <row r="14524" spans="2:2" ht="23.25" customHeight="1">
      <c r="B14524" s="2669"/>
    </row>
    <row r="14525" spans="2:2" ht="23.25" customHeight="1">
      <c r="B14525" s="2669"/>
    </row>
    <row r="14526" spans="2:2" ht="23.25" customHeight="1">
      <c r="B14526" s="2669"/>
    </row>
    <row r="14527" spans="2:2" ht="23.25" customHeight="1">
      <c r="B14527" s="2669"/>
    </row>
    <row r="14528" spans="2:2" ht="23.25" customHeight="1">
      <c r="B14528" s="2669"/>
    </row>
    <row r="14529" spans="2:2" ht="23.25" customHeight="1">
      <c r="B14529" s="2669"/>
    </row>
    <row r="14530" spans="2:2" ht="23.25" customHeight="1">
      <c r="B14530" s="2669"/>
    </row>
    <row r="14531" spans="2:2" ht="23.25" customHeight="1">
      <c r="B14531" s="2669"/>
    </row>
    <row r="14532" spans="2:2" ht="23.25" customHeight="1">
      <c r="B14532" s="2669"/>
    </row>
    <row r="14533" spans="2:2" ht="23.25" customHeight="1">
      <c r="B14533" s="2669"/>
    </row>
    <row r="14534" spans="2:2" ht="23.25" customHeight="1">
      <c r="B14534" s="2669"/>
    </row>
    <row r="14535" spans="2:2" ht="23.25" customHeight="1">
      <c r="B14535" s="2669"/>
    </row>
    <row r="14536" spans="2:2" ht="23.25" customHeight="1">
      <c r="B14536" s="2669"/>
    </row>
    <row r="14537" spans="2:2" ht="23.25" customHeight="1">
      <c r="B14537" s="2669"/>
    </row>
    <row r="14538" spans="2:2" ht="23.25" customHeight="1">
      <c r="B14538" s="2669"/>
    </row>
    <row r="14539" spans="2:2" ht="23.25" customHeight="1">
      <c r="B14539" s="2669"/>
    </row>
    <row r="14540" spans="2:2" ht="23.25" customHeight="1">
      <c r="B14540" s="2669"/>
    </row>
    <row r="14541" spans="2:2" ht="23.25" customHeight="1">
      <c r="B14541" s="2669"/>
    </row>
    <row r="14542" spans="2:2" ht="23.25" customHeight="1">
      <c r="B14542" s="2669"/>
    </row>
    <row r="14543" spans="2:2" ht="23.25" customHeight="1">
      <c r="B14543" s="2669"/>
    </row>
    <row r="14544" spans="2:2" ht="23.25" customHeight="1">
      <c r="B14544" s="2669"/>
    </row>
    <row r="14545" spans="2:2" ht="23.25" customHeight="1">
      <c r="B14545" s="2669"/>
    </row>
    <row r="14546" spans="2:2" ht="23.25" customHeight="1">
      <c r="B14546" s="2669"/>
    </row>
    <row r="14547" spans="2:2" ht="23.25" customHeight="1">
      <c r="B14547" s="2669"/>
    </row>
    <row r="14548" spans="2:2" ht="23.25" customHeight="1">
      <c r="B14548" s="2669"/>
    </row>
    <row r="14549" spans="2:2" ht="23.25" customHeight="1">
      <c r="B14549" s="2669"/>
    </row>
    <row r="14550" spans="2:2" ht="23.25" customHeight="1">
      <c r="B14550" s="2669"/>
    </row>
    <row r="14551" spans="2:2" ht="23.25" customHeight="1">
      <c r="B14551" s="2669"/>
    </row>
    <row r="14552" spans="2:2" ht="23.25" customHeight="1">
      <c r="B14552" s="2669"/>
    </row>
    <row r="14553" spans="2:2" ht="23.25" customHeight="1">
      <c r="B14553" s="2669"/>
    </row>
    <row r="14554" spans="2:2" ht="23.25" customHeight="1">
      <c r="B14554" s="2669"/>
    </row>
    <row r="14555" spans="2:2" ht="23.25" customHeight="1">
      <c r="B14555" s="2669"/>
    </row>
    <row r="14556" spans="2:2" ht="23.25" customHeight="1">
      <c r="B14556" s="2669"/>
    </row>
    <row r="14557" spans="2:2" ht="23.25" customHeight="1">
      <c r="B14557" s="2669"/>
    </row>
    <row r="14558" spans="2:2" ht="23.25" customHeight="1">
      <c r="B14558" s="2669"/>
    </row>
    <row r="14559" spans="2:2" ht="23.25" customHeight="1">
      <c r="B14559" s="2669"/>
    </row>
    <row r="14560" spans="2:2" ht="23.25" customHeight="1">
      <c r="B14560" s="2669"/>
    </row>
    <row r="14561" spans="2:2" ht="23.25" customHeight="1">
      <c r="B14561" s="2669"/>
    </row>
    <row r="14562" spans="2:2" ht="23.25" customHeight="1">
      <c r="B14562" s="2669"/>
    </row>
    <row r="14563" spans="2:2" ht="23.25" customHeight="1">
      <c r="B14563" s="2669"/>
    </row>
    <row r="14564" spans="2:2" ht="23.25" customHeight="1">
      <c r="B14564" s="2669"/>
    </row>
    <row r="14565" spans="2:2" ht="23.25" customHeight="1">
      <c r="B14565" s="2669"/>
    </row>
    <row r="14566" spans="2:2" ht="23.25" customHeight="1">
      <c r="B14566" s="2669"/>
    </row>
    <row r="14567" spans="2:2" ht="23.25" customHeight="1">
      <c r="B14567" s="2669"/>
    </row>
    <row r="14568" spans="2:2" ht="23.25" customHeight="1">
      <c r="B14568" s="2669"/>
    </row>
    <row r="14569" spans="2:2" ht="23.25" customHeight="1">
      <c r="B14569" s="2669"/>
    </row>
    <row r="14570" spans="2:2" ht="23.25" customHeight="1">
      <c r="B14570" s="2669"/>
    </row>
    <row r="14571" spans="2:2" ht="23.25" customHeight="1">
      <c r="B14571" s="2669"/>
    </row>
    <row r="14572" spans="2:2" ht="23.25" customHeight="1">
      <c r="B14572" s="2669"/>
    </row>
    <row r="14573" spans="2:2" ht="23.25" customHeight="1">
      <c r="B14573" s="2669"/>
    </row>
    <row r="14574" spans="2:2" ht="23.25" customHeight="1">
      <c r="B14574" s="2669"/>
    </row>
    <row r="14575" spans="2:2" ht="23.25" customHeight="1">
      <c r="B14575" s="2669"/>
    </row>
    <row r="14576" spans="2:2" ht="23.25" customHeight="1">
      <c r="B14576" s="2669"/>
    </row>
    <row r="14577" spans="2:2" ht="23.25" customHeight="1">
      <c r="B14577" s="2669"/>
    </row>
    <row r="14578" spans="2:2" ht="23.25" customHeight="1">
      <c r="B14578" s="2669"/>
    </row>
    <row r="14579" spans="2:2" ht="23.25" customHeight="1">
      <c r="B14579" s="2669"/>
    </row>
    <row r="14580" spans="2:2" ht="23.25" customHeight="1">
      <c r="B14580" s="2669"/>
    </row>
    <row r="14581" spans="2:2" ht="23.25" customHeight="1">
      <c r="B14581" s="2669"/>
    </row>
    <row r="14582" spans="2:2" ht="23.25" customHeight="1">
      <c r="B14582" s="2669"/>
    </row>
    <row r="14583" spans="2:2" ht="23.25" customHeight="1">
      <c r="B14583" s="2669"/>
    </row>
    <row r="14584" spans="2:2" ht="23.25" customHeight="1">
      <c r="B14584" s="2669"/>
    </row>
    <row r="14585" spans="2:2" ht="23.25" customHeight="1">
      <c r="B14585" s="2669"/>
    </row>
    <row r="14586" spans="2:2" ht="23.25" customHeight="1">
      <c r="B14586" s="2669"/>
    </row>
    <row r="14587" spans="2:2" ht="23.25" customHeight="1">
      <c r="B14587" s="2669"/>
    </row>
    <row r="14588" spans="2:2" ht="23.25" customHeight="1">
      <c r="B14588" s="2669"/>
    </row>
    <row r="14589" spans="2:2" ht="23.25" customHeight="1">
      <c r="B14589" s="2669"/>
    </row>
    <row r="14590" spans="2:2" ht="23.25" customHeight="1">
      <c r="B14590" s="2669"/>
    </row>
    <row r="14591" spans="2:2" ht="23.25" customHeight="1">
      <c r="B14591" s="2669"/>
    </row>
    <row r="14592" spans="2:2" ht="23.25" customHeight="1">
      <c r="B14592" s="2669"/>
    </row>
    <row r="14593" spans="2:2" ht="23.25" customHeight="1">
      <c r="B14593" s="2669"/>
    </row>
    <row r="14594" spans="2:2" ht="23.25" customHeight="1">
      <c r="B14594" s="2669"/>
    </row>
    <row r="14595" spans="2:2" ht="23.25" customHeight="1">
      <c r="B14595" s="2669"/>
    </row>
    <row r="14596" spans="2:2" ht="23.25" customHeight="1">
      <c r="B14596" s="2669"/>
    </row>
    <row r="14597" spans="2:2" ht="23.25" customHeight="1">
      <c r="B14597" s="2669"/>
    </row>
    <row r="14598" spans="2:2" ht="23.25" customHeight="1">
      <c r="B14598" s="2669"/>
    </row>
    <row r="14599" spans="2:2" ht="23.25" customHeight="1">
      <c r="B14599" s="2669"/>
    </row>
    <row r="14600" spans="2:2" ht="23.25" customHeight="1">
      <c r="B14600" s="2669"/>
    </row>
    <row r="14601" spans="2:2" ht="23.25" customHeight="1">
      <c r="B14601" s="2669"/>
    </row>
    <row r="14602" spans="2:2" ht="23.25" customHeight="1">
      <c r="B14602" s="2669"/>
    </row>
    <row r="14603" spans="2:2" ht="23.25" customHeight="1">
      <c r="B14603" s="2669"/>
    </row>
    <row r="14604" spans="2:2" ht="23.25" customHeight="1">
      <c r="B14604" s="2669"/>
    </row>
    <row r="14605" spans="2:2" ht="23.25" customHeight="1">
      <c r="B14605" s="2669"/>
    </row>
    <row r="14606" spans="2:2" ht="23.25" customHeight="1">
      <c r="B14606" s="2669"/>
    </row>
    <row r="14607" spans="2:2" ht="23.25" customHeight="1">
      <c r="B14607" s="2669"/>
    </row>
    <row r="14608" spans="2:2" ht="23.25" customHeight="1">
      <c r="B14608" s="2669"/>
    </row>
    <row r="14609" spans="2:2" ht="23.25" customHeight="1">
      <c r="B14609" s="2669"/>
    </row>
    <row r="14610" spans="2:2" ht="23.25" customHeight="1">
      <c r="B14610" s="2669"/>
    </row>
    <row r="14611" spans="2:2" ht="23.25" customHeight="1">
      <c r="B14611" s="2669"/>
    </row>
    <row r="14612" spans="2:2" ht="23.25" customHeight="1">
      <c r="B14612" s="2669"/>
    </row>
    <row r="14613" spans="2:2" ht="23.25" customHeight="1">
      <c r="B14613" s="2669"/>
    </row>
    <row r="14614" spans="2:2" ht="23.25" customHeight="1">
      <c r="B14614" s="2669"/>
    </row>
    <row r="14615" spans="2:2" ht="23.25" customHeight="1">
      <c r="B14615" s="2669"/>
    </row>
    <row r="14616" spans="2:2" ht="23.25" customHeight="1">
      <c r="B14616" s="2669"/>
    </row>
    <row r="14617" spans="2:2" ht="23.25" customHeight="1">
      <c r="B14617" s="2669"/>
    </row>
    <row r="14618" spans="2:2" ht="23.25" customHeight="1">
      <c r="B14618" s="2669"/>
    </row>
    <row r="14619" spans="2:2" ht="23.25" customHeight="1">
      <c r="B14619" s="2669"/>
    </row>
    <row r="14620" spans="2:2" ht="23.25" customHeight="1">
      <c r="B14620" s="2669"/>
    </row>
    <row r="14621" spans="2:2" ht="23.25" customHeight="1">
      <c r="B14621" s="2669"/>
    </row>
    <row r="14622" spans="2:2" ht="23.25" customHeight="1">
      <c r="B14622" s="2669"/>
    </row>
    <row r="14623" spans="2:2" ht="23.25" customHeight="1">
      <c r="B14623" s="2669"/>
    </row>
    <row r="14624" spans="2:2" ht="23.25" customHeight="1">
      <c r="B14624" s="2669"/>
    </row>
    <row r="14625" spans="2:2" ht="23.25" customHeight="1">
      <c r="B14625" s="2669"/>
    </row>
    <row r="14626" spans="2:2" ht="23.25" customHeight="1">
      <c r="B14626" s="2669"/>
    </row>
    <row r="14627" spans="2:2" ht="23.25" customHeight="1">
      <c r="B14627" s="2669"/>
    </row>
    <row r="14628" spans="2:2" ht="23.25" customHeight="1">
      <c r="B14628" s="2669"/>
    </row>
    <row r="14629" spans="2:2" ht="23.25" customHeight="1">
      <c r="B14629" s="2669"/>
    </row>
    <row r="14630" spans="2:2" ht="23.25" customHeight="1">
      <c r="B14630" s="2669"/>
    </row>
    <row r="14631" spans="2:2" ht="23.25" customHeight="1">
      <c r="B14631" s="2669"/>
    </row>
    <row r="14632" spans="2:2" ht="23.25" customHeight="1">
      <c r="B14632" s="2669"/>
    </row>
    <row r="14633" spans="2:2" ht="23.25" customHeight="1">
      <c r="B14633" s="2669"/>
    </row>
    <row r="14634" spans="2:2" ht="23.25" customHeight="1">
      <c r="B14634" s="2669"/>
    </row>
    <row r="14635" spans="2:2" ht="23.25" customHeight="1">
      <c r="B14635" s="2669"/>
    </row>
    <row r="14636" spans="2:2" ht="23.25" customHeight="1">
      <c r="B14636" s="2669"/>
    </row>
    <row r="14637" spans="2:2" ht="23.25" customHeight="1">
      <c r="B14637" s="2669"/>
    </row>
    <row r="14638" spans="2:2" ht="23.25" customHeight="1">
      <c r="B14638" s="2669"/>
    </row>
    <row r="14639" spans="2:2" ht="23.25" customHeight="1">
      <c r="B14639" s="2669"/>
    </row>
    <row r="14640" spans="2:2" ht="23.25" customHeight="1">
      <c r="B14640" s="2669"/>
    </row>
    <row r="14641" spans="2:2" ht="23.25" customHeight="1">
      <c r="B14641" s="2669"/>
    </row>
    <row r="14642" spans="2:2" ht="23.25" customHeight="1">
      <c r="B14642" s="2669"/>
    </row>
    <row r="14643" spans="2:2" ht="23.25" customHeight="1">
      <c r="B14643" s="2669"/>
    </row>
    <row r="14644" spans="2:2" ht="23.25" customHeight="1">
      <c r="B14644" s="2669"/>
    </row>
    <row r="14645" spans="2:2" ht="23.25" customHeight="1">
      <c r="B14645" s="2669"/>
    </row>
    <row r="14646" spans="2:2" ht="23.25" customHeight="1">
      <c r="B14646" s="2669"/>
    </row>
    <row r="14647" spans="2:2" ht="23.25" customHeight="1">
      <c r="B14647" s="2669"/>
    </row>
    <row r="14648" spans="2:2" ht="23.25" customHeight="1">
      <c r="B14648" s="2669"/>
    </row>
    <row r="14649" spans="2:2" ht="23.25" customHeight="1">
      <c r="B14649" s="2669"/>
    </row>
    <row r="14650" spans="2:2" ht="23.25" customHeight="1">
      <c r="B14650" s="2669"/>
    </row>
    <row r="14651" spans="2:2" ht="23.25" customHeight="1">
      <c r="B14651" s="2669"/>
    </row>
    <row r="14652" spans="2:2" ht="23.25" customHeight="1">
      <c r="B14652" s="2669"/>
    </row>
    <row r="14653" spans="2:2" ht="23.25" customHeight="1">
      <c r="B14653" s="2669"/>
    </row>
    <row r="14654" spans="2:2" ht="23.25" customHeight="1">
      <c r="B14654" s="2669"/>
    </row>
    <row r="14655" spans="2:2" ht="23.25" customHeight="1">
      <c r="B14655" s="2669"/>
    </row>
    <row r="14656" spans="2:2" ht="23.25" customHeight="1">
      <c r="B14656" s="2669"/>
    </row>
    <row r="14657" spans="2:2" ht="23.25" customHeight="1">
      <c r="B14657" s="2669"/>
    </row>
    <row r="14658" spans="2:2" ht="23.25" customHeight="1">
      <c r="B14658" s="2669"/>
    </row>
    <row r="14659" spans="2:2" ht="23.25" customHeight="1">
      <c r="B14659" s="2669"/>
    </row>
    <row r="14660" spans="2:2" ht="23.25" customHeight="1">
      <c r="B14660" s="2669"/>
    </row>
    <row r="14661" spans="2:2" ht="23.25" customHeight="1">
      <c r="B14661" s="2669"/>
    </row>
    <row r="14662" spans="2:2" ht="23.25" customHeight="1">
      <c r="B14662" s="2669"/>
    </row>
    <row r="14663" spans="2:2" ht="23.25" customHeight="1">
      <c r="B14663" s="2669"/>
    </row>
    <row r="14664" spans="2:2" ht="23.25" customHeight="1">
      <c r="B14664" s="2669"/>
    </row>
    <row r="14665" spans="2:2" ht="23.25" customHeight="1">
      <c r="B14665" s="2669"/>
    </row>
    <row r="14666" spans="2:2" ht="23.25" customHeight="1">
      <c r="B14666" s="2669"/>
    </row>
    <row r="14667" spans="2:2" ht="23.25" customHeight="1">
      <c r="B14667" s="2669"/>
    </row>
    <row r="14668" spans="2:2" ht="23.25" customHeight="1">
      <c r="B14668" s="2669"/>
    </row>
    <row r="14669" spans="2:2" ht="23.25" customHeight="1">
      <c r="B14669" s="2669"/>
    </row>
    <row r="14670" spans="2:2" ht="23.25" customHeight="1">
      <c r="B14670" s="2669"/>
    </row>
    <row r="14671" spans="2:2" ht="23.25" customHeight="1">
      <c r="B14671" s="2669"/>
    </row>
    <row r="14672" spans="2:2" ht="23.25" customHeight="1">
      <c r="B14672" s="2669"/>
    </row>
    <row r="14673" spans="2:2" ht="23.25" customHeight="1">
      <c r="B14673" s="2669"/>
    </row>
    <row r="14674" spans="2:2" ht="23.25" customHeight="1">
      <c r="B14674" s="2669"/>
    </row>
    <row r="14675" spans="2:2" ht="23.25" customHeight="1">
      <c r="B14675" s="2669"/>
    </row>
    <row r="14676" spans="2:2" ht="23.25" customHeight="1">
      <c r="B14676" s="2669"/>
    </row>
    <row r="14677" spans="2:2" ht="23.25" customHeight="1">
      <c r="B14677" s="2669"/>
    </row>
    <row r="14678" spans="2:2" ht="23.25" customHeight="1">
      <c r="B14678" s="2669"/>
    </row>
    <row r="14679" spans="2:2" ht="23.25" customHeight="1">
      <c r="B14679" s="2669"/>
    </row>
    <row r="14680" spans="2:2" ht="23.25" customHeight="1">
      <c r="B14680" s="2669"/>
    </row>
    <row r="14681" spans="2:2" ht="23.25" customHeight="1">
      <c r="B14681" s="2669"/>
    </row>
    <row r="14682" spans="2:2" ht="23.25" customHeight="1">
      <c r="B14682" s="2669"/>
    </row>
    <row r="14683" spans="2:2" ht="23.25" customHeight="1">
      <c r="B14683" s="2669"/>
    </row>
    <row r="14684" spans="2:2" ht="23.25" customHeight="1">
      <c r="B14684" s="2669"/>
    </row>
    <row r="14685" spans="2:2" ht="23.25" customHeight="1">
      <c r="B14685" s="2669"/>
    </row>
    <row r="14686" spans="2:2" ht="23.25" customHeight="1">
      <c r="B14686" s="2669"/>
    </row>
    <row r="14687" spans="2:2" ht="23.25" customHeight="1">
      <c r="B14687" s="2669"/>
    </row>
    <row r="14688" spans="2:2" ht="23.25" customHeight="1">
      <c r="B14688" s="2669"/>
    </row>
    <row r="14689" spans="2:2" ht="23.25" customHeight="1">
      <c r="B14689" s="2669"/>
    </row>
    <row r="14690" spans="2:2" ht="23.25" customHeight="1">
      <c r="B14690" s="2669"/>
    </row>
    <row r="14691" spans="2:2" ht="23.25" customHeight="1">
      <c r="B14691" s="2669"/>
    </row>
    <row r="14692" spans="2:2" ht="23.25" customHeight="1">
      <c r="B14692" s="2669"/>
    </row>
    <row r="14693" spans="2:2" ht="23.25" customHeight="1">
      <c r="B14693" s="2669"/>
    </row>
    <row r="14694" spans="2:2" ht="23.25" customHeight="1">
      <c r="B14694" s="2669"/>
    </row>
    <row r="14695" spans="2:2" ht="23.25" customHeight="1">
      <c r="B14695" s="2669"/>
    </row>
    <row r="14696" spans="2:2" ht="23.25" customHeight="1">
      <c r="B14696" s="2669"/>
    </row>
    <row r="14697" spans="2:2" ht="23.25" customHeight="1">
      <c r="B14697" s="2669"/>
    </row>
    <row r="14698" spans="2:2" ht="23.25" customHeight="1">
      <c r="B14698" s="2669"/>
    </row>
    <row r="14699" spans="2:2" ht="23.25" customHeight="1">
      <c r="B14699" s="2669"/>
    </row>
    <row r="14700" spans="2:2" ht="23.25" customHeight="1">
      <c r="B14700" s="2669"/>
    </row>
    <row r="14701" spans="2:2" ht="23.25" customHeight="1">
      <c r="B14701" s="2669"/>
    </row>
    <row r="14702" spans="2:2" ht="23.25" customHeight="1">
      <c r="B14702" s="2669"/>
    </row>
    <row r="14703" spans="2:2" ht="23.25" customHeight="1">
      <c r="B14703" s="2669"/>
    </row>
    <row r="14704" spans="2:2" ht="23.25" customHeight="1">
      <c r="B14704" s="2669"/>
    </row>
    <row r="14705" spans="2:2" ht="23.25" customHeight="1">
      <c r="B14705" s="2669"/>
    </row>
    <row r="14706" spans="2:2" ht="23.25" customHeight="1">
      <c r="B14706" s="2669"/>
    </row>
    <row r="14707" spans="2:2" ht="23.25" customHeight="1">
      <c r="B14707" s="2669"/>
    </row>
    <row r="14708" spans="2:2" ht="23.25" customHeight="1">
      <c r="B14708" s="2669"/>
    </row>
    <row r="14709" spans="2:2" ht="23.25" customHeight="1">
      <c r="B14709" s="2669"/>
    </row>
    <row r="14710" spans="2:2" ht="23.25" customHeight="1">
      <c r="B14710" s="2669"/>
    </row>
    <row r="14711" spans="2:2" ht="23.25" customHeight="1">
      <c r="B14711" s="2669"/>
    </row>
    <row r="14712" spans="2:2" ht="23.25" customHeight="1">
      <c r="B14712" s="2669"/>
    </row>
    <row r="14713" spans="2:2" ht="23.25" customHeight="1">
      <c r="B14713" s="2669"/>
    </row>
    <row r="14714" spans="2:2" ht="23.25" customHeight="1">
      <c r="B14714" s="2669"/>
    </row>
    <row r="14715" spans="2:2" ht="23.25" customHeight="1">
      <c r="B14715" s="2669"/>
    </row>
    <row r="14716" spans="2:2" ht="23.25" customHeight="1">
      <c r="B14716" s="2669"/>
    </row>
    <row r="14717" spans="2:2" ht="23.25" customHeight="1">
      <c r="B14717" s="2669"/>
    </row>
    <row r="14718" spans="2:2" ht="23.25" customHeight="1">
      <c r="B14718" s="2669"/>
    </row>
    <row r="14719" spans="2:2" ht="23.25" customHeight="1">
      <c r="B14719" s="2669"/>
    </row>
    <row r="14720" spans="2:2" ht="23.25" customHeight="1">
      <c r="B14720" s="2669"/>
    </row>
    <row r="14721" spans="2:2" ht="23.25" customHeight="1">
      <c r="B14721" s="2669"/>
    </row>
    <row r="14722" spans="2:2" ht="23.25" customHeight="1">
      <c r="B14722" s="2669"/>
    </row>
    <row r="14723" spans="2:2" ht="23.25" customHeight="1">
      <c r="B14723" s="2669"/>
    </row>
    <row r="14724" spans="2:2" ht="23.25" customHeight="1">
      <c r="B14724" s="2669"/>
    </row>
    <row r="14725" spans="2:2" ht="23.25" customHeight="1">
      <c r="B14725" s="2669"/>
    </row>
    <row r="14726" spans="2:2" ht="23.25" customHeight="1">
      <c r="B14726" s="2669"/>
    </row>
    <row r="14727" spans="2:2" ht="23.25" customHeight="1">
      <c r="B14727" s="2669"/>
    </row>
    <row r="14728" spans="2:2" ht="23.25" customHeight="1">
      <c r="B14728" s="2669"/>
    </row>
    <row r="14729" spans="2:2" ht="23.25" customHeight="1">
      <c r="B14729" s="2669"/>
    </row>
    <row r="14730" spans="2:2" ht="23.25" customHeight="1">
      <c r="B14730" s="2669"/>
    </row>
    <row r="14731" spans="2:2" ht="23.25" customHeight="1">
      <c r="B14731" s="2669"/>
    </row>
    <row r="14732" spans="2:2" ht="23.25" customHeight="1">
      <c r="B14732" s="2669"/>
    </row>
    <row r="14733" spans="2:2" ht="23.25" customHeight="1">
      <c r="B14733" s="2669"/>
    </row>
    <row r="14734" spans="2:2" ht="23.25" customHeight="1">
      <c r="B14734" s="2669"/>
    </row>
    <row r="14735" spans="2:2" ht="23.25" customHeight="1">
      <c r="B14735" s="2669"/>
    </row>
    <row r="14736" spans="2:2" ht="23.25" customHeight="1">
      <c r="B14736" s="2669"/>
    </row>
    <row r="14737" spans="2:2" ht="23.25" customHeight="1">
      <c r="B14737" s="2669"/>
    </row>
    <row r="14738" spans="2:2" ht="23.25" customHeight="1">
      <c r="B14738" s="2669"/>
    </row>
    <row r="14739" spans="2:2" ht="23.25" customHeight="1">
      <c r="B14739" s="2669"/>
    </row>
    <row r="14740" spans="2:2" ht="23.25" customHeight="1">
      <c r="B14740" s="2669"/>
    </row>
    <row r="14741" spans="2:2" ht="23.25" customHeight="1">
      <c r="B14741" s="2669"/>
    </row>
    <row r="14742" spans="2:2" ht="23.25" customHeight="1">
      <c r="B14742" s="2669"/>
    </row>
    <row r="14743" spans="2:2" ht="23.25" customHeight="1">
      <c r="B14743" s="2669"/>
    </row>
    <row r="14744" spans="2:2" ht="23.25" customHeight="1">
      <c r="B14744" s="2669"/>
    </row>
    <row r="14745" spans="2:2" ht="23.25" customHeight="1">
      <c r="B14745" s="2669"/>
    </row>
    <row r="14746" spans="2:2" ht="23.25" customHeight="1">
      <c r="B14746" s="2669"/>
    </row>
    <row r="14747" spans="2:2" ht="23.25" customHeight="1">
      <c r="B14747" s="2669"/>
    </row>
    <row r="14748" spans="2:2" ht="23.25" customHeight="1">
      <c r="B14748" s="2669"/>
    </row>
    <row r="14749" spans="2:2" ht="23.25" customHeight="1">
      <c r="B14749" s="2669"/>
    </row>
    <row r="14750" spans="2:2" ht="23.25" customHeight="1">
      <c r="B14750" s="2669"/>
    </row>
    <row r="14751" spans="2:2" ht="23.25" customHeight="1">
      <c r="B14751" s="2669"/>
    </row>
    <row r="14752" spans="2:2" ht="23.25" customHeight="1">
      <c r="B14752" s="2669"/>
    </row>
    <row r="14753" spans="2:2" ht="23.25" customHeight="1">
      <c r="B14753" s="2669"/>
    </row>
    <row r="14754" spans="2:2" ht="23.25" customHeight="1">
      <c r="B14754" s="2669"/>
    </row>
    <row r="14755" spans="2:2" ht="23.25" customHeight="1">
      <c r="B14755" s="2669"/>
    </row>
    <row r="14756" spans="2:2" ht="23.25" customHeight="1">
      <c r="B14756" s="2669"/>
    </row>
    <row r="14757" spans="2:2" ht="23.25" customHeight="1">
      <c r="B14757" s="2669"/>
    </row>
    <row r="14758" spans="2:2" ht="23.25" customHeight="1">
      <c r="B14758" s="2669"/>
    </row>
    <row r="14759" spans="2:2" ht="23.25" customHeight="1">
      <c r="B14759" s="2669"/>
    </row>
    <row r="14760" spans="2:2" ht="23.25" customHeight="1">
      <c r="B14760" s="2669"/>
    </row>
    <row r="14761" spans="2:2" ht="23.25" customHeight="1">
      <c r="B14761" s="2669"/>
    </row>
    <row r="14762" spans="2:2" ht="23.25" customHeight="1">
      <c r="B14762" s="2669"/>
    </row>
    <row r="14763" spans="2:2" ht="23.25" customHeight="1">
      <c r="B14763" s="2669"/>
    </row>
    <row r="14764" spans="2:2" ht="23.25" customHeight="1">
      <c r="B14764" s="2669"/>
    </row>
    <row r="14765" spans="2:2" ht="23.25" customHeight="1">
      <c r="B14765" s="2669"/>
    </row>
    <row r="14766" spans="2:2" ht="23.25" customHeight="1">
      <c r="B14766" s="2669"/>
    </row>
    <row r="14767" spans="2:2" ht="23.25" customHeight="1">
      <c r="B14767" s="2669"/>
    </row>
    <row r="14768" spans="2:2" ht="23.25" customHeight="1">
      <c r="B14768" s="2669"/>
    </row>
    <row r="14769" spans="2:2" ht="23.25" customHeight="1">
      <c r="B14769" s="2669"/>
    </row>
    <row r="14770" spans="2:2" ht="23.25" customHeight="1">
      <c r="B14770" s="2669"/>
    </row>
    <row r="14771" spans="2:2" ht="23.25" customHeight="1">
      <c r="B14771" s="2669"/>
    </row>
    <row r="14772" spans="2:2" ht="23.25" customHeight="1">
      <c r="B14772" s="2669"/>
    </row>
    <row r="14773" spans="2:2" ht="23.25" customHeight="1">
      <c r="B14773" s="2669"/>
    </row>
    <row r="14774" spans="2:2" ht="23.25" customHeight="1">
      <c r="B14774" s="2669"/>
    </row>
    <row r="14775" spans="2:2" ht="23.25" customHeight="1">
      <c r="B14775" s="2669"/>
    </row>
    <row r="14776" spans="2:2" ht="23.25" customHeight="1">
      <c r="B14776" s="2669"/>
    </row>
    <row r="14777" spans="2:2" ht="23.25" customHeight="1">
      <c r="B14777" s="2669"/>
    </row>
    <row r="14778" spans="2:2" ht="23.25" customHeight="1">
      <c r="B14778" s="2669"/>
    </row>
    <row r="14779" spans="2:2" ht="23.25" customHeight="1">
      <c r="B14779" s="2669"/>
    </row>
    <row r="14780" spans="2:2" ht="23.25" customHeight="1">
      <c r="B14780" s="2669"/>
    </row>
    <row r="14781" spans="2:2" ht="23.25" customHeight="1">
      <c r="B14781" s="2669"/>
    </row>
    <row r="14782" spans="2:2" ht="23.25" customHeight="1">
      <c r="B14782" s="2669"/>
    </row>
    <row r="14783" spans="2:2" ht="23.25" customHeight="1">
      <c r="B14783" s="2669"/>
    </row>
    <row r="14784" spans="2:2" ht="23.25" customHeight="1">
      <c r="B14784" s="2669"/>
    </row>
    <row r="14785" spans="2:2" ht="23.25" customHeight="1">
      <c r="B14785" s="2669"/>
    </row>
    <row r="14786" spans="2:2" ht="23.25" customHeight="1">
      <c r="B14786" s="2669"/>
    </row>
    <row r="14787" spans="2:2" ht="23.25" customHeight="1">
      <c r="B14787" s="2669"/>
    </row>
    <row r="14788" spans="2:2" ht="23.25" customHeight="1">
      <c r="B14788" s="2669"/>
    </row>
    <row r="14789" spans="2:2" ht="23.25" customHeight="1">
      <c r="B14789" s="2669"/>
    </row>
    <row r="14790" spans="2:2" ht="23.25" customHeight="1">
      <c r="B14790" s="2669"/>
    </row>
    <row r="14791" spans="2:2" ht="23.25" customHeight="1">
      <c r="B14791" s="2669"/>
    </row>
    <row r="14792" spans="2:2" ht="23.25" customHeight="1">
      <c r="B14792" s="2669"/>
    </row>
    <row r="14793" spans="2:2" ht="23.25" customHeight="1">
      <c r="B14793" s="2669"/>
    </row>
    <row r="14794" spans="2:2" ht="23.25" customHeight="1">
      <c r="B14794" s="2669"/>
    </row>
    <row r="14795" spans="2:2" ht="23.25" customHeight="1">
      <c r="B14795" s="2669"/>
    </row>
    <row r="14796" spans="2:2" ht="23.25" customHeight="1">
      <c r="B14796" s="2669"/>
    </row>
    <row r="14797" spans="2:2" ht="23.25" customHeight="1">
      <c r="B14797" s="2669"/>
    </row>
    <row r="14798" spans="2:2" ht="23.25" customHeight="1">
      <c r="B14798" s="2669"/>
    </row>
    <row r="14799" spans="2:2" ht="23.25" customHeight="1">
      <c r="B14799" s="2669"/>
    </row>
    <row r="14800" spans="2:2" ht="23.25" customHeight="1">
      <c r="B14800" s="2669"/>
    </row>
    <row r="14801" spans="2:2" ht="23.25" customHeight="1">
      <c r="B14801" s="2669"/>
    </row>
    <row r="14802" spans="2:2" ht="23.25" customHeight="1">
      <c r="B14802" s="2669"/>
    </row>
    <row r="14803" spans="2:2" ht="23.25" customHeight="1">
      <c r="B14803" s="2669"/>
    </row>
    <row r="14804" spans="2:2" ht="23.25" customHeight="1">
      <c r="B14804" s="2669"/>
    </row>
    <row r="14805" spans="2:2" ht="23.25" customHeight="1">
      <c r="B14805" s="2669"/>
    </row>
    <row r="14806" spans="2:2" ht="23.25" customHeight="1">
      <c r="B14806" s="2669"/>
    </row>
    <row r="14807" spans="2:2" ht="23.25" customHeight="1">
      <c r="B14807" s="2669"/>
    </row>
    <row r="14808" spans="2:2" ht="23.25" customHeight="1">
      <c r="B14808" s="2669"/>
    </row>
    <row r="14809" spans="2:2" ht="23.25" customHeight="1">
      <c r="B14809" s="2669"/>
    </row>
    <row r="14810" spans="2:2" ht="23.25" customHeight="1">
      <c r="B14810" s="2669"/>
    </row>
    <row r="14811" spans="2:2" ht="23.25" customHeight="1">
      <c r="B14811" s="2669"/>
    </row>
    <row r="14812" spans="2:2" ht="23.25" customHeight="1">
      <c r="B14812" s="2669"/>
    </row>
    <row r="14813" spans="2:2" ht="23.25" customHeight="1">
      <c r="B14813" s="2669"/>
    </row>
    <row r="14814" spans="2:2" ht="23.25" customHeight="1">
      <c r="B14814" s="2669"/>
    </row>
    <row r="14815" spans="2:2" ht="23.25" customHeight="1">
      <c r="B14815" s="2669"/>
    </row>
    <row r="14816" spans="2:2" ht="23.25" customHeight="1">
      <c r="B14816" s="2669"/>
    </row>
    <row r="14817" spans="2:2" ht="23.25" customHeight="1">
      <c r="B14817" s="2669"/>
    </row>
    <row r="14818" spans="2:2" ht="23.25" customHeight="1">
      <c r="B14818" s="2669"/>
    </row>
    <row r="14819" spans="2:2" ht="23.25" customHeight="1">
      <c r="B14819" s="2669"/>
    </row>
    <row r="14820" spans="2:2" ht="23.25" customHeight="1">
      <c r="B14820" s="2669"/>
    </row>
    <row r="14821" spans="2:2" ht="23.25" customHeight="1">
      <c r="B14821" s="2669"/>
    </row>
    <row r="14822" spans="2:2" ht="23.25" customHeight="1">
      <c r="B14822" s="2669"/>
    </row>
    <row r="14823" spans="2:2" ht="23.25" customHeight="1">
      <c r="B14823" s="2669"/>
    </row>
    <row r="14824" spans="2:2" ht="23.25" customHeight="1">
      <c r="B14824" s="2669"/>
    </row>
    <row r="14825" spans="2:2" ht="23.25" customHeight="1">
      <c r="B14825" s="2669"/>
    </row>
    <row r="14826" spans="2:2" ht="23.25" customHeight="1">
      <c r="B14826" s="2669"/>
    </row>
    <row r="14827" spans="2:2" ht="23.25" customHeight="1">
      <c r="B14827" s="2669"/>
    </row>
    <row r="14828" spans="2:2" ht="23.25" customHeight="1">
      <c r="B14828" s="2669"/>
    </row>
    <row r="14829" spans="2:2" ht="23.25" customHeight="1">
      <c r="B14829" s="2669"/>
    </row>
    <row r="14830" spans="2:2" ht="23.25" customHeight="1">
      <c r="B14830" s="2669"/>
    </row>
    <row r="14831" spans="2:2" ht="23.25" customHeight="1">
      <c r="B14831" s="2669"/>
    </row>
    <row r="14832" spans="2:2" ht="23.25" customHeight="1">
      <c r="B14832" s="2669"/>
    </row>
    <row r="14833" spans="2:2" ht="23.25" customHeight="1">
      <c r="B14833" s="2669"/>
    </row>
    <row r="14834" spans="2:2" ht="23.25" customHeight="1">
      <c r="B14834" s="2669"/>
    </row>
    <row r="14835" spans="2:2" ht="23.25" customHeight="1">
      <c r="B14835" s="2669"/>
    </row>
    <row r="14836" spans="2:2" ht="23.25" customHeight="1">
      <c r="B14836" s="2669"/>
    </row>
    <row r="14837" spans="2:2" ht="23.25" customHeight="1">
      <c r="B14837" s="2669"/>
    </row>
    <row r="14838" spans="2:2" ht="23.25" customHeight="1">
      <c r="B14838" s="2669"/>
    </row>
    <row r="14839" spans="2:2" ht="23.25" customHeight="1">
      <c r="B14839" s="2669"/>
    </row>
    <row r="14840" spans="2:2" ht="23.25" customHeight="1">
      <c r="B14840" s="2669"/>
    </row>
    <row r="14841" spans="2:2" ht="23.25" customHeight="1">
      <c r="B14841" s="2669"/>
    </row>
    <row r="14842" spans="2:2" ht="23.25" customHeight="1">
      <c r="B14842" s="2669"/>
    </row>
    <row r="14843" spans="2:2" ht="23.25" customHeight="1">
      <c r="B14843" s="2669"/>
    </row>
    <row r="14844" spans="2:2" ht="23.25" customHeight="1">
      <c r="B14844" s="2669"/>
    </row>
    <row r="14845" spans="2:2" ht="23.25" customHeight="1">
      <c r="B14845" s="2669"/>
    </row>
    <row r="14846" spans="2:2" ht="23.25" customHeight="1">
      <c r="B14846" s="2669"/>
    </row>
    <row r="14847" spans="2:2" ht="23.25" customHeight="1">
      <c r="B14847" s="2669"/>
    </row>
    <row r="14848" spans="2:2" ht="23.25" customHeight="1">
      <c r="B14848" s="2669"/>
    </row>
    <row r="14849" spans="2:2" ht="23.25" customHeight="1">
      <c r="B14849" s="2669"/>
    </row>
    <row r="14850" spans="2:2" ht="23.25" customHeight="1">
      <c r="B14850" s="2669"/>
    </row>
    <row r="14851" spans="2:2" ht="23.25" customHeight="1">
      <c r="B14851" s="2669"/>
    </row>
    <row r="14852" spans="2:2" ht="23.25" customHeight="1">
      <c r="B14852" s="2669"/>
    </row>
    <row r="14853" spans="2:2" ht="23.25" customHeight="1">
      <c r="B14853" s="2669"/>
    </row>
    <row r="14854" spans="2:2" ht="23.25" customHeight="1">
      <c r="B14854" s="2669"/>
    </row>
    <row r="14855" spans="2:2" ht="23.25" customHeight="1">
      <c r="B14855" s="2669"/>
    </row>
    <row r="14856" spans="2:2" ht="23.25" customHeight="1">
      <c r="B14856" s="2669"/>
    </row>
    <row r="14857" spans="2:2" ht="23.25" customHeight="1">
      <c r="B14857" s="2669"/>
    </row>
    <row r="14858" spans="2:2" ht="23.25" customHeight="1">
      <c r="B14858" s="2669"/>
    </row>
    <row r="14859" spans="2:2" ht="23.25" customHeight="1">
      <c r="B14859" s="2669"/>
    </row>
    <row r="14860" spans="2:2" ht="23.25" customHeight="1">
      <c r="B14860" s="2669"/>
    </row>
    <row r="14861" spans="2:2" ht="23.25" customHeight="1">
      <c r="B14861" s="2669"/>
    </row>
    <row r="14862" spans="2:2" ht="23.25" customHeight="1">
      <c r="B14862" s="2669"/>
    </row>
    <row r="14863" spans="2:2" ht="23.25" customHeight="1">
      <c r="B14863" s="2669"/>
    </row>
    <row r="14864" spans="2:2" ht="23.25" customHeight="1">
      <c r="B14864" s="2669"/>
    </row>
    <row r="14865" spans="2:2" ht="23.25" customHeight="1">
      <c r="B14865" s="2669"/>
    </row>
    <row r="14866" spans="2:2" ht="23.25" customHeight="1">
      <c r="B14866" s="2669"/>
    </row>
    <row r="14867" spans="2:2" ht="23.25" customHeight="1">
      <c r="B14867" s="2669"/>
    </row>
    <row r="14868" spans="2:2" ht="23.25" customHeight="1">
      <c r="B14868" s="2669"/>
    </row>
    <row r="14869" spans="2:2" ht="23.25" customHeight="1">
      <c r="B14869" s="2669"/>
    </row>
    <row r="14870" spans="2:2" ht="23.25" customHeight="1">
      <c r="B14870" s="2669"/>
    </row>
    <row r="14871" spans="2:2" ht="23.25" customHeight="1">
      <c r="B14871" s="2669"/>
    </row>
    <row r="14872" spans="2:2" ht="23.25" customHeight="1">
      <c r="B14872" s="2669"/>
    </row>
    <row r="14873" spans="2:2" ht="23.25" customHeight="1">
      <c r="B14873" s="2669"/>
    </row>
    <row r="14874" spans="2:2" ht="23.25" customHeight="1">
      <c r="B14874" s="2669"/>
    </row>
    <row r="14875" spans="2:2" ht="23.25" customHeight="1">
      <c r="B14875" s="2669"/>
    </row>
    <row r="14876" spans="2:2" ht="23.25" customHeight="1">
      <c r="B14876" s="2669"/>
    </row>
    <row r="14877" spans="2:2" ht="23.25" customHeight="1">
      <c r="B14877" s="2669"/>
    </row>
    <row r="14878" spans="2:2" ht="23.25" customHeight="1">
      <c r="B14878" s="2669"/>
    </row>
    <row r="14879" spans="2:2" ht="23.25" customHeight="1">
      <c r="B14879" s="2669"/>
    </row>
    <row r="14880" spans="2:2" ht="23.25" customHeight="1">
      <c r="B14880" s="2669"/>
    </row>
    <row r="14881" spans="2:2" ht="23.25" customHeight="1">
      <c r="B14881" s="2669"/>
    </row>
    <row r="14882" spans="2:2" ht="23.25" customHeight="1">
      <c r="B14882" s="2669"/>
    </row>
    <row r="14883" spans="2:2" ht="23.25" customHeight="1">
      <c r="B14883" s="2669"/>
    </row>
    <row r="14884" spans="2:2" ht="23.25" customHeight="1">
      <c r="B14884" s="2669"/>
    </row>
    <row r="14885" spans="2:2" ht="23.25" customHeight="1">
      <c r="B14885" s="2669"/>
    </row>
    <row r="14886" spans="2:2" ht="23.25" customHeight="1">
      <c r="B14886" s="2669"/>
    </row>
    <row r="14887" spans="2:2" ht="23.25" customHeight="1">
      <c r="B14887" s="2669"/>
    </row>
    <row r="14888" spans="2:2" ht="23.25" customHeight="1">
      <c r="B14888" s="2669"/>
    </row>
    <row r="14889" spans="2:2" ht="23.25" customHeight="1">
      <c r="B14889" s="2669"/>
    </row>
    <row r="14890" spans="2:2" ht="23.25" customHeight="1">
      <c r="B14890" s="2669"/>
    </row>
    <row r="14891" spans="2:2" ht="23.25" customHeight="1">
      <c r="B14891" s="2669"/>
    </row>
    <row r="14892" spans="2:2" ht="23.25" customHeight="1">
      <c r="B14892" s="2669"/>
    </row>
    <row r="14893" spans="2:2" ht="23.25" customHeight="1">
      <c r="B14893" s="2669"/>
    </row>
    <row r="14894" spans="2:2" ht="23.25" customHeight="1">
      <c r="B14894" s="2669"/>
    </row>
    <row r="14895" spans="2:2" ht="23.25" customHeight="1">
      <c r="B14895" s="2669"/>
    </row>
    <row r="14896" spans="2:2" ht="23.25" customHeight="1">
      <c r="B14896" s="2669"/>
    </row>
    <row r="14897" spans="2:2" ht="23.25" customHeight="1">
      <c r="B14897" s="2669"/>
    </row>
    <row r="14898" spans="2:2" ht="23.25" customHeight="1">
      <c r="B14898" s="2669"/>
    </row>
    <row r="14899" spans="2:2" ht="23.25" customHeight="1">
      <c r="B14899" s="2669"/>
    </row>
    <row r="14900" spans="2:2" ht="23.25" customHeight="1">
      <c r="B14900" s="2669"/>
    </row>
    <row r="14901" spans="2:2" ht="23.25" customHeight="1">
      <c r="B14901" s="2669"/>
    </row>
    <row r="14902" spans="2:2" ht="23.25" customHeight="1">
      <c r="B14902" s="2669"/>
    </row>
    <row r="14903" spans="2:2" ht="23.25" customHeight="1">
      <c r="B14903" s="2669"/>
    </row>
    <row r="14904" spans="2:2" ht="23.25" customHeight="1">
      <c r="B14904" s="2669"/>
    </row>
    <row r="14905" spans="2:2" ht="23.25" customHeight="1">
      <c r="B14905" s="2669"/>
    </row>
    <row r="14906" spans="2:2" ht="23.25" customHeight="1">
      <c r="B14906" s="2669"/>
    </row>
    <row r="14907" spans="2:2" ht="23.25" customHeight="1">
      <c r="B14907" s="2669"/>
    </row>
    <row r="14908" spans="2:2" ht="23.25" customHeight="1">
      <c r="B14908" s="2669"/>
    </row>
    <row r="14909" spans="2:2" ht="23.25" customHeight="1">
      <c r="B14909" s="2669"/>
    </row>
    <row r="14910" spans="2:2" ht="23.25" customHeight="1">
      <c r="B14910" s="2669"/>
    </row>
    <row r="14911" spans="2:2" ht="23.25" customHeight="1">
      <c r="B14911" s="2669"/>
    </row>
    <row r="14912" spans="2:2" ht="23.25" customHeight="1">
      <c r="B14912" s="2669"/>
    </row>
    <row r="14913" spans="2:2" ht="23.25" customHeight="1">
      <c r="B14913" s="2669"/>
    </row>
    <row r="14914" spans="2:2" ht="23.25" customHeight="1">
      <c r="B14914" s="2669"/>
    </row>
    <row r="14915" spans="2:2" ht="23.25" customHeight="1">
      <c r="B14915" s="2669"/>
    </row>
    <row r="14916" spans="2:2" ht="23.25" customHeight="1">
      <c r="B14916" s="2669"/>
    </row>
    <row r="14917" spans="2:2" ht="23.25" customHeight="1">
      <c r="B14917" s="2669"/>
    </row>
    <row r="14918" spans="2:2" ht="23.25" customHeight="1">
      <c r="B14918" s="2669"/>
    </row>
    <row r="14919" spans="2:2" ht="23.25" customHeight="1">
      <c r="B14919" s="2669"/>
    </row>
    <row r="14920" spans="2:2" ht="23.25" customHeight="1">
      <c r="B14920" s="2669"/>
    </row>
    <row r="14921" spans="2:2" ht="23.25" customHeight="1">
      <c r="B14921" s="2669"/>
    </row>
    <row r="14922" spans="2:2" ht="23.25" customHeight="1">
      <c r="B14922" s="2669"/>
    </row>
    <row r="14923" spans="2:2" ht="23.25" customHeight="1">
      <c r="B14923" s="2669"/>
    </row>
    <row r="14924" spans="2:2" ht="23.25" customHeight="1">
      <c r="B14924" s="2669"/>
    </row>
    <row r="14925" spans="2:2" ht="23.25" customHeight="1">
      <c r="B14925" s="2669"/>
    </row>
    <row r="14926" spans="2:2" ht="23.25" customHeight="1">
      <c r="B14926" s="2669"/>
    </row>
    <row r="14927" spans="2:2" ht="23.25" customHeight="1">
      <c r="B14927" s="2669"/>
    </row>
    <row r="14928" spans="2:2" ht="23.25" customHeight="1">
      <c r="B14928" s="2669"/>
    </row>
    <row r="14929" spans="2:2" ht="23.25" customHeight="1">
      <c r="B14929" s="2669"/>
    </row>
    <row r="14930" spans="2:2" ht="23.25" customHeight="1">
      <c r="B14930" s="2669"/>
    </row>
    <row r="14931" spans="2:2" ht="23.25" customHeight="1">
      <c r="B14931" s="2669"/>
    </row>
    <row r="14932" spans="2:2" ht="23.25" customHeight="1">
      <c r="B14932" s="2669"/>
    </row>
    <row r="14933" spans="2:2" ht="23.25" customHeight="1">
      <c r="B14933" s="2669"/>
    </row>
    <row r="14934" spans="2:2" ht="23.25" customHeight="1">
      <c r="B14934" s="2669"/>
    </row>
    <row r="14935" spans="2:2" ht="23.25" customHeight="1">
      <c r="B14935" s="2669"/>
    </row>
    <row r="14936" spans="2:2" ht="23.25" customHeight="1">
      <c r="B14936" s="2669"/>
    </row>
    <row r="14937" spans="2:2" ht="23.25" customHeight="1">
      <c r="B14937" s="2669"/>
    </row>
    <row r="14938" spans="2:2" ht="23.25" customHeight="1">
      <c r="B14938" s="2669"/>
    </row>
    <row r="14939" spans="2:2" ht="23.25" customHeight="1">
      <c r="B14939" s="2669"/>
    </row>
    <row r="14940" spans="2:2" ht="23.25" customHeight="1">
      <c r="B14940" s="2669"/>
    </row>
    <row r="14941" spans="2:2" ht="23.25" customHeight="1">
      <c r="B14941" s="2669"/>
    </row>
    <row r="14942" spans="2:2" ht="23.25" customHeight="1">
      <c r="B14942" s="2669"/>
    </row>
    <row r="14943" spans="2:2" ht="23.25" customHeight="1">
      <c r="B14943" s="2669"/>
    </row>
    <row r="14944" spans="2:2" ht="23.25" customHeight="1">
      <c r="B14944" s="2669"/>
    </row>
    <row r="14945" spans="2:2" ht="23.25" customHeight="1">
      <c r="B14945" s="2669"/>
    </row>
    <row r="14946" spans="2:2" ht="23.25" customHeight="1">
      <c r="B14946" s="2669"/>
    </row>
    <row r="14947" spans="2:2" ht="23.25" customHeight="1">
      <c r="B14947" s="2669"/>
    </row>
    <row r="14948" spans="2:2" ht="23.25" customHeight="1">
      <c r="B14948" s="2669"/>
    </row>
    <row r="14949" spans="2:2" ht="23.25" customHeight="1">
      <c r="B14949" s="2669"/>
    </row>
    <row r="14950" spans="2:2" ht="23.25" customHeight="1">
      <c r="B14950" s="2669"/>
    </row>
    <row r="14951" spans="2:2" ht="23.25" customHeight="1">
      <c r="B14951" s="2669"/>
    </row>
    <row r="14952" spans="2:2" ht="23.25" customHeight="1">
      <c r="B14952" s="2669"/>
    </row>
    <row r="14953" spans="2:2" ht="23.25" customHeight="1">
      <c r="B14953" s="2669"/>
    </row>
    <row r="14954" spans="2:2" ht="23.25" customHeight="1">
      <c r="B14954" s="2669"/>
    </row>
    <row r="14955" spans="2:2" ht="23.25" customHeight="1">
      <c r="B14955" s="2669"/>
    </row>
    <row r="14956" spans="2:2" ht="23.25" customHeight="1">
      <c r="B14956" s="2669"/>
    </row>
    <row r="14957" spans="2:2" ht="23.25" customHeight="1">
      <c r="B14957" s="2669"/>
    </row>
    <row r="14958" spans="2:2" ht="23.25" customHeight="1">
      <c r="B14958" s="2669"/>
    </row>
    <row r="14959" spans="2:2" ht="23.25" customHeight="1">
      <c r="B14959" s="2669"/>
    </row>
    <row r="14960" spans="2:2" ht="23.25" customHeight="1">
      <c r="B14960" s="2669"/>
    </row>
    <row r="14961" spans="2:2" ht="23.25" customHeight="1">
      <c r="B14961" s="2669"/>
    </row>
    <row r="14962" spans="2:2" ht="23.25" customHeight="1">
      <c r="B14962" s="2669"/>
    </row>
    <row r="14963" spans="2:2" ht="23.25" customHeight="1">
      <c r="B14963" s="2669"/>
    </row>
    <row r="14964" spans="2:2" ht="23.25" customHeight="1">
      <c r="B14964" s="2669"/>
    </row>
    <row r="14965" spans="2:2" ht="23.25" customHeight="1">
      <c r="B14965" s="2669"/>
    </row>
    <row r="14966" spans="2:2" ht="23.25" customHeight="1">
      <c r="B14966" s="2669"/>
    </row>
    <row r="14967" spans="2:2" ht="23.25" customHeight="1">
      <c r="B14967" s="2669"/>
    </row>
    <row r="14968" spans="2:2" ht="23.25" customHeight="1">
      <c r="B14968" s="2669"/>
    </row>
    <row r="14969" spans="2:2" ht="23.25" customHeight="1">
      <c r="B14969" s="2669"/>
    </row>
    <row r="14970" spans="2:2" ht="23.25" customHeight="1">
      <c r="B14970" s="2669"/>
    </row>
    <row r="14971" spans="2:2" ht="23.25" customHeight="1">
      <c r="B14971" s="2669"/>
    </row>
    <row r="14972" spans="2:2" ht="23.25" customHeight="1">
      <c r="B14972" s="2669"/>
    </row>
    <row r="14973" spans="2:2" ht="23.25" customHeight="1">
      <c r="B14973" s="2669"/>
    </row>
    <row r="14974" spans="2:2" ht="23.25" customHeight="1">
      <c r="B14974" s="2669"/>
    </row>
    <row r="14975" spans="2:2" ht="23.25" customHeight="1">
      <c r="B14975" s="2669"/>
    </row>
    <row r="14976" spans="2:2" ht="23.25" customHeight="1">
      <c r="B14976" s="2669"/>
    </row>
    <row r="14977" spans="2:2" ht="23.25" customHeight="1">
      <c r="B14977" s="2669"/>
    </row>
    <row r="14978" spans="2:2" ht="23.25" customHeight="1">
      <c r="B14978" s="2669"/>
    </row>
    <row r="14979" spans="2:2" ht="23.25" customHeight="1">
      <c r="B14979" s="2669"/>
    </row>
    <row r="14980" spans="2:2" ht="23.25" customHeight="1">
      <c r="B14980" s="2669"/>
    </row>
    <row r="14981" spans="2:2" ht="23.25" customHeight="1">
      <c r="B14981" s="2669"/>
    </row>
    <row r="14982" spans="2:2" ht="23.25" customHeight="1">
      <c r="B14982" s="2669"/>
    </row>
    <row r="14983" spans="2:2" ht="23.25" customHeight="1">
      <c r="B14983" s="2669"/>
    </row>
    <row r="14984" spans="2:2" ht="23.25" customHeight="1">
      <c r="B14984" s="2669"/>
    </row>
    <row r="14985" spans="2:2" ht="23.25" customHeight="1">
      <c r="B14985" s="2669"/>
    </row>
    <row r="14986" spans="2:2" ht="23.25" customHeight="1">
      <c r="B14986" s="2669"/>
    </row>
    <row r="14987" spans="2:2" ht="23.25" customHeight="1">
      <c r="B14987" s="2669"/>
    </row>
    <row r="14988" spans="2:2" ht="23.25" customHeight="1">
      <c r="B14988" s="2669"/>
    </row>
    <row r="14989" spans="2:2" ht="23.25" customHeight="1">
      <c r="B14989" s="2669"/>
    </row>
    <row r="14990" spans="2:2" ht="23.25" customHeight="1">
      <c r="B14990" s="2669"/>
    </row>
    <row r="14991" spans="2:2" ht="23.25" customHeight="1">
      <c r="B14991" s="2669"/>
    </row>
    <row r="14992" spans="2:2" ht="23.25" customHeight="1">
      <c r="B14992" s="2669"/>
    </row>
    <row r="14993" spans="2:2" ht="23.25" customHeight="1">
      <c r="B14993" s="2669"/>
    </row>
    <row r="14994" spans="2:2" ht="23.25" customHeight="1">
      <c r="B14994" s="2669"/>
    </row>
    <row r="14995" spans="2:2" ht="23.25" customHeight="1">
      <c r="B14995" s="2669"/>
    </row>
    <row r="14996" spans="2:2" ht="23.25" customHeight="1">
      <c r="B14996" s="2669"/>
    </row>
    <row r="14997" spans="2:2" ht="23.25" customHeight="1">
      <c r="B14997" s="2669"/>
    </row>
    <row r="14998" spans="2:2" ht="23.25" customHeight="1">
      <c r="B14998" s="2669"/>
    </row>
    <row r="14999" spans="2:2" ht="23.25" customHeight="1">
      <c r="B14999" s="2669"/>
    </row>
    <row r="15000" spans="2:2" ht="23.25" customHeight="1">
      <c r="B15000" s="2669"/>
    </row>
    <row r="15001" spans="2:2" ht="23.25" customHeight="1">
      <c r="B15001" s="2669"/>
    </row>
    <row r="15002" spans="2:2" ht="23.25" customHeight="1">
      <c r="B15002" s="2669"/>
    </row>
    <row r="15003" spans="2:2" ht="23.25" customHeight="1">
      <c r="B15003" s="2669"/>
    </row>
    <row r="15004" spans="2:2" ht="23.25" customHeight="1">
      <c r="B15004" s="2669"/>
    </row>
    <row r="15005" spans="2:2" ht="23.25" customHeight="1">
      <c r="B15005" s="2669"/>
    </row>
    <row r="15006" spans="2:2" ht="23.25" customHeight="1">
      <c r="B15006" s="2669"/>
    </row>
    <row r="15007" spans="2:2" ht="23.25" customHeight="1">
      <c r="B15007" s="2669"/>
    </row>
    <row r="15008" spans="2:2" ht="23.25" customHeight="1">
      <c r="B15008" s="2669"/>
    </row>
    <row r="15009" spans="2:2" ht="23.25" customHeight="1">
      <c r="B15009" s="2669"/>
    </row>
    <row r="15010" spans="2:2" ht="23.25" customHeight="1">
      <c r="B15010" s="2669"/>
    </row>
    <row r="15011" spans="2:2" ht="23.25" customHeight="1">
      <c r="B15011" s="2669"/>
    </row>
    <row r="15012" spans="2:2" ht="23.25" customHeight="1">
      <c r="B15012" s="2669"/>
    </row>
    <row r="15013" spans="2:2" ht="23.25" customHeight="1">
      <c r="B15013" s="2669"/>
    </row>
    <row r="15014" spans="2:2" ht="23.25" customHeight="1">
      <c r="B15014" s="2669"/>
    </row>
    <row r="15015" spans="2:2" ht="23.25" customHeight="1">
      <c r="B15015" s="2669"/>
    </row>
    <row r="15016" spans="2:2" ht="23.25" customHeight="1">
      <c r="B15016" s="2669"/>
    </row>
    <row r="15017" spans="2:2" ht="23.25" customHeight="1">
      <c r="B15017" s="2669"/>
    </row>
    <row r="15018" spans="2:2" ht="23.25" customHeight="1">
      <c r="B15018" s="2669"/>
    </row>
    <row r="15019" spans="2:2" ht="23.25" customHeight="1">
      <c r="B15019" s="2669"/>
    </row>
    <row r="15020" spans="2:2" ht="23.25" customHeight="1">
      <c r="B15020" s="2669"/>
    </row>
    <row r="15021" spans="2:2" ht="23.25" customHeight="1">
      <c r="B15021" s="2669"/>
    </row>
    <row r="15022" spans="2:2" ht="23.25" customHeight="1">
      <c r="B15022" s="2669"/>
    </row>
    <row r="15023" spans="2:2" ht="23.25" customHeight="1">
      <c r="B15023" s="2669"/>
    </row>
    <row r="15024" spans="2:2" ht="23.25" customHeight="1">
      <c r="B15024" s="2669"/>
    </row>
    <row r="15025" spans="2:2" ht="23.25" customHeight="1">
      <c r="B15025" s="2669"/>
    </row>
    <row r="15026" spans="2:2" ht="23.25" customHeight="1">
      <c r="B15026" s="2669"/>
    </row>
    <row r="15027" spans="2:2" ht="23.25" customHeight="1">
      <c r="B15027" s="2669"/>
    </row>
    <row r="15028" spans="2:2" ht="23.25" customHeight="1">
      <c r="B15028" s="2669"/>
    </row>
    <row r="15029" spans="2:2" ht="23.25" customHeight="1">
      <c r="B15029" s="2669"/>
    </row>
    <row r="15030" spans="2:2" ht="23.25" customHeight="1">
      <c r="B15030" s="2669"/>
    </row>
    <row r="15031" spans="2:2" ht="23.25" customHeight="1">
      <c r="B15031" s="2669"/>
    </row>
    <row r="15032" spans="2:2" ht="23.25" customHeight="1">
      <c r="B15032" s="2669"/>
    </row>
    <row r="15033" spans="2:2" ht="23.25" customHeight="1">
      <c r="B15033" s="2669"/>
    </row>
    <row r="15034" spans="2:2" ht="23.25" customHeight="1">
      <c r="B15034" s="2669"/>
    </row>
    <row r="15035" spans="2:2" ht="23.25" customHeight="1">
      <c r="B15035" s="2669"/>
    </row>
    <row r="15036" spans="2:2" ht="23.25" customHeight="1">
      <c r="B15036" s="2669"/>
    </row>
    <row r="15037" spans="2:2" ht="23.25" customHeight="1">
      <c r="B15037" s="2669"/>
    </row>
    <row r="15038" spans="2:2" ht="23.25" customHeight="1">
      <c r="B15038" s="2669"/>
    </row>
    <row r="15039" spans="2:2" ht="23.25" customHeight="1">
      <c r="B15039" s="2669"/>
    </row>
    <row r="15040" spans="2:2" ht="23.25" customHeight="1">
      <c r="B15040" s="2669"/>
    </row>
    <row r="15041" spans="2:2" ht="23.25" customHeight="1">
      <c r="B15041" s="2669"/>
    </row>
    <row r="15042" spans="2:2" ht="23.25" customHeight="1">
      <c r="B15042" s="2669"/>
    </row>
    <row r="15043" spans="2:2" ht="23.25" customHeight="1">
      <c r="B15043" s="2669"/>
    </row>
    <row r="15044" spans="2:2" ht="23.25" customHeight="1">
      <c r="B15044" s="2669"/>
    </row>
    <row r="15045" spans="2:2" ht="23.25" customHeight="1">
      <c r="B15045" s="2669"/>
    </row>
    <row r="15046" spans="2:2" ht="23.25" customHeight="1">
      <c r="B15046" s="2669"/>
    </row>
    <row r="15047" spans="2:2" ht="23.25" customHeight="1">
      <c r="B15047" s="2669"/>
    </row>
    <row r="15048" spans="2:2" ht="23.25" customHeight="1">
      <c r="B15048" s="2669"/>
    </row>
    <row r="15049" spans="2:2" ht="23.25" customHeight="1">
      <c r="B15049" s="2669"/>
    </row>
    <row r="15050" spans="2:2" ht="23.25" customHeight="1">
      <c r="B15050" s="2669"/>
    </row>
    <row r="15051" spans="2:2" ht="23.25" customHeight="1">
      <c r="B15051" s="2669"/>
    </row>
    <row r="15052" spans="2:2" ht="23.25" customHeight="1">
      <c r="B15052" s="2669"/>
    </row>
    <row r="15053" spans="2:2" ht="23.25" customHeight="1">
      <c r="B15053" s="2669"/>
    </row>
    <row r="15054" spans="2:2" ht="23.25" customHeight="1">
      <c r="B15054" s="2669"/>
    </row>
    <row r="15055" spans="2:2" ht="23.25" customHeight="1">
      <c r="B15055" s="2669"/>
    </row>
    <row r="15056" spans="2:2" ht="23.25" customHeight="1">
      <c r="B15056" s="2669"/>
    </row>
    <row r="15057" spans="2:2" ht="23.25" customHeight="1">
      <c r="B15057" s="2669"/>
    </row>
    <row r="15058" spans="2:2" ht="23.25" customHeight="1">
      <c r="B15058" s="2669"/>
    </row>
    <row r="15059" spans="2:2" ht="23.25" customHeight="1">
      <c r="B15059" s="2669"/>
    </row>
    <row r="15060" spans="2:2" ht="23.25" customHeight="1">
      <c r="B15060" s="2669"/>
    </row>
    <row r="15061" spans="2:2" ht="23.25" customHeight="1">
      <c r="B15061" s="2669"/>
    </row>
    <row r="15062" spans="2:2" ht="23.25" customHeight="1">
      <c r="B15062" s="2669"/>
    </row>
    <row r="15063" spans="2:2" ht="23.25" customHeight="1">
      <c r="B15063" s="2669"/>
    </row>
    <row r="15064" spans="2:2" ht="23.25" customHeight="1">
      <c r="B15064" s="2669"/>
    </row>
    <row r="15065" spans="2:2" ht="23.25" customHeight="1">
      <c r="B15065" s="2669"/>
    </row>
    <row r="15066" spans="2:2" ht="23.25" customHeight="1">
      <c r="B15066" s="2669"/>
    </row>
    <row r="15067" spans="2:2" ht="23.25" customHeight="1">
      <c r="B15067" s="2669"/>
    </row>
    <row r="15068" spans="2:2" ht="23.25" customHeight="1">
      <c r="B15068" s="2669"/>
    </row>
    <row r="15069" spans="2:2" ht="23.25" customHeight="1">
      <c r="B15069" s="2669"/>
    </row>
    <row r="15070" spans="2:2" ht="23.25" customHeight="1">
      <c r="B15070" s="2669"/>
    </row>
    <row r="15071" spans="2:2" ht="23.25" customHeight="1">
      <c r="B15071" s="2669"/>
    </row>
    <row r="15072" spans="2:2" ht="23.25" customHeight="1">
      <c r="B15072" s="2669"/>
    </row>
    <row r="15073" spans="2:2" ht="23.25" customHeight="1">
      <c r="B15073" s="2669"/>
    </row>
    <row r="15074" spans="2:2" ht="23.25" customHeight="1">
      <c r="B15074" s="2669"/>
    </row>
    <row r="15075" spans="2:2" ht="23.25" customHeight="1">
      <c r="B15075" s="2669"/>
    </row>
    <row r="15076" spans="2:2" ht="23.25" customHeight="1">
      <c r="B15076" s="2669"/>
    </row>
    <row r="15077" spans="2:2" ht="23.25" customHeight="1">
      <c r="B15077" s="2669"/>
    </row>
    <row r="15078" spans="2:2" ht="23.25" customHeight="1">
      <c r="B15078" s="2669"/>
    </row>
    <row r="15079" spans="2:2" ht="23.25" customHeight="1">
      <c r="B15079" s="2669"/>
    </row>
    <row r="15080" spans="2:2" ht="23.25" customHeight="1">
      <c r="B15080" s="2669"/>
    </row>
    <row r="15081" spans="2:2" ht="23.25" customHeight="1">
      <c r="B15081" s="2669"/>
    </row>
    <row r="15082" spans="2:2" ht="23.25" customHeight="1">
      <c r="B15082" s="2669"/>
    </row>
    <row r="15083" spans="2:2" ht="23.25" customHeight="1">
      <c r="B15083" s="2669"/>
    </row>
    <row r="15084" spans="2:2" ht="23.25" customHeight="1">
      <c r="B15084" s="2669"/>
    </row>
    <row r="15085" spans="2:2" ht="23.25" customHeight="1">
      <c r="B15085" s="2669"/>
    </row>
    <row r="15086" spans="2:2" ht="23.25" customHeight="1">
      <c r="B15086" s="2669"/>
    </row>
    <row r="15087" spans="2:2" ht="23.25" customHeight="1">
      <c r="B15087" s="2669"/>
    </row>
    <row r="15088" spans="2:2" ht="23.25" customHeight="1">
      <c r="B15088" s="2669"/>
    </row>
    <row r="15089" spans="2:2" ht="23.25" customHeight="1">
      <c r="B15089" s="2669"/>
    </row>
    <row r="15090" spans="2:2" ht="23.25" customHeight="1">
      <c r="B15090" s="2669"/>
    </row>
    <row r="15091" spans="2:2" ht="23.25" customHeight="1">
      <c r="B15091" s="2669"/>
    </row>
    <row r="15092" spans="2:2" ht="23.25" customHeight="1">
      <c r="B15092" s="2669"/>
    </row>
    <row r="15093" spans="2:2" ht="23.25" customHeight="1">
      <c r="B15093" s="2669"/>
    </row>
    <row r="15094" spans="2:2" ht="23.25" customHeight="1">
      <c r="B15094" s="2669"/>
    </row>
    <row r="15095" spans="2:2" ht="23.25" customHeight="1">
      <c r="B15095" s="2669"/>
    </row>
    <row r="15096" spans="2:2" ht="23.25" customHeight="1">
      <c r="B15096" s="2669"/>
    </row>
    <row r="15097" spans="2:2" ht="23.25" customHeight="1">
      <c r="B15097" s="2669"/>
    </row>
    <row r="15098" spans="2:2" ht="23.25" customHeight="1">
      <c r="B15098" s="2669"/>
    </row>
    <row r="15099" spans="2:2" ht="23.25" customHeight="1">
      <c r="B15099" s="2669"/>
    </row>
    <row r="15100" spans="2:2" ht="23.25" customHeight="1">
      <c r="B15100" s="2669"/>
    </row>
    <row r="15101" spans="2:2" ht="23.25" customHeight="1">
      <c r="B15101" s="2669"/>
    </row>
    <row r="15102" spans="2:2" ht="23.25" customHeight="1">
      <c r="B15102" s="2669"/>
    </row>
    <row r="15103" spans="2:2" ht="23.25" customHeight="1">
      <c r="B15103" s="2669"/>
    </row>
    <row r="15104" spans="2:2" ht="23.25" customHeight="1">
      <c r="B15104" s="2669"/>
    </row>
    <row r="15105" spans="2:2" ht="23.25" customHeight="1">
      <c r="B15105" s="2669"/>
    </row>
    <row r="15106" spans="2:2" ht="23.25" customHeight="1">
      <c r="B15106" s="2669"/>
    </row>
    <row r="15107" spans="2:2" ht="23.25" customHeight="1">
      <c r="B15107" s="2669"/>
    </row>
    <row r="15108" spans="2:2" ht="23.25" customHeight="1">
      <c r="B15108" s="2669"/>
    </row>
    <row r="15109" spans="2:2" ht="23.25" customHeight="1">
      <c r="B15109" s="2669"/>
    </row>
    <row r="15110" spans="2:2" ht="23.25" customHeight="1">
      <c r="B15110" s="2669"/>
    </row>
    <row r="15111" spans="2:2" ht="23.25" customHeight="1">
      <c r="B15111" s="2669"/>
    </row>
    <row r="15112" spans="2:2" ht="23.25" customHeight="1">
      <c r="B15112" s="2669"/>
    </row>
    <row r="15113" spans="2:2" ht="23.25" customHeight="1">
      <c r="B15113" s="2669"/>
    </row>
    <row r="15114" spans="2:2" ht="23.25" customHeight="1">
      <c r="B15114" s="2669"/>
    </row>
    <row r="15115" spans="2:2" ht="23.25" customHeight="1">
      <c r="B15115" s="2669"/>
    </row>
    <row r="15116" spans="2:2" ht="23.25" customHeight="1">
      <c r="B15116" s="2669"/>
    </row>
    <row r="15117" spans="2:2" ht="23.25" customHeight="1">
      <c r="B15117" s="2669"/>
    </row>
    <row r="15118" spans="2:2" ht="23.25" customHeight="1">
      <c r="B15118" s="2669"/>
    </row>
    <row r="15119" spans="2:2" ht="23.25" customHeight="1">
      <c r="B15119" s="2669"/>
    </row>
    <row r="15120" spans="2:2" ht="23.25" customHeight="1">
      <c r="B15120" s="2669"/>
    </row>
    <row r="15121" spans="2:2" ht="23.25" customHeight="1">
      <c r="B15121" s="2669"/>
    </row>
    <row r="15122" spans="2:2" ht="23.25" customHeight="1">
      <c r="B15122" s="2669"/>
    </row>
    <row r="15123" spans="2:2" ht="23.25" customHeight="1">
      <c r="B15123" s="2669"/>
    </row>
    <row r="15124" spans="2:2" ht="23.25" customHeight="1">
      <c r="B15124" s="2669"/>
    </row>
    <row r="15125" spans="2:2" ht="23.25" customHeight="1">
      <c r="B15125" s="2669"/>
    </row>
    <row r="15126" spans="2:2" ht="23.25" customHeight="1">
      <c r="B15126" s="2669"/>
    </row>
    <row r="15127" spans="2:2" ht="23.25" customHeight="1">
      <c r="B15127" s="2669"/>
    </row>
    <row r="15128" spans="2:2" ht="23.25" customHeight="1">
      <c r="B15128" s="2669"/>
    </row>
    <row r="15129" spans="2:2" ht="23.25" customHeight="1">
      <c r="B15129" s="2669"/>
    </row>
    <row r="15130" spans="2:2" ht="23.25" customHeight="1">
      <c r="B15130" s="2669"/>
    </row>
    <row r="15131" spans="2:2" ht="23.25" customHeight="1">
      <c r="B15131" s="2669"/>
    </row>
    <row r="15132" spans="2:2" ht="23.25" customHeight="1">
      <c r="B15132" s="2669"/>
    </row>
    <row r="15133" spans="2:2" ht="23.25" customHeight="1">
      <c r="B15133" s="2669"/>
    </row>
    <row r="15134" spans="2:2" ht="23.25" customHeight="1">
      <c r="B15134" s="2669"/>
    </row>
    <row r="15135" spans="2:2" ht="23.25" customHeight="1">
      <c r="B15135" s="2669"/>
    </row>
    <row r="15136" spans="2:2" ht="23.25" customHeight="1">
      <c r="B15136" s="2669"/>
    </row>
    <row r="15137" spans="2:2" ht="23.25" customHeight="1">
      <c r="B15137" s="2669"/>
    </row>
    <row r="15138" spans="2:2" ht="23.25" customHeight="1">
      <c r="B15138" s="2669"/>
    </row>
    <row r="15139" spans="2:2" ht="23.25" customHeight="1">
      <c r="B15139" s="2669"/>
    </row>
    <row r="15140" spans="2:2" ht="23.25" customHeight="1">
      <c r="B15140" s="2669"/>
    </row>
    <row r="15141" spans="2:2" ht="23.25" customHeight="1">
      <c r="B15141" s="2669"/>
    </row>
    <row r="15142" spans="2:2" ht="23.25" customHeight="1">
      <c r="B15142" s="2669"/>
    </row>
    <row r="15143" spans="2:2" ht="23.25" customHeight="1">
      <c r="B15143" s="2669"/>
    </row>
    <row r="15144" spans="2:2" ht="23.25" customHeight="1">
      <c r="B15144" s="2669"/>
    </row>
    <row r="15145" spans="2:2" ht="23.25" customHeight="1">
      <c r="B15145" s="2669"/>
    </row>
    <row r="15146" spans="2:2" ht="23.25" customHeight="1">
      <c r="B15146" s="2669"/>
    </row>
    <row r="15147" spans="2:2" ht="23.25" customHeight="1">
      <c r="B15147" s="2669"/>
    </row>
    <row r="15148" spans="2:2" ht="23.25" customHeight="1">
      <c r="B15148" s="2669"/>
    </row>
    <row r="15149" spans="2:2" ht="23.25" customHeight="1">
      <c r="B15149" s="2669"/>
    </row>
    <row r="15150" spans="2:2" ht="23.25" customHeight="1">
      <c r="B15150" s="2669"/>
    </row>
    <row r="15151" spans="2:2" ht="23.25" customHeight="1">
      <c r="B15151" s="2669"/>
    </row>
    <row r="15152" spans="2:2" ht="23.25" customHeight="1">
      <c r="B15152" s="2669"/>
    </row>
    <row r="15153" spans="2:2" ht="23.25" customHeight="1">
      <c r="B15153" s="2669"/>
    </row>
    <row r="15154" spans="2:2" ht="23.25" customHeight="1">
      <c r="B15154" s="2669"/>
    </row>
    <row r="15155" spans="2:2" ht="23.25" customHeight="1">
      <c r="B15155" s="2669"/>
    </row>
    <row r="15156" spans="2:2" ht="23.25" customHeight="1">
      <c r="B15156" s="2669"/>
    </row>
    <row r="15157" spans="2:2" ht="23.25" customHeight="1">
      <c r="B15157" s="2669"/>
    </row>
    <row r="15158" spans="2:2" ht="23.25" customHeight="1">
      <c r="B15158" s="2669"/>
    </row>
    <row r="15159" spans="2:2" ht="23.25" customHeight="1">
      <c r="B15159" s="2669"/>
    </row>
    <row r="15160" spans="2:2" ht="23.25" customHeight="1">
      <c r="B15160" s="2669"/>
    </row>
    <row r="15161" spans="2:2" ht="23.25" customHeight="1">
      <c r="B15161" s="2669"/>
    </row>
    <row r="15162" spans="2:2" ht="23.25" customHeight="1">
      <c r="B15162" s="2669"/>
    </row>
    <row r="15163" spans="2:2" ht="23.25" customHeight="1">
      <c r="B15163" s="2669"/>
    </row>
    <row r="15164" spans="2:2" ht="23.25" customHeight="1">
      <c r="B15164" s="2669"/>
    </row>
    <row r="15165" spans="2:2" ht="23.25" customHeight="1">
      <c r="B15165" s="2669"/>
    </row>
    <row r="15166" spans="2:2" ht="23.25" customHeight="1">
      <c r="B15166" s="2669"/>
    </row>
    <row r="15167" spans="2:2" ht="23.25" customHeight="1">
      <c r="B15167" s="2669"/>
    </row>
    <row r="15168" spans="2:2" ht="23.25" customHeight="1">
      <c r="B15168" s="2669"/>
    </row>
    <row r="15169" spans="2:2" ht="23.25" customHeight="1">
      <c r="B15169" s="2669"/>
    </row>
    <row r="15170" spans="2:2" ht="23.25" customHeight="1">
      <c r="B15170" s="2669"/>
    </row>
    <row r="15171" spans="2:2" ht="23.25" customHeight="1">
      <c r="B15171" s="2669"/>
    </row>
    <row r="15172" spans="2:2" ht="23.25" customHeight="1">
      <c r="B15172" s="2669"/>
    </row>
    <row r="15173" spans="2:2" ht="23.25" customHeight="1">
      <c r="B15173" s="2669"/>
    </row>
    <row r="15174" spans="2:2" ht="23.25" customHeight="1">
      <c r="B15174" s="2669"/>
    </row>
    <row r="15175" spans="2:2" ht="23.25" customHeight="1">
      <c r="B15175" s="2669"/>
    </row>
    <row r="15176" spans="2:2" ht="23.25" customHeight="1">
      <c r="B15176" s="2669"/>
    </row>
    <row r="15177" spans="2:2" ht="23.25" customHeight="1">
      <c r="B15177" s="2669"/>
    </row>
    <row r="15178" spans="2:2" ht="23.25" customHeight="1">
      <c r="B15178" s="2669"/>
    </row>
    <row r="15179" spans="2:2" ht="23.25" customHeight="1">
      <c r="B15179" s="2669"/>
    </row>
    <row r="15180" spans="2:2" ht="23.25" customHeight="1">
      <c r="B15180" s="2669"/>
    </row>
    <row r="15181" spans="2:2" ht="23.25" customHeight="1">
      <c r="B15181" s="2669"/>
    </row>
    <row r="15182" spans="2:2" ht="23.25" customHeight="1">
      <c r="B15182" s="2669"/>
    </row>
    <row r="15183" spans="2:2" ht="23.25" customHeight="1">
      <c r="B15183" s="2669"/>
    </row>
    <row r="15184" spans="2:2" ht="23.25" customHeight="1">
      <c r="B15184" s="2669"/>
    </row>
    <row r="15185" spans="2:2" ht="23.25" customHeight="1">
      <c r="B15185" s="2669"/>
    </row>
    <row r="15186" spans="2:2" ht="23.25" customHeight="1">
      <c r="B15186" s="2669"/>
    </row>
    <row r="15187" spans="2:2" ht="23.25" customHeight="1">
      <c r="B15187" s="2669"/>
    </row>
    <row r="15188" spans="2:2" ht="23.25" customHeight="1">
      <c r="B15188" s="2669"/>
    </row>
    <row r="15189" spans="2:2" ht="23.25" customHeight="1">
      <c r="B15189" s="2669"/>
    </row>
    <row r="15190" spans="2:2" ht="23.25" customHeight="1">
      <c r="B15190" s="2669"/>
    </row>
    <row r="15191" spans="2:2" ht="23.25" customHeight="1">
      <c r="B15191" s="2669"/>
    </row>
    <row r="15192" spans="2:2" ht="23.25" customHeight="1">
      <c r="B15192" s="2669"/>
    </row>
    <row r="15193" spans="2:2" ht="23.25" customHeight="1">
      <c r="B15193" s="2669"/>
    </row>
    <row r="15194" spans="2:2" ht="23.25" customHeight="1">
      <c r="B15194" s="2669"/>
    </row>
    <row r="15195" spans="2:2" ht="23.25" customHeight="1">
      <c r="B15195" s="2669"/>
    </row>
    <row r="15196" spans="2:2" ht="23.25" customHeight="1">
      <c r="B15196" s="2669"/>
    </row>
    <row r="15197" spans="2:2" ht="23.25" customHeight="1">
      <c r="B15197" s="2669"/>
    </row>
    <row r="15198" spans="2:2" ht="23.25" customHeight="1">
      <c r="B15198" s="2669"/>
    </row>
    <row r="15199" spans="2:2" ht="23.25" customHeight="1">
      <c r="B15199" s="2669"/>
    </row>
    <row r="15200" spans="2:2" ht="23.25" customHeight="1">
      <c r="B15200" s="2669"/>
    </row>
    <row r="15201" spans="2:2" ht="23.25" customHeight="1">
      <c r="B15201" s="2669"/>
    </row>
    <row r="15202" spans="2:2" ht="23.25" customHeight="1">
      <c r="B15202" s="2669"/>
    </row>
    <row r="15203" spans="2:2" ht="23.25" customHeight="1">
      <c r="B15203" s="2669"/>
    </row>
    <row r="15204" spans="2:2" ht="23.25" customHeight="1">
      <c r="B15204" s="2669"/>
    </row>
    <row r="15205" spans="2:2" ht="23.25" customHeight="1">
      <c r="B15205" s="2669"/>
    </row>
    <row r="15206" spans="2:2" ht="23.25" customHeight="1">
      <c r="B15206" s="2669"/>
    </row>
    <row r="15207" spans="2:2" ht="23.25" customHeight="1">
      <c r="B15207" s="2669"/>
    </row>
    <row r="15208" spans="2:2" ht="23.25" customHeight="1">
      <c r="B15208" s="2669"/>
    </row>
    <row r="15209" spans="2:2" ht="23.25" customHeight="1">
      <c r="B15209" s="2669"/>
    </row>
    <row r="15210" spans="2:2" ht="23.25" customHeight="1">
      <c r="B15210" s="2669"/>
    </row>
    <row r="15211" spans="2:2" ht="23.25" customHeight="1">
      <c r="B15211" s="2669"/>
    </row>
    <row r="15212" spans="2:2" ht="23.25" customHeight="1">
      <c r="B15212" s="2669"/>
    </row>
    <row r="15213" spans="2:2" ht="23.25" customHeight="1">
      <c r="B15213" s="2669"/>
    </row>
    <row r="15214" spans="2:2" ht="23.25" customHeight="1">
      <c r="B15214" s="2669"/>
    </row>
    <row r="15215" spans="2:2" ht="23.25" customHeight="1">
      <c r="B15215" s="2669"/>
    </row>
    <row r="15216" spans="2:2" ht="23.25" customHeight="1">
      <c r="B15216" s="2669"/>
    </row>
    <row r="15217" spans="2:2" ht="23.25" customHeight="1">
      <c r="B15217" s="2669"/>
    </row>
    <row r="15218" spans="2:2" ht="23.25" customHeight="1">
      <c r="B15218" s="2669"/>
    </row>
    <row r="15219" spans="2:2" ht="23.25" customHeight="1">
      <c r="B15219" s="2669"/>
    </row>
    <row r="15220" spans="2:2" ht="23.25" customHeight="1">
      <c r="B15220" s="2669"/>
    </row>
    <row r="15221" spans="2:2" ht="23.25" customHeight="1">
      <c r="B15221" s="2669"/>
    </row>
    <row r="15222" spans="2:2" ht="23.25" customHeight="1">
      <c r="B15222" s="2669"/>
    </row>
    <row r="15223" spans="2:2" ht="23.25" customHeight="1">
      <c r="B15223" s="2669"/>
    </row>
    <row r="15224" spans="2:2" ht="23.25" customHeight="1">
      <c r="B15224" s="2669"/>
    </row>
    <row r="15225" spans="2:2" ht="23.25" customHeight="1">
      <c r="B15225" s="2669"/>
    </row>
    <row r="15226" spans="2:2" ht="23.25" customHeight="1">
      <c r="B15226" s="2669"/>
    </row>
    <row r="15227" spans="2:2" ht="23.25" customHeight="1">
      <c r="B15227" s="2669"/>
    </row>
    <row r="15228" spans="2:2" ht="23.25" customHeight="1">
      <c r="B15228" s="2669"/>
    </row>
    <row r="15229" spans="2:2" ht="23.25" customHeight="1">
      <c r="B15229" s="2669"/>
    </row>
    <row r="15230" spans="2:2" ht="23.25" customHeight="1">
      <c r="B15230" s="2669"/>
    </row>
    <row r="15231" spans="2:2" ht="23.25" customHeight="1">
      <c r="B15231" s="2669"/>
    </row>
    <row r="15232" spans="2:2" ht="23.25" customHeight="1">
      <c r="B15232" s="2669"/>
    </row>
    <row r="15233" spans="2:2" ht="23.25" customHeight="1">
      <c r="B15233" s="2669"/>
    </row>
    <row r="15234" spans="2:2" ht="23.25" customHeight="1">
      <c r="B15234" s="2669"/>
    </row>
    <row r="15235" spans="2:2" ht="23.25" customHeight="1">
      <c r="B15235" s="2669"/>
    </row>
    <row r="15236" spans="2:2" ht="23.25" customHeight="1">
      <c r="B15236" s="2669"/>
    </row>
    <row r="15237" spans="2:2" ht="23.25" customHeight="1">
      <c r="B15237" s="2669"/>
    </row>
    <row r="15238" spans="2:2" ht="23.25" customHeight="1">
      <c r="B15238" s="2669"/>
    </row>
    <row r="15239" spans="2:2" ht="23.25" customHeight="1">
      <c r="B15239" s="2669"/>
    </row>
    <row r="15240" spans="2:2" ht="23.25" customHeight="1">
      <c r="B15240" s="2669"/>
    </row>
    <row r="15241" spans="2:2" ht="23.25" customHeight="1">
      <c r="B15241" s="2669"/>
    </row>
    <row r="15242" spans="2:2" ht="23.25" customHeight="1">
      <c r="B15242" s="2669"/>
    </row>
    <row r="15243" spans="2:2" ht="23.25" customHeight="1">
      <c r="B15243" s="2669"/>
    </row>
    <row r="15244" spans="2:2" ht="23.25" customHeight="1">
      <c r="B15244" s="2669"/>
    </row>
    <row r="15245" spans="2:2" ht="23.25" customHeight="1">
      <c r="B15245" s="2669"/>
    </row>
    <row r="15246" spans="2:2" ht="23.25" customHeight="1">
      <c r="B15246" s="2669"/>
    </row>
    <row r="15247" spans="2:2" ht="23.25" customHeight="1">
      <c r="B15247" s="2669"/>
    </row>
    <row r="15248" spans="2:2" ht="23.25" customHeight="1">
      <c r="B15248" s="2669"/>
    </row>
    <row r="15249" spans="2:2" ht="23.25" customHeight="1">
      <c r="B15249" s="2669"/>
    </row>
    <row r="15250" spans="2:2" ht="23.25" customHeight="1">
      <c r="B15250" s="2669"/>
    </row>
    <row r="15251" spans="2:2" ht="23.25" customHeight="1">
      <c r="B15251" s="2669"/>
    </row>
    <row r="15252" spans="2:2" ht="23.25" customHeight="1">
      <c r="B15252" s="2669"/>
    </row>
    <row r="15253" spans="2:2" ht="23.25" customHeight="1">
      <c r="B15253" s="2669"/>
    </row>
    <row r="15254" spans="2:2" ht="23.25" customHeight="1">
      <c r="B15254" s="2669"/>
    </row>
    <row r="15255" spans="2:2" ht="23.25" customHeight="1">
      <c r="B15255" s="2669"/>
    </row>
    <row r="15256" spans="2:2" ht="23.25" customHeight="1">
      <c r="B15256" s="2669"/>
    </row>
    <row r="15257" spans="2:2" ht="23.25" customHeight="1">
      <c r="B15257" s="2669"/>
    </row>
    <row r="15258" spans="2:2" ht="23.25" customHeight="1">
      <c r="B15258" s="2669"/>
    </row>
    <row r="15259" spans="2:2" ht="23.25" customHeight="1">
      <c r="B15259" s="2669"/>
    </row>
    <row r="15260" spans="2:2" ht="23.25" customHeight="1">
      <c r="B15260" s="2669"/>
    </row>
    <row r="15261" spans="2:2" ht="23.25" customHeight="1">
      <c r="B15261" s="2669"/>
    </row>
    <row r="15262" spans="2:2" ht="23.25" customHeight="1">
      <c r="B15262" s="2669"/>
    </row>
    <row r="15263" spans="2:2" ht="23.25" customHeight="1">
      <c r="B15263" s="2669"/>
    </row>
    <row r="15264" spans="2:2" ht="23.25" customHeight="1">
      <c r="B15264" s="2669"/>
    </row>
    <row r="15265" spans="2:2" ht="23.25" customHeight="1">
      <c r="B15265" s="2669"/>
    </row>
    <row r="15266" spans="2:2" ht="23.25" customHeight="1">
      <c r="B15266" s="2669"/>
    </row>
    <row r="15267" spans="2:2" ht="23.25" customHeight="1">
      <c r="B15267" s="2669"/>
    </row>
    <row r="15268" spans="2:2" ht="23.25" customHeight="1">
      <c r="B15268" s="2669"/>
    </row>
    <row r="15269" spans="2:2" ht="23.25" customHeight="1">
      <c r="B15269" s="2669"/>
    </row>
    <row r="15270" spans="2:2" ht="23.25" customHeight="1">
      <c r="B15270" s="2669"/>
    </row>
    <row r="15271" spans="2:2" ht="23.25" customHeight="1">
      <c r="B15271" s="2669"/>
    </row>
    <row r="15272" spans="2:2" ht="23.25" customHeight="1">
      <c r="B15272" s="2669"/>
    </row>
    <row r="15273" spans="2:2" ht="23.25" customHeight="1">
      <c r="B15273" s="2669"/>
    </row>
    <row r="15274" spans="2:2" ht="23.25" customHeight="1">
      <c r="B15274" s="2669"/>
    </row>
    <row r="15275" spans="2:2" ht="23.25" customHeight="1">
      <c r="B15275" s="2669"/>
    </row>
    <row r="15276" spans="2:2" ht="23.25" customHeight="1">
      <c r="B15276" s="2669"/>
    </row>
    <row r="15277" spans="2:2" ht="23.25" customHeight="1">
      <c r="B15277" s="2669"/>
    </row>
    <row r="15278" spans="2:2" ht="23.25" customHeight="1">
      <c r="B15278" s="2669"/>
    </row>
    <row r="15279" spans="2:2" ht="23.25" customHeight="1">
      <c r="B15279" s="2669"/>
    </row>
    <row r="15280" spans="2:2" ht="23.25" customHeight="1">
      <c r="B15280" s="2669"/>
    </row>
    <row r="15281" spans="2:2" ht="23.25" customHeight="1">
      <c r="B15281" s="2669"/>
    </row>
    <row r="15282" spans="2:2" ht="23.25" customHeight="1">
      <c r="B15282" s="2669"/>
    </row>
    <row r="15283" spans="2:2" ht="23.25" customHeight="1">
      <c r="B15283" s="2669"/>
    </row>
    <row r="15284" spans="2:2" ht="23.25" customHeight="1">
      <c r="B15284" s="2669"/>
    </row>
    <row r="15285" spans="2:2" ht="23.25" customHeight="1">
      <c r="B15285" s="2669"/>
    </row>
    <row r="15286" spans="2:2" ht="23.25" customHeight="1">
      <c r="B15286" s="2669"/>
    </row>
    <row r="15287" spans="2:2" ht="23.25" customHeight="1">
      <c r="B15287" s="2669"/>
    </row>
    <row r="15288" spans="2:2" ht="23.25" customHeight="1">
      <c r="B15288" s="2669"/>
    </row>
    <row r="15289" spans="2:2" ht="23.25" customHeight="1">
      <c r="B15289" s="2669"/>
    </row>
    <row r="15290" spans="2:2" ht="23.25" customHeight="1">
      <c r="B15290" s="2669"/>
    </row>
    <row r="15291" spans="2:2" ht="23.25" customHeight="1">
      <c r="B15291" s="2669"/>
    </row>
    <row r="15292" spans="2:2" ht="23.25" customHeight="1">
      <c r="B15292" s="2669"/>
    </row>
    <row r="15293" spans="2:2" ht="23.25" customHeight="1">
      <c r="B15293" s="2669"/>
    </row>
    <row r="15294" spans="2:2" ht="23.25" customHeight="1">
      <c r="B15294" s="2669"/>
    </row>
    <row r="15295" spans="2:2" ht="23.25" customHeight="1">
      <c r="B15295" s="2669"/>
    </row>
    <row r="15296" spans="2:2" ht="23.25" customHeight="1">
      <c r="B15296" s="2669"/>
    </row>
    <row r="15297" spans="2:2" ht="23.25" customHeight="1">
      <c r="B15297" s="2669"/>
    </row>
    <row r="15298" spans="2:2" ht="23.25" customHeight="1">
      <c r="B15298" s="2669"/>
    </row>
    <row r="15299" spans="2:2" ht="23.25" customHeight="1">
      <c r="B15299" s="2669"/>
    </row>
    <row r="15300" spans="2:2" ht="23.25" customHeight="1">
      <c r="B15300" s="2669"/>
    </row>
    <row r="15301" spans="2:2" ht="23.25" customHeight="1">
      <c r="B15301" s="2669"/>
    </row>
    <row r="15302" spans="2:2" ht="23.25" customHeight="1">
      <c r="B15302" s="2669"/>
    </row>
    <row r="15303" spans="2:2" ht="23.25" customHeight="1">
      <c r="B15303" s="2669"/>
    </row>
    <row r="15304" spans="2:2" ht="23.25" customHeight="1">
      <c r="B15304" s="2669"/>
    </row>
    <row r="15305" spans="2:2" ht="23.25" customHeight="1">
      <c r="B15305" s="2669"/>
    </row>
    <row r="15306" spans="2:2" ht="23.25" customHeight="1">
      <c r="B15306" s="2669"/>
    </row>
    <row r="15307" spans="2:2" ht="23.25" customHeight="1">
      <c r="B15307" s="2669"/>
    </row>
    <row r="15308" spans="2:2" ht="23.25" customHeight="1">
      <c r="B15308" s="2669"/>
    </row>
    <row r="15309" spans="2:2" ht="23.25" customHeight="1">
      <c r="B15309" s="2669"/>
    </row>
    <row r="15310" spans="2:2" ht="23.25" customHeight="1">
      <c r="B15310" s="2669"/>
    </row>
    <row r="15311" spans="2:2" ht="23.25" customHeight="1">
      <c r="B15311" s="2669"/>
    </row>
    <row r="15312" spans="2:2" ht="23.25" customHeight="1">
      <c r="B15312" s="2669"/>
    </row>
    <row r="15313" spans="2:2" ht="23.25" customHeight="1">
      <c r="B15313" s="2669"/>
    </row>
    <row r="15314" spans="2:2" ht="23.25" customHeight="1">
      <c r="B15314" s="2669"/>
    </row>
    <row r="15315" spans="2:2" ht="23.25" customHeight="1">
      <c r="B15315" s="2669"/>
    </row>
    <row r="15316" spans="2:2" ht="23.25" customHeight="1">
      <c r="B15316" s="2669"/>
    </row>
    <row r="15317" spans="2:2" ht="23.25" customHeight="1">
      <c r="B15317" s="2669"/>
    </row>
    <row r="15318" spans="2:2" ht="23.25" customHeight="1">
      <c r="B15318" s="2669"/>
    </row>
    <row r="15319" spans="2:2" ht="23.25" customHeight="1">
      <c r="B15319" s="2669"/>
    </row>
    <row r="15320" spans="2:2" ht="23.25" customHeight="1">
      <c r="B15320" s="2669"/>
    </row>
    <row r="15321" spans="2:2" ht="23.25" customHeight="1">
      <c r="B15321" s="2669"/>
    </row>
    <row r="15322" spans="2:2" ht="23.25" customHeight="1">
      <c r="B15322" s="2669"/>
    </row>
    <row r="15323" spans="2:2" ht="23.25" customHeight="1">
      <c r="B15323" s="2669"/>
    </row>
    <row r="15324" spans="2:2" ht="23.25" customHeight="1">
      <c r="B15324" s="2669"/>
    </row>
    <row r="15325" spans="2:2" ht="23.25" customHeight="1">
      <c r="B15325" s="2669"/>
    </row>
    <row r="15326" spans="2:2" ht="23.25" customHeight="1">
      <c r="B15326" s="2669"/>
    </row>
    <row r="15327" spans="2:2" ht="23.25" customHeight="1">
      <c r="B15327" s="2669"/>
    </row>
    <row r="15328" spans="2:2" ht="23.25" customHeight="1">
      <c r="B15328" s="2669"/>
    </row>
    <row r="15329" spans="2:2" ht="23.25" customHeight="1">
      <c r="B15329" s="2669"/>
    </row>
    <row r="15330" spans="2:2" ht="23.25" customHeight="1">
      <c r="B15330" s="2669"/>
    </row>
    <row r="15331" spans="2:2" ht="23.25" customHeight="1">
      <c r="B15331" s="2669"/>
    </row>
    <row r="15332" spans="2:2" ht="23.25" customHeight="1">
      <c r="B15332" s="2669"/>
    </row>
    <row r="15333" spans="2:2" ht="23.25" customHeight="1">
      <c r="B15333" s="2669"/>
    </row>
    <row r="15334" spans="2:2" ht="23.25" customHeight="1">
      <c r="B15334" s="2669"/>
    </row>
    <row r="15335" spans="2:2" ht="23.25" customHeight="1">
      <c r="B15335" s="2669"/>
    </row>
    <row r="15336" spans="2:2" ht="23.25" customHeight="1">
      <c r="B15336" s="2669"/>
    </row>
    <row r="15337" spans="2:2" ht="23.25" customHeight="1">
      <c r="B15337" s="2669"/>
    </row>
    <row r="15338" spans="2:2" ht="23.25" customHeight="1">
      <c r="B15338" s="2669"/>
    </row>
    <row r="15339" spans="2:2" ht="23.25" customHeight="1">
      <c r="B15339" s="2669"/>
    </row>
    <row r="15340" spans="2:2" ht="23.25" customHeight="1">
      <c r="B15340" s="2669"/>
    </row>
    <row r="15341" spans="2:2" ht="23.25" customHeight="1">
      <c r="B15341" s="2669"/>
    </row>
    <row r="15342" spans="2:2" ht="23.25" customHeight="1">
      <c r="B15342" s="2669"/>
    </row>
    <row r="15343" spans="2:2" ht="23.25" customHeight="1">
      <c r="B15343" s="2669"/>
    </row>
    <row r="15344" spans="2:2" ht="23.25" customHeight="1">
      <c r="B15344" s="2669"/>
    </row>
    <row r="15345" spans="2:2" ht="23.25" customHeight="1">
      <c r="B15345" s="2669"/>
    </row>
    <row r="15346" spans="2:2" ht="23.25" customHeight="1">
      <c r="B15346" s="2669"/>
    </row>
    <row r="15347" spans="2:2" ht="23.25" customHeight="1">
      <c r="B15347" s="2669"/>
    </row>
    <row r="15348" spans="2:2" ht="23.25" customHeight="1">
      <c r="B15348" s="2669"/>
    </row>
    <row r="15349" spans="2:2" ht="23.25" customHeight="1">
      <c r="B15349" s="2669"/>
    </row>
    <row r="15350" spans="2:2" ht="23.25" customHeight="1">
      <c r="B15350" s="2669"/>
    </row>
    <row r="15351" spans="2:2" ht="23.25" customHeight="1">
      <c r="B15351" s="2669"/>
    </row>
    <row r="15352" spans="2:2" ht="23.25" customHeight="1">
      <c r="B15352" s="2669"/>
    </row>
    <row r="15353" spans="2:2" ht="23.25" customHeight="1">
      <c r="B15353" s="2669"/>
    </row>
    <row r="15354" spans="2:2" ht="23.25" customHeight="1">
      <c r="B15354" s="2669"/>
    </row>
    <row r="15355" spans="2:2" ht="23.25" customHeight="1">
      <c r="B15355" s="2669"/>
    </row>
    <row r="15356" spans="2:2" ht="23.25" customHeight="1">
      <c r="B15356" s="2669"/>
    </row>
    <row r="15357" spans="2:2" ht="23.25" customHeight="1">
      <c r="B15357" s="2669"/>
    </row>
    <row r="15358" spans="2:2" ht="23.25" customHeight="1">
      <c r="B15358" s="2669"/>
    </row>
    <row r="15359" spans="2:2" ht="23.25" customHeight="1">
      <c r="B15359" s="2669"/>
    </row>
    <row r="15360" spans="2:2" ht="23.25" customHeight="1">
      <c r="B15360" s="2669"/>
    </row>
    <row r="15361" spans="2:2" ht="23.25" customHeight="1">
      <c r="B15361" s="2669"/>
    </row>
    <row r="15362" spans="2:2" ht="23.25" customHeight="1">
      <c r="B15362" s="2669"/>
    </row>
    <row r="15363" spans="2:2" ht="23.25" customHeight="1">
      <c r="B15363" s="2669"/>
    </row>
    <row r="15364" spans="2:2" ht="23.25" customHeight="1">
      <c r="B15364" s="2669"/>
    </row>
    <row r="15365" spans="2:2" ht="23.25" customHeight="1">
      <c r="B15365" s="2669"/>
    </row>
    <row r="15366" spans="2:2" ht="23.25" customHeight="1">
      <c r="B15366" s="2669"/>
    </row>
    <row r="15367" spans="2:2" ht="23.25" customHeight="1">
      <c r="B15367" s="2669"/>
    </row>
    <row r="15368" spans="2:2" ht="23.25" customHeight="1">
      <c r="B15368" s="2669"/>
    </row>
    <row r="15369" spans="2:2" ht="23.25" customHeight="1">
      <c r="B15369" s="2669"/>
    </row>
    <row r="15370" spans="2:2" ht="23.25" customHeight="1">
      <c r="B15370" s="2669"/>
    </row>
    <row r="15371" spans="2:2" ht="23.25" customHeight="1">
      <c r="B15371" s="2669"/>
    </row>
    <row r="15372" spans="2:2" ht="23.25" customHeight="1">
      <c r="B15372" s="2669"/>
    </row>
    <row r="15373" spans="2:2" ht="23.25" customHeight="1">
      <c r="B15373" s="2669"/>
    </row>
    <row r="15374" spans="2:2" ht="23.25" customHeight="1">
      <c r="B15374" s="2669"/>
    </row>
    <row r="15375" spans="2:2" ht="23.25" customHeight="1">
      <c r="B15375" s="2669"/>
    </row>
    <row r="15376" spans="2:2" ht="23.25" customHeight="1">
      <c r="B15376" s="2669"/>
    </row>
    <row r="15377" spans="2:2" ht="23.25" customHeight="1">
      <c r="B15377" s="2669"/>
    </row>
    <row r="15378" spans="2:2" ht="23.25" customHeight="1">
      <c r="B15378" s="2669"/>
    </row>
    <row r="15379" spans="2:2" ht="23.25" customHeight="1">
      <c r="B15379" s="2669"/>
    </row>
    <row r="15380" spans="2:2" ht="23.25" customHeight="1">
      <c r="B15380" s="2669"/>
    </row>
    <row r="15381" spans="2:2" ht="23.25" customHeight="1">
      <c r="B15381" s="2669"/>
    </row>
    <row r="15382" spans="2:2" ht="23.25" customHeight="1">
      <c r="B15382" s="2669"/>
    </row>
    <row r="15383" spans="2:2" ht="23.25" customHeight="1">
      <c r="B15383" s="2669"/>
    </row>
    <row r="15384" spans="2:2" ht="23.25" customHeight="1">
      <c r="B15384" s="2669"/>
    </row>
    <row r="15385" spans="2:2" ht="23.25" customHeight="1">
      <c r="B15385" s="2669"/>
    </row>
    <row r="15386" spans="2:2" ht="23.25" customHeight="1">
      <c r="B15386" s="2669"/>
    </row>
    <row r="15387" spans="2:2" ht="23.25" customHeight="1">
      <c r="B15387" s="2669"/>
    </row>
    <row r="15388" spans="2:2" ht="23.25" customHeight="1">
      <c r="B15388" s="2669"/>
    </row>
    <row r="15389" spans="2:2" ht="23.25" customHeight="1">
      <c r="B15389" s="2669"/>
    </row>
    <row r="15390" spans="2:2" ht="23.25" customHeight="1">
      <c r="B15390" s="2669"/>
    </row>
    <row r="15391" spans="2:2" ht="23.25" customHeight="1">
      <c r="B15391" s="2669"/>
    </row>
    <row r="15392" spans="2:2" ht="23.25" customHeight="1">
      <c r="B15392" s="2669"/>
    </row>
    <row r="15393" spans="2:2" ht="23.25" customHeight="1">
      <c r="B15393" s="2669"/>
    </row>
    <row r="15394" spans="2:2" ht="23.25" customHeight="1">
      <c r="B15394" s="2669"/>
    </row>
    <row r="15395" spans="2:2" ht="23.25" customHeight="1">
      <c r="B15395" s="2669"/>
    </row>
    <row r="15396" spans="2:2" ht="23.25" customHeight="1">
      <c r="B15396" s="2669"/>
    </row>
    <row r="15397" spans="2:2" ht="23.25" customHeight="1">
      <c r="B15397" s="2669"/>
    </row>
    <row r="15398" spans="2:2" ht="23.25" customHeight="1">
      <c r="B15398" s="2669"/>
    </row>
    <row r="15399" spans="2:2" ht="23.25" customHeight="1">
      <c r="B15399" s="2669"/>
    </row>
    <row r="15400" spans="2:2" ht="23.25" customHeight="1">
      <c r="B15400" s="2669"/>
    </row>
    <row r="15401" spans="2:2" ht="23.25" customHeight="1">
      <c r="B15401" s="2669"/>
    </row>
    <row r="15402" spans="2:2" ht="23.25" customHeight="1">
      <c r="B15402" s="2669"/>
    </row>
    <row r="15403" spans="2:2" ht="23.25" customHeight="1">
      <c r="B15403" s="2669"/>
    </row>
    <row r="15404" spans="2:2" ht="23.25" customHeight="1">
      <c r="B15404" s="2669"/>
    </row>
    <row r="15405" spans="2:2" ht="23.25" customHeight="1">
      <c r="B15405" s="2669"/>
    </row>
    <row r="15406" spans="2:2" ht="23.25" customHeight="1">
      <c r="B15406" s="2669"/>
    </row>
    <row r="15407" spans="2:2" ht="23.25" customHeight="1">
      <c r="B15407" s="2669"/>
    </row>
    <row r="15408" spans="2:2" ht="23.25" customHeight="1">
      <c r="B15408" s="2669"/>
    </row>
    <row r="15409" spans="2:2" ht="23.25" customHeight="1">
      <c r="B15409" s="2669"/>
    </row>
    <row r="15410" spans="2:2" ht="23.25" customHeight="1">
      <c r="B15410" s="2669"/>
    </row>
    <row r="15411" spans="2:2" ht="23.25" customHeight="1">
      <c r="B15411" s="2669"/>
    </row>
    <row r="15412" spans="2:2" ht="23.25" customHeight="1">
      <c r="B15412" s="2669"/>
    </row>
    <row r="15413" spans="2:2" ht="23.25" customHeight="1">
      <c r="B15413" s="2669"/>
    </row>
    <row r="15414" spans="2:2" ht="23.25" customHeight="1">
      <c r="B15414" s="2669"/>
    </row>
    <row r="15415" spans="2:2" ht="23.25" customHeight="1">
      <c r="B15415" s="2669"/>
    </row>
    <row r="15416" spans="2:2" ht="23.25" customHeight="1">
      <c r="B15416" s="2669"/>
    </row>
    <row r="15417" spans="2:2" ht="23.25" customHeight="1">
      <c r="B15417" s="2669"/>
    </row>
    <row r="15418" spans="2:2" ht="23.25" customHeight="1">
      <c r="B15418" s="2669"/>
    </row>
    <row r="15419" spans="2:2" ht="23.25" customHeight="1">
      <c r="B15419" s="2669"/>
    </row>
    <row r="15420" spans="2:2" ht="23.25" customHeight="1">
      <c r="B15420" s="2669"/>
    </row>
    <row r="15421" spans="2:2" ht="23.25" customHeight="1">
      <c r="B15421" s="2669"/>
    </row>
    <row r="15422" spans="2:2" ht="23.25" customHeight="1">
      <c r="B15422" s="2669"/>
    </row>
    <row r="15423" spans="2:2" ht="23.25" customHeight="1">
      <c r="B15423" s="2669"/>
    </row>
    <row r="15424" spans="2:2" ht="23.25" customHeight="1">
      <c r="B15424" s="2669"/>
    </row>
    <row r="15425" spans="2:2" ht="23.25" customHeight="1">
      <c r="B15425" s="2669"/>
    </row>
    <row r="15426" spans="2:2" ht="23.25" customHeight="1">
      <c r="B15426" s="2669"/>
    </row>
    <row r="15427" spans="2:2" ht="23.25" customHeight="1">
      <c r="B15427" s="2669"/>
    </row>
    <row r="15428" spans="2:2" ht="23.25" customHeight="1">
      <c r="B15428" s="2669"/>
    </row>
    <row r="15429" spans="2:2" ht="23.25" customHeight="1">
      <c r="B15429" s="2669"/>
    </row>
    <row r="15430" spans="2:2" ht="23.25" customHeight="1">
      <c r="B15430" s="2669"/>
    </row>
    <row r="15431" spans="2:2" ht="23.25" customHeight="1">
      <c r="B15431" s="2669"/>
    </row>
    <row r="15432" spans="2:2" ht="23.25" customHeight="1">
      <c r="B15432" s="2669"/>
    </row>
    <row r="15433" spans="2:2" ht="23.25" customHeight="1">
      <c r="B15433" s="2669"/>
    </row>
    <row r="15434" spans="2:2" ht="23.25" customHeight="1">
      <c r="B15434" s="2669"/>
    </row>
    <row r="15435" spans="2:2" ht="23.25" customHeight="1">
      <c r="B15435" s="2669"/>
    </row>
    <row r="15436" spans="2:2" ht="23.25" customHeight="1">
      <c r="B15436" s="2669"/>
    </row>
    <row r="15437" spans="2:2" ht="23.25" customHeight="1">
      <c r="B15437" s="2669"/>
    </row>
    <row r="15438" spans="2:2" ht="23.25" customHeight="1">
      <c r="B15438" s="2669"/>
    </row>
    <row r="15439" spans="2:2" ht="23.25" customHeight="1">
      <c r="B15439" s="2669"/>
    </row>
    <row r="15440" spans="2:2" ht="23.25" customHeight="1">
      <c r="B15440" s="2669"/>
    </row>
    <row r="15441" spans="2:2" ht="23.25" customHeight="1">
      <c r="B15441" s="2669"/>
    </row>
    <row r="15442" spans="2:2" ht="23.25" customHeight="1">
      <c r="B15442" s="2669"/>
    </row>
    <row r="15443" spans="2:2" ht="23.25" customHeight="1">
      <c r="B15443" s="2669"/>
    </row>
    <row r="15444" spans="2:2" ht="23.25" customHeight="1">
      <c r="B15444" s="2669"/>
    </row>
    <row r="15445" spans="2:2" ht="23.25" customHeight="1">
      <c r="B15445" s="2669"/>
    </row>
    <row r="15446" spans="2:2" ht="23.25" customHeight="1">
      <c r="B15446" s="2669"/>
    </row>
    <row r="15447" spans="2:2" ht="23.25" customHeight="1">
      <c r="B15447" s="2669"/>
    </row>
    <row r="15448" spans="2:2" ht="23.25" customHeight="1">
      <c r="B15448" s="2669"/>
    </row>
    <row r="15449" spans="2:2" ht="23.25" customHeight="1">
      <c r="B15449" s="2669"/>
    </row>
    <row r="15450" spans="2:2" ht="23.25" customHeight="1">
      <c r="B15450" s="2669"/>
    </row>
    <row r="15451" spans="2:2" ht="23.25" customHeight="1">
      <c r="B15451" s="2669"/>
    </row>
    <row r="15452" spans="2:2" ht="23.25" customHeight="1">
      <c r="B15452" s="2669"/>
    </row>
    <row r="15453" spans="2:2" ht="23.25" customHeight="1">
      <c r="B15453" s="2669"/>
    </row>
    <row r="15454" spans="2:2" ht="23.25" customHeight="1">
      <c r="B15454" s="2669"/>
    </row>
    <row r="15455" spans="2:2" ht="23.25" customHeight="1">
      <c r="B15455" s="2669"/>
    </row>
    <row r="15456" spans="2:2" ht="23.25" customHeight="1">
      <c r="B15456" s="2669"/>
    </row>
    <row r="15457" spans="2:2" ht="23.25" customHeight="1">
      <c r="B15457" s="2669"/>
    </row>
    <row r="15458" spans="2:2" ht="23.25" customHeight="1">
      <c r="B15458" s="2669"/>
    </row>
    <row r="15459" spans="2:2" ht="23.25" customHeight="1">
      <c r="B15459" s="2669"/>
    </row>
    <row r="15460" spans="2:2" ht="23.25" customHeight="1">
      <c r="B15460" s="2669"/>
    </row>
    <row r="15461" spans="2:2" ht="23.25" customHeight="1">
      <c r="B15461" s="2669"/>
    </row>
    <row r="15462" spans="2:2" ht="23.25" customHeight="1">
      <c r="B15462" s="2669"/>
    </row>
    <row r="15463" spans="2:2" ht="23.25" customHeight="1">
      <c r="B15463" s="2669"/>
    </row>
    <row r="15464" spans="2:2" ht="23.25" customHeight="1">
      <c r="B15464" s="2669"/>
    </row>
    <row r="15465" spans="2:2" ht="23.25" customHeight="1">
      <c r="B15465" s="2669"/>
    </row>
    <row r="15466" spans="2:2" ht="23.25" customHeight="1">
      <c r="B15466" s="2669"/>
    </row>
    <row r="15467" spans="2:2" ht="23.25" customHeight="1">
      <c r="B15467" s="2669"/>
    </row>
    <row r="15468" spans="2:2" ht="23.25" customHeight="1">
      <c r="B15468" s="2669"/>
    </row>
    <row r="15469" spans="2:2" ht="23.25" customHeight="1">
      <c r="B15469" s="2669"/>
    </row>
    <row r="15470" spans="2:2" ht="23.25" customHeight="1">
      <c r="B15470" s="2669"/>
    </row>
    <row r="15471" spans="2:2" ht="23.25" customHeight="1">
      <c r="B15471" s="2669"/>
    </row>
    <row r="15472" spans="2:2" ht="23.25" customHeight="1">
      <c r="B15472" s="2669"/>
    </row>
    <row r="15473" spans="2:2" ht="23.25" customHeight="1">
      <c r="B15473" s="2669"/>
    </row>
    <row r="15474" spans="2:2" ht="23.25" customHeight="1">
      <c r="B15474" s="2669"/>
    </row>
    <row r="15475" spans="2:2" ht="23.25" customHeight="1">
      <c r="B15475" s="2669"/>
    </row>
    <row r="15476" spans="2:2" ht="23.25" customHeight="1">
      <c r="B15476" s="2669"/>
    </row>
    <row r="15477" spans="2:2" ht="23.25" customHeight="1">
      <c r="B15477" s="2669"/>
    </row>
    <row r="15478" spans="2:2" ht="23.25" customHeight="1">
      <c r="B15478" s="2669"/>
    </row>
    <row r="15479" spans="2:2" ht="23.25" customHeight="1">
      <c r="B15479" s="2669"/>
    </row>
    <row r="15480" spans="2:2" ht="23.25" customHeight="1">
      <c r="B15480" s="2669"/>
    </row>
    <row r="15481" spans="2:2" ht="23.25" customHeight="1">
      <c r="B15481" s="2669"/>
    </row>
    <row r="15482" spans="2:2" ht="23.25" customHeight="1">
      <c r="B15482" s="2669"/>
    </row>
    <row r="15483" spans="2:2" ht="23.25" customHeight="1">
      <c r="B15483" s="2669"/>
    </row>
    <row r="15484" spans="2:2" ht="23.25" customHeight="1">
      <c r="B15484" s="2669"/>
    </row>
    <row r="15485" spans="2:2" ht="23.25" customHeight="1">
      <c r="B15485" s="2669"/>
    </row>
    <row r="15486" spans="2:2" ht="23.25" customHeight="1">
      <c r="B15486" s="2669"/>
    </row>
    <row r="15487" spans="2:2" ht="23.25" customHeight="1">
      <c r="B15487" s="2669"/>
    </row>
    <row r="15488" spans="2:2" ht="23.25" customHeight="1">
      <c r="B15488" s="2669"/>
    </row>
    <row r="15489" spans="2:2" ht="23.25" customHeight="1">
      <c r="B15489" s="2669"/>
    </row>
    <row r="15490" spans="2:2" ht="23.25" customHeight="1">
      <c r="B15490" s="2669"/>
    </row>
    <row r="15491" spans="2:2" ht="23.25" customHeight="1">
      <c r="B15491" s="2669"/>
    </row>
    <row r="15492" spans="2:2" ht="23.25" customHeight="1">
      <c r="B15492" s="2669"/>
    </row>
    <row r="15493" spans="2:2" ht="23.25" customHeight="1">
      <c r="B15493" s="2669"/>
    </row>
    <row r="15494" spans="2:2" ht="23.25" customHeight="1">
      <c r="B15494" s="2669"/>
    </row>
    <row r="15495" spans="2:2" ht="23.25" customHeight="1">
      <c r="B15495" s="2669"/>
    </row>
    <row r="15496" spans="2:2" ht="23.25" customHeight="1">
      <c r="B15496" s="2669"/>
    </row>
    <row r="15497" spans="2:2" ht="23.25" customHeight="1">
      <c r="B15497" s="2669"/>
    </row>
    <row r="15498" spans="2:2" ht="23.25" customHeight="1">
      <c r="B15498" s="2669"/>
    </row>
    <row r="15499" spans="2:2" ht="23.25" customHeight="1">
      <c r="B15499" s="2669"/>
    </row>
    <row r="15500" spans="2:2" ht="23.25" customHeight="1">
      <c r="B15500" s="2669"/>
    </row>
    <row r="15501" spans="2:2" ht="23.25" customHeight="1">
      <c r="B15501" s="2669"/>
    </row>
    <row r="15502" spans="2:2" ht="23.25" customHeight="1">
      <c r="B15502" s="2669"/>
    </row>
    <row r="15503" spans="2:2" ht="23.25" customHeight="1">
      <c r="B15503" s="2669"/>
    </row>
    <row r="15504" spans="2:2" ht="23.25" customHeight="1">
      <c r="B15504" s="2669"/>
    </row>
    <row r="15505" spans="2:2" ht="23.25" customHeight="1">
      <c r="B15505" s="2669"/>
    </row>
    <row r="15506" spans="2:2" ht="23.25" customHeight="1">
      <c r="B15506" s="2669"/>
    </row>
    <row r="15507" spans="2:2" ht="23.25" customHeight="1">
      <c r="B15507" s="2669"/>
    </row>
    <row r="15508" spans="2:2" ht="23.25" customHeight="1">
      <c r="B15508" s="2669"/>
    </row>
    <row r="15509" spans="2:2" ht="23.25" customHeight="1">
      <c r="B15509" s="2669"/>
    </row>
    <row r="15510" spans="2:2" ht="23.25" customHeight="1">
      <c r="B15510" s="2669"/>
    </row>
    <row r="15511" spans="2:2" ht="23.25" customHeight="1">
      <c r="B15511" s="2669"/>
    </row>
    <row r="15512" spans="2:2" ht="23.25" customHeight="1">
      <c r="B15512" s="2669"/>
    </row>
    <row r="15513" spans="2:2" ht="23.25" customHeight="1">
      <c r="B15513" s="2669"/>
    </row>
    <row r="15514" spans="2:2" ht="23.25" customHeight="1">
      <c r="B15514" s="2669"/>
    </row>
    <row r="15515" spans="2:2" ht="23.25" customHeight="1">
      <c r="B15515" s="2669"/>
    </row>
    <row r="15516" spans="2:2" ht="23.25" customHeight="1">
      <c r="B15516" s="2669"/>
    </row>
    <row r="15517" spans="2:2" ht="23.25" customHeight="1">
      <c r="B15517" s="2669"/>
    </row>
    <row r="15518" spans="2:2" ht="23.25" customHeight="1">
      <c r="B15518" s="2669"/>
    </row>
    <row r="15519" spans="2:2" ht="23.25" customHeight="1">
      <c r="B15519" s="2669"/>
    </row>
    <row r="15520" spans="2:2" ht="23.25" customHeight="1">
      <c r="B15520" s="2669"/>
    </row>
    <row r="15521" spans="2:2" ht="23.25" customHeight="1">
      <c r="B15521" s="2669"/>
    </row>
    <row r="15522" spans="2:2" ht="23.25" customHeight="1">
      <c r="B15522" s="2669"/>
    </row>
    <row r="15523" spans="2:2" ht="23.25" customHeight="1">
      <c r="B15523" s="2669"/>
    </row>
    <row r="15524" spans="2:2" ht="23.25" customHeight="1">
      <c r="B15524" s="2669"/>
    </row>
    <row r="15525" spans="2:2" ht="23.25" customHeight="1">
      <c r="B15525" s="2669"/>
    </row>
    <row r="15526" spans="2:2" ht="23.25" customHeight="1">
      <c r="B15526" s="2669"/>
    </row>
    <row r="15527" spans="2:2" ht="23.25" customHeight="1">
      <c r="B15527" s="2669"/>
    </row>
    <row r="15528" spans="2:2" ht="23.25" customHeight="1">
      <c r="B15528" s="2669"/>
    </row>
    <row r="15529" spans="2:2" ht="23.25" customHeight="1">
      <c r="B15529" s="2669"/>
    </row>
    <row r="15530" spans="2:2" ht="23.25" customHeight="1">
      <c r="B15530" s="2669"/>
    </row>
    <row r="15531" spans="2:2" ht="23.25" customHeight="1">
      <c r="B15531" s="2669"/>
    </row>
    <row r="15532" spans="2:2" ht="23.25" customHeight="1">
      <c r="B15532" s="2669"/>
    </row>
    <row r="15533" spans="2:2" ht="23.25" customHeight="1">
      <c r="B15533" s="2669"/>
    </row>
    <row r="15534" spans="2:2" ht="23.25" customHeight="1">
      <c r="B15534" s="2669"/>
    </row>
    <row r="15535" spans="2:2" ht="23.25" customHeight="1">
      <c r="B15535" s="2669"/>
    </row>
    <row r="15536" spans="2:2" ht="23.25" customHeight="1">
      <c r="B15536" s="2669"/>
    </row>
    <row r="15537" spans="2:2" ht="23.25" customHeight="1">
      <c r="B15537" s="2669"/>
    </row>
    <row r="15538" spans="2:2" ht="23.25" customHeight="1">
      <c r="B15538" s="2669"/>
    </row>
    <row r="15539" spans="2:2" ht="23.25" customHeight="1">
      <c r="B15539" s="2669"/>
    </row>
    <row r="15540" spans="2:2" ht="23.25" customHeight="1">
      <c r="B15540" s="2669"/>
    </row>
    <row r="15541" spans="2:2" ht="23.25" customHeight="1">
      <c r="B15541" s="2669"/>
    </row>
    <row r="15542" spans="2:2" ht="23.25" customHeight="1">
      <c r="B15542" s="2669"/>
    </row>
    <row r="15543" spans="2:2" ht="23.25" customHeight="1">
      <c r="B15543" s="2669"/>
    </row>
    <row r="15544" spans="2:2" ht="23.25" customHeight="1">
      <c r="B15544" s="2669"/>
    </row>
    <row r="15545" spans="2:2" ht="23.25" customHeight="1">
      <c r="B15545" s="2669"/>
    </row>
    <row r="15546" spans="2:2" ht="23.25" customHeight="1">
      <c r="B15546" s="2669"/>
    </row>
    <row r="15547" spans="2:2" ht="23.25" customHeight="1">
      <c r="B15547" s="2669"/>
    </row>
    <row r="15548" spans="2:2" ht="23.25" customHeight="1">
      <c r="B15548" s="2669"/>
    </row>
    <row r="15549" spans="2:2" ht="23.25" customHeight="1">
      <c r="B15549" s="2669"/>
    </row>
    <row r="15550" spans="2:2" ht="23.25" customHeight="1">
      <c r="B15550" s="2669"/>
    </row>
    <row r="15551" spans="2:2" ht="23.25" customHeight="1">
      <c r="B15551" s="2669"/>
    </row>
    <row r="15552" spans="2:2" ht="23.25" customHeight="1">
      <c r="B15552" s="2669"/>
    </row>
    <row r="15553" spans="2:2" ht="23.25" customHeight="1">
      <c r="B15553" s="2669"/>
    </row>
    <row r="15554" spans="2:2" ht="23.25" customHeight="1">
      <c r="B15554" s="2669"/>
    </row>
    <row r="15555" spans="2:2" ht="23.25" customHeight="1">
      <c r="B15555" s="2669"/>
    </row>
    <row r="15556" spans="2:2" ht="23.25" customHeight="1">
      <c r="B15556" s="2669"/>
    </row>
    <row r="15557" spans="2:2" ht="23.25" customHeight="1">
      <c r="B15557" s="2669"/>
    </row>
    <row r="15558" spans="2:2" ht="23.25" customHeight="1">
      <c r="B15558" s="2669"/>
    </row>
    <row r="15559" spans="2:2" ht="23.25" customHeight="1">
      <c r="B15559" s="2669"/>
    </row>
    <row r="15560" spans="2:2" ht="23.25" customHeight="1">
      <c r="B15560" s="2669"/>
    </row>
    <row r="15561" spans="2:2" ht="23.25" customHeight="1">
      <c r="B15561" s="2669"/>
    </row>
    <row r="15562" spans="2:2" ht="23.25" customHeight="1">
      <c r="B15562" s="2669"/>
    </row>
    <row r="15563" spans="2:2" ht="23.25" customHeight="1">
      <c r="B15563" s="2669"/>
    </row>
    <row r="15564" spans="2:2" ht="23.25" customHeight="1">
      <c r="B15564" s="2669"/>
    </row>
    <row r="15565" spans="2:2" ht="23.25" customHeight="1">
      <c r="B15565" s="2669"/>
    </row>
    <row r="15566" spans="2:2" ht="23.25" customHeight="1">
      <c r="B15566" s="2669"/>
    </row>
    <row r="15567" spans="2:2" ht="23.25" customHeight="1">
      <c r="B15567" s="2669"/>
    </row>
    <row r="15568" spans="2:2" ht="23.25" customHeight="1">
      <c r="B15568" s="2669"/>
    </row>
    <row r="15569" spans="2:2" ht="23.25" customHeight="1">
      <c r="B15569" s="2669"/>
    </row>
    <row r="15570" spans="2:2" ht="23.25" customHeight="1">
      <c r="B15570" s="2669"/>
    </row>
    <row r="15571" spans="2:2" ht="23.25" customHeight="1">
      <c r="B15571" s="2669"/>
    </row>
    <row r="15572" spans="2:2" ht="23.25" customHeight="1">
      <c r="B15572" s="2669"/>
    </row>
    <row r="15573" spans="2:2" ht="23.25" customHeight="1">
      <c r="B15573" s="2669"/>
    </row>
    <row r="15574" spans="2:2" ht="23.25" customHeight="1">
      <c r="B15574" s="2669"/>
    </row>
    <row r="15575" spans="2:2" ht="23.25" customHeight="1">
      <c r="B15575" s="2669"/>
    </row>
    <row r="15576" spans="2:2" ht="23.25" customHeight="1">
      <c r="B15576" s="2669"/>
    </row>
    <row r="15577" spans="2:2" ht="23.25" customHeight="1">
      <c r="B15577" s="2669"/>
    </row>
    <row r="15578" spans="2:2" ht="23.25" customHeight="1">
      <c r="B15578" s="2669"/>
    </row>
    <row r="15579" spans="2:2" ht="23.25" customHeight="1">
      <c r="B15579" s="2669"/>
    </row>
    <row r="15580" spans="2:2" ht="23.25" customHeight="1">
      <c r="B15580" s="2669"/>
    </row>
    <row r="15581" spans="2:2" ht="23.25" customHeight="1">
      <c r="B15581" s="2669"/>
    </row>
    <row r="15582" spans="2:2" ht="23.25" customHeight="1">
      <c r="B15582" s="2669"/>
    </row>
    <row r="15583" spans="2:2" ht="23.25" customHeight="1">
      <c r="B15583" s="2669"/>
    </row>
    <row r="15584" spans="2:2" ht="23.25" customHeight="1">
      <c r="B15584" s="2669"/>
    </row>
    <row r="15585" spans="2:2" ht="23.25" customHeight="1">
      <c r="B15585" s="2669"/>
    </row>
    <row r="15586" spans="2:2" ht="23.25" customHeight="1">
      <c r="B15586" s="2669"/>
    </row>
    <row r="15587" spans="2:2" ht="23.25" customHeight="1">
      <c r="B15587" s="2669"/>
    </row>
    <row r="15588" spans="2:2" ht="23.25" customHeight="1">
      <c r="B15588" s="2669"/>
    </row>
    <row r="15589" spans="2:2" ht="23.25" customHeight="1">
      <c r="B15589" s="2669"/>
    </row>
    <row r="15590" spans="2:2" ht="23.25" customHeight="1">
      <c r="B15590" s="2669"/>
    </row>
    <row r="15591" spans="2:2" ht="23.25" customHeight="1">
      <c r="B15591" s="2669"/>
    </row>
    <row r="15592" spans="2:2" ht="23.25" customHeight="1">
      <c r="B15592" s="2669"/>
    </row>
    <row r="15593" spans="2:2" ht="23.25" customHeight="1">
      <c r="B15593" s="2669"/>
    </row>
    <row r="15594" spans="2:2" ht="23.25" customHeight="1">
      <c r="B15594" s="2669"/>
    </row>
    <row r="15595" spans="2:2" ht="23.25" customHeight="1">
      <c r="B15595" s="2669"/>
    </row>
    <row r="15596" spans="2:2" ht="23.25" customHeight="1">
      <c r="B15596" s="2669"/>
    </row>
    <row r="15597" spans="2:2" ht="23.25" customHeight="1">
      <c r="B15597" s="2669"/>
    </row>
    <row r="15598" spans="2:2" ht="23.25" customHeight="1">
      <c r="B15598" s="2669"/>
    </row>
    <row r="15599" spans="2:2" ht="23.25" customHeight="1">
      <c r="B15599" s="2669"/>
    </row>
    <row r="15600" spans="2:2" ht="23.25" customHeight="1">
      <c r="B15600" s="2669"/>
    </row>
    <row r="15601" spans="2:2" ht="23.25" customHeight="1">
      <c r="B15601" s="2669"/>
    </row>
    <row r="15602" spans="2:2" ht="23.25" customHeight="1">
      <c r="B15602" s="2669"/>
    </row>
    <row r="15603" spans="2:2" ht="23.25" customHeight="1">
      <c r="B15603" s="2669"/>
    </row>
    <row r="15604" spans="2:2" ht="23.25" customHeight="1">
      <c r="B15604" s="2669"/>
    </row>
    <row r="15605" spans="2:2" ht="23.25" customHeight="1">
      <c r="B15605" s="2669"/>
    </row>
    <row r="15606" spans="2:2" ht="23.25" customHeight="1">
      <c r="B15606" s="2669"/>
    </row>
    <row r="15607" spans="2:2" ht="23.25" customHeight="1">
      <c r="B15607" s="2669"/>
    </row>
    <row r="15608" spans="2:2" ht="23.25" customHeight="1">
      <c r="B15608" s="2669"/>
    </row>
    <row r="15609" spans="2:2" ht="23.25" customHeight="1">
      <c r="B15609" s="2669"/>
    </row>
    <row r="15610" spans="2:2" ht="23.25" customHeight="1">
      <c r="B15610" s="2669"/>
    </row>
    <row r="15611" spans="2:2" ht="23.25" customHeight="1">
      <c r="B15611" s="2669"/>
    </row>
    <row r="15612" spans="2:2" ht="23.25" customHeight="1">
      <c r="B15612" s="2669"/>
    </row>
    <row r="15613" spans="2:2" ht="23.25" customHeight="1">
      <c r="B15613" s="2669"/>
    </row>
    <row r="15614" spans="2:2" ht="23.25" customHeight="1">
      <c r="B15614" s="2669"/>
    </row>
    <row r="15615" spans="2:2" ht="23.25" customHeight="1">
      <c r="B15615" s="2669"/>
    </row>
    <row r="15616" spans="2:2" ht="23.25" customHeight="1">
      <c r="B15616" s="2669"/>
    </row>
    <row r="15617" spans="2:2" ht="23.25" customHeight="1">
      <c r="B15617" s="2669"/>
    </row>
    <row r="15618" spans="2:2" ht="23.25" customHeight="1">
      <c r="B15618" s="2669"/>
    </row>
    <row r="15619" spans="2:2" ht="23.25" customHeight="1">
      <c r="B15619" s="2669"/>
    </row>
    <row r="15620" spans="2:2" ht="23.25" customHeight="1">
      <c r="B15620" s="2669"/>
    </row>
    <row r="15621" spans="2:2" ht="23.25" customHeight="1">
      <c r="B15621" s="2669"/>
    </row>
    <row r="15622" spans="2:2" ht="23.25" customHeight="1">
      <c r="B15622" s="2669"/>
    </row>
    <row r="15623" spans="2:2" ht="23.25" customHeight="1">
      <c r="B15623" s="2669"/>
    </row>
    <row r="15624" spans="2:2" ht="23.25" customHeight="1">
      <c r="B15624" s="2669"/>
    </row>
    <row r="15625" spans="2:2" ht="23.25" customHeight="1">
      <c r="B15625" s="2669"/>
    </row>
    <row r="15626" spans="2:2" ht="23.25" customHeight="1">
      <c r="B15626" s="2669"/>
    </row>
    <row r="15627" spans="2:2" ht="23.25" customHeight="1">
      <c r="B15627" s="2669"/>
    </row>
    <row r="15628" spans="2:2" ht="23.25" customHeight="1">
      <c r="B15628" s="2669"/>
    </row>
    <row r="15629" spans="2:2" ht="23.25" customHeight="1">
      <c r="B15629" s="2669"/>
    </row>
    <row r="15630" spans="2:2" ht="23.25" customHeight="1">
      <c r="B15630" s="2669"/>
    </row>
    <row r="15631" spans="2:2" ht="23.25" customHeight="1">
      <c r="B15631" s="2669"/>
    </row>
    <row r="15632" spans="2:2" ht="23.25" customHeight="1">
      <c r="B15632" s="2669"/>
    </row>
    <row r="15633" spans="2:2" ht="23.25" customHeight="1">
      <c r="B15633" s="2669"/>
    </row>
    <row r="15634" spans="2:2" ht="23.25" customHeight="1">
      <c r="B15634" s="2669"/>
    </row>
    <row r="15635" spans="2:2" ht="23.25" customHeight="1">
      <c r="B15635" s="2669"/>
    </row>
    <row r="15636" spans="2:2" ht="23.25" customHeight="1">
      <c r="B15636" s="2669"/>
    </row>
    <row r="15637" spans="2:2" ht="23.25" customHeight="1">
      <c r="B15637" s="2669"/>
    </row>
    <row r="15638" spans="2:2" ht="23.25" customHeight="1">
      <c r="B15638" s="2669"/>
    </row>
    <row r="15639" spans="2:2" ht="23.25" customHeight="1">
      <c r="B15639" s="2669"/>
    </row>
    <row r="15640" spans="2:2" ht="23.25" customHeight="1">
      <c r="B15640" s="2669"/>
    </row>
    <row r="15641" spans="2:2" ht="23.25" customHeight="1">
      <c r="B15641" s="2669"/>
    </row>
    <row r="15642" spans="2:2" ht="23.25" customHeight="1">
      <c r="B15642" s="2669"/>
    </row>
    <row r="15643" spans="2:2" ht="23.25" customHeight="1">
      <c r="B15643" s="2669"/>
    </row>
    <row r="15644" spans="2:2" ht="23.25" customHeight="1">
      <c r="B15644" s="2669"/>
    </row>
    <row r="15645" spans="2:2" ht="23.25" customHeight="1">
      <c r="B15645" s="2669"/>
    </row>
    <row r="15646" spans="2:2" ht="23.25" customHeight="1">
      <c r="B15646" s="2669"/>
    </row>
    <row r="15647" spans="2:2" ht="23.25" customHeight="1">
      <c r="B15647" s="2669"/>
    </row>
    <row r="15648" spans="2:2" ht="23.25" customHeight="1">
      <c r="B15648" s="2669"/>
    </row>
    <row r="15649" spans="2:2" ht="23.25" customHeight="1">
      <c r="B15649" s="2669"/>
    </row>
    <row r="15650" spans="2:2" ht="23.25" customHeight="1">
      <c r="B15650" s="2669"/>
    </row>
    <row r="15651" spans="2:2" ht="23.25" customHeight="1">
      <c r="B15651" s="2669"/>
    </row>
    <row r="15652" spans="2:2" ht="23.25" customHeight="1">
      <c r="B15652" s="2669"/>
    </row>
    <row r="15653" spans="2:2" ht="23.25" customHeight="1">
      <c r="B15653" s="2669"/>
    </row>
    <row r="15654" spans="2:2" ht="23.25" customHeight="1">
      <c r="B15654" s="2669"/>
    </row>
    <row r="15655" spans="2:2" ht="23.25" customHeight="1">
      <c r="B15655" s="2669"/>
    </row>
    <row r="15656" spans="2:2" ht="23.25" customHeight="1">
      <c r="B15656" s="2669"/>
    </row>
    <row r="15657" spans="2:2" ht="23.25" customHeight="1">
      <c r="B15657" s="2669"/>
    </row>
    <row r="15658" spans="2:2" ht="23.25" customHeight="1">
      <c r="B15658" s="2669"/>
    </row>
    <row r="15659" spans="2:2" ht="23.25" customHeight="1">
      <c r="B15659" s="2669"/>
    </row>
    <row r="15660" spans="2:2" ht="23.25" customHeight="1">
      <c r="B15660" s="2669"/>
    </row>
    <row r="15661" spans="2:2" ht="23.25" customHeight="1">
      <c r="B15661" s="2669"/>
    </row>
    <row r="15662" spans="2:2" ht="23.25" customHeight="1">
      <c r="B15662" s="2669"/>
    </row>
    <row r="15663" spans="2:2" ht="23.25" customHeight="1">
      <c r="B15663" s="2669"/>
    </row>
    <row r="15664" spans="2:2" ht="23.25" customHeight="1">
      <c r="B15664" s="2669"/>
    </row>
    <row r="15665" spans="2:2" ht="23.25" customHeight="1">
      <c r="B15665" s="2669"/>
    </row>
    <row r="15666" spans="2:2" ht="23.25" customHeight="1">
      <c r="B15666" s="2669"/>
    </row>
    <row r="15667" spans="2:2" ht="23.25" customHeight="1">
      <c r="B15667" s="2669"/>
    </row>
    <row r="15668" spans="2:2" ht="23.25" customHeight="1">
      <c r="B15668" s="2669"/>
    </row>
    <row r="15669" spans="2:2" ht="23.25" customHeight="1">
      <c r="B15669" s="2669"/>
    </row>
    <row r="15670" spans="2:2" ht="23.25" customHeight="1">
      <c r="B15670" s="2669"/>
    </row>
    <row r="15671" spans="2:2" ht="23.25" customHeight="1">
      <c r="B15671" s="2669"/>
    </row>
    <row r="15672" spans="2:2" ht="23.25" customHeight="1">
      <c r="B15672" s="2669"/>
    </row>
    <row r="15673" spans="2:2" ht="23.25" customHeight="1">
      <c r="B15673" s="2669"/>
    </row>
    <row r="15674" spans="2:2" ht="23.25" customHeight="1">
      <c r="B15674" s="2669"/>
    </row>
    <row r="15675" spans="2:2" ht="23.25" customHeight="1">
      <c r="B15675" s="2669"/>
    </row>
    <row r="15676" spans="2:2" ht="23.25" customHeight="1">
      <c r="B15676" s="2669"/>
    </row>
    <row r="15677" spans="2:2" ht="23.25" customHeight="1">
      <c r="B15677" s="2669"/>
    </row>
    <row r="15678" spans="2:2" ht="23.25" customHeight="1">
      <c r="B15678" s="2669"/>
    </row>
    <row r="15679" spans="2:2" ht="23.25" customHeight="1">
      <c r="B15679" s="2669"/>
    </row>
    <row r="15680" spans="2:2" ht="23.25" customHeight="1">
      <c r="B15680" s="2669"/>
    </row>
    <row r="15681" spans="2:2" ht="23.25" customHeight="1">
      <c r="B15681" s="2669"/>
    </row>
    <row r="15682" spans="2:2" ht="23.25" customHeight="1">
      <c r="B15682" s="2669"/>
    </row>
    <row r="15683" spans="2:2" ht="23.25" customHeight="1">
      <c r="B15683" s="2669"/>
    </row>
    <row r="15684" spans="2:2" ht="23.25" customHeight="1">
      <c r="B15684" s="2669"/>
    </row>
    <row r="15685" spans="2:2" ht="23.25" customHeight="1">
      <c r="B15685" s="2669"/>
    </row>
    <row r="15686" spans="2:2" ht="23.25" customHeight="1">
      <c r="B15686" s="2669"/>
    </row>
    <row r="15687" spans="2:2" ht="23.25" customHeight="1">
      <c r="B15687" s="2669"/>
    </row>
    <row r="15688" spans="2:2" ht="23.25" customHeight="1">
      <c r="B15688" s="2669"/>
    </row>
    <row r="15689" spans="2:2" ht="23.25" customHeight="1">
      <c r="B15689" s="2669"/>
    </row>
    <row r="15690" spans="2:2" ht="23.25" customHeight="1">
      <c r="B15690" s="2669"/>
    </row>
    <row r="15691" spans="2:2" ht="23.25" customHeight="1">
      <c r="B15691" s="2669"/>
    </row>
    <row r="15692" spans="2:2" ht="23.25" customHeight="1">
      <c r="B15692" s="2669"/>
    </row>
    <row r="15693" spans="2:2" ht="23.25" customHeight="1">
      <c r="B15693" s="2669"/>
    </row>
    <row r="15694" spans="2:2" ht="23.25" customHeight="1">
      <c r="B15694" s="2669"/>
    </row>
    <row r="15695" spans="2:2" ht="23.25" customHeight="1">
      <c r="B15695" s="2669"/>
    </row>
    <row r="15696" spans="2:2" ht="23.25" customHeight="1">
      <c r="B15696" s="2669"/>
    </row>
    <row r="15697" spans="2:2" ht="23.25" customHeight="1">
      <c r="B15697" s="2669"/>
    </row>
    <row r="15698" spans="2:2" ht="23.25" customHeight="1">
      <c r="B15698" s="2669"/>
    </row>
    <row r="15699" spans="2:2" ht="23.25" customHeight="1">
      <c r="B15699" s="2669"/>
    </row>
    <row r="15700" spans="2:2" ht="23.25" customHeight="1">
      <c r="B15700" s="2669"/>
    </row>
    <row r="15701" spans="2:2" ht="23.25" customHeight="1">
      <c r="B15701" s="2669"/>
    </row>
    <row r="15702" spans="2:2" ht="23.25" customHeight="1">
      <c r="B15702" s="2669"/>
    </row>
    <row r="15703" spans="2:2" ht="23.25" customHeight="1">
      <c r="B15703" s="2669"/>
    </row>
    <row r="15704" spans="2:2" ht="23.25" customHeight="1">
      <c r="B15704" s="2669"/>
    </row>
    <row r="15705" spans="2:2" ht="23.25" customHeight="1">
      <c r="B15705" s="2669"/>
    </row>
    <row r="15706" spans="2:2" ht="23.25" customHeight="1">
      <c r="B15706" s="2669"/>
    </row>
    <row r="15707" spans="2:2" ht="23.25" customHeight="1">
      <c r="B15707" s="2669"/>
    </row>
    <row r="15708" spans="2:2" ht="23.25" customHeight="1">
      <c r="B15708" s="2669"/>
    </row>
    <row r="15709" spans="2:2" ht="23.25" customHeight="1">
      <c r="B15709" s="2669"/>
    </row>
    <row r="15710" spans="2:2" ht="23.25" customHeight="1">
      <c r="B15710" s="2669"/>
    </row>
    <row r="15711" spans="2:2" ht="23.25" customHeight="1">
      <c r="B15711" s="2669"/>
    </row>
    <row r="15712" spans="2:2" ht="23.25" customHeight="1">
      <c r="B15712" s="2669"/>
    </row>
    <row r="15713" spans="2:2" ht="23.25" customHeight="1">
      <c r="B15713" s="2669"/>
    </row>
    <row r="15714" spans="2:2" ht="23.25" customHeight="1">
      <c r="B15714" s="2669"/>
    </row>
    <row r="15715" spans="2:2" ht="23.25" customHeight="1">
      <c r="B15715" s="2669"/>
    </row>
    <row r="15716" spans="2:2" ht="23.25" customHeight="1">
      <c r="B15716" s="2669"/>
    </row>
    <row r="15717" spans="2:2" ht="23.25" customHeight="1">
      <c r="B15717" s="2669"/>
    </row>
    <row r="15718" spans="2:2" ht="23.25" customHeight="1">
      <c r="B15718" s="2669"/>
    </row>
    <row r="15719" spans="2:2" ht="23.25" customHeight="1">
      <c r="B15719" s="2669"/>
    </row>
    <row r="15720" spans="2:2" ht="23.25" customHeight="1">
      <c r="B15720" s="2669"/>
    </row>
    <row r="15721" spans="2:2" ht="23.25" customHeight="1">
      <c r="B15721" s="2669"/>
    </row>
    <row r="15722" spans="2:2" ht="23.25" customHeight="1">
      <c r="B15722" s="2669"/>
    </row>
    <row r="15723" spans="2:2" ht="23.25" customHeight="1">
      <c r="B15723" s="2669"/>
    </row>
    <row r="15724" spans="2:2" ht="23.25" customHeight="1">
      <c r="B15724" s="2669"/>
    </row>
    <row r="15725" spans="2:2" ht="23.25" customHeight="1">
      <c r="B15725" s="2669"/>
    </row>
    <row r="15726" spans="2:2" ht="23.25" customHeight="1">
      <c r="B15726" s="2669"/>
    </row>
    <row r="15727" spans="2:2" ht="23.25" customHeight="1">
      <c r="B15727" s="2669"/>
    </row>
    <row r="15728" spans="2:2" ht="23.25" customHeight="1">
      <c r="B15728" s="2669"/>
    </row>
    <row r="15729" spans="2:2" ht="23.25" customHeight="1">
      <c r="B15729" s="2669"/>
    </row>
    <row r="15730" spans="2:2" ht="23.25" customHeight="1">
      <c r="B15730" s="2669"/>
    </row>
    <row r="15731" spans="2:2" ht="23.25" customHeight="1">
      <c r="B15731" s="2669"/>
    </row>
    <row r="15732" spans="2:2" ht="23.25" customHeight="1">
      <c r="B15732" s="2669"/>
    </row>
    <row r="15733" spans="2:2" ht="23.25" customHeight="1">
      <c r="B15733" s="2669"/>
    </row>
    <row r="15734" spans="2:2" ht="23.25" customHeight="1">
      <c r="B15734" s="2669"/>
    </row>
    <row r="15735" spans="2:2" ht="23.25" customHeight="1">
      <c r="B15735" s="2669"/>
    </row>
    <row r="15736" spans="2:2" ht="23.25" customHeight="1">
      <c r="B15736" s="2669"/>
    </row>
    <row r="15737" spans="2:2" ht="23.25" customHeight="1">
      <c r="B15737" s="2669"/>
    </row>
    <row r="15738" spans="2:2" ht="23.25" customHeight="1">
      <c r="B15738" s="2669"/>
    </row>
    <row r="15739" spans="2:2" ht="23.25" customHeight="1">
      <c r="B15739" s="2669"/>
    </row>
    <row r="15740" spans="2:2" ht="23.25" customHeight="1">
      <c r="B15740" s="2669"/>
    </row>
    <row r="15741" spans="2:2" ht="23.25" customHeight="1">
      <c r="B15741" s="2669"/>
    </row>
    <row r="15742" spans="2:2" ht="23.25" customHeight="1">
      <c r="B15742" s="2669"/>
    </row>
    <row r="15743" spans="2:2" ht="23.25" customHeight="1">
      <c r="B15743" s="2669"/>
    </row>
    <row r="15744" spans="2:2" ht="23.25" customHeight="1">
      <c r="B15744" s="2669"/>
    </row>
    <row r="15745" spans="2:2" ht="23.25" customHeight="1">
      <c r="B15745" s="2669"/>
    </row>
    <row r="15746" spans="2:2" ht="23.25" customHeight="1">
      <c r="B15746" s="2669"/>
    </row>
    <row r="15747" spans="2:2" ht="23.25" customHeight="1">
      <c r="B15747" s="2669"/>
    </row>
    <row r="15748" spans="2:2" ht="23.25" customHeight="1">
      <c r="B15748" s="2669"/>
    </row>
    <row r="15749" spans="2:2" ht="23.25" customHeight="1">
      <c r="B15749" s="2669"/>
    </row>
    <row r="15750" spans="2:2" ht="23.25" customHeight="1">
      <c r="B15750" s="2669"/>
    </row>
    <row r="15751" spans="2:2" ht="23.25" customHeight="1">
      <c r="B15751" s="2669"/>
    </row>
    <row r="15752" spans="2:2" ht="23.25" customHeight="1">
      <c r="B15752" s="2669"/>
    </row>
    <row r="15753" spans="2:2" ht="23.25" customHeight="1">
      <c r="B15753" s="2669"/>
    </row>
    <row r="15754" spans="2:2" ht="23.25" customHeight="1">
      <c r="B15754" s="2669"/>
    </row>
    <row r="15755" spans="2:2" ht="23.25" customHeight="1">
      <c r="B15755" s="2669"/>
    </row>
    <row r="15756" spans="2:2" ht="23.25" customHeight="1">
      <c r="B15756" s="2669"/>
    </row>
    <row r="15757" spans="2:2" ht="23.25" customHeight="1">
      <c r="B15757" s="2669"/>
    </row>
    <row r="15758" spans="2:2" ht="23.25" customHeight="1">
      <c r="B15758" s="2669"/>
    </row>
    <row r="15759" spans="2:2" ht="23.25" customHeight="1">
      <c r="B15759" s="2669"/>
    </row>
    <row r="15760" spans="2:2" ht="23.25" customHeight="1">
      <c r="B15760" s="2669"/>
    </row>
    <row r="15761" spans="2:2" ht="23.25" customHeight="1">
      <c r="B15761" s="2669"/>
    </row>
    <row r="15762" spans="2:2" ht="23.25" customHeight="1">
      <c r="B15762" s="2669"/>
    </row>
    <row r="15763" spans="2:2" ht="23.25" customHeight="1">
      <c r="B15763" s="2669"/>
    </row>
    <row r="15764" spans="2:2" ht="23.25" customHeight="1">
      <c r="B15764" s="2669"/>
    </row>
    <row r="15765" spans="2:2" ht="23.25" customHeight="1">
      <c r="B15765" s="2669"/>
    </row>
    <row r="15766" spans="2:2" ht="23.25" customHeight="1">
      <c r="B15766" s="2669"/>
    </row>
    <row r="15767" spans="2:2" ht="23.25" customHeight="1">
      <c r="B15767" s="2669"/>
    </row>
    <row r="15768" spans="2:2" ht="23.25" customHeight="1">
      <c r="B15768" s="2669"/>
    </row>
    <row r="15769" spans="2:2" ht="23.25" customHeight="1">
      <c r="B15769" s="2669"/>
    </row>
    <row r="15770" spans="2:2" ht="23.25" customHeight="1">
      <c r="B15770" s="2669"/>
    </row>
    <row r="15771" spans="2:2" ht="23.25" customHeight="1">
      <c r="B15771" s="2669"/>
    </row>
    <row r="15772" spans="2:2" ht="23.25" customHeight="1">
      <c r="B15772" s="2669"/>
    </row>
    <row r="15773" spans="2:2" ht="23.25" customHeight="1">
      <c r="B15773" s="2669"/>
    </row>
    <row r="15774" spans="2:2" ht="23.25" customHeight="1">
      <c r="B15774" s="2669"/>
    </row>
    <row r="15775" spans="2:2" ht="23.25" customHeight="1">
      <c r="B15775" s="2669"/>
    </row>
    <row r="15776" spans="2:2" ht="23.25" customHeight="1">
      <c r="B15776" s="2669"/>
    </row>
    <row r="15777" spans="2:2" ht="23.25" customHeight="1">
      <c r="B15777" s="2669"/>
    </row>
    <row r="15778" spans="2:2" ht="23.25" customHeight="1">
      <c r="B15778" s="2669"/>
    </row>
    <row r="15779" spans="2:2" ht="23.25" customHeight="1">
      <c r="B15779" s="2669"/>
    </row>
    <row r="15780" spans="2:2" ht="23.25" customHeight="1">
      <c r="B15780" s="2669"/>
    </row>
    <row r="15781" spans="2:2" ht="23.25" customHeight="1">
      <c r="B15781" s="2669"/>
    </row>
    <row r="15782" spans="2:2" ht="23.25" customHeight="1">
      <c r="B15782" s="2669"/>
    </row>
    <row r="15783" spans="2:2" ht="23.25" customHeight="1">
      <c r="B15783" s="2669"/>
    </row>
    <row r="15784" spans="2:2" ht="23.25" customHeight="1">
      <c r="B15784" s="2669"/>
    </row>
    <row r="15785" spans="2:2" ht="23.25" customHeight="1">
      <c r="B15785" s="2669"/>
    </row>
    <row r="15786" spans="2:2" ht="23.25" customHeight="1">
      <c r="B15786" s="2669"/>
    </row>
    <row r="15787" spans="2:2" ht="23.25" customHeight="1">
      <c r="B15787" s="2669"/>
    </row>
    <row r="15788" spans="2:2" ht="23.25" customHeight="1">
      <c r="B15788" s="2669"/>
    </row>
    <row r="15789" spans="2:2" ht="23.25" customHeight="1">
      <c r="B15789" s="2669"/>
    </row>
    <row r="15790" spans="2:2" ht="23.25" customHeight="1">
      <c r="B15790" s="2669"/>
    </row>
    <row r="15791" spans="2:2" ht="23.25" customHeight="1">
      <c r="B15791" s="2669"/>
    </row>
    <row r="15792" spans="2:2" ht="23.25" customHeight="1">
      <c r="B15792" s="2669"/>
    </row>
    <row r="15793" spans="2:2" ht="23.25" customHeight="1">
      <c r="B15793" s="2669"/>
    </row>
    <row r="15794" spans="2:2" ht="23.25" customHeight="1">
      <c r="B15794" s="2669"/>
    </row>
    <row r="15795" spans="2:2" ht="23.25" customHeight="1">
      <c r="B15795" s="2669"/>
    </row>
    <row r="15796" spans="2:2" ht="23.25" customHeight="1">
      <c r="B15796" s="2669"/>
    </row>
    <row r="15797" spans="2:2" ht="23.25" customHeight="1">
      <c r="B15797" s="2669"/>
    </row>
    <row r="15798" spans="2:2" ht="23.25" customHeight="1">
      <c r="B15798" s="2669"/>
    </row>
    <row r="15799" spans="2:2" ht="23.25" customHeight="1">
      <c r="B15799" s="2669"/>
    </row>
    <row r="15800" spans="2:2" ht="23.25" customHeight="1">
      <c r="B15800" s="2669"/>
    </row>
    <row r="15801" spans="2:2" ht="23.25" customHeight="1">
      <c r="B15801" s="2669"/>
    </row>
    <row r="15802" spans="2:2" ht="23.25" customHeight="1">
      <c r="B15802" s="2669"/>
    </row>
    <row r="15803" spans="2:2" ht="23.25" customHeight="1">
      <c r="B15803" s="2669"/>
    </row>
    <row r="15804" spans="2:2" ht="23.25" customHeight="1">
      <c r="B15804" s="2669"/>
    </row>
    <row r="15805" spans="2:2" ht="23.25" customHeight="1">
      <c r="B15805" s="2669"/>
    </row>
    <row r="15806" spans="2:2" ht="23.25" customHeight="1">
      <c r="B15806" s="2669"/>
    </row>
    <row r="15807" spans="2:2" ht="23.25" customHeight="1">
      <c r="B15807" s="2669"/>
    </row>
    <row r="15808" spans="2:2" ht="23.25" customHeight="1">
      <c r="B15808" s="2669"/>
    </row>
    <row r="15809" spans="2:2" ht="23.25" customHeight="1">
      <c r="B15809" s="2669"/>
    </row>
    <row r="15810" spans="2:2" ht="23.25" customHeight="1">
      <c r="B15810" s="2669"/>
    </row>
    <row r="15811" spans="2:2" ht="23.25" customHeight="1">
      <c r="B15811" s="2669"/>
    </row>
    <row r="15812" spans="2:2" ht="23.25" customHeight="1">
      <c r="B15812" s="2669"/>
    </row>
    <row r="15813" spans="2:2" ht="23.25" customHeight="1">
      <c r="B15813" s="2669"/>
    </row>
    <row r="15814" spans="2:2" ht="23.25" customHeight="1">
      <c r="B15814" s="2669"/>
    </row>
    <row r="15815" spans="2:2" ht="23.25" customHeight="1">
      <c r="B15815" s="2669"/>
    </row>
    <row r="15816" spans="2:2" ht="23.25" customHeight="1">
      <c r="B15816" s="2669"/>
    </row>
    <row r="15817" spans="2:2" ht="23.25" customHeight="1">
      <c r="B15817" s="2669"/>
    </row>
    <row r="15818" spans="2:2" ht="23.25" customHeight="1">
      <c r="B15818" s="2669"/>
    </row>
    <row r="15819" spans="2:2" ht="23.25" customHeight="1">
      <c r="B15819" s="2669"/>
    </row>
    <row r="15820" spans="2:2" ht="23.25" customHeight="1">
      <c r="B15820" s="2669"/>
    </row>
    <row r="15821" spans="2:2" ht="23.25" customHeight="1">
      <c r="B15821" s="2669"/>
    </row>
    <row r="15822" spans="2:2" ht="23.25" customHeight="1">
      <c r="B15822" s="2669"/>
    </row>
    <row r="15823" spans="2:2" ht="23.25" customHeight="1">
      <c r="B15823" s="2669"/>
    </row>
    <row r="15824" spans="2:2" ht="23.25" customHeight="1">
      <c r="B15824" s="2669"/>
    </row>
    <row r="15825" spans="2:2" ht="23.25" customHeight="1">
      <c r="B15825" s="2669"/>
    </row>
    <row r="15826" spans="2:2" ht="23.25" customHeight="1">
      <c r="B15826" s="2669"/>
    </row>
    <row r="15827" spans="2:2" ht="23.25" customHeight="1">
      <c r="B15827" s="2669"/>
    </row>
    <row r="15828" spans="2:2" ht="23.25" customHeight="1">
      <c r="B15828" s="2669"/>
    </row>
    <row r="15829" spans="2:2" ht="23.25" customHeight="1">
      <c r="B15829" s="2669"/>
    </row>
    <row r="15830" spans="2:2" ht="23.25" customHeight="1">
      <c r="B15830" s="2669"/>
    </row>
    <row r="15831" spans="2:2" ht="23.25" customHeight="1">
      <c r="B15831" s="2669"/>
    </row>
    <row r="15832" spans="2:2" ht="23.25" customHeight="1">
      <c r="B15832" s="2669"/>
    </row>
    <row r="15833" spans="2:2" ht="23.25" customHeight="1">
      <c r="B15833" s="2669"/>
    </row>
    <row r="15834" spans="2:2" ht="23.25" customHeight="1">
      <c r="B15834" s="2669"/>
    </row>
    <row r="15835" spans="2:2" ht="23.25" customHeight="1">
      <c r="B15835" s="2669"/>
    </row>
    <row r="15836" spans="2:2" ht="23.25" customHeight="1">
      <c r="B15836" s="2669"/>
    </row>
    <row r="15837" spans="2:2" ht="23.25" customHeight="1">
      <c r="B15837" s="2669"/>
    </row>
    <row r="15838" spans="2:2" ht="23.25" customHeight="1">
      <c r="B15838" s="2669"/>
    </row>
    <row r="15839" spans="2:2" ht="23.25" customHeight="1">
      <c r="B15839" s="2669"/>
    </row>
    <row r="15840" spans="2:2" ht="23.25" customHeight="1">
      <c r="B15840" s="2669"/>
    </row>
    <row r="15841" spans="2:2" ht="23.25" customHeight="1">
      <c r="B15841" s="2669"/>
    </row>
    <row r="15842" spans="2:2" ht="23.25" customHeight="1">
      <c r="B15842" s="2669"/>
    </row>
    <row r="15843" spans="2:2" ht="23.25" customHeight="1">
      <c r="B15843" s="2669"/>
    </row>
    <row r="15844" spans="2:2" ht="23.25" customHeight="1">
      <c r="B15844" s="2669"/>
    </row>
    <row r="15845" spans="2:2" ht="23.25" customHeight="1">
      <c r="B15845" s="2669"/>
    </row>
    <row r="15846" spans="2:2" ht="23.25" customHeight="1">
      <c r="B15846" s="2669"/>
    </row>
    <row r="15847" spans="2:2" ht="23.25" customHeight="1">
      <c r="B15847" s="2669"/>
    </row>
    <row r="15848" spans="2:2" ht="23.25" customHeight="1">
      <c r="B15848" s="2669"/>
    </row>
    <row r="15849" spans="2:2" ht="23.25" customHeight="1">
      <c r="B15849" s="2669"/>
    </row>
    <row r="15850" spans="2:2" ht="23.25" customHeight="1">
      <c r="B15850" s="2669"/>
    </row>
    <row r="15851" spans="2:2" ht="23.25" customHeight="1">
      <c r="B15851" s="2669"/>
    </row>
    <row r="15852" spans="2:2" ht="23.25" customHeight="1">
      <c r="B15852" s="2669"/>
    </row>
    <row r="15853" spans="2:2" ht="23.25" customHeight="1">
      <c r="B15853" s="2669"/>
    </row>
    <row r="15854" spans="2:2" ht="23.25" customHeight="1">
      <c r="B15854" s="2669"/>
    </row>
    <row r="15855" spans="2:2" ht="23.25" customHeight="1">
      <c r="B15855" s="2669"/>
    </row>
    <row r="15856" spans="2:2" ht="23.25" customHeight="1">
      <c r="B15856" s="2669"/>
    </row>
    <row r="15857" spans="2:2" ht="23.25" customHeight="1">
      <c r="B15857" s="2669"/>
    </row>
    <row r="15858" spans="2:2" ht="23.25" customHeight="1">
      <c r="B15858" s="2669"/>
    </row>
    <row r="15859" spans="2:2" ht="23.25" customHeight="1">
      <c r="B15859" s="2669"/>
    </row>
    <row r="15860" spans="2:2" ht="23.25" customHeight="1">
      <c r="B15860" s="2669"/>
    </row>
    <row r="15861" spans="2:2" ht="23.25" customHeight="1">
      <c r="B15861" s="2669"/>
    </row>
    <row r="15862" spans="2:2" ht="23.25" customHeight="1">
      <c r="B15862" s="2669"/>
    </row>
    <row r="15863" spans="2:2" ht="23.25" customHeight="1">
      <c r="B15863" s="2669"/>
    </row>
    <row r="15864" spans="2:2" ht="23.25" customHeight="1">
      <c r="B15864" s="2669"/>
    </row>
    <row r="15865" spans="2:2" ht="23.25" customHeight="1">
      <c r="B15865" s="2669"/>
    </row>
    <row r="15866" spans="2:2" ht="23.25" customHeight="1">
      <c r="B15866" s="2669"/>
    </row>
    <row r="15867" spans="2:2" ht="23.25" customHeight="1">
      <c r="B15867" s="2669"/>
    </row>
    <row r="15868" spans="2:2" ht="23.25" customHeight="1">
      <c r="B15868" s="2669"/>
    </row>
    <row r="15869" spans="2:2" ht="23.25" customHeight="1">
      <c r="B15869" s="2669"/>
    </row>
    <row r="15870" spans="2:2" ht="23.25" customHeight="1">
      <c r="B15870" s="2669"/>
    </row>
    <row r="15871" spans="2:2" ht="23.25" customHeight="1">
      <c r="B15871" s="2669"/>
    </row>
    <row r="15872" spans="2:2" ht="23.25" customHeight="1">
      <c r="B15872" s="2669"/>
    </row>
    <row r="15873" spans="2:2" ht="23.25" customHeight="1">
      <c r="B15873" s="2669"/>
    </row>
    <row r="15874" spans="2:2" ht="23.25" customHeight="1">
      <c r="B15874" s="2669"/>
    </row>
    <row r="15875" spans="2:2" ht="23.25" customHeight="1">
      <c r="B15875" s="2669"/>
    </row>
    <row r="15876" spans="2:2" ht="23.25" customHeight="1">
      <c r="B15876" s="2669"/>
    </row>
    <row r="15877" spans="2:2" ht="23.25" customHeight="1">
      <c r="B15877" s="2669"/>
    </row>
    <row r="15878" spans="2:2" ht="23.25" customHeight="1">
      <c r="B15878" s="2669"/>
    </row>
    <row r="15879" spans="2:2" ht="23.25" customHeight="1">
      <c r="B15879" s="2669"/>
    </row>
    <row r="15880" spans="2:2" ht="23.25" customHeight="1">
      <c r="B15880" s="2669"/>
    </row>
    <row r="15881" spans="2:2" ht="23.25" customHeight="1">
      <c r="B15881" s="2669"/>
    </row>
    <row r="15882" spans="2:2" ht="23.25" customHeight="1">
      <c r="B15882" s="2669"/>
    </row>
    <row r="15883" spans="2:2" ht="23.25" customHeight="1">
      <c r="B15883" s="2669"/>
    </row>
    <row r="15884" spans="2:2" ht="23.25" customHeight="1">
      <c r="B15884" s="2669"/>
    </row>
    <row r="15885" spans="2:2" ht="23.25" customHeight="1">
      <c r="B15885" s="2669"/>
    </row>
    <row r="15886" spans="2:2" ht="23.25" customHeight="1">
      <c r="B15886" s="2669"/>
    </row>
    <row r="15887" spans="2:2" ht="23.25" customHeight="1">
      <c r="B15887" s="2669"/>
    </row>
    <row r="15888" spans="2:2" ht="23.25" customHeight="1">
      <c r="B15888" s="2669"/>
    </row>
    <row r="15889" spans="2:2" ht="23.25" customHeight="1">
      <c r="B15889" s="2669"/>
    </row>
    <row r="15890" spans="2:2" ht="23.25" customHeight="1">
      <c r="B15890" s="2669"/>
    </row>
    <row r="15891" spans="2:2" ht="23.25" customHeight="1">
      <c r="B15891" s="2669"/>
    </row>
    <row r="15892" spans="2:2" ht="23.25" customHeight="1">
      <c r="B15892" s="2669"/>
    </row>
    <row r="15893" spans="2:2" ht="23.25" customHeight="1">
      <c r="B15893" s="2669"/>
    </row>
    <row r="15894" spans="2:2" ht="23.25" customHeight="1">
      <c r="B15894" s="2669"/>
    </row>
    <row r="15895" spans="2:2" ht="23.25" customHeight="1">
      <c r="B15895" s="2669"/>
    </row>
    <row r="15896" spans="2:2" ht="23.25" customHeight="1">
      <c r="B15896" s="2669"/>
    </row>
    <row r="15897" spans="2:2" ht="23.25" customHeight="1">
      <c r="B15897" s="2669"/>
    </row>
    <row r="15898" spans="2:2" ht="23.25" customHeight="1">
      <c r="B15898" s="2669"/>
    </row>
    <row r="15899" spans="2:2" ht="23.25" customHeight="1">
      <c r="B15899" s="2669"/>
    </row>
    <row r="15900" spans="2:2" ht="23.25" customHeight="1">
      <c r="B15900" s="2669"/>
    </row>
    <row r="15901" spans="2:2" ht="23.25" customHeight="1">
      <c r="B15901" s="2669"/>
    </row>
    <row r="15902" spans="2:2" ht="23.25" customHeight="1">
      <c r="B15902" s="2669"/>
    </row>
    <row r="15903" spans="2:2" ht="23.25" customHeight="1">
      <c r="B15903" s="2669"/>
    </row>
    <row r="15904" spans="2:2" ht="23.25" customHeight="1">
      <c r="B15904" s="2669"/>
    </row>
    <row r="15905" spans="2:2" ht="23.25" customHeight="1">
      <c r="B15905" s="2669"/>
    </row>
    <row r="15906" spans="2:2" ht="23.25" customHeight="1">
      <c r="B15906" s="2669"/>
    </row>
    <row r="15907" spans="2:2" ht="23.25" customHeight="1">
      <c r="B15907" s="2669"/>
    </row>
    <row r="15908" spans="2:2" ht="23.25" customHeight="1">
      <c r="B15908" s="2669"/>
    </row>
    <row r="15909" spans="2:2" ht="23.25" customHeight="1">
      <c r="B15909" s="2669"/>
    </row>
    <row r="15910" spans="2:2" ht="23.25" customHeight="1">
      <c r="B15910" s="2669"/>
    </row>
    <row r="15911" spans="2:2" ht="23.25" customHeight="1">
      <c r="B15911" s="2669"/>
    </row>
    <row r="15912" spans="2:2" ht="23.25" customHeight="1">
      <c r="B15912" s="2669"/>
    </row>
    <row r="15913" spans="2:2" ht="23.25" customHeight="1">
      <c r="B15913" s="2669"/>
    </row>
    <row r="15914" spans="2:2" ht="23.25" customHeight="1">
      <c r="B15914" s="2669"/>
    </row>
    <row r="15915" spans="2:2" ht="23.25" customHeight="1">
      <c r="B15915" s="2669"/>
    </row>
    <row r="15916" spans="2:2" ht="23.25" customHeight="1">
      <c r="B15916" s="2669"/>
    </row>
    <row r="15917" spans="2:2" ht="23.25" customHeight="1">
      <c r="B15917" s="2669"/>
    </row>
    <row r="15918" spans="2:2" ht="23.25" customHeight="1">
      <c r="B15918" s="2669"/>
    </row>
    <row r="15919" spans="2:2" ht="23.25" customHeight="1">
      <c r="B15919" s="2669"/>
    </row>
    <row r="15920" spans="2:2" ht="23.25" customHeight="1">
      <c r="B15920" s="2669"/>
    </row>
    <row r="15921" spans="2:2" ht="23.25" customHeight="1">
      <c r="B15921" s="2669"/>
    </row>
    <row r="15922" spans="2:2" ht="23.25" customHeight="1">
      <c r="B15922" s="2669"/>
    </row>
    <row r="15923" spans="2:2" ht="23.25" customHeight="1">
      <c r="B15923" s="2669"/>
    </row>
    <row r="15924" spans="2:2" ht="23.25" customHeight="1">
      <c r="B15924" s="2669"/>
    </row>
    <row r="15925" spans="2:2" ht="23.25" customHeight="1">
      <c r="B15925" s="2669"/>
    </row>
    <row r="15926" spans="2:2" ht="23.25" customHeight="1">
      <c r="B15926" s="2669"/>
    </row>
    <row r="15927" spans="2:2" ht="23.25" customHeight="1">
      <c r="B15927" s="2669"/>
    </row>
    <row r="15928" spans="2:2" ht="23.25" customHeight="1">
      <c r="B15928" s="2669"/>
    </row>
    <row r="15929" spans="2:2" ht="23.25" customHeight="1">
      <c r="B15929" s="2669"/>
    </row>
    <row r="15930" spans="2:2" ht="23.25" customHeight="1">
      <c r="B15930" s="2669"/>
    </row>
    <row r="15931" spans="2:2" ht="23.25" customHeight="1">
      <c r="B15931" s="2669"/>
    </row>
    <row r="15932" spans="2:2" ht="23.25" customHeight="1">
      <c r="B15932" s="2669"/>
    </row>
    <row r="15933" spans="2:2" ht="23.25" customHeight="1">
      <c r="B15933" s="2669"/>
    </row>
    <row r="15934" spans="2:2" ht="23.25" customHeight="1">
      <c r="B15934" s="2669"/>
    </row>
    <row r="15935" spans="2:2" ht="23.25" customHeight="1">
      <c r="B15935" s="2669"/>
    </row>
    <row r="15936" spans="2:2" ht="23.25" customHeight="1">
      <c r="B15936" s="2669"/>
    </row>
    <row r="15937" spans="2:2" ht="23.25" customHeight="1">
      <c r="B15937" s="2669"/>
    </row>
    <row r="15938" spans="2:2" ht="23.25" customHeight="1">
      <c r="B15938" s="2669"/>
    </row>
    <row r="15939" spans="2:2" ht="23.25" customHeight="1">
      <c r="B15939" s="2669"/>
    </row>
    <row r="15940" spans="2:2" ht="23.25" customHeight="1">
      <c r="B15940" s="2669"/>
    </row>
    <row r="15941" spans="2:2" ht="23.25" customHeight="1">
      <c r="B15941" s="2669"/>
    </row>
    <row r="15942" spans="2:2" ht="23.25" customHeight="1">
      <c r="B15942" s="2669"/>
    </row>
    <row r="15943" spans="2:2" ht="23.25" customHeight="1">
      <c r="B15943" s="2669"/>
    </row>
    <row r="15944" spans="2:2" ht="23.25" customHeight="1">
      <c r="B15944" s="2669"/>
    </row>
    <row r="15945" spans="2:2" ht="23.25" customHeight="1">
      <c r="B15945" s="2669"/>
    </row>
    <row r="15946" spans="2:2" ht="23.25" customHeight="1">
      <c r="B15946" s="2669"/>
    </row>
    <row r="15947" spans="2:2" ht="23.25" customHeight="1">
      <c r="B15947" s="2669"/>
    </row>
    <row r="15948" spans="2:2" ht="23.25" customHeight="1">
      <c r="B15948" s="2669"/>
    </row>
    <row r="15949" spans="2:2" ht="23.25" customHeight="1">
      <c r="B15949" s="2669"/>
    </row>
    <row r="15950" spans="2:2" ht="23.25" customHeight="1">
      <c r="B15950" s="2669"/>
    </row>
    <row r="15951" spans="2:2" ht="23.25" customHeight="1">
      <c r="B15951" s="2669"/>
    </row>
    <row r="15952" spans="2:2" ht="23.25" customHeight="1">
      <c r="B15952" s="2669"/>
    </row>
    <row r="15953" spans="2:2" ht="23.25" customHeight="1">
      <c r="B15953" s="2669"/>
    </row>
    <row r="15954" spans="2:2" ht="23.25" customHeight="1">
      <c r="B15954" s="2669"/>
    </row>
    <row r="15955" spans="2:2" ht="23.25" customHeight="1">
      <c r="B15955" s="2669"/>
    </row>
    <row r="15956" spans="2:2" ht="23.25" customHeight="1">
      <c r="B15956" s="2669"/>
    </row>
    <row r="15957" spans="2:2" ht="23.25" customHeight="1">
      <c r="B15957" s="2669"/>
    </row>
    <row r="15958" spans="2:2" ht="23.25" customHeight="1">
      <c r="B15958" s="2669"/>
    </row>
    <row r="15959" spans="2:2" ht="23.25" customHeight="1">
      <c r="B15959" s="2669"/>
    </row>
    <row r="15960" spans="2:2" ht="23.25" customHeight="1">
      <c r="B15960" s="2669"/>
    </row>
    <row r="15961" spans="2:2" ht="23.25" customHeight="1">
      <c r="B15961" s="2669"/>
    </row>
    <row r="15962" spans="2:2" ht="23.25" customHeight="1">
      <c r="B15962" s="2669"/>
    </row>
    <row r="15963" spans="2:2" ht="23.25" customHeight="1">
      <c r="B15963" s="2669"/>
    </row>
    <row r="15964" spans="2:2" ht="23.25" customHeight="1">
      <c r="B15964" s="2669"/>
    </row>
    <row r="15965" spans="2:2" ht="23.25" customHeight="1">
      <c r="B15965" s="2669"/>
    </row>
    <row r="15966" spans="2:2" ht="23.25" customHeight="1">
      <c r="B15966" s="2669"/>
    </row>
    <row r="15967" spans="2:2" ht="23.25" customHeight="1">
      <c r="B15967" s="2669"/>
    </row>
    <row r="15968" spans="2:2" ht="23.25" customHeight="1">
      <c r="B15968" s="2669"/>
    </row>
    <row r="15969" spans="2:2" ht="23.25" customHeight="1">
      <c r="B15969" s="2669"/>
    </row>
    <row r="15970" spans="2:2" ht="23.25" customHeight="1">
      <c r="B15970" s="2669"/>
    </row>
    <row r="15971" spans="2:2" ht="23.25" customHeight="1">
      <c r="B15971" s="2669"/>
    </row>
    <row r="15972" spans="2:2" ht="23.25" customHeight="1">
      <c r="B15972" s="2669"/>
    </row>
    <row r="15973" spans="2:2" ht="23.25" customHeight="1">
      <c r="B15973" s="2669"/>
    </row>
    <row r="15974" spans="2:2" ht="23.25" customHeight="1">
      <c r="B15974" s="2669"/>
    </row>
    <row r="15975" spans="2:2" ht="23.25" customHeight="1">
      <c r="B15975" s="2669"/>
    </row>
    <row r="15976" spans="2:2" ht="23.25" customHeight="1">
      <c r="B15976" s="2669"/>
    </row>
    <row r="15977" spans="2:2" ht="23.25" customHeight="1">
      <c r="B15977" s="2669"/>
    </row>
    <row r="15978" spans="2:2" ht="23.25" customHeight="1">
      <c r="B15978" s="2669"/>
    </row>
    <row r="15979" spans="2:2" ht="23.25" customHeight="1">
      <c r="B15979" s="2669"/>
    </row>
    <row r="15980" spans="2:2" ht="23.25" customHeight="1">
      <c r="B15980" s="2669"/>
    </row>
    <row r="15981" spans="2:2" ht="23.25" customHeight="1">
      <c r="B15981" s="2669"/>
    </row>
    <row r="15982" spans="2:2" ht="23.25" customHeight="1">
      <c r="B15982" s="2669"/>
    </row>
    <row r="15983" spans="2:2" ht="23.25" customHeight="1">
      <c r="B15983" s="2669"/>
    </row>
    <row r="15984" spans="2:2" ht="23.25" customHeight="1">
      <c r="B15984" s="2669"/>
    </row>
    <row r="15985" spans="2:2" ht="23.25" customHeight="1">
      <c r="B15985" s="2669"/>
    </row>
    <row r="15986" spans="2:2" ht="23.25" customHeight="1">
      <c r="B15986" s="2669"/>
    </row>
    <row r="15987" spans="2:2" ht="23.25" customHeight="1">
      <c r="B15987" s="2669"/>
    </row>
    <row r="15988" spans="2:2" ht="23.25" customHeight="1">
      <c r="B15988" s="2669"/>
    </row>
    <row r="15989" spans="2:2" ht="23.25" customHeight="1">
      <c r="B15989" s="2669"/>
    </row>
    <row r="15990" spans="2:2" ht="23.25" customHeight="1">
      <c r="B15990" s="2669"/>
    </row>
    <row r="15991" spans="2:2" ht="23.25" customHeight="1">
      <c r="B15991" s="2669"/>
    </row>
    <row r="15992" spans="2:2" ht="23.25" customHeight="1">
      <c r="B15992" s="2669"/>
    </row>
    <row r="15993" spans="2:2" ht="23.25" customHeight="1">
      <c r="B15993" s="2669"/>
    </row>
    <row r="15994" spans="2:2" ht="23.25" customHeight="1">
      <c r="B15994" s="2669"/>
    </row>
    <row r="15995" spans="2:2" ht="23.25" customHeight="1">
      <c r="B15995" s="2669"/>
    </row>
    <row r="15996" spans="2:2" ht="23.25" customHeight="1">
      <c r="B15996" s="2669"/>
    </row>
    <row r="15997" spans="2:2" ht="23.25" customHeight="1">
      <c r="B15997" s="2669"/>
    </row>
    <row r="15998" spans="2:2" ht="23.25" customHeight="1">
      <c r="B15998" s="2669"/>
    </row>
    <row r="15999" spans="2:2" ht="23.25" customHeight="1">
      <c r="B15999" s="2669"/>
    </row>
    <row r="16000" spans="2:2" ht="23.25" customHeight="1">
      <c r="B16000" s="2669"/>
    </row>
    <row r="16001" spans="2:2" ht="23.25" customHeight="1">
      <c r="B16001" s="2669"/>
    </row>
    <row r="16002" spans="2:2" ht="23.25" customHeight="1">
      <c r="B16002" s="2669"/>
    </row>
    <row r="16003" spans="2:2" ht="23.25" customHeight="1">
      <c r="B16003" s="2669"/>
    </row>
    <row r="16004" spans="2:2" ht="23.25" customHeight="1">
      <c r="B16004" s="2669"/>
    </row>
    <row r="16005" spans="2:2" ht="23.25" customHeight="1">
      <c r="B16005" s="2669"/>
    </row>
    <row r="16006" spans="2:2" ht="23.25" customHeight="1">
      <c r="B16006" s="2669"/>
    </row>
    <row r="16007" spans="2:2" ht="23.25" customHeight="1">
      <c r="B16007" s="2669"/>
    </row>
    <row r="16008" spans="2:2" ht="23.25" customHeight="1">
      <c r="B16008" s="2669"/>
    </row>
    <row r="16009" spans="2:2" ht="23.25" customHeight="1">
      <c r="B16009" s="2669"/>
    </row>
    <row r="16010" spans="2:2" ht="23.25" customHeight="1">
      <c r="B16010" s="2669"/>
    </row>
    <row r="16011" spans="2:2" ht="23.25" customHeight="1">
      <c r="B16011" s="2669"/>
    </row>
    <row r="16012" spans="2:2" ht="23.25" customHeight="1">
      <c r="B16012" s="2669"/>
    </row>
    <row r="16013" spans="2:2" ht="23.25" customHeight="1">
      <c r="B16013" s="2669"/>
    </row>
    <row r="16014" spans="2:2" ht="23.25" customHeight="1">
      <c r="B16014" s="2669"/>
    </row>
    <row r="16015" spans="2:2" ht="23.25" customHeight="1">
      <c r="B16015" s="2669"/>
    </row>
    <row r="16016" spans="2:2" ht="23.25" customHeight="1">
      <c r="B16016" s="2669"/>
    </row>
    <row r="16017" spans="2:2" ht="23.25" customHeight="1">
      <c r="B16017" s="2669"/>
    </row>
    <row r="16018" spans="2:2" ht="23.25" customHeight="1">
      <c r="B16018" s="2669"/>
    </row>
    <row r="16019" spans="2:2" ht="23.25" customHeight="1">
      <c r="B16019" s="2669"/>
    </row>
    <row r="16020" spans="2:2" ht="23.25" customHeight="1">
      <c r="B16020" s="2669"/>
    </row>
    <row r="16021" spans="2:2" ht="23.25" customHeight="1">
      <c r="B16021" s="2669"/>
    </row>
    <row r="16022" spans="2:2" ht="23.25" customHeight="1">
      <c r="B16022" s="2669"/>
    </row>
    <row r="16023" spans="2:2" ht="23.25" customHeight="1">
      <c r="B16023" s="2669"/>
    </row>
    <row r="16024" spans="2:2" ht="23.25" customHeight="1">
      <c r="B16024" s="2669"/>
    </row>
    <row r="16025" spans="2:2" ht="23.25" customHeight="1">
      <c r="B16025" s="2669"/>
    </row>
    <row r="16026" spans="2:2" ht="23.25" customHeight="1">
      <c r="B16026" s="2669"/>
    </row>
    <row r="16027" spans="2:2" ht="23.25" customHeight="1">
      <c r="B16027" s="2669"/>
    </row>
    <row r="16028" spans="2:2" ht="23.25" customHeight="1">
      <c r="B16028" s="2669"/>
    </row>
    <row r="16029" spans="2:2" ht="23.25" customHeight="1">
      <c r="B16029" s="2669"/>
    </row>
    <row r="16030" spans="2:2" ht="23.25" customHeight="1">
      <c r="B16030" s="2669"/>
    </row>
    <row r="16031" spans="2:2" ht="23.25" customHeight="1">
      <c r="B16031" s="2669"/>
    </row>
    <row r="16032" spans="2:2" ht="23.25" customHeight="1">
      <c r="B16032" s="2669"/>
    </row>
    <row r="16033" spans="2:2" ht="23.25" customHeight="1">
      <c r="B16033" s="2669"/>
    </row>
    <row r="16034" spans="2:2" ht="23.25" customHeight="1">
      <c r="B16034" s="2669"/>
    </row>
    <row r="16035" spans="2:2" ht="23.25" customHeight="1">
      <c r="B16035" s="2669"/>
    </row>
    <row r="16036" spans="2:2" ht="23.25" customHeight="1">
      <c r="B16036" s="2669"/>
    </row>
    <row r="16037" spans="2:2" ht="23.25" customHeight="1">
      <c r="B16037" s="2669"/>
    </row>
    <row r="16038" spans="2:2" ht="23.25" customHeight="1">
      <c r="B16038" s="2669"/>
    </row>
    <row r="16039" spans="2:2" ht="23.25" customHeight="1">
      <c r="B16039" s="2669"/>
    </row>
    <row r="16040" spans="2:2" ht="23.25" customHeight="1">
      <c r="B16040" s="2669"/>
    </row>
    <row r="16041" spans="2:2" ht="23.25" customHeight="1">
      <c r="B16041" s="2669"/>
    </row>
    <row r="16042" spans="2:2" ht="23.25" customHeight="1">
      <c r="B16042" s="2669"/>
    </row>
    <row r="16043" spans="2:2" ht="23.25" customHeight="1">
      <c r="B16043" s="2669"/>
    </row>
    <row r="16044" spans="2:2" ht="23.25" customHeight="1">
      <c r="B16044" s="2669"/>
    </row>
    <row r="16045" spans="2:2" ht="23.25" customHeight="1">
      <c r="B16045" s="2669"/>
    </row>
    <row r="16046" spans="2:2" ht="23.25" customHeight="1">
      <c r="B16046" s="2669"/>
    </row>
    <row r="16047" spans="2:2" ht="23.25" customHeight="1">
      <c r="B16047" s="2669"/>
    </row>
    <row r="16048" spans="2:2" ht="23.25" customHeight="1">
      <c r="B16048" s="2669"/>
    </row>
    <row r="16049" spans="2:2" ht="23.25" customHeight="1">
      <c r="B16049" s="2669"/>
    </row>
    <row r="16050" spans="2:2" ht="23.25" customHeight="1">
      <c r="B16050" s="2669"/>
    </row>
    <row r="16051" spans="2:2" ht="23.25" customHeight="1">
      <c r="B16051" s="2669"/>
    </row>
    <row r="16052" spans="2:2" ht="23.25" customHeight="1">
      <c r="B16052" s="2669"/>
    </row>
    <row r="16053" spans="2:2" ht="23.25" customHeight="1">
      <c r="B16053" s="2669"/>
    </row>
    <row r="16054" spans="2:2" ht="23.25" customHeight="1">
      <c r="B16054" s="2669"/>
    </row>
    <row r="16055" spans="2:2" ht="23.25" customHeight="1">
      <c r="B16055" s="2669"/>
    </row>
    <row r="16056" spans="2:2" ht="23.25" customHeight="1">
      <c r="B16056" s="2669"/>
    </row>
    <row r="16057" spans="2:2" ht="23.25" customHeight="1">
      <c r="B16057" s="2669"/>
    </row>
    <row r="16058" spans="2:2" ht="23.25" customHeight="1">
      <c r="B16058" s="2669"/>
    </row>
    <row r="16059" spans="2:2" ht="23.25" customHeight="1">
      <c r="B16059" s="2669"/>
    </row>
    <row r="16060" spans="2:2" ht="23.25" customHeight="1">
      <c r="B16060" s="2669"/>
    </row>
    <row r="16061" spans="2:2" ht="23.25" customHeight="1">
      <c r="B16061" s="2669"/>
    </row>
    <row r="16062" spans="2:2" ht="23.25" customHeight="1">
      <c r="B16062" s="2669"/>
    </row>
    <row r="16063" spans="2:2" ht="23.25" customHeight="1">
      <c r="B16063" s="2669"/>
    </row>
    <row r="16064" spans="2:2" ht="23.25" customHeight="1">
      <c r="B16064" s="2669"/>
    </row>
    <row r="16065" spans="2:2" ht="23.25" customHeight="1">
      <c r="B16065" s="2669"/>
    </row>
    <row r="16066" spans="2:2" ht="23.25" customHeight="1">
      <c r="B16066" s="2669"/>
    </row>
    <row r="16067" spans="2:2" ht="23.25" customHeight="1">
      <c r="B16067" s="2669"/>
    </row>
    <row r="16068" spans="2:2" ht="23.25" customHeight="1">
      <c r="B16068" s="2669"/>
    </row>
    <row r="16069" spans="2:2" ht="23.25" customHeight="1">
      <c r="B16069" s="2669"/>
    </row>
    <row r="16070" spans="2:2" ht="23.25" customHeight="1">
      <c r="B16070" s="2669"/>
    </row>
    <row r="16071" spans="2:2" ht="23.25" customHeight="1">
      <c r="B16071" s="2669"/>
    </row>
    <row r="16072" spans="2:2" ht="23.25" customHeight="1">
      <c r="B16072" s="2669"/>
    </row>
    <row r="16073" spans="2:2" ht="23.25" customHeight="1">
      <c r="B16073" s="2669"/>
    </row>
    <row r="16074" spans="2:2" ht="23.25" customHeight="1">
      <c r="B16074" s="2669"/>
    </row>
    <row r="16075" spans="2:2" ht="23.25" customHeight="1">
      <c r="B16075" s="2669"/>
    </row>
    <row r="16076" spans="2:2" ht="23.25" customHeight="1">
      <c r="B16076" s="2669"/>
    </row>
    <row r="16077" spans="2:2" ht="23.25" customHeight="1">
      <c r="B16077" s="2669"/>
    </row>
    <row r="16078" spans="2:2" ht="23.25" customHeight="1">
      <c r="B16078" s="2669"/>
    </row>
    <row r="16079" spans="2:2" ht="23.25" customHeight="1">
      <c r="B16079" s="2669"/>
    </row>
    <row r="16080" spans="2:2" ht="23.25" customHeight="1">
      <c r="B16080" s="2669"/>
    </row>
    <row r="16081" spans="2:2" ht="23.25" customHeight="1">
      <c r="B16081" s="2669"/>
    </row>
    <row r="16082" spans="2:2" ht="23.25" customHeight="1">
      <c r="B16082" s="2669"/>
    </row>
    <row r="16083" spans="2:2" ht="23.25" customHeight="1">
      <c r="B16083" s="2669"/>
    </row>
    <row r="16084" spans="2:2" ht="23.25" customHeight="1">
      <c r="B16084" s="2669"/>
    </row>
    <row r="16085" spans="2:2" ht="23.25" customHeight="1">
      <c r="B16085" s="2669"/>
    </row>
    <row r="16086" spans="2:2" ht="23.25" customHeight="1">
      <c r="B16086" s="2669"/>
    </row>
    <row r="16087" spans="2:2" ht="23.25" customHeight="1">
      <c r="B16087" s="2669"/>
    </row>
    <row r="16088" spans="2:2" ht="23.25" customHeight="1">
      <c r="B16088" s="2669"/>
    </row>
    <row r="16089" spans="2:2" ht="23.25" customHeight="1">
      <c r="B16089" s="2669"/>
    </row>
    <row r="16090" spans="2:2" ht="23.25" customHeight="1">
      <c r="B16090" s="2669"/>
    </row>
    <row r="16091" spans="2:2" ht="23.25" customHeight="1">
      <c r="B16091" s="2669"/>
    </row>
    <row r="16092" spans="2:2" ht="23.25" customHeight="1">
      <c r="B16092" s="2669"/>
    </row>
    <row r="16093" spans="2:2" ht="23.25" customHeight="1">
      <c r="B16093" s="2669"/>
    </row>
    <row r="16094" spans="2:2" ht="23.25" customHeight="1">
      <c r="B16094" s="2669"/>
    </row>
    <row r="16095" spans="2:2" ht="23.25" customHeight="1">
      <c r="B16095" s="2669"/>
    </row>
    <row r="16096" spans="2:2" ht="23.25" customHeight="1">
      <c r="B16096" s="2669"/>
    </row>
    <row r="16097" spans="2:2" ht="23.25" customHeight="1">
      <c r="B16097" s="2669"/>
    </row>
    <row r="16098" spans="2:2" ht="23.25" customHeight="1">
      <c r="B16098" s="2669"/>
    </row>
    <row r="16099" spans="2:2" ht="23.25" customHeight="1">
      <c r="B16099" s="2669"/>
    </row>
    <row r="16100" spans="2:2" ht="23.25" customHeight="1">
      <c r="B16100" s="2669"/>
    </row>
    <row r="16101" spans="2:2" ht="23.25" customHeight="1">
      <c r="B16101" s="2669"/>
    </row>
    <row r="16102" spans="2:2" ht="23.25" customHeight="1">
      <c r="B16102" s="2669"/>
    </row>
    <row r="16103" spans="2:2" ht="23.25" customHeight="1">
      <c r="B16103" s="2669"/>
    </row>
    <row r="16104" spans="2:2" ht="23.25" customHeight="1">
      <c r="B16104" s="2669"/>
    </row>
    <row r="16105" spans="2:2" ht="23.25" customHeight="1">
      <c r="B16105" s="2669"/>
    </row>
    <row r="16106" spans="2:2" ht="23.25" customHeight="1">
      <c r="B16106" s="2669"/>
    </row>
    <row r="16107" spans="2:2" ht="23.25" customHeight="1">
      <c r="B16107" s="2669"/>
    </row>
    <row r="16108" spans="2:2" ht="23.25" customHeight="1">
      <c r="B16108" s="2669"/>
    </row>
    <row r="16109" spans="2:2" ht="23.25" customHeight="1">
      <c r="B16109" s="2669"/>
    </row>
    <row r="16110" spans="2:2" ht="23.25" customHeight="1">
      <c r="B16110" s="2669"/>
    </row>
    <row r="16111" spans="2:2" ht="23.25" customHeight="1">
      <c r="B16111" s="2669"/>
    </row>
    <row r="16112" spans="2:2" ht="23.25" customHeight="1">
      <c r="B16112" s="2669"/>
    </row>
    <row r="16113" spans="2:2" ht="23.25" customHeight="1">
      <c r="B16113" s="2669"/>
    </row>
    <row r="16114" spans="2:2" ht="23.25" customHeight="1">
      <c r="B16114" s="2669"/>
    </row>
    <row r="16115" spans="2:2" ht="23.25" customHeight="1">
      <c r="B16115" s="2669"/>
    </row>
    <row r="16116" spans="2:2" ht="23.25" customHeight="1">
      <c r="B16116" s="2669"/>
    </row>
    <row r="16117" spans="2:2" ht="23.25" customHeight="1">
      <c r="B16117" s="2669"/>
    </row>
    <row r="16118" spans="2:2" ht="23.25" customHeight="1">
      <c r="B16118" s="2669"/>
    </row>
    <row r="16119" spans="2:2" ht="23.25" customHeight="1">
      <c r="B16119" s="2669"/>
    </row>
    <row r="16120" spans="2:2" ht="23.25" customHeight="1">
      <c r="B16120" s="2669"/>
    </row>
    <row r="16121" spans="2:2" ht="23.25" customHeight="1">
      <c r="B16121" s="2669"/>
    </row>
    <row r="16122" spans="2:2" ht="23.25" customHeight="1">
      <c r="B16122" s="2669"/>
    </row>
    <row r="16123" spans="2:2" ht="23.25" customHeight="1">
      <c r="B16123" s="2669"/>
    </row>
    <row r="16124" spans="2:2" ht="23.25" customHeight="1">
      <c r="B16124" s="2669"/>
    </row>
    <row r="16125" spans="2:2" ht="23.25" customHeight="1">
      <c r="B16125" s="2669"/>
    </row>
    <row r="16126" spans="2:2" ht="23.25" customHeight="1">
      <c r="B16126" s="2669"/>
    </row>
    <row r="16127" spans="2:2" ht="23.25" customHeight="1">
      <c r="B16127" s="2669"/>
    </row>
    <row r="16128" spans="2:2" ht="23.25" customHeight="1">
      <c r="B16128" s="2669"/>
    </row>
    <row r="16129" spans="2:2" ht="23.25" customHeight="1">
      <c r="B16129" s="2669"/>
    </row>
    <row r="16130" spans="2:2" ht="23.25" customHeight="1">
      <c r="B16130" s="2669"/>
    </row>
    <row r="16131" spans="2:2" ht="23.25" customHeight="1">
      <c r="B16131" s="2669"/>
    </row>
    <row r="16132" spans="2:2" ht="23.25" customHeight="1">
      <c r="B16132" s="2669"/>
    </row>
    <row r="16133" spans="2:2" ht="23.25" customHeight="1">
      <c r="B16133" s="2669"/>
    </row>
    <row r="16134" spans="2:2" ht="23.25" customHeight="1">
      <c r="B16134" s="2669"/>
    </row>
    <row r="16135" spans="2:2" ht="23.25" customHeight="1">
      <c r="B16135" s="2669"/>
    </row>
    <row r="16136" spans="2:2" ht="23.25" customHeight="1">
      <c r="B16136" s="2669"/>
    </row>
    <row r="16137" spans="2:2" ht="23.25" customHeight="1">
      <c r="B16137" s="2669"/>
    </row>
    <row r="16138" spans="2:2" ht="23.25" customHeight="1">
      <c r="B16138" s="2669"/>
    </row>
    <row r="16139" spans="2:2" ht="23.25" customHeight="1">
      <c r="B16139" s="2669"/>
    </row>
    <row r="16140" spans="2:2" ht="23.25" customHeight="1">
      <c r="B16140" s="2669"/>
    </row>
    <row r="16141" spans="2:2" ht="23.25" customHeight="1">
      <c r="B16141" s="2669"/>
    </row>
    <row r="16142" spans="2:2" ht="23.25" customHeight="1">
      <c r="B16142" s="2669"/>
    </row>
    <row r="16143" spans="2:2" ht="23.25" customHeight="1">
      <c r="B16143" s="2669"/>
    </row>
    <row r="16144" spans="2:2" ht="23.25" customHeight="1">
      <c r="B16144" s="2669"/>
    </row>
    <row r="16145" spans="2:2" ht="23.25" customHeight="1">
      <c r="B16145" s="2669"/>
    </row>
    <row r="16146" spans="2:2" ht="23.25" customHeight="1">
      <c r="B16146" s="2669"/>
    </row>
    <row r="16147" spans="2:2" ht="23.25" customHeight="1">
      <c r="B16147" s="2669"/>
    </row>
    <row r="16148" spans="2:2" ht="23.25" customHeight="1">
      <c r="B16148" s="2669"/>
    </row>
    <row r="16149" spans="2:2" ht="23.25" customHeight="1">
      <c r="B16149" s="2669"/>
    </row>
    <row r="16150" spans="2:2" ht="23.25" customHeight="1">
      <c r="B16150" s="2669"/>
    </row>
    <row r="16151" spans="2:2" ht="23.25" customHeight="1">
      <c r="B16151" s="2669"/>
    </row>
    <row r="16152" spans="2:2" ht="23.25" customHeight="1">
      <c r="B16152" s="2669"/>
    </row>
    <row r="16153" spans="2:2" ht="23.25" customHeight="1">
      <c r="B16153" s="2669"/>
    </row>
    <row r="16154" spans="2:2" ht="23.25" customHeight="1">
      <c r="B16154" s="2669"/>
    </row>
    <row r="16155" spans="2:2" ht="23.25" customHeight="1">
      <c r="B16155" s="2669"/>
    </row>
    <row r="16156" spans="2:2" ht="23.25" customHeight="1">
      <c r="B16156" s="2669"/>
    </row>
    <row r="16157" spans="2:2" ht="23.25" customHeight="1">
      <c r="B16157" s="2669"/>
    </row>
    <row r="16158" spans="2:2" ht="23.25" customHeight="1">
      <c r="B16158" s="2669"/>
    </row>
    <row r="16159" spans="2:2" ht="23.25" customHeight="1">
      <c r="B16159" s="2669"/>
    </row>
    <row r="16160" spans="2:2" ht="23.25" customHeight="1">
      <c r="B16160" s="2669"/>
    </row>
    <row r="16161" spans="2:2" ht="23.25" customHeight="1">
      <c r="B16161" s="2669"/>
    </row>
    <row r="16162" spans="2:2" ht="23.25" customHeight="1">
      <c r="B16162" s="2669"/>
    </row>
    <row r="16163" spans="2:2" ht="23.25" customHeight="1">
      <c r="B16163" s="2669"/>
    </row>
    <row r="16164" spans="2:2" ht="23.25" customHeight="1">
      <c r="B16164" s="2669"/>
    </row>
    <row r="16165" spans="2:2" ht="23.25" customHeight="1">
      <c r="B16165" s="2669"/>
    </row>
    <row r="16166" spans="2:2" ht="23.25" customHeight="1">
      <c r="B16166" s="2669"/>
    </row>
    <row r="16167" spans="2:2" ht="23.25" customHeight="1">
      <c r="B16167" s="2669"/>
    </row>
    <row r="16168" spans="2:2" ht="23.25" customHeight="1">
      <c r="B16168" s="2669"/>
    </row>
    <row r="16169" spans="2:2" ht="23.25" customHeight="1">
      <c r="B16169" s="2669"/>
    </row>
    <row r="16170" spans="2:2" ht="23.25" customHeight="1">
      <c r="B16170" s="2669"/>
    </row>
    <row r="16171" spans="2:2" ht="23.25" customHeight="1">
      <c r="B16171" s="2669"/>
    </row>
    <row r="16172" spans="2:2" ht="23.25" customHeight="1">
      <c r="B16172" s="2669"/>
    </row>
    <row r="16173" spans="2:2" ht="23.25" customHeight="1">
      <c r="B16173" s="2669"/>
    </row>
    <row r="16174" spans="2:2" ht="23.25" customHeight="1">
      <c r="B16174" s="2669"/>
    </row>
    <row r="16175" spans="2:2" ht="23.25" customHeight="1">
      <c r="B16175" s="2669"/>
    </row>
    <row r="16176" spans="2:2" ht="23.25" customHeight="1">
      <c r="B16176" s="2669"/>
    </row>
    <row r="16177" spans="2:2" ht="23.25" customHeight="1">
      <c r="B16177" s="2669"/>
    </row>
    <row r="16178" spans="2:2" ht="23.25" customHeight="1">
      <c r="B16178" s="2669"/>
    </row>
    <row r="16179" spans="2:2" ht="23.25" customHeight="1">
      <c r="B16179" s="2669"/>
    </row>
    <row r="16180" spans="2:2" ht="23.25" customHeight="1">
      <c r="B16180" s="2669"/>
    </row>
    <row r="16181" spans="2:2" ht="23.25" customHeight="1">
      <c r="B16181" s="2669"/>
    </row>
    <row r="16182" spans="2:2" ht="23.25" customHeight="1">
      <c r="B16182" s="2669"/>
    </row>
    <row r="16183" spans="2:2" ht="23.25" customHeight="1">
      <c r="B16183" s="2669"/>
    </row>
    <row r="16184" spans="2:2" ht="23.25" customHeight="1">
      <c r="B16184" s="2669"/>
    </row>
    <row r="16185" spans="2:2" ht="23.25" customHeight="1">
      <c r="B16185" s="2669"/>
    </row>
    <row r="16186" spans="2:2" ht="23.25" customHeight="1">
      <c r="B16186" s="2669"/>
    </row>
    <row r="16187" spans="2:2" ht="23.25" customHeight="1">
      <c r="B16187" s="2669"/>
    </row>
    <row r="16188" spans="2:2" ht="23.25" customHeight="1">
      <c r="B16188" s="2669"/>
    </row>
    <row r="16189" spans="2:2" ht="23.25" customHeight="1">
      <c r="B16189" s="2669"/>
    </row>
    <row r="16190" spans="2:2" ht="23.25" customHeight="1">
      <c r="B16190" s="2669"/>
    </row>
    <row r="16191" spans="2:2" ht="23.25" customHeight="1">
      <c r="B16191" s="2669"/>
    </row>
    <row r="16192" spans="2:2" ht="23.25" customHeight="1">
      <c r="B16192" s="2669"/>
    </row>
    <row r="16193" spans="2:2" ht="23.25" customHeight="1">
      <c r="B16193" s="2669"/>
    </row>
    <row r="16194" spans="2:2" ht="23.25" customHeight="1">
      <c r="B16194" s="2669"/>
    </row>
    <row r="16195" spans="2:2" ht="23.25" customHeight="1">
      <c r="B16195" s="2669"/>
    </row>
    <row r="16196" spans="2:2" ht="23.25" customHeight="1">
      <c r="B16196" s="2669"/>
    </row>
    <row r="16197" spans="2:2" ht="23.25" customHeight="1">
      <c r="B16197" s="2669"/>
    </row>
    <row r="16198" spans="2:2" ht="23.25" customHeight="1">
      <c r="B16198" s="2669"/>
    </row>
    <row r="16199" spans="2:2" ht="23.25" customHeight="1">
      <c r="B16199" s="2669"/>
    </row>
    <row r="16200" spans="2:2" ht="23.25" customHeight="1">
      <c r="B16200" s="2669"/>
    </row>
    <row r="16201" spans="2:2" ht="23.25" customHeight="1">
      <c r="B16201" s="2669"/>
    </row>
    <row r="16202" spans="2:2" ht="23.25" customHeight="1">
      <c r="B16202" s="2669"/>
    </row>
    <row r="16203" spans="2:2" ht="23.25" customHeight="1">
      <c r="B16203" s="2669"/>
    </row>
    <row r="16204" spans="2:2" ht="23.25" customHeight="1">
      <c r="B16204" s="2669"/>
    </row>
    <row r="16205" spans="2:2" ht="23.25" customHeight="1">
      <c r="B16205" s="2669"/>
    </row>
    <row r="16206" spans="2:2" ht="23.25" customHeight="1">
      <c r="B16206" s="2669"/>
    </row>
    <row r="16207" spans="2:2" ht="23.25" customHeight="1">
      <c r="B16207" s="2669"/>
    </row>
    <row r="16208" spans="2:2" ht="23.25" customHeight="1">
      <c r="B16208" s="2669"/>
    </row>
    <row r="16209" spans="2:2" ht="23.25" customHeight="1">
      <c r="B16209" s="2669"/>
    </row>
    <row r="16210" spans="2:2" ht="23.25" customHeight="1">
      <c r="B16210" s="2669"/>
    </row>
    <row r="16211" spans="2:2" ht="23.25" customHeight="1">
      <c r="B16211" s="2669"/>
    </row>
    <row r="16212" spans="2:2" ht="23.25" customHeight="1">
      <c r="B16212" s="2669"/>
    </row>
    <row r="16213" spans="2:2" ht="23.25" customHeight="1">
      <c r="B16213" s="2669"/>
    </row>
    <row r="16214" spans="2:2" ht="23.25" customHeight="1">
      <c r="B16214" s="2669"/>
    </row>
    <row r="16215" spans="2:2" ht="23.25" customHeight="1">
      <c r="B16215" s="2669"/>
    </row>
    <row r="16216" spans="2:2" ht="23.25" customHeight="1">
      <c r="B16216" s="2669"/>
    </row>
    <row r="16217" spans="2:2" ht="23.25" customHeight="1">
      <c r="B16217" s="2669"/>
    </row>
    <row r="16218" spans="2:2" ht="23.25" customHeight="1">
      <c r="B16218" s="2669"/>
    </row>
    <row r="16219" spans="2:2" ht="23.25" customHeight="1">
      <c r="B16219" s="2669"/>
    </row>
    <row r="16220" spans="2:2" ht="23.25" customHeight="1">
      <c r="B16220" s="2669"/>
    </row>
    <row r="16221" spans="2:2" ht="23.25" customHeight="1">
      <c r="B16221" s="2669"/>
    </row>
    <row r="16222" spans="2:2" ht="23.25" customHeight="1">
      <c r="B16222" s="2669"/>
    </row>
    <row r="16223" spans="2:2" ht="23.25" customHeight="1">
      <c r="B16223" s="2669"/>
    </row>
    <row r="16224" spans="2:2" ht="23.25" customHeight="1">
      <c r="B16224" s="2669"/>
    </row>
    <row r="16225" spans="2:2" ht="23.25" customHeight="1">
      <c r="B16225" s="2669"/>
    </row>
    <row r="16226" spans="2:2" ht="23.25" customHeight="1">
      <c r="B16226" s="2669"/>
    </row>
    <row r="16227" spans="2:2" ht="23.25" customHeight="1">
      <c r="B16227" s="2669"/>
    </row>
    <row r="16228" spans="2:2" ht="23.25" customHeight="1">
      <c r="B16228" s="2669"/>
    </row>
    <row r="16229" spans="2:2" ht="23.25" customHeight="1">
      <c r="B16229" s="2669"/>
    </row>
    <row r="16230" spans="2:2" ht="23.25" customHeight="1">
      <c r="B16230" s="2669"/>
    </row>
    <row r="16231" spans="2:2" ht="23.25" customHeight="1">
      <c r="B16231" s="2669"/>
    </row>
    <row r="16232" spans="2:2" ht="23.25" customHeight="1">
      <c r="B16232" s="2669"/>
    </row>
    <row r="16233" spans="2:2" ht="23.25" customHeight="1">
      <c r="B16233" s="2669"/>
    </row>
    <row r="16234" spans="2:2" ht="23.25" customHeight="1">
      <c r="B16234" s="2669"/>
    </row>
    <row r="16235" spans="2:2" ht="23.25" customHeight="1">
      <c r="B16235" s="2669"/>
    </row>
    <row r="16236" spans="2:2" ht="23.25" customHeight="1">
      <c r="B16236" s="2669"/>
    </row>
    <row r="16237" spans="2:2" ht="23.25" customHeight="1">
      <c r="B16237" s="2669"/>
    </row>
    <row r="16238" spans="2:2" ht="23.25" customHeight="1">
      <c r="B16238" s="2669"/>
    </row>
    <row r="16239" spans="2:2" ht="23.25" customHeight="1">
      <c r="B16239" s="2669"/>
    </row>
    <row r="16240" spans="2:2" ht="23.25" customHeight="1">
      <c r="B16240" s="2669"/>
    </row>
    <row r="16241" spans="2:2" ht="23.25" customHeight="1">
      <c r="B16241" s="2669"/>
    </row>
    <row r="16242" spans="2:2" ht="23.25" customHeight="1">
      <c r="B16242" s="2669"/>
    </row>
    <row r="16243" spans="2:2" ht="23.25" customHeight="1">
      <c r="B16243" s="2669"/>
    </row>
    <row r="16244" spans="2:2" ht="23.25" customHeight="1">
      <c r="B16244" s="2669"/>
    </row>
    <row r="16245" spans="2:2" ht="23.25" customHeight="1">
      <c r="B16245" s="2669"/>
    </row>
    <row r="16246" spans="2:2" ht="23.25" customHeight="1">
      <c r="B16246" s="2669"/>
    </row>
    <row r="16247" spans="2:2" ht="23.25" customHeight="1">
      <c r="B16247" s="2669"/>
    </row>
    <row r="16248" spans="2:2" ht="23.25" customHeight="1">
      <c r="B16248" s="2669"/>
    </row>
    <row r="16249" spans="2:2" ht="23.25" customHeight="1">
      <c r="B16249" s="2669"/>
    </row>
    <row r="16250" spans="2:2" ht="23.25" customHeight="1">
      <c r="B16250" s="2669"/>
    </row>
    <row r="16251" spans="2:2" ht="23.25" customHeight="1">
      <c r="B16251" s="2669"/>
    </row>
    <row r="16252" spans="2:2" ht="23.25" customHeight="1">
      <c r="B16252" s="2669"/>
    </row>
    <row r="16253" spans="2:2" ht="23.25" customHeight="1">
      <c r="B16253" s="2669"/>
    </row>
    <row r="16254" spans="2:2" ht="23.25" customHeight="1">
      <c r="B16254" s="2669"/>
    </row>
    <row r="16255" spans="2:2" ht="23.25" customHeight="1">
      <c r="B16255" s="2669"/>
    </row>
    <row r="16256" spans="2:2" ht="23.25" customHeight="1">
      <c r="B16256" s="2669"/>
    </row>
    <row r="16257" spans="2:2" ht="23.25" customHeight="1">
      <c r="B16257" s="2669"/>
    </row>
    <row r="16258" spans="2:2" ht="23.25" customHeight="1">
      <c r="B16258" s="2669"/>
    </row>
    <row r="16259" spans="2:2" ht="23.25" customHeight="1">
      <c r="B16259" s="2669"/>
    </row>
    <row r="16260" spans="2:2" ht="23.25" customHeight="1">
      <c r="B16260" s="2669"/>
    </row>
    <row r="16261" spans="2:2" ht="23.25" customHeight="1">
      <c r="B16261" s="2669"/>
    </row>
    <row r="16262" spans="2:2" ht="23.25" customHeight="1">
      <c r="B16262" s="2669"/>
    </row>
    <row r="16263" spans="2:2" ht="23.25" customHeight="1">
      <c r="B16263" s="2669"/>
    </row>
    <row r="16264" spans="2:2" ht="23.25" customHeight="1">
      <c r="B16264" s="2669"/>
    </row>
    <row r="16265" spans="2:2" ht="23.25" customHeight="1">
      <c r="B16265" s="2669"/>
    </row>
    <row r="16266" spans="2:2" ht="23.25" customHeight="1">
      <c r="B16266" s="2669"/>
    </row>
    <row r="16267" spans="2:2" ht="23.25" customHeight="1">
      <c r="B16267" s="2669"/>
    </row>
    <row r="16268" spans="2:2" ht="23.25" customHeight="1">
      <c r="B16268" s="2669"/>
    </row>
    <row r="16269" spans="2:2" ht="23.25" customHeight="1">
      <c r="B16269" s="2669"/>
    </row>
    <row r="16270" spans="2:2" ht="23.25" customHeight="1">
      <c r="B16270" s="2669"/>
    </row>
    <row r="16271" spans="2:2" ht="23.25" customHeight="1">
      <c r="B16271" s="2669"/>
    </row>
    <row r="16272" spans="2:2" ht="23.25" customHeight="1">
      <c r="B16272" s="2669"/>
    </row>
    <row r="16273" spans="2:2" ht="23.25" customHeight="1">
      <c r="B16273" s="2669"/>
    </row>
    <row r="16274" spans="2:2" ht="23.25" customHeight="1">
      <c r="B16274" s="2669"/>
    </row>
    <row r="16275" spans="2:2" ht="23.25" customHeight="1">
      <c r="B16275" s="2669"/>
    </row>
    <row r="16276" spans="2:2" ht="23.25" customHeight="1">
      <c r="B16276" s="2669"/>
    </row>
    <row r="16277" spans="2:2" ht="23.25" customHeight="1">
      <c r="B16277" s="2669"/>
    </row>
    <row r="16278" spans="2:2" ht="23.25" customHeight="1">
      <c r="B16278" s="2669"/>
    </row>
    <row r="16279" spans="2:2" ht="23.25" customHeight="1">
      <c r="B16279" s="2669"/>
    </row>
    <row r="16280" spans="2:2" ht="23.25" customHeight="1">
      <c r="B16280" s="2669"/>
    </row>
    <row r="16281" spans="2:2" ht="23.25" customHeight="1">
      <c r="B16281" s="2669"/>
    </row>
    <row r="16282" spans="2:2" ht="23.25" customHeight="1">
      <c r="B16282" s="2669"/>
    </row>
    <row r="16283" spans="2:2" ht="23.25" customHeight="1">
      <c r="B16283" s="2669"/>
    </row>
    <row r="16284" spans="2:2" ht="23.25" customHeight="1">
      <c r="B16284" s="2669"/>
    </row>
    <row r="16285" spans="2:2" ht="23.25" customHeight="1">
      <c r="B16285" s="2669"/>
    </row>
    <row r="16286" spans="2:2" ht="23.25" customHeight="1">
      <c r="B16286" s="2669"/>
    </row>
    <row r="16287" spans="2:2" ht="23.25" customHeight="1">
      <c r="B16287" s="2669"/>
    </row>
    <row r="16288" spans="2:2" ht="23.25" customHeight="1">
      <c r="B16288" s="2669"/>
    </row>
    <row r="16289" spans="2:2" ht="23.25" customHeight="1">
      <c r="B16289" s="2669"/>
    </row>
    <row r="16290" spans="2:2" ht="23.25" customHeight="1">
      <c r="B16290" s="2669"/>
    </row>
    <row r="16291" spans="2:2" ht="23.25" customHeight="1">
      <c r="B16291" s="2669"/>
    </row>
    <row r="16292" spans="2:2" ht="23.25" customHeight="1">
      <c r="B16292" s="2669"/>
    </row>
    <row r="16293" spans="2:2" ht="23.25" customHeight="1">
      <c r="B16293" s="2669"/>
    </row>
    <row r="16294" spans="2:2" ht="23.25" customHeight="1">
      <c r="B16294" s="2669"/>
    </row>
    <row r="16295" spans="2:2" ht="23.25" customHeight="1">
      <c r="B16295" s="2669"/>
    </row>
    <row r="16296" spans="2:2" ht="23.25" customHeight="1">
      <c r="B16296" s="2669"/>
    </row>
    <row r="16297" spans="2:2" ht="23.25" customHeight="1">
      <c r="B16297" s="2669"/>
    </row>
    <row r="16298" spans="2:2" ht="23.25" customHeight="1">
      <c r="B16298" s="2669"/>
    </row>
    <row r="16299" spans="2:2" ht="23.25" customHeight="1">
      <c r="B16299" s="2669"/>
    </row>
    <row r="16300" spans="2:2" ht="23.25" customHeight="1">
      <c r="B16300" s="2669"/>
    </row>
    <row r="16301" spans="2:2" ht="23.25" customHeight="1">
      <c r="B16301" s="2669"/>
    </row>
    <row r="16302" spans="2:2" ht="23.25" customHeight="1">
      <c r="B16302" s="2669"/>
    </row>
    <row r="16303" spans="2:2" ht="23.25" customHeight="1">
      <c r="B16303" s="2669"/>
    </row>
    <row r="16304" spans="2:2" ht="23.25" customHeight="1">
      <c r="B16304" s="2669"/>
    </row>
    <row r="16305" spans="2:2" ht="23.25" customHeight="1">
      <c r="B16305" s="2669"/>
    </row>
    <row r="16306" spans="2:2" ht="23.25" customHeight="1">
      <c r="B16306" s="2669"/>
    </row>
    <row r="16307" spans="2:2" ht="23.25" customHeight="1">
      <c r="B16307" s="2669"/>
    </row>
    <row r="16308" spans="2:2" ht="23.25" customHeight="1">
      <c r="B16308" s="2669"/>
    </row>
    <row r="16309" spans="2:2" ht="23.25" customHeight="1">
      <c r="B16309" s="2669"/>
    </row>
    <row r="16310" spans="2:2" ht="23.25" customHeight="1">
      <c r="B16310" s="2669"/>
    </row>
    <row r="16311" spans="2:2" ht="23.25" customHeight="1">
      <c r="B16311" s="2669"/>
    </row>
    <row r="16312" spans="2:2" ht="23.25" customHeight="1">
      <c r="B16312" s="2669"/>
    </row>
    <row r="16313" spans="2:2" ht="23.25" customHeight="1">
      <c r="B16313" s="2669"/>
    </row>
    <row r="16314" spans="2:2" ht="23.25" customHeight="1">
      <c r="B16314" s="2669"/>
    </row>
    <row r="16315" spans="2:2" ht="23.25" customHeight="1">
      <c r="B16315" s="2669"/>
    </row>
    <row r="16316" spans="2:2" ht="23.25" customHeight="1">
      <c r="B16316" s="2669"/>
    </row>
    <row r="16317" spans="2:2" ht="23.25" customHeight="1">
      <c r="B16317" s="2669"/>
    </row>
    <row r="16318" spans="2:2" ht="23.25" customHeight="1">
      <c r="B16318" s="2669"/>
    </row>
    <row r="16319" spans="2:2" ht="23.25" customHeight="1">
      <c r="B16319" s="2669"/>
    </row>
    <row r="16320" spans="2:2" ht="23.25" customHeight="1">
      <c r="B16320" s="2669"/>
    </row>
    <row r="16321" spans="2:2" ht="23.25" customHeight="1">
      <c r="B16321" s="2669"/>
    </row>
    <row r="16322" spans="2:2" ht="23.25" customHeight="1">
      <c r="B16322" s="2669"/>
    </row>
    <row r="16323" spans="2:2" ht="23.25" customHeight="1">
      <c r="B16323" s="2669"/>
    </row>
    <row r="16324" spans="2:2" ht="23.25" customHeight="1">
      <c r="B16324" s="2669"/>
    </row>
    <row r="16325" spans="2:2" ht="23.25" customHeight="1">
      <c r="B16325" s="2669"/>
    </row>
    <row r="16326" spans="2:2" ht="23.25" customHeight="1">
      <c r="B16326" s="2669"/>
    </row>
    <row r="16327" spans="2:2" ht="23.25" customHeight="1">
      <c r="B16327" s="2669"/>
    </row>
    <row r="16328" spans="2:2" ht="23.25" customHeight="1">
      <c r="B16328" s="2669"/>
    </row>
    <row r="16329" spans="2:2" ht="23.25" customHeight="1">
      <c r="B16329" s="2669"/>
    </row>
    <row r="16330" spans="2:2" ht="23.25" customHeight="1">
      <c r="B16330" s="2669"/>
    </row>
    <row r="16331" spans="2:2" ht="23.25" customHeight="1">
      <c r="B16331" s="2669"/>
    </row>
    <row r="16332" spans="2:2" ht="23.25" customHeight="1">
      <c r="B16332" s="2669"/>
    </row>
    <row r="16333" spans="2:2" ht="23.25" customHeight="1">
      <c r="B16333" s="2669"/>
    </row>
    <row r="16334" spans="2:2" ht="23.25" customHeight="1">
      <c r="B16334" s="2669"/>
    </row>
    <row r="16335" spans="2:2" ht="23.25" customHeight="1">
      <c r="B16335" s="2669"/>
    </row>
    <row r="16336" spans="2:2" ht="23.25" customHeight="1">
      <c r="B16336" s="2669"/>
    </row>
    <row r="16337" spans="2:2" ht="23.25" customHeight="1">
      <c r="B16337" s="2669"/>
    </row>
    <row r="16338" spans="2:2" ht="23.25" customHeight="1">
      <c r="B16338" s="2669"/>
    </row>
    <row r="16339" spans="2:2" ht="23.25" customHeight="1">
      <c r="B16339" s="2669"/>
    </row>
    <row r="16340" spans="2:2" ht="23.25" customHeight="1">
      <c r="B16340" s="2669"/>
    </row>
    <row r="16341" spans="2:2" ht="23.25" customHeight="1">
      <c r="B16341" s="2669"/>
    </row>
    <row r="16342" spans="2:2" ht="23.25" customHeight="1">
      <c r="B16342" s="2669"/>
    </row>
    <row r="16343" spans="2:2" ht="23.25" customHeight="1">
      <c r="B16343" s="2669"/>
    </row>
    <row r="16344" spans="2:2" ht="23.25" customHeight="1">
      <c r="B16344" s="2669"/>
    </row>
    <row r="16345" spans="2:2" ht="23.25" customHeight="1">
      <c r="B16345" s="2669"/>
    </row>
    <row r="16346" spans="2:2" ht="23.25" customHeight="1">
      <c r="B16346" s="2669"/>
    </row>
    <row r="16347" spans="2:2" ht="23.25" customHeight="1">
      <c r="B16347" s="2669"/>
    </row>
    <row r="16348" spans="2:2" ht="23.25" customHeight="1">
      <c r="B16348" s="2669"/>
    </row>
    <row r="16349" spans="2:2" ht="23.25" customHeight="1">
      <c r="B16349" s="2669"/>
    </row>
    <row r="16350" spans="2:2" ht="23.25" customHeight="1">
      <c r="B16350" s="2669"/>
    </row>
    <row r="16351" spans="2:2" ht="23.25" customHeight="1">
      <c r="B16351" s="2669"/>
    </row>
    <row r="16352" spans="2:2" ht="23.25" customHeight="1">
      <c r="B16352" s="2669"/>
    </row>
    <row r="16353" spans="2:2" ht="23.25" customHeight="1">
      <c r="B16353" s="2669"/>
    </row>
    <row r="16354" spans="2:2" ht="23.25" customHeight="1">
      <c r="B16354" s="2669"/>
    </row>
    <row r="16355" spans="2:2" ht="23.25" customHeight="1">
      <c r="B16355" s="2669"/>
    </row>
    <row r="16356" spans="2:2" ht="23.25" customHeight="1">
      <c r="B16356" s="2669"/>
    </row>
    <row r="16357" spans="2:2" ht="23.25" customHeight="1">
      <c r="B16357" s="2669"/>
    </row>
    <row r="16358" spans="2:2" ht="23.25" customHeight="1">
      <c r="B16358" s="2669"/>
    </row>
    <row r="16359" spans="2:2" ht="23.25" customHeight="1">
      <c r="B16359" s="2669"/>
    </row>
    <row r="16360" spans="2:2" ht="23.25" customHeight="1">
      <c r="B16360" s="2669"/>
    </row>
    <row r="16361" spans="2:2" ht="23.25" customHeight="1">
      <c r="B16361" s="2669"/>
    </row>
    <row r="16362" spans="2:2" ht="23.25" customHeight="1">
      <c r="B16362" s="2669"/>
    </row>
    <row r="16363" spans="2:2" ht="23.25" customHeight="1">
      <c r="B16363" s="2669"/>
    </row>
    <row r="16364" spans="2:2" ht="23.25" customHeight="1">
      <c r="B16364" s="2669"/>
    </row>
    <row r="16365" spans="2:2" ht="23.25" customHeight="1">
      <c r="B16365" s="2669"/>
    </row>
    <row r="16366" spans="2:2" ht="23.25" customHeight="1">
      <c r="B16366" s="2669"/>
    </row>
    <row r="16367" spans="2:2" ht="23.25" customHeight="1">
      <c r="B16367" s="2669"/>
    </row>
    <row r="16368" spans="2:2" ht="23.25" customHeight="1">
      <c r="B16368" s="2669"/>
    </row>
    <row r="16369" spans="2:2" ht="23.25" customHeight="1">
      <c r="B16369" s="2669"/>
    </row>
    <row r="16370" spans="2:2" ht="23.25" customHeight="1">
      <c r="B16370" s="2669"/>
    </row>
    <row r="16371" spans="2:2" ht="23.25" customHeight="1">
      <c r="B16371" s="2669"/>
    </row>
    <row r="16372" spans="2:2" ht="23.25" customHeight="1">
      <c r="B16372" s="2669"/>
    </row>
    <row r="16373" spans="2:2" ht="23.25" customHeight="1">
      <c r="B16373" s="2669"/>
    </row>
    <row r="16374" spans="2:2" ht="23.25" customHeight="1">
      <c r="B16374" s="2669"/>
    </row>
    <row r="16375" spans="2:2" ht="23.25" customHeight="1">
      <c r="B16375" s="2669"/>
    </row>
    <row r="16376" spans="2:2" ht="23.25" customHeight="1">
      <c r="B16376" s="2669"/>
    </row>
    <row r="16377" spans="2:2" ht="23.25" customHeight="1">
      <c r="B16377" s="2669"/>
    </row>
    <row r="16378" spans="2:2" ht="23.25" customHeight="1">
      <c r="B16378" s="2669"/>
    </row>
    <row r="16379" spans="2:2" ht="23.25" customHeight="1">
      <c r="B16379" s="2669"/>
    </row>
    <row r="16380" spans="2:2" ht="23.25" customHeight="1">
      <c r="B16380" s="2669"/>
    </row>
    <row r="16381" spans="2:2" ht="23.25" customHeight="1">
      <c r="B16381" s="2669"/>
    </row>
    <row r="16382" spans="2:2" ht="23.25" customHeight="1">
      <c r="B16382" s="2669"/>
    </row>
    <row r="16383" spans="2:2" ht="23.25" customHeight="1">
      <c r="B16383" s="2669"/>
    </row>
    <row r="16384" spans="2:2" ht="23.25" customHeight="1">
      <c r="B16384" s="2669"/>
    </row>
    <row r="16385" spans="2:2" ht="23.25" customHeight="1">
      <c r="B16385" s="2669"/>
    </row>
    <row r="16386" spans="2:2" ht="23.25" customHeight="1">
      <c r="B16386" s="2669"/>
    </row>
    <row r="16387" spans="2:2" ht="23.25" customHeight="1">
      <c r="B16387" s="2669"/>
    </row>
    <row r="16388" spans="2:2" ht="23.25" customHeight="1">
      <c r="B16388" s="2669"/>
    </row>
    <row r="16389" spans="2:2" ht="23.25" customHeight="1">
      <c r="B16389" s="2669"/>
    </row>
    <row r="16390" spans="2:2" ht="23.25" customHeight="1">
      <c r="B16390" s="2669"/>
    </row>
    <row r="16391" spans="2:2" ht="23.25" customHeight="1">
      <c r="B16391" s="2669"/>
    </row>
    <row r="16392" spans="2:2" ht="23.25" customHeight="1">
      <c r="B16392" s="2669"/>
    </row>
    <row r="16393" spans="2:2" ht="23.25" customHeight="1">
      <c r="B16393" s="2669"/>
    </row>
    <row r="16394" spans="2:2" ht="23.25" customHeight="1">
      <c r="B16394" s="2669"/>
    </row>
    <row r="16395" spans="2:2" ht="23.25" customHeight="1">
      <c r="B16395" s="2669"/>
    </row>
    <row r="16396" spans="2:2" ht="23.25" customHeight="1">
      <c r="B16396" s="2669"/>
    </row>
    <row r="16397" spans="2:2" ht="23.25" customHeight="1">
      <c r="B16397" s="2669"/>
    </row>
    <row r="16398" spans="2:2" ht="23.25" customHeight="1">
      <c r="B16398" s="2669"/>
    </row>
    <row r="16399" spans="2:2" ht="23.25" customHeight="1">
      <c r="B16399" s="2669"/>
    </row>
    <row r="16400" spans="2:2" ht="23.25" customHeight="1">
      <c r="B16400" s="2669"/>
    </row>
    <row r="16401" spans="2:2" ht="23.25" customHeight="1">
      <c r="B16401" s="2669"/>
    </row>
    <row r="16402" spans="2:2" ht="23.25" customHeight="1">
      <c r="B16402" s="2669"/>
    </row>
    <row r="16403" spans="2:2" ht="23.25" customHeight="1">
      <c r="B16403" s="2669"/>
    </row>
    <row r="16404" spans="2:2" ht="23.25" customHeight="1">
      <c r="B16404" s="2669"/>
    </row>
    <row r="16405" spans="2:2" ht="23.25" customHeight="1">
      <c r="B16405" s="2669"/>
    </row>
    <row r="16406" spans="2:2" ht="23.25" customHeight="1">
      <c r="B16406" s="2669"/>
    </row>
    <row r="16407" spans="2:2" ht="23.25" customHeight="1">
      <c r="B16407" s="2669"/>
    </row>
    <row r="16408" spans="2:2" ht="23.25" customHeight="1">
      <c r="B16408" s="2669"/>
    </row>
    <row r="16409" spans="2:2" ht="23.25" customHeight="1">
      <c r="B16409" s="2669"/>
    </row>
    <row r="16410" spans="2:2" ht="23.25" customHeight="1">
      <c r="B16410" s="2669"/>
    </row>
    <row r="16411" spans="2:2" ht="23.25" customHeight="1">
      <c r="B16411" s="2669"/>
    </row>
    <row r="16412" spans="2:2" ht="23.25" customHeight="1">
      <c r="B16412" s="2669"/>
    </row>
    <row r="16413" spans="2:2" ht="23.25" customHeight="1">
      <c r="B16413" s="2669"/>
    </row>
    <row r="16414" spans="2:2" ht="23.25" customHeight="1">
      <c r="B16414" s="2669"/>
    </row>
    <row r="16415" spans="2:2" ht="23.25" customHeight="1">
      <c r="B16415" s="2669"/>
    </row>
    <row r="16416" spans="2:2" ht="23.25" customHeight="1">
      <c r="B16416" s="2669"/>
    </row>
    <row r="16417" spans="2:2" ht="23.25" customHeight="1">
      <c r="B16417" s="2669"/>
    </row>
    <row r="16418" spans="2:2" ht="23.25" customHeight="1">
      <c r="B16418" s="2669"/>
    </row>
    <row r="16419" spans="2:2" ht="23.25" customHeight="1">
      <c r="B16419" s="2669"/>
    </row>
    <row r="16420" spans="2:2" ht="23.25" customHeight="1">
      <c r="B16420" s="2669"/>
    </row>
    <row r="16421" spans="2:2" ht="23.25" customHeight="1">
      <c r="B16421" s="2669"/>
    </row>
    <row r="16422" spans="2:2" ht="23.25" customHeight="1">
      <c r="B16422" s="2669"/>
    </row>
    <row r="16423" spans="2:2" ht="23.25" customHeight="1">
      <c r="B16423" s="2669"/>
    </row>
    <row r="16424" spans="2:2" ht="23.25" customHeight="1">
      <c r="B16424" s="2669"/>
    </row>
    <row r="16425" spans="2:2" ht="23.25" customHeight="1">
      <c r="B16425" s="2669"/>
    </row>
    <row r="16426" spans="2:2" ht="23.25" customHeight="1">
      <c r="B16426" s="2669"/>
    </row>
    <row r="16427" spans="2:2" ht="23.25" customHeight="1">
      <c r="B16427" s="2669"/>
    </row>
    <row r="16428" spans="2:2" ht="23.25" customHeight="1">
      <c r="B16428" s="2669"/>
    </row>
    <row r="16429" spans="2:2" ht="23.25" customHeight="1">
      <c r="B16429" s="2669"/>
    </row>
    <row r="16430" spans="2:2" ht="23.25" customHeight="1">
      <c r="B16430" s="2669"/>
    </row>
    <row r="16431" spans="2:2" ht="23.25" customHeight="1">
      <c r="B16431" s="2669"/>
    </row>
    <row r="16432" spans="2:2" ht="23.25" customHeight="1">
      <c r="B16432" s="2669"/>
    </row>
    <row r="16433" spans="2:2" ht="23.25" customHeight="1">
      <c r="B16433" s="2669"/>
    </row>
    <row r="16434" spans="2:2" ht="23.25" customHeight="1">
      <c r="B16434" s="2669"/>
    </row>
    <row r="16435" spans="2:2" ht="23.25" customHeight="1">
      <c r="B16435" s="2669"/>
    </row>
    <row r="16436" spans="2:2" ht="23.25" customHeight="1">
      <c r="B16436" s="2669"/>
    </row>
    <row r="16437" spans="2:2" ht="23.25" customHeight="1">
      <c r="B16437" s="2669"/>
    </row>
    <row r="16438" spans="2:2" ht="23.25" customHeight="1">
      <c r="B16438" s="2669"/>
    </row>
    <row r="16439" spans="2:2" ht="23.25" customHeight="1">
      <c r="B16439" s="2669"/>
    </row>
    <row r="16440" spans="2:2" ht="23.25" customHeight="1">
      <c r="B16440" s="2669"/>
    </row>
    <row r="16441" spans="2:2" ht="23.25" customHeight="1">
      <c r="B16441" s="2669"/>
    </row>
    <row r="16442" spans="2:2" ht="23.25" customHeight="1">
      <c r="B16442" s="2669"/>
    </row>
    <row r="16443" spans="2:2" ht="23.25" customHeight="1">
      <c r="B16443" s="2669"/>
    </row>
    <row r="16444" spans="2:2" ht="23.25" customHeight="1">
      <c r="B16444" s="2669"/>
    </row>
    <row r="16445" spans="2:2" ht="23.25" customHeight="1">
      <c r="B16445" s="2669"/>
    </row>
    <row r="16446" spans="2:2" ht="23.25" customHeight="1">
      <c r="B16446" s="2669"/>
    </row>
    <row r="16447" spans="2:2" ht="23.25" customHeight="1">
      <c r="B16447" s="2669"/>
    </row>
    <row r="16448" spans="2:2" ht="23.25" customHeight="1">
      <c r="B16448" s="2669"/>
    </row>
    <row r="16449" spans="2:2" ht="23.25" customHeight="1">
      <c r="B16449" s="2669"/>
    </row>
    <row r="16450" spans="2:2" ht="23.25" customHeight="1">
      <c r="B16450" s="2669"/>
    </row>
    <row r="16451" spans="2:2" ht="23.25" customHeight="1">
      <c r="B16451" s="2669"/>
    </row>
    <row r="16452" spans="2:2" ht="23.25" customHeight="1">
      <c r="B16452" s="2669"/>
    </row>
    <row r="16453" spans="2:2" ht="23.25" customHeight="1">
      <c r="B16453" s="2669"/>
    </row>
    <row r="16454" spans="2:2" ht="23.25" customHeight="1">
      <c r="B16454" s="2669"/>
    </row>
    <row r="16455" spans="2:2" ht="23.25" customHeight="1">
      <c r="B16455" s="2669"/>
    </row>
    <row r="16456" spans="2:2" ht="23.25" customHeight="1">
      <c r="B16456" s="2669"/>
    </row>
    <row r="16457" spans="2:2" ht="23.25" customHeight="1">
      <c r="B16457" s="2669"/>
    </row>
    <row r="16458" spans="2:2" ht="23.25" customHeight="1">
      <c r="B16458" s="2669"/>
    </row>
    <row r="16459" spans="2:2" ht="23.25" customHeight="1">
      <c r="B16459" s="2669"/>
    </row>
    <row r="16460" spans="2:2" ht="23.25" customHeight="1">
      <c r="B16460" s="2669"/>
    </row>
    <row r="16461" spans="2:2" ht="23.25" customHeight="1">
      <c r="B16461" s="2669"/>
    </row>
    <row r="16462" spans="2:2" ht="23.25" customHeight="1">
      <c r="B16462" s="2669"/>
    </row>
    <row r="16463" spans="2:2" ht="23.25" customHeight="1">
      <c r="B16463" s="2669"/>
    </row>
    <row r="16464" spans="2:2" ht="23.25" customHeight="1">
      <c r="B16464" s="2669"/>
    </row>
    <row r="16465" spans="2:2" ht="23.25" customHeight="1">
      <c r="B16465" s="2669"/>
    </row>
    <row r="16466" spans="2:2" ht="23.25" customHeight="1">
      <c r="B16466" s="2669"/>
    </row>
    <row r="16467" spans="2:2" ht="23.25" customHeight="1">
      <c r="B16467" s="2669"/>
    </row>
    <row r="16468" spans="2:2" ht="23.25" customHeight="1">
      <c r="B16468" s="2669"/>
    </row>
    <row r="16469" spans="2:2" ht="23.25" customHeight="1">
      <c r="B16469" s="2669"/>
    </row>
    <row r="16470" spans="2:2" ht="23.25" customHeight="1">
      <c r="B16470" s="2669"/>
    </row>
    <row r="16471" spans="2:2" ht="23.25" customHeight="1">
      <c r="B16471" s="2669"/>
    </row>
    <row r="16472" spans="2:2" ht="23.25" customHeight="1">
      <c r="B16472" s="2669"/>
    </row>
    <row r="16473" spans="2:2" ht="23.25" customHeight="1">
      <c r="B16473" s="2669"/>
    </row>
    <row r="16474" spans="2:2" ht="23.25" customHeight="1">
      <c r="B16474" s="2669"/>
    </row>
    <row r="16475" spans="2:2" ht="23.25" customHeight="1">
      <c r="B16475" s="2669"/>
    </row>
    <row r="16476" spans="2:2" ht="23.25" customHeight="1">
      <c r="B16476" s="2669"/>
    </row>
    <row r="16477" spans="2:2" ht="23.25" customHeight="1">
      <c r="B16477" s="2669"/>
    </row>
    <row r="16478" spans="2:2" ht="23.25" customHeight="1">
      <c r="B16478" s="2669"/>
    </row>
    <row r="16479" spans="2:2" ht="23.25" customHeight="1">
      <c r="B16479" s="2669"/>
    </row>
    <row r="16480" spans="2:2" ht="23.25" customHeight="1">
      <c r="B16480" s="2669"/>
    </row>
    <row r="16481" spans="2:2" ht="23.25" customHeight="1">
      <c r="B16481" s="2669"/>
    </row>
    <row r="16482" spans="2:2" ht="23.25" customHeight="1">
      <c r="B16482" s="2669"/>
    </row>
    <row r="16483" spans="2:2" ht="23.25" customHeight="1">
      <c r="B16483" s="2669"/>
    </row>
    <row r="16484" spans="2:2" ht="23.25" customHeight="1">
      <c r="B16484" s="2669"/>
    </row>
    <row r="16485" spans="2:2" ht="23.25" customHeight="1">
      <c r="B16485" s="2669"/>
    </row>
    <row r="16486" spans="2:2" ht="23.25" customHeight="1">
      <c r="B16486" s="2669"/>
    </row>
    <row r="16487" spans="2:2" ht="23.25" customHeight="1">
      <c r="B16487" s="2669"/>
    </row>
    <row r="16488" spans="2:2" ht="23.25" customHeight="1">
      <c r="B16488" s="2669"/>
    </row>
    <row r="16489" spans="2:2" ht="23.25" customHeight="1">
      <c r="B16489" s="2669"/>
    </row>
    <row r="16490" spans="2:2" ht="23.25" customHeight="1">
      <c r="B16490" s="2669"/>
    </row>
    <row r="16491" spans="2:2" ht="23.25" customHeight="1">
      <c r="B16491" s="2669"/>
    </row>
    <row r="16492" spans="2:2" ht="23.25" customHeight="1">
      <c r="B16492" s="2669"/>
    </row>
    <row r="16493" spans="2:2" ht="23.25" customHeight="1">
      <c r="B16493" s="2669"/>
    </row>
    <row r="16494" spans="2:2" ht="23.25" customHeight="1">
      <c r="B16494" s="2669"/>
    </row>
    <row r="16495" spans="2:2" ht="23.25" customHeight="1">
      <c r="B16495" s="2669"/>
    </row>
    <row r="16496" spans="2:2" ht="23.25" customHeight="1">
      <c r="B16496" s="2669"/>
    </row>
    <row r="16497" spans="2:2" ht="23.25" customHeight="1">
      <c r="B16497" s="2669"/>
    </row>
    <row r="16498" spans="2:2" ht="23.25" customHeight="1">
      <c r="B16498" s="2669"/>
    </row>
    <row r="16499" spans="2:2" ht="23.25" customHeight="1">
      <c r="B16499" s="2669"/>
    </row>
    <row r="16500" spans="2:2" ht="23.25" customHeight="1">
      <c r="B16500" s="2669"/>
    </row>
    <row r="16501" spans="2:2" ht="23.25" customHeight="1">
      <c r="B16501" s="2669"/>
    </row>
    <row r="16502" spans="2:2" ht="23.25" customHeight="1">
      <c r="B16502" s="2669"/>
    </row>
    <row r="16503" spans="2:2" ht="23.25" customHeight="1">
      <c r="B16503" s="2669"/>
    </row>
    <row r="16504" spans="2:2" ht="23.25" customHeight="1">
      <c r="B16504" s="2669"/>
    </row>
    <row r="16505" spans="2:2" ht="23.25" customHeight="1">
      <c r="B16505" s="2669"/>
    </row>
    <row r="16506" spans="2:2" ht="23.25" customHeight="1">
      <c r="B16506" s="2669"/>
    </row>
    <row r="16507" spans="2:2" ht="23.25" customHeight="1">
      <c r="B16507" s="2669"/>
    </row>
    <row r="16508" spans="2:2" ht="23.25" customHeight="1">
      <c r="B16508" s="2669"/>
    </row>
    <row r="16509" spans="2:2" ht="23.25" customHeight="1">
      <c r="B16509" s="2669"/>
    </row>
    <row r="16510" spans="2:2" ht="23.25" customHeight="1">
      <c r="B16510" s="2669"/>
    </row>
    <row r="16511" spans="2:2" ht="23.25" customHeight="1">
      <c r="B16511" s="2669"/>
    </row>
    <row r="16512" spans="2:2" ht="23.25" customHeight="1">
      <c r="B16512" s="2669"/>
    </row>
    <row r="16513" spans="2:2" ht="23.25" customHeight="1">
      <c r="B16513" s="2669"/>
    </row>
    <row r="16514" spans="2:2" ht="23.25" customHeight="1">
      <c r="B16514" s="2669"/>
    </row>
    <row r="16515" spans="2:2" ht="23.25" customHeight="1">
      <c r="B16515" s="2669"/>
    </row>
    <row r="16516" spans="2:2" ht="23.25" customHeight="1">
      <c r="B16516" s="2669"/>
    </row>
    <row r="16517" spans="2:2" ht="23.25" customHeight="1">
      <c r="B16517" s="2669"/>
    </row>
    <row r="16518" spans="2:2" ht="23.25" customHeight="1">
      <c r="B16518" s="2669"/>
    </row>
    <row r="16519" spans="2:2" ht="23.25" customHeight="1">
      <c r="B16519" s="2669"/>
    </row>
    <row r="16520" spans="2:2" ht="23.25" customHeight="1">
      <c r="B16520" s="2669"/>
    </row>
    <row r="16521" spans="2:2" ht="23.25" customHeight="1">
      <c r="B16521" s="2669"/>
    </row>
    <row r="16522" spans="2:2" ht="23.25" customHeight="1">
      <c r="B16522" s="2669"/>
    </row>
    <row r="16523" spans="2:2" ht="23.25" customHeight="1">
      <c r="B16523" s="2669"/>
    </row>
    <row r="16524" spans="2:2" ht="23.25" customHeight="1">
      <c r="B16524" s="2669"/>
    </row>
    <row r="16525" spans="2:2" ht="23.25" customHeight="1">
      <c r="B16525" s="2669"/>
    </row>
    <row r="16526" spans="2:2" ht="23.25" customHeight="1">
      <c r="B16526" s="2669"/>
    </row>
    <row r="16527" spans="2:2" ht="23.25" customHeight="1">
      <c r="B16527" s="2669"/>
    </row>
    <row r="16528" spans="2:2" ht="23.25" customHeight="1">
      <c r="B16528" s="2669"/>
    </row>
    <row r="16529" spans="2:2" ht="23.25" customHeight="1">
      <c r="B16529" s="2669"/>
    </row>
    <row r="16530" spans="2:2" ht="23.25" customHeight="1">
      <c r="B16530" s="2669"/>
    </row>
    <row r="16531" spans="2:2" ht="23.25" customHeight="1">
      <c r="B16531" s="2669"/>
    </row>
    <row r="16532" spans="2:2" ht="23.25" customHeight="1">
      <c r="B16532" s="2669"/>
    </row>
    <row r="16533" spans="2:2" ht="23.25" customHeight="1">
      <c r="B16533" s="2669"/>
    </row>
    <row r="16534" spans="2:2" ht="23.25" customHeight="1">
      <c r="B16534" s="2669"/>
    </row>
    <row r="16535" spans="2:2" ht="23.25" customHeight="1">
      <c r="B16535" s="2669"/>
    </row>
    <row r="16536" spans="2:2" ht="23.25" customHeight="1">
      <c r="B16536" s="2669"/>
    </row>
    <row r="16537" spans="2:2" ht="23.25" customHeight="1">
      <c r="B16537" s="2669"/>
    </row>
    <row r="16538" spans="2:2" ht="23.25" customHeight="1">
      <c r="B16538" s="2669"/>
    </row>
    <row r="16539" spans="2:2" ht="23.25" customHeight="1">
      <c r="B16539" s="2669"/>
    </row>
    <row r="16540" spans="2:2" ht="23.25" customHeight="1">
      <c r="B16540" s="2669"/>
    </row>
    <row r="16541" spans="2:2" ht="23.25" customHeight="1">
      <c r="B16541" s="2669"/>
    </row>
    <row r="16542" spans="2:2" ht="23.25" customHeight="1">
      <c r="B16542" s="2669"/>
    </row>
    <row r="16543" spans="2:2" ht="23.25" customHeight="1">
      <c r="B16543" s="2669"/>
    </row>
    <row r="16544" spans="2:2" ht="23.25" customHeight="1">
      <c r="B16544" s="2669"/>
    </row>
    <row r="16545" spans="2:2" ht="23.25" customHeight="1">
      <c r="B16545" s="2669"/>
    </row>
    <row r="16546" spans="2:2" ht="23.25" customHeight="1">
      <c r="B16546" s="2669"/>
    </row>
    <row r="16547" spans="2:2" ht="23.25" customHeight="1">
      <c r="B16547" s="2669"/>
    </row>
    <row r="16548" spans="2:2" ht="23.25" customHeight="1">
      <c r="B16548" s="2669"/>
    </row>
    <row r="16549" spans="2:2" ht="23.25" customHeight="1">
      <c r="B16549" s="2669"/>
    </row>
    <row r="16550" spans="2:2" ht="23.25" customHeight="1">
      <c r="B16550" s="2669"/>
    </row>
    <row r="16551" spans="2:2" ht="23.25" customHeight="1">
      <c r="B16551" s="2669"/>
    </row>
    <row r="16552" spans="2:2" ht="23.25" customHeight="1">
      <c r="B16552" s="2669"/>
    </row>
    <row r="16553" spans="2:2" ht="23.25" customHeight="1">
      <c r="B16553" s="2669"/>
    </row>
    <row r="16554" spans="2:2" ht="23.25" customHeight="1">
      <c r="B16554" s="2669"/>
    </row>
    <row r="16555" spans="2:2" ht="23.25" customHeight="1">
      <c r="B16555" s="2669"/>
    </row>
    <row r="16556" spans="2:2" ht="23.25" customHeight="1">
      <c r="B16556" s="2669"/>
    </row>
    <row r="16557" spans="2:2" ht="23.25" customHeight="1">
      <c r="B16557" s="2669"/>
    </row>
    <row r="16558" spans="2:2" ht="23.25" customHeight="1">
      <c r="B16558" s="2669"/>
    </row>
    <row r="16559" spans="2:2" ht="23.25" customHeight="1">
      <c r="B16559" s="2669"/>
    </row>
    <row r="16560" spans="2:2" ht="23.25" customHeight="1">
      <c r="B16560" s="2669"/>
    </row>
    <row r="16561" spans="2:2" ht="23.25" customHeight="1">
      <c r="B16561" s="2669"/>
    </row>
    <row r="16562" spans="2:2" ht="23.25" customHeight="1">
      <c r="B16562" s="2669"/>
    </row>
    <row r="16563" spans="2:2" ht="23.25" customHeight="1">
      <c r="B16563" s="2669"/>
    </row>
    <row r="16564" spans="2:2" ht="23.25" customHeight="1">
      <c r="B16564" s="2669"/>
    </row>
    <row r="16565" spans="2:2" ht="23.25" customHeight="1">
      <c r="B16565" s="2669"/>
    </row>
    <row r="16566" spans="2:2" ht="23.25" customHeight="1">
      <c r="B16566" s="2669"/>
    </row>
    <row r="16567" spans="2:2" ht="23.25" customHeight="1">
      <c r="B16567" s="2669"/>
    </row>
    <row r="16568" spans="2:2" ht="23.25" customHeight="1">
      <c r="B16568" s="2669"/>
    </row>
    <row r="16569" spans="2:2" ht="23.25" customHeight="1">
      <c r="B16569" s="2669"/>
    </row>
    <row r="16570" spans="2:2" ht="23.25" customHeight="1">
      <c r="B16570" s="2669"/>
    </row>
    <row r="16571" spans="2:2" ht="23.25" customHeight="1">
      <c r="B16571" s="2669"/>
    </row>
    <row r="16572" spans="2:2" ht="23.25" customHeight="1">
      <c r="B16572" s="2669"/>
    </row>
    <row r="16573" spans="2:2" ht="23.25" customHeight="1">
      <c r="B16573" s="2669"/>
    </row>
    <row r="16574" spans="2:2" ht="23.25" customHeight="1">
      <c r="B16574" s="2669"/>
    </row>
    <row r="16575" spans="2:2" ht="23.25" customHeight="1">
      <c r="B16575" s="2669"/>
    </row>
    <row r="16576" spans="2:2" ht="23.25" customHeight="1">
      <c r="B16576" s="2669"/>
    </row>
    <row r="16577" spans="2:2" ht="23.25" customHeight="1">
      <c r="B16577" s="2669"/>
    </row>
    <row r="16578" spans="2:2" ht="23.25" customHeight="1">
      <c r="B16578" s="2669"/>
    </row>
    <row r="16579" spans="2:2" ht="23.25" customHeight="1">
      <c r="B16579" s="2669"/>
    </row>
    <row r="16580" spans="2:2" ht="23.25" customHeight="1">
      <c r="B16580" s="2669"/>
    </row>
    <row r="16581" spans="2:2" ht="23.25" customHeight="1">
      <c r="B16581" s="2669"/>
    </row>
    <row r="16582" spans="2:2" ht="23.25" customHeight="1">
      <c r="B16582" s="2669"/>
    </row>
    <row r="16583" spans="2:2" ht="23.25" customHeight="1">
      <c r="B16583" s="2669"/>
    </row>
    <row r="16584" spans="2:2" ht="23.25" customHeight="1">
      <c r="B16584" s="2669"/>
    </row>
    <row r="16585" spans="2:2" ht="23.25" customHeight="1">
      <c r="B16585" s="2669"/>
    </row>
    <row r="16586" spans="2:2" ht="23.25" customHeight="1">
      <c r="B16586" s="2669"/>
    </row>
    <row r="16587" spans="2:2" ht="23.25" customHeight="1">
      <c r="B16587" s="2669"/>
    </row>
    <row r="16588" spans="2:2" ht="23.25" customHeight="1">
      <c r="B16588" s="2669"/>
    </row>
    <row r="16589" spans="2:2" ht="23.25" customHeight="1">
      <c r="B16589" s="2669"/>
    </row>
    <row r="16590" spans="2:2" ht="23.25" customHeight="1">
      <c r="B16590" s="2669"/>
    </row>
    <row r="16591" spans="2:2" ht="23.25" customHeight="1">
      <c r="B16591" s="2669"/>
    </row>
    <row r="16592" spans="2:2" ht="23.25" customHeight="1">
      <c r="B16592" s="2669"/>
    </row>
    <row r="16593" spans="2:2" ht="23.25" customHeight="1">
      <c r="B16593" s="2669"/>
    </row>
    <row r="16594" spans="2:2" ht="23.25" customHeight="1">
      <c r="B16594" s="2669"/>
    </row>
    <row r="16595" spans="2:2" ht="23.25" customHeight="1">
      <c r="B16595" s="2669"/>
    </row>
    <row r="16596" spans="2:2" ht="23.25" customHeight="1">
      <c r="B16596" s="2669"/>
    </row>
    <row r="16597" spans="2:2" ht="23.25" customHeight="1">
      <c r="B16597" s="2669"/>
    </row>
    <row r="16598" spans="2:2" ht="23.25" customHeight="1">
      <c r="B16598" s="2669"/>
    </row>
    <row r="16599" spans="2:2" ht="23.25" customHeight="1">
      <c r="B16599" s="2669"/>
    </row>
    <row r="16600" spans="2:2" ht="23.25" customHeight="1">
      <c r="B16600" s="2669"/>
    </row>
    <row r="16601" spans="2:2" ht="23.25" customHeight="1">
      <c r="B16601" s="2669"/>
    </row>
    <row r="16602" spans="2:2" ht="23.25" customHeight="1">
      <c r="B16602" s="2669"/>
    </row>
    <row r="16603" spans="2:2" ht="23.25" customHeight="1">
      <c r="B16603" s="2669"/>
    </row>
    <row r="16604" spans="2:2" ht="23.25" customHeight="1">
      <c r="B16604" s="2669"/>
    </row>
    <row r="16605" spans="2:2" ht="23.25" customHeight="1">
      <c r="B16605" s="2669"/>
    </row>
    <row r="16606" spans="2:2" ht="23.25" customHeight="1">
      <c r="B16606" s="2669"/>
    </row>
    <row r="16607" spans="2:2" ht="23.25" customHeight="1">
      <c r="B16607" s="2669"/>
    </row>
    <row r="16608" spans="2:2" ht="23.25" customHeight="1">
      <c r="B16608" s="2669"/>
    </row>
    <row r="16609" spans="2:2" ht="23.25" customHeight="1">
      <c r="B16609" s="2669"/>
    </row>
    <row r="16610" spans="2:2" ht="23.25" customHeight="1">
      <c r="B16610" s="2669"/>
    </row>
    <row r="16611" spans="2:2" ht="23.25" customHeight="1">
      <c r="B16611" s="2669"/>
    </row>
    <row r="16612" spans="2:2" ht="23.25" customHeight="1">
      <c r="B16612" s="2669"/>
    </row>
    <row r="16613" spans="2:2" ht="23.25" customHeight="1">
      <c r="B16613" s="2669"/>
    </row>
    <row r="16614" spans="2:2" ht="23.25" customHeight="1">
      <c r="B16614" s="2669"/>
    </row>
    <row r="16615" spans="2:2" ht="23.25" customHeight="1">
      <c r="B16615" s="2669"/>
    </row>
    <row r="16616" spans="2:2" ht="23.25" customHeight="1">
      <c r="B16616" s="2669"/>
    </row>
    <row r="16617" spans="2:2" ht="23.25" customHeight="1">
      <c r="B16617" s="2669"/>
    </row>
    <row r="16618" spans="2:2" ht="23.25" customHeight="1">
      <c r="B16618" s="2669"/>
    </row>
    <row r="16619" spans="2:2" ht="23.25" customHeight="1">
      <c r="B16619" s="2669"/>
    </row>
    <row r="16620" spans="2:2" ht="23.25" customHeight="1">
      <c r="B16620" s="2669"/>
    </row>
    <row r="16621" spans="2:2" ht="23.25" customHeight="1">
      <c r="B16621" s="2669"/>
    </row>
    <row r="16622" spans="2:2" ht="23.25" customHeight="1">
      <c r="B16622" s="2669"/>
    </row>
    <row r="16623" spans="2:2" ht="23.25" customHeight="1">
      <c r="B16623" s="2669"/>
    </row>
    <row r="16624" spans="2:2" ht="23.25" customHeight="1">
      <c r="B16624" s="2669"/>
    </row>
    <row r="16625" spans="2:2" ht="23.25" customHeight="1">
      <c r="B16625" s="2669"/>
    </row>
    <row r="16626" spans="2:2" ht="23.25" customHeight="1">
      <c r="B16626" s="2669"/>
    </row>
    <row r="16627" spans="2:2" ht="23.25" customHeight="1">
      <c r="B16627" s="2669"/>
    </row>
    <row r="16628" spans="2:2" ht="23.25" customHeight="1">
      <c r="B16628" s="2669"/>
    </row>
    <row r="16629" spans="2:2" ht="23.25" customHeight="1">
      <c r="B16629" s="2669"/>
    </row>
    <row r="16630" spans="2:2" ht="23.25" customHeight="1">
      <c r="B16630" s="2669"/>
    </row>
    <row r="16631" spans="2:2" ht="23.25" customHeight="1">
      <c r="B16631" s="2669"/>
    </row>
    <row r="16632" spans="2:2" ht="23.25" customHeight="1">
      <c r="B16632" s="2669"/>
    </row>
    <row r="16633" spans="2:2" ht="23.25" customHeight="1">
      <c r="B16633" s="2669"/>
    </row>
    <row r="16634" spans="2:2" ht="23.25" customHeight="1">
      <c r="B16634" s="2669"/>
    </row>
    <row r="16635" spans="2:2" ht="23.25" customHeight="1">
      <c r="B16635" s="2669"/>
    </row>
    <row r="16636" spans="2:2" ht="23.25" customHeight="1">
      <c r="B16636" s="2669"/>
    </row>
    <row r="16637" spans="2:2" ht="23.25" customHeight="1">
      <c r="B16637" s="2669"/>
    </row>
    <row r="16638" spans="2:2" ht="23.25" customHeight="1">
      <c r="B16638" s="2669"/>
    </row>
    <row r="16639" spans="2:2" ht="23.25" customHeight="1">
      <c r="B16639" s="2669"/>
    </row>
    <row r="16640" spans="2:2" ht="23.25" customHeight="1">
      <c r="B16640" s="2669"/>
    </row>
    <row r="16641" spans="2:2" ht="23.25" customHeight="1">
      <c r="B16641" s="2669"/>
    </row>
    <row r="16642" spans="2:2" ht="23.25" customHeight="1">
      <c r="B16642" s="2669"/>
    </row>
    <row r="16643" spans="2:2" ht="23.25" customHeight="1">
      <c r="B16643" s="2669"/>
    </row>
    <row r="16644" spans="2:2" ht="23.25" customHeight="1">
      <c r="B16644" s="2669"/>
    </row>
    <row r="16645" spans="2:2" ht="23.25" customHeight="1">
      <c r="B16645" s="2669"/>
    </row>
    <row r="16646" spans="2:2" ht="23.25" customHeight="1">
      <c r="B16646" s="2669"/>
    </row>
    <row r="16647" spans="2:2" ht="23.25" customHeight="1">
      <c r="B16647" s="2669"/>
    </row>
    <row r="16648" spans="2:2" ht="23.25" customHeight="1">
      <c r="B16648" s="2669"/>
    </row>
    <row r="16649" spans="2:2" ht="23.25" customHeight="1">
      <c r="B16649" s="2669"/>
    </row>
    <row r="16650" spans="2:2" ht="23.25" customHeight="1">
      <c r="B16650" s="2669"/>
    </row>
    <row r="16651" spans="2:2" ht="23.25" customHeight="1">
      <c r="B16651" s="2669"/>
    </row>
    <row r="16652" spans="2:2" ht="23.25" customHeight="1">
      <c r="B16652" s="2669"/>
    </row>
    <row r="16653" spans="2:2" ht="23.25" customHeight="1">
      <c r="B16653" s="2669"/>
    </row>
    <row r="16654" spans="2:2" ht="23.25" customHeight="1">
      <c r="B16654" s="2669"/>
    </row>
    <row r="16655" spans="2:2" ht="23.25" customHeight="1">
      <c r="B16655" s="2669"/>
    </row>
    <row r="16656" spans="2:2" ht="23.25" customHeight="1">
      <c r="B16656" s="2669"/>
    </row>
    <row r="16657" spans="2:2" ht="23.25" customHeight="1">
      <c r="B16657" s="2669"/>
    </row>
    <row r="16658" spans="2:2" ht="23.25" customHeight="1">
      <c r="B16658" s="2669"/>
    </row>
    <row r="16659" spans="2:2" ht="23.25" customHeight="1">
      <c r="B16659" s="2669"/>
    </row>
    <row r="16660" spans="2:2" ht="23.25" customHeight="1">
      <c r="B16660" s="2669"/>
    </row>
    <row r="16661" spans="2:2" ht="23.25" customHeight="1">
      <c r="B16661" s="2669"/>
    </row>
    <row r="16662" spans="2:2" ht="23.25" customHeight="1">
      <c r="B16662" s="2669"/>
    </row>
    <row r="16663" spans="2:2" ht="23.25" customHeight="1">
      <c r="B16663" s="2669"/>
    </row>
    <row r="16664" spans="2:2" ht="23.25" customHeight="1">
      <c r="B16664" s="2669"/>
    </row>
    <row r="16665" spans="2:2" ht="23.25" customHeight="1">
      <c r="B16665" s="2669"/>
    </row>
    <row r="16666" spans="2:2" ht="23.25" customHeight="1">
      <c r="B16666" s="2669"/>
    </row>
    <row r="16667" spans="2:2" ht="23.25" customHeight="1">
      <c r="B16667" s="2669"/>
    </row>
    <row r="16668" spans="2:2" ht="23.25" customHeight="1">
      <c r="B16668" s="2669"/>
    </row>
    <row r="16669" spans="2:2" ht="23.25" customHeight="1">
      <c r="B16669" s="2669"/>
    </row>
    <row r="16670" spans="2:2" ht="23.25" customHeight="1">
      <c r="B16670" s="2669"/>
    </row>
    <row r="16671" spans="2:2" ht="23.25" customHeight="1">
      <c r="B16671" s="2669"/>
    </row>
    <row r="16672" spans="2:2" ht="23.25" customHeight="1">
      <c r="B16672" s="2669"/>
    </row>
    <row r="16673" spans="2:2" ht="23.25" customHeight="1">
      <c r="B16673" s="2669"/>
    </row>
    <row r="16674" spans="2:2" ht="23.25" customHeight="1">
      <c r="B16674" s="2669"/>
    </row>
    <row r="16675" spans="2:2" ht="23.25" customHeight="1">
      <c r="B16675" s="2669"/>
    </row>
    <row r="16676" spans="2:2" ht="23.25" customHeight="1">
      <c r="B16676" s="2669"/>
    </row>
    <row r="16677" spans="2:2" ht="23.25" customHeight="1">
      <c r="B16677" s="2669"/>
    </row>
    <row r="16678" spans="2:2" ht="23.25" customHeight="1">
      <c r="B16678" s="2669"/>
    </row>
    <row r="16679" spans="2:2" ht="23.25" customHeight="1">
      <c r="B16679" s="2669"/>
    </row>
    <row r="16680" spans="2:2" ht="23.25" customHeight="1">
      <c r="B16680" s="2669"/>
    </row>
    <row r="16681" spans="2:2" ht="23.25" customHeight="1">
      <c r="B16681" s="2669"/>
    </row>
    <row r="16682" spans="2:2" ht="23.25" customHeight="1">
      <c r="B16682" s="2669"/>
    </row>
    <row r="16683" spans="2:2" ht="23.25" customHeight="1">
      <c r="B16683" s="2669"/>
    </row>
    <row r="16684" spans="2:2" ht="23.25" customHeight="1">
      <c r="B16684" s="2669"/>
    </row>
    <row r="16685" spans="2:2" ht="23.25" customHeight="1">
      <c r="B16685" s="2669"/>
    </row>
    <row r="16686" spans="2:2" ht="23.25" customHeight="1">
      <c r="B16686" s="2669"/>
    </row>
    <row r="16687" spans="2:2" ht="23.25" customHeight="1">
      <c r="B16687" s="2669"/>
    </row>
    <row r="16688" spans="2:2" ht="23.25" customHeight="1">
      <c r="B16688" s="2669"/>
    </row>
    <row r="16689" spans="2:2" ht="23.25" customHeight="1">
      <c r="B16689" s="2669"/>
    </row>
    <row r="16690" spans="2:2" ht="23.25" customHeight="1">
      <c r="B16690" s="2669"/>
    </row>
    <row r="16691" spans="2:2" ht="23.25" customHeight="1">
      <c r="B16691" s="2669"/>
    </row>
    <row r="16692" spans="2:2" ht="23.25" customHeight="1">
      <c r="B16692" s="2669"/>
    </row>
    <row r="16693" spans="2:2" ht="23.25" customHeight="1">
      <c r="B16693" s="2669"/>
    </row>
    <row r="16694" spans="2:2" ht="23.25" customHeight="1">
      <c r="B16694" s="2669"/>
    </row>
    <row r="16695" spans="2:2" ht="23.25" customHeight="1">
      <c r="B16695" s="2669"/>
    </row>
    <row r="16696" spans="2:2" ht="23.25" customHeight="1">
      <c r="B16696" s="2669"/>
    </row>
    <row r="16697" spans="2:2" ht="23.25" customHeight="1">
      <c r="B16697" s="2669"/>
    </row>
    <row r="16698" spans="2:2" ht="23.25" customHeight="1">
      <c r="B16698" s="2669"/>
    </row>
    <row r="16699" spans="2:2" ht="23.25" customHeight="1">
      <c r="B16699" s="2669"/>
    </row>
    <row r="16700" spans="2:2" ht="23.25" customHeight="1">
      <c r="B16700" s="2669"/>
    </row>
    <row r="16701" spans="2:2" ht="23.25" customHeight="1">
      <c r="B16701" s="2669"/>
    </row>
    <row r="16702" spans="2:2" ht="23.25" customHeight="1">
      <c r="B16702" s="2669"/>
    </row>
    <row r="16703" spans="2:2" ht="23.25" customHeight="1">
      <c r="B16703" s="2669"/>
    </row>
    <row r="16704" spans="2:2" ht="23.25" customHeight="1">
      <c r="B16704" s="2669"/>
    </row>
    <row r="16705" spans="2:2" ht="23.25" customHeight="1">
      <c r="B16705" s="2669"/>
    </row>
    <row r="16706" spans="2:2" ht="23.25" customHeight="1">
      <c r="B16706" s="2669"/>
    </row>
    <row r="16707" spans="2:2" ht="23.25" customHeight="1">
      <c r="B16707" s="2669"/>
    </row>
    <row r="16708" spans="2:2" ht="23.25" customHeight="1">
      <c r="B16708" s="2669"/>
    </row>
    <row r="16709" spans="2:2" ht="23.25" customHeight="1">
      <c r="B16709" s="2669"/>
    </row>
    <row r="16710" spans="2:2" ht="23.25" customHeight="1">
      <c r="B16710" s="2669"/>
    </row>
    <row r="16711" spans="2:2" ht="23.25" customHeight="1">
      <c r="B16711" s="2669"/>
    </row>
    <row r="16712" spans="2:2" ht="23.25" customHeight="1">
      <c r="B16712" s="2669"/>
    </row>
    <row r="16713" spans="2:2" ht="23.25" customHeight="1">
      <c r="B16713" s="2669"/>
    </row>
    <row r="16714" spans="2:2" ht="23.25" customHeight="1">
      <c r="B16714" s="2669"/>
    </row>
    <row r="16715" spans="2:2" ht="23.25" customHeight="1">
      <c r="B16715" s="2669"/>
    </row>
    <row r="16716" spans="2:2" ht="23.25" customHeight="1">
      <c r="B16716" s="2669"/>
    </row>
    <row r="16717" spans="2:2" ht="23.25" customHeight="1">
      <c r="B16717" s="2669"/>
    </row>
    <row r="16718" spans="2:2" ht="23.25" customHeight="1">
      <c r="B16718" s="2669"/>
    </row>
    <row r="16719" spans="2:2" ht="23.25" customHeight="1">
      <c r="B16719" s="2669"/>
    </row>
    <row r="16720" spans="2:2" ht="23.25" customHeight="1">
      <c r="B16720" s="2669"/>
    </row>
    <row r="16721" spans="2:2" ht="23.25" customHeight="1">
      <c r="B16721" s="2669"/>
    </row>
    <row r="16722" spans="2:2" ht="23.25" customHeight="1">
      <c r="B16722" s="2669"/>
    </row>
    <row r="16723" spans="2:2" ht="23.25" customHeight="1">
      <c r="B16723" s="2669"/>
    </row>
    <row r="16724" spans="2:2" ht="23.25" customHeight="1">
      <c r="B16724" s="2669"/>
    </row>
    <row r="16725" spans="2:2" ht="23.25" customHeight="1">
      <c r="B16725" s="2669"/>
    </row>
    <row r="16726" spans="2:2" ht="23.25" customHeight="1">
      <c r="B16726" s="2669"/>
    </row>
    <row r="16727" spans="2:2" ht="23.25" customHeight="1">
      <c r="B16727" s="2669"/>
    </row>
    <row r="16728" spans="2:2" ht="23.25" customHeight="1">
      <c r="B16728" s="2669"/>
    </row>
    <row r="16729" spans="2:2" ht="23.25" customHeight="1">
      <c r="B16729" s="2669"/>
    </row>
    <row r="16730" spans="2:2" ht="23.25" customHeight="1">
      <c r="B16730" s="2669"/>
    </row>
    <row r="16731" spans="2:2" ht="23.25" customHeight="1">
      <c r="B16731" s="2669"/>
    </row>
    <row r="16732" spans="2:2" ht="23.25" customHeight="1">
      <c r="B16732" s="2669"/>
    </row>
    <row r="16733" spans="2:2" ht="23.25" customHeight="1">
      <c r="B16733" s="2669"/>
    </row>
    <row r="16734" spans="2:2" ht="23.25" customHeight="1">
      <c r="B16734" s="2669"/>
    </row>
    <row r="16735" spans="2:2" ht="23.25" customHeight="1">
      <c r="B16735" s="2669"/>
    </row>
    <row r="16736" spans="2:2" ht="23.25" customHeight="1">
      <c r="B16736" s="2669"/>
    </row>
    <row r="16737" spans="2:2" ht="23.25" customHeight="1">
      <c r="B16737" s="2669"/>
    </row>
    <row r="16738" spans="2:2" ht="23.25" customHeight="1">
      <c r="B16738" s="2669"/>
    </row>
    <row r="16739" spans="2:2" ht="23.25" customHeight="1">
      <c r="B16739" s="2669"/>
    </row>
    <row r="16740" spans="2:2" ht="23.25" customHeight="1">
      <c r="B16740" s="2669"/>
    </row>
    <row r="16741" spans="2:2" ht="23.25" customHeight="1">
      <c r="B16741" s="2669"/>
    </row>
    <row r="16742" spans="2:2" ht="23.25" customHeight="1">
      <c r="B16742" s="2669"/>
    </row>
    <row r="16743" spans="2:2" ht="23.25" customHeight="1">
      <c r="B16743" s="2669"/>
    </row>
    <row r="16744" spans="2:2" ht="23.25" customHeight="1">
      <c r="B16744" s="2669"/>
    </row>
    <row r="16745" spans="2:2" ht="23.25" customHeight="1">
      <c r="B16745" s="2669"/>
    </row>
    <row r="16746" spans="2:2" ht="23.25" customHeight="1">
      <c r="B16746" s="2669"/>
    </row>
    <row r="16747" spans="2:2" ht="23.25" customHeight="1">
      <c r="B16747" s="2669"/>
    </row>
    <row r="16748" spans="2:2" ht="23.25" customHeight="1">
      <c r="B16748" s="2669"/>
    </row>
    <row r="16749" spans="2:2" ht="23.25" customHeight="1">
      <c r="B16749" s="2669"/>
    </row>
    <row r="16750" spans="2:2" ht="23.25" customHeight="1">
      <c r="B16750" s="2669"/>
    </row>
    <row r="16751" spans="2:2" ht="23.25" customHeight="1">
      <c r="B16751" s="2669"/>
    </row>
    <row r="16752" spans="2:2" ht="23.25" customHeight="1">
      <c r="B16752" s="2669"/>
    </row>
    <row r="16753" spans="2:2" ht="23.25" customHeight="1">
      <c r="B16753" s="2669"/>
    </row>
    <row r="16754" spans="2:2" ht="23.25" customHeight="1">
      <c r="B16754" s="2669"/>
    </row>
    <row r="16755" spans="2:2" ht="23.25" customHeight="1">
      <c r="B16755" s="2669"/>
    </row>
    <row r="16756" spans="2:2" ht="23.25" customHeight="1">
      <c r="B16756" s="2669"/>
    </row>
    <row r="16757" spans="2:2" ht="23.25" customHeight="1">
      <c r="B16757" s="2669"/>
    </row>
    <row r="16758" spans="2:2" ht="23.25" customHeight="1">
      <c r="B16758" s="2669"/>
    </row>
    <row r="16759" spans="2:2" ht="23.25" customHeight="1">
      <c r="B16759" s="2669"/>
    </row>
    <row r="16760" spans="2:2" ht="23.25" customHeight="1">
      <c r="B16760" s="2669"/>
    </row>
    <row r="16761" spans="2:2" ht="23.25" customHeight="1">
      <c r="B16761" s="2669"/>
    </row>
    <row r="16762" spans="2:2" ht="23.25" customHeight="1">
      <c r="B16762" s="2669"/>
    </row>
    <row r="16763" spans="2:2" ht="23.25" customHeight="1">
      <c r="B16763" s="2669"/>
    </row>
    <row r="16764" spans="2:2" ht="23.25" customHeight="1">
      <c r="B16764" s="2669"/>
    </row>
    <row r="16765" spans="2:2" ht="23.25" customHeight="1">
      <c r="B16765" s="2669"/>
    </row>
    <row r="16766" spans="2:2" ht="23.25" customHeight="1">
      <c r="B16766" s="2669"/>
    </row>
    <row r="16767" spans="2:2" ht="23.25" customHeight="1">
      <c r="B16767" s="2669"/>
    </row>
    <row r="16768" spans="2:2" ht="23.25" customHeight="1">
      <c r="B16768" s="2669"/>
    </row>
    <row r="16769" spans="2:2" ht="23.25" customHeight="1">
      <c r="B16769" s="2669"/>
    </row>
    <row r="16770" spans="2:2" ht="23.25" customHeight="1">
      <c r="B16770" s="2669"/>
    </row>
    <row r="16771" spans="2:2" ht="23.25" customHeight="1">
      <c r="B16771" s="2669"/>
    </row>
    <row r="16772" spans="2:2" ht="23.25" customHeight="1">
      <c r="B16772" s="2669"/>
    </row>
    <row r="16773" spans="2:2" ht="23.25" customHeight="1">
      <c r="B16773" s="2669"/>
    </row>
    <row r="16774" spans="2:2" ht="23.25" customHeight="1">
      <c r="B16774" s="2669"/>
    </row>
    <row r="16775" spans="2:2" ht="23.25" customHeight="1">
      <c r="B16775" s="2669"/>
    </row>
    <row r="16776" spans="2:2" ht="23.25" customHeight="1">
      <c r="B16776" s="2669"/>
    </row>
    <row r="16777" spans="2:2" ht="23.25" customHeight="1">
      <c r="B16777" s="2669"/>
    </row>
    <row r="16778" spans="2:2" ht="23.25" customHeight="1">
      <c r="B16778" s="2669"/>
    </row>
    <row r="16779" spans="2:2" ht="23.25" customHeight="1">
      <c r="B16779" s="2669"/>
    </row>
    <row r="16780" spans="2:2" ht="23.25" customHeight="1">
      <c r="B16780" s="2669"/>
    </row>
    <row r="16781" spans="2:2" ht="23.25" customHeight="1">
      <c r="B16781" s="2669"/>
    </row>
    <row r="16782" spans="2:2" ht="23.25" customHeight="1">
      <c r="B16782" s="2669"/>
    </row>
    <row r="16783" spans="2:2" ht="23.25" customHeight="1">
      <c r="B16783" s="2669"/>
    </row>
    <row r="16784" spans="2:2" ht="23.25" customHeight="1">
      <c r="B16784" s="2669"/>
    </row>
    <row r="16785" spans="2:2" ht="23.25" customHeight="1">
      <c r="B16785" s="2669"/>
    </row>
    <row r="16786" spans="2:2" ht="23.25" customHeight="1">
      <c r="B16786" s="2669"/>
    </row>
    <row r="16787" spans="2:2" ht="23.25" customHeight="1">
      <c r="B16787" s="2669"/>
    </row>
    <row r="16788" spans="2:2" ht="23.25" customHeight="1">
      <c r="B16788" s="2669"/>
    </row>
    <row r="16789" spans="2:2" ht="23.25" customHeight="1">
      <c r="B16789" s="2669"/>
    </row>
    <row r="16790" spans="2:2" ht="23.25" customHeight="1">
      <c r="B16790" s="2669"/>
    </row>
    <row r="16791" spans="2:2" ht="23.25" customHeight="1">
      <c r="B16791" s="2669"/>
    </row>
    <row r="16792" spans="2:2" ht="23.25" customHeight="1">
      <c r="B16792" s="2669"/>
    </row>
    <row r="16793" spans="2:2" ht="23.25" customHeight="1">
      <c r="B16793" s="2669"/>
    </row>
    <row r="16794" spans="2:2" ht="23.25" customHeight="1">
      <c r="B16794" s="2669"/>
    </row>
    <row r="16795" spans="2:2" ht="23.25" customHeight="1">
      <c r="B16795" s="2669"/>
    </row>
    <row r="16796" spans="2:2" ht="23.25" customHeight="1">
      <c r="B16796" s="2669"/>
    </row>
    <row r="16797" spans="2:2" ht="23.25" customHeight="1">
      <c r="B16797" s="2669"/>
    </row>
    <row r="16798" spans="2:2" ht="23.25" customHeight="1">
      <c r="B16798" s="2669"/>
    </row>
    <row r="16799" spans="2:2" ht="23.25" customHeight="1">
      <c r="B16799" s="2669"/>
    </row>
    <row r="16800" spans="2:2" ht="23.25" customHeight="1">
      <c r="B16800" s="2669"/>
    </row>
    <row r="16801" spans="2:2" ht="23.25" customHeight="1">
      <c r="B16801" s="2669"/>
    </row>
    <row r="16802" spans="2:2" ht="23.25" customHeight="1">
      <c r="B16802" s="2669"/>
    </row>
    <row r="16803" spans="2:2" ht="23.25" customHeight="1">
      <c r="B16803" s="2669"/>
    </row>
    <row r="16804" spans="2:2" ht="23.25" customHeight="1">
      <c r="B16804" s="2669"/>
    </row>
    <row r="16805" spans="2:2" ht="23.25" customHeight="1">
      <c r="B16805" s="2669"/>
    </row>
    <row r="16806" spans="2:2" ht="23.25" customHeight="1">
      <c r="B16806" s="2669"/>
    </row>
    <row r="16807" spans="2:2" ht="23.25" customHeight="1">
      <c r="B16807" s="2669"/>
    </row>
    <row r="16808" spans="2:2" ht="23.25" customHeight="1">
      <c r="B16808" s="2669"/>
    </row>
    <row r="16809" spans="2:2" ht="23.25" customHeight="1">
      <c r="B16809" s="2669"/>
    </row>
    <row r="16810" spans="2:2" ht="23.25" customHeight="1">
      <c r="B16810" s="2669"/>
    </row>
    <row r="16811" spans="2:2" ht="23.25" customHeight="1">
      <c r="B16811" s="2669"/>
    </row>
    <row r="16812" spans="2:2" ht="23.25" customHeight="1">
      <c r="B16812" s="2669"/>
    </row>
    <row r="16813" spans="2:2" ht="23.25" customHeight="1">
      <c r="B16813" s="2669"/>
    </row>
    <row r="16814" spans="2:2" ht="23.25" customHeight="1">
      <c r="B16814" s="2669"/>
    </row>
    <row r="16815" spans="2:2" ht="23.25" customHeight="1">
      <c r="B16815" s="2669"/>
    </row>
    <row r="16816" spans="2:2" ht="23.25" customHeight="1">
      <c r="B16816" s="2669"/>
    </row>
    <row r="16817" spans="2:2" ht="23.25" customHeight="1">
      <c r="B16817" s="2669"/>
    </row>
    <row r="16818" spans="2:2" ht="23.25" customHeight="1">
      <c r="B16818" s="2669"/>
    </row>
    <row r="16819" spans="2:2" ht="23.25" customHeight="1">
      <c r="B16819" s="2669"/>
    </row>
    <row r="16820" spans="2:2" ht="23.25" customHeight="1">
      <c r="B16820" s="2669"/>
    </row>
    <row r="16821" spans="2:2" ht="23.25" customHeight="1">
      <c r="B16821" s="2669"/>
    </row>
    <row r="16822" spans="2:2" ht="23.25" customHeight="1">
      <c r="B16822" s="2669"/>
    </row>
    <row r="16823" spans="2:2" ht="23.25" customHeight="1">
      <c r="B16823" s="2669"/>
    </row>
    <row r="16824" spans="2:2" ht="23.25" customHeight="1">
      <c r="B16824" s="2669"/>
    </row>
    <row r="16825" spans="2:2" ht="23.25" customHeight="1">
      <c r="B16825" s="2669"/>
    </row>
    <row r="16826" spans="2:2" ht="23.25" customHeight="1">
      <c r="B16826" s="2669"/>
    </row>
    <row r="16827" spans="2:2" ht="23.25" customHeight="1">
      <c r="B16827" s="2669"/>
    </row>
    <row r="16828" spans="2:2" ht="23.25" customHeight="1">
      <c r="B16828" s="2669"/>
    </row>
    <row r="16829" spans="2:2" ht="23.25" customHeight="1">
      <c r="B16829" s="2669"/>
    </row>
    <row r="16830" spans="2:2" ht="23.25" customHeight="1">
      <c r="B16830" s="2669"/>
    </row>
    <row r="16831" spans="2:2" ht="23.25" customHeight="1">
      <c r="B16831" s="2669"/>
    </row>
    <row r="16832" spans="2:2" ht="23.25" customHeight="1">
      <c r="B16832" s="2669"/>
    </row>
    <row r="16833" spans="2:2" ht="23.25" customHeight="1">
      <c r="B16833" s="2669"/>
    </row>
    <row r="16834" spans="2:2" ht="23.25" customHeight="1">
      <c r="B16834" s="2669"/>
    </row>
    <row r="16835" spans="2:2" ht="23.25" customHeight="1">
      <c r="B16835" s="2669"/>
    </row>
    <row r="16836" spans="2:2" ht="23.25" customHeight="1">
      <c r="B16836" s="2669"/>
    </row>
    <row r="16837" spans="2:2" ht="23.25" customHeight="1">
      <c r="B16837" s="2669"/>
    </row>
    <row r="16838" spans="2:2" ht="23.25" customHeight="1">
      <c r="B16838" s="2669"/>
    </row>
    <row r="16839" spans="2:2" ht="23.25" customHeight="1">
      <c r="B16839" s="2669"/>
    </row>
    <row r="16840" spans="2:2" ht="23.25" customHeight="1">
      <c r="B16840" s="2669"/>
    </row>
    <row r="16841" spans="2:2" ht="23.25" customHeight="1">
      <c r="B16841" s="2669"/>
    </row>
    <row r="16842" spans="2:2" ht="23.25" customHeight="1">
      <c r="B16842" s="2669"/>
    </row>
    <row r="16843" spans="2:2" ht="23.25" customHeight="1">
      <c r="B16843" s="2669"/>
    </row>
    <row r="16844" spans="2:2" ht="23.25" customHeight="1">
      <c r="B16844" s="2669"/>
    </row>
    <row r="16845" spans="2:2" ht="23.25" customHeight="1">
      <c r="B16845" s="2669"/>
    </row>
    <row r="16846" spans="2:2" ht="23.25" customHeight="1">
      <c r="B16846" s="2669"/>
    </row>
    <row r="16847" spans="2:2" ht="23.25" customHeight="1">
      <c r="B16847" s="2669"/>
    </row>
    <row r="16848" spans="2:2" ht="23.25" customHeight="1">
      <c r="B16848" s="2669"/>
    </row>
    <row r="16849" spans="2:2" ht="23.25" customHeight="1">
      <c r="B16849" s="2669"/>
    </row>
    <row r="16850" spans="2:2" ht="23.25" customHeight="1">
      <c r="B16850" s="2669"/>
    </row>
    <row r="16851" spans="2:2" ht="23.25" customHeight="1">
      <c r="B16851" s="2669"/>
    </row>
    <row r="16852" spans="2:2" ht="23.25" customHeight="1">
      <c r="B16852" s="2669"/>
    </row>
    <row r="16853" spans="2:2" ht="23.25" customHeight="1">
      <c r="B16853" s="2669"/>
    </row>
    <row r="16854" spans="2:2" ht="23.25" customHeight="1">
      <c r="B16854" s="2669"/>
    </row>
    <row r="16855" spans="2:2" ht="23.25" customHeight="1">
      <c r="B16855" s="2669"/>
    </row>
    <row r="16856" spans="2:2" ht="23.25" customHeight="1">
      <c r="B16856" s="2669"/>
    </row>
    <row r="16857" spans="2:2" ht="23.25" customHeight="1">
      <c r="B16857" s="2669"/>
    </row>
    <row r="16858" spans="2:2" ht="23.25" customHeight="1">
      <c r="B16858" s="2669"/>
    </row>
    <row r="16859" spans="2:2" ht="23.25" customHeight="1">
      <c r="B16859" s="2669"/>
    </row>
    <row r="16860" spans="2:2" ht="23.25" customHeight="1">
      <c r="B16860" s="2669"/>
    </row>
    <row r="16861" spans="2:2" ht="23.25" customHeight="1">
      <c r="B16861" s="2669"/>
    </row>
    <row r="16862" spans="2:2" ht="23.25" customHeight="1">
      <c r="B16862" s="2669"/>
    </row>
    <row r="16863" spans="2:2" ht="23.25" customHeight="1">
      <c r="B16863" s="2669"/>
    </row>
    <row r="16864" spans="2:2" ht="23.25" customHeight="1">
      <c r="B16864" s="2669"/>
    </row>
    <row r="16865" spans="2:2" ht="23.25" customHeight="1">
      <c r="B16865" s="2669"/>
    </row>
    <row r="16866" spans="2:2" ht="23.25" customHeight="1">
      <c r="B16866" s="2669"/>
    </row>
    <row r="16867" spans="2:2" ht="23.25" customHeight="1">
      <c r="B16867" s="2669"/>
    </row>
    <row r="16868" spans="2:2" ht="23.25" customHeight="1">
      <c r="B16868" s="2669"/>
    </row>
    <row r="16869" spans="2:2" ht="23.25" customHeight="1">
      <c r="B16869" s="2669"/>
    </row>
    <row r="16870" spans="2:2" ht="23.25" customHeight="1">
      <c r="B16870" s="2669"/>
    </row>
    <row r="16871" spans="2:2" ht="23.25" customHeight="1">
      <c r="B16871" s="2669"/>
    </row>
    <row r="16872" spans="2:2" ht="23.25" customHeight="1">
      <c r="B16872" s="2669"/>
    </row>
    <row r="16873" spans="2:2" ht="23.25" customHeight="1">
      <c r="B16873" s="2669"/>
    </row>
    <row r="16874" spans="2:2" ht="23.25" customHeight="1">
      <c r="B16874" s="2669"/>
    </row>
    <row r="16875" spans="2:2" ht="23.25" customHeight="1">
      <c r="B16875" s="2669"/>
    </row>
    <row r="16876" spans="2:2" ht="23.25" customHeight="1">
      <c r="B16876" s="2669"/>
    </row>
    <row r="16877" spans="2:2" ht="23.25" customHeight="1">
      <c r="B16877" s="2669"/>
    </row>
    <row r="16878" spans="2:2" ht="23.25" customHeight="1">
      <c r="B16878" s="2669"/>
    </row>
    <row r="16879" spans="2:2" ht="23.25" customHeight="1">
      <c r="B16879" s="2669"/>
    </row>
    <row r="16880" spans="2:2" ht="23.25" customHeight="1">
      <c r="B16880" s="2669"/>
    </row>
    <row r="16881" spans="2:2" ht="23.25" customHeight="1">
      <c r="B16881" s="2669"/>
    </row>
    <row r="16882" spans="2:2" ht="23.25" customHeight="1">
      <c r="B16882" s="2669"/>
    </row>
    <row r="16883" spans="2:2" ht="23.25" customHeight="1">
      <c r="B16883" s="2669"/>
    </row>
    <row r="16884" spans="2:2" ht="23.25" customHeight="1">
      <c r="B16884" s="2669"/>
    </row>
    <row r="16885" spans="2:2" ht="23.25" customHeight="1">
      <c r="B16885" s="2669"/>
    </row>
    <row r="16886" spans="2:2" ht="23.25" customHeight="1">
      <c r="B16886" s="2669"/>
    </row>
    <row r="16887" spans="2:2" ht="23.25" customHeight="1">
      <c r="B16887" s="2669"/>
    </row>
    <row r="16888" spans="2:2" ht="23.25" customHeight="1">
      <c r="B16888" s="2669"/>
    </row>
    <row r="16889" spans="2:2" ht="23.25" customHeight="1">
      <c r="B16889" s="2669"/>
    </row>
    <row r="16890" spans="2:2" ht="23.25" customHeight="1">
      <c r="B16890" s="2669"/>
    </row>
    <row r="16891" spans="2:2" ht="23.25" customHeight="1">
      <c r="B16891" s="2669"/>
    </row>
    <row r="16892" spans="2:2" ht="23.25" customHeight="1">
      <c r="B16892" s="2669"/>
    </row>
    <row r="16893" spans="2:2" ht="23.25" customHeight="1">
      <c r="B16893" s="2669"/>
    </row>
    <row r="16894" spans="2:2" ht="23.25" customHeight="1">
      <c r="B16894" s="2669"/>
    </row>
    <row r="16895" spans="2:2" ht="23.25" customHeight="1">
      <c r="B16895" s="2669"/>
    </row>
    <row r="16896" spans="2:2" ht="23.25" customHeight="1">
      <c r="B16896" s="2669"/>
    </row>
    <row r="16897" spans="2:2" ht="23.25" customHeight="1">
      <c r="B16897" s="2669"/>
    </row>
    <row r="16898" spans="2:2" ht="23.25" customHeight="1">
      <c r="B16898" s="2669"/>
    </row>
    <row r="16899" spans="2:2" ht="23.25" customHeight="1">
      <c r="B16899" s="2669"/>
    </row>
    <row r="16900" spans="2:2" ht="23.25" customHeight="1">
      <c r="B16900" s="2669"/>
    </row>
    <row r="16901" spans="2:2" ht="23.25" customHeight="1">
      <c r="B16901" s="2669"/>
    </row>
    <row r="16902" spans="2:2" ht="23.25" customHeight="1">
      <c r="B16902" s="2669"/>
    </row>
    <row r="16903" spans="2:2" ht="23.25" customHeight="1">
      <c r="B16903" s="2669"/>
    </row>
    <row r="16904" spans="2:2" ht="23.25" customHeight="1">
      <c r="B16904" s="2669"/>
    </row>
    <row r="16905" spans="2:2" ht="23.25" customHeight="1">
      <c r="B16905" s="2669"/>
    </row>
    <row r="16906" spans="2:2" ht="23.25" customHeight="1">
      <c r="B16906" s="2669"/>
    </row>
    <row r="16907" spans="2:2" ht="23.25" customHeight="1">
      <c r="B16907" s="2669"/>
    </row>
    <row r="16908" spans="2:2" ht="23.25" customHeight="1">
      <c r="B16908" s="2669"/>
    </row>
    <row r="16909" spans="2:2" ht="23.25" customHeight="1">
      <c r="B16909" s="2669"/>
    </row>
    <row r="16910" spans="2:2" ht="23.25" customHeight="1">
      <c r="B16910" s="2669"/>
    </row>
    <row r="16911" spans="2:2" ht="23.25" customHeight="1">
      <c r="B16911" s="2669"/>
    </row>
    <row r="16912" spans="2:2" ht="23.25" customHeight="1">
      <c r="B16912" s="2669"/>
    </row>
    <row r="16913" spans="2:2" ht="23.25" customHeight="1">
      <c r="B16913" s="2669"/>
    </row>
    <row r="16914" spans="2:2" ht="23.25" customHeight="1">
      <c r="B16914" s="2669"/>
    </row>
    <row r="16915" spans="2:2" ht="23.25" customHeight="1">
      <c r="B16915" s="2669"/>
    </row>
    <row r="16916" spans="2:2" ht="23.25" customHeight="1">
      <c r="B16916" s="2669"/>
    </row>
    <row r="16917" spans="2:2" ht="23.25" customHeight="1">
      <c r="B16917" s="2669"/>
    </row>
    <row r="16918" spans="2:2" ht="23.25" customHeight="1">
      <c r="B16918" s="2669"/>
    </row>
    <row r="16919" spans="2:2" ht="23.25" customHeight="1">
      <c r="B16919" s="2669"/>
    </row>
    <row r="16920" spans="2:2" ht="23.25" customHeight="1">
      <c r="B16920" s="2669"/>
    </row>
    <row r="16921" spans="2:2" ht="23.25" customHeight="1">
      <c r="B16921" s="2669"/>
    </row>
    <row r="16922" spans="2:2" ht="23.25" customHeight="1">
      <c r="B16922" s="2669"/>
    </row>
    <row r="16923" spans="2:2" ht="23.25" customHeight="1">
      <c r="B16923" s="2669"/>
    </row>
    <row r="16924" spans="2:2" ht="23.25" customHeight="1">
      <c r="B16924" s="2669"/>
    </row>
    <row r="16925" spans="2:2" ht="23.25" customHeight="1">
      <c r="B16925" s="2669"/>
    </row>
    <row r="16926" spans="2:2" ht="23.25" customHeight="1">
      <c r="B16926" s="2669"/>
    </row>
    <row r="16927" spans="2:2" ht="23.25" customHeight="1">
      <c r="B16927" s="2669"/>
    </row>
    <row r="16928" spans="2:2" ht="23.25" customHeight="1">
      <c r="B16928" s="2669"/>
    </row>
    <row r="16929" spans="2:2" ht="23.25" customHeight="1">
      <c r="B16929" s="2669"/>
    </row>
    <row r="16930" spans="2:2" ht="23.25" customHeight="1">
      <c r="B16930" s="2669"/>
    </row>
    <row r="16931" spans="2:2" ht="23.25" customHeight="1">
      <c r="B16931" s="2669"/>
    </row>
    <row r="16932" spans="2:2" ht="23.25" customHeight="1">
      <c r="B16932" s="2669"/>
    </row>
    <row r="16933" spans="2:2" ht="23.25" customHeight="1">
      <c r="B16933" s="2669"/>
    </row>
    <row r="16934" spans="2:2" ht="23.25" customHeight="1">
      <c r="B16934" s="2669"/>
    </row>
    <row r="16935" spans="2:2" ht="23.25" customHeight="1">
      <c r="B16935" s="2669"/>
    </row>
    <row r="16936" spans="2:2" ht="23.25" customHeight="1">
      <c r="B16936" s="2669"/>
    </row>
    <row r="16937" spans="2:2" ht="23.25" customHeight="1">
      <c r="B16937" s="2669"/>
    </row>
    <row r="16938" spans="2:2" ht="23.25" customHeight="1">
      <c r="B16938" s="2669"/>
    </row>
    <row r="16939" spans="2:2" ht="23.25" customHeight="1">
      <c r="B16939" s="2669"/>
    </row>
    <row r="16940" spans="2:2" ht="23.25" customHeight="1">
      <c r="B16940" s="2669"/>
    </row>
    <row r="16941" spans="2:2" ht="23.25" customHeight="1">
      <c r="B16941" s="2669"/>
    </row>
    <row r="16942" spans="2:2" ht="23.25" customHeight="1">
      <c r="B16942" s="2669"/>
    </row>
    <row r="16943" spans="2:2" ht="23.25" customHeight="1">
      <c r="B16943" s="2669"/>
    </row>
    <row r="16944" spans="2:2" ht="23.25" customHeight="1">
      <c r="B16944" s="2669"/>
    </row>
    <row r="16945" spans="2:2" ht="23.25" customHeight="1">
      <c r="B16945" s="2669"/>
    </row>
    <row r="16946" spans="2:2" ht="23.25" customHeight="1">
      <c r="B16946" s="2669"/>
    </row>
    <row r="16947" spans="2:2" ht="23.25" customHeight="1">
      <c r="B16947" s="2669"/>
    </row>
    <row r="16948" spans="2:2" ht="23.25" customHeight="1">
      <c r="B16948" s="2669"/>
    </row>
    <row r="16949" spans="2:2" ht="23.25" customHeight="1">
      <c r="B16949" s="2669"/>
    </row>
    <row r="16950" spans="2:2" ht="23.25" customHeight="1">
      <c r="B16950" s="2669"/>
    </row>
    <row r="16951" spans="2:2" ht="23.25" customHeight="1">
      <c r="B16951" s="2669"/>
    </row>
    <row r="16952" spans="2:2" ht="23.25" customHeight="1">
      <c r="B16952" s="2669"/>
    </row>
    <row r="16953" spans="2:2" ht="23.25" customHeight="1">
      <c r="B16953" s="2669"/>
    </row>
    <row r="16954" spans="2:2" ht="23.25" customHeight="1">
      <c r="B16954" s="2669"/>
    </row>
    <row r="16955" spans="2:2" ht="23.25" customHeight="1">
      <c r="B16955" s="2669"/>
    </row>
    <row r="16956" spans="2:2" ht="23.25" customHeight="1">
      <c r="B16956" s="2669"/>
    </row>
    <row r="16957" spans="2:2" ht="23.25" customHeight="1">
      <c r="B16957" s="2669"/>
    </row>
    <row r="16958" spans="2:2" ht="23.25" customHeight="1">
      <c r="B16958" s="2669"/>
    </row>
    <row r="16959" spans="2:2" ht="23.25" customHeight="1">
      <c r="B16959" s="2669"/>
    </row>
    <row r="16960" spans="2:2" ht="23.25" customHeight="1">
      <c r="B16960" s="2669"/>
    </row>
    <row r="16961" spans="2:2" ht="23.25" customHeight="1">
      <c r="B16961" s="2669"/>
    </row>
    <row r="16962" spans="2:2" ht="23.25" customHeight="1">
      <c r="B16962" s="2669"/>
    </row>
    <row r="16963" spans="2:2" ht="23.25" customHeight="1">
      <c r="B16963" s="2669"/>
    </row>
    <row r="16964" spans="2:2" ht="23.25" customHeight="1">
      <c r="B16964" s="2669"/>
    </row>
    <row r="16965" spans="2:2" ht="23.25" customHeight="1">
      <c r="B16965" s="2669"/>
    </row>
    <row r="16966" spans="2:2" ht="23.25" customHeight="1">
      <c r="B16966" s="2669"/>
    </row>
    <row r="16967" spans="2:2" ht="23.25" customHeight="1">
      <c r="B16967" s="2669"/>
    </row>
    <row r="16968" spans="2:2" ht="23.25" customHeight="1">
      <c r="B16968" s="2669"/>
    </row>
    <row r="16969" spans="2:2" ht="23.25" customHeight="1">
      <c r="B16969" s="2669"/>
    </row>
    <row r="16970" spans="2:2" ht="23.25" customHeight="1">
      <c r="B16970" s="2669"/>
    </row>
    <row r="16971" spans="2:2" ht="23.25" customHeight="1">
      <c r="B16971" s="2669"/>
    </row>
    <row r="16972" spans="2:2" ht="23.25" customHeight="1">
      <c r="B16972" s="2669"/>
    </row>
    <row r="16973" spans="2:2" ht="23.25" customHeight="1">
      <c r="B16973" s="2669"/>
    </row>
    <row r="16974" spans="2:2" ht="23.25" customHeight="1">
      <c r="B16974" s="2669"/>
    </row>
    <row r="16975" spans="2:2" ht="23.25" customHeight="1">
      <c r="B16975" s="2669"/>
    </row>
    <row r="16976" spans="2:2" ht="23.25" customHeight="1">
      <c r="B16976" s="2669"/>
    </row>
    <row r="16977" spans="2:2" ht="23.25" customHeight="1">
      <c r="B16977" s="2669"/>
    </row>
    <row r="16978" spans="2:2" ht="23.25" customHeight="1">
      <c r="B16978" s="2669"/>
    </row>
    <row r="16979" spans="2:2" ht="23.25" customHeight="1">
      <c r="B16979" s="2669"/>
    </row>
    <row r="16980" spans="2:2" ht="23.25" customHeight="1">
      <c r="B16980" s="2669"/>
    </row>
    <row r="16981" spans="2:2" ht="23.25" customHeight="1">
      <c r="B16981" s="2669"/>
    </row>
    <row r="16982" spans="2:2" ht="23.25" customHeight="1">
      <c r="B16982" s="2669"/>
    </row>
    <row r="16983" spans="2:2" ht="23.25" customHeight="1">
      <c r="B16983" s="2669"/>
    </row>
    <row r="16984" spans="2:2" ht="23.25" customHeight="1">
      <c r="B16984" s="2669"/>
    </row>
    <row r="16985" spans="2:2" ht="23.25" customHeight="1">
      <c r="B16985" s="2669"/>
    </row>
    <row r="16986" spans="2:2" ht="23.25" customHeight="1">
      <c r="B16986" s="2669"/>
    </row>
    <row r="16987" spans="2:2" ht="23.25" customHeight="1">
      <c r="B16987" s="2669"/>
    </row>
    <row r="16988" spans="2:2" ht="23.25" customHeight="1">
      <c r="B16988" s="2669"/>
    </row>
    <row r="16989" spans="2:2" ht="23.25" customHeight="1">
      <c r="B16989" s="2669"/>
    </row>
    <row r="16990" spans="2:2" ht="23.25" customHeight="1">
      <c r="B16990" s="2669"/>
    </row>
    <row r="16991" spans="2:2" ht="23.25" customHeight="1">
      <c r="B16991" s="2669"/>
    </row>
    <row r="16992" spans="2:2" ht="23.25" customHeight="1">
      <c r="B16992" s="2669"/>
    </row>
    <row r="16993" spans="2:2" ht="23.25" customHeight="1">
      <c r="B16993" s="2669"/>
    </row>
    <row r="16994" spans="2:2" ht="23.25" customHeight="1">
      <c r="B16994" s="2669"/>
    </row>
    <row r="16995" spans="2:2" ht="23.25" customHeight="1">
      <c r="B16995" s="2669"/>
    </row>
    <row r="16996" spans="2:2" ht="23.25" customHeight="1">
      <c r="B16996" s="2669"/>
    </row>
    <row r="16997" spans="2:2" ht="23.25" customHeight="1">
      <c r="B16997" s="2669"/>
    </row>
    <row r="16998" spans="2:2" ht="23.25" customHeight="1">
      <c r="B16998" s="2669"/>
    </row>
    <row r="16999" spans="2:2" ht="23.25" customHeight="1">
      <c r="B16999" s="2669"/>
    </row>
    <row r="17000" spans="2:2" ht="23.25" customHeight="1">
      <c r="B17000" s="2669"/>
    </row>
    <row r="17001" spans="2:2" ht="23.25" customHeight="1">
      <c r="B17001" s="2669"/>
    </row>
    <row r="17002" spans="2:2" ht="23.25" customHeight="1">
      <c r="B17002" s="2669"/>
    </row>
    <row r="17003" spans="2:2" ht="23.25" customHeight="1">
      <c r="B17003" s="2669"/>
    </row>
    <row r="17004" spans="2:2" ht="23.25" customHeight="1">
      <c r="B17004" s="2669"/>
    </row>
    <row r="17005" spans="2:2" ht="23.25" customHeight="1">
      <c r="B17005" s="2669"/>
    </row>
    <row r="17006" spans="2:2" ht="23.25" customHeight="1">
      <c r="B17006" s="2669"/>
    </row>
    <row r="17007" spans="2:2" ht="23.25" customHeight="1">
      <c r="B17007" s="2669"/>
    </row>
    <row r="17008" spans="2:2" ht="23.25" customHeight="1">
      <c r="B17008" s="2669"/>
    </row>
    <row r="17009" spans="2:2" ht="23.25" customHeight="1">
      <c r="B17009" s="2669"/>
    </row>
    <row r="17010" spans="2:2" ht="23.25" customHeight="1">
      <c r="B17010" s="2669"/>
    </row>
    <row r="17011" spans="2:2" ht="23.25" customHeight="1">
      <c r="B17011" s="2669"/>
    </row>
    <row r="17012" spans="2:2" ht="23.25" customHeight="1">
      <c r="B17012" s="2669"/>
    </row>
    <row r="17013" spans="2:2" ht="23.25" customHeight="1">
      <c r="B17013" s="2669"/>
    </row>
    <row r="17014" spans="2:2" ht="23.25" customHeight="1">
      <c r="B17014" s="2669"/>
    </row>
    <row r="17015" spans="2:2" ht="23.25" customHeight="1">
      <c r="B17015" s="2669"/>
    </row>
    <row r="17016" spans="2:2" ht="23.25" customHeight="1">
      <c r="B17016" s="2669"/>
    </row>
    <row r="17017" spans="2:2" ht="23.25" customHeight="1">
      <c r="B17017" s="2669"/>
    </row>
    <row r="17018" spans="2:2" ht="23.25" customHeight="1">
      <c r="B17018" s="2669"/>
    </row>
    <row r="17019" spans="2:2" ht="23.25" customHeight="1">
      <c r="B17019" s="2669"/>
    </row>
    <row r="17020" spans="2:2" ht="23.25" customHeight="1">
      <c r="B17020" s="2669"/>
    </row>
    <row r="17021" spans="2:2" ht="23.25" customHeight="1">
      <c r="B17021" s="2669"/>
    </row>
    <row r="17022" spans="2:2" ht="23.25" customHeight="1">
      <c r="B17022" s="2669"/>
    </row>
    <row r="17023" spans="2:2" ht="23.25" customHeight="1">
      <c r="B17023" s="2669"/>
    </row>
    <row r="17024" spans="2:2" ht="23.25" customHeight="1">
      <c r="B17024" s="2669"/>
    </row>
    <row r="17025" spans="2:2" ht="23.25" customHeight="1">
      <c r="B17025" s="2669"/>
    </row>
    <row r="17026" spans="2:2" ht="23.25" customHeight="1">
      <c r="B17026" s="2669"/>
    </row>
    <row r="17027" spans="2:2" ht="23.25" customHeight="1">
      <c r="B17027" s="2669"/>
    </row>
    <row r="17028" spans="2:2" ht="23.25" customHeight="1">
      <c r="B17028" s="2669"/>
    </row>
    <row r="17029" spans="2:2" ht="23.25" customHeight="1">
      <c r="B17029" s="2669"/>
    </row>
    <row r="17030" spans="2:2" ht="23.25" customHeight="1">
      <c r="B17030" s="2669"/>
    </row>
    <row r="17031" spans="2:2" ht="23.25" customHeight="1">
      <c r="B17031" s="2669"/>
    </row>
    <row r="17032" spans="2:2" ht="23.25" customHeight="1">
      <c r="B17032" s="2669"/>
    </row>
    <row r="17033" spans="2:2" ht="23.25" customHeight="1">
      <c r="B17033" s="2669"/>
    </row>
    <row r="17034" spans="2:2" ht="23.25" customHeight="1">
      <c r="B17034" s="2669"/>
    </row>
    <row r="17035" spans="2:2" ht="23.25" customHeight="1">
      <c r="B17035" s="2669"/>
    </row>
    <row r="17036" spans="2:2" ht="23.25" customHeight="1">
      <c r="B17036" s="2669"/>
    </row>
    <row r="17037" spans="2:2" ht="23.25" customHeight="1">
      <c r="B17037" s="2669"/>
    </row>
    <row r="17038" spans="2:2" ht="23.25" customHeight="1">
      <c r="B17038" s="2669"/>
    </row>
    <row r="17039" spans="2:2" ht="23.25" customHeight="1">
      <c r="B17039" s="2669"/>
    </row>
    <row r="17040" spans="2:2" ht="23.25" customHeight="1">
      <c r="B17040" s="2669"/>
    </row>
    <row r="17041" spans="2:2" ht="23.25" customHeight="1">
      <c r="B17041" s="2669"/>
    </row>
    <row r="17042" spans="2:2" ht="23.25" customHeight="1">
      <c r="B17042" s="2669"/>
    </row>
    <row r="17043" spans="2:2" ht="23.25" customHeight="1">
      <c r="B17043" s="2669"/>
    </row>
    <row r="17044" spans="2:2" ht="23.25" customHeight="1">
      <c r="B17044" s="2669"/>
    </row>
    <row r="17045" spans="2:2" ht="23.25" customHeight="1">
      <c r="B17045" s="2669"/>
    </row>
    <row r="17046" spans="2:2" ht="23.25" customHeight="1">
      <c r="B17046" s="2669"/>
    </row>
    <row r="17047" spans="2:2" ht="23.25" customHeight="1">
      <c r="B17047" s="2669"/>
    </row>
    <row r="17048" spans="2:2" ht="23.25" customHeight="1">
      <c r="B17048" s="2669"/>
    </row>
    <row r="17049" spans="2:2" ht="23.25" customHeight="1">
      <c r="B17049" s="2669"/>
    </row>
    <row r="17050" spans="2:2" ht="23.25" customHeight="1">
      <c r="B17050" s="2669"/>
    </row>
    <row r="17051" spans="2:2" ht="23.25" customHeight="1">
      <c r="B17051" s="2669"/>
    </row>
    <row r="17052" spans="2:2" ht="23.25" customHeight="1">
      <c r="B17052" s="2669"/>
    </row>
    <row r="17053" spans="2:2" ht="23.25" customHeight="1">
      <c r="B17053" s="2669"/>
    </row>
    <row r="17054" spans="2:2" ht="23.25" customHeight="1">
      <c r="B17054" s="2669"/>
    </row>
    <row r="17055" spans="2:2" ht="23.25" customHeight="1">
      <c r="B17055" s="2669"/>
    </row>
    <row r="17056" spans="2:2" ht="23.25" customHeight="1">
      <c r="B17056" s="2669"/>
    </row>
    <row r="17057" spans="2:2" ht="23.25" customHeight="1">
      <c r="B17057" s="2669"/>
    </row>
    <row r="17058" spans="2:2" ht="23.25" customHeight="1">
      <c r="B17058" s="2669"/>
    </row>
    <row r="17059" spans="2:2" ht="23.25" customHeight="1">
      <c r="B17059" s="2669"/>
    </row>
    <row r="17060" spans="2:2" ht="23.25" customHeight="1">
      <c r="B17060" s="2669"/>
    </row>
    <row r="17061" spans="2:2" ht="23.25" customHeight="1">
      <c r="B17061" s="2669"/>
    </row>
    <row r="17062" spans="2:2" ht="23.25" customHeight="1">
      <c r="B17062" s="2669"/>
    </row>
    <row r="17063" spans="2:2" ht="23.25" customHeight="1">
      <c r="B17063" s="2669"/>
    </row>
    <row r="17064" spans="2:2" ht="23.25" customHeight="1">
      <c r="B17064" s="2669"/>
    </row>
    <row r="17065" spans="2:2" ht="23.25" customHeight="1">
      <c r="B17065" s="2669"/>
    </row>
    <row r="17066" spans="2:2" ht="23.25" customHeight="1">
      <c r="B17066" s="2669"/>
    </row>
    <row r="17067" spans="2:2" ht="23.25" customHeight="1">
      <c r="B17067" s="2669"/>
    </row>
    <row r="17068" spans="2:2" ht="23.25" customHeight="1">
      <c r="B17068" s="2669"/>
    </row>
    <row r="17069" spans="2:2" ht="23.25" customHeight="1">
      <c r="B17069" s="2669"/>
    </row>
    <row r="17070" spans="2:2" ht="23.25" customHeight="1">
      <c r="B17070" s="2669"/>
    </row>
    <row r="17071" spans="2:2" ht="23.25" customHeight="1">
      <c r="B17071" s="2669"/>
    </row>
    <row r="17072" spans="2:2" ht="23.25" customHeight="1">
      <c r="B17072" s="2669"/>
    </row>
    <row r="17073" spans="2:2" ht="23.25" customHeight="1">
      <c r="B17073" s="2669"/>
    </row>
    <row r="17074" spans="2:2" ht="23.25" customHeight="1">
      <c r="B17074" s="2669"/>
    </row>
    <row r="17075" spans="2:2" ht="23.25" customHeight="1">
      <c r="B17075" s="2669"/>
    </row>
    <row r="17076" spans="2:2" ht="23.25" customHeight="1">
      <c r="B17076" s="2669"/>
    </row>
    <row r="17077" spans="2:2" ht="23.25" customHeight="1">
      <c r="B17077" s="2669"/>
    </row>
    <row r="17078" spans="2:2" ht="23.25" customHeight="1">
      <c r="B17078" s="2669"/>
    </row>
    <row r="17079" spans="2:2" ht="23.25" customHeight="1">
      <c r="B17079" s="2669"/>
    </row>
    <row r="17080" spans="2:2" ht="23.25" customHeight="1">
      <c r="B17080" s="2669"/>
    </row>
    <row r="17081" spans="2:2" ht="23.25" customHeight="1">
      <c r="B17081" s="2669"/>
    </row>
    <row r="17082" spans="2:2" ht="23.25" customHeight="1">
      <c r="B17082" s="2669"/>
    </row>
    <row r="17083" spans="2:2" ht="23.25" customHeight="1">
      <c r="B17083" s="2669"/>
    </row>
    <row r="17084" spans="2:2" ht="23.25" customHeight="1">
      <c r="B17084" s="2669"/>
    </row>
    <row r="17085" spans="2:2" ht="23.25" customHeight="1">
      <c r="B17085" s="2669"/>
    </row>
    <row r="17086" spans="2:2" ht="23.25" customHeight="1">
      <c r="B17086" s="2669"/>
    </row>
    <row r="17087" spans="2:2" ht="23.25" customHeight="1">
      <c r="B17087" s="2669"/>
    </row>
    <row r="17088" spans="2:2" ht="23.25" customHeight="1">
      <c r="B17088" s="2669"/>
    </row>
    <row r="17089" spans="2:2" ht="23.25" customHeight="1">
      <c r="B17089" s="2669"/>
    </row>
    <row r="17090" spans="2:2" ht="23.25" customHeight="1">
      <c r="B17090" s="2669"/>
    </row>
    <row r="17091" spans="2:2" ht="23.25" customHeight="1">
      <c r="B17091" s="2669"/>
    </row>
    <row r="17092" spans="2:2" ht="23.25" customHeight="1">
      <c r="B17092" s="2669"/>
    </row>
    <row r="17093" spans="2:2" ht="23.25" customHeight="1">
      <c r="B17093" s="2669"/>
    </row>
    <row r="17094" spans="2:2" ht="23.25" customHeight="1">
      <c r="B17094" s="2669"/>
    </row>
    <row r="17095" spans="2:2" ht="23.25" customHeight="1">
      <c r="B17095" s="2669"/>
    </row>
    <row r="17096" spans="2:2" ht="23.25" customHeight="1">
      <c r="B17096" s="2669"/>
    </row>
    <row r="17097" spans="2:2" ht="23.25" customHeight="1">
      <c r="B17097" s="2669"/>
    </row>
    <row r="17098" spans="2:2" ht="23.25" customHeight="1">
      <c r="B17098" s="2669"/>
    </row>
    <row r="17099" spans="2:2" ht="23.25" customHeight="1">
      <c r="B17099" s="2669"/>
    </row>
    <row r="17100" spans="2:2" ht="23.25" customHeight="1">
      <c r="B17100" s="2669"/>
    </row>
    <row r="17101" spans="2:2" ht="23.25" customHeight="1">
      <c r="B17101" s="2669"/>
    </row>
    <row r="17102" spans="2:2" ht="23.25" customHeight="1">
      <c r="B17102" s="2669"/>
    </row>
    <row r="17103" spans="2:2" ht="23.25" customHeight="1">
      <c r="B17103" s="2669"/>
    </row>
    <row r="17104" spans="2:2" ht="23.25" customHeight="1">
      <c r="B17104" s="2669"/>
    </row>
    <row r="17105" spans="2:2" ht="23.25" customHeight="1">
      <c r="B17105" s="2669"/>
    </row>
    <row r="17106" spans="2:2" ht="23.25" customHeight="1">
      <c r="B17106" s="2669"/>
    </row>
    <row r="17107" spans="2:2" ht="23.25" customHeight="1">
      <c r="B17107" s="2669"/>
    </row>
    <row r="17108" spans="2:2" ht="23.25" customHeight="1">
      <c r="B17108" s="2669"/>
    </row>
    <row r="17109" spans="2:2" ht="23.25" customHeight="1">
      <c r="B17109" s="2669"/>
    </row>
    <row r="17110" spans="2:2" ht="23.25" customHeight="1">
      <c r="B17110" s="2669"/>
    </row>
    <row r="17111" spans="2:2" ht="23.25" customHeight="1">
      <c r="B17111" s="2669"/>
    </row>
    <row r="17112" spans="2:2" ht="23.25" customHeight="1">
      <c r="B17112" s="2669"/>
    </row>
    <row r="17113" spans="2:2" ht="23.25" customHeight="1">
      <c r="B17113" s="2669"/>
    </row>
    <row r="17114" spans="2:2" ht="23.25" customHeight="1">
      <c r="B17114" s="2669"/>
    </row>
    <row r="17115" spans="2:2" ht="23.25" customHeight="1">
      <c r="B17115" s="2669"/>
    </row>
    <row r="17116" spans="2:2" ht="23.25" customHeight="1">
      <c r="B17116" s="2669"/>
    </row>
    <row r="17117" spans="2:2" ht="23.25" customHeight="1">
      <c r="B17117" s="2669"/>
    </row>
    <row r="17118" spans="2:2" ht="23.25" customHeight="1">
      <c r="B17118" s="2669"/>
    </row>
    <row r="17119" spans="2:2" ht="23.25" customHeight="1">
      <c r="B17119" s="2669"/>
    </row>
    <row r="17120" spans="2:2" ht="23.25" customHeight="1">
      <c r="B17120" s="2669"/>
    </row>
    <row r="17121" spans="2:2" ht="23.25" customHeight="1">
      <c r="B17121" s="2669"/>
    </row>
    <row r="17122" spans="2:2" ht="23.25" customHeight="1">
      <c r="B17122" s="2669"/>
    </row>
    <row r="17123" spans="2:2" ht="23.25" customHeight="1">
      <c r="B17123" s="2669"/>
    </row>
    <row r="17124" spans="2:2" ht="23.25" customHeight="1">
      <c r="B17124" s="2669"/>
    </row>
    <row r="17125" spans="2:2" ht="23.25" customHeight="1">
      <c r="B17125" s="2669"/>
    </row>
    <row r="17126" spans="2:2" ht="23.25" customHeight="1">
      <c r="B17126" s="2669"/>
    </row>
    <row r="17127" spans="2:2" ht="23.25" customHeight="1">
      <c r="B17127" s="2669"/>
    </row>
    <row r="17128" spans="2:2" ht="23.25" customHeight="1">
      <c r="B17128" s="2669"/>
    </row>
    <row r="17129" spans="2:2" ht="23.25" customHeight="1">
      <c r="B17129" s="2669"/>
    </row>
    <row r="17130" spans="2:2" ht="23.25" customHeight="1">
      <c r="B17130" s="2669"/>
    </row>
    <row r="17131" spans="2:2" ht="23.25" customHeight="1">
      <c r="B17131" s="2669"/>
    </row>
    <row r="17132" spans="2:2" ht="23.25" customHeight="1">
      <c r="B17132" s="2669"/>
    </row>
    <row r="17133" spans="2:2" ht="23.25" customHeight="1">
      <c r="B17133" s="2669"/>
    </row>
    <row r="17134" spans="2:2" ht="23.25" customHeight="1">
      <c r="B17134" s="2669"/>
    </row>
    <row r="17135" spans="2:2" ht="23.25" customHeight="1">
      <c r="B17135" s="2669"/>
    </row>
    <row r="17136" spans="2:2" ht="23.25" customHeight="1">
      <c r="B17136" s="2669"/>
    </row>
    <row r="17137" spans="2:2" ht="23.25" customHeight="1">
      <c r="B17137" s="2669"/>
    </row>
    <row r="17138" spans="2:2" ht="23.25" customHeight="1">
      <c r="B17138" s="2669"/>
    </row>
    <row r="17139" spans="2:2" ht="23.25" customHeight="1">
      <c r="B17139" s="2669"/>
    </row>
    <row r="17140" spans="2:2" ht="23.25" customHeight="1">
      <c r="B17140" s="2669"/>
    </row>
    <row r="17141" spans="2:2" ht="23.25" customHeight="1">
      <c r="B17141" s="2669"/>
    </row>
    <row r="17142" spans="2:2" ht="23.25" customHeight="1">
      <c r="B17142" s="2669"/>
    </row>
    <row r="17143" spans="2:2" ht="23.25" customHeight="1">
      <c r="B17143" s="2669"/>
    </row>
    <row r="17144" spans="2:2" ht="23.25" customHeight="1">
      <c r="B17144" s="2669"/>
    </row>
    <row r="17145" spans="2:2" ht="23.25" customHeight="1">
      <c r="B17145" s="2669"/>
    </row>
    <row r="17146" spans="2:2" ht="23.25" customHeight="1">
      <c r="B17146" s="2669"/>
    </row>
    <row r="17147" spans="2:2" ht="23.25" customHeight="1">
      <c r="B17147" s="2669"/>
    </row>
    <row r="17148" spans="2:2" ht="23.25" customHeight="1">
      <c r="B17148" s="2669"/>
    </row>
    <row r="17149" spans="2:2" ht="23.25" customHeight="1">
      <c r="B17149" s="2669"/>
    </row>
    <row r="17150" spans="2:2" ht="23.25" customHeight="1">
      <c r="B17150" s="2669"/>
    </row>
    <row r="17151" spans="2:2" ht="23.25" customHeight="1">
      <c r="B17151" s="2669"/>
    </row>
    <row r="17152" spans="2:2" ht="23.25" customHeight="1">
      <c r="B17152" s="2669"/>
    </row>
    <row r="17153" spans="2:2" ht="23.25" customHeight="1">
      <c r="B17153" s="2669"/>
    </row>
    <row r="17154" spans="2:2" ht="23.25" customHeight="1">
      <c r="B17154" s="2669"/>
    </row>
    <row r="17155" spans="2:2" ht="23.25" customHeight="1">
      <c r="B17155" s="2669"/>
    </row>
    <row r="17156" spans="2:2" ht="23.25" customHeight="1">
      <c r="B17156" s="2669"/>
    </row>
    <row r="17157" spans="2:2" ht="23.25" customHeight="1">
      <c r="B17157" s="2669"/>
    </row>
    <row r="17158" spans="2:2" ht="23.25" customHeight="1">
      <c r="B17158" s="2669"/>
    </row>
    <row r="17159" spans="2:2" ht="23.25" customHeight="1">
      <c r="B17159" s="2669"/>
    </row>
    <row r="17160" spans="2:2" ht="23.25" customHeight="1">
      <c r="B17160" s="2669"/>
    </row>
    <row r="17161" spans="2:2" ht="23.25" customHeight="1">
      <c r="B17161" s="2669"/>
    </row>
    <row r="17162" spans="2:2" ht="23.25" customHeight="1">
      <c r="B17162" s="2669"/>
    </row>
    <row r="17163" spans="2:2" ht="23.25" customHeight="1">
      <c r="B17163" s="2669"/>
    </row>
    <row r="17164" spans="2:2" ht="23.25" customHeight="1">
      <c r="B17164" s="2669"/>
    </row>
    <row r="17165" spans="2:2" ht="23.25" customHeight="1">
      <c r="B17165" s="2669"/>
    </row>
    <row r="17166" spans="2:2" ht="23.25" customHeight="1">
      <c r="B17166" s="2669"/>
    </row>
    <row r="17167" spans="2:2" ht="23.25" customHeight="1">
      <c r="B17167" s="2669"/>
    </row>
    <row r="17168" spans="2:2" ht="23.25" customHeight="1">
      <c r="B17168" s="2669"/>
    </row>
    <row r="17169" spans="2:2" ht="23.25" customHeight="1">
      <c r="B17169" s="2669"/>
    </row>
    <row r="17170" spans="2:2" ht="23.25" customHeight="1">
      <c r="B17170" s="2669"/>
    </row>
    <row r="17171" spans="2:2" ht="23.25" customHeight="1">
      <c r="B17171" s="2669"/>
    </row>
    <row r="17172" spans="2:2" ht="23.25" customHeight="1">
      <c r="B17172" s="2669"/>
    </row>
    <row r="17173" spans="2:2" ht="23.25" customHeight="1">
      <c r="B17173" s="2669"/>
    </row>
    <row r="17174" spans="2:2" ht="23.25" customHeight="1">
      <c r="B17174" s="2669"/>
    </row>
    <row r="17175" spans="2:2" ht="23.25" customHeight="1">
      <c r="B17175" s="2669"/>
    </row>
    <row r="17176" spans="2:2" ht="23.25" customHeight="1">
      <c r="B17176" s="2669"/>
    </row>
    <row r="17177" spans="2:2" ht="23.25" customHeight="1">
      <c r="B17177" s="2669"/>
    </row>
    <row r="17178" spans="2:2" ht="23.25" customHeight="1">
      <c r="B17178" s="2669"/>
    </row>
    <row r="17179" spans="2:2" ht="23.25" customHeight="1">
      <c r="B17179" s="2669"/>
    </row>
    <row r="17180" spans="2:2" ht="23.25" customHeight="1">
      <c r="B17180" s="2669"/>
    </row>
    <row r="17181" spans="2:2" ht="23.25" customHeight="1">
      <c r="B17181" s="2669"/>
    </row>
    <row r="17182" spans="2:2" ht="23.25" customHeight="1">
      <c r="B17182" s="2669"/>
    </row>
    <row r="17183" spans="2:2" ht="23.25" customHeight="1">
      <c r="B17183" s="2669"/>
    </row>
    <row r="17184" spans="2:2" ht="23.25" customHeight="1">
      <c r="B17184" s="2669"/>
    </row>
    <row r="17185" spans="2:2" ht="23.25" customHeight="1">
      <c r="B17185" s="2669"/>
    </row>
    <row r="17186" spans="2:2" ht="23.25" customHeight="1">
      <c r="B17186" s="2669"/>
    </row>
    <row r="17187" spans="2:2" ht="23.25" customHeight="1">
      <c r="B17187" s="2669"/>
    </row>
    <row r="17188" spans="2:2" ht="23.25" customHeight="1">
      <c r="B17188" s="2669"/>
    </row>
    <row r="17189" spans="2:2" ht="23.25" customHeight="1">
      <c r="B17189" s="2669"/>
    </row>
    <row r="17190" spans="2:2" ht="23.25" customHeight="1">
      <c r="B17190" s="2669"/>
    </row>
    <row r="17191" spans="2:2" ht="23.25" customHeight="1">
      <c r="B17191" s="2669"/>
    </row>
    <row r="17192" spans="2:2" ht="23.25" customHeight="1">
      <c r="B17192" s="2669"/>
    </row>
    <row r="17193" spans="2:2" ht="23.25" customHeight="1">
      <c r="B17193" s="2669"/>
    </row>
    <row r="17194" spans="2:2" ht="23.25" customHeight="1">
      <c r="B17194" s="2669"/>
    </row>
    <row r="17195" spans="2:2" ht="23.25" customHeight="1">
      <c r="B17195" s="2669"/>
    </row>
    <row r="17196" spans="2:2" ht="23.25" customHeight="1">
      <c r="B17196" s="2669"/>
    </row>
    <row r="17197" spans="2:2" ht="23.25" customHeight="1">
      <c r="B17197" s="2669"/>
    </row>
    <row r="17198" spans="2:2" ht="23.25" customHeight="1">
      <c r="B17198" s="2669"/>
    </row>
    <row r="17199" spans="2:2" ht="23.25" customHeight="1">
      <c r="B17199" s="2669"/>
    </row>
    <row r="17200" spans="2:2" ht="23.25" customHeight="1">
      <c r="B17200" s="2669"/>
    </row>
    <row r="17201" spans="2:2" ht="23.25" customHeight="1">
      <c r="B17201" s="2669"/>
    </row>
    <row r="17202" spans="2:2" ht="23.25" customHeight="1">
      <c r="B17202" s="2669"/>
    </row>
    <row r="17203" spans="2:2" ht="23.25" customHeight="1">
      <c r="B17203" s="2669"/>
    </row>
    <row r="17204" spans="2:2" ht="23.25" customHeight="1">
      <c r="B17204" s="2669"/>
    </row>
    <row r="17205" spans="2:2" ht="23.25" customHeight="1">
      <c r="B17205" s="2669"/>
    </row>
    <row r="17206" spans="2:2" ht="23.25" customHeight="1">
      <c r="B17206" s="2669"/>
    </row>
    <row r="17207" spans="2:2" ht="23.25" customHeight="1">
      <c r="B17207" s="2669"/>
    </row>
    <row r="17208" spans="2:2" ht="23.25" customHeight="1">
      <c r="B17208" s="2669"/>
    </row>
    <row r="17209" spans="2:2" ht="23.25" customHeight="1">
      <c r="B17209" s="2669"/>
    </row>
    <row r="17210" spans="2:2" ht="23.25" customHeight="1">
      <c r="B17210" s="2669"/>
    </row>
    <row r="17211" spans="2:2" ht="23.25" customHeight="1">
      <c r="B17211" s="2669"/>
    </row>
    <row r="17212" spans="2:2" ht="23.25" customHeight="1">
      <c r="B17212" s="2669"/>
    </row>
    <row r="17213" spans="2:2" ht="23.25" customHeight="1">
      <c r="B17213" s="2669"/>
    </row>
    <row r="17214" spans="2:2" ht="23.25" customHeight="1">
      <c r="B17214" s="2669"/>
    </row>
    <row r="17215" spans="2:2" ht="23.25" customHeight="1">
      <c r="B17215" s="2669"/>
    </row>
    <row r="17216" spans="2:2" ht="23.25" customHeight="1">
      <c r="B17216" s="2669"/>
    </row>
    <row r="17217" spans="2:2" ht="23.25" customHeight="1">
      <c r="B17217" s="2669"/>
    </row>
    <row r="17218" spans="2:2" ht="23.25" customHeight="1">
      <c r="B17218" s="2669"/>
    </row>
    <row r="17219" spans="2:2" ht="23.25" customHeight="1">
      <c r="B17219" s="2669"/>
    </row>
    <row r="17220" spans="2:2" ht="23.25" customHeight="1">
      <c r="B17220" s="2669"/>
    </row>
    <row r="17221" spans="2:2" ht="23.25" customHeight="1">
      <c r="B17221" s="2669"/>
    </row>
    <row r="17222" spans="2:2" ht="23.25" customHeight="1">
      <c r="B17222" s="2669"/>
    </row>
    <row r="17223" spans="2:2" ht="23.25" customHeight="1">
      <c r="B17223" s="2669"/>
    </row>
    <row r="17224" spans="2:2" ht="23.25" customHeight="1">
      <c r="B17224" s="2669"/>
    </row>
    <row r="17225" spans="2:2" ht="23.25" customHeight="1">
      <c r="B17225" s="2669"/>
    </row>
    <row r="17226" spans="2:2" ht="23.25" customHeight="1">
      <c r="B17226" s="2669"/>
    </row>
    <row r="17227" spans="2:2" ht="23.25" customHeight="1">
      <c r="B17227" s="2669"/>
    </row>
    <row r="17228" spans="2:2" ht="23.25" customHeight="1">
      <c r="B17228" s="2669"/>
    </row>
    <row r="17229" spans="2:2" ht="23.25" customHeight="1">
      <c r="B17229" s="2669"/>
    </row>
    <row r="17230" spans="2:2" ht="23.25" customHeight="1">
      <c r="B17230" s="2669"/>
    </row>
    <row r="17231" spans="2:2" ht="23.25" customHeight="1">
      <c r="B17231" s="2669"/>
    </row>
    <row r="17232" spans="2:2" ht="23.25" customHeight="1">
      <c r="B17232" s="2669"/>
    </row>
    <row r="17233" spans="2:2" ht="23.25" customHeight="1">
      <c r="B17233" s="2669"/>
    </row>
    <row r="17234" spans="2:2" ht="23.25" customHeight="1">
      <c r="B17234" s="2669"/>
    </row>
    <row r="17235" spans="2:2" ht="23.25" customHeight="1">
      <c r="B17235" s="2669"/>
    </row>
    <row r="17236" spans="2:2" ht="23.25" customHeight="1">
      <c r="B17236" s="2669"/>
    </row>
    <row r="17237" spans="2:2" ht="23.25" customHeight="1">
      <c r="B17237" s="2669"/>
    </row>
    <row r="17238" spans="2:2" ht="23.25" customHeight="1">
      <c r="B17238" s="2669"/>
    </row>
    <row r="17239" spans="2:2" ht="23.25" customHeight="1">
      <c r="B17239" s="2669"/>
    </row>
    <row r="17240" spans="2:2" ht="23.25" customHeight="1">
      <c r="B17240" s="2669"/>
    </row>
    <row r="17241" spans="2:2" ht="23.25" customHeight="1">
      <c r="B17241" s="2669"/>
    </row>
    <row r="17242" spans="2:2" ht="23.25" customHeight="1">
      <c r="B17242" s="2669"/>
    </row>
    <row r="17243" spans="2:2" ht="23.25" customHeight="1">
      <c r="B17243" s="2669"/>
    </row>
    <row r="17244" spans="2:2" ht="23.25" customHeight="1">
      <c r="B17244" s="2669"/>
    </row>
    <row r="17245" spans="2:2" ht="23.25" customHeight="1">
      <c r="B17245" s="2669"/>
    </row>
    <row r="17246" spans="2:2" ht="23.25" customHeight="1">
      <c r="B17246" s="2669"/>
    </row>
    <row r="17247" spans="2:2" ht="23.25" customHeight="1">
      <c r="B17247" s="2669"/>
    </row>
    <row r="17248" spans="2:2" ht="23.25" customHeight="1">
      <c r="B17248" s="2669"/>
    </row>
    <row r="17249" spans="2:2" ht="23.25" customHeight="1">
      <c r="B17249" s="2669"/>
    </row>
    <row r="17250" spans="2:2" ht="23.25" customHeight="1">
      <c r="B17250" s="2669"/>
    </row>
    <row r="17251" spans="2:2" ht="23.25" customHeight="1">
      <c r="B17251" s="2669"/>
    </row>
    <row r="17252" spans="2:2" ht="23.25" customHeight="1">
      <c r="B17252" s="2669"/>
    </row>
    <row r="17253" spans="2:2" ht="23.25" customHeight="1">
      <c r="B17253" s="2669"/>
    </row>
    <row r="17254" spans="2:2" ht="23.25" customHeight="1">
      <c r="B17254" s="2669"/>
    </row>
    <row r="17255" spans="2:2" ht="23.25" customHeight="1">
      <c r="B17255" s="2669"/>
    </row>
    <row r="17256" spans="2:2" ht="23.25" customHeight="1">
      <c r="B17256" s="2669"/>
    </row>
    <row r="17257" spans="2:2" ht="23.25" customHeight="1">
      <c r="B17257" s="2669"/>
    </row>
    <row r="17258" spans="2:2" ht="23.25" customHeight="1">
      <c r="B17258" s="2669"/>
    </row>
    <row r="17259" spans="2:2" ht="23.25" customHeight="1">
      <c r="B17259" s="2669"/>
    </row>
    <row r="17260" spans="2:2" ht="23.25" customHeight="1">
      <c r="B17260" s="2669"/>
    </row>
    <row r="17261" spans="2:2" ht="23.25" customHeight="1">
      <c r="B17261" s="2669"/>
    </row>
    <row r="17262" spans="2:2" ht="23.25" customHeight="1">
      <c r="B17262" s="2669"/>
    </row>
    <row r="17263" spans="2:2" ht="23.25" customHeight="1">
      <c r="B17263" s="2669"/>
    </row>
    <row r="17264" spans="2:2" ht="23.25" customHeight="1">
      <c r="B17264" s="2669"/>
    </row>
    <row r="17265" spans="2:2" ht="23.25" customHeight="1">
      <c r="B17265" s="2669"/>
    </row>
    <row r="17266" spans="2:2" ht="23.25" customHeight="1">
      <c r="B17266" s="2669"/>
    </row>
    <row r="17267" spans="2:2" ht="23.25" customHeight="1">
      <c r="B17267" s="2669"/>
    </row>
    <row r="17268" spans="2:2" ht="23.25" customHeight="1">
      <c r="B17268" s="2669"/>
    </row>
    <row r="17269" spans="2:2" ht="23.25" customHeight="1">
      <c r="B17269" s="2669"/>
    </row>
    <row r="17270" spans="2:2" ht="23.25" customHeight="1">
      <c r="B17270" s="2669"/>
    </row>
    <row r="17271" spans="2:2" ht="23.25" customHeight="1">
      <c r="B17271" s="2669"/>
    </row>
    <row r="17272" spans="2:2" ht="23.25" customHeight="1">
      <c r="B17272" s="2669"/>
    </row>
    <row r="17273" spans="2:2" ht="23.25" customHeight="1">
      <c r="B17273" s="2669"/>
    </row>
    <row r="17274" spans="2:2" ht="23.25" customHeight="1">
      <c r="B17274" s="2669"/>
    </row>
    <row r="17275" spans="2:2" ht="23.25" customHeight="1">
      <c r="B17275" s="2669"/>
    </row>
    <row r="17276" spans="2:2" ht="23.25" customHeight="1">
      <c r="B17276" s="2669"/>
    </row>
    <row r="17277" spans="2:2" ht="23.25" customHeight="1">
      <c r="B17277" s="2669"/>
    </row>
    <row r="17278" spans="2:2" ht="23.25" customHeight="1">
      <c r="B17278" s="2669"/>
    </row>
    <row r="17279" spans="2:2" ht="23.25" customHeight="1">
      <c r="B17279" s="2669"/>
    </row>
    <row r="17280" spans="2:2" ht="23.25" customHeight="1">
      <c r="B17280" s="2669"/>
    </row>
    <row r="17281" spans="2:2" ht="23.25" customHeight="1">
      <c r="B17281" s="2669"/>
    </row>
    <row r="17282" spans="2:2" ht="23.25" customHeight="1">
      <c r="B17282" s="2669"/>
    </row>
    <row r="17283" spans="2:2" ht="23.25" customHeight="1">
      <c r="B17283" s="2669"/>
    </row>
    <row r="17284" spans="2:2" ht="23.25" customHeight="1">
      <c r="B17284" s="2669"/>
    </row>
    <row r="17285" spans="2:2" ht="23.25" customHeight="1">
      <c r="B17285" s="2669"/>
    </row>
    <row r="17286" spans="2:2" ht="23.25" customHeight="1">
      <c r="B17286" s="2669"/>
    </row>
    <row r="17287" spans="2:2" ht="23.25" customHeight="1">
      <c r="B17287" s="2669"/>
    </row>
    <row r="17288" spans="2:2" ht="23.25" customHeight="1">
      <c r="B17288" s="2669"/>
    </row>
    <row r="17289" spans="2:2" ht="23.25" customHeight="1">
      <c r="B17289" s="2669"/>
    </row>
    <row r="17290" spans="2:2" ht="23.25" customHeight="1">
      <c r="B17290" s="2669"/>
    </row>
    <row r="17291" spans="2:2" ht="23.25" customHeight="1">
      <c r="B17291" s="2669"/>
    </row>
    <row r="17292" spans="2:2" ht="23.25" customHeight="1">
      <c r="B17292" s="2669"/>
    </row>
    <row r="17293" spans="2:2" ht="23.25" customHeight="1">
      <c r="B17293" s="2669"/>
    </row>
    <row r="17294" spans="2:2" ht="23.25" customHeight="1">
      <c r="B17294" s="2669"/>
    </row>
    <row r="17295" spans="2:2" ht="23.25" customHeight="1">
      <c r="B17295" s="2669"/>
    </row>
    <row r="17296" spans="2:2" ht="23.25" customHeight="1">
      <c r="B17296" s="2669"/>
    </row>
    <row r="17297" spans="2:2" ht="23.25" customHeight="1">
      <c r="B17297" s="2669"/>
    </row>
    <row r="17298" spans="2:2" ht="23.25" customHeight="1">
      <c r="B17298" s="2669"/>
    </row>
    <row r="17299" spans="2:2" ht="23.25" customHeight="1">
      <c r="B17299" s="2669"/>
    </row>
    <row r="17300" spans="2:2" ht="23.25" customHeight="1">
      <c r="B17300" s="2669"/>
    </row>
    <row r="17301" spans="2:2" ht="23.25" customHeight="1">
      <c r="B17301" s="2669"/>
    </row>
    <row r="17302" spans="2:2" ht="23.25" customHeight="1">
      <c r="B17302" s="2669"/>
    </row>
    <row r="17303" spans="2:2" ht="23.25" customHeight="1">
      <c r="B17303" s="2669"/>
    </row>
    <row r="17304" spans="2:2" ht="23.25" customHeight="1">
      <c r="B17304" s="2669"/>
    </row>
    <row r="17305" spans="2:2" ht="23.25" customHeight="1">
      <c r="B17305" s="2669"/>
    </row>
    <row r="17306" spans="2:2" ht="23.25" customHeight="1">
      <c r="B17306" s="2669"/>
    </row>
    <row r="17307" spans="2:2" ht="23.25" customHeight="1">
      <c r="B17307" s="2669"/>
    </row>
    <row r="17308" spans="2:2" ht="23.25" customHeight="1">
      <c r="B17308" s="2669"/>
    </row>
    <row r="17309" spans="2:2" ht="23.25" customHeight="1">
      <c r="B17309" s="2669"/>
    </row>
    <row r="17310" spans="2:2" ht="23.25" customHeight="1">
      <c r="B17310" s="2669"/>
    </row>
    <row r="17311" spans="2:2" ht="23.25" customHeight="1">
      <c r="B17311" s="2669"/>
    </row>
    <row r="17312" spans="2:2" ht="23.25" customHeight="1">
      <c r="B17312" s="2669"/>
    </row>
    <row r="17313" spans="2:2" ht="23.25" customHeight="1">
      <c r="B17313" s="2669"/>
    </row>
    <row r="17314" spans="2:2" ht="23.25" customHeight="1">
      <c r="B17314" s="2669"/>
    </row>
    <row r="17315" spans="2:2" ht="23.25" customHeight="1">
      <c r="B17315" s="2669"/>
    </row>
    <row r="17316" spans="2:2" ht="23.25" customHeight="1">
      <c r="B17316" s="2669"/>
    </row>
    <row r="17317" spans="2:2" ht="23.25" customHeight="1">
      <c r="B17317" s="2669"/>
    </row>
    <row r="17318" spans="2:2" ht="23.25" customHeight="1">
      <c r="B17318" s="2669"/>
    </row>
    <row r="17319" spans="2:2" ht="23.25" customHeight="1">
      <c r="B17319" s="2669"/>
    </row>
    <row r="17320" spans="2:2" ht="23.25" customHeight="1">
      <c r="B17320" s="2669"/>
    </row>
    <row r="17321" spans="2:2" ht="23.25" customHeight="1">
      <c r="B17321" s="2669"/>
    </row>
    <row r="17322" spans="2:2" ht="23.25" customHeight="1">
      <c r="B17322" s="2669"/>
    </row>
    <row r="17323" spans="2:2" ht="23.25" customHeight="1">
      <c r="B17323" s="2669"/>
    </row>
    <row r="17324" spans="2:2" ht="23.25" customHeight="1">
      <c r="B17324" s="2669"/>
    </row>
    <row r="17325" spans="2:2" ht="23.25" customHeight="1">
      <c r="B17325" s="2669"/>
    </row>
    <row r="17326" spans="2:2" ht="23.25" customHeight="1">
      <c r="B17326" s="2669"/>
    </row>
    <row r="17327" spans="2:2" ht="23.25" customHeight="1">
      <c r="B17327" s="2669"/>
    </row>
    <row r="17328" spans="2:2" ht="23.25" customHeight="1">
      <c r="B17328" s="2669"/>
    </row>
    <row r="17329" spans="2:2" ht="23.25" customHeight="1">
      <c r="B17329" s="2669"/>
    </row>
    <row r="17330" spans="2:2" ht="23.25" customHeight="1">
      <c r="B17330" s="2669"/>
    </row>
    <row r="17331" spans="2:2" ht="23.25" customHeight="1">
      <c r="B17331" s="2669"/>
    </row>
    <row r="17332" spans="2:2" ht="23.25" customHeight="1">
      <c r="B17332" s="2669"/>
    </row>
    <row r="17333" spans="2:2" ht="23.25" customHeight="1">
      <c r="B17333" s="2669"/>
    </row>
    <row r="17334" spans="2:2" ht="23.25" customHeight="1">
      <c r="B17334" s="2669"/>
    </row>
    <row r="17335" spans="2:2" ht="23.25" customHeight="1">
      <c r="B17335" s="2669"/>
    </row>
    <row r="17336" spans="2:2" ht="23.25" customHeight="1">
      <c r="B17336" s="2669"/>
    </row>
    <row r="17337" spans="2:2" ht="23.25" customHeight="1">
      <c r="B17337" s="2669"/>
    </row>
    <row r="17338" spans="2:2" ht="23.25" customHeight="1">
      <c r="B17338" s="2669"/>
    </row>
    <row r="17339" spans="2:2" ht="23.25" customHeight="1">
      <c r="B17339" s="2669"/>
    </row>
    <row r="17340" spans="2:2" ht="23.25" customHeight="1">
      <c r="B17340" s="2669"/>
    </row>
    <row r="17341" spans="2:2" ht="23.25" customHeight="1">
      <c r="B17341" s="2669"/>
    </row>
    <row r="17342" spans="2:2" ht="23.25" customHeight="1">
      <c r="B17342" s="2669"/>
    </row>
    <row r="17343" spans="2:2" ht="23.25" customHeight="1">
      <c r="B17343" s="2669"/>
    </row>
    <row r="17344" spans="2:2" ht="23.25" customHeight="1">
      <c r="B17344" s="2669"/>
    </row>
    <row r="17345" spans="2:2" ht="23.25" customHeight="1">
      <c r="B17345" s="2669"/>
    </row>
    <row r="17346" spans="2:2" ht="23.25" customHeight="1">
      <c r="B17346" s="2669"/>
    </row>
    <row r="17347" spans="2:2" ht="23.25" customHeight="1">
      <c r="B17347" s="2669"/>
    </row>
    <row r="17348" spans="2:2" ht="23.25" customHeight="1">
      <c r="B17348" s="2669"/>
    </row>
    <row r="17349" spans="2:2" ht="23.25" customHeight="1">
      <c r="B17349" s="2669"/>
    </row>
    <row r="17350" spans="2:2" ht="23.25" customHeight="1">
      <c r="B17350" s="2669"/>
    </row>
    <row r="17351" spans="2:2" ht="23.25" customHeight="1">
      <c r="B17351" s="2669"/>
    </row>
    <row r="17352" spans="2:2" ht="23.25" customHeight="1">
      <c r="B17352" s="2669"/>
    </row>
    <row r="17353" spans="2:2" ht="23.25" customHeight="1">
      <c r="B17353" s="2669"/>
    </row>
    <row r="17354" spans="2:2" ht="23.25" customHeight="1">
      <c r="B17354" s="2669"/>
    </row>
    <row r="17355" spans="2:2" ht="23.25" customHeight="1">
      <c r="B17355" s="2669"/>
    </row>
    <row r="17356" spans="2:2" ht="23.25" customHeight="1">
      <c r="B17356" s="2669"/>
    </row>
    <row r="17357" spans="2:2" ht="23.25" customHeight="1">
      <c r="B17357" s="2669"/>
    </row>
    <row r="17358" spans="2:2" ht="23.25" customHeight="1">
      <c r="B17358" s="2669"/>
    </row>
    <row r="17359" spans="2:2" ht="23.25" customHeight="1">
      <c r="B17359" s="2669"/>
    </row>
    <row r="17360" spans="2:2" ht="23.25" customHeight="1">
      <c r="B17360" s="2669"/>
    </row>
    <row r="17361" spans="2:2" ht="23.25" customHeight="1">
      <c r="B17361" s="2669"/>
    </row>
    <row r="17362" spans="2:2" ht="23.25" customHeight="1">
      <c r="B17362" s="2669"/>
    </row>
    <row r="17363" spans="2:2" ht="23.25" customHeight="1">
      <c r="B17363" s="2669"/>
    </row>
    <row r="17364" spans="2:2" ht="23.25" customHeight="1">
      <c r="B17364" s="2669"/>
    </row>
    <row r="17365" spans="2:2" ht="23.25" customHeight="1">
      <c r="B17365" s="2669"/>
    </row>
    <row r="17366" spans="2:2" ht="23.25" customHeight="1">
      <c r="B17366" s="2669"/>
    </row>
    <row r="17367" spans="2:2" ht="23.25" customHeight="1">
      <c r="B17367" s="2669"/>
    </row>
    <row r="17368" spans="2:2" ht="23.25" customHeight="1">
      <c r="B17368" s="2669"/>
    </row>
    <row r="17369" spans="2:2" ht="23.25" customHeight="1">
      <c r="B17369" s="2669"/>
    </row>
    <row r="17370" spans="2:2" ht="23.25" customHeight="1">
      <c r="B17370" s="2669"/>
    </row>
    <row r="17371" spans="2:2" ht="23.25" customHeight="1">
      <c r="B17371" s="2669"/>
    </row>
    <row r="17372" spans="2:2" ht="23.25" customHeight="1">
      <c r="B17372" s="2669"/>
    </row>
    <row r="17373" spans="2:2" ht="23.25" customHeight="1">
      <c r="B17373" s="2669"/>
    </row>
    <row r="17374" spans="2:2" ht="23.25" customHeight="1">
      <c r="B17374" s="2669"/>
    </row>
    <row r="17375" spans="2:2" ht="23.25" customHeight="1">
      <c r="B17375" s="2669"/>
    </row>
    <row r="17376" spans="2:2" ht="23.25" customHeight="1">
      <c r="B17376" s="2669"/>
    </row>
    <row r="17377" spans="2:2" ht="23.25" customHeight="1">
      <c r="B17377" s="2669"/>
    </row>
    <row r="17378" spans="2:2" ht="23.25" customHeight="1">
      <c r="B17378" s="2669"/>
    </row>
    <row r="17379" spans="2:2" ht="23.25" customHeight="1">
      <c r="B17379" s="2669"/>
    </row>
    <row r="17380" spans="2:2" ht="23.25" customHeight="1">
      <c r="B17380" s="2669"/>
    </row>
    <row r="17381" spans="2:2" ht="23.25" customHeight="1">
      <c r="B17381" s="2669"/>
    </row>
    <row r="17382" spans="2:2" ht="23.25" customHeight="1">
      <c r="B17382" s="2669"/>
    </row>
    <row r="17383" spans="2:2" ht="23.25" customHeight="1">
      <c r="B17383" s="2669"/>
    </row>
    <row r="17384" spans="2:2" ht="23.25" customHeight="1">
      <c r="B17384" s="2669"/>
    </row>
    <row r="17385" spans="2:2" ht="23.25" customHeight="1">
      <c r="B17385" s="2669"/>
    </row>
    <row r="17386" spans="2:2" ht="23.25" customHeight="1">
      <c r="B17386" s="2669"/>
    </row>
    <row r="17387" spans="2:2" ht="23.25" customHeight="1">
      <c r="B17387" s="2669"/>
    </row>
    <row r="17388" spans="2:2" ht="23.25" customHeight="1">
      <c r="B17388" s="2669"/>
    </row>
    <row r="17389" spans="2:2" ht="23.25" customHeight="1">
      <c r="B17389" s="2669"/>
    </row>
    <row r="17390" spans="2:2" ht="23.25" customHeight="1">
      <c r="B17390" s="2669"/>
    </row>
    <row r="17391" spans="2:2" ht="23.25" customHeight="1">
      <c r="B17391" s="2669"/>
    </row>
    <row r="17392" spans="2:2" ht="23.25" customHeight="1">
      <c r="B17392" s="2669"/>
    </row>
    <row r="17393" spans="2:2" ht="23.25" customHeight="1">
      <c r="B17393" s="2669"/>
    </row>
    <row r="17394" spans="2:2" ht="23.25" customHeight="1">
      <c r="B17394" s="2669"/>
    </row>
    <row r="17395" spans="2:2" ht="23.25" customHeight="1">
      <c r="B17395" s="2669"/>
    </row>
    <row r="17396" spans="2:2" ht="23.25" customHeight="1">
      <c r="B17396" s="2669"/>
    </row>
    <row r="17397" spans="2:2" ht="23.25" customHeight="1">
      <c r="B17397" s="2669"/>
    </row>
    <row r="17398" spans="2:2" ht="23.25" customHeight="1">
      <c r="B17398" s="2669"/>
    </row>
    <row r="17399" spans="2:2" ht="23.25" customHeight="1">
      <c r="B17399" s="2669"/>
    </row>
    <row r="17400" spans="2:2" ht="23.25" customHeight="1">
      <c r="B17400" s="2669"/>
    </row>
    <row r="17401" spans="2:2" ht="23.25" customHeight="1">
      <c r="B17401" s="2669"/>
    </row>
    <row r="17402" spans="2:2" ht="23.25" customHeight="1">
      <c r="B17402" s="2669"/>
    </row>
    <row r="17403" spans="2:2" ht="23.25" customHeight="1">
      <c r="B17403" s="2669"/>
    </row>
    <row r="17404" spans="2:2" ht="23.25" customHeight="1">
      <c r="B17404" s="2669"/>
    </row>
    <row r="17405" spans="2:2" ht="23.25" customHeight="1">
      <c r="B17405" s="2669"/>
    </row>
    <row r="17406" spans="2:2" ht="23.25" customHeight="1">
      <c r="B17406" s="2669"/>
    </row>
    <row r="17407" spans="2:2" ht="23.25" customHeight="1">
      <c r="B17407" s="2669"/>
    </row>
    <row r="17408" spans="2:2" ht="23.25" customHeight="1">
      <c r="B17408" s="2669"/>
    </row>
    <row r="17409" spans="2:2" ht="23.25" customHeight="1">
      <c r="B17409" s="2669"/>
    </row>
    <row r="17410" spans="2:2" ht="23.25" customHeight="1">
      <c r="B17410" s="2669"/>
    </row>
    <row r="17411" spans="2:2" ht="23.25" customHeight="1">
      <c r="B17411" s="2669"/>
    </row>
    <row r="17412" spans="2:2" ht="23.25" customHeight="1">
      <c r="B17412" s="2669"/>
    </row>
    <row r="17413" spans="2:2" ht="23.25" customHeight="1">
      <c r="B17413" s="2669"/>
    </row>
    <row r="17414" spans="2:2" ht="23.25" customHeight="1">
      <c r="B17414" s="2669"/>
    </row>
    <row r="17415" spans="2:2" ht="23.25" customHeight="1">
      <c r="B17415" s="2669"/>
    </row>
    <row r="17416" spans="2:2" ht="23.25" customHeight="1">
      <c r="B17416" s="2669"/>
    </row>
    <row r="17417" spans="2:2" ht="23.25" customHeight="1">
      <c r="B17417" s="2669"/>
    </row>
    <row r="17418" spans="2:2" ht="23.25" customHeight="1">
      <c r="B17418" s="2669"/>
    </row>
    <row r="17419" spans="2:2" ht="23.25" customHeight="1">
      <c r="B17419" s="2669"/>
    </row>
    <row r="17420" spans="2:2" ht="23.25" customHeight="1">
      <c r="B17420" s="2669"/>
    </row>
    <row r="17421" spans="2:2" ht="23.25" customHeight="1">
      <c r="B17421" s="2669"/>
    </row>
    <row r="17422" spans="2:2" ht="23.25" customHeight="1">
      <c r="B17422" s="2669"/>
    </row>
    <row r="17423" spans="2:2" ht="23.25" customHeight="1">
      <c r="B17423" s="2669"/>
    </row>
    <row r="17424" spans="2:2" ht="23.25" customHeight="1">
      <c r="B17424" s="2669"/>
    </row>
    <row r="17425" spans="2:2" ht="23.25" customHeight="1">
      <c r="B17425" s="2669"/>
    </row>
    <row r="17426" spans="2:2" ht="23.25" customHeight="1">
      <c r="B17426" s="2669"/>
    </row>
    <row r="17427" spans="2:2" ht="23.25" customHeight="1">
      <c r="B17427" s="2669"/>
    </row>
    <row r="17428" spans="2:2" ht="23.25" customHeight="1">
      <c r="B17428" s="2669"/>
    </row>
    <row r="17429" spans="2:2" ht="23.25" customHeight="1">
      <c r="B17429" s="2669"/>
    </row>
    <row r="17430" spans="2:2" ht="23.25" customHeight="1">
      <c r="B17430" s="2669"/>
    </row>
    <row r="17431" spans="2:2" ht="23.25" customHeight="1">
      <c r="B17431" s="2669"/>
    </row>
    <row r="17432" spans="2:2" ht="23.25" customHeight="1">
      <c r="B17432" s="2669"/>
    </row>
    <row r="17433" spans="2:2" ht="23.25" customHeight="1">
      <c r="B17433" s="2669"/>
    </row>
    <row r="17434" spans="2:2" ht="23.25" customHeight="1">
      <c r="B17434" s="2669"/>
    </row>
    <row r="17435" spans="2:2" ht="23.25" customHeight="1">
      <c r="B17435" s="2669"/>
    </row>
    <row r="17436" spans="2:2" ht="23.25" customHeight="1">
      <c r="B17436" s="2669"/>
    </row>
    <row r="17437" spans="2:2" ht="23.25" customHeight="1">
      <c r="B17437" s="2669"/>
    </row>
    <row r="17438" spans="2:2" ht="23.25" customHeight="1">
      <c r="B17438" s="2669"/>
    </row>
    <row r="17439" spans="2:2" ht="23.25" customHeight="1">
      <c r="B17439" s="2669"/>
    </row>
    <row r="17440" spans="2:2" ht="23.25" customHeight="1">
      <c r="B17440" s="2669"/>
    </row>
    <row r="17441" spans="2:2" ht="23.25" customHeight="1">
      <c r="B17441" s="2669"/>
    </row>
    <row r="17442" spans="2:2" ht="23.25" customHeight="1">
      <c r="B17442" s="2669"/>
    </row>
    <row r="17443" spans="2:2" ht="23.25" customHeight="1">
      <c r="B17443" s="2669"/>
    </row>
    <row r="17444" spans="2:2" ht="23.25" customHeight="1">
      <c r="B17444" s="2669"/>
    </row>
    <row r="17445" spans="2:2" ht="23.25" customHeight="1">
      <c r="B17445" s="2669"/>
    </row>
    <row r="17446" spans="2:2" ht="23.25" customHeight="1">
      <c r="B17446" s="2669"/>
    </row>
    <row r="17447" spans="2:2" ht="23.25" customHeight="1">
      <c r="B17447" s="2669"/>
    </row>
    <row r="17448" spans="2:2" ht="23.25" customHeight="1">
      <c r="B17448" s="2669"/>
    </row>
    <row r="17449" spans="2:2" ht="23.25" customHeight="1">
      <c r="B17449" s="2669"/>
    </row>
    <row r="17450" spans="2:2" ht="23.25" customHeight="1">
      <c r="B17450" s="2669"/>
    </row>
    <row r="17451" spans="2:2" ht="23.25" customHeight="1">
      <c r="B17451" s="2669"/>
    </row>
    <row r="17452" spans="2:2" ht="23.25" customHeight="1">
      <c r="B17452" s="2669"/>
    </row>
    <row r="17453" spans="2:2" ht="23.25" customHeight="1">
      <c r="B17453" s="2669"/>
    </row>
    <row r="17454" spans="2:2" ht="23.25" customHeight="1">
      <c r="B17454" s="2669"/>
    </row>
    <row r="17455" spans="2:2" ht="23.25" customHeight="1">
      <c r="B17455" s="2669"/>
    </row>
    <row r="17456" spans="2:2" ht="23.25" customHeight="1">
      <c r="B17456" s="2669"/>
    </row>
    <row r="17457" spans="2:2" ht="23.25" customHeight="1">
      <c r="B17457" s="2669"/>
    </row>
    <row r="17458" spans="2:2" ht="23.25" customHeight="1">
      <c r="B17458" s="2669"/>
    </row>
    <row r="17459" spans="2:2" ht="23.25" customHeight="1">
      <c r="B17459" s="2669"/>
    </row>
    <row r="17460" spans="2:2" ht="23.25" customHeight="1">
      <c r="B17460" s="2669"/>
    </row>
    <row r="17461" spans="2:2" ht="23.25" customHeight="1">
      <c r="B17461" s="2669"/>
    </row>
    <row r="17462" spans="2:2" ht="23.25" customHeight="1">
      <c r="B17462" s="2669"/>
    </row>
    <row r="17463" spans="2:2" ht="23.25" customHeight="1">
      <c r="B17463" s="2669"/>
    </row>
    <row r="17464" spans="2:2" ht="23.25" customHeight="1">
      <c r="B17464" s="2669"/>
    </row>
    <row r="17465" spans="2:2" ht="23.25" customHeight="1">
      <c r="B17465" s="2669"/>
    </row>
    <row r="17466" spans="2:2" ht="23.25" customHeight="1">
      <c r="B17466" s="2669"/>
    </row>
    <row r="17467" spans="2:2" ht="23.25" customHeight="1">
      <c r="B17467" s="2669"/>
    </row>
    <row r="17468" spans="2:2" ht="23.25" customHeight="1">
      <c r="B17468" s="2669"/>
    </row>
    <row r="17469" spans="2:2" ht="23.25" customHeight="1">
      <c r="B17469" s="2669"/>
    </row>
    <row r="17470" spans="2:2" ht="23.25" customHeight="1">
      <c r="B17470" s="2669"/>
    </row>
    <row r="17471" spans="2:2" ht="23.25" customHeight="1">
      <c r="B17471" s="2669"/>
    </row>
    <row r="17472" spans="2:2" ht="23.25" customHeight="1">
      <c r="B17472" s="2669"/>
    </row>
    <row r="17473" spans="2:2" ht="23.25" customHeight="1">
      <c r="B17473" s="2669"/>
    </row>
    <row r="17474" spans="2:2" ht="23.25" customHeight="1">
      <c r="B17474" s="2669"/>
    </row>
    <row r="17475" spans="2:2" ht="23.25" customHeight="1">
      <c r="B17475" s="2669"/>
    </row>
    <row r="17476" spans="2:2" ht="23.25" customHeight="1">
      <c r="B17476" s="2669"/>
    </row>
    <row r="17477" spans="2:2" ht="23.25" customHeight="1">
      <c r="B17477" s="2669"/>
    </row>
    <row r="17478" spans="2:2" ht="23.25" customHeight="1">
      <c r="B17478" s="2669"/>
    </row>
    <row r="17479" spans="2:2" ht="23.25" customHeight="1">
      <c r="B17479" s="2669"/>
    </row>
    <row r="17480" spans="2:2" ht="23.25" customHeight="1">
      <c r="B17480" s="2669"/>
    </row>
    <row r="17481" spans="2:2" ht="23.25" customHeight="1">
      <c r="B17481" s="2669"/>
    </row>
    <row r="17482" spans="2:2" ht="23.25" customHeight="1">
      <c r="B17482" s="2669"/>
    </row>
    <row r="17483" spans="2:2" ht="23.25" customHeight="1">
      <c r="B17483" s="2669"/>
    </row>
    <row r="17484" spans="2:2" ht="23.25" customHeight="1">
      <c r="B17484" s="2669"/>
    </row>
    <row r="17485" spans="2:2" ht="23.25" customHeight="1">
      <c r="B17485" s="2669"/>
    </row>
    <row r="17486" spans="2:2" ht="23.25" customHeight="1">
      <c r="B17486" s="2669"/>
    </row>
    <row r="17487" spans="2:2" ht="23.25" customHeight="1">
      <c r="B17487" s="2669"/>
    </row>
  </sheetData>
  <mergeCells count="1">
    <mergeCell ref="A4:A5"/>
  </mergeCells>
  <printOptions horizontalCentered="1" verticalCentered="1"/>
  <pageMargins left="0" right="0" top="0.17" bottom="0.1" header="0.23" footer="0.22"/>
  <pageSetup paperSize="5" scale="70" orientation="landscape" r:id="rId1"/>
  <headerFooter alignWithMargins="0"/>
</worksheet>
</file>

<file path=xl/worksheets/sheet117.xml><?xml version="1.0" encoding="utf-8"?>
<worksheet xmlns="http://schemas.openxmlformats.org/spreadsheetml/2006/main" xmlns:r="http://schemas.openxmlformats.org/officeDocument/2006/relationships">
  <sheetPr codeName="Sheet96">
    <pageSetUpPr fitToPage="1"/>
  </sheetPr>
  <dimension ref="B1:K333"/>
  <sheetViews>
    <sheetView showGridLines="0" topLeftCell="A220" zoomScale="80" zoomScaleNormal="80" workbookViewId="0">
      <selection activeCell="G12" sqref="G12"/>
    </sheetView>
  </sheetViews>
  <sheetFormatPr defaultColWidth="9.140625" defaultRowHeight="12.75" outlineLevelRow="1"/>
  <cols>
    <col min="1" max="1" width="3.85546875" style="508" customWidth="1"/>
    <col min="2" max="2" width="52.7109375" style="487" customWidth="1"/>
    <col min="3" max="3" width="22" style="488" customWidth="1"/>
    <col min="4" max="4" width="24" style="489" customWidth="1"/>
    <col min="5" max="5" width="20" style="489" customWidth="1"/>
    <col min="6" max="6" width="19.5703125" style="489" customWidth="1"/>
    <col min="7" max="7" width="90.42578125" style="490" customWidth="1"/>
    <col min="8" max="9" width="9.140625" style="489" customWidth="1"/>
    <col min="10" max="256" width="9.140625" style="508"/>
    <col min="257" max="257" width="3.85546875" style="508" customWidth="1"/>
    <col min="258" max="258" width="52.7109375" style="508" customWidth="1"/>
    <col min="259" max="259" width="22" style="508" customWidth="1"/>
    <col min="260" max="260" width="24" style="508" customWidth="1"/>
    <col min="261" max="261" width="20" style="508" customWidth="1"/>
    <col min="262" max="262" width="19.5703125" style="508" customWidth="1"/>
    <col min="263" max="263" width="90.42578125" style="508" customWidth="1"/>
    <col min="264" max="265" width="9.140625" style="508" customWidth="1"/>
    <col min="266" max="512" width="9.140625" style="508"/>
    <col min="513" max="513" width="3.85546875" style="508" customWidth="1"/>
    <col min="514" max="514" width="52.7109375" style="508" customWidth="1"/>
    <col min="515" max="515" width="22" style="508" customWidth="1"/>
    <col min="516" max="516" width="24" style="508" customWidth="1"/>
    <col min="517" max="517" width="20" style="508" customWidth="1"/>
    <col min="518" max="518" width="19.5703125" style="508" customWidth="1"/>
    <col min="519" max="519" width="90.42578125" style="508" customWidth="1"/>
    <col min="520" max="521" width="9.140625" style="508" customWidth="1"/>
    <col min="522" max="768" width="9.140625" style="508"/>
    <col min="769" max="769" width="3.85546875" style="508" customWidth="1"/>
    <col min="770" max="770" width="52.7109375" style="508" customWidth="1"/>
    <col min="771" max="771" width="22" style="508" customWidth="1"/>
    <col min="772" max="772" width="24" style="508" customWidth="1"/>
    <col min="773" max="773" width="20" style="508" customWidth="1"/>
    <col min="774" max="774" width="19.5703125" style="508" customWidth="1"/>
    <col min="775" max="775" width="90.42578125" style="508" customWidth="1"/>
    <col min="776" max="777" width="9.140625" style="508" customWidth="1"/>
    <col min="778" max="1024" width="9.140625" style="508"/>
    <col min="1025" max="1025" width="3.85546875" style="508" customWidth="1"/>
    <col min="1026" max="1026" width="52.7109375" style="508" customWidth="1"/>
    <col min="1027" max="1027" width="22" style="508" customWidth="1"/>
    <col min="1028" max="1028" width="24" style="508" customWidth="1"/>
    <col min="1029" max="1029" width="20" style="508" customWidth="1"/>
    <col min="1030" max="1030" width="19.5703125" style="508" customWidth="1"/>
    <col min="1031" max="1031" width="90.42578125" style="508" customWidth="1"/>
    <col min="1032" max="1033" width="9.140625" style="508" customWidth="1"/>
    <col min="1034" max="1280" width="9.140625" style="508"/>
    <col min="1281" max="1281" width="3.85546875" style="508" customWidth="1"/>
    <col min="1282" max="1282" width="52.7109375" style="508" customWidth="1"/>
    <col min="1283" max="1283" width="22" style="508" customWidth="1"/>
    <col min="1284" max="1284" width="24" style="508" customWidth="1"/>
    <col min="1285" max="1285" width="20" style="508" customWidth="1"/>
    <col min="1286" max="1286" width="19.5703125" style="508" customWidth="1"/>
    <col min="1287" max="1287" width="90.42578125" style="508" customWidth="1"/>
    <col min="1288" max="1289" width="9.140625" style="508" customWidth="1"/>
    <col min="1290" max="1536" width="9.140625" style="508"/>
    <col min="1537" max="1537" width="3.85546875" style="508" customWidth="1"/>
    <col min="1538" max="1538" width="52.7109375" style="508" customWidth="1"/>
    <col min="1539" max="1539" width="22" style="508" customWidth="1"/>
    <col min="1540" max="1540" width="24" style="508" customWidth="1"/>
    <col min="1541" max="1541" width="20" style="508" customWidth="1"/>
    <col min="1542" max="1542" width="19.5703125" style="508" customWidth="1"/>
    <col min="1543" max="1543" width="90.42578125" style="508" customWidth="1"/>
    <col min="1544" max="1545" width="9.140625" style="508" customWidth="1"/>
    <col min="1546" max="1792" width="9.140625" style="508"/>
    <col min="1793" max="1793" width="3.85546875" style="508" customWidth="1"/>
    <col min="1794" max="1794" width="52.7109375" style="508" customWidth="1"/>
    <col min="1795" max="1795" width="22" style="508" customWidth="1"/>
    <col min="1796" max="1796" width="24" style="508" customWidth="1"/>
    <col min="1797" max="1797" width="20" style="508" customWidth="1"/>
    <col min="1798" max="1798" width="19.5703125" style="508" customWidth="1"/>
    <col min="1799" max="1799" width="90.42578125" style="508" customWidth="1"/>
    <col min="1800" max="1801" width="9.140625" style="508" customWidth="1"/>
    <col min="1802" max="2048" width="9.140625" style="508"/>
    <col min="2049" max="2049" width="3.85546875" style="508" customWidth="1"/>
    <col min="2050" max="2050" width="52.7109375" style="508" customWidth="1"/>
    <col min="2051" max="2051" width="22" style="508" customWidth="1"/>
    <col min="2052" max="2052" width="24" style="508" customWidth="1"/>
    <col min="2053" max="2053" width="20" style="508" customWidth="1"/>
    <col min="2054" max="2054" width="19.5703125" style="508" customWidth="1"/>
    <col min="2055" max="2055" width="90.42578125" style="508" customWidth="1"/>
    <col min="2056" max="2057" width="9.140625" style="508" customWidth="1"/>
    <col min="2058" max="2304" width="9.140625" style="508"/>
    <col min="2305" max="2305" width="3.85546875" style="508" customWidth="1"/>
    <col min="2306" max="2306" width="52.7109375" style="508" customWidth="1"/>
    <col min="2307" max="2307" width="22" style="508" customWidth="1"/>
    <col min="2308" max="2308" width="24" style="508" customWidth="1"/>
    <col min="2309" max="2309" width="20" style="508" customWidth="1"/>
    <col min="2310" max="2310" width="19.5703125" style="508" customWidth="1"/>
    <col min="2311" max="2311" width="90.42578125" style="508" customWidth="1"/>
    <col min="2312" max="2313" width="9.140625" style="508" customWidth="1"/>
    <col min="2314" max="2560" width="9.140625" style="508"/>
    <col min="2561" max="2561" width="3.85546875" style="508" customWidth="1"/>
    <col min="2562" max="2562" width="52.7109375" style="508" customWidth="1"/>
    <col min="2563" max="2563" width="22" style="508" customWidth="1"/>
    <col min="2564" max="2564" width="24" style="508" customWidth="1"/>
    <col min="2565" max="2565" width="20" style="508" customWidth="1"/>
    <col min="2566" max="2566" width="19.5703125" style="508" customWidth="1"/>
    <col min="2567" max="2567" width="90.42578125" style="508" customWidth="1"/>
    <col min="2568" max="2569" width="9.140625" style="508" customWidth="1"/>
    <col min="2570" max="2816" width="9.140625" style="508"/>
    <col min="2817" max="2817" width="3.85546875" style="508" customWidth="1"/>
    <col min="2818" max="2818" width="52.7109375" style="508" customWidth="1"/>
    <col min="2819" max="2819" width="22" style="508" customWidth="1"/>
    <col min="2820" max="2820" width="24" style="508" customWidth="1"/>
    <col min="2821" max="2821" width="20" style="508" customWidth="1"/>
    <col min="2822" max="2822" width="19.5703125" style="508" customWidth="1"/>
    <col min="2823" max="2823" width="90.42578125" style="508" customWidth="1"/>
    <col min="2824" max="2825" width="9.140625" style="508" customWidth="1"/>
    <col min="2826" max="3072" width="9.140625" style="508"/>
    <col min="3073" max="3073" width="3.85546875" style="508" customWidth="1"/>
    <col min="3074" max="3074" width="52.7109375" style="508" customWidth="1"/>
    <col min="3075" max="3075" width="22" style="508" customWidth="1"/>
    <col min="3076" max="3076" width="24" style="508" customWidth="1"/>
    <col min="3077" max="3077" width="20" style="508" customWidth="1"/>
    <col min="3078" max="3078" width="19.5703125" style="508" customWidth="1"/>
    <col min="3079" max="3079" width="90.42578125" style="508" customWidth="1"/>
    <col min="3080" max="3081" width="9.140625" style="508" customWidth="1"/>
    <col min="3082" max="3328" width="9.140625" style="508"/>
    <col min="3329" max="3329" width="3.85546875" style="508" customWidth="1"/>
    <col min="3330" max="3330" width="52.7109375" style="508" customWidth="1"/>
    <col min="3331" max="3331" width="22" style="508" customWidth="1"/>
    <col min="3332" max="3332" width="24" style="508" customWidth="1"/>
    <col min="3333" max="3333" width="20" style="508" customWidth="1"/>
    <col min="3334" max="3334" width="19.5703125" style="508" customWidth="1"/>
    <col min="3335" max="3335" width="90.42578125" style="508" customWidth="1"/>
    <col min="3336" max="3337" width="9.140625" style="508" customWidth="1"/>
    <col min="3338" max="3584" width="9.140625" style="508"/>
    <col min="3585" max="3585" width="3.85546875" style="508" customWidth="1"/>
    <col min="3586" max="3586" width="52.7109375" style="508" customWidth="1"/>
    <col min="3587" max="3587" width="22" style="508" customWidth="1"/>
    <col min="3588" max="3588" width="24" style="508" customWidth="1"/>
    <col min="3589" max="3589" width="20" style="508" customWidth="1"/>
    <col min="3590" max="3590" width="19.5703125" style="508" customWidth="1"/>
    <col min="3591" max="3591" width="90.42578125" style="508" customWidth="1"/>
    <col min="3592" max="3593" width="9.140625" style="508" customWidth="1"/>
    <col min="3594" max="3840" width="9.140625" style="508"/>
    <col min="3841" max="3841" width="3.85546875" style="508" customWidth="1"/>
    <col min="3842" max="3842" width="52.7109375" style="508" customWidth="1"/>
    <col min="3843" max="3843" width="22" style="508" customWidth="1"/>
    <col min="3844" max="3844" width="24" style="508" customWidth="1"/>
    <col min="3845" max="3845" width="20" style="508" customWidth="1"/>
    <col min="3846" max="3846" width="19.5703125" style="508" customWidth="1"/>
    <col min="3847" max="3847" width="90.42578125" style="508" customWidth="1"/>
    <col min="3848" max="3849" width="9.140625" style="508" customWidth="1"/>
    <col min="3850" max="4096" width="9.140625" style="508"/>
    <col min="4097" max="4097" width="3.85546875" style="508" customWidth="1"/>
    <col min="4098" max="4098" width="52.7109375" style="508" customWidth="1"/>
    <col min="4099" max="4099" width="22" style="508" customWidth="1"/>
    <col min="4100" max="4100" width="24" style="508" customWidth="1"/>
    <col min="4101" max="4101" width="20" style="508" customWidth="1"/>
    <col min="4102" max="4102" width="19.5703125" style="508" customWidth="1"/>
    <col min="4103" max="4103" width="90.42578125" style="508" customWidth="1"/>
    <col min="4104" max="4105" width="9.140625" style="508" customWidth="1"/>
    <col min="4106" max="4352" width="9.140625" style="508"/>
    <col min="4353" max="4353" width="3.85546875" style="508" customWidth="1"/>
    <col min="4354" max="4354" width="52.7109375" style="508" customWidth="1"/>
    <col min="4355" max="4355" width="22" style="508" customWidth="1"/>
    <col min="4356" max="4356" width="24" style="508" customWidth="1"/>
    <col min="4357" max="4357" width="20" style="508" customWidth="1"/>
    <col min="4358" max="4358" width="19.5703125" style="508" customWidth="1"/>
    <col min="4359" max="4359" width="90.42578125" style="508" customWidth="1"/>
    <col min="4360" max="4361" width="9.140625" style="508" customWidth="1"/>
    <col min="4362" max="4608" width="9.140625" style="508"/>
    <col min="4609" max="4609" width="3.85546875" style="508" customWidth="1"/>
    <col min="4610" max="4610" width="52.7109375" style="508" customWidth="1"/>
    <col min="4611" max="4611" width="22" style="508" customWidth="1"/>
    <col min="4612" max="4612" width="24" style="508" customWidth="1"/>
    <col min="4613" max="4613" width="20" style="508" customWidth="1"/>
    <col min="4614" max="4614" width="19.5703125" style="508" customWidth="1"/>
    <col min="4615" max="4615" width="90.42578125" style="508" customWidth="1"/>
    <col min="4616" max="4617" width="9.140625" style="508" customWidth="1"/>
    <col min="4618" max="4864" width="9.140625" style="508"/>
    <col min="4865" max="4865" width="3.85546875" style="508" customWidth="1"/>
    <col min="4866" max="4866" width="52.7109375" style="508" customWidth="1"/>
    <col min="4867" max="4867" width="22" style="508" customWidth="1"/>
    <col min="4868" max="4868" width="24" style="508" customWidth="1"/>
    <col min="4869" max="4869" width="20" style="508" customWidth="1"/>
    <col min="4870" max="4870" width="19.5703125" style="508" customWidth="1"/>
    <col min="4871" max="4871" width="90.42578125" style="508" customWidth="1"/>
    <col min="4872" max="4873" width="9.140625" style="508" customWidth="1"/>
    <col min="4874" max="5120" width="9.140625" style="508"/>
    <col min="5121" max="5121" width="3.85546875" style="508" customWidth="1"/>
    <col min="5122" max="5122" width="52.7109375" style="508" customWidth="1"/>
    <col min="5123" max="5123" width="22" style="508" customWidth="1"/>
    <col min="5124" max="5124" width="24" style="508" customWidth="1"/>
    <col min="5125" max="5125" width="20" style="508" customWidth="1"/>
    <col min="5126" max="5126" width="19.5703125" style="508" customWidth="1"/>
    <col min="5127" max="5127" width="90.42578125" style="508" customWidth="1"/>
    <col min="5128" max="5129" width="9.140625" style="508" customWidth="1"/>
    <col min="5130" max="5376" width="9.140625" style="508"/>
    <col min="5377" max="5377" width="3.85546875" style="508" customWidth="1"/>
    <col min="5378" max="5378" width="52.7109375" style="508" customWidth="1"/>
    <col min="5379" max="5379" width="22" style="508" customWidth="1"/>
    <col min="5380" max="5380" width="24" style="508" customWidth="1"/>
    <col min="5381" max="5381" width="20" style="508" customWidth="1"/>
    <col min="5382" max="5382" width="19.5703125" style="508" customWidth="1"/>
    <col min="5383" max="5383" width="90.42578125" style="508" customWidth="1"/>
    <col min="5384" max="5385" width="9.140625" style="508" customWidth="1"/>
    <col min="5386" max="5632" width="9.140625" style="508"/>
    <col min="5633" max="5633" width="3.85546875" style="508" customWidth="1"/>
    <col min="5634" max="5634" width="52.7109375" style="508" customWidth="1"/>
    <col min="5635" max="5635" width="22" style="508" customWidth="1"/>
    <col min="5636" max="5636" width="24" style="508" customWidth="1"/>
    <col min="5637" max="5637" width="20" style="508" customWidth="1"/>
    <col min="5638" max="5638" width="19.5703125" style="508" customWidth="1"/>
    <col min="5639" max="5639" width="90.42578125" style="508" customWidth="1"/>
    <col min="5640" max="5641" width="9.140625" style="508" customWidth="1"/>
    <col min="5642" max="5888" width="9.140625" style="508"/>
    <col min="5889" max="5889" width="3.85546875" style="508" customWidth="1"/>
    <col min="5890" max="5890" width="52.7109375" style="508" customWidth="1"/>
    <col min="5891" max="5891" width="22" style="508" customWidth="1"/>
    <col min="5892" max="5892" width="24" style="508" customWidth="1"/>
    <col min="5893" max="5893" width="20" style="508" customWidth="1"/>
    <col min="5894" max="5894" width="19.5703125" style="508" customWidth="1"/>
    <col min="5895" max="5895" width="90.42578125" style="508" customWidth="1"/>
    <col min="5896" max="5897" width="9.140625" style="508" customWidth="1"/>
    <col min="5898" max="6144" width="9.140625" style="508"/>
    <col min="6145" max="6145" width="3.85546875" style="508" customWidth="1"/>
    <col min="6146" max="6146" width="52.7109375" style="508" customWidth="1"/>
    <col min="6147" max="6147" width="22" style="508" customWidth="1"/>
    <col min="6148" max="6148" width="24" style="508" customWidth="1"/>
    <col min="6149" max="6149" width="20" style="508" customWidth="1"/>
    <col min="6150" max="6150" width="19.5703125" style="508" customWidth="1"/>
    <col min="6151" max="6151" width="90.42578125" style="508" customWidth="1"/>
    <col min="6152" max="6153" width="9.140625" style="508" customWidth="1"/>
    <col min="6154" max="6400" width="9.140625" style="508"/>
    <col min="6401" max="6401" width="3.85546875" style="508" customWidth="1"/>
    <col min="6402" max="6402" width="52.7109375" style="508" customWidth="1"/>
    <col min="6403" max="6403" width="22" style="508" customWidth="1"/>
    <col min="6404" max="6404" width="24" style="508" customWidth="1"/>
    <col min="6405" max="6405" width="20" style="508" customWidth="1"/>
    <col min="6406" max="6406" width="19.5703125" style="508" customWidth="1"/>
    <col min="6407" max="6407" width="90.42578125" style="508" customWidth="1"/>
    <col min="6408" max="6409" width="9.140625" style="508" customWidth="1"/>
    <col min="6410" max="6656" width="9.140625" style="508"/>
    <col min="6657" max="6657" width="3.85546875" style="508" customWidth="1"/>
    <col min="6658" max="6658" width="52.7109375" style="508" customWidth="1"/>
    <col min="6659" max="6659" width="22" style="508" customWidth="1"/>
    <col min="6660" max="6660" width="24" style="508" customWidth="1"/>
    <col min="6661" max="6661" width="20" style="508" customWidth="1"/>
    <col min="6662" max="6662" width="19.5703125" style="508" customWidth="1"/>
    <col min="6663" max="6663" width="90.42578125" style="508" customWidth="1"/>
    <col min="6664" max="6665" width="9.140625" style="508" customWidth="1"/>
    <col min="6666" max="6912" width="9.140625" style="508"/>
    <col min="6913" max="6913" width="3.85546875" style="508" customWidth="1"/>
    <col min="6914" max="6914" width="52.7109375" style="508" customWidth="1"/>
    <col min="6915" max="6915" width="22" style="508" customWidth="1"/>
    <col min="6916" max="6916" width="24" style="508" customWidth="1"/>
    <col min="6917" max="6917" width="20" style="508" customWidth="1"/>
    <col min="6918" max="6918" width="19.5703125" style="508" customWidth="1"/>
    <col min="6919" max="6919" width="90.42578125" style="508" customWidth="1"/>
    <col min="6920" max="6921" width="9.140625" style="508" customWidth="1"/>
    <col min="6922" max="7168" width="9.140625" style="508"/>
    <col min="7169" max="7169" width="3.85546875" style="508" customWidth="1"/>
    <col min="7170" max="7170" width="52.7109375" style="508" customWidth="1"/>
    <col min="7171" max="7171" width="22" style="508" customWidth="1"/>
    <col min="7172" max="7172" width="24" style="508" customWidth="1"/>
    <col min="7173" max="7173" width="20" style="508" customWidth="1"/>
    <col min="7174" max="7174" width="19.5703125" style="508" customWidth="1"/>
    <col min="7175" max="7175" width="90.42578125" style="508" customWidth="1"/>
    <col min="7176" max="7177" width="9.140625" style="508" customWidth="1"/>
    <col min="7178" max="7424" width="9.140625" style="508"/>
    <col min="7425" max="7425" width="3.85546875" style="508" customWidth="1"/>
    <col min="7426" max="7426" width="52.7109375" style="508" customWidth="1"/>
    <col min="7427" max="7427" width="22" style="508" customWidth="1"/>
    <col min="7428" max="7428" width="24" style="508" customWidth="1"/>
    <col min="7429" max="7429" width="20" style="508" customWidth="1"/>
    <col min="7430" max="7430" width="19.5703125" style="508" customWidth="1"/>
    <col min="7431" max="7431" width="90.42578125" style="508" customWidth="1"/>
    <col min="7432" max="7433" width="9.140625" style="508" customWidth="1"/>
    <col min="7434" max="7680" width="9.140625" style="508"/>
    <col min="7681" max="7681" width="3.85546875" style="508" customWidth="1"/>
    <col min="7682" max="7682" width="52.7109375" style="508" customWidth="1"/>
    <col min="7683" max="7683" width="22" style="508" customWidth="1"/>
    <col min="7684" max="7684" width="24" style="508" customWidth="1"/>
    <col min="7685" max="7685" width="20" style="508" customWidth="1"/>
    <col min="7686" max="7686" width="19.5703125" style="508" customWidth="1"/>
    <col min="7687" max="7687" width="90.42578125" style="508" customWidth="1"/>
    <col min="7688" max="7689" width="9.140625" style="508" customWidth="1"/>
    <col min="7690" max="7936" width="9.140625" style="508"/>
    <col min="7937" max="7937" width="3.85546875" style="508" customWidth="1"/>
    <col min="7938" max="7938" width="52.7109375" style="508" customWidth="1"/>
    <col min="7939" max="7939" width="22" style="508" customWidth="1"/>
    <col min="7940" max="7940" width="24" style="508" customWidth="1"/>
    <col min="7941" max="7941" width="20" style="508" customWidth="1"/>
    <col min="7942" max="7942" width="19.5703125" style="508" customWidth="1"/>
    <col min="7943" max="7943" width="90.42578125" style="508" customWidth="1"/>
    <col min="7944" max="7945" width="9.140625" style="508" customWidth="1"/>
    <col min="7946" max="8192" width="9.140625" style="508"/>
    <col min="8193" max="8193" width="3.85546875" style="508" customWidth="1"/>
    <col min="8194" max="8194" width="52.7109375" style="508" customWidth="1"/>
    <col min="8195" max="8195" width="22" style="508" customWidth="1"/>
    <col min="8196" max="8196" width="24" style="508" customWidth="1"/>
    <col min="8197" max="8197" width="20" style="508" customWidth="1"/>
    <col min="8198" max="8198" width="19.5703125" style="508" customWidth="1"/>
    <col min="8199" max="8199" width="90.42578125" style="508" customWidth="1"/>
    <col min="8200" max="8201" width="9.140625" style="508" customWidth="1"/>
    <col min="8202" max="8448" width="9.140625" style="508"/>
    <col min="8449" max="8449" width="3.85546875" style="508" customWidth="1"/>
    <col min="8450" max="8450" width="52.7109375" style="508" customWidth="1"/>
    <col min="8451" max="8451" width="22" style="508" customWidth="1"/>
    <col min="8452" max="8452" width="24" style="508" customWidth="1"/>
    <col min="8453" max="8453" width="20" style="508" customWidth="1"/>
    <col min="8454" max="8454" width="19.5703125" style="508" customWidth="1"/>
    <col min="8455" max="8455" width="90.42578125" style="508" customWidth="1"/>
    <col min="8456" max="8457" width="9.140625" style="508" customWidth="1"/>
    <col min="8458" max="8704" width="9.140625" style="508"/>
    <col min="8705" max="8705" width="3.85546875" style="508" customWidth="1"/>
    <col min="8706" max="8706" width="52.7109375" style="508" customWidth="1"/>
    <col min="8707" max="8707" width="22" style="508" customWidth="1"/>
    <col min="8708" max="8708" width="24" style="508" customWidth="1"/>
    <col min="8709" max="8709" width="20" style="508" customWidth="1"/>
    <col min="8710" max="8710" width="19.5703125" style="508" customWidth="1"/>
    <col min="8711" max="8711" width="90.42578125" style="508" customWidth="1"/>
    <col min="8712" max="8713" width="9.140625" style="508" customWidth="1"/>
    <col min="8714" max="8960" width="9.140625" style="508"/>
    <col min="8961" max="8961" width="3.85546875" style="508" customWidth="1"/>
    <col min="8962" max="8962" width="52.7109375" style="508" customWidth="1"/>
    <col min="8963" max="8963" width="22" style="508" customWidth="1"/>
    <col min="8964" max="8964" width="24" style="508" customWidth="1"/>
    <col min="8965" max="8965" width="20" style="508" customWidth="1"/>
    <col min="8966" max="8966" width="19.5703125" style="508" customWidth="1"/>
    <col min="8967" max="8967" width="90.42578125" style="508" customWidth="1"/>
    <col min="8968" max="8969" width="9.140625" style="508" customWidth="1"/>
    <col min="8970" max="9216" width="9.140625" style="508"/>
    <col min="9217" max="9217" width="3.85546875" style="508" customWidth="1"/>
    <col min="9218" max="9218" width="52.7109375" style="508" customWidth="1"/>
    <col min="9219" max="9219" width="22" style="508" customWidth="1"/>
    <col min="9220" max="9220" width="24" style="508" customWidth="1"/>
    <col min="9221" max="9221" width="20" style="508" customWidth="1"/>
    <col min="9222" max="9222" width="19.5703125" style="508" customWidth="1"/>
    <col min="9223" max="9223" width="90.42578125" style="508" customWidth="1"/>
    <col min="9224" max="9225" width="9.140625" style="508" customWidth="1"/>
    <col min="9226" max="9472" width="9.140625" style="508"/>
    <col min="9473" max="9473" width="3.85546875" style="508" customWidth="1"/>
    <col min="9474" max="9474" width="52.7109375" style="508" customWidth="1"/>
    <col min="9475" max="9475" width="22" style="508" customWidth="1"/>
    <col min="9476" max="9476" width="24" style="508" customWidth="1"/>
    <col min="9477" max="9477" width="20" style="508" customWidth="1"/>
    <col min="9478" max="9478" width="19.5703125" style="508" customWidth="1"/>
    <col min="9479" max="9479" width="90.42578125" style="508" customWidth="1"/>
    <col min="9480" max="9481" width="9.140625" style="508" customWidth="1"/>
    <col min="9482" max="9728" width="9.140625" style="508"/>
    <col min="9729" max="9729" width="3.85546875" style="508" customWidth="1"/>
    <col min="9730" max="9730" width="52.7109375" style="508" customWidth="1"/>
    <col min="9731" max="9731" width="22" style="508" customWidth="1"/>
    <col min="9732" max="9732" width="24" style="508" customWidth="1"/>
    <col min="9733" max="9733" width="20" style="508" customWidth="1"/>
    <col min="9734" max="9734" width="19.5703125" style="508" customWidth="1"/>
    <col min="9735" max="9735" width="90.42578125" style="508" customWidth="1"/>
    <col min="9736" max="9737" width="9.140625" style="508" customWidth="1"/>
    <col min="9738" max="9984" width="9.140625" style="508"/>
    <col min="9985" max="9985" width="3.85546875" style="508" customWidth="1"/>
    <col min="9986" max="9986" width="52.7109375" style="508" customWidth="1"/>
    <col min="9987" max="9987" width="22" style="508" customWidth="1"/>
    <col min="9988" max="9988" width="24" style="508" customWidth="1"/>
    <col min="9989" max="9989" width="20" style="508" customWidth="1"/>
    <col min="9990" max="9990" width="19.5703125" style="508" customWidth="1"/>
    <col min="9991" max="9991" width="90.42578125" style="508" customWidth="1"/>
    <col min="9992" max="9993" width="9.140625" style="508" customWidth="1"/>
    <col min="9994" max="10240" width="9.140625" style="508"/>
    <col min="10241" max="10241" width="3.85546875" style="508" customWidth="1"/>
    <col min="10242" max="10242" width="52.7109375" style="508" customWidth="1"/>
    <col min="10243" max="10243" width="22" style="508" customWidth="1"/>
    <col min="10244" max="10244" width="24" style="508" customWidth="1"/>
    <col min="10245" max="10245" width="20" style="508" customWidth="1"/>
    <col min="10246" max="10246" width="19.5703125" style="508" customWidth="1"/>
    <col min="10247" max="10247" width="90.42578125" style="508" customWidth="1"/>
    <col min="10248" max="10249" width="9.140625" style="508" customWidth="1"/>
    <col min="10250" max="10496" width="9.140625" style="508"/>
    <col min="10497" max="10497" width="3.85546875" style="508" customWidth="1"/>
    <col min="10498" max="10498" width="52.7109375" style="508" customWidth="1"/>
    <col min="10499" max="10499" width="22" style="508" customWidth="1"/>
    <col min="10500" max="10500" width="24" style="508" customWidth="1"/>
    <col min="10501" max="10501" width="20" style="508" customWidth="1"/>
    <col min="10502" max="10502" width="19.5703125" style="508" customWidth="1"/>
    <col min="10503" max="10503" width="90.42578125" style="508" customWidth="1"/>
    <col min="10504" max="10505" width="9.140625" style="508" customWidth="1"/>
    <col min="10506" max="10752" width="9.140625" style="508"/>
    <col min="10753" max="10753" width="3.85546875" style="508" customWidth="1"/>
    <col min="10754" max="10754" width="52.7109375" style="508" customWidth="1"/>
    <col min="10755" max="10755" width="22" style="508" customWidth="1"/>
    <col min="10756" max="10756" width="24" style="508" customWidth="1"/>
    <col min="10757" max="10757" width="20" style="508" customWidth="1"/>
    <col min="10758" max="10758" width="19.5703125" style="508" customWidth="1"/>
    <col min="10759" max="10759" width="90.42578125" style="508" customWidth="1"/>
    <col min="10760" max="10761" width="9.140625" style="508" customWidth="1"/>
    <col min="10762" max="11008" width="9.140625" style="508"/>
    <col min="11009" max="11009" width="3.85546875" style="508" customWidth="1"/>
    <col min="11010" max="11010" width="52.7109375" style="508" customWidth="1"/>
    <col min="11011" max="11011" width="22" style="508" customWidth="1"/>
    <col min="11012" max="11012" width="24" style="508" customWidth="1"/>
    <col min="11013" max="11013" width="20" style="508" customWidth="1"/>
    <col min="11014" max="11014" width="19.5703125" style="508" customWidth="1"/>
    <col min="11015" max="11015" width="90.42578125" style="508" customWidth="1"/>
    <col min="11016" max="11017" width="9.140625" style="508" customWidth="1"/>
    <col min="11018" max="11264" width="9.140625" style="508"/>
    <col min="11265" max="11265" width="3.85546875" style="508" customWidth="1"/>
    <col min="11266" max="11266" width="52.7109375" style="508" customWidth="1"/>
    <col min="11267" max="11267" width="22" style="508" customWidth="1"/>
    <col min="11268" max="11268" width="24" style="508" customWidth="1"/>
    <col min="11269" max="11269" width="20" style="508" customWidth="1"/>
    <col min="11270" max="11270" width="19.5703125" style="508" customWidth="1"/>
    <col min="11271" max="11271" width="90.42578125" style="508" customWidth="1"/>
    <col min="11272" max="11273" width="9.140625" style="508" customWidth="1"/>
    <col min="11274" max="11520" width="9.140625" style="508"/>
    <col min="11521" max="11521" width="3.85546875" style="508" customWidth="1"/>
    <col min="11522" max="11522" width="52.7109375" style="508" customWidth="1"/>
    <col min="11523" max="11523" width="22" style="508" customWidth="1"/>
    <col min="11524" max="11524" width="24" style="508" customWidth="1"/>
    <col min="11525" max="11525" width="20" style="508" customWidth="1"/>
    <col min="11526" max="11526" width="19.5703125" style="508" customWidth="1"/>
    <col min="11527" max="11527" width="90.42578125" style="508" customWidth="1"/>
    <col min="11528" max="11529" width="9.140625" style="508" customWidth="1"/>
    <col min="11530" max="11776" width="9.140625" style="508"/>
    <col min="11777" max="11777" width="3.85546875" style="508" customWidth="1"/>
    <col min="11778" max="11778" width="52.7109375" style="508" customWidth="1"/>
    <col min="11779" max="11779" width="22" style="508" customWidth="1"/>
    <col min="11780" max="11780" width="24" style="508" customWidth="1"/>
    <col min="11781" max="11781" width="20" style="508" customWidth="1"/>
    <col min="11782" max="11782" width="19.5703125" style="508" customWidth="1"/>
    <col min="11783" max="11783" width="90.42578125" style="508" customWidth="1"/>
    <col min="11784" max="11785" width="9.140625" style="508" customWidth="1"/>
    <col min="11786" max="12032" width="9.140625" style="508"/>
    <col min="12033" max="12033" width="3.85546875" style="508" customWidth="1"/>
    <col min="12034" max="12034" width="52.7109375" style="508" customWidth="1"/>
    <col min="12035" max="12035" width="22" style="508" customWidth="1"/>
    <col min="12036" max="12036" width="24" style="508" customWidth="1"/>
    <col min="12037" max="12037" width="20" style="508" customWidth="1"/>
    <col min="12038" max="12038" width="19.5703125" style="508" customWidth="1"/>
    <col min="12039" max="12039" width="90.42578125" style="508" customWidth="1"/>
    <col min="12040" max="12041" width="9.140625" style="508" customWidth="1"/>
    <col min="12042" max="12288" width="9.140625" style="508"/>
    <col min="12289" max="12289" width="3.85546875" style="508" customWidth="1"/>
    <col min="12290" max="12290" width="52.7109375" style="508" customWidth="1"/>
    <col min="12291" max="12291" width="22" style="508" customWidth="1"/>
    <col min="12292" max="12292" width="24" style="508" customWidth="1"/>
    <col min="12293" max="12293" width="20" style="508" customWidth="1"/>
    <col min="12294" max="12294" width="19.5703125" style="508" customWidth="1"/>
    <col min="12295" max="12295" width="90.42578125" style="508" customWidth="1"/>
    <col min="12296" max="12297" width="9.140625" style="508" customWidth="1"/>
    <col min="12298" max="12544" width="9.140625" style="508"/>
    <col min="12545" max="12545" width="3.85546875" style="508" customWidth="1"/>
    <col min="12546" max="12546" width="52.7109375" style="508" customWidth="1"/>
    <col min="12547" max="12547" width="22" style="508" customWidth="1"/>
    <col min="12548" max="12548" width="24" style="508" customWidth="1"/>
    <col min="12549" max="12549" width="20" style="508" customWidth="1"/>
    <col min="12550" max="12550" width="19.5703125" style="508" customWidth="1"/>
    <col min="12551" max="12551" width="90.42578125" style="508" customWidth="1"/>
    <col min="12552" max="12553" width="9.140625" style="508" customWidth="1"/>
    <col min="12554" max="12800" width="9.140625" style="508"/>
    <col min="12801" max="12801" width="3.85546875" style="508" customWidth="1"/>
    <col min="12802" max="12802" width="52.7109375" style="508" customWidth="1"/>
    <col min="12803" max="12803" width="22" style="508" customWidth="1"/>
    <col min="12804" max="12804" width="24" style="508" customWidth="1"/>
    <col min="12805" max="12805" width="20" style="508" customWidth="1"/>
    <col min="12806" max="12806" width="19.5703125" style="508" customWidth="1"/>
    <col min="12807" max="12807" width="90.42578125" style="508" customWidth="1"/>
    <col min="12808" max="12809" width="9.140625" style="508" customWidth="1"/>
    <col min="12810" max="13056" width="9.140625" style="508"/>
    <col min="13057" max="13057" width="3.85546875" style="508" customWidth="1"/>
    <col min="13058" max="13058" width="52.7109375" style="508" customWidth="1"/>
    <col min="13059" max="13059" width="22" style="508" customWidth="1"/>
    <col min="13060" max="13060" width="24" style="508" customWidth="1"/>
    <col min="13061" max="13061" width="20" style="508" customWidth="1"/>
    <col min="13062" max="13062" width="19.5703125" style="508" customWidth="1"/>
    <col min="13063" max="13063" width="90.42578125" style="508" customWidth="1"/>
    <col min="13064" max="13065" width="9.140625" style="508" customWidth="1"/>
    <col min="13066" max="13312" width="9.140625" style="508"/>
    <col min="13313" max="13313" width="3.85546875" style="508" customWidth="1"/>
    <col min="13314" max="13314" width="52.7109375" style="508" customWidth="1"/>
    <col min="13315" max="13315" width="22" style="508" customWidth="1"/>
    <col min="13316" max="13316" width="24" style="508" customWidth="1"/>
    <col min="13317" max="13317" width="20" style="508" customWidth="1"/>
    <col min="13318" max="13318" width="19.5703125" style="508" customWidth="1"/>
    <col min="13319" max="13319" width="90.42578125" style="508" customWidth="1"/>
    <col min="13320" max="13321" width="9.140625" style="508" customWidth="1"/>
    <col min="13322" max="13568" width="9.140625" style="508"/>
    <col min="13569" max="13569" width="3.85546875" style="508" customWidth="1"/>
    <col min="13570" max="13570" width="52.7109375" style="508" customWidth="1"/>
    <col min="13571" max="13571" width="22" style="508" customWidth="1"/>
    <col min="13572" max="13572" width="24" style="508" customWidth="1"/>
    <col min="13573" max="13573" width="20" style="508" customWidth="1"/>
    <col min="13574" max="13574" width="19.5703125" style="508" customWidth="1"/>
    <col min="13575" max="13575" width="90.42578125" style="508" customWidth="1"/>
    <col min="13576" max="13577" width="9.140625" style="508" customWidth="1"/>
    <col min="13578" max="13824" width="9.140625" style="508"/>
    <col min="13825" max="13825" width="3.85546875" style="508" customWidth="1"/>
    <col min="13826" max="13826" width="52.7109375" style="508" customWidth="1"/>
    <col min="13827" max="13827" width="22" style="508" customWidth="1"/>
    <col min="13828" max="13828" width="24" style="508" customWidth="1"/>
    <col min="13829" max="13829" width="20" style="508" customWidth="1"/>
    <col min="13830" max="13830" width="19.5703125" style="508" customWidth="1"/>
    <col min="13831" max="13831" width="90.42578125" style="508" customWidth="1"/>
    <col min="13832" max="13833" width="9.140625" style="508" customWidth="1"/>
    <col min="13834" max="14080" width="9.140625" style="508"/>
    <col min="14081" max="14081" width="3.85546875" style="508" customWidth="1"/>
    <col min="14082" max="14082" width="52.7109375" style="508" customWidth="1"/>
    <col min="14083" max="14083" width="22" style="508" customWidth="1"/>
    <col min="14084" max="14084" width="24" style="508" customWidth="1"/>
    <col min="14085" max="14085" width="20" style="508" customWidth="1"/>
    <col min="14086" max="14086" width="19.5703125" style="508" customWidth="1"/>
    <col min="14087" max="14087" width="90.42578125" style="508" customWidth="1"/>
    <col min="14088" max="14089" width="9.140625" style="508" customWidth="1"/>
    <col min="14090" max="14336" width="9.140625" style="508"/>
    <col min="14337" max="14337" width="3.85546875" style="508" customWidth="1"/>
    <col min="14338" max="14338" width="52.7109375" style="508" customWidth="1"/>
    <col min="14339" max="14339" width="22" style="508" customWidth="1"/>
    <col min="14340" max="14340" width="24" style="508" customWidth="1"/>
    <col min="14341" max="14341" width="20" style="508" customWidth="1"/>
    <col min="14342" max="14342" width="19.5703125" style="508" customWidth="1"/>
    <col min="14343" max="14343" width="90.42578125" style="508" customWidth="1"/>
    <col min="14344" max="14345" width="9.140625" style="508" customWidth="1"/>
    <col min="14346" max="14592" width="9.140625" style="508"/>
    <col min="14593" max="14593" width="3.85546875" style="508" customWidth="1"/>
    <col min="14594" max="14594" width="52.7109375" style="508" customWidth="1"/>
    <col min="14595" max="14595" width="22" style="508" customWidth="1"/>
    <col min="14596" max="14596" width="24" style="508" customWidth="1"/>
    <col min="14597" max="14597" width="20" style="508" customWidth="1"/>
    <col min="14598" max="14598" width="19.5703125" style="508" customWidth="1"/>
    <col min="14599" max="14599" width="90.42578125" style="508" customWidth="1"/>
    <col min="14600" max="14601" width="9.140625" style="508" customWidth="1"/>
    <col min="14602" max="14848" width="9.140625" style="508"/>
    <col min="14849" max="14849" width="3.85546875" style="508" customWidth="1"/>
    <col min="14850" max="14850" width="52.7109375" style="508" customWidth="1"/>
    <col min="14851" max="14851" width="22" style="508" customWidth="1"/>
    <col min="14852" max="14852" width="24" style="508" customWidth="1"/>
    <col min="14853" max="14853" width="20" style="508" customWidth="1"/>
    <col min="14854" max="14854" width="19.5703125" style="508" customWidth="1"/>
    <col min="14855" max="14855" width="90.42578125" style="508" customWidth="1"/>
    <col min="14856" max="14857" width="9.140625" style="508" customWidth="1"/>
    <col min="14858" max="15104" width="9.140625" style="508"/>
    <col min="15105" max="15105" width="3.85546875" style="508" customWidth="1"/>
    <col min="15106" max="15106" width="52.7109375" style="508" customWidth="1"/>
    <col min="15107" max="15107" width="22" style="508" customWidth="1"/>
    <col min="15108" max="15108" width="24" style="508" customWidth="1"/>
    <col min="15109" max="15109" width="20" style="508" customWidth="1"/>
    <col min="15110" max="15110" width="19.5703125" style="508" customWidth="1"/>
    <col min="15111" max="15111" width="90.42578125" style="508" customWidth="1"/>
    <col min="15112" max="15113" width="9.140625" style="508" customWidth="1"/>
    <col min="15114" max="15360" width="9.140625" style="508"/>
    <col min="15361" max="15361" width="3.85546875" style="508" customWidth="1"/>
    <col min="15362" max="15362" width="52.7109375" style="508" customWidth="1"/>
    <col min="15363" max="15363" width="22" style="508" customWidth="1"/>
    <col min="15364" max="15364" width="24" style="508" customWidth="1"/>
    <col min="15365" max="15365" width="20" style="508" customWidth="1"/>
    <col min="15366" max="15366" width="19.5703125" style="508" customWidth="1"/>
    <col min="15367" max="15367" width="90.42578125" style="508" customWidth="1"/>
    <col min="15368" max="15369" width="9.140625" style="508" customWidth="1"/>
    <col min="15370" max="15616" width="9.140625" style="508"/>
    <col min="15617" max="15617" width="3.85546875" style="508" customWidth="1"/>
    <col min="15618" max="15618" width="52.7109375" style="508" customWidth="1"/>
    <col min="15619" max="15619" width="22" style="508" customWidth="1"/>
    <col min="15620" max="15620" width="24" style="508" customWidth="1"/>
    <col min="15621" max="15621" width="20" style="508" customWidth="1"/>
    <col min="15622" max="15622" width="19.5703125" style="508" customWidth="1"/>
    <col min="15623" max="15623" width="90.42578125" style="508" customWidth="1"/>
    <col min="15624" max="15625" width="9.140625" style="508" customWidth="1"/>
    <col min="15626" max="15872" width="9.140625" style="508"/>
    <col min="15873" max="15873" width="3.85546875" style="508" customWidth="1"/>
    <col min="15874" max="15874" width="52.7109375" style="508" customWidth="1"/>
    <col min="15875" max="15875" width="22" style="508" customWidth="1"/>
    <col min="15876" max="15876" width="24" style="508" customWidth="1"/>
    <col min="15877" max="15877" width="20" style="508" customWidth="1"/>
    <col min="15878" max="15878" width="19.5703125" style="508" customWidth="1"/>
    <col min="15879" max="15879" width="90.42578125" style="508" customWidth="1"/>
    <col min="15880" max="15881" width="9.140625" style="508" customWidth="1"/>
    <col min="15882" max="16128" width="9.140625" style="508"/>
    <col min="16129" max="16129" width="3.85546875" style="508" customWidth="1"/>
    <col min="16130" max="16130" width="52.7109375" style="508" customWidth="1"/>
    <col min="16131" max="16131" width="22" style="508" customWidth="1"/>
    <col min="16132" max="16132" width="24" style="508" customWidth="1"/>
    <col min="16133" max="16133" width="20" style="508" customWidth="1"/>
    <col min="16134" max="16134" width="19.5703125" style="508" customWidth="1"/>
    <col min="16135" max="16135" width="90.42578125" style="508" customWidth="1"/>
    <col min="16136" max="16137" width="9.140625" style="508" customWidth="1"/>
    <col min="16138" max="16384" width="9.140625" style="508"/>
  </cols>
  <sheetData>
    <row r="1" spans="2:7" ht="13.5" thickBot="1"/>
    <row r="2" spans="2:7">
      <c r="B2" s="491" t="s">
        <v>1454</v>
      </c>
      <c r="C2" s="492"/>
      <c r="D2" s="493"/>
      <c r="E2" s="493"/>
      <c r="F2" s="493"/>
      <c r="G2" s="494"/>
    </row>
    <row r="3" spans="2:7">
      <c r="B3" s="495"/>
      <c r="C3" s="496"/>
      <c r="D3" s="497"/>
      <c r="E3" s="497"/>
      <c r="F3" s="497"/>
      <c r="G3" s="498"/>
    </row>
    <row r="4" spans="2:7">
      <c r="B4" s="495"/>
      <c r="C4" s="496"/>
      <c r="D4" s="497"/>
      <c r="E4" s="497"/>
      <c r="F4" s="499"/>
      <c r="G4" s="498"/>
    </row>
    <row r="5" spans="2:7" ht="38.25">
      <c r="B5" s="495"/>
      <c r="C5" s="496" t="s">
        <v>1455</v>
      </c>
      <c r="D5" s="496" t="s">
        <v>1456</v>
      </c>
      <c r="E5" s="497"/>
      <c r="F5" s="500" t="s">
        <v>1457</v>
      </c>
      <c r="G5" s="501" t="s">
        <v>1458</v>
      </c>
    </row>
    <row r="6" spans="2:7">
      <c r="B6" s="495"/>
      <c r="C6" s="496"/>
      <c r="D6" s="497"/>
      <c r="E6" s="497"/>
      <c r="F6" s="500"/>
      <c r="G6" s="498"/>
    </row>
    <row r="7" spans="2:7">
      <c r="B7" s="502" t="s">
        <v>1459</v>
      </c>
      <c r="C7" s="496"/>
      <c r="D7" s="497"/>
      <c r="E7" s="497"/>
      <c r="F7" s="500"/>
      <c r="G7" s="498"/>
    </row>
    <row r="8" spans="2:7">
      <c r="B8" s="503" t="s">
        <v>1460</v>
      </c>
      <c r="C8" s="504">
        <v>230665.28</v>
      </c>
      <c r="D8" s="505">
        <v>230665.28</v>
      </c>
      <c r="E8" s="497">
        <f>+C8-D8</f>
        <v>0</v>
      </c>
      <c r="F8" s="500"/>
      <c r="G8" s="498"/>
    </row>
    <row r="9" spans="2:7">
      <c r="B9" s="503" t="s">
        <v>1461</v>
      </c>
      <c r="C9" s="504">
        <v>2229.16</v>
      </c>
      <c r="D9" s="505">
        <v>2229.16</v>
      </c>
      <c r="E9" s="497">
        <f t="shared" ref="E9:E27" si="0">+C9-D9</f>
        <v>0</v>
      </c>
      <c r="F9" s="500"/>
      <c r="G9" s="498"/>
    </row>
    <row r="10" spans="2:7">
      <c r="B10" s="503" t="s">
        <v>1462</v>
      </c>
      <c r="C10" s="504">
        <v>1631.09</v>
      </c>
      <c r="D10" s="505">
        <v>1631.09</v>
      </c>
      <c r="E10" s="497">
        <f t="shared" si="0"/>
        <v>0</v>
      </c>
      <c r="F10" s="500"/>
      <c r="G10" s="498"/>
    </row>
    <row r="11" spans="2:7">
      <c r="B11" s="503" t="s">
        <v>1463</v>
      </c>
      <c r="C11" s="504">
        <v>1696.96</v>
      </c>
      <c r="D11" s="505">
        <v>1696.96</v>
      </c>
      <c r="E11" s="497">
        <f t="shared" si="0"/>
        <v>0</v>
      </c>
      <c r="F11" s="500"/>
      <c r="G11" s="498"/>
    </row>
    <row r="12" spans="2:7">
      <c r="B12" s="503" t="s">
        <v>1464</v>
      </c>
      <c r="C12" s="496">
        <v>29.22</v>
      </c>
      <c r="D12" s="497">
        <v>29.22</v>
      </c>
      <c r="E12" s="497">
        <f t="shared" si="0"/>
        <v>0</v>
      </c>
      <c r="F12" s="500"/>
      <c r="G12" s="498"/>
    </row>
    <row r="13" spans="2:7">
      <c r="B13" s="503" t="s">
        <v>1465</v>
      </c>
      <c r="C13" s="496">
        <v>365.72</v>
      </c>
      <c r="D13" s="497">
        <v>365.72</v>
      </c>
      <c r="E13" s="497">
        <f t="shared" si="0"/>
        <v>0</v>
      </c>
      <c r="F13" s="500"/>
      <c r="G13" s="498"/>
    </row>
    <row r="14" spans="2:7" ht="25.5">
      <c r="B14" s="503" t="s">
        <v>1466</v>
      </c>
      <c r="C14" s="506">
        <v>1870.26</v>
      </c>
      <c r="D14" s="497">
        <v>1986.92</v>
      </c>
      <c r="E14" s="497">
        <f t="shared" si="0"/>
        <v>-116.66000000000008</v>
      </c>
      <c r="F14" s="500" t="s">
        <v>1116</v>
      </c>
      <c r="G14" s="498" t="s">
        <v>94</v>
      </c>
    </row>
    <row r="15" spans="2:7">
      <c r="B15" s="503" t="s">
        <v>1467</v>
      </c>
      <c r="C15" s="507">
        <v>1.62</v>
      </c>
      <c r="D15" s="497">
        <v>1.62</v>
      </c>
      <c r="E15" s="497">
        <f t="shared" si="0"/>
        <v>0</v>
      </c>
      <c r="F15" s="500"/>
      <c r="G15" s="498"/>
    </row>
    <row r="16" spans="2:7">
      <c r="B16" s="503" t="s">
        <v>1434</v>
      </c>
      <c r="C16" s="496">
        <v>116.66</v>
      </c>
      <c r="D16" s="497">
        <v>0</v>
      </c>
      <c r="E16" s="497">
        <f t="shared" si="0"/>
        <v>116.66</v>
      </c>
      <c r="F16" s="500" t="s">
        <v>1116</v>
      </c>
      <c r="G16" s="498"/>
    </row>
    <row r="17" spans="2:9">
      <c r="B17" s="503"/>
      <c r="C17" s="496"/>
      <c r="D17" s="497"/>
      <c r="E17" s="497">
        <f t="shared" si="0"/>
        <v>0</v>
      </c>
      <c r="F17" s="500"/>
      <c r="G17" s="498"/>
    </row>
    <row r="18" spans="2:9">
      <c r="B18" s="509" t="s">
        <v>1468</v>
      </c>
      <c r="C18" s="496"/>
      <c r="D18" s="497"/>
      <c r="E18" s="497">
        <f t="shared" si="0"/>
        <v>0</v>
      </c>
      <c r="F18" s="500"/>
      <c r="G18" s="498"/>
    </row>
    <row r="19" spans="2:9" ht="21" customHeight="1">
      <c r="B19" s="503" t="s">
        <v>1469</v>
      </c>
      <c r="C19" s="504">
        <v>15.63</v>
      </c>
      <c r="D19" s="497">
        <v>8.69</v>
      </c>
      <c r="E19" s="497">
        <f t="shared" si="0"/>
        <v>6.9400000000000013</v>
      </c>
      <c r="F19" s="500"/>
      <c r="G19" s="498" t="s">
        <v>1470</v>
      </c>
    </row>
    <row r="20" spans="2:9">
      <c r="B20" s="503" t="s">
        <v>1379</v>
      </c>
      <c r="C20" s="504">
        <v>0</v>
      </c>
      <c r="D20" s="504">
        <v>0</v>
      </c>
      <c r="E20" s="497">
        <f t="shared" si="0"/>
        <v>0</v>
      </c>
      <c r="F20" s="500"/>
      <c r="G20" s="498"/>
    </row>
    <row r="21" spans="2:9">
      <c r="B21" s="503" t="s">
        <v>1471</v>
      </c>
      <c r="C21" s="504">
        <v>0.47</v>
      </c>
      <c r="D21" s="497">
        <v>0.47</v>
      </c>
      <c r="E21" s="497">
        <f t="shared" si="0"/>
        <v>0</v>
      </c>
      <c r="F21" s="510"/>
      <c r="G21" s="498"/>
    </row>
    <row r="22" spans="2:9">
      <c r="B22" s="503" t="s">
        <v>1381</v>
      </c>
      <c r="C22" s="504">
        <v>71.83</v>
      </c>
      <c r="D22" s="505">
        <v>71.83</v>
      </c>
      <c r="E22" s="497">
        <f t="shared" si="0"/>
        <v>0</v>
      </c>
      <c r="F22" s="500"/>
      <c r="G22" s="498"/>
    </row>
    <row r="23" spans="2:9">
      <c r="B23" s="503" t="s">
        <v>1382</v>
      </c>
      <c r="C23" s="504">
        <v>224.88</v>
      </c>
      <c r="D23" s="505">
        <v>224.88</v>
      </c>
      <c r="E23" s="497">
        <f t="shared" si="0"/>
        <v>0</v>
      </c>
      <c r="F23" s="500"/>
      <c r="G23" s="498"/>
    </row>
    <row r="24" spans="2:9" ht="25.5">
      <c r="B24" s="503" t="s">
        <v>1472</v>
      </c>
      <c r="C24" s="504">
        <f>36.72+0.15</f>
        <v>36.869999999999997</v>
      </c>
      <c r="D24" s="505">
        <f>36.72+0.15</f>
        <v>36.869999999999997</v>
      </c>
      <c r="E24" s="497">
        <f t="shared" si="0"/>
        <v>0</v>
      </c>
      <c r="F24" s="500"/>
      <c r="G24" s="498"/>
    </row>
    <row r="25" spans="2:9">
      <c r="B25" s="503" t="s">
        <v>1473</v>
      </c>
      <c r="C25" s="504">
        <f>+[62]BEST!D409</f>
        <v>0</v>
      </c>
      <c r="D25" s="497">
        <v>0</v>
      </c>
      <c r="E25" s="497">
        <f t="shared" si="0"/>
        <v>0</v>
      </c>
      <c r="F25" s="500"/>
      <c r="G25" s="498"/>
    </row>
    <row r="26" spans="2:9">
      <c r="B26" s="503" t="s">
        <v>1474</v>
      </c>
      <c r="C26" s="504">
        <v>3022.19</v>
      </c>
      <c r="D26" s="497">
        <v>0</v>
      </c>
      <c r="E26" s="497">
        <f t="shared" si="0"/>
        <v>3022.19</v>
      </c>
      <c r="F26" s="500" t="s">
        <v>1116</v>
      </c>
      <c r="G26" s="511"/>
      <c r="I26" s="508"/>
    </row>
    <row r="27" spans="2:9">
      <c r="B27" s="503" t="s">
        <v>1475</v>
      </c>
      <c r="C27" s="504">
        <v>101.5</v>
      </c>
      <c r="D27" s="497">
        <v>0</v>
      </c>
      <c r="E27" s="497">
        <f t="shared" si="0"/>
        <v>101.5</v>
      </c>
      <c r="F27" s="500" t="s">
        <v>1116</v>
      </c>
      <c r="G27" s="498"/>
    </row>
    <row r="28" spans="2:9">
      <c r="B28" s="495"/>
      <c r="C28" s="497"/>
      <c r="D28" s="497"/>
      <c r="E28" s="497"/>
      <c r="F28" s="500"/>
      <c r="G28" s="498"/>
    </row>
    <row r="29" spans="2:9" ht="26.25" thickBot="1">
      <c r="B29" s="512" t="s">
        <v>499</v>
      </c>
      <c r="C29" s="513">
        <f>SUM(C8:C27)</f>
        <v>242079.34</v>
      </c>
      <c r="D29" s="513">
        <f>SUM(D8:D27)</f>
        <v>238948.71</v>
      </c>
      <c r="E29" s="513">
        <f>SUM(E8:E28)</f>
        <v>3130.63</v>
      </c>
      <c r="F29" s="500"/>
      <c r="G29" s="869" t="s">
        <v>1476</v>
      </c>
    </row>
    <row r="30" spans="2:9" ht="13.5" thickTop="1">
      <c r="B30" s="512"/>
      <c r="C30" s="496"/>
      <c r="D30" s="496"/>
      <c r="E30" s="496"/>
      <c r="F30" s="497"/>
      <c r="G30" s="498"/>
    </row>
    <row r="31" spans="2:9">
      <c r="B31" s="515" t="s">
        <v>1477</v>
      </c>
      <c r="C31" s="496"/>
      <c r="D31" s="497"/>
      <c r="E31" s="497"/>
      <c r="F31" s="516"/>
      <c r="G31" s="498"/>
    </row>
    <row r="32" spans="2:9">
      <c r="B32" s="495"/>
      <c r="C32" s="499"/>
      <c r="D32" s="497"/>
      <c r="E32" s="497"/>
      <c r="F32" s="497"/>
      <c r="G32" s="498"/>
    </row>
    <row r="33" spans="2:9" ht="15">
      <c r="B33" s="517" t="s">
        <v>1194</v>
      </c>
      <c r="C33" s="518" t="e">
        <f>+'[62]BEST final'!#REF!</f>
        <v>#REF!</v>
      </c>
      <c r="D33" s="486">
        <v>222188.49</v>
      </c>
      <c r="E33" s="497" t="e">
        <f t="shared" ref="E33:E51" si="1">+C33-D33</f>
        <v>#REF!</v>
      </c>
      <c r="F33" s="497"/>
      <c r="G33" s="498"/>
    </row>
    <row r="34" spans="2:9" ht="15">
      <c r="B34" s="517" t="s">
        <v>1478</v>
      </c>
      <c r="C34" s="518">
        <v>7510.68</v>
      </c>
      <c r="D34" s="497">
        <v>7531.21</v>
      </c>
      <c r="E34" s="497">
        <f t="shared" si="1"/>
        <v>-20.529999999999745</v>
      </c>
      <c r="F34" s="497" t="s">
        <v>1116</v>
      </c>
      <c r="G34" s="498" t="s">
        <v>1479</v>
      </c>
    </row>
    <row r="35" spans="2:9">
      <c r="B35" s="495" t="s">
        <v>1480</v>
      </c>
      <c r="C35" s="496">
        <v>3281.86</v>
      </c>
      <c r="D35" s="497">
        <v>3329.43</v>
      </c>
      <c r="E35" s="497">
        <f t="shared" si="1"/>
        <v>-47.569999999999709</v>
      </c>
      <c r="F35" s="497" t="s">
        <v>1116</v>
      </c>
      <c r="G35" s="498" t="s">
        <v>1481</v>
      </c>
    </row>
    <row r="36" spans="2:9">
      <c r="B36" s="503" t="s">
        <v>1482</v>
      </c>
      <c r="C36" s="496">
        <v>0</v>
      </c>
      <c r="D36" s="497">
        <v>0</v>
      </c>
      <c r="E36" s="497">
        <f t="shared" si="1"/>
        <v>0</v>
      </c>
      <c r="F36" s="497"/>
      <c r="G36" s="498"/>
    </row>
    <row r="37" spans="2:9" ht="15">
      <c r="B37" s="519" t="s">
        <v>1427</v>
      </c>
      <c r="C37" s="520">
        <f>+'[62]BEST final'!G446</f>
        <v>0</v>
      </c>
      <c r="D37" s="521">
        <v>219.44</v>
      </c>
      <c r="E37" s="522">
        <f t="shared" si="1"/>
        <v>-219.44</v>
      </c>
      <c r="F37" s="522"/>
      <c r="G37" s="498"/>
    </row>
    <row r="38" spans="2:9" ht="15">
      <c r="B38" s="495" t="s">
        <v>1483</v>
      </c>
      <c r="C38" s="520">
        <v>6875.24</v>
      </c>
      <c r="D38" s="497">
        <v>7918.33</v>
      </c>
      <c r="E38" s="497">
        <f t="shared" si="1"/>
        <v>-1043.0900000000001</v>
      </c>
      <c r="F38" s="497" t="s">
        <v>1116</v>
      </c>
      <c r="G38" s="523" t="s">
        <v>1484</v>
      </c>
    </row>
    <row r="39" spans="2:9">
      <c r="B39" s="495" t="s">
        <v>1485</v>
      </c>
      <c r="C39" s="496">
        <v>575.66</v>
      </c>
      <c r="D39" s="497">
        <v>575.66</v>
      </c>
      <c r="E39" s="497">
        <f t="shared" si="1"/>
        <v>0</v>
      </c>
      <c r="F39" s="497"/>
      <c r="G39" s="498" t="s">
        <v>1486</v>
      </c>
    </row>
    <row r="40" spans="2:9" ht="15">
      <c r="B40" s="495" t="s">
        <v>1487</v>
      </c>
      <c r="C40" s="518">
        <v>0.87</v>
      </c>
      <c r="D40" s="497">
        <v>0.87</v>
      </c>
      <c r="E40" s="497">
        <f t="shared" si="1"/>
        <v>0</v>
      </c>
      <c r="F40" s="497"/>
      <c r="G40" s="498" t="s">
        <v>1486</v>
      </c>
    </row>
    <row r="41" spans="2:9" ht="15">
      <c r="B41" s="495" t="s">
        <v>1488</v>
      </c>
      <c r="C41" s="524">
        <v>5743.33</v>
      </c>
      <c r="D41" s="497">
        <v>4469.45</v>
      </c>
      <c r="E41" s="497">
        <f t="shared" si="1"/>
        <v>1273.8800000000001</v>
      </c>
      <c r="F41" s="497"/>
      <c r="G41" s="523" t="s">
        <v>94</v>
      </c>
    </row>
    <row r="42" spans="2:9">
      <c r="B42" s="495" t="s">
        <v>1489</v>
      </c>
      <c r="C42" s="496">
        <v>0</v>
      </c>
      <c r="D42" s="497">
        <v>0</v>
      </c>
      <c r="E42" s="497">
        <f t="shared" si="1"/>
        <v>0</v>
      </c>
      <c r="F42" s="497"/>
      <c r="G42" s="498"/>
    </row>
    <row r="43" spans="2:9" ht="15">
      <c r="B43" s="495" t="s">
        <v>1428</v>
      </c>
      <c r="C43" s="520">
        <v>2756.74</v>
      </c>
      <c r="D43" s="497">
        <v>2756.74</v>
      </c>
      <c r="E43" s="497">
        <f t="shared" si="1"/>
        <v>0</v>
      </c>
      <c r="F43" s="497"/>
      <c r="G43" s="498"/>
    </row>
    <row r="44" spans="2:9">
      <c r="B44" s="495" t="s">
        <v>1490</v>
      </c>
      <c r="C44" s="496">
        <v>2525.92</v>
      </c>
      <c r="D44" s="497">
        <v>2525.92</v>
      </c>
      <c r="E44" s="497">
        <f t="shared" si="1"/>
        <v>0</v>
      </c>
      <c r="F44" s="497"/>
      <c r="G44" s="498" t="s">
        <v>1486</v>
      </c>
    </row>
    <row r="45" spans="2:9" ht="15">
      <c r="B45" s="495" t="s">
        <v>1426</v>
      </c>
      <c r="C45" s="520">
        <v>286.31</v>
      </c>
      <c r="D45" s="497">
        <v>286.31</v>
      </c>
      <c r="E45" s="497">
        <f t="shared" si="1"/>
        <v>0</v>
      </c>
      <c r="F45" s="497"/>
      <c r="G45" s="498"/>
    </row>
    <row r="46" spans="2:9" ht="15">
      <c r="B46" s="495" t="s">
        <v>1491</v>
      </c>
      <c r="C46" s="520">
        <v>372.18</v>
      </c>
      <c r="D46" s="497">
        <v>372.18</v>
      </c>
      <c r="E46" s="497">
        <f t="shared" si="1"/>
        <v>0</v>
      </c>
      <c r="F46" s="497"/>
      <c r="G46" s="498"/>
    </row>
    <row r="47" spans="2:9" outlineLevel="1">
      <c r="B47" s="495" t="s">
        <v>1492</v>
      </c>
      <c r="C47" s="525">
        <v>3002.79</v>
      </c>
      <c r="D47" s="526">
        <v>3002.79</v>
      </c>
      <c r="E47" s="497">
        <f t="shared" si="1"/>
        <v>0</v>
      </c>
      <c r="F47" s="497"/>
      <c r="G47" s="498" t="s">
        <v>1493</v>
      </c>
      <c r="I47" s="527"/>
    </row>
    <row r="48" spans="2:9" ht="15" outlineLevel="1">
      <c r="B48" s="495" t="s">
        <v>1494</v>
      </c>
      <c r="C48" s="528">
        <v>1592.25</v>
      </c>
      <c r="D48" s="526">
        <v>1737.75</v>
      </c>
      <c r="E48" s="497">
        <f t="shared" si="1"/>
        <v>-145.5</v>
      </c>
      <c r="F48" s="497" t="s">
        <v>1116</v>
      </c>
      <c r="G48" s="498" t="s">
        <v>1495</v>
      </c>
      <c r="I48" s="527"/>
    </row>
    <row r="49" spans="2:11">
      <c r="B49" s="495" t="s">
        <v>1496</v>
      </c>
      <c r="C49" s="525">
        <v>375.55</v>
      </c>
      <c r="D49" s="526">
        <v>375.55</v>
      </c>
      <c r="E49" s="497">
        <f t="shared" si="1"/>
        <v>0</v>
      </c>
      <c r="F49" s="497"/>
      <c r="G49" s="498" t="s">
        <v>1486</v>
      </c>
      <c r="I49" s="527"/>
    </row>
    <row r="50" spans="2:11">
      <c r="B50" s="495" t="s">
        <v>1497</v>
      </c>
      <c r="C50" s="496">
        <v>115.83</v>
      </c>
      <c r="D50" s="497">
        <v>115.83</v>
      </c>
      <c r="E50" s="497">
        <f t="shared" si="1"/>
        <v>0</v>
      </c>
      <c r="F50" s="497"/>
      <c r="G50" s="498"/>
    </row>
    <row r="51" spans="2:11">
      <c r="B51" s="495" t="s">
        <v>1498</v>
      </c>
      <c r="C51" s="496">
        <v>3084.33</v>
      </c>
      <c r="D51" s="497">
        <v>3084.33</v>
      </c>
      <c r="E51" s="497">
        <f t="shared" si="1"/>
        <v>0</v>
      </c>
      <c r="F51" s="497"/>
      <c r="G51" s="498"/>
      <c r="J51" s="489"/>
    </row>
    <row r="52" spans="2:11">
      <c r="B52" s="495" t="s">
        <v>135</v>
      </c>
      <c r="C52" s="496">
        <v>438.67</v>
      </c>
      <c r="D52" s="497">
        <v>421.78</v>
      </c>
      <c r="E52" s="497">
        <f>+C52-D52</f>
        <v>16.890000000000043</v>
      </c>
      <c r="F52" s="497" t="s">
        <v>1116</v>
      </c>
      <c r="G52" s="498"/>
      <c r="J52" s="489"/>
    </row>
    <row r="53" spans="2:11">
      <c r="B53" s="495" t="s">
        <v>1499</v>
      </c>
      <c r="C53" s="496">
        <v>0.04</v>
      </c>
      <c r="D53" s="497">
        <v>0.04</v>
      </c>
      <c r="E53" s="497">
        <f>+C53-D53</f>
        <v>0</v>
      </c>
      <c r="F53" s="497" t="s">
        <v>1116</v>
      </c>
      <c r="G53" s="498"/>
      <c r="I53" s="489">
        <f>28.73-763.62</f>
        <v>-734.89</v>
      </c>
    </row>
    <row r="54" spans="2:11">
      <c r="B54" s="495" t="s">
        <v>1500</v>
      </c>
      <c r="C54" s="496">
        <f>+'[62]BEST final'!G528</f>
        <v>26.38</v>
      </c>
      <c r="D54" s="497"/>
      <c r="E54" s="497">
        <f>+C54-D54</f>
        <v>26.38</v>
      </c>
      <c r="F54" s="497"/>
      <c r="G54" s="498" t="s">
        <v>1501</v>
      </c>
      <c r="J54" s="489"/>
    </row>
    <row r="55" spans="2:11">
      <c r="B55" s="495" t="s">
        <v>1502</v>
      </c>
      <c r="C55" s="496">
        <v>11.26</v>
      </c>
      <c r="D55" s="497">
        <v>0</v>
      </c>
      <c r="E55" s="497">
        <f>+C55-D55</f>
        <v>11.26</v>
      </c>
      <c r="F55" s="497"/>
      <c r="G55" s="498" t="s">
        <v>1501</v>
      </c>
    </row>
    <row r="56" spans="2:11">
      <c r="B56" s="495" t="s">
        <v>320</v>
      </c>
      <c r="C56" s="496">
        <v>166.75</v>
      </c>
      <c r="D56" s="497">
        <v>166.75</v>
      </c>
      <c r="E56" s="497">
        <f>+C56-D56</f>
        <v>0</v>
      </c>
      <c r="F56" s="497"/>
      <c r="G56" s="511"/>
      <c r="I56" s="490">
        <v>476.83</v>
      </c>
      <c r="J56" s="529">
        <f>800.43+82.86</f>
        <v>883.29</v>
      </c>
      <c r="K56" s="508" t="s">
        <v>1503</v>
      </c>
    </row>
    <row r="57" spans="2:11" ht="13.5" thickBot="1">
      <c r="B57" s="495"/>
      <c r="C57" s="513" t="e">
        <f>SUM(C33:C56)</f>
        <v>#REF!</v>
      </c>
      <c r="D57" s="530">
        <f>SUM(D33:D56)</f>
        <v>261078.84999999995</v>
      </c>
      <c r="E57" s="530" t="e">
        <f>SUM(E33:E56)</f>
        <v>#REF!</v>
      </c>
      <c r="F57" s="497"/>
      <c r="G57" s="531"/>
      <c r="I57" s="532">
        <v>19.84</v>
      </c>
      <c r="J57" s="489">
        <f>+I56+I57</f>
        <v>496.66999999999996</v>
      </c>
      <c r="K57" s="508" t="s">
        <v>1504</v>
      </c>
    </row>
    <row r="58" spans="2:11" ht="14.25" thickTop="1" thickBot="1">
      <c r="B58" s="533" t="s">
        <v>94</v>
      </c>
      <c r="C58" s="534" t="e">
        <f>+C29-C57</f>
        <v>#REF!</v>
      </c>
      <c r="D58" s="535">
        <f>+D29-D57</f>
        <v>-22130.139999999956</v>
      </c>
      <c r="E58" s="535" t="e">
        <f>+E29-E57</f>
        <v>#REF!</v>
      </c>
      <c r="F58" s="535"/>
      <c r="G58" s="536"/>
    </row>
    <row r="59" spans="2:11">
      <c r="B59" s="487" t="s">
        <v>94</v>
      </c>
      <c r="C59" s="488" t="s">
        <v>94</v>
      </c>
      <c r="E59" s="532" t="s">
        <v>94</v>
      </c>
    </row>
    <row r="60" spans="2:11">
      <c r="B60" s="487" t="s">
        <v>277</v>
      </c>
      <c r="C60" s="488" t="s">
        <v>94</v>
      </c>
      <c r="D60" s="488" t="s">
        <v>94</v>
      </c>
      <c r="E60" s="489" t="s">
        <v>94</v>
      </c>
      <c r="F60" s="489" t="s">
        <v>94</v>
      </c>
    </row>
    <row r="63" spans="2:11" ht="13.5" thickBot="1"/>
    <row r="64" spans="2:11">
      <c r="B64" s="491" t="s">
        <v>1505</v>
      </c>
      <c r="C64" s="492"/>
      <c r="D64" s="493"/>
      <c r="E64" s="493"/>
      <c r="F64" s="493"/>
      <c r="G64" s="494"/>
    </row>
    <row r="65" spans="2:7">
      <c r="B65" s="495"/>
      <c r="C65" s="496"/>
      <c r="D65" s="497"/>
      <c r="E65" s="497"/>
      <c r="F65" s="497"/>
      <c r="G65" s="498"/>
    </row>
    <row r="66" spans="2:7">
      <c r="B66" s="495"/>
      <c r="C66" s="496"/>
      <c r="D66" s="497"/>
      <c r="E66" s="497"/>
      <c r="F66" s="499"/>
      <c r="G66" s="498"/>
    </row>
    <row r="67" spans="2:7" ht="38.25">
      <c r="B67" s="495"/>
      <c r="C67" s="496" t="s">
        <v>1455</v>
      </c>
      <c r="D67" s="496" t="s">
        <v>1456</v>
      </c>
      <c r="E67" s="497"/>
      <c r="F67" s="500" t="s">
        <v>1457</v>
      </c>
      <c r="G67" s="501" t="s">
        <v>1458</v>
      </c>
    </row>
    <row r="68" spans="2:7">
      <c r="B68" s="495"/>
      <c r="C68" s="496"/>
      <c r="D68" s="497"/>
      <c r="E68" s="497"/>
      <c r="F68" s="500"/>
      <c r="G68" s="498"/>
    </row>
    <row r="69" spans="2:7">
      <c r="B69" s="502" t="s">
        <v>1459</v>
      </c>
      <c r="C69" s="496"/>
      <c r="D69" s="497"/>
      <c r="E69" s="497"/>
      <c r="F69" s="500"/>
      <c r="G69" s="498"/>
    </row>
    <row r="70" spans="2:7">
      <c r="B70" s="503" t="s">
        <v>1460</v>
      </c>
      <c r="C70" s="504">
        <v>280727.96999999997</v>
      </c>
      <c r="D70" s="505">
        <v>280727.96999999997</v>
      </c>
      <c r="E70" s="497">
        <f>+C70-D70</f>
        <v>0</v>
      </c>
      <c r="F70" s="500"/>
      <c r="G70" s="498"/>
    </row>
    <row r="71" spans="2:7">
      <c r="B71" s="503" t="s">
        <v>1461</v>
      </c>
      <c r="C71" s="504">
        <v>2500.15</v>
      </c>
      <c r="D71" s="505">
        <v>2500.15</v>
      </c>
      <c r="E71" s="497">
        <f t="shared" ref="E71:E89" si="2">+C71-D71</f>
        <v>0</v>
      </c>
      <c r="F71" s="500"/>
      <c r="G71" s="498"/>
    </row>
    <row r="72" spans="2:7">
      <c r="B72" s="503" t="s">
        <v>1462</v>
      </c>
      <c r="C72" s="504">
        <v>1637.33</v>
      </c>
      <c r="D72" s="505">
        <v>1637.33</v>
      </c>
      <c r="E72" s="497">
        <f t="shared" si="2"/>
        <v>0</v>
      </c>
      <c r="F72" s="500"/>
      <c r="G72" s="498"/>
    </row>
    <row r="73" spans="2:7">
      <c r="B73" s="503" t="s">
        <v>1463</v>
      </c>
      <c r="C73" s="504">
        <v>2630.54</v>
      </c>
      <c r="D73" s="505">
        <v>2630.54</v>
      </c>
      <c r="E73" s="497">
        <f t="shared" si="2"/>
        <v>0</v>
      </c>
      <c r="F73" s="500"/>
      <c r="G73" s="498"/>
    </row>
    <row r="74" spans="2:7">
      <c r="B74" s="503" t="s">
        <v>1464</v>
      </c>
      <c r="C74" s="496">
        <v>26.97</v>
      </c>
      <c r="D74" s="497">
        <v>26.97</v>
      </c>
      <c r="E74" s="497">
        <f t="shared" si="2"/>
        <v>0</v>
      </c>
      <c r="F74" s="500"/>
      <c r="G74" s="498"/>
    </row>
    <row r="75" spans="2:7">
      <c r="B75" s="503" t="s">
        <v>1465</v>
      </c>
      <c r="C75" s="496">
        <v>620.12</v>
      </c>
      <c r="D75" s="497">
        <v>620.12</v>
      </c>
      <c r="E75" s="497">
        <f t="shared" si="2"/>
        <v>0</v>
      </c>
      <c r="F75" s="500"/>
      <c r="G75" s="498"/>
    </row>
    <row r="76" spans="2:7" ht="25.5">
      <c r="B76" s="503" t="s">
        <v>1466</v>
      </c>
      <c r="C76" s="506">
        <v>2407.15</v>
      </c>
      <c r="D76" s="497">
        <v>2430.66</v>
      </c>
      <c r="E76" s="497">
        <f t="shared" si="2"/>
        <v>-23.509999999999764</v>
      </c>
      <c r="F76" s="500" t="s">
        <v>1116</v>
      </c>
      <c r="G76" s="498" t="s">
        <v>94</v>
      </c>
    </row>
    <row r="77" spans="2:7">
      <c r="B77" s="503" t="s">
        <v>1467</v>
      </c>
      <c r="C77" s="507">
        <v>1.54</v>
      </c>
      <c r="D77" s="497">
        <v>1.54</v>
      </c>
      <c r="E77" s="497">
        <f t="shared" si="2"/>
        <v>0</v>
      </c>
      <c r="F77" s="500"/>
      <c r="G77" s="498"/>
    </row>
    <row r="78" spans="2:7">
      <c r="B78" s="503" t="s">
        <v>1434</v>
      </c>
      <c r="C78" s="496">
        <v>23.51</v>
      </c>
      <c r="D78" s="497">
        <v>0</v>
      </c>
      <c r="E78" s="497">
        <f t="shared" si="2"/>
        <v>23.51</v>
      </c>
      <c r="F78" s="500" t="s">
        <v>1116</v>
      </c>
      <c r="G78" s="498"/>
    </row>
    <row r="79" spans="2:7">
      <c r="B79" s="503"/>
      <c r="C79" s="496"/>
      <c r="D79" s="497"/>
      <c r="E79" s="497">
        <f t="shared" si="2"/>
        <v>0</v>
      </c>
      <c r="F79" s="500"/>
      <c r="G79" s="498"/>
    </row>
    <row r="80" spans="2:7">
      <c r="B80" s="509" t="s">
        <v>1468</v>
      </c>
      <c r="C80" s="496"/>
      <c r="D80" s="497"/>
      <c r="E80" s="497">
        <f t="shared" si="2"/>
        <v>0</v>
      </c>
      <c r="F80" s="500"/>
      <c r="G80" s="498"/>
    </row>
    <row r="81" spans="2:7">
      <c r="B81" s="503" t="s">
        <v>1469</v>
      </c>
      <c r="C81" s="504">
        <v>26.49</v>
      </c>
      <c r="D81" s="497">
        <v>26.49</v>
      </c>
      <c r="E81" s="497">
        <f t="shared" si="2"/>
        <v>0</v>
      </c>
      <c r="F81" s="500"/>
      <c r="G81" s="498"/>
    </row>
    <row r="82" spans="2:7">
      <c r="B82" s="503" t="s">
        <v>1379</v>
      </c>
      <c r="C82" s="504">
        <v>0</v>
      </c>
      <c r="D82" s="504">
        <v>0</v>
      </c>
      <c r="E82" s="497">
        <f t="shared" si="2"/>
        <v>0</v>
      </c>
      <c r="F82" s="500"/>
      <c r="G82" s="498"/>
    </row>
    <row r="83" spans="2:7">
      <c r="B83" s="503" t="s">
        <v>1471</v>
      </c>
      <c r="C83" s="504">
        <v>0.56999999999999995</v>
      </c>
      <c r="D83" s="497">
        <v>0.56999999999999995</v>
      </c>
      <c r="E83" s="497">
        <f t="shared" si="2"/>
        <v>0</v>
      </c>
      <c r="F83" s="510"/>
      <c r="G83" s="498"/>
    </row>
    <row r="84" spans="2:7">
      <c r="B84" s="503" t="s">
        <v>1381</v>
      </c>
      <c r="C84" s="504">
        <v>73.33</v>
      </c>
      <c r="D84" s="505">
        <v>73.33</v>
      </c>
      <c r="E84" s="497">
        <f t="shared" si="2"/>
        <v>0</v>
      </c>
      <c r="F84" s="500"/>
      <c r="G84" s="498"/>
    </row>
    <row r="85" spans="2:7">
      <c r="B85" s="503" t="s">
        <v>1382</v>
      </c>
      <c r="C85" s="504">
        <v>430.94</v>
      </c>
      <c r="D85" s="505">
        <v>430.94</v>
      </c>
      <c r="E85" s="497">
        <f t="shared" si="2"/>
        <v>0</v>
      </c>
      <c r="F85" s="500"/>
      <c r="G85" s="498"/>
    </row>
    <row r="86" spans="2:7" ht="25.5">
      <c r="B86" s="503" t="s">
        <v>1472</v>
      </c>
      <c r="C86" s="504">
        <v>77.14</v>
      </c>
      <c r="D86" s="505">
        <v>77.14</v>
      </c>
      <c r="E86" s="497">
        <f t="shared" si="2"/>
        <v>0</v>
      </c>
      <c r="F86" s="500"/>
      <c r="G86" s="498"/>
    </row>
    <row r="87" spans="2:7">
      <c r="B87" s="503" t="s">
        <v>1473</v>
      </c>
      <c r="C87" s="504">
        <v>0</v>
      </c>
      <c r="D87" s="497">
        <v>0</v>
      </c>
      <c r="E87" s="497">
        <f t="shared" si="2"/>
        <v>0</v>
      </c>
      <c r="F87" s="500"/>
      <c r="G87" s="498"/>
    </row>
    <row r="88" spans="2:7">
      <c r="B88" s="503" t="s">
        <v>1474</v>
      </c>
      <c r="C88" s="504">
        <v>4948.37</v>
      </c>
      <c r="D88" s="497">
        <v>0</v>
      </c>
      <c r="E88" s="497">
        <f t="shared" si="2"/>
        <v>4948.37</v>
      </c>
      <c r="F88" s="500" t="s">
        <v>1116</v>
      </c>
      <c r="G88" s="511"/>
    </row>
    <row r="89" spans="2:7">
      <c r="B89" s="503" t="s">
        <v>1475</v>
      </c>
      <c r="C89" s="504">
        <v>115.56</v>
      </c>
      <c r="D89" s="497">
        <v>0</v>
      </c>
      <c r="E89" s="497">
        <f t="shared" si="2"/>
        <v>115.56</v>
      </c>
      <c r="F89" s="500" t="s">
        <v>1116</v>
      </c>
      <c r="G89" s="498"/>
    </row>
    <row r="90" spans="2:7">
      <c r="B90" s="495"/>
      <c r="C90" s="497"/>
      <c r="D90" s="497"/>
      <c r="E90" s="497"/>
      <c r="F90" s="500"/>
      <c r="G90" s="498"/>
    </row>
    <row r="91" spans="2:7" ht="26.25" thickBot="1">
      <c r="B91" s="512" t="s">
        <v>499</v>
      </c>
      <c r="C91" s="513">
        <f>SUM(C70:C89)</f>
        <v>296247.67999999999</v>
      </c>
      <c r="D91" s="513">
        <f>SUM(D70:D89)</f>
        <v>291183.74999999994</v>
      </c>
      <c r="E91" s="513">
        <f>SUM(E70:E90)</f>
        <v>5063.93</v>
      </c>
      <c r="F91" s="500"/>
      <c r="G91" s="514" t="s">
        <v>1476</v>
      </c>
    </row>
    <row r="92" spans="2:7" ht="13.5" thickTop="1">
      <c r="B92" s="515" t="s">
        <v>1477</v>
      </c>
      <c r="C92" s="496"/>
      <c r="D92" s="496"/>
      <c r="E92" s="496"/>
      <c r="F92" s="497"/>
      <c r="G92" s="498"/>
    </row>
    <row r="93" spans="2:7">
      <c r="B93" s="515" t="s">
        <v>1506</v>
      </c>
      <c r="C93" s="496">
        <v>0</v>
      </c>
      <c r="D93" s="497">
        <v>11372</v>
      </c>
      <c r="E93" s="497"/>
      <c r="F93" s="516"/>
      <c r="G93" s="498"/>
    </row>
    <row r="94" spans="2:7">
      <c r="B94" s="495" t="s">
        <v>1397</v>
      </c>
      <c r="C94" s="499">
        <v>584.84</v>
      </c>
      <c r="D94" s="497">
        <v>584.84</v>
      </c>
      <c r="E94" s="497"/>
      <c r="F94" s="497"/>
      <c r="G94" s="498"/>
    </row>
    <row r="95" spans="2:7" ht="15">
      <c r="B95" s="517" t="s">
        <v>1194</v>
      </c>
      <c r="C95" s="518">
        <v>243062.47</v>
      </c>
      <c r="D95" s="486">
        <v>243062.47</v>
      </c>
      <c r="E95" s="497">
        <f t="shared" ref="E95:E113" si="3">+C95-D95</f>
        <v>0</v>
      </c>
      <c r="F95" s="497"/>
      <c r="G95" s="498"/>
    </row>
    <row r="96" spans="2:7" ht="15">
      <c r="B96" s="517" t="s">
        <v>1478</v>
      </c>
      <c r="C96" s="518">
        <v>7484.47</v>
      </c>
      <c r="D96" s="497">
        <v>7497.88</v>
      </c>
      <c r="E96" s="497">
        <f t="shared" si="3"/>
        <v>-13.409999999999854</v>
      </c>
      <c r="F96" s="497" t="s">
        <v>1116</v>
      </c>
      <c r="G96" s="498" t="s">
        <v>1479</v>
      </c>
    </row>
    <row r="97" spans="2:7">
      <c r="B97" s="495" t="s">
        <v>1480</v>
      </c>
      <c r="C97" s="496">
        <v>3937.8</v>
      </c>
      <c r="D97" s="497">
        <v>3939.31</v>
      </c>
      <c r="E97" s="497">
        <f t="shared" si="3"/>
        <v>-1.5099999999997635</v>
      </c>
      <c r="F97" s="497" t="s">
        <v>1116</v>
      </c>
      <c r="G97" s="498" t="s">
        <v>1481</v>
      </c>
    </row>
    <row r="98" spans="2:7">
      <c r="B98" s="503" t="s">
        <v>1482</v>
      </c>
      <c r="C98" s="496">
        <v>0</v>
      </c>
      <c r="D98" s="497">
        <v>0</v>
      </c>
      <c r="E98" s="497">
        <f t="shared" si="3"/>
        <v>0</v>
      </c>
      <c r="F98" s="497"/>
      <c r="G98" s="498"/>
    </row>
    <row r="99" spans="2:7" ht="15">
      <c r="B99" s="519" t="s">
        <v>1427</v>
      </c>
      <c r="C99" s="520">
        <v>163.05000000000001</v>
      </c>
      <c r="D99" s="521">
        <v>163.05000000000001</v>
      </c>
      <c r="E99" s="522">
        <f t="shared" si="3"/>
        <v>0</v>
      </c>
      <c r="F99" s="522"/>
      <c r="G99" s="498"/>
    </row>
    <row r="100" spans="2:7" ht="15">
      <c r="B100" s="495" t="s">
        <v>1483</v>
      </c>
      <c r="C100" s="520">
        <v>7814.73</v>
      </c>
      <c r="D100" s="497">
        <v>8025.99</v>
      </c>
      <c r="E100" s="497">
        <f t="shared" si="3"/>
        <v>-211.26000000000022</v>
      </c>
      <c r="F100" s="497" t="s">
        <v>1116</v>
      </c>
      <c r="G100" s="523" t="s">
        <v>1484</v>
      </c>
    </row>
    <row r="101" spans="2:7">
      <c r="B101" s="495" t="s">
        <v>1485</v>
      </c>
      <c r="C101" s="496">
        <v>0</v>
      </c>
      <c r="D101" s="497">
        <v>645.42999999999995</v>
      </c>
      <c r="E101" s="497">
        <f t="shared" si="3"/>
        <v>-645.42999999999995</v>
      </c>
      <c r="F101" s="497"/>
      <c r="G101" s="498" t="s">
        <v>1486</v>
      </c>
    </row>
    <row r="102" spans="2:7" ht="15">
      <c r="B102" s="495" t="s">
        <v>1487</v>
      </c>
      <c r="C102" s="518">
        <v>0</v>
      </c>
      <c r="D102" s="497">
        <v>0.98</v>
      </c>
      <c r="E102" s="497">
        <f t="shared" si="3"/>
        <v>-0.98</v>
      </c>
      <c r="F102" s="497"/>
      <c r="G102" s="498" t="s">
        <v>1486</v>
      </c>
    </row>
    <row r="103" spans="2:7" ht="15">
      <c r="B103" s="495" t="s">
        <v>1488</v>
      </c>
      <c r="C103" s="524">
        <v>6186.86</v>
      </c>
      <c r="D103" s="497">
        <v>4778.92</v>
      </c>
      <c r="E103" s="497">
        <f t="shared" si="3"/>
        <v>1407.9399999999996</v>
      </c>
      <c r="F103" s="497"/>
      <c r="G103" s="523" t="s">
        <v>94</v>
      </c>
    </row>
    <row r="104" spans="2:7">
      <c r="B104" s="495" t="s">
        <v>1489</v>
      </c>
      <c r="C104" s="496">
        <v>0</v>
      </c>
      <c r="D104" s="497">
        <v>0</v>
      </c>
      <c r="E104" s="497">
        <f t="shared" si="3"/>
        <v>0</v>
      </c>
      <c r="F104" s="497"/>
      <c r="G104" s="498"/>
    </row>
    <row r="105" spans="2:7" ht="15">
      <c r="B105" s="495" t="s">
        <v>1428</v>
      </c>
      <c r="C105" s="520">
        <v>5632.92</v>
      </c>
      <c r="D105" s="497">
        <v>5632.92</v>
      </c>
      <c r="E105" s="497">
        <f t="shared" si="3"/>
        <v>0</v>
      </c>
      <c r="F105" s="497"/>
      <c r="G105" s="498"/>
    </row>
    <row r="106" spans="2:7">
      <c r="B106" s="495" t="s">
        <v>1490</v>
      </c>
      <c r="C106" s="496">
        <v>0</v>
      </c>
      <c r="D106" s="497">
        <v>0</v>
      </c>
      <c r="E106" s="497">
        <f t="shared" si="3"/>
        <v>0</v>
      </c>
      <c r="F106" s="497"/>
      <c r="G106" s="498" t="s">
        <v>1486</v>
      </c>
    </row>
    <row r="107" spans="2:7" ht="15">
      <c r="B107" s="495" t="s">
        <v>1426</v>
      </c>
      <c r="C107" s="520">
        <v>40.479999999999997</v>
      </c>
      <c r="D107" s="497">
        <v>40.479999999999997</v>
      </c>
      <c r="E107" s="497">
        <f t="shared" si="3"/>
        <v>0</v>
      </c>
      <c r="F107" s="497"/>
      <c r="G107" s="498"/>
    </row>
    <row r="108" spans="2:7" ht="15">
      <c r="B108" s="495" t="s">
        <v>1491</v>
      </c>
      <c r="C108" s="520">
        <v>684.24</v>
      </c>
      <c r="D108" s="497">
        <v>684.24</v>
      </c>
      <c r="E108" s="497">
        <f t="shared" si="3"/>
        <v>0</v>
      </c>
      <c r="F108" s="497"/>
      <c r="G108" s="498"/>
    </row>
    <row r="109" spans="2:7">
      <c r="B109" s="495" t="s">
        <v>1492</v>
      </c>
      <c r="C109" s="537">
        <v>2108.5</v>
      </c>
      <c r="D109" s="522">
        <v>2108.5</v>
      </c>
      <c r="E109" s="497">
        <f t="shared" si="3"/>
        <v>0</v>
      </c>
      <c r="F109" s="497"/>
      <c r="G109" s="498" t="s">
        <v>1493</v>
      </c>
    </row>
    <row r="110" spans="2:7" ht="15">
      <c r="B110" s="495" t="s">
        <v>1494</v>
      </c>
      <c r="C110" s="520">
        <v>1493.6</v>
      </c>
      <c r="D110" s="522">
        <v>1637.26</v>
      </c>
      <c r="E110" s="497">
        <f t="shared" si="3"/>
        <v>-143.66000000000008</v>
      </c>
      <c r="F110" s="497" t="s">
        <v>1116</v>
      </c>
      <c r="G110" s="498" t="s">
        <v>1495</v>
      </c>
    </row>
    <row r="111" spans="2:7">
      <c r="B111" s="495" t="s">
        <v>1496</v>
      </c>
      <c r="C111" s="537">
        <v>0</v>
      </c>
      <c r="D111" s="522">
        <v>344.3</v>
      </c>
      <c r="E111" s="497">
        <f t="shared" si="3"/>
        <v>-344.3</v>
      </c>
      <c r="F111" s="497"/>
      <c r="G111" s="498" t="s">
        <v>1486</v>
      </c>
    </row>
    <row r="112" spans="2:7">
      <c r="B112" s="495" t="s">
        <v>1497</v>
      </c>
      <c r="C112" s="496">
        <v>20.22</v>
      </c>
      <c r="D112" s="497">
        <v>20.22</v>
      </c>
      <c r="E112" s="497">
        <f t="shared" si="3"/>
        <v>0</v>
      </c>
      <c r="F112" s="497"/>
      <c r="G112" s="498"/>
    </row>
    <row r="113" spans="2:7">
      <c r="B113" s="495" t="s">
        <v>1498</v>
      </c>
      <c r="C113" s="496">
        <v>3171.87</v>
      </c>
      <c r="D113" s="497">
        <v>3171.87</v>
      </c>
      <c r="E113" s="497">
        <f t="shared" si="3"/>
        <v>0</v>
      </c>
      <c r="F113" s="497"/>
      <c r="G113" s="498"/>
    </row>
    <row r="114" spans="2:7">
      <c r="B114" s="495" t="s">
        <v>135</v>
      </c>
      <c r="C114" s="496">
        <v>0</v>
      </c>
      <c r="D114" s="497">
        <v>565.61</v>
      </c>
      <c r="E114" s="497">
        <f>+C114-D114</f>
        <v>-565.61</v>
      </c>
      <c r="F114" s="497" t="s">
        <v>1116</v>
      </c>
      <c r="G114" s="498" t="s">
        <v>1507</v>
      </c>
    </row>
    <row r="115" spans="2:7">
      <c r="B115" s="495" t="s">
        <v>1499</v>
      </c>
      <c r="C115" s="496">
        <v>0</v>
      </c>
      <c r="D115" s="497">
        <v>0.44</v>
      </c>
      <c r="E115" s="497">
        <f>+C115-D115</f>
        <v>-0.44</v>
      </c>
      <c r="F115" s="497" t="s">
        <v>1116</v>
      </c>
      <c r="G115" s="498"/>
    </row>
    <row r="116" spans="2:7">
      <c r="B116" s="495" t="s">
        <v>1500</v>
      </c>
      <c r="C116" s="496">
        <v>9.58</v>
      </c>
      <c r="D116" s="497"/>
      <c r="E116" s="497">
        <f>+C116-D116</f>
        <v>9.58</v>
      </c>
      <c r="F116" s="497"/>
      <c r="G116" s="498" t="s">
        <v>1501</v>
      </c>
    </row>
    <row r="117" spans="2:7">
      <c r="B117" s="495" t="s">
        <v>1502</v>
      </c>
      <c r="C117" s="496">
        <v>10.59</v>
      </c>
      <c r="D117" s="497">
        <v>0</v>
      </c>
      <c r="E117" s="497">
        <f>+C117-D117</f>
        <v>10.59</v>
      </c>
      <c r="F117" s="497"/>
      <c r="G117" s="498" t="s">
        <v>1501</v>
      </c>
    </row>
    <row r="118" spans="2:7">
      <c r="B118" s="495" t="s">
        <v>320</v>
      </c>
      <c r="C118" s="496">
        <v>479.21</v>
      </c>
      <c r="D118" s="497">
        <v>479.21</v>
      </c>
      <c r="E118" s="497">
        <f>+C118-D118</f>
        <v>0</v>
      </c>
      <c r="F118" s="497"/>
      <c r="G118" s="511"/>
    </row>
    <row r="119" spans="2:7" ht="13.5" thickBot="1">
      <c r="B119" s="495"/>
      <c r="C119" s="513">
        <f>SUM(C92:C118)</f>
        <v>282885.42999999993</v>
      </c>
      <c r="D119" s="530">
        <f>SUM(D92:D118)</f>
        <v>294755.91999999987</v>
      </c>
      <c r="E119" s="530">
        <f>SUM(E95:E118)</f>
        <v>-498.49000000000035</v>
      </c>
      <c r="F119" s="497"/>
      <c r="G119" s="531"/>
    </row>
    <row r="120" spans="2:7" ht="14.25" thickTop="1" thickBot="1">
      <c r="B120" s="533" t="s">
        <v>94</v>
      </c>
      <c r="C120" s="534">
        <f>+C91-C119</f>
        <v>13362.250000000058</v>
      </c>
      <c r="D120" s="535">
        <f>+D91-D119</f>
        <v>-3572.1699999999255</v>
      </c>
      <c r="E120" s="535">
        <f>+E91-E119</f>
        <v>5562.420000000001</v>
      </c>
      <c r="F120" s="535"/>
      <c r="G120" s="536"/>
    </row>
    <row r="121" spans="2:7">
      <c r="B121" s="487" t="s">
        <v>94</v>
      </c>
      <c r="C121" s="488" t="s">
        <v>94</v>
      </c>
      <c r="E121" s="532" t="s">
        <v>94</v>
      </c>
    </row>
    <row r="124" spans="2:7" ht="12" customHeight="1" thickBot="1"/>
    <row r="125" spans="2:7">
      <c r="B125" s="491" t="s">
        <v>1508</v>
      </c>
      <c r="C125" s="492"/>
      <c r="D125" s="493"/>
      <c r="E125" s="493"/>
      <c r="F125" s="493"/>
    </row>
    <row r="126" spans="2:7">
      <c r="B126" s="495"/>
      <c r="C126" s="496"/>
      <c r="D126" s="497"/>
      <c r="E126" s="497"/>
      <c r="F126" s="497"/>
    </row>
    <row r="127" spans="2:7">
      <c r="B127" s="495"/>
      <c r="C127" s="496"/>
      <c r="D127" s="497"/>
      <c r="E127" s="497"/>
      <c r="F127" s="499"/>
    </row>
    <row r="128" spans="2:7" ht="38.25">
      <c r="B128" s="495"/>
      <c r="C128" s="496" t="s">
        <v>1455</v>
      </c>
      <c r="D128" s="496" t="s">
        <v>1456</v>
      </c>
      <c r="E128" s="497"/>
      <c r="F128" s="500" t="s">
        <v>1457</v>
      </c>
    </row>
    <row r="129" spans="2:6">
      <c r="B129" s="495"/>
      <c r="C129" s="496"/>
      <c r="D129" s="497"/>
      <c r="E129" s="497"/>
      <c r="F129" s="500"/>
    </row>
    <row r="130" spans="2:6">
      <c r="B130" s="502" t="s">
        <v>1459</v>
      </c>
      <c r="C130" s="496"/>
      <c r="D130" s="497"/>
      <c r="E130" s="497"/>
      <c r="F130" s="500"/>
    </row>
    <row r="131" spans="2:6">
      <c r="B131" s="503" t="s">
        <v>1460</v>
      </c>
      <c r="C131" s="504">
        <v>287537.3</v>
      </c>
      <c r="D131" s="505">
        <v>287537.3</v>
      </c>
      <c r="E131" s="497">
        <f>+C131-D131</f>
        <v>0</v>
      </c>
      <c r="F131" s="500"/>
    </row>
    <row r="132" spans="2:6">
      <c r="B132" s="503" t="s">
        <v>1461</v>
      </c>
      <c r="C132" s="504">
        <v>2120.14</v>
      </c>
      <c r="D132" s="505">
        <v>2120.14</v>
      </c>
      <c r="E132" s="497">
        <f t="shared" ref="E132:E154" si="4">+C132-D132</f>
        <v>0</v>
      </c>
      <c r="F132" s="500"/>
    </row>
    <row r="133" spans="2:6">
      <c r="B133" s="503" t="s">
        <v>1462</v>
      </c>
      <c r="C133" s="504">
        <v>1625.76</v>
      </c>
      <c r="D133" s="505">
        <v>1625.76</v>
      </c>
      <c r="E133" s="497">
        <f t="shared" si="4"/>
        <v>0</v>
      </c>
      <c r="F133" s="500"/>
    </row>
    <row r="134" spans="2:6">
      <c r="B134" s="503" t="s">
        <v>1463</v>
      </c>
      <c r="C134" s="504">
        <v>2013.23</v>
      </c>
      <c r="D134" s="505">
        <v>2013.23</v>
      </c>
      <c r="E134" s="497">
        <f t="shared" si="4"/>
        <v>0</v>
      </c>
      <c r="F134" s="500"/>
    </row>
    <row r="135" spans="2:6">
      <c r="B135" s="503" t="s">
        <v>1464</v>
      </c>
      <c r="C135" s="496">
        <v>49.56</v>
      </c>
      <c r="D135" s="497">
        <v>49.56</v>
      </c>
      <c r="E135" s="497">
        <f t="shared" si="4"/>
        <v>0</v>
      </c>
      <c r="F135" s="500"/>
    </row>
    <row r="136" spans="2:6">
      <c r="B136" s="503" t="s">
        <v>1465</v>
      </c>
      <c r="C136" s="496">
        <v>1003.35</v>
      </c>
      <c r="D136" s="497">
        <v>1003.35</v>
      </c>
      <c r="E136" s="497">
        <f t="shared" si="4"/>
        <v>0</v>
      </c>
      <c r="F136" s="500"/>
    </row>
    <row r="137" spans="2:6" ht="25.5">
      <c r="B137" s="503" t="s">
        <v>1466</v>
      </c>
      <c r="C137" s="506">
        <v>2406.0700000000002</v>
      </c>
      <c r="D137" s="497">
        <v>2406.0700000000002</v>
      </c>
      <c r="E137" s="497">
        <f t="shared" si="4"/>
        <v>0</v>
      </c>
      <c r="F137" s="500" t="s">
        <v>1116</v>
      </c>
    </row>
    <row r="138" spans="2:6">
      <c r="B138" s="503" t="s">
        <v>1467</v>
      </c>
      <c r="C138" s="507">
        <v>1.4</v>
      </c>
      <c r="D138" s="497">
        <v>1.4</v>
      </c>
      <c r="E138" s="497">
        <f t="shared" si="4"/>
        <v>0</v>
      </c>
      <c r="F138" s="500"/>
    </row>
    <row r="139" spans="2:6">
      <c r="B139" s="503" t="s">
        <v>1434</v>
      </c>
      <c r="C139" s="496">
        <v>259.77</v>
      </c>
      <c r="D139" s="497">
        <v>259.77</v>
      </c>
      <c r="E139" s="497">
        <f t="shared" si="4"/>
        <v>0</v>
      </c>
      <c r="F139" s="500" t="s">
        <v>1116</v>
      </c>
    </row>
    <row r="140" spans="2:6">
      <c r="B140" s="503"/>
      <c r="C140" s="496"/>
      <c r="D140" s="497"/>
      <c r="E140" s="497">
        <f t="shared" si="4"/>
        <v>0</v>
      </c>
      <c r="F140" s="500"/>
    </row>
    <row r="141" spans="2:6">
      <c r="B141" s="509" t="s">
        <v>1468</v>
      </c>
      <c r="C141" s="496"/>
      <c r="D141" s="497"/>
      <c r="E141" s="497">
        <f t="shared" si="4"/>
        <v>0</v>
      </c>
      <c r="F141" s="500"/>
    </row>
    <row r="142" spans="2:6">
      <c r="B142" s="503" t="s">
        <v>1469</v>
      </c>
      <c r="C142" s="538">
        <v>36.22</v>
      </c>
      <c r="D142" s="497">
        <v>36.22</v>
      </c>
      <c r="E142" s="497">
        <f t="shared" si="4"/>
        <v>0</v>
      </c>
      <c r="F142" s="500"/>
    </row>
    <row r="143" spans="2:6">
      <c r="B143" s="503" t="s">
        <v>1379</v>
      </c>
      <c r="C143" s="504">
        <v>0</v>
      </c>
      <c r="D143" s="504">
        <v>0</v>
      </c>
      <c r="E143" s="497">
        <f t="shared" si="4"/>
        <v>0</v>
      </c>
      <c r="F143" s="500"/>
    </row>
    <row r="144" spans="2:6">
      <c r="B144" s="503" t="s">
        <v>1471</v>
      </c>
      <c r="C144" s="504">
        <v>0.92</v>
      </c>
      <c r="D144" s="497">
        <v>0.92</v>
      </c>
      <c r="E144" s="497">
        <f t="shared" si="4"/>
        <v>0</v>
      </c>
      <c r="F144" s="510"/>
    </row>
    <row r="145" spans="2:6">
      <c r="B145" s="503" t="s">
        <v>1381</v>
      </c>
      <c r="C145" s="504">
        <v>64.3</v>
      </c>
      <c r="D145" s="505">
        <v>64.3</v>
      </c>
      <c r="E145" s="497">
        <f t="shared" si="4"/>
        <v>0</v>
      </c>
      <c r="F145" s="500"/>
    </row>
    <row r="146" spans="2:6">
      <c r="B146" s="503" t="s">
        <v>1382</v>
      </c>
      <c r="C146" s="504">
        <v>205.27</v>
      </c>
      <c r="D146" s="505">
        <v>205.27</v>
      </c>
      <c r="E146" s="497">
        <f t="shared" si="4"/>
        <v>0</v>
      </c>
      <c r="F146" s="500"/>
    </row>
    <row r="147" spans="2:6" ht="25.5">
      <c r="B147" s="503" t="s">
        <v>1472</v>
      </c>
      <c r="C147" s="504">
        <v>58.4</v>
      </c>
      <c r="D147" s="505">
        <v>58.4</v>
      </c>
      <c r="E147" s="497">
        <f t="shared" si="4"/>
        <v>0</v>
      </c>
      <c r="F147" s="500"/>
    </row>
    <row r="148" spans="2:6">
      <c r="B148" s="503" t="s">
        <v>1473</v>
      </c>
      <c r="C148" s="504">
        <v>0</v>
      </c>
      <c r="D148" s="497">
        <v>0</v>
      </c>
      <c r="E148" s="497">
        <f t="shared" si="4"/>
        <v>0</v>
      </c>
      <c r="F148" s="500"/>
    </row>
    <row r="149" spans="2:6">
      <c r="B149" s="503" t="s">
        <v>1474</v>
      </c>
      <c r="C149" s="504">
        <v>3989.54</v>
      </c>
      <c r="D149" s="497">
        <v>0</v>
      </c>
      <c r="E149" s="497">
        <f t="shared" si="4"/>
        <v>3989.54</v>
      </c>
      <c r="F149" s="500" t="s">
        <v>1116</v>
      </c>
    </row>
    <row r="150" spans="2:6">
      <c r="B150" s="503" t="s">
        <v>1475</v>
      </c>
      <c r="C150" s="504">
        <v>92.98</v>
      </c>
      <c r="D150" s="497">
        <v>0</v>
      </c>
      <c r="E150" s="497">
        <f t="shared" si="4"/>
        <v>92.98</v>
      </c>
      <c r="F150" s="500" t="s">
        <v>1116</v>
      </c>
    </row>
    <row r="151" spans="2:6">
      <c r="B151" s="495"/>
      <c r="C151" s="497"/>
      <c r="D151" s="497"/>
      <c r="E151" s="497">
        <f t="shared" si="4"/>
        <v>0</v>
      </c>
      <c r="F151" s="500"/>
    </row>
    <row r="152" spans="2:6" ht="13.5" thickBot="1">
      <c r="B152" s="512" t="s">
        <v>499</v>
      </c>
      <c r="C152" s="513">
        <f>SUM(C131:C150)</f>
        <v>301464.20999999996</v>
      </c>
      <c r="D152" s="513">
        <f>SUM(D131:D150)</f>
        <v>297381.69</v>
      </c>
      <c r="E152" s="497">
        <f t="shared" si="4"/>
        <v>4082.5199999999604</v>
      </c>
      <c r="F152" s="500"/>
    </row>
    <row r="153" spans="2:6" ht="13.5" thickTop="1">
      <c r="B153" s="515" t="s">
        <v>1477</v>
      </c>
      <c r="C153" s="496"/>
      <c r="D153" s="496"/>
      <c r="E153" s="497">
        <f t="shared" si="4"/>
        <v>0</v>
      </c>
      <c r="F153" s="497"/>
    </row>
    <row r="154" spans="2:6" ht="14.25">
      <c r="B154" s="515" t="s">
        <v>1506</v>
      </c>
      <c r="C154" s="496">
        <v>0</v>
      </c>
      <c r="D154" s="539">
        <v>11956</v>
      </c>
      <c r="E154" s="497">
        <f t="shared" si="4"/>
        <v>-11956</v>
      </c>
      <c r="F154" s="516"/>
    </row>
    <row r="155" spans="2:6">
      <c r="B155" s="495" t="s">
        <v>94</v>
      </c>
      <c r="C155" s="499" t="s">
        <v>94</v>
      </c>
      <c r="D155" s="497" t="s">
        <v>94</v>
      </c>
      <c r="E155" s="497"/>
      <c r="F155" s="497"/>
    </row>
    <row r="156" spans="2:6" ht="15">
      <c r="B156" s="517" t="s">
        <v>1194</v>
      </c>
      <c r="C156" s="518">
        <v>193524.1</v>
      </c>
      <c r="D156" s="486">
        <v>193524.1</v>
      </c>
      <c r="E156" s="497">
        <f t="shared" ref="E156:E167" si="5">+C156-D156</f>
        <v>0</v>
      </c>
      <c r="F156" s="497"/>
    </row>
    <row r="157" spans="2:6" ht="15">
      <c r="B157" s="517" t="s">
        <v>1478</v>
      </c>
      <c r="C157" s="518">
        <v>3153.39</v>
      </c>
      <c r="D157" s="539">
        <v>3172.39</v>
      </c>
      <c r="E157" s="497">
        <f t="shared" si="5"/>
        <v>-19</v>
      </c>
      <c r="F157" s="497" t="s">
        <v>1116</v>
      </c>
    </row>
    <row r="158" spans="2:6" ht="14.25">
      <c r="B158" s="495" t="s">
        <v>1509</v>
      </c>
      <c r="C158" s="496">
        <v>18973.939999999999</v>
      </c>
      <c r="D158" s="539">
        <v>18973.939999999999</v>
      </c>
      <c r="E158" s="497">
        <f t="shared" si="5"/>
        <v>0</v>
      </c>
      <c r="F158" s="497" t="s">
        <v>1116</v>
      </c>
    </row>
    <row r="159" spans="2:6" ht="14.25">
      <c r="B159" s="503" t="s">
        <v>1510</v>
      </c>
      <c r="C159" s="496">
        <v>9744.4599999999991</v>
      </c>
      <c r="D159" s="539">
        <v>17783.39</v>
      </c>
      <c r="E159" s="497">
        <f t="shared" si="5"/>
        <v>-8038.93</v>
      </c>
      <c r="F159" s="497"/>
    </row>
    <row r="160" spans="2:6" ht="15">
      <c r="B160" s="519" t="s">
        <v>1511</v>
      </c>
      <c r="C160" s="520">
        <v>4159.9399999999996</v>
      </c>
      <c r="D160" s="521">
        <v>4296.88</v>
      </c>
      <c r="E160" s="522">
        <f t="shared" si="5"/>
        <v>-136.94000000000051</v>
      </c>
      <c r="F160" s="522"/>
    </row>
    <row r="161" spans="2:6" ht="15">
      <c r="B161" s="495" t="s">
        <v>94</v>
      </c>
      <c r="C161" s="520" t="s">
        <v>94</v>
      </c>
      <c r="D161" s="497" t="s">
        <v>94</v>
      </c>
      <c r="E161" s="497"/>
      <c r="F161" s="497" t="s">
        <v>1116</v>
      </c>
    </row>
    <row r="162" spans="2:6" ht="14.25">
      <c r="B162" s="495" t="s">
        <v>1485</v>
      </c>
      <c r="C162" s="496">
        <v>0</v>
      </c>
      <c r="D162" s="539">
        <v>703.83</v>
      </c>
      <c r="E162" s="497">
        <f t="shared" si="5"/>
        <v>-703.83</v>
      </c>
      <c r="F162" s="497"/>
    </row>
    <row r="163" spans="2:6" ht="15">
      <c r="B163" s="495" t="s">
        <v>94</v>
      </c>
      <c r="C163" s="518" t="s">
        <v>94</v>
      </c>
      <c r="D163" s="497" t="s">
        <v>94</v>
      </c>
      <c r="E163" s="497"/>
      <c r="F163" s="497"/>
    </row>
    <row r="164" spans="2:6" ht="15">
      <c r="B164" s="495" t="s">
        <v>94</v>
      </c>
      <c r="C164" s="524">
        <v>6702.19</v>
      </c>
      <c r="D164" s="539">
        <v>5397.17</v>
      </c>
      <c r="E164" s="497">
        <f t="shared" si="5"/>
        <v>1305.0199999999995</v>
      </c>
      <c r="F164" s="497"/>
    </row>
    <row r="165" spans="2:6">
      <c r="B165" s="495" t="s">
        <v>94</v>
      </c>
      <c r="C165" s="496">
        <v>0</v>
      </c>
      <c r="D165" s="497">
        <v>0</v>
      </c>
      <c r="E165" s="497">
        <f t="shared" si="5"/>
        <v>0</v>
      </c>
      <c r="F165" s="497"/>
    </row>
    <row r="166" spans="2:6" ht="15">
      <c r="B166" s="495" t="s">
        <v>1428</v>
      </c>
      <c r="C166" s="520">
        <v>4292.29</v>
      </c>
      <c r="D166" s="539">
        <v>4292.29</v>
      </c>
      <c r="E166" s="497">
        <f t="shared" si="5"/>
        <v>0</v>
      </c>
      <c r="F166" s="497"/>
    </row>
    <row r="167" spans="2:6">
      <c r="B167" s="495" t="s">
        <v>94</v>
      </c>
      <c r="C167" s="496">
        <v>0</v>
      </c>
      <c r="D167" s="497">
        <v>0</v>
      </c>
      <c r="E167" s="497">
        <f t="shared" si="5"/>
        <v>0</v>
      </c>
      <c r="F167" s="497"/>
    </row>
    <row r="168" spans="2:6">
      <c r="B168" s="495" t="s">
        <v>1500</v>
      </c>
      <c r="C168" s="496">
        <v>10141.209999999999</v>
      </c>
      <c r="D168" s="497"/>
      <c r="E168" s="497">
        <f>+C168-D168</f>
        <v>10141.209999999999</v>
      </c>
      <c r="F168" s="497"/>
    </row>
    <row r="169" spans="2:6">
      <c r="B169" s="495" t="s">
        <v>1502</v>
      </c>
      <c r="C169" s="496">
        <v>9.18</v>
      </c>
      <c r="D169" s="497">
        <v>0</v>
      </c>
      <c r="E169" s="497">
        <f>+C169-D169</f>
        <v>9.18</v>
      </c>
      <c r="F169" s="497"/>
    </row>
    <row r="170" spans="2:6">
      <c r="B170" s="495" t="s">
        <v>94</v>
      </c>
      <c r="C170" s="496" t="s">
        <v>94</v>
      </c>
      <c r="D170" s="497" t="s">
        <v>94</v>
      </c>
      <c r="E170" s="497"/>
      <c r="F170" s="497"/>
    </row>
    <row r="171" spans="2:6" ht="13.5" thickBot="1">
      <c r="B171" s="495"/>
      <c r="C171" s="513">
        <f>SUM(C153:C170)</f>
        <v>250700.7</v>
      </c>
      <c r="D171" s="530">
        <f>SUM(D153:D170)</f>
        <v>260099.99000000002</v>
      </c>
      <c r="E171" s="530">
        <f>SUM(E154:E170)</f>
        <v>-9399.2900000000045</v>
      </c>
      <c r="F171" s="497"/>
    </row>
    <row r="172" spans="2:6" ht="14.25" thickTop="1" thickBot="1">
      <c r="B172" s="533" t="s">
        <v>94</v>
      </c>
      <c r="C172" s="534">
        <f>+C152-C171</f>
        <v>50763.509999999951</v>
      </c>
      <c r="D172" s="535">
        <f>+D152-D171</f>
        <v>37281.699999999983</v>
      </c>
      <c r="E172" s="535">
        <f>+E152-E171</f>
        <v>13481.809999999965</v>
      </c>
      <c r="F172" s="535"/>
    </row>
    <row r="180" spans="2:6" ht="13.5" thickBot="1"/>
    <row r="181" spans="2:6">
      <c r="B181" s="491" t="s">
        <v>1512</v>
      </c>
      <c r="C181" s="492"/>
      <c r="D181" s="493"/>
      <c r="E181" s="540" t="s">
        <v>1513</v>
      </c>
      <c r="F181" s="493"/>
    </row>
    <row r="182" spans="2:6">
      <c r="B182" s="495"/>
      <c r="C182" s="496"/>
      <c r="D182" s="497"/>
      <c r="E182" s="511"/>
      <c r="F182" s="497"/>
    </row>
    <row r="183" spans="2:6">
      <c r="B183" s="495"/>
      <c r="C183" s="496"/>
      <c r="D183" s="497"/>
      <c r="E183" s="511"/>
      <c r="F183" s="499"/>
    </row>
    <row r="184" spans="2:6" ht="38.25">
      <c r="B184" s="495"/>
      <c r="C184" s="496" t="s">
        <v>1455</v>
      </c>
      <c r="D184" s="496" t="s">
        <v>1456</v>
      </c>
      <c r="E184" s="511"/>
      <c r="F184" s="500" t="s">
        <v>1457</v>
      </c>
    </row>
    <row r="185" spans="2:6">
      <c r="B185" s="495"/>
      <c r="C185" s="496"/>
      <c r="D185" s="497"/>
      <c r="E185" s="511"/>
      <c r="F185" s="500"/>
    </row>
    <row r="186" spans="2:6">
      <c r="B186" s="502" t="s">
        <v>1459</v>
      </c>
      <c r="C186" s="496"/>
      <c r="D186" s="497"/>
      <c r="E186" s="511"/>
      <c r="F186" s="500"/>
    </row>
    <row r="187" spans="2:6">
      <c r="B187" s="503" t="s">
        <v>1460</v>
      </c>
      <c r="C187" s="504">
        <v>266319.64</v>
      </c>
      <c r="D187" s="505">
        <v>266319.64</v>
      </c>
      <c r="E187" s="511">
        <f>+C187-D187</f>
        <v>0</v>
      </c>
      <c r="F187" s="500"/>
    </row>
    <row r="188" spans="2:6">
      <c r="B188" s="503" t="s">
        <v>1461</v>
      </c>
      <c r="C188" s="504">
        <v>1437</v>
      </c>
      <c r="D188" s="505">
        <v>1437</v>
      </c>
      <c r="E188" s="511">
        <f t="shared" ref="E188:E210" si="6">+C188-D188</f>
        <v>0</v>
      </c>
      <c r="F188" s="500"/>
    </row>
    <row r="189" spans="2:6">
      <c r="B189" s="503" t="s">
        <v>1462</v>
      </c>
      <c r="C189" s="504">
        <v>1757.09</v>
      </c>
      <c r="D189" s="505">
        <v>1757.09</v>
      </c>
      <c r="E189" s="511">
        <f t="shared" si="6"/>
        <v>0</v>
      </c>
      <c r="F189" s="500"/>
    </row>
    <row r="190" spans="2:6">
      <c r="B190" s="503" t="s">
        <v>1514</v>
      </c>
      <c r="C190" s="504">
        <v>1152.9100000000001</v>
      </c>
      <c r="D190" s="505">
        <v>1152.9100000000001</v>
      </c>
      <c r="E190" s="511">
        <f t="shared" si="6"/>
        <v>0</v>
      </c>
      <c r="F190" s="500"/>
    </row>
    <row r="191" spans="2:6">
      <c r="B191" s="503" t="s">
        <v>1464</v>
      </c>
      <c r="C191" s="496">
        <v>36.58</v>
      </c>
      <c r="D191" s="497">
        <v>36.58</v>
      </c>
      <c r="E191" s="511">
        <f t="shared" si="6"/>
        <v>0</v>
      </c>
      <c r="F191" s="500"/>
    </row>
    <row r="192" spans="2:6">
      <c r="B192" s="503" t="s">
        <v>1465</v>
      </c>
      <c r="C192" s="496">
        <v>1147.03</v>
      </c>
      <c r="D192" s="497">
        <v>1147.03</v>
      </c>
      <c r="E192" s="511">
        <f t="shared" si="6"/>
        <v>0</v>
      </c>
      <c r="F192" s="500"/>
    </row>
    <row r="193" spans="2:6" ht="25.5">
      <c r="B193" s="503" t="s">
        <v>1466</v>
      </c>
      <c r="C193" s="506">
        <v>3822.83</v>
      </c>
      <c r="D193" s="497">
        <v>3822.83</v>
      </c>
      <c r="E193" s="511">
        <f t="shared" si="6"/>
        <v>0</v>
      </c>
      <c r="F193" s="500" t="s">
        <v>1116</v>
      </c>
    </row>
    <row r="194" spans="2:6">
      <c r="B194" s="503" t="s">
        <v>1467</v>
      </c>
      <c r="C194" s="507">
        <v>1.25</v>
      </c>
      <c r="D194" s="497">
        <v>1.25</v>
      </c>
      <c r="E194" s="511">
        <f t="shared" si="6"/>
        <v>0</v>
      </c>
      <c r="F194" s="500"/>
    </row>
    <row r="195" spans="2:6">
      <c r="B195" s="503" t="s">
        <v>1434</v>
      </c>
      <c r="C195" s="496">
        <v>244.59</v>
      </c>
      <c r="D195" s="497">
        <v>244.59</v>
      </c>
      <c r="E195" s="511">
        <f t="shared" si="6"/>
        <v>0</v>
      </c>
      <c r="F195" s="500" t="s">
        <v>1116</v>
      </c>
    </row>
    <row r="196" spans="2:6">
      <c r="B196" s="503"/>
      <c r="C196" s="541"/>
      <c r="D196" s="497"/>
      <c r="E196" s="511">
        <v>0</v>
      </c>
      <c r="F196" s="500"/>
    </row>
    <row r="197" spans="2:6">
      <c r="B197" s="509" t="s">
        <v>1468</v>
      </c>
      <c r="C197" s="496" t="s">
        <v>94</v>
      </c>
      <c r="D197" s="497" t="s">
        <v>94</v>
      </c>
      <c r="E197" s="511">
        <v>0</v>
      </c>
      <c r="F197" s="500"/>
    </row>
    <row r="198" spans="2:6">
      <c r="B198" s="503" t="s">
        <v>1469</v>
      </c>
      <c r="C198" s="538">
        <v>26.27</v>
      </c>
      <c r="D198" s="497">
        <v>26.27</v>
      </c>
      <c r="E198" s="511">
        <f t="shared" si="6"/>
        <v>0</v>
      </c>
      <c r="F198" s="500"/>
    </row>
    <row r="199" spans="2:6">
      <c r="B199" s="503" t="s">
        <v>1379</v>
      </c>
      <c r="C199" s="504">
        <v>0</v>
      </c>
      <c r="D199" s="504">
        <v>0</v>
      </c>
      <c r="E199" s="511">
        <f t="shared" si="6"/>
        <v>0</v>
      </c>
      <c r="F199" s="500"/>
    </row>
    <row r="200" spans="2:6">
      <c r="B200" s="503" t="s">
        <v>1471</v>
      </c>
      <c r="C200" s="504">
        <v>1.49</v>
      </c>
      <c r="D200" s="497">
        <v>1.49</v>
      </c>
      <c r="E200" s="511">
        <f t="shared" si="6"/>
        <v>0</v>
      </c>
      <c r="F200" s="510"/>
    </row>
    <row r="201" spans="2:6">
      <c r="B201" s="503" t="s">
        <v>1381</v>
      </c>
      <c r="C201" s="504">
        <v>75.400000000000006</v>
      </c>
      <c r="D201" s="505">
        <v>75.400000000000006</v>
      </c>
      <c r="E201" s="511">
        <f t="shared" si="6"/>
        <v>0</v>
      </c>
      <c r="F201" s="500"/>
    </row>
    <row r="202" spans="2:6">
      <c r="B202" s="503" t="s">
        <v>1382</v>
      </c>
      <c r="C202" s="504">
        <v>613.5</v>
      </c>
      <c r="D202" s="505">
        <v>613.5</v>
      </c>
      <c r="E202" s="511">
        <f t="shared" si="6"/>
        <v>0</v>
      </c>
      <c r="F202" s="500"/>
    </row>
    <row r="203" spans="2:6" ht="25.5">
      <c r="B203" s="503" t="s">
        <v>1472</v>
      </c>
      <c r="C203" s="504">
        <v>34.74</v>
      </c>
      <c r="D203" s="505">
        <v>34.74</v>
      </c>
      <c r="E203" s="511">
        <f t="shared" si="6"/>
        <v>0</v>
      </c>
      <c r="F203" s="500"/>
    </row>
    <row r="204" spans="2:6">
      <c r="B204" s="503" t="s">
        <v>1473</v>
      </c>
      <c r="C204" s="504">
        <v>0</v>
      </c>
      <c r="D204" s="497">
        <v>0</v>
      </c>
      <c r="E204" s="511">
        <f t="shared" si="6"/>
        <v>0</v>
      </c>
      <c r="F204" s="500"/>
    </row>
    <row r="205" spans="2:6">
      <c r="B205" s="503" t="s">
        <v>1474</v>
      </c>
      <c r="C205" s="504">
        <v>2412.34</v>
      </c>
      <c r="D205" s="497">
        <v>0</v>
      </c>
      <c r="E205" s="511">
        <f t="shared" si="6"/>
        <v>2412.34</v>
      </c>
      <c r="F205" s="500" t="s">
        <v>1116</v>
      </c>
    </row>
    <row r="206" spans="2:6">
      <c r="B206" s="503" t="s">
        <v>1475</v>
      </c>
      <c r="C206" s="504">
        <v>119.62</v>
      </c>
      <c r="D206" s="497">
        <v>0</v>
      </c>
      <c r="E206" s="511">
        <f t="shared" si="6"/>
        <v>119.62</v>
      </c>
      <c r="F206" s="500" t="s">
        <v>1116</v>
      </c>
    </row>
    <row r="207" spans="2:6">
      <c r="B207" s="495"/>
      <c r="C207" s="497">
        <v>0</v>
      </c>
      <c r="D207" s="497">
        <v>0</v>
      </c>
      <c r="E207" s="511">
        <f t="shared" si="6"/>
        <v>0</v>
      </c>
      <c r="F207" s="500"/>
    </row>
    <row r="208" spans="2:6" ht="13.5" thickBot="1">
      <c r="B208" s="512" t="s">
        <v>499</v>
      </c>
      <c r="C208" s="513">
        <f>SUM(C187:C207)</f>
        <v>279202.28000000014</v>
      </c>
      <c r="D208" s="513">
        <f>SUM(D187:D207)</f>
        <v>276670.32000000012</v>
      </c>
      <c r="E208" s="511">
        <f t="shared" si="6"/>
        <v>2531.960000000021</v>
      </c>
      <c r="F208" s="500"/>
    </row>
    <row r="209" spans="2:6" ht="13.5" thickTop="1">
      <c r="B209" s="515" t="s">
        <v>1477</v>
      </c>
      <c r="C209" s="496"/>
      <c r="D209" s="496"/>
      <c r="E209" s="511">
        <f t="shared" si="6"/>
        <v>0</v>
      </c>
      <c r="F209" s="497"/>
    </row>
    <row r="210" spans="2:6" ht="14.25">
      <c r="B210" s="515" t="s">
        <v>1506</v>
      </c>
      <c r="C210" s="496">
        <v>0</v>
      </c>
      <c r="D210" s="539">
        <v>12667</v>
      </c>
      <c r="E210" s="511">
        <f t="shared" si="6"/>
        <v>-12667</v>
      </c>
      <c r="F210" s="516"/>
    </row>
    <row r="211" spans="2:6">
      <c r="B211" s="495" t="s">
        <v>94</v>
      </c>
      <c r="C211" s="499" t="s">
        <v>94</v>
      </c>
      <c r="D211" s="497" t="s">
        <v>94</v>
      </c>
      <c r="E211" s="511"/>
      <c r="F211" s="497"/>
    </row>
    <row r="212" spans="2:6" ht="15">
      <c r="B212" s="517" t="s">
        <v>1194</v>
      </c>
      <c r="C212" s="518">
        <v>192797.06</v>
      </c>
      <c r="D212" s="486">
        <v>192797.06</v>
      </c>
      <c r="E212" s="511">
        <f>+C212-D212</f>
        <v>0</v>
      </c>
      <c r="F212" s="497"/>
    </row>
    <row r="213" spans="2:6" ht="15">
      <c r="B213" s="517" t="s">
        <v>1478</v>
      </c>
      <c r="C213" s="518">
        <f>'[62]BEST final'!G444</f>
        <v>3888.85</v>
      </c>
      <c r="D213" s="539">
        <v>3783.15</v>
      </c>
      <c r="E213" s="511">
        <f>+C213-D213</f>
        <v>105.69999999999982</v>
      </c>
      <c r="F213" s="497" t="s">
        <v>1116</v>
      </c>
    </row>
    <row r="214" spans="2:6" ht="14.25">
      <c r="B214" s="495" t="s">
        <v>1509</v>
      </c>
      <c r="C214" s="496">
        <f>'[62]BEST final'!G450</f>
        <v>23957.82</v>
      </c>
      <c r="D214" s="539">
        <v>21675.31</v>
      </c>
      <c r="E214" s="511">
        <f>+C214-D214</f>
        <v>2282.5099999999984</v>
      </c>
      <c r="F214" s="497" t="s">
        <v>1116</v>
      </c>
    </row>
    <row r="215" spans="2:6" ht="14.25">
      <c r="B215" s="503" t="s">
        <v>1510</v>
      </c>
      <c r="C215" s="496">
        <f>'[62]BEST final'!G455</f>
        <v>9625.26</v>
      </c>
      <c r="D215" s="539">
        <v>10882.04</v>
      </c>
      <c r="E215" s="511">
        <f>+C215-D215</f>
        <v>-1256.7800000000007</v>
      </c>
      <c r="F215" s="497"/>
    </row>
    <row r="216" spans="2:6" ht="15">
      <c r="B216" s="519" t="s">
        <v>1511</v>
      </c>
      <c r="C216" s="520">
        <f>'[62]BEST final'!G458</f>
        <v>4727.12</v>
      </c>
      <c r="D216" s="521">
        <v>4409.43</v>
      </c>
      <c r="E216" s="542">
        <f>+C216-D216</f>
        <v>317.6899999999996</v>
      </c>
      <c r="F216" s="522"/>
    </row>
    <row r="217" spans="2:6" ht="15">
      <c r="B217" s="495" t="s">
        <v>94</v>
      </c>
      <c r="C217" s="520" t="s">
        <v>94</v>
      </c>
      <c r="D217" s="497" t="s">
        <v>94</v>
      </c>
      <c r="E217" s="511"/>
      <c r="F217" s="497" t="s">
        <v>1116</v>
      </c>
    </row>
    <row r="218" spans="2:6" ht="14.25">
      <c r="B218" s="495" t="s">
        <v>1485</v>
      </c>
      <c r="C218" s="496">
        <v>0</v>
      </c>
      <c r="D218" s="539">
        <v>770.37</v>
      </c>
      <c r="E218" s="511">
        <f>+C218-D218</f>
        <v>-770.37</v>
      </c>
      <c r="F218" s="497"/>
    </row>
    <row r="219" spans="2:6" ht="15">
      <c r="B219" s="495" t="s">
        <v>94</v>
      </c>
      <c r="C219" s="518" t="s">
        <v>94</v>
      </c>
      <c r="D219" s="497" t="s">
        <v>94</v>
      </c>
      <c r="E219" s="511"/>
      <c r="F219" s="497"/>
    </row>
    <row r="220" spans="2:6" ht="15">
      <c r="B220" s="495" t="s">
        <v>1488</v>
      </c>
      <c r="C220" s="524">
        <v>7943.11</v>
      </c>
      <c r="D220" s="539">
        <v>6344.39</v>
      </c>
      <c r="E220" s="511">
        <f t="shared" ref="E220:E225" si="7">+C220-D220</f>
        <v>1598.7199999999993</v>
      </c>
      <c r="F220" s="497"/>
    </row>
    <row r="221" spans="2:6">
      <c r="B221" s="495" t="s">
        <v>94</v>
      </c>
      <c r="C221" s="496"/>
      <c r="D221" s="497"/>
      <c r="E221" s="511">
        <f t="shared" si="7"/>
        <v>0</v>
      </c>
      <c r="F221" s="497"/>
    </row>
    <row r="222" spans="2:6" ht="15">
      <c r="B222" s="495" t="s">
        <v>1428</v>
      </c>
      <c r="C222" s="520">
        <v>2655.83</v>
      </c>
      <c r="D222" s="539">
        <v>2655.83</v>
      </c>
      <c r="E222" s="511">
        <f t="shared" si="7"/>
        <v>0</v>
      </c>
      <c r="F222" s="497"/>
    </row>
    <row r="223" spans="2:6">
      <c r="B223" s="495" t="s">
        <v>94</v>
      </c>
      <c r="C223" s="496"/>
      <c r="D223" s="497"/>
      <c r="E223" s="511">
        <f t="shared" si="7"/>
        <v>0</v>
      </c>
      <c r="F223" s="497"/>
    </row>
    <row r="224" spans="2:6">
      <c r="B224" s="495" t="s">
        <v>1500</v>
      </c>
      <c r="C224" s="496">
        <v>2.6</v>
      </c>
      <c r="D224" s="497">
        <v>0</v>
      </c>
      <c r="E224" s="511">
        <f t="shared" si="7"/>
        <v>2.6</v>
      </c>
      <c r="F224" s="497"/>
    </row>
    <row r="225" spans="2:6">
      <c r="B225" s="495" t="s">
        <v>1502</v>
      </c>
      <c r="C225" s="496">
        <v>74.88</v>
      </c>
      <c r="D225" s="497">
        <v>0</v>
      </c>
      <c r="E225" s="511">
        <f t="shared" si="7"/>
        <v>74.88</v>
      </c>
      <c r="F225" s="497"/>
    </row>
    <row r="226" spans="2:6">
      <c r="B226" s="495" t="s">
        <v>94</v>
      </c>
      <c r="C226" s="496" t="s">
        <v>94</v>
      </c>
      <c r="D226" s="497" t="s">
        <v>94</v>
      </c>
      <c r="E226" s="511"/>
      <c r="F226" s="497"/>
    </row>
    <row r="227" spans="2:6" ht="13.5" thickBot="1">
      <c r="B227" s="495"/>
      <c r="C227" s="513">
        <f>SUM(C210:C225)</f>
        <v>245672.53</v>
      </c>
      <c r="D227" s="513">
        <f>SUM(D210:D225)</f>
        <v>255984.58</v>
      </c>
      <c r="E227" s="543">
        <f>SUM(E210:E225)</f>
        <v>-10312.050000000003</v>
      </c>
      <c r="F227" s="497"/>
    </row>
    <row r="228" spans="2:6" ht="14.25" thickTop="1" thickBot="1">
      <c r="B228" s="533" t="s">
        <v>94</v>
      </c>
      <c r="C228" s="534">
        <f>+C208-C227</f>
        <v>33529.750000000146</v>
      </c>
      <c r="D228" s="534">
        <f>+D208-D227</f>
        <v>20685.740000000136</v>
      </c>
      <c r="E228" s="544">
        <f>+E208-E227</f>
        <v>12844.010000000024</v>
      </c>
      <c r="F228" s="535"/>
    </row>
    <row r="229" spans="2:6">
      <c r="D229" s="489" t="s">
        <v>94</v>
      </c>
    </row>
    <row r="232" spans="2:6" ht="13.5" thickBot="1"/>
    <row r="233" spans="2:6">
      <c r="B233" s="491" t="s">
        <v>1515</v>
      </c>
      <c r="C233" s="492"/>
      <c r="D233" s="493"/>
      <c r="E233" s="540" t="s">
        <v>1513</v>
      </c>
    </row>
    <row r="234" spans="2:6">
      <c r="B234" s="495"/>
      <c r="C234" s="496"/>
      <c r="D234" s="497"/>
      <c r="E234" s="511"/>
    </row>
    <row r="235" spans="2:6">
      <c r="B235" s="495"/>
      <c r="C235" s="496"/>
      <c r="D235" s="497"/>
      <c r="E235" s="511"/>
    </row>
    <row r="236" spans="2:6">
      <c r="B236" s="495"/>
      <c r="C236" s="496" t="s">
        <v>1516</v>
      </c>
      <c r="D236" s="496" t="s">
        <v>1456</v>
      </c>
      <c r="E236" s="511"/>
    </row>
    <row r="237" spans="2:6">
      <c r="B237" s="495"/>
      <c r="C237" s="496"/>
      <c r="D237" s="497"/>
      <c r="E237" s="511"/>
    </row>
    <row r="238" spans="2:6">
      <c r="B238" s="502" t="s">
        <v>1459</v>
      </c>
      <c r="C238" s="496"/>
      <c r="D238" s="497"/>
      <c r="E238" s="511"/>
    </row>
    <row r="239" spans="2:6">
      <c r="B239" s="503" t="s">
        <v>1460</v>
      </c>
      <c r="C239" s="504">
        <v>254717.07</v>
      </c>
      <c r="D239" s="505">
        <f>C239</f>
        <v>254717.07</v>
      </c>
      <c r="E239" s="511">
        <f t="shared" ref="E239:E247" si="8">+C239-D239</f>
        <v>0</v>
      </c>
    </row>
    <row r="240" spans="2:6">
      <c r="B240" s="503" t="s">
        <v>1461</v>
      </c>
      <c r="C240" s="504">
        <v>1471.72</v>
      </c>
      <c r="D240" s="505">
        <f>C240</f>
        <v>1471.72</v>
      </c>
      <c r="E240" s="511">
        <f t="shared" si="8"/>
        <v>0</v>
      </c>
    </row>
    <row r="241" spans="2:5">
      <c r="B241" s="503" t="s">
        <v>1462</v>
      </c>
      <c r="C241" s="504">
        <v>1936.92</v>
      </c>
      <c r="D241" s="505">
        <v>1936.92</v>
      </c>
      <c r="E241" s="511">
        <f t="shared" si="8"/>
        <v>0</v>
      </c>
    </row>
    <row r="242" spans="2:5">
      <c r="B242" s="503" t="s">
        <v>1514</v>
      </c>
      <c r="C242" s="504">
        <v>1153.95</v>
      </c>
      <c r="D242" s="505">
        <f t="shared" ref="D242:D247" si="9">C242</f>
        <v>1153.95</v>
      </c>
      <c r="E242" s="511">
        <f t="shared" si="8"/>
        <v>0</v>
      </c>
    </row>
    <row r="243" spans="2:5">
      <c r="B243" s="503" t="s">
        <v>1464</v>
      </c>
      <c r="C243" s="496">
        <v>51.55</v>
      </c>
      <c r="D243" s="497">
        <f t="shared" si="9"/>
        <v>51.55</v>
      </c>
      <c r="E243" s="511">
        <f t="shared" si="8"/>
        <v>0</v>
      </c>
    </row>
    <row r="244" spans="2:5">
      <c r="B244" s="503" t="s">
        <v>1465</v>
      </c>
      <c r="C244" s="496">
        <v>1215.96</v>
      </c>
      <c r="D244" s="497">
        <f t="shared" si="9"/>
        <v>1215.96</v>
      </c>
      <c r="E244" s="511">
        <f t="shared" si="8"/>
        <v>0</v>
      </c>
    </row>
    <row r="245" spans="2:5" ht="25.5">
      <c r="B245" s="503" t="s">
        <v>1466</v>
      </c>
      <c r="C245" s="506">
        <v>1506.73</v>
      </c>
      <c r="D245" s="497">
        <f t="shared" si="9"/>
        <v>1506.73</v>
      </c>
      <c r="E245" s="511">
        <f t="shared" si="8"/>
        <v>0</v>
      </c>
    </row>
    <row r="246" spans="2:5">
      <c r="B246" s="503" t="s">
        <v>1467</v>
      </c>
      <c r="C246" s="507">
        <v>1.1100000000000001</v>
      </c>
      <c r="D246" s="497">
        <f t="shared" si="9"/>
        <v>1.1100000000000001</v>
      </c>
      <c r="E246" s="511">
        <f t="shared" si="8"/>
        <v>0</v>
      </c>
    </row>
    <row r="247" spans="2:5">
      <c r="B247" s="503" t="s">
        <v>1434</v>
      </c>
      <c r="C247" s="496">
        <v>201.15</v>
      </c>
      <c r="D247" s="497">
        <f t="shared" si="9"/>
        <v>201.15</v>
      </c>
      <c r="E247" s="511">
        <f t="shared" si="8"/>
        <v>0</v>
      </c>
    </row>
    <row r="248" spans="2:5">
      <c r="B248" s="503"/>
      <c r="C248" s="541"/>
      <c r="D248" s="497"/>
      <c r="E248" s="511">
        <v>0</v>
      </c>
    </row>
    <row r="249" spans="2:5">
      <c r="B249" s="509" t="s">
        <v>1468</v>
      </c>
      <c r="C249" s="496" t="s">
        <v>94</v>
      </c>
      <c r="D249" s="497" t="s">
        <v>94</v>
      </c>
      <c r="E249" s="511">
        <v>0</v>
      </c>
    </row>
    <row r="250" spans="2:5">
      <c r="B250" s="503" t="s">
        <v>1469</v>
      </c>
      <c r="C250" s="538">
        <v>35.46</v>
      </c>
      <c r="D250" s="497">
        <f>C250</f>
        <v>35.46</v>
      </c>
      <c r="E250" s="511">
        <f t="shared" ref="E250:E263" si="10">+C250-D250</f>
        <v>0</v>
      </c>
    </row>
    <row r="251" spans="2:5">
      <c r="B251" s="503" t="s">
        <v>1379</v>
      </c>
      <c r="C251" s="504">
        <v>0</v>
      </c>
      <c r="D251" s="504">
        <v>0</v>
      </c>
      <c r="E251" s="511">
        <f t="shared" si="10"/>
        <v>0</v>
      </c>
    </row>
    <row r="252" spans="2:5">
      <c r="B252" s="503" t="s">
        <v>1471</v>
      </c>
      <c r="C252" s="504">
        <v>1.48</v>
      </c>
      <c r="D252" s="497">
        <f>C252</f>
        <v>1.48</v>
      </c>
      <c r="E252" s="511">
        <f t="shared" si="10"/>
        <v>0</v>
      </c>
    </row>
    <row r="253" spans="2:5">
      <c r="B253" s="503" t="s">
        <v>1381</v>
      </c>
      <c r="C253" s="504">
        <v>226.69</v>
      </c>
      <c r="D253" s="505">
        <f>C253</f>
        <v>226.69</v>
      </c>
      <c r="E253" s="511">
        <f t="shared" si="10"/>
        <v>0</v>
      </c>
    </row>
    <row r="254" spans="2:5">
      <c r="B254" s="503" t="s">
        <v>1382</v>
      </c>
      <c r="C254" s="504">
        <v>349.32</v>
      </c>
      <c r="D254" s="505">
        <f>C254</f>
        <v>349.32</v>
      </c>
      <c r="E254" s="511">
        <f t="shared" si="10"/>
        <v>0</v>
      </c>
    </row>
    <row r="255" spans="2:5" ht="25.5">
      <c r="B255" s="503" t="s">
        <v>1472</v>
      </c>
      <c r="C255" s="504">
        <v>64.08</v>
      </c>
      <c r="D255" s="505">
        <f>C255</f>
        <v>64.08</v>
      </c>
      <c r="E255" s="511">
        <f t="shared" si="10"/>
        <v>0</v>
      </c>
    </row>
    <row r="256" spans="2:5">
      <c r="B256" s="503" t="s">
        <v>1465</v>
      </c>
      <c r="C256" s="504">
        <v>0.48</v>
      </c>
      <c r="D256" s="505">
        <f>C256</f>
        <v>0.48</v>
      </c>
      <c r="E256" s="511">
        <f t="shared" si="10"/>
        <v>0</v>
      </c>
    </row>
    <row r="257" spans="2:5">
      <c r="B257" s="503" t="s">
        <v>1473</v>
      </c>
      <c r="C257" s="504">
        <v>0</v>
      </c>
      <c r="D257" s="497">
        <v>0</v>
      </c>
      <c r="E257" s="511">
        <f t="shared" si="10"/>
        <v>0</v>
      </c>
    </row>
    <row r="258" spans="2:5">
      <c r="B258" s="503" t="s">
        <v>1474</v>
      </c>
      <c r="C258" s="504">
        <v>4002.77</v>
      </c>
      <c r="D258" s="497">
        <v>0</v>
      </c>
      <c r="E258" s="511">
        <f t="shared" si="10"/>
        <v>4002.77</v>
      </c>
    </row>
    <row r="259" spans="2:5">
      <c r="B259" s="503" t="s">
        <v>1475</v>
      </c>
      <c r="C259" s="504">
        <v>208.78</v>
      </c>
      <c r="D259" s="497">
        <v>0</v>
      </c>
      <c r="E259" s="511">
        <f t="shared" si="10"/>
        <v>208.78</v>
      </c>
    </row>
    <row r="260" spans="2:5">
      <c r="B260" s="495"/>
      <c r="C260" s="497">
        <v>0</v>
      </c>
      <c r="D260" s="497">
        <v>0</v>
      </c>
      <c r="E260" s="511">
        <f t="shared" si="10"/>
        <v>0</v>
      </c>
    </row>
    <row r="261" spans="2:5" ht="13.5" thickBot="1">
      <c r="B261" s="512" t="s">
        <v>499</v>
      </c>
      <c r="C261" s="513">
        <f>SUM(C239:C260)</f>
        <v>267145.22000000009</v>
      </c>
      <c r="D261" s="513">
        <f>SUM(D239:D260)</f>
        <v>262933.67000000004</v>
      </c>
      <c r="E261" s="511">
        <f t="shared" si="10"/>
        <v>4211.5500000000466</v>
      </c>
    </row>
    <row r="262" spans="2:5" ht="13.5" thickTop="1">
      <c r="B262" s="515" t="s">
        <v>1477</v>
      </c>
      <c r="C262" s="496"/>
      <c r="D262" s="496"/>
      <c r="E262" s="511">
        <f t="shared" si="10"/>
        <v>0</v>
      </c>
    </row>
    <row r="263" spans="2:5" ht="14.25">
      <c r="B263" s="515" t="s">
        <v>1506</v>
      </c>
      <c r="C263" s="496">
        <v>0</v>
      </c>
      <c r="D263" s="539">
        <v>12730</v>
      </c>
      <c r="E263" s="511">
        <f t="shared" si="10"/>
        <v>-12730</v>
      </c>
    </row>
    <row r="264" spans="2:5">
      <c r="B264" s="495" t="s">
        <v>94</v>
      </c>
      <c r="C264" s="499" t="s">
        <v>94</v>
      </c>
      <c r="D264" s="497" t="s">
        <v>94</v>
      </c>
      <c r="E264" s="511"/>
    </row>
    <row r="265" spans="2:5" ht="15">
      <c r="B265" s="517" t="s">
        <v>1194</v>
      </c>
      <c r="C265" s="518">
        <v>242566.61</v>
      </c>
      <c r="D265" s="486">
        <f>C265</f>
        <v>242566.61</v>
      </c>
      <c r="E265" s="511">
        <f>+C265-D265</f>
        <v>0</v>
      </c>
    </row>
    <row r="266" spans="2:5" ht="15">
      <c r="B266" s="517" t="s">
        <v>1478</v>
      </c>
      <c r="C266" s="518">
        <v>3888.85</v>
      </c>
      <c r="D266" s="539">
        <f>C266</f>
        <v>3888.85</v>
      </c>
      <c r="E266" s="511">
        <f>+C266-D266</f>
        <v>0</v>
      </c>
    </row>
    <row r="267" spans="2:5" ht="14.25">
      <c r="B267" s="495" t="s">
        <v>1509</v>
      </c>
      <c r="C267" s="496">
        <v>23957.82</v>
      </c>
      <c r="D267" s="539">
        <v>23957.82</v>
      </c>
      <c r="E267" s="511">
        <f>+C267-D267</f>
        <v>0</v>
      </c>
    </row>
    <row r="268" spans="2:5" ht="14.25">
      <c r="B268" s="503" t="s">
        <v>1510</v>
      </c>
      <c r="C268" s="496">
        <v>9625.26</v>
      </c>
      <c r="D268" s="539">
        <v>10830.74</v>
      </c>
      <c r="E268" s="511">
        <f>+C268-D268</f>
        <v>-1205.4799999999996</v>
      </c>
    </row>
    <row r="269" spans="2:5" ht="15">
      <c r="B269" s="519" t="s">
        <v>1511</v>
      </c>
      <c r="C269" s="520">
        <v>4727.12</v>
      </c>
      <c r="D269" s="521">
        <v>4727.12</v>
      </c>
      <c r="E269" s="542">
        <f>+C269-D269</f>
        <v>0</v>
      </c>
    </row>
    <row r="270" spans="2:5" ht="15">
      <c r="B270" s="495" t="s">
        <v>94</v>
      </c>
      <c r="C270" s="520" t="s">
        <v>94</v>
      </c>
      <c r="D270" s="497" t="s">
        <v>94</v>
      </c>
      <c r="E270" s="511"/>
    </row>
    <row r="271" spans="2:5" ht="14.25">
      <c r="B271" s="495" t="s">
        <v>1485</v>
      </c>
      <c r="C271" s="496">
        <v>0</v>
      </c>
      <c r="D271" s="539">
        <v>433.54</v>
      </c>
      <c r="E271" s="511">
        <f>+C271-D271</f>
        <v>-433.54</v>
      </c>
    </row>
    <row r="272" spans="2:5" ht="15">
      <c r="B272" s="495" t="s">
        <v>94</v>
      </c>
      <c r="C272" s="518" t="s">
        <v>94</v>
      </c>
      <c r="D272" s="497" t="s">
        <v>94</v>
      </c>
      <c r="E272" s="511"/>
    </row>
    <row r="273" spans="2:5" ht="15">
      <c r="B273" s="495" t="s">
        <v>1488</v>
      </c>
      <c r="C273" s="524">
        <v>6046.1</v>
      </c>
      <c r="D273" s="539">
        <v>6046.1</v>
      </c>
      <c r="E273" s="511">
        <f t="shared" ref="E273:E278" si="11">+C273-D273</f>
        <v>0</v>
      </c>
    </row>
    <row r="274" spans="2:5">
      <c r="B274" s="495" t="s">
        <v>94</v>
      </c>
      <c r="C274" s="496"/>
      <c r="D274" s="497"/>
      <c r="E274" s="511">
        <f t="shared" si="11"/>
        <v>0</v>
      </c>
    </row>
    <row r="275" spans="2:5" ht="15">
      <c r="B275" s="495" t="s">
        <v>1428</v>
      </c>
      <c r="C275" s="520">
        <v>3355.7</v>
      </c>
      <c r="D275" s="539">
        <v>3355.7</v>
      </c>
      <c r="E275" s="511">
        <f t="shared" si="11"/>
        <v>0</v>
      </c>
    </row>
    <row r="276" spans="2:5">
      <c r="B276" s="495" t="s">
        <v>94</v>
      </c>
      <c r="C276" s="496"/>
      <c r="D276" s="497"/>
      <c r="E276" s="511">
        <f t="shared" si="11"/>
        <v>0</v>
      </c>
    </row>
    <row r="277" spans="2:5">
      <c r="B277" s="495" t="s">
        <v>1500</v>
      </c>
      <c r="C277" s="496">
        <v>26.38</v>
      </c>
      <c r="D277" s="497">
        <v>0</v>
      </c>
      <c r="E277" s="511">
        <f t="shared" si="11"/>
        <v>26.38</v>
      </c>
    </row>
    <row r="278" spans="2:5">
      <c r="B278" s="495" t="s">
        <v>1502</v>
      </c>
      <c r="C278" s="496">
        <v>4.22</v>
      </c>
      <c r="D278" s="497">
        <v>0</v>
      </c>
      <c r="E278" s="511">
        <f t="shared" si="11"/>
        <v>4.22</v>
      </c>
    </row>
    <row r="279" spans="2:5">
      <c r="B279" s="495" t="s">
        <v>94</v>
      </c>
      <c r="C279" s="496" t="s">
        <v>94</v>
      </c>
      <c r="D279" s="497" t="s">
        <v>94</v>
      </c>
      <c r="E279" s="511"/>
    </row>
    <row r="280" spans="2:5" ht="13.5" thickBot="1">
      <c r="B280" s="495"/>
      <c r="C280" s="513">
        <f>SUM(C263:C278)</f>
        <v>294198.05999999994</v>
      </c>
      <c r="D280" s="513">
        <f>SUM(D263:D278)</f>
        <v>308536.47999999992</v>
      </c>
      <c r="E280" s="543">
        <f>SUM(E263:E278)</f>
        <v>-14338.420000000002</v>
      </c>
    </row>
    <row r="281" spans="2:5" ht="14.25" thickTop="1" thickBot="1">
      <c r="B281" s="533" t="s">
        <v>94</v>
      </c>
      <c r="C281" s="534">
        <f>+C261-C280</f>
        <v>-27052.839999999851</v>
      </c>
      <c r="D281" s="534">
        <f>+D261-D280</f>
        <v>-45602.809999999881</v>
      </c>
      <c r="E281" s="544">
        <f>+E261-E280</f>
        <v>18549.970000000048</v>
      </c>
    </row>
    <row r="284" spans="2:5" ht="13.5" thickBot="1"/>
    <row r="285" spans="2:5">
      <c r="B285" s="491" t="s">
        <v>1517</v>
      </c>
      <c r="C285" s="492"/>
      <c r="D285" s="493"/>
      <c r="E285" s="540" t="s">
        <v>1513</v>
      </c>
    </row>
    <row r="286" spans="2:5">
      <c r="B286" s="495"/>
      <c r="C286" s="496"/>
      <c r="D286" s="497"/>
      <c r="E286" s="511"/>
    </row>
    <row r="287" spans="2:5">
      <c r="B287" s="495"/>
      <c r="C287" s="496"/>
      <c r="D287" s="497"/>
      <c r="E287" s="511"/>
    </row>
    <row r="288" spans="2:5">
      <c r="B288" s="495"/>
      <c r="C288" s="496" t="s">
        <v>1516</v>
      </c>
      <c r="D288" s="496" t="s">
        <v>1456</v>
      </c>
      <c r="E288" s="511"/>
    </row>
    <row r="289" spans="2:5">
      <c r="B289" s="495"/>
      <c r="C289" s="496"/>
      <c r="D289" s="497"/>
      <c r="E289" s="511"/>
    </row>
    <row r="290" spans="2:5">
      <c r="B290" s="502" t="s">
        <v>1459</v>
      </c>
      <c r="C290" s="496"/>
      <c r="D290" s="497"/>
      <c r="E290" s="511"/>
    </row>
    <row r="291" spans="2:5">
      <c r="B291" s="503" t="s">
        <v>1460</v>
      </c>
      <c r="C291" s="504">
        <v>362019.33</v>
      </c>
      <c r="D291" s="505">
        <f>C291</f>
        <v>362019.33</v>
      </c>
      <c r="E291" s="511">
        <f t="shared" ref="E291:E299" si="12">+C291-D291</f>
        <v>0</v>
      </c>
    </row>
    <row r="292" spans="2:5">
      <c r="B292" s="503" t="s">
        <v>1461</v>
      </c>
      <c r="C292" s="504">
        <v>1674.09</v>
      </c>
      <c r="D292" s="505">
        <f>C292</f>
        <v>1674.09</v>
      </c>
      <c r="E292" s="511">
        <f t="shared" si="12"/>
        <v>0</v>
      </c>
    </row>
    <row r="293" spans="2:5">
      <c r="B293" s="503" t="s">
        <v>1462</v>
      </c>
      <c r="C293" s="504">
        <v>1945.57</v>
      </c>
      <c r="D293" s="505">
        <f>C293</f>
        <v>1945.57</v>
      </c>
      <c r="E293" s="511">
        <f t="shared" si="12"/>
        <v>0</v>
      </c>
    </row>
    <row r="294" spans="2:5">
      <c r="B294" s="503" t="s">
        <v>1514</v>
      </c>
      <c r="C294" s="504">
        <v>1587.5</v>
      </c>
      <c r="D294" s="505">
        <f t="shared" ref="D294:D299" si="13">C294</f>
        <v>1587.5</v>
      </c>
      <c r="E294" s="511">
        <f t="shared" si="12"/>
        <v>0</v>
      </c>
    </row>
    <row r="295" spans="2:5">
      <c r="B295" s="503" t="s">
        <v>1464</v>
      </c>
      <c r="C295" s="496">
        <v>66.14</v>
      </c>
      <c r="D295" s="497">
        <f t="shared" si="13"/>
        <v>66.14</v>
      </c>
      <c r="E295" s="511">
        <f t="shared" si="12"/>
        <v>0</v>
      </c>
    </row>
    <row r="296" spans="2:5">
      <c r="B296" s="503" t="s">
        <v>1465</v>
      </c>
      <c r="C296" s="496">
        <v>1722.38</v>
      </c>
      <c r="D296" s="497">
        <f t="shared" si="13"/>
        <v>1722.38</v>
      </c>
      <c r="E296" s="511">
        <f t="shared" si="12"/>
        <v>0</v>
      </c>
    </row>
    <row r="297" spans="2:5" ht="25.5">
      <c r="B297" s="503" t="s">
        <v>1466</v>
      </c>
      <c r="C297" s="506">
        <v>1683.84</v>
      </c>
      <c r="D297" s="497">
        <f t="shared" si="13"/>
        <v>1683.84</v>
      </c>
      <c r="E297" s="511">
        <f t="shared" si="12"/>
        <v>0</v>
      </c>
    </row>
    <row r="298" spans="2:5">
      <c r="B298" s="503" t="s">
        <v>1467</v>
      </c>
      <c r="C298" s="507">
        <v>1.07</v>
      </c>
      <c r="D298" s="497">
        <f t="shared" si="13"/>
        <v>1.07</v>
      </c>
      <c r="E298" s="511">
        <f t="shared" si="12"/>
        <v>0</v>
      </c>
    </row>
    <row r="299" spans="2:5">
      <c r="B299" s="503" t="s">
        <v>1434</v>
      </c>
      <c r="C299" s="496">
        <v>278.07</v>
      </c>
      <c r="D299" s="497">
        <f t="shared" si="13"/>
        <v>278.07</v>
      </c>
      <c r="E299" s="511">
        <f t="shared" si="12"/>
        <v>0</v>
      </c>
    </row>
    <row r="300" spans="2:5">
      <c r="B300" s="503"/>
      <c r="C300" s="541"/>
      <c r="D300" s="497"/>
      <c r="E300" s="511">
        <v>0</v>
      </c>
    </row>
    <row r="301" spans="2:5">
      <c r="B301" s="509" t="s">
        <v>1468</v>
      </c>
      <c r="C301" s="496" t="s">
        <v>94</v>
      </c>
      <c r="D301" s="497" t="s">
        <v>94</v>
      </c>
      <c r="E301" s="511">
        <v>0</v>
      </c>
    </row>
    <row r="302" spans="2:5">
      <c r="B302" s="503" t="s">
        <v>1469</v>
      </c>
      <c r="C302" s="538">
        <v>134.16999999999999</v>
      </c>
      <c r="D302" s="497">
        <f>C302</f>
        <v>134.16999999999999</v>
      </c>
      <c r="E302" s="511">
        <f t="shared" ref="E302:E315" si="14">+C302-D302</f>
        <v>0</v>
      </c>
    </row>
    <row r="303" spans="2:5">
      <c r="B303" s="503" t="s">
        <v>1379</v>
      </c>
      <c r="C303" s="504">
        <v>0</v>
      </c>
      <c r="D303" s="504">
        <v>0</v>
      </c>
      <c r="E303" s="511">
        <f t="shared" si="14"/>
        <v>0</v>
      </c>
    </row>
    <row r="304" spans="2:5">
      <c r="B304" s="503" t="s">
        <v>1471</v>
      </c>
      <c r="C304" s="504">
        <v>2.33</v>
      </c>
      <c r="D304" s="497">
        <f>C304</f>
        <v>2.33</v>
      </c>
      <c r="E304" s="511">
        <f t="shared" si="14"/>
        <v>0</v>
      </c>
    </row>
    <row r="305" spans="2:5">
      <c r="B305" s="503" t="s">
        <v>1381</v>
      </c>
      <c r="C305" s="504">
        <v>75.66</v>
      </c>
      <c r="D305" s="505">
        <f>C305</f>
        <v>75.66</v>
      </c>
      <c r="E305" s="511">
        <f t="shared" si="14"/>
        <v>0</v>
      </c>
    </row>
    <row r="306" spans="2:5">
      <c r="B306" s="503" t="s">
        <v>1382</v>
      </c>
      <c r="C306" s="504">
        <v>365.41</v>
      </c>
      <c r="D306" s="505">
        <f>C306</f>
        <v>365.41</v>
      </c>
      <c r="E306" s="511">
        <f t="shared" si="14"/>
        <v>0</v>
      </c>
    </row>
    <row r="307" spans="2:5" ht="25.5">
      <c r="B307" s="503" t="s">
        <v>1472</v>
      </c>
      <c r="C307" s="504">
        <v>132.12</v>
      </c>
      <c r="D307" s="505">
        <f>C307</f>
        <v>132.12</v>
      </c>
      <c r="E307" s="511">
        <f t="shared" si="14"/>
        <v>0</v>
      </c>
    </row>
    <row r="308" spans="2:5">
      <c r="B308" s="503" t="s">
        <v>1465</v>
      </c>
      <c r="C308" s="504">
        <v>0.3</v>
      </c>
      <c r="D308" s="505">
        <f>C308</f>
        <v>0.3</v>
      </c>
      <c r="E308" s="511">
        <f t="shared" si="14"/>
        <v>0</v>
      </c>
    </row>
    <row r="309" spans="2:5">
      <c r="B309" s="503" t="s">
        <v>1473</v>
      </c>
      <c r="C309" s="504">
        <v>0</v>
      </c>
      <c r="D309" s="497">
        <v>0</v>
      </c>
      <c r="E309" s="511">
        <f t="shared" si="14"/>
        <v>0</v>
      </c>
    </row>
    <row r="310" spans="2:5">
      <c r="B310" s="503" t="s">
        <v>1474</v>
      </c>
      <c r="C310" s="504">
        <v>2761.39</v>
      </c>
      <c r="D310" s="497">
        <v>0</v>
      </c>
      <c r="E310" s="511">
        <f t="shared" si="14"/>
        <v>2761.39</v>
      </c>
    </row>
    <row r="311" spans="2:5">
      <c r="B311" s="503" t="s">
        <v>1475</v>
      </c>
      <c r="C311" s="504">
        <v>74.3</v>
      </c>
      <c r="D311" s="497">
        <v>0</v>
      </c>
      <c r="E311" s="511">
        <f t="shared" si="14"/>
        <v>74.3</v>
      </c>
    </row>
    <row r="312" spans="2:5">
      <c r="B312" s="495"/>
      <c r="C312" s="497">
        <v>0</v>
      </c>
      <c r="D312" s="497">
        <v>0</v>
      </c>
      <c r="E312" s="511">
        <f t="shared" si="14"/>
        <v>0</v>
      </c>
    </row>
    <row r="313" spans="2:5" ht="13.5" thickBot="1">
      <c r="B313" s="512" t="s">
        <v>499</v>
      </c>
      <c r="C313" s="513">
        <f>SUM(C291:C312)</f>
        <v>374523.67000000004</v>
      </c>
      <c r="D313" s="513">
        <f>SUM(D291:D312)</f>
        <v>371687.98000000004</v>
      </c>
      <c r="E313" s="511">
        <f t="shared" si="14"/>
        <v>2835.6900000000023</v>
      </c>
    </row>
    <row r="314" spans="2:5" ht="13.5" thickTop="1">
      <c r="B314" s="515" t="s">
        <v>1477</v>
      </c>
      <c r="C314" s="496"/>
      <c r="D314" s="496"/>
      <c r="E314" s="511">
        <f t="shared" si="14"/>
        <v>0</v>
      </c>
    </row>
    <row r="315" spans="2:5" ht="14.25">
      <c r="B315" s="515" t="s">
        <v>1506</v>
      </c>
      <c r="C315" s="496">
        <v>0</v>
      </c>
      <c r="D315" s="539">
        <v>0</v>
      </c>
      <c r="E315" s="511">
        <f t="shared" si="14"/>
        <v>0</v>
      </c>
    </row>
    <row r="316" spans="2:5">
      <c r="B316" s="495" t="s">
        <v>94</v>
      </c>
      <c r="C316" s="499" t="s">
        <v>94</v>
      </c>
      <c r="D316" s="497" t="s">
        <v>94</v>
      </c>
      <c r="E316" s="511"/>
    </row>
    <row r="317" spans="2:5" ht="15">
      <c r="B317" s="517" t="s">
        <v>1194</v>
      </c>
      <c r="C317" s="518">
        <v>292829.46000000002</v>
      </c>
      <c r="D317" s="486">
        <f>C317</f>
        <v>292829.46000000002</v>
      </c>
      <c r="E317" s="511">
        <f>+C317-D317</f>
        <v>0</v>
      </c>
    </row>
    <row r="318" spans="2:5" ht="15">
      <c r="B318" s="517" t="s">
        <v>1478</v>
      </c>
      <c r="C318" s="518">
        <v>4626.07</v>
      </c>
      <c r="D318" s="539">
        <f>C318</f>
        <v>4626.07</v>
      </c>
      <c r="E318" s="511">
        <f>+C318-D318</f>
        <v>0</v>
      </c>
    </row>
    <row r="319" spans="2:5" ht="14.25">
      <c r="B319" s="495" t="s">
        <v>1509</v>
      </c>
      <c r="C319" s="496">
        <v>28419.7</v>
      </c>
      <c r="D319" s="539">
        <v>28419.7</v>
      </c>
      <c r="E319" s="511">
        <f>+C319-D319</f>
        <v>0</v>
      </c>
    </row>
    <row r="320" spans="2:5" ht="14.25">
      <c r="B320" s="503" t="s">
        <v>1510</v>
      </c>
      <c r="C320" s="496">
        <v>13870.9</v>
      </c>
      <c r="D320" s="539">
        <v>15098.94</v>
      </c>
      <c r="E320" s="511">
        <f>+C320-D320</f>
        <v>-1228.0400000000009</v>
      </c>
    </row>
    <row r="321" spans="2:5" ht="15">
      <c r="B321" s="519" t="s">
        <v>1511</v>
      </c>
      <c r="C321" s="520">
        <v>5335.98</v>
      </c>
      <c r="D321" s="521">
        <v>5335.98</v>
      </c>
      <c r="E321" s="542">
        <f>+C321-D321</f>
        <v>0</v>
      </c>
    </row>
    <row r="322" spans="2:5" ht="15">
      <c r="B322" s="495" t="s">
        <v>94</v>
      </c>
      <c r="C322" s="520" t="s">
        <v>94</v>
      </c>
      <c r="D322" s="497" t="s">
        <v>94</v>
      </c>
      <c r="E322" s="511"/>
    </row>
    <row r="323" spans="2:5" ht="14.25">
      <c r="B323" s="495" t="s">
        <v>1485</v>
      </c>
      <c r="C323" s="496">
        <v>0</v>
      </c>
      <c r="D323" s="539">
        <v>461.76</v>
      </c>
      <c r="E323" s="511">
        <f>+C323-D323</f>
        <v>-461.76</v>
      </c>
    </row>
    <row r="324" spans="2:5" ht="15">
      <c r="B324" s="495" t="s">
        <v>94</v>
      </c>
      <c r="C324" s="518" t="s">
        <v>94</v>
      </c>
      <c r="D324" s="497" t="s">
        <v>94</v>
      </c>
      <c r="E324" s="511"/>
    </row>
    <row r="325" spans="2:5" ht="15">
      <c r="B325" s="495" t="s">
        <v>1488</v>
      </c>
      <c r="C325" s="524">
        <v>9116.0400000000009</v>
      </c>
      <c r="D325" s="539">
        <v>9116.0400000000009</v>
      </c>
      <c r="E325" s="511">
        <f t="shared" ref="E325:E330" si="15">+C325-D325</f>
        <v>0</v>
      </c>
    </row>
    <row r="326" spans="2:5">
      <c r="B326" s="495" t="s">
        <v>94</v>
      </c>
      <c r="C326" s="496"/>
      <c r="D326" s="497"/>
      <c r="E326" s="511">
        <f t="shared" si="15"/>
        <v>0</v>
      </c>
    </row>
    <row r="327" spans="2:5" ht="15">
      <c r="B327" s="495" t="s">
        <v>1428</v>
      </c>
      <c r="C327" s="520">
        <v>3258.18</v>
      </c>
      <c r="D327" s="539">
        <v>3258.18</v>
      </c>
      <c r="E327" s="511">
        <f t="shared" si="15"/>
        <v>0</v>
      </c>
    </row>
    <row r="328" spans="2:5">
      <c r="B328" s="495" t="s">
        <v>94</v>
      </c>
      <c r="C328" s="496"/>
      <c r="D328" s="497"/>
      <c r="E328" s="511">
        <f t="shared" si="15"/>
        <v>0</v>
      </c>
    </row>
    <row r="329" spans="2:5">
      <c r="B329" s="495" t="s">
        <v>1500</v>
      </c>
      <c r="C329" s="496">
        <v>3195.69</v>
      </c>
      <c r="D329" s="497">
        <v>0</v>
      </c>
      <c r="E329" s="511">
        <f t="shared" si="15"/>
        <v>3195.69</v>
      </c>
    </row>
    <row r="330" spans="2:5">
      <c r="B330" s="495" t="s">
        <v>1502</v>
      </c>
      <c r="C330" s="496">
        <v>4.9400000000000004</v>
      </c>
      <c r="D330" s="497">
        <v>0</v>
      </c>
      <c r="E330" s="511">
        <f t="shared" si="15"/>
        <v>4.9400000000000004</v>
      </c>
    </row>
    <row r="331" spans="2:5">
      <c r="B331" s="495" t="s">
        <v>94</v>
      </c>
      <c r="C331" s="496" t="s">
        <v>94</v>
      </c>
      <c r="D331" s="497" t="s">
        <v>94</v>
      </c>
      <c r="E331" s="511"/>
    </row>
    <row r="332" spans="2:5" ht="13.5" thickBot="1">
      <c r="B332" s="495"/>
      <c r="C332" s="513">
        <f>SUM(C315:C330)</f>
        <v>360656.96</v>
      </c>
      <c r="D332" s="513">
        <f>SUM(D315:D330)</f>
        <v>359146.13</v>
      </c>
      <c r="E332" s="543">
        <f>SUM(E315:E330)</f>
        <v>1510.8299999999992</v>
      </c>
    </row>
    <row r="333" spans="2:5" ht="14.25" thickTop="1" thickBot="1">
      <c r="B333" s="533" t="s">
        <v>94</v>
      </c>
      <c r="C333" s="534">
        <f>+C313-C332</f>
        <v>13866.710000000021</v>
      </c>
      <c r="D333" s="534">
        <f>+D313-D332</f>
        <v>12541.850000000035</v>
      </c>
      <c r="E333" s="544">
        <f>+E313-E332</f>
        <v>1324.8600000000031</v>
      </c>
    </row>
  </sheetData>
  <printOptions gridLines="1"/>
  <pageMargins left="0.32" right="0.28999999999999998" top="0.43" bottom="0.28999999999999998" header="0.28000000000000003" footer="0.15"/>
  <pageSetup paperSize="9" scale="89" orientation="portrait" horizontalDpi="240" verticalDpi="144" r:id="rId1"/>
  <headerFooter alignWithMargins="0"/>
</worksheet>
</file>

<file path=xl/worksheets/sheet118.xml><?xml version="1.0" encoding="utf-8"?>
<worksheet xmlns="http://schemas.openxmlformats.org/spreadsheetml/2006/main" xmlns:r="http://schemas.openxmlformats.org/officeDocument/2006/relationships">
  <sheetPr codeName="Sheet97"/>
  <dimension ref="B3:K33"/>
  <sheetViews>
    <sheetView showGridLines="0" view="pageBreakPreview" zoomScale="60" workbookViewId="0">
      <selection activeCell="G24" sqref="G24:G25"/>
    </sheetView>
  </sheetViews>
  <sheetFormatPr defaultRowHeight="15"/>
  <cols>
    <col min="1" max="2" width="9.140625" style="1013"/>
    <col min="3" max="3" width="19.42578125" style="1013" customWidth="1"/>
    <col min="4" max="4" width="20.28515625" style="1013" customWidth="1"/>
    <col min="5" max="5" width="25.85546875" style="1013" customWidth="1"/>
    <col min="6" max="6" width="22.85546875" style="1013" customWidth="1"/>
    <col min="7" max="8" width="9.140625" style="1013"/>
    <col min="9" max="9" width="22.7109375" style="1013" customWidth="1"/>
    <col min="10" max="10" width="10.5703125" style="1013" customWidth="1"/>
    <col min="11" max="11" width="11.140625" style="1013" customWidth="1"/>
    <col min="12" max="16384" width="9.140625" style="1013"/>
  </cols>
  <sheetData>
    <row r="3" spans="2:11">
      <c r="B3" s="6232" t="s">
        <v>2010</v>
      </c>
      <c r="C3" s="6232" t="s">
        <v>1938</v>
      </c>
      <c r="D3" s="6232" t="s">
        <v>2</v>
      </c>
      <c r="E3" s="1920" t="s">
        <v>82</v>
      </c>
      <c r="F3" s="2645" t="s">
        <v>1845</v>
      </c>
      <c r="G3" s="1936"/>
    </row>
    <row r="4" spans="2:11">
      <c r="B4" s="6233"/>
      <c r="C4" s="6233"/>
      <c r="D4" s="6233"/>
      <c r="E4" s="2643" t="s">
        <v>755</v>
      </c>
      <c r="F4" s="2646" t="s">
        <v>755</v>
      </c>
      <c r="G4" s="1936"/>
    </row>
    <row r="5" spans="2:11">
      <c r="B5" s="1917"/>
      <c r="C5" s="1015" t="s">
        <v>1989</v>
      </c>
      <c r="D5" s="1917"/>
      <c r="E5" s="1015"/>
      <c r="F5" s="2161"/>
      <c r="G5" s="1936"/>
      <c r="H5" s="2643" t="s">
        <v>2010</v>
      </c>
      <c r="I5" s="2643" t="s">
        <v>81</v>
      </c>
      <c r="J5" s="2643" t="s">
        <v>82</v>
      </c>
      <c r="K5" s="2643" t="s">
        <v>1845</v>
      </c>
    </row>
    <row r="6" spans="2:11">
      <c r="B6" s="1917">
        <v>1</v>
      </c>
      <c r="C6" s="1015" t="s">
        <v>14</v>
      </c>
      <c r="D6" s="1917" t="s">
        <v>15</v>
      </c>
      <c r="E6" s="1917">
        <v>0.39</v>
      </c>
      <c r="F6" s="2647">
        <v>0.52</v>
      </c>
      <c r="G6" s="1936"/>
      <c r="H6" s="1917">
        <v>1</v>
      </c>
      <c r="I6" s="1015" t="s">
        <v>2155</v>
      </c>
      <c r="J6" s="1015">
        <v>4392.95</v>
      </c>
      <c r="K6" s="1015">
        <v>4758.37</v>
      </c>
    </row>
    <row r="7" spans="2:11">
      <c r="B7" s="1917">
        <v>2</v>
      </c>
      <c r="C7" s="1015" t="s">
        <v>1990</v>
      </c>
      <c r="D7" s="1917" t="s">
        <v>17</v>
      </c>
      <c r="E7" s="1917">
        <v>687.86</v>
      </c>
      <c r="F7" s="2647">
        <v>701.1</v>
      </c>
      <c r="G7" s="5964"/>
      <c r="H7" s="1917">
        <v>2</v>
      </c>
      <c r="I7" s="1015" t="s">
        <v>2156</v>
      </c>
      <c r="J7" s="1312">
        <v>6.6900000000000001E-2</v>
      </c>
      <c r="K7" s="2644">
        <v>7.0000000000000007E-2</v>
      </c>
    </row>
    <row r="8" spans="2:11">
      <c r="B8" s="1917"/>
      <c r="C8" s="1015"/>
      <c r="D8" s="1917" t="s">
        <v>18</v>
      </c>
      <c r="E8" s="1917">
        <v>584.30999999999995</v>
      </c>
      <c r="F8" s="2647">
        <v>596.34</v>
      </c>
      <c r="G8" s="5964"/>
      <c r="H8" s="1917">
        <v>3</v>
      </c>
      <c r="I8" s="1015" t="s">
        <v>2157</v>
      </c>
      <c r="J8" s="1015">
        <v>4707.71</v>
      </c>
      <c r="K8" s="1015">
        <v>5116.53</v>
      </c>
    </row>
    <row r="9" spans="2:11">
      <c r="B9" s="1917"/>
      <c r="C9" s="1015"/>
      <c r="D9" s="1917" t="s">
        <v>19</v>
      </c>
      <c r="E9" s="1917">
        <v>178.53</v>
      </c>
      <c r="F9" s="2647">
        <v>182.53</v>
      </c>
      <c r="G9" s="5964"/>
      <c r="H9" s="1917">
        <v>4</v>
      </c>
      <c r="I9" s="1015" t="s">
        <v>2158</v>
      </c>
      <c r="J9" s="2644">
        <v>4.2000000000000003E-2</v>
      </c>
      <c r="K9" s="2644">
        <v>4.2000000000000003E-2</v>
      </c>
    </row>
    <row r="10" spans="2:11">
      <c r="B10" s="1917"/>
      <c r="C10" s="1015"/>
      <c r="D10" s="1917" t="s">
        <v>20</v>
      </c>
      <c r="E10" s="1917">
        <v>349.57</v>
      </c>
      <c r="F10" s="2647">
        <v>356.48</v>
      </c>
      <c r="G10" s="5964"/>
      <c r="H10" s="1917">
        <v>5</v>
      </c>
      <c r="I10" s="1015" t="s">
        <v>2159</v>
      </c>
      <c r="J10" s="1015">
        <v>4914.1000000000004</v>
      </c>
      <c r="K10" s="1015">
        <v>5340.85</v>
      </c>
    </row>
    <row r="11" spans="2:11">
      <c r="B11" s="1917">
        <v>3</v>
      </c>
      <c r="C11" s="1015" t="s">
        <v>1991</v>
      </c>
      <c r="D11" s="1917" t="s">
        <v>25</v>
      </c>
      <c r="E11" s="1917">
        <v>543.37</v>
      </c>
      <c r="F11" s="2647">
        <v>627.29</v>
      </c>
      <c r="G11" s="6231"/>
    </row>
    <row r="12" spans="2:11">
      <c r="B12" s="1917"/>
      <c r="C12" s="1015"/>
      <c r="D12" s="1917" t="s">
        <v>26</v>
      </c>
      <c r="E12" s="1917">
        <v>379.49</v>
      </c>
      <c r="F12" s="2647">
        <v>438.54</v>
      </c>
      <c r="G12" s="6231"/>
    </row>
    <row r="13" spans="2:11">
      <c r="B13" s="1917">
        <v>4</v>
      </c>
      <c r="C13" s="1015" t="s">
        <v>1992</v>
      </c>
      <c r="D13" s="1917" t="s">
        <v>28</v>
      </c>
      <c r="E13" s="1917">
        <v>260.89</v>
      </c>
      <c r="F13" s="2647">
        <v>303.52</v>
      </c>
      <c r="G13" s="6231"/>
    </row>
    <row r="14" spans="2:11">
      <c r="B14" s="1917">
        <v>5</v>
      </c>
      <c r="C14" s="1015" t="s">
        <v>1993</v>
      </c>
      <c r="D14" s="1917" t="s">
        <v>28</v>
      </c>
      <c r="E14" s="1917">
        <v>516.41999999999996</v>
      </c>
      <c r="F14" s="2647">
        <v>601.5</v>
      </c>
      <c r="G14" s="6231"/>
    </row>
    <row r="15" spans="2:11">
      <c r="B15" s="1917">
        <v>6</v>
      </c>
      <c r="C15" s="1015" t="s">
        <v>1994</v>
      </c>
      <c r="D15" s="1917" t="s">
        <v>25</v>
      </c>
      <c r="E15" s="1917">
        <v>22.44</v>
      </c>
      <c r="F15" s="2647">
        <v>23.71</v>
      </c>
      <c r="G15" s="6231"/>
    </row>
    <row r="16" spans="2:11">
      <c r="B16" s="1917"/>
      <c r="C16" s="1015"/>
      <c r="D16" s="1917" t="s">
        <v>2011</v>
      </c>
      <c r="E16" s="1917">
        <v>25.81</v>
      </c>
      <c r="F16" s="2647">
        <v>27.28</v>
      </c>
      <c r="G16" s="6231"/>
    </row>
    <row r="17" spans="2:7">
      <c r="B17" s="1917">
        <v>7</v>
      </c>
      <c r="C17" s="1015" t="s">
        <v>1995</v>
      </c>
      <c r="D17" s="1917" t="s">
        <v>28</v>
      </c>
      <c r="E17" s="1917">
        <v>54.28</v>
      </c>
      <c r="F17" s="2647">
        <v>57.6</v>
      </c>
      <c r="G17" s="6231"/>
    </row>
    <row r="18" spans="2:7">
      <c r="B18" s="1917">
        <v>8</v>
      </c>
      <c r="C18" s="1015" t="s">
        <v>1996</v>
      </c>
      <c r="D18" s="1917" t="s">
        <v>28</v>
      </c>
      <c r="E18" s="1917">
        <v>49.51</v>
      </c>
      <c r="F18" s="2647">
        <v>52.52</v>
      </c>
      <c r="G18" s="6231"/>
    </row>
    <row r="19" spans="2:7">
      <c r="B19" s="1917">
        <v>9</v>
      </c>
      <c r="C19" s="1015" t="s">
        <v>1997</v>
      </c>
      <c r="D19" s="1917" t="s">
        <v>28</v>
      </c>
      <c r="E19" s="1917">
        <v>2.66</v>
      </c>
      <c r="F19" s="2647">
        <v>2.84</v>
      </c>
      <c r="G19" s="2648"/>
    </row>
    <row r="20" spans="2:7">
      <c r="B20" s="1917">
        <v>10</v>
      </c>
      <c r="C20" s="1015" t="s">
        <v>1998</v>
      </c>
      <c r="D20" s="1917" t="s">
        <v>28</v>
      </c>
      <c r="E20" s="1917">
        <v>30.17</v>
      </c>
      <c r="F20" s="2647">
        <v>32.31</v>
      </c>
      <c r="G20" s="2648"/>
    </row>
    <row r="21" spans="2:7">
      <c r="B21" s="1917">
        <v>11</v>
      </c>
      <c r="C21" s="1015" t="s">
        <v>1999</v>
      </c>
      <c r="D21" s="1917" t="s">
        <v>28</v>
      </c>
      <c r="E21" s="1917">
        <v>1.6</v>
      </c>
      <c r="F21" s="2647">
        <v>1.72</v>
      </c>
      <c r="G21" s="6231"/>
    </row>
    <row r="22" spans="2:7">
      <c r="B22" s="1917">
        <v>12</v>
      </c>
      <c r="C22" s="1015" t="s">
        <v>2000</v>
      </c>
      <c r="D22" s="1917" t="s">
        <v>28</v>
      </c>
      <c r="E22" s="1917">
        <v>36.61</v>
      </c>
      <c r="F22" s="2647">
        <v>41.78</v>
      </c>
      <c r="G22" s="6231"/>
    </row>
    <row r="23" spans="2:7">
      <c r="B23" s="1917">
        <v>13</v>
      </c>
      <c r="C23" s="1015" t="s">
        <v>2001</v>
      </c>
      <c r="D23" s="1917" t="s">
        <v>28</v>
      </c>
      <c r="E23" s="1917">
        <v>1.24</v>
      </c>
      <c r="F23" s="2647">
        <v>1.32</v>
      </c>
      <c r="G23" s="2648"/>
    </row>
    <row r="24" spans="2:7">
      <c r="B24" s="1917">
        <v>14</v>
      </c>
      <c r="C24" s="1015" t="s">
        <v>2002</v>
      </c>
      <c r="D24" s="1917"/>
      <c r="E24" s="1917">
        <v>10.64</v>
      </c>
      <c r="F24" s="2647">
        <v>25.6</v>
      </c>
      <c r="G24" s="6231"/>
    </row>
    <row r="25" spans="2:7">
      <c r="B25" s="1917">
        <v>15</v>
      </c>
      <c r="C25" s="1015" t="s">
        <v>2003</v>
      </c>
      <c r="D25" s="1917"/>
      <c r="E25" s="1917">
        <v>35.799999999999997</v>
      </c>
      <c r="F25" s="2647">
        <v>45.45</v>
      </c>
      <c r="G25" s="6231"/>
    </row>
    <row r="26" spans="2:7">
      <c r="B26" s="1917"/>
      <c r="C26" s="1015" t="s">
        <v>2004</v>
      </c>
      <c r="D26" s="1917"/>
      <c r="E26" s="1917"/>
      <c r="F26" s="2647"/>
      <c r="G26" s="1936"/>
    </row>
    <row r="27" spans="2:7">
      <c r="B27" s="1917">
        <v>16</v>
      </c>
      <c r="C27" s="1015" t="s">
        <v>2005</v>
      </c>
      <c r="D27" s="1917" t="s">
        <v>28</v>
      </c>
      <c r="E27" s="1917">
        <v>169.4</v>
      </c>
      <c r="F27" s="2647">
        <v>190.4</v>
      </c>
      <c r="G27" s="2648"/>
    </row>
    <row r="28" spans="2:7">
      <c r="B28" s="1917">
        <v>17</v>
      </c>
      <c r="C28" s="1015" t="s">
        <v>2006</v>
      </c>
      <c r="D28" s="1917" t="s">
        <v>28</v>
      </c>
      <c r="E28" s="1917">
        <v>381.59</v>
      </c>
      <c r="F28" s="2647">
        <v>371.96</v>
      </c>
      <c r="G28" s="2648"/>
    </row>
    <row r="29" spans="2:7">
      <c r="B29" s="1917">
        <v>18</v>
      </c>
      <c r="C29" s="1015" t="s">
        <v>2007</v>
      </c>
      <c r="D29" s="1917" t="s">
        <v>28</v>
      </c>
      <c r="E29" s="1917">
        <v>32.270000000000003</v>
      </c>
      <c r="F29" s="2647">
        <v>34.049999999999997</v>
      </c>
      <c r="G29" s="2648"/>
    </row>
    <row r="30" spans="2:7">
      <c r="B30" s="1917">
        <v>19</v>
      </c>
      <c r="C30" s="1015" t="s">
        <v>2008</v>
      </c>
      <c r="D30" s="1917" t="s">
        <v>28</v>
      </c>
      <c r="E30" s="1917">
        <v>4.01</v>
      </c>
      <c r="F30" s="2647">
        <v>4.28</v>
      </c>
      <c r="G30" s="2648"/>
    </row>
    <row r="31" spans="2:7">
      <c r="B31" s="1917">
        <v>20</v>
      </c>
      <c r="C31" s="1015" t="s">
        <v>2009</v>
      </c>
      <c r="D31" s="1917" t="s">
        <v>28</v>
      </c>
      <c r="E31" s="1917">
        <v>34.11</v>
      </c>
      <c r="F31" s="2647">
        <v>37.74</v>
      </c>
      <c r="G31" s="1936"/>
    </row>
    <row r="32" spans="2:7">
      <c r="B32" s="1917"/>
      <c r="C32" s="1015" t="s">
        <v>47</v>
      </c>
      <c r="D32" s="1917"/>
      <c r="E32" s="2073">
        <f>SUM(E6:E31)</f>
        <v>4392.97</v>
      </c>
      <c r="F32" s="1381">
        <f>SUM(F6:F31)</f>
        <v>4758.38</v>
      </c>
      <c r="G32" s="1936"/>
    </row>
    <row r="33" spans="6:7">
      <c r="F33" s="2649"/>
      <c r="G33" s="1458"/>
    </row>
  </sheetData>
  <mergeCells count="9">
    <mergeCell ref="G15:G16"/>
    <mergeCell ref="G17:G18"/>
    <mergeCell ref="G21:G22"/>
    <mergeCell ref="G24:G25"/>
    <mergeCell ref="B3:B4"/>
    <mergeCell ref="C3:C4"/>
    <mergeCell ref="D3:D4"/>
    <mergeCell ref="G7:G10"/>
    <mergeCell ref="G11:G14"/>
  </mergeCells>
  <pageMargins left="0.7" right="0.7" top="0.75" bottom="0.75" header="0.3" footer="0.3"/>
  <pageSetup paperSize="9" scale="46" orientation="portrait" r:id="rId1"/>
</worksheet>
</file>

<file path=xl/worksheets/sheet119.xml><?xml version="1.0" encoding="utf-8"?>
<worksheet xmlns="http://schemas.openxmlformats.org/spreadsheetml/2006/main" xmlns:r="http://schemas.openxmlformats.org/officeDocument/2006/relationships">
  <sheetPr codeName="Sheet98"/>
  <dimension ref="C1:G45"/>
  <sheetViews>
    <sheetView showGridLines="0" view="pageBreakPreview" zoomScale="60" workbookViewId="0">
      <selection activeCell="O18" sqref="O18"/>
    </sheetView>
  </sheetViews>
  <sheetFormatPr defaultRowHeight="15"/>
  <cols>
    <col min="1" max="2" width="9.140625" style="1013"/>
    <col min="3" max="3" width="26.85546875" style="1013" customWidth="1"/>
    <col min="4" max="4" width="21.5703125" style="1013" customWidth="1"/>
    <col min="5" max="5" width="20.5703125" style="1013" customWidth="1"/>
    <col min="6" max="6" width="9.140625" style="1013"/>
    <col min="7" max="7" width="25.28515625" style="1013" customWidth="1"/>
    <col min="8" max="16384" width="9.140625" style="1013"/>
  </cols>
  <sheetData>
    <row r="1" spans="3:7" ht="15.75" thickBot="1"/>
    <row r="2" spans="3:7" ht="15.75" thickBot="1">
      <c r="C2" s="6234" t="s">
        <v>2430</v>
      </c>
      <c r="D2" s="6235"/>
    </row>
    <row r="4" spans="3:7" ht="44.25" customHeight="1">
      <c r="C4" s="6244" t="s">
        <v>81</v>
      </c>
      <c r="D4" s="2639" t="s">
        <v>1845</v>
      </c>
      <c r="E4" s="2640" t="s">
        <v>2333</v>
      </c>
      <c r="F4" s="2639" t="s">
        <v>2196</v>
      </c>
      <c r="G4" s="2641" t="s">
        <v>604</v>
      </c>
    </row>
    <row r="5" spans="3:7" hidden="1">
      <c r="C5" s="6244"/>
      <c r="D5" s="2632"/>
      <c r="E5" s="2632"/>
      <c r="F5" s="2632"/>
      <c r="G5" s="2633"/>
    </row>
    <row r="6" spans="3:7" hidden="1">
      <c r="C6" s="6244"/>
      <c r="D6" s="2639" t="s">
        <v>2197</v>
      </c>
      <c r="E6" s="2640" t="s">
        <v>2198</v>
      </c>
      <c r="F6" s="2639">
        <v>-3</v>
      </c>
      <c r="G6" s="2642"/>
    </row>
    <row r="7" spans="3:7" hidden="1">
      <c r="C7" s="6244"/>
      <c r="D7" s="2632"/>
      <c r="E7" s="2632"/>
      <c r="F7" s="2632"/>
      <c r="G7" s="2633"/>
    </row>
    <row r="8" spans="3:7" hidden="1">
      <c r="C8" s="6244"/>
      <c r="D8" s="2639">
        <v>-1</v>
      </c>
      <c r="E8" s="2640">
        <v>-2</v>
      </c>
      <c r="F8" s="2632"/>
      <c r="G8" s="2642"/>
    </row>
    <row r="9" spans="3:7" hidden="1">
      <c r="C9" s="6244"/>
      <c r="D9" s="2632"/>
      <c r="E9" s="2632"/>
      <c r="F9" s="2632"/>
      <c r="G9" s="2633"/>
    </row>
    <row r="10" spans="3:7" hidden="1">
      <c r="C10" s="6244"/>
      <c r="D10" s="2632"/>
      <c r="E10" s="2632"/>
      <c r="F10" s="2632"/>
      <c r="G10" s="2642" t="s">
        <v>46</v>
      </c>
    </row>
    <row r="11" spans="3:7" hidden="1">
      <c r="C11" s="6244"/>
      <c r="D11" s="2632"/>
      <c r="E11" s="2632"/>
      <c r="F11" s="2632"/>
      <c r="G11" s="2633"/>
    </row>
    <row r="12" spans="3:7" hidden="1">
      <c r="C12" s="6244"/>
      <c r="D12" s="2632"/>
      <c r="E12" s="2632"/>
      <c r="F12" s="2632"/>
      <c r="G12" s="2642" t="s">
        <v>2199</v>
      </c>
    </row>
    <row r="13" spans="3:7" ht="45">
      <c r="C13" s="2634" t="s">
        <v>2200</v>
      </c>
      <c r="D13" s="2635">
        <v>4199.1899999999996</v>
      </c>
      <c r="E13" s="2635">
        <v>2987.39</v>
      </c>
      <c r="F13" s="2635">
        <v>2931.51</v>
      </c>
      <c r="G13" s="2635">
        <v>-55.88</v>
      </c>
    </row>
    <row r="14" spans="3:7" ht="30">
      <c r="C14" s="2634" t="s">
        <v>199</v>
      </c>
      <c r="D14" s="2635">
        <v>454.23</v>
      </c>
      <c r="E14" s="2635">
        <v>434.4</v>
      </c>
      <c r="F14" s="2635">
        <v>462.33</v>
      </c>
      <c r="G14" s="2635">
        <v>27.93</v>
      </c>
    </row>
    <row r="15" spans="3:7">
      <c r="C15" s="2634" t="s">
        <v>2201</v>
      </c>
      <c r="D15" s="5955"/>
      <c r="E15" s="5956"/>
      <c r="F15" s="2635">
        <v>322.10000000000002</v>
      </c>
      <c r="G15" s="6238"/>
    </row>
    <row r="16" spans="3:7">
      <c r="C16" s="2634" t="s">
        <v>2202</v>
      </c>
      <c r="D16" s="5957"/>
      <c r="E16" s="5958"/>
      <c r="F16" s="2635">
        <v>98.93</v>
      </c>
      <c r="G16" s="6238"/>
    </row>
    <row r="17" spans="3:7">
      <c r="C17" s="2634" t="s">
        <v>2203</v>
      </c>
      <c r="D17" s="5959"/>
      <c r="E17" s="5960"/>
      <c r="F17" s="2635">
        <v>41.3</v>
      </c>
      <c r="G17" s="6238"/>
    </row>
    <row r="18" spans="3:7" ht="30">
      <c r="C18" s="2634" t="s">
        <v>200</v>
      </c>
      <c r="D18" s="2635">
        <v>105.9</v>
      </c>
      <c r="E18" s="2635">
        <v>105.61</v>
      </c>
      <c r="F18" s="2635">
        <v>96.53</v>
      </c>
      <c r="G18" s="2635">
        <v>-9.08</v>
      </c>
    </row>
    <row r="19" spans="3:7" ht="61.5" customHeight="1">
      <c r="C19" s="2634" t="s">
        <v>201</v>
      </c>
      <c r="D19" s="2635">
        <v>15.59</v>
      </c>
      <c r="E19" s="2635">
        <v>23.31</v>
      </c>
      <c r="F19" s="2635">
        <v>7.29</v>
      </c>
      <c r="G19" s="2635">
        <v>-16.02</v>
      </c>
    </row>
    <row r="20" spans="3:7" ht="42" customHeight="1">
      <c r="C20" s="2634" t="s">
        <v>666</v>
      </c>
      <c r="D20" s="2635">
        <v>31.5</v>
      </c>
      <c r="E20" s="2635">
        <v>31.02</v>
      </c>
      <c r="F20" s="2635" t="s">
        <v>2204</v>
      </c>
      <c r="G20" s="2635">
        <v>101.4</v>
      </c>
    </row>
    <row r="21" spans="3:7" ht="41.25" customHeight="1">
      <c r="C21" s="2634" t="s">
        <v>2205</v>
      </c>
      <c r="D21" s="2635">
        <v>0</v>
      </c>
      <c r="E21" s="2635">
        <v>0</v>
      </c>
      <c r="F21" s="2635" t="s">
        <v>2206</v>
      </c>
      <c r="G21" s="2635">
        <v>0</v>
      </c>
    </row>
    <row r="22" spans="3:7" ht="38.25" customHeight="1">
      <c r="C22" s="2634" t="s">
        <v>204</v>
      </c>
      <c r="D22" s="2635">
        <v>22.06</v>
      </c>
      <c r="E22" s="2635">
        <v>22.06</v>
      </c>
      <c r="F22" s="2635">
        <v>22.5</v>
      </c>
      <c r="G22" s="2635">
        <v>0.44</v>
      </c>
    </row>
    <row r="23" spans="3:7" ht="40.5" customHeight="1">
      <c r="C23" s="2634" t="s">
        <v>205</v>
      </c>
      <c r="D23" s="2635">
        <v>5.71</v>
      </c>
      <c r="E23" s="2635">
        <v>0</v>
      </c>
      <c r="F23" s="2635">
        <v>6.5</v>
      </c>
      <c r="G23" s="2635">
        <v>6.5</v>
      </c>
    </row>
    <row r="24" spans="3:7" ht="31.5" customHeight="1">
      <c r="C24" s="2634" t="s">
        <v>668</v>
      </c>
      <c r="D24" s="2635">
        <v>81.260000000000005</v>
      </c>
      <c r="E24" s="2635">
        <v>81.260000000000005</v>
      </c>
      <c r="F24" s="2635">
        <v>90.21</v>
      </c>
      <c r="G24" s="2635">
        <v>8.9499999999999993</v>
      </c>
    </row>
    <row r="25" spans="3:7" ht="27" customHeight="1">
      <c r="C25" s="2634" t="s">
        <v>207</v>
      </c>
      <c r="D25" s="2635">
        <v>0</v>
      </c>
      <c r="E25" s="2635">
        <v>0</v>
      </c>
      <c r="F25" s="2635">
        <v>0</v>
      </c>
      <c r="G25" s="2635">
        <v>0</v>
      </c>
    </row>
    <row r="26" spans="3:7" ht="45.75" customHeight="1">
      <c r="C26" s="2634" t="s">
        <v>208</v>
      </c>
      <c r="D26" s="2635">
        <v>5.17</v>
      </c>
      <c r="E26" s="2635">
        <v>5.15</v>
      </c>
      <c r="F26" s="2635">
        <v>4.8899999999999997</v>
      </c>
      <c r="G26" s="2635">
        <v>-0.26</v>
      </c>
    </row>
    <row r="27" spans="3:7" ht="60">
      <c r="C27" s="2634" t="s">
        <v>2207</v>
      </c>
      <c r="D27" s="2636"/>
      <c r="E27" s="2636"/>
      <c r="F27" s="2635" t="s">
        <v>2208</v>
      </c>
      <c r="G27" s="2635"/>
    </row>
    <row r="28" spans="3:7" ht="29.25" customHeight="1">
      <c r="C28" s="2637" t="s">
        <v>209</v>
      </c>
      <c r="D28" s="2638">
        <v>4920.6000000000004</v>
      </c>
      <c r="E28" s="2638">
        <v>3690.18</v>
      </c>
      <c r="F28" s="2638">
        <v>3754.15</v>
      </c>
      <c r="G28" s="2638">
        <v>63.97</v>
      </c>
    </row>
    <row r="29" spans="3:7">
      <c r="C29" s="2634" t="s">
        <v>252</v>
      </c>
      <c r="D29" s="2635">
        <v>140.41</v>
      </c>
      <c r="E29" s="2635">
        <v>139.63999999999999</v>
      </c>
      <c r="F29" s="2636">
        <v>128.82</v>
      </c>
      <c r="G29" s="2636">
        <v>-10.82</v>
      </c>
    </row>
    <row r="30" spans="3:7" ht="30">
      <c r="C30" s="2634" t="s">
        <v>210</v>
      </c>
      <c r="D30" s="2635">
        <v>5.28</v>
      </c>
      <c r="E30" s="2635">
        <v>5.28</v>
      </c>
      <c r="F30" s="2636">
        <v>5.28</v>
      </c>
      <c r="G30" s="2636">
        <v>0</v>
      </c>
    </row>
    <row r="31" spans="3:7" ht="44.25" customHeight="1">
      <c r="C31" s="2637" t="s">
        <v>2209</v>
      </c>
      <c r="D31" s="2638">
        <v>5066.28</v>
      </c>
      <c r="E31" s="2638">
        <v>3835.1</v>
      </c>
      <c r="F31" s="2638">
        <v>3888.25</v>
      </c>
      <c r="G31" s="2638">
        <v>53.15</v>
      </c>
    </row>
    <row r="32" spans="3:7">
      <c r="C32" s="2634" t="s">
        <v>212</v>
      </c>
      <c r="D32" s="2635">
        <v>61.97</v>
      </c>
      <c r="E32" s="2635">
        <v>68.5</v>
      </c>
      <c r="F32" s="2635">
        <v>63.99</v>
      </c>
      <c r="G32" s="2635">
        <v>-4.53</v>
      </c>
    </row>
    <row r="33" spans="3:7" ht="60">
      <c r="C33" s="2634" t="s">
        <v>2210</v>
      </c>
      <c r="D33" s="2635">
        <v>321.93</v>
      </c>
      <c r="E33" s="2635">
        <v>0</v>
      </c>
      <c r="F33" s="2635">
        <v>0</v>
      </c>
      <c r="G33" s="2635"/>
    </row>
    <row r="34" spans="3:7" ht="75">
      <c r="C34" s="2634" t="s">
        <v>2211</v>
      </c>
      <c r="D34" s="2635">
        <v>555.08000000000004</v>
      </c>
      <c r="E34" s="2635">
        <v>0</v>
      </c>
      <c r="F34" s="2635">
        <v>0</v>
      </c>
      <c r="G34" s="2635"/>
    </row>
    <row r="35" spans="3:7">
      <c r="C35" s="2637" t="s">
        <v>213</v>
      </c>
      <c r="D35" s="2638">
        <v>5881.32</v>
      </c>
      <c r="E35" s="2638">
        <v>3766.59</v>
      </c>
      <c r="F35" s="2638">
        <v>3824.26</v>
      </c>
      <c r="G35" s="2638">
        <v>57.69</v>
      </c>
    </row>
    <row r="36" spans="3:7" ht="29.25" customHeight="1">
      <c r="C36" s="2634" t="s">
        <v>214</v>
      </c>
      <c r="D36" s="2635">
        <v>656.12</v>
      </c>
      <c r="E36" s="2635">
        <v>260.98</v>
      </c>
      <c r="F36" s="2635">
        <v>633.64</v>
      </c>
      <c r="G36" s="2635">
        <v>372.66</v>
      </c>
    </row>
    <row r="37" spans="3:7">
      <c r="C37" s="2637" t="s">
        <v>215</v>
      </c>
      <c r="D37" s="2638">
        <v>6537.43</v>
      </c>
      <c r="E37" s="2638">
        <v>4027.57</v>
      </c>
      <c r="F37" s="2638">
        <v>4457.8999999999996</v>
      </c>
      <c r="G37" s="2638">
        <v>430.35</v>
      </c>
    </row>
    <row r="38" spans="3:7" ht="43.5">
      <c r="C38" s="2637" t="s">
        <v>2212</v>
      </c>
      <c r="D38" s="2638">
        <v>0</v>
      </c>
      <c r="E38" s="2638">
        <v>1597.17</v>
      </c>
      <c r="F38" s="2638"/>
      <c r="G38" s="2636"/>
    </row>
    <row r="39" spans="3:7" ht="29.25">
      <c r="C39" s="2637" t="s">
        <v>216</v>
      </c>
      <c r="D39" s="2638">
        <v>4643.1400000000003</v>
      </c>
      <c r="E39" s="2638">
        <v>5624.75</v>
      </c>
      <c r="F39" s="2638">
        <v>3879.15</v>
      </c>
      <c r="G39" s="2638">
        <v>-1744.58</v>
      </c>
    </row>
    <row r="40" spans="3:7" hidden="1">
      <c r="C40" s="2637"/>
      <c r="D40" s="2638"/>
      <c r="E40" s="2638"/>
      <c r="F40" s="2638"/>
      <c r="G40" s="2638"/>
    </row>
    <row r="41" spans="3:7" ht="59.25" customHeight="1">
      <c r="C41" s="6239" t="s">
        <v>217</v>
      </c>
      <c r="D41" s="6241"/>
      <c r="E41" s="6241"/>
      <c r="F41" s="6241">
        <v>5.89</v>
      </c>
      <c r="G41" s="6241"/>
    </row>
    <row r="42" spans="3:7">
      <c r="C42" s="6240"/>
      <c r="D42" s="6241"/>
      <c r="E42" s="6241"/>
      <c r="F42" s="6241"/>
      <c r="G42" s="6241"/>
    </row>
    <row r="43" spans="3:7" ht="29.25">
      <c r="C43" s="2637" t="s">
        <v>218</v>
      </c>
      <c r="D43" s="2638"/>
      <c r="E43" s="2638"/>
      <c r="F43" s="2638">
        <v>0.87</v>
      </c>
      <c r="G43" s="2638"/>
    </row>
    <row r="44" spans="3:7" ht="29.25" customHeight="1">
      <c r="C44" s="6242" t="s">
        <v>219</v>
      </c>
      <c r="D44" s="6241">
        <v>1894.29</v>
      </c>
      <c r="E44" s="6241">
        <v>0</v>
      </c>
      <c r="F44" s="6241">
        <v>573.73</v>
      </c>
      <c r="G44" s="6236">
        <v>573.73</v>
      </c>
    </row>
    <row r="45" spans="3:7">
      <c r="C45" s="6243"/>
      <c r="D45" s="6241"/>
      <c r="E45" s="6241"/>
      <c r="F45" s="6241"/>
      <c r="G45" s="6237"/>
    </row>
  </sheetData>
  <mergeCells count="14">
    <mergeCell ref="C2:D2"/>
    <mergeCell ref="D15:E17"/>
    <mergeCell ref="G44:G45"/>
    <mergeCell ref="G15:G17"/>
    <mergeCell ref="C41:C42"/>
    <mergeCell ref="D41:D42"/>
    <mergeCell ref="E41:E42"/>
    <mergeCell ref="F41:F42"/>
    <mergeCell ref="G41:G42"/>
    <mergeCell ref="C44:C45"/>
    <mergeCell ref="D44:D45"/>
    <mergeCell ref="E44:E45"/>
    <mergeCell ref="F44:F45"/>
    <mergeCell ref="C4:C12"/>
  </mergeCells>
  <pageMargins left="0.7" right="0.7" top="0.75" bottom="0.75" header="0.3" footer="0.3"/>
  <pageSetup paperSize="9" scale="62" orientation="portrait" r:id="rId1"/>
</worksheet>
</file>

<file path=xl/worksheets/sheet12.xml><?xml version="1.0" encoding="utf-8"?>
<worksheet xmlns="http://schemas.openxmlformats.org/spreadsheetml/2006/main" xmlns:r="http://schemas.openxmlformats.org/officeDocument/2006/relationships">
  <sheetPr codeName="Sheet12"/>
  <dimension ref="B1:K56"/>
  <sheetViews>
    <sheetView topLeftCell="A33" workbookViewId="0">
      <selection activeCell="O53" sqref="O53"/>
    </sheetView>
  </sheetViews>
  <sheetFormatPr defaultRowHeight="15"/>
  <cols>
    <col min="8" max="8" width="12.5703125" customWidth="1"/>
    <col min="10" max="10" width="13.140625" customWidth="1"/>
  </cols>
  <sheetData>
    <row r="1" spans="2:11" ht="15.75" thickBot="1"/>
    <row r="2" spans="2:11">
      <c r="B2" s="5402" t="s">
        <v>78</v>
      </c>
      <c r="C2" s="5403"/>
      <c r="D2" s="5403"/>
      <c r="E2" s="5403"/>
      <c r="F2" s="5404"/>
    </row>
    <row r="3" spans="2:11" ht="45" customHeight="1">
      <c r="B3" s="7" t="s">
        <v>1</v>
      </c>
      <c r="C3" s="7" t="s">
        <v>2</v>
      </c>
      <c r="D3" s="7" t="s">
        <v>62</v>
      </c>
      <c r="E3" s="7"/>
      <c r="F3" s="7" t="s">
        <v>4</v>
      </c>
      <c r="G3" s="7" t="s">
        <v>5</v>
      </c>
      <c r="H3" s="7" t="s">
        <v>6</v>
      </c>
      <c r="I3" s="7" t="s">
        <v>7</v>
      </c>
      <c r="J3" s="7" t="s">
        <v>8</v>
      </c>
      <c r="K3" s="7" t="s">
        <v>63</v>
      </c>
    </row>
    <row r="4" spans="2:11">
      <c r="B4" s="1"/>
      <c r="C4" s="1"/>
      <c r="D4" s="1" t="s">
        <v>12</v>
      </c>
      <c r="E4" s="1" t="s">
        <v>13</v>
      </c>
      <c r="F4" s="1"/>
      <c r="G4" s="1"/>
      <c r="H4" s="1"/>
      <c r="I4" s="1"/>
      <c r="J4" s="1"/>
      <c r="K4" s="1"/>
    </row>
    <row r="5" spans="2:11">
      <c r="B5" s="1" t="s">
        <v>14</v>
      </c>
      <c r="C5" s="1" t="s">
        <v>15</v>
      </c>
      <c r="D5" s="1">
        <v>299</v>
      </c>
      <c r="E5" s="1">
        <v>0</v>
      </c>
      <c r="F5" s="1">
        <v>5412</v>
      </c>
      <c r="G5" s="1">
        <v>2381.2800000000002</v>
      </c>
      <c r="H5" s="1">
        <v>737.8</v>
      </c>
      <c r="I5" s="1">
        <v>649.43999999999994</v>
      </c>
      <c r="J5" s="1">
        <v>3768.52</v>
      </c>
      <c r="K5" s="1">
        <v>0.69632668144863263</v>
      </c>
    </row>
    <row r="6" spans="2:11">
      <c r="B6" s="1" t="s">
        <v>16</v>
      </c>
      <c r="C6" s="1" t="s">
        <v>17</v>
      </c>
      <c r="D6" s="1">
        <v>280383</v>
      </c>
      <c r="E6" s="1">
        <v>14257</v>
      </c>
      <c r="F6" s="1">
        <v>54637158</v>
      </c>
      <c r="G6" s="1">
        <v>112555676.88000001</v>
      </c>
      <c r="H6" s="5399">
        <v>59046144.259999998</v>
      </c>
      <c r="I6" s="1">
        <v>30053813.900000002</v>
      </c>
      <c r="J6" s="3">
        <v>618753849.22000003</v>
      </c>
      <c r="K6" s="1">
        <v>5.1365175705039832</v>
      </c>
    </row>
    <row r="7" spans="2:11">
      <c r="B7" s="1"/>
      <c r="C7" s="1" t="s">
        <v>18</v>
      </c>
      <c r="D7" s="1">
        <v>327992</v>
      </c>
      <c r="E7" s="1">
        <v>23615</v>
      </c>
      <c r="F7" s="1">
        <v>35904583</v>
      </c>
      <c r="G7" s="1">
        <v>136798302.33000001</v>
      </c>
      <c r="H7" s="5400"/>
      <c r="I7" s="1">
        <v>36985438.789999999</v>
      </c>
      <c r="J7" s="4"/>
      <c r="K7" s="1"/>
    </row>
    <row r="8" spans="2:11">
      <c r="B8" s="1"/>
      <c r="C8" s="1" t="s">
        <v>19</v>
      </c>
      <c r="D8" s="1">
        <v>40126</v>
      </c>
      <c r="E8" s="1">
        <v>18011</v>
      </c>
      <c r="F8" s="1">
        <v>9042845</v>
      </c>
      <c r="G8" s="1">
        <v>48469706.080000006</v>
      </c>
      <c r="H8" s="5400"/>
      <c r="I8" s="1">
        <v>13023061.92</v>
      </c>
      <c r="J8" s="4"/>
      <c r="K8" s="1"/>
    </row>
    <row r="9" spans="2:11">
      <c r="B9" s="1"/>
      <c r="C9" s="1" t="s">
        <v>20</v>
      </c>
      <c r="D9" s="1">
        <v>10684</v>
      </c>
      <c r="E9" s="1">
        <v>26547</v>
      </c>
      <c r="F9" s="1">
        <v>20877155</v>
      </c>
      <c r="G9" s="1">
        <v>143216707.96000001</v>
      </c>
      <c r="H9" s="5401"/>
      <c r="I9" s="1">
        <v>38604997.100000001</v>
      </c>
      <c r="J9" s="5"/>
      <c r="K9" s="1"/>
    </row>
    <row r="10" spans="2:11">
      <c r="B10" s="1" t="s">
        <v>21</v>
      </c>
      <c r="C10" s="1" t="s">
        <v>22</v>
      </c>
      <c r="D10" s="1">
        <v>182738</v>
      </c>
      <c r="E10" s="1">
        <v>15435</v>
      </c>
      <c r="F10" s="1">
        <v>-2152</v>
      </c>
      <c r="G10" s="1">
        <v>-8608</v>
      </c>
      <c r="H10" s="5399">
        <v>63036840.030000001</v>
      </c>
      <c r="I10" s="1"/>
      <c r="J10" s="5399">
        <v>613988896.69000006</v>
      </c>
      <c r="K10" s="1">
        <v>9.2334136497947092</v>
      </c>
    </row>
    <row r="11" spans="2:11">
      <c r="B11" s="1"/>
      <c r="C11" s="1" t="s">
        <v>19</v>
      </c>
      <c r="D11" s="1">
        <v>19516</v>
      </c>
      <c r="E11" s="1">
        <v>5675</v>
      </c>
      <c r="F11" s="1">
        <v>-713</v>
      </c>
      <c r="G11" s="1">
        <v>-4278</v>
      </c>
      <c r="H11" s="5400"/>
      <c r="I11" s="1"/>
      <c r="J11" s="5400"/>
      <c r="K11" s="1"/>
    </row>
    <row r="12" spans="2:11">
      <c r="B12" s="1"/>
      <c r="C12" s="1" t="s">
        <v>23</v>
      </c>
      <c r="D12" s="1">
        <v>10819</v>
      </c>
      <c r="E12" s="1">
        <v>9477</v>
      </c>
      <c r="F12" s="1">
        <v>-703</v>
      </c>
      <c r="G12" s="1">
        <v>-4850.7</v>
      </c>
      <c r="H12" s="5400"/>
      <c r="I12" s="1"/>
      <c r="J12" s="5400"/>
      <c r="K12" s="1"/>
    </row>
    <row r="13" spans="2:11">
      <c r="B13" s="1"/>
      <c r="C13" s="1" t="s">
        <v>24</v>
      </c>
      <c r="D13" s="1">
        <v>2242</v>
      </c>
      <c r="E13" s="1">
        <v>12044</v>
      </c>
      <c r="F13" s="1">
        <v>1605</v>
      </c>
      <c r="G13" s="1">
        <v>12198</v>
      </c>
      <c r="H13" s="5400"/>
      <c r="I13" s="1"/>
      <c r="J13" s="5400"/>
      <c r="K13" s="1"/>
    </row>
    <row r="14" spans="2:11">
      <c r="B14" s="1"/>
      <c r="C14" s="1" t="s">
        <v>25</v>
      </c>
      <c r="D14" s="1">
        <v>202254</v>
      </c>
      <c r="E14" s="1">
        <v>21110</v>
      </c>
      <c r="F14" s="1">
        <v>40818222</v>
      </c>
      <c r="G14" s="1">
        <v>224500221</v>
      </c>
      <c r="H14" s="5400"/>
      <c r="I14" s="1">
        <v>60410968.560000002</v>
      </c>
      <c r="J14" s="5400"/>
      <c r="K14" s="1"/>
    </row>
    <row r="15" spans="2:11">
      <c r="B15" s="1"/>
      <c r="C15" s="1" t="s">
        <v>26</v>
      </c>
      <c r="D15" s="1">
        <v>13061</v>
      </c>
      <c r="E15" s="1">
        <v>21521</v>
      </c>
      <c r="F15" s="1">
        <v>25680155</v>
      </c>
      <c r="G15" s="1">
        <v>209550064.80000001</v>
      </c>
      <c r="H15" s="5401"/>
      <c r="I15" s="1">
        <v>56496341.000000007</v>
      </c>
      <c r="J15" s="5401"/>
      <c r="K15" s="1"/>
    </row>
    <row r="16" spans="2:11">
      <c r="B16" s="1" t="s">
        <v>27</v>
      </c>
      <c r="C16" s="1" t="s">
        <v>28</v>
      </c>
      <c r="D16" s="1">
        <v>65</v>
      </c>
      <c r="E16" s="1">
        <v>5935</v>
      </c>
      <c r="F16" s="1">
        <v>19702521</v>
      </c>
      <c r="G16" s="1">
        <v>157620168</v>
      </c>
      <c r="H16" s="1">
        <v>20904278.329999998</v>
      </c>
      <c r="I16" s="1">
        <v>42360420.149999999</v>
      </c>
      <c r="J16" s="1">
        <v>220884866.47999999</v>
      </c>
      <c r="K16" s="1">
        <v>11.210995104636609</v>
      </c>
    </row>
    <row r="17" spans="2:11">
      <c r="B17" s="1" t="s">
        <v>29</v>
      </c>
      <c r="C17" s="1" t="s">
        <v>28</v>
      </c>
      <c r="D17" s="1">
        <v>2</v>
      </c>
      <c r="E17" s="1">
        <v>2633</v>
      </c>
      <c r="F17" s="1">
        <v>37922318</v>
      </c>
      <c r="G17" s="1">
        <v>306791552.62</v>
      </c>
      <c r="H17" s="1">
        <v>33655400.869999997</v>
      </c>
      <c r="I17" s="1">
        <v>82670653.24000001</v>
      </c>
      <c r="J17" s="1">
        <v>423117606.73000002</v>
      </c>
      <c r="K17" s="1">
        <v>11.157482692118135</v>
      </c>
    </row>
    <row r="18" spans="2:11">
      <c r="B18" s="1" t="s">
        <v>30</v>
      </c>
      <c r="C18" s="1" t="s">
        <v>22</v>
      </c>
      <c r="D18" s="1">
        <v>2546</v>
      </c>
      <c r="E18" s="1">
        <v>3126</v>
      </c>
      <c r="F18" s="1">
        <v>150</v>
      </c>
      <c r="G18" s="1">
        <v>555</v>
      </c>
      <c r="H18" s="5399">
        <v>2955694.14</v>
      </c>
      <c r="I18" s="1"/>
      <c r="J18" s="5399">
        <v>31818187.039999999</v>
      </c>
      <c r="K18" s="1">
        <v>8.7837406622577987</v>
      </c>
    </row>
    <row r="19" spans="2:11">
      <c r="B19" s="1"/>
      <c r="C19" s="1" t="s">
        <v>19</v>
      </c>
      <c r="D19" s="1">
        <v>175</v>
      </c>
      <c r="E19" s="1">
        <v>731</v>
      </c>
      <c r="F19" s="1">
        <v>100</v>
      </c>
      <c r="G19" s="1">
        <v>550</v>
      </c>
      <c r="H19" s="5400"/>
      <c r="I19" s="1"/>
      <c r="J19" s="5400"/>
      <c r="K19" s="1"/>
    </row>
    <row r="20" spans="2:11">
      <c r="B20" s="1"/>
      <c r="C20" s="1" t="s">
        <v>23</v>
      </c>
      <c r="D20" s="1">
        <v>90</v>
      </c>
      <c r="E20" s="1">
        <v>1046</v>
      </c>
      <c r="F20" s="1">
        <v>250</v>
      </c>
      <c r="G20" s="1">
        <v>1487.5</v>
      </c>
      <c r="H20" s="5400"/>
      <c r="I20" s="1"/>
      <c r="J20" s="5400"/>
      <c r="K20" s="1"/>
    </row>
    <row r="21" spans="2:11">
      <c r="B21" s="1"/>
      <c r="C21" s="1" t="s">
        <v>24</v>
      </c>
      <c r="D21" s="1">
        <v>27</v>
      </c>
      <c r="E21" s="1">
        <v>1013</v>
      </c>
      <c r="F21" s="1">
        <v>2517</v>
      </c>
      <c r="G21" s="1">
        <v>16108.800000000001</v>
      </c>
      <c r="H21" s="5400"/>
      <c r="I21" s="1"/>
      <c r="J21" s="5400"/>
      <c r="K21" s="1"/>
    </row>
    <row r="22" spans="2:11">
      <c r="B22" s="1"/>
      <c r="C22" s="1" t="s">
        <v>25</v>
      </c>
      <c r="D22" s="1">
        <v>2721</v>
      </c>
      <c r="E22" s="1">
        <v>3857</v>
      </c>
      <c r="F22" s="1">
        <v>1748772</v>
      </c>
      <c r="G22" s="1">
        <v>9111102.1199999992</v>
      </c>
      <c r="H22" s="5400"/>
      <c r="I22" s="1">
        <v>2448280.7999999998</v>
      </c>
      <c r="J22" s="5400"/>
      <c r="K22" s="1"/>
    </row>
    <row r="23" spans="2:11">
      <c r="B23" s="1"/>
      <c r="C23" s="1" t="s">
        <v>26</v>
      </c>
      <c r="D23" s="1">
        <v>117</v>
      </c>
      <c r="E23" s="1">
        <v>2059</v>
      </c>
      <c r="F23" s="1">
        <v>1870607</v>
      </c>
      <c r="G23" s="1">
        <v>13618018.960000001</v>
      </c>
      <c r="H23" s="5401"/>
      <c r="I23" s="1">
        <v>3666389.7199999997</v>
      </c>
      <c r="J23" s="5401"/>
      <c r="K23" s="1"/>
    </row>
    <row r="24" spans="2:11">
      <c r="B24" s="1" t="s">
        <v>31</v>
      </c>
      <c r="C24" s="1" t="s">
        <v>28</v>
      </c>
      <c r="D24" s="1">
        <v>8</v>
      </c>
      <c r="E24" s="1">
        <v>1207</v>
      </c>
      <c r="F24" s="1">
        <v>4544314</v>
      </c>
      <c r="G24" s="1">
        <v>29628927.279999997</v>
      </c>
      <c r="H24" s="1">
        <v>5181132.33</v>
      </c>
      <c r="I24" s="1">
        <v>7952549.5</v>
      </c>
      <c r="J24" s="1">
        <v>42762609.109999999</v>
      </c>
      <c r="K24" s="1">
        <v>9.4101351953232104</v>
      </c>
    </row>
    <row r="25" spans="2:11">
      <c r="B25" s="1" t="s">
        <v>32</v>
      </c>
      <c r="C25" s="1" t="s">
        <v>28</v>
      </c>
      <c r="D25" s="1">
        <v>1</v>
      </c>
      <c r="E25" s="1">
        <v>125</v>
      </c>
      <c r="F25" s="1">
        <v>4125025</v>
      </c>
      <c r="G25" s="1">
        <v>26358909.75</v>
      </c>
      <c r="H25" s="1">
        <v>2680965.7999999998</v>
      </c>
      <c r="I25" s="1">
        <v>7095043</v>
      </c>
      <c r="J25" s="1">
        <v>36134918.549999997</v>
      </c>
      <c r="K25" s="1">
        <v>8.7599271640777925</v>
      </c>
    </row>
    <row r="26" spans="2:11">
      <c r="B26" s="1" t="s">
        <v>33</v>
      </c>
      <c r="C26" s="1" t="s">
        <v>28</v>
      </c>
      <c r="D26" s="1">
        <v>774</v>
      </c>
      <c r="E26" s="1">
        <v>147</v>
      </c>
      <c r="F26" s="1">
        <v>237709</v>
      </c>
      <c r="G26" s="1">
        <v>2793114.7</v>
      </c>
      <c r="H26" s="1">
        <v>341013.33</v>
      </c>
      <c r="I26" s="1">
        <v>751466.96000000008</v>
      </c>
      <c r="J26" s="1">
        <v>3885594.99</v>
      </c>
      <c r="K26" s="1">
        <v>16.346015464286165</v>
      </c>
    </row>
    <row r="27" spans="2:11">
      <c r="B27" s="1" t="s">
        <v>34</v>
      </c>
      <c r="C27" s="1" t="s">
        <v>28</v>
      </c>
      <c r="D27" s="1">
        <v>0</v>
      </c>
      <c r="E27" s="1">
        <v>0</v>
      </c>
      <c r="F27" s="1">
        <v>2423682.6</v>
      </c>
      <c r="G27" s="1">
        <v>13718043.516000001</v>
      </c>
      <c r="H27" s="1">
        <v>1798460.43</v>
      </c>
      <c r="I27" s="1">
        <v>3683997.5520000001</v>
      </c>
      <c r="J27" s="1">
        <v>19200501.498</v>
      </c>
      <c r="K27" s="1">
        <v>7.9220362839589633</v>
      </c>
    </row>
    <row r="28" spans="2:11">
      <c r="B28" s="1" t="s">
        <v>35</v>
      </c>
      <c r="C28" s="1" t="s">
        <v>28</v>
      </c>
      <c r="D28" s="1">
        <v>538</v>
      </c>
      <c r="E28" s="1">
        <v>125</v>
      </c>
      <c r="F28" s="1">
        <v>331786</v>
      </c>
      <c r="G28" s="1">
        <v>1877947.6400000001</v>
      </c>
      <c r="H28" s="1">
        <v>222484.15</v>
      </c>
      <c r="I28" s="1">
        <v>504478.88</v>
      </c>
      <c r="J28" s="1">
        <v>2604910.67</v>
      </c>
      <c r="K28" s="1">
        <v>7.8511771744437677</v>
      </c>
    </row>
    <row r="29" spans="2:11">
      <c r="B29" s="1" t="s">
        <v>36</v>
      </c>
      <c r="C29" s="1" t="s">
        <v>28</v>
      </c>
      <c r="D29" s="1">
        <v>1</v>
      </c>
      <c r="E29" s="1">
        <v>3</v>
      </c>
      <c r="F29" s="1">
        <v>249017</v>
      </c>
      <c r="G29" s="1">
        <v>804324.91</v>
      </c>
      <c r="H29" s="1">
        <v>62433.33</v>
      </c>
      <c r="I29" s="1">
        <v>216644.79</v>
      </c>
      <c r="J29" s="1">
        <v>1083403.03</v>
      </c>
      <c r="K29" s="1">
        <v>4.3507191476887117</v>
      </c>
    </row>
    <row r="30" spans="2:11">
      <c r="B30" s="1" t="s">
        <v>37</v>
      </c>
      <c r="C30" s="1" t="s">
        <v>28</v>
      </c>
      <c r="D30" s="1">
        <v>114</v>
      </c>
      <c r="E30" s="1">
        <v>1459</v>
      </c>
      <c r="F30" s="1">
        <v>2681652</v>
      </c>
      <c r="G30" s="1">
        <v>25180712.280000001</v>
      </c>
      <c r="H30" s="1">
        <v>1993982.56</v>
      </c>
      <c r="I30" s="1">
        <v>6784579.5599999996</v>
      </c>
      <c r="J30" s="1">
        <v>33959274.399999999</v>
      </c>
      <c r="K30" s="1">
        <v>12.663564996502156</v>
      </c>
    </row>
    <row r="31" spans="2:11">
      <c r="B31" s="1" t="s">
        <v>38</v>
      </c>
      <c r="C31" s="1" t="s">
        <v>28</v>
      </c>
      <c r="D31" s="1">
        <v>8</v>
      </c>
      <c r="E31" s="1">
        <v>15</v>
      </c>
      <c r="F31" s="1">
        <v>108591</v>
      </c>
      <c r="G31" s="1">
        <v>336632.10000000003</v>
      </c>
      <c r="H31" s="1">
        <v>3450</v>
      </c>
      <c r="I31" s="1">
        <v>90130.53</v>
      </c>
      <c r="J31" s="1">
        <v>430212.63</v>
      </c>
      <c r="K31" s="1">
        <v>3.9617705887228225</v>
      </c>
    </row>
    <row r="32" spans="2:11">
      <c r="B32" s="1" t="s">
        <v>39</v>
      </c>
      <c r="C32" s="1" t="s">
        <v>28</v>
      </c>
      <c r="D32" s="1">
        <v>1397</v>
      </c>
      <c r="E32" s="1">
        <v>567</v>
      </c>
      <c r="F32" s="1">
        <v>1186518</v>
      </c>
      <c r="G32" s="1">
        <v>8068322.3999999994</v>
      </c>
      <c r="H32" s="1">
        <v>486816.68</v>
      </c>
      <c r="I32" s="1">
        <v>2171327.94</v>
      </c>
      <c r="J32" s="1">
        <v>10726467.02</v>
      </c>
      <c r="K32" s="1">
        <v>9.0402901768030492</v>
      </c>
    </row>
    <row r="33" spans="2:11">
      <c r="B33" s="1" t="s">
        <v>40</v>
      </c>
      <c r="C33" s="1" t="s">
        <v>28</v>
      </c>
      <c r="D33" s="1">
        <v>3</v>
      </c>
      <c r="E33" s="1">
        <v>384</v>
      </c>
      <c r="F33" s="1">
        <v>4441261</v>
      </c>
      <c r="G33" s="1">
        <v>30200574.800000001</v>
      </c>
      <c r="H33" s="1">
        <v>3735769.19</v>
      </c>
      <c r="I33" s="1">
        <v>8127507.6299999999</v>
      </c>
      <c r="J33" s="1">
        <v>42063851.620000005</v>
      </c>
      <c r="K33" s="1">
        <v>9.4711505628694201</v>
      </c>
    </row>
    <row r="34" spans="2:11">
      <c r="B34" s="1" t="s">
        <v>41</v>
      </c>
      <c r="C34" s="1" t="s">
        <v>28</v>
      </c>
      <c r="D34" s="1">
        <v>0</v>
      </c>
      <c r="E34" s="1">
        <v>39</v>
      </c>
      <c r="F34" s="1">
        <v>13297391</v>
      </c>
      <c r="G34" s="1">
        <v>78454606.900000006</v>
      </c>
      <c r="H34" s="1">
        <v>8144167.5</v>
      </c>
      <c r="I34" s="1">
        <v>21142851.690000001</v>
      </c>
      <c r="J34" s="1">
        <v>107741626.09</v>
      </c>
      <c r="K34" s="1">
        <v>8.1024635652211785</v>
      </c>
    </row>
    <row r="35" spans="2:11">
      <c r="B35" s="1" t="s">
        <v>42</v>
      </c>
      <c r="C35" s="1" t="s">
        <v>28</v>
      </c>
      <c r="D35" s="1">
        <v>0</v>
      </c>
      <c r="E35" s="1">
        <v>101</v>
      </c>
      <c r="F35" s="1">
        <v>29214895</v>
      </c>
      <c r="G35" s="1">
        <v>185514583.25</v>
      </c>
      <c r="H35" s="1">
        <v>17583558.91</v>
      </c>
      <c r="I35" s="1">
        <v>49957470.449999996</v>
      </c>
      <c r="J35" s="1">
        <v>253055612.60999998</v>
      </c>
      <c r="K35" s="1">
        <v>8.6618696596376612</v>
      </c>
    </row>
    <row r="36" spans="2:11">
      <c r="B36" s="1" t="s">
        <v>43</v>
      </c>
      <c r="C36" s="1" t="s">
        <v>28</v>
      </c>
      <c r="D36" s="1">
        <v>0</v>
      </c>
      <c r="E36" s="1">
        <v>11</v>
      </c>
      <c r="F36" s="1">
        <v>2565540</v>
      </c>
      <c r="G36" s="1">
        <v>8722836</v>
      </c>
      <c r="H36" s="1">
        <v>1500358.8</v>
      </c>
      <c r="I36" s="1">
        <v>2334641.4</v>
      </c>
      <c r="J36" s="1">
        <v>12557836.200000001</v>
      </c>
      <c r="K36" s="1">
        <v>4.8948120863443956</v>
      </c>
    </row>
    <row r="37" spans="2:11">
      <c r="B37" s="1" t="s">
        <v>44</v>
      </c>
      <c r="C37" s="1" t="s">
        <v>28</v>
      </c>
      <c r="D37" s="1">
        <v>0</v>
      </c>
      <c r="E37" s="1">
        <v>5</v>
      </c>
      <c r="F37" s="1">
        <v>442437</v>
      </c>
      <c r="G37" s="1">
        <v>3827080.0500000003</v>
      </c>
      <c r="H37" s="1">
        <v>1000</v>
      </c>
      <c r="I37" s="1">
        <v>1030878.2100000001</v>
      </c>
      <c r="J37" s="1">
        <v>4858958.2600000007</v>
      </c>
      <c r="K37" s="1">
        <v>10.98226020879809</v>
      </c>
    </row>
    <row r="38" spans="2:11">
      <c r="B38" s="1" t="s">
        <v>45</v>
      </c>
      <c r="C38" s="1" t="s">
        <v>28</v>
      </c>
      <c r="D38" s="1">
        <v>0</v>
      </c>
      <c r="E38" s="1">
        <v>10</v>
      </c>
      <c r="F38" s="1">
        <v>4018275</v>
      </c>
      <c r="G38" s="1">
        <v>22502340</v>
      </c>
      <c r="H38" s="1">
        <v>1727906.42</v>
      </c>
      <c r="I38" s="1">
        <v>6067595.25</v>
      </c>
      <c r="J38" s="1">
        <v>30297841.670000002</v>
      </c>
      <c r="K38" s="1">
        <v>7.5400119877310541</v>
      </c>
    </row>
    <row r="39" spans="2:11">
      <c r="B39" s="1" t="s">
        <v>46</v>
      </c>
      <c r="C39" s="1"/>
      <c r="D39" s="1"/>
      <c r="E39" s="1"/>
      <c r="F39" s="1"/>
      <c r="G39" s="1">
        <v>0</v>
      </c>
      <c r="H39" s="1">
        <v>0</v>
      </c>
      <c r="I39" s="1">
        <v>0</v>
      </c>
      <c r="J39" s="1">
        <v>0</v>
      </c>
      <c r="K39" s="1"/>
    </row>
    <row r="40" spans="2:11">
      <c r="B40" s="1" t="s">
        <v>47</v>
      </c>
      <c r="C40" s="1"/>
      <c r="D40" s="1">
        <v>880548</v>
      </c>
      <c r="E40" s="1">
        <v>143743</v>
      </c>
      <c r="F40" s="1">
        <v>318078895.60000002</v>
      </c>
      <c r="G40" s="1">
        <v>1800236020.2060001</v>
      </c>
      <c r="H40" s="1">
        <v>225062594.86000007</v>
      </c>
      <c r="I40" s="1">
        <v>484632177.96199995</v>
      </c>
      <c r="J40" s="1">
        <v>2509930793.0280004</v>
      </c>
      <c r="K40" s="1">
        <v>7.8909064001038365</v>
      </c>
    </row>
    <row r="41" spans="2:11">
      <c r="B41" s="1"/>
      <c r="C41" s="1"/>
      <c r="D41" s="1"/>
      <c r="E41" s="1"/>
      <c r="F41" s="1"/>
      <c r="G41" s="1"/>
      <c r="H41" s="1"/>
      <c r="I41" s="1" t="s">
        <v>48</v>
      </c>
      <c r="J41" s="1">
        <v>10792554.810000001</v>
      </c>
      <c r="K41" s="1"/>
    </row>
    <row r="42" spans="2:11">
      <c r="B42" s="1"/>
      <c r="C42" s="1"/>
      <c r="D42" s="1"/>
      <c r="E42" s="1"/>
      <c r="F42" s="1"/>
      <c r="G42" s="1"/>
      <c r="H42" s="1"/>
      <c r="I42" s="1" t="s">
        <v>49</v>
      </c>
      <c r="J42" s="1">
        <v>-53135716.609999999</v>
      </c>
      <c r="K42" s="1"/>
    </row>
    <row r="43" spans="2:11">
      <c r="B43" s="1"/>
      <c r="C43" s="1"/>
      <c r="D43" s="1"/>
      <c r="E43" s="1"/>
      <c r="F43" s="1"/>
      <c r="G43" s="1"/>
      <c r="H43" s="1"/>
      <c r="I43" s="1" t="s">
        <v>50</v>
      </c>
      <c r="J43" s="1">
        <v>0</v>
      </c>
      <c r="K43" s="1"/>
    </row>
    <row r="44" spans="2:11">
      <c r="B44" s="1"/>
      <c r="C44" s="1"/>
      <c r="D44" s="1"/>
      <c r="E44" s="1"/>
      <c r="F44" s="1"/>
      <c r="G44" s="1"/>
      <c r="H44" s="1"/>
      <c r="I44" s="1" t="s">
        <v>51</v>
      </c>
      <c r="J44" s="1">
        <v>12001024.25</v>
      </c>
      <c r="K44" s="1"/>
    </row>
    <row r="45" spans="2:11">
      <c r="B45" s="1"/>
      <c r="C45" s="1"/>
      <c r="D45" s="1"/>
      <c r="E45" s="1"/>
      <c r="F45" s="1"/>
      <c r="G45" s="1"/>
      <c r="H45" s="1"/>
      <c r="I45" s="1" t="s">
        <v>52</v>
      </c>
      <c r="J45" s="1">
        <v>6663706.75</v>
      </c>
      <c r="K45" s="1"/>
    </row>
    <row r="46" spans="2:11">
      <c r="B46" s="1"/>
      <c r="C46" s="1"/>
      <c r="D46" s="1"/>
      <c r="E46" s="1"/>
      <c r="F46" s="1"/>
      <c r="G46" s="1"/>
      <c r="H46" s="1"/>
      <c r="I46" s="1" t="s">
        <v>47</v>
      </c>
      <c r="J46" s="1">
        <v>2486252362.2280002</v>
      </c>
      <c r="K46" s="1"/>
    </row>
    <row r="47" spans="2:11">
      <c r="B47" s="1"/>
      <c r="C47" s="1"/>
      <c r="D47" s="1"/>
      <c r="E47" s="1"/>
      <c r="F47" s="1"/>
      <c r="G47" s="1"/>
      <c r="H47" s="1"/>
      <c r="I47" s="1" t="s">
        <v>53</v>
      </c>
      <c r="J47" s="1">
        <v>-9722189.8800000008</v>
      </c>
      <c r="K47" s="1"/>
    </row>
    <row r="48" spans="2:11">
      <c r="B48" s="1"/>
      <c r="C48" s="1"/>
      <c r="D48" s="1"/>
      <c r="E48" s="1"/>
      <c r="F48" s="1"/>
      <c r="G48" s="1"/>
      <c r="H48" s="1"/>
      <c r="I48" s="1" t="s">
        <v>54</v>
      </c>
      <c r="J48" s="1">
        <v>-51408013.619999997</v>
      </c>
      <c r="K48" s="1"/>
    </row>
    <row r="49" spans="2:11">
      <c r="B49" s="1"/>
      <c r="C49" s="1"/>
      <c r="D49" s="1"/>
      <c r="E49" s="1"/>
      <c r="F49" s="1"/>
      <c r="G49" s="1"/>
      <c r="H49" s="1"/>
      <c r="I49" s="1" t="s">
        <v>55</v>
      </c>
      <c r="J49" s="1">
        <v>-302871.71999999997</v>
      </c>
      <c r="K49" s="1"/>
    </row>
    <row r="50" spans="2:11">
      <c r="B50" s="1"/>
      <c r="C50" s="1"/>
      <c r="D50" s="1"/>
      <c r="E50" s="1"/>
      <c r="F50" s="1"/>
      <c r="G50" s="1"/>
      <c r="H50" s="1"/>
      <c r="I50" s="1" t="s">
        <v>56</v>
      </c>
      <c r="J50" s="1">
        <v>-1009446.76</v>
      </c>
      <c r="K50" s="1"/>
    </row>
    <row r="51" spans="2:11">
      <c r="B51" s="1"/>
      <c r="C51" s="1"/>
      <c r="D51" s="1"/>
      <c r="E51" s="1"/>
      <c r="F51" s="1"/>
      <c r="G51" s="1"/>
      <c r="H51" s="1"/>
      <c r="I51" s="1" t="s">
        <v>57</v>
      </c>
      <c r="J51" s="1">
        <v>2423809840.2480001</v>
      </c>
      <c r="K51" s="1"/>
    </row>
    <row r="52" spans="2:11">
      <c r="B52" s="1"/>
      <c r="C52" s="1"/>
      <c r="D52" s="1"/>
      <c r="E52" s="1"/>
      <c r="F52" s="1"/>
      <c r="G52" s="1"/>
      <c r="H52" s="1"/>
      <c r="I52" s="1" t="s">
        <v>58</v>
      </c>
      <c r="J52" s="1">
        <v>7.8164643949046706</v>
      </c>
      <c r="K52" s="1"/>
    </row>
    <row r="53" spans="2:11">
      <c r="B53" s="1"/>
      <c r="C53" s="1"/>
      <c r="D53" s="1"/>
      <c r="E53" s="1"/>
      <c r="F53" s="1"/>
      <c r="G53" s="1"/>
      <c r="H53" s="1"/>
      <c r="I53" s="1" t="s">
        <v>59</v>
      </c>
      <c r="J53" s="1">
        <v>43452102.689999998</v>
      </c>
      <c r="K53" s="1"/>
    </row>
    <row r="54" spans="2:11">
      <c r="B54" s="1"/>
      <c r="C54" s="1"/>
      <c r="D54" s="1"/>
      <c r="E54" s="1"/>
      <c r="F54" s="1"/>
      <c r="G54" s="1"/>
      <c r="H54" s="1"/>
      <c r="I54" s="1" t="s">
        <v>60</v>
      </c>
      <c r="J54" s="1">
        <v>2529704464.9180002</v>
      </c>
      <c r="K54" s="1"/>
    </row>
    <row r="55" spans="2:11">
      <c r="B55" s="1"/>
      <c r="C55" s="1"/>
      <c r="D55" s="1"/>
      <c r="E55" s="1"/>
      <c r="F55" s="1"/>
      <c r="G55" s="1"/>
      <c r="H55" s="1"/>
      <c r="I55" s="1" t="s">
        <v>58</v>
      </c>
      <c r="J55" s="1"/>
      <c r="K55" s="1"/>
    </row>
    <row r="56" spans="2:11">
      <c r="B56" s="1"/>
      <c r="C56" s="1"/>
      <c r="D56" s="1"/>
      <c r="E56" s="1"/>
      <c r="F56" s="1"/>
      <c r="G56" s="1"/>
      <c r="H56" s="1"/>
      <c r="I56" s="1"/>
      <c r="J56" s="1">
        <v>7.9530723349191605</v>
      </c>
      <c r="K56" s="1"/>
    </row>
  </sheetData>
  <mergeCells count="6">
    <mergeCell ref="H18:H23"/>
    <mergeCell ref="J18:J23"/>
    <mergeCell ref="B2:F2"/>
    <mergeCell ref="H6:H9"/>
    <mergeCell ref="H10:H15"/>
    <mergeCell ref="J10:J15"/>
  </mergeCells>
  <pageMargins left="0.7" right="0.7" top="0.75" bottom="0.75" header="0.3" footer="0.3"/>
</worksheet>
</file>

<file path=xl/worksheets/sheet120.xml><?xml version="1.0" encoding="utf-8"?>
<worksheet xmlns="http://schemas.openxmlformats.org/spreadsheetml/2006/main" xmlns:r="http://schemas.openxmlformats.org/officeDocument/2006/relationships">
  <sheetPr codeName="Sheet99"/>
  <dimension ref="A1:O91"/>
  <sheetViews>
    <sheetView showGridLines="0" zoomScale="80" zoomScaleNormal="80" workbookViewId="0">
      <selection activeCell="Q13" sqref="Q13"/>
    </sheetView>
  </sheetViews>
  <sheetFormatPr defaultRowHeight="15"/>
  <cols>
    <col min="1" max="1" width="1.85546875" style="179" customWidth="1"/>
    <col min="2" max="2" width="15.28515625" style="180" customWidth="1"/>
    <col min="3" max="3" width="4.28515625" style="179" customWidth="1"/>
    <col min="4" max="4" width="36.28515625" style="179" customWidth="1"/>
    <col min="5" max="5" width="16.28515625" style="179" customWidth="1"/>
    <col min="6" max="6" width="16.140625" style="180" customWidth="1"/>
    <col min="7" max="7" width="17" style="180" customWidth="1"/>
    <col min="8" max="8" width="4.28515625" style="179" customWidth="1"/>
    <col min="9" max="9" width="33.7109375" style="179" customWidth="1"/>
    <col min="10" max="11" width="17" style="180" customWidth="1"/>
    <col min="12" max="12" width="1.5703125" style="179" customWidth="1"/>
    <col min="13" max="13" width="4.28515625" style="179" customWidth="1"/>
    <col min="14" max="256" width="9.140625" style="179"/>
    <col min="257" max="257" width="1.85546875" style="179" customWidth="1"/>
    <col min="258" max="258" width="15.28515625" style="179" customWidth="1"/>
    <col min="259" max="259" width="4.28515625" style="179" customWidth="1"/>
    <col min="260" max="260" width="36.28515625" style="179" customWidth="1"/>
    <col min="261" max="261" width="16.28515625" style="179" customWidth="1"/>
    <col min="262" max="262" width="16.140625" style="179" customWidth="1"/>
    <col min="263" max="263" width="17" style="179" customWidth="1"/>
    <col min="264" max="264" width="4.28515625" style="179" customWidth="1"/>
    <col min="265" max="265" width="33.7109375" style="179" customWidth="1"/>
    <col min="266" max="267" width="17" style="179" customWidth="1"/>
    <col min="268" max="268" width="1.5703125" style="179" customWidth="1"/>
    <col min="269" max="269" width="4.28515625" style="179" customWidth="1"/>
    <col min="270" max="512" width="9.140625" style="179"/>
    <col min="513" max="513" width="1.85546875" style="179" customWidth="1"/>
    <col min="514" max="514" width="15.28515625" style="179" customWidth="1"/>
    <col min="515" max="515" width="4.28515625" style="179" customWidth="1"/>
    <col min="516" max="516" width="36.28515625" style="179" customWidth="1"/>
    <col min="517" max="517" width="16.28515625" style="179" customWidth="1"/>
    <col min="518" max="518" width="16.140625" style="179" customWidth="1"/>
    <col min="519" max="519" width="17" style="179" customWidth="1"/>
    <col min="520" max="520" width="4.28515625" style="179" customWidth="1"/>
    <col min="521" max="521" width="33.7109375" style="179" customWidth="1"/>
    <col min="522" max="523" width="17" style="179" customWidth="1"/>
    <col min="524" max="524" width="1.5703125" style="179" customWidth="1"/>
    <col min="525" max="525" width="4.28515625" style="179" customWidth="1"/>
    <col min="526" max="768" width="9.140625" style="179"/>
    <col min="769" max="769" width="1.85546875" style="179" customWidth="1"/>
    <col min="770" max="770" width="15.28515625" style="179" customWidth="1"/>
    <col min="771" max="771" width="4.28515625" style="179" customWidth="1"/>
    <col min="772" max="772" width="36.28515625" style="179" customWidth="1"/>
    <col min="773" max="773" width="16.28515625" style="179" customWidth="1"/>
    <col min="774" max="774" width="16.140625" style="179" customWidth="1"/>
    <col min="775" max="775" width="17" style="179" customWidth="1"/>
    <col min="776" max="776" width="4.28515625" style="179" customWidth="1"/>
    <col min="777" max="777" width="33.7109375" style="179" customWidth="1"/>
    <col min="778" max="779" width="17" style="179" customWidth="1"/>
    <col min="780" max="780" width="1.5703125" style="179" customWidth="1"/>
    <col min="781" max="781" width="4.28515625" style="179" customWidth="1"/>
    <col min="782" max="1024" width="9.140625" style="179"/>
    <col min="1025" max="1025" width="1.85546875" style="179" customWidth="1"/>
    <col min="1026" max="1026" width="15.28515625" style="179" customWidth="1"/>
    <col min="1027" max="1027" width="4.28515625" style="179" customWidth="1"/>
    <col min="1028" max="1028" width="36.28515625" style="179" customWidth="1"/>
    <col min="1029" max="1029" width="16.28515625" style="179" customWidth="1"/>
    <col min="1030" max="1030" width="16.140625" style="179" customWidth="1"/>
    <col min="1031" max="1031" width="17" style="179" customWidth="1"/>
    <col min="1032" max="1032" width="4.28515625" style="179" customWidth="1"/>
    <col min="1033" max="1033" width="33.7109375" style="179" customWidth="1"/>
    <col min="1034" max="1035" width="17" style="179" customWidth="1"/>
    <col min="1036" max="1036" width="1.5703125" style="179" customWidth="1"/>
    <col min="1037" max="1037" width="4.28515625" style="179" customWidth="1"/>
    <col min="1038" max="1280" width="9.140625" style="179"/>
    <col min="1281" max="1281" width="1.85546875" style="179" customWidth="1"/>
    <col min="1282" max="1282" width="15.28515625" style="179" customWidth="1"/>
    <col min="1283" max="1283" width="4.28515625" style="179" customWidth="1"/>
    <col min="1284" max="1284" width="36.28515625" style="179" customWidth="1"/>
    <col min="1285" max="1285" width="16.28515625" style="179" customWidth="1"/>
    <col min="1286" max="1286" width="16.140625" style="179" customWidth="1"/>
    <col min="1287" max="1287" width="17" style="179" customWidth="1"/>
    <col min="1288" max="1288" width="4.28515625" style="179" customWidth="1"/>
    <col min="1289" max="1289" width="33.7109375" style="179" customWidth="1"/>
    <col min="1290" max="1291" width="17" style="179" customWidth="1"/>
    <col min="1292" max="1292" width="1.5703125" style="179" customWidth="1"/>
    <col min="1293" max="1293" width="4.28515625" style="179" customWidth="1"/>
    <col min="1294" max="1536" width="9.140625" style="179"/>
    <col min="1537" max="1537" width="1.85546875" style="179" customWidth="1"/>
    <col min="1538" max="1538" width="15.28515625" style="179" customWidth="1"/>
    <col min="1539" max="1539" width="4.28515625" style="179" customWidth="1"/>
    <col min="1540" max="1540" width="36.28515625" style="179" customWidth="1"/>
    <col min="1541" max="1541" width="16.28515625" style="179" customWidth="1"/>
    <col min="1542" max="1542" width="16.140625" style="179" customWidth="1"/>
    <col min="1543" max="1543" width="17" style="179" customWidth="1"/>
    <col min="1544" max="1544" width="4.28515625" style="179" customWidth="1"/>
    <col min="1545" max="1545" width="33.7109375" style="179" customWidth="1"/>
    <col min="1546" max="1547" width="17" style="179" customWidth="1"/>
    <col min="1548" max="1548" width="1.5703125" style="179" customWidth="1"/>
    <col min="1549" max="1549" width="4.28515625" style="179" customWidth="1"/>
    <col min="1550" max="1792" width="9.140625" style="179"/>
    <col min="1793" max="1793" width="1.85546875" style="179" customWidth="1"/>
    <col min="1794" max="1794" width="15.28515625" style="179" customWidth="1"/>
    <col min="1795" max="1795" width="4.28515625" style="179" customWidth="1"/>
    <col min="1796" max="1796" width="36.28515625" style="179" customWidth="1"/>
    <col min="1797" max="1797" width="16.28515625" style="179" customWidth="1"/>
    <col min="1798" max="1798" width="16.140625" style="179" customWidth="1"/>
    <col min="1799" max="1799" width="17" style="179" customWidth="1"/>
    <col min="1800" max="1800" width="4.28515625" style="179" customWidth="1"/>
    <col min="1801" max="1801" width="33.7109375" style="179" customWidth="1"/>
    <col min="1802" max="1803" width="17" style="179" customWidth="1"/>
    <col min="1804" max="1804" width="1.5703125" style="179" customWidth="1"/>
    <col min="1805" max="1805" width="4.28515625" style="179" customWidth="1"/>
    <col min="1806" max="2048" width="9.140625" style="179"/>
    <col min="2049" max="2049" width="1.85546875" style="179" customWidth="1"/>
    <col min="2050" max="2050" width="15.28515625" style="179" customWidth="1"/>
    <col min="2051" max="2051" width="4.28515625" style="179" customWidth="1"/>
    <col min="2052" max="2052" width="36.28515625" style="179" customWidth="1"/>
    <col min="2053" max="2053" width="16.28515625" style="179" customWidth="1"/>
    <col min="2054" max="2054" width="16.140625" style="179" customWidth="1"/>
    <col min="2055" max="2055" width="17" style="179" customWidth="1"/>
    <col min="2056" max="2056" width="4.28515625" style="179" customWidth="1"/>
    <col min="2057" max="2057" width="33.7109375" style="179" customWidth="1"/>
    <col min="2058" max="2059" width="17" style="179" customWidth="1"/>
    <col min="2060" max="2060" width="1.5703125" style="179" customWidth="1"/>
    <col min="2061" max="2061" width="4.28515625" style="179" customWidth="1"/>
    <col min="2062" max="2304" width="9.140625" style="179"/>
    <col min="2305" max="2305" width="1.85546875" style="179" customWidth="1"/>
    <col min="2306" max="2306" width="15.28515625" style="179" customWidth="1"/>
    <col min="2307" max="2307" width="4.28515625" style="179" customWidth="1"/>
    <col min="2308" max="2308" width="36.28515625" style="179" customWidth="1"/>
    <col min="2309" max="2309" width="16.28515625" style="179" customWidth="1"/>
    <col min="2310" max="2310" width="16.140625" style="179" customWidth="1"/>
    <col min="2311" max="2311" width="17" style="179" customWidth="1"/>
    <col min="2312" max="2312" width="4.28515625" style="179" customWidth="1"/>
    <col min="2313" max="2313" width="33.7109375" style="179" customWidth="1"/>
    <col min="2314" max="2315" width="17" style="179" customWidth="1"/>
    <col min="2316" max="2316" width="1.5703125" style="179" customWidth="1"/>
    <col min="2317" max="2317" width="4.28515625" style="179" customWidth="1"/>
    <col min="2318" max="2560" width="9.140625" style="179"/>
    <col min="2561" max="2561" width="1.85546875" style="179" customWidth="1"/>
    <col min="2562" max="2562" width="15.28515625" style="179" customWidth="1"/>
    <col min="2563" max="2563" width="4.28515625" style="179" customWidth="1"/>
    <col min="2564" max="2564" width="36.28515625" style="179" customWidth="1"/>
    <col min="2565" max="2565" width="16.28515625" style="179" customWidth="1"/>
    <col min="2566" max="2566" width="16.140625" style="179" customWidth="1"/>
    <col min="2567" max="2567" width="17" style="179" customWidth="1"/>
    <col min="2568" max="2568" width="4.28515625" style="179" customWidth="1"/>
    <col min="2569" max="2569" width="33.7109375" style="179" customWidth="1"/>
    <col min="2570" max="2571" width="17" style="179" customWidth="1"/>
    <col min="2572" max="2572" width="1.5703125" style="179" customWidth="1"/>
    <col min="2573" max="2573" width="4.28515625" style="179" customWidth="1"/>
    <col min="2574" max="2816" width="9.140625" style="179"/>
    <col min="2817" max="2817" width="1.85546875" style="179" customWidth="1"/>
    <col min="2818" max="2818" width="15.28515625" style="179" customWidth="1"/>
    <col min="2819" max="2819" width="4.28515625" style="179" customWidth="1"/>
    <col min="2820" max="2820" width="36.28515625" style="179" customWidth="1"/>
    <col min="2821" max="2821" width="16.28515625" style="179" customWidth="1"/>
    <col min="2822" max="2822" width="16.140625" style="179" customWidth="1"/>
    <col min="2823" max="2823" width="17" style="179" customWidth="1"/>
    <col min="2824" max="2824" width="4.28515625" style="179" customWidth="1"/>
    <col min="2825" max="2825" width="33.7109375" style="179" customWidth="1"/>
    <col min="2826" max="2827" width="17" style="179" customWidth="1"/>
    <col min="2828" max="2828" width="1.5703125" style="179" customWidth="1"/>
    <col min="2829" max="2829" width="4.28515625" style="179" customWidth="1"/>
    <col min="2830" max="3072" width="9.140625" style="179"/>
    <col min="3073" max="3073" width="1.85546875" style="179" customWidth="1"/>
    <col min="3074" max="3074" width="15.28515625" style="179" customWidth="1"/>
    <col min="3075" max="3075" width="4.28515625" style="179" customWidth="1"/>
    <col min="3076" max="3076" width="36.28515625" style="179" customWidth="1"/>
    <col min="3077" max="3077" width="16.28515625" style="179" customWidth="1"/>
    <col min="3078" max="3078" width="16.140625" style="179" customWidth="1"/>
    <col min="3079" max="3079" width="17" style="179" customWidth="1"/>
    <col min="3080" max="3080" width="4.28515625" style="179" customWidth="1"/>
    <col min="3081" max="3081" width="33.7109375" style="179" customWidth="1"/>
    <col min="3082" max="3083" width="17" style="179" customWidth="1"/>
    <col min="3084" max="3084" width="1.5703125" style="179" customWidth="1"/>
    <col min="3085" max="3085" width="4.28515625" style="179" customWidth="1"/>
    <col min="3086" max="3328" width="9.140625" style="179"/>
    <col min="3329" max="3329" width="1.85546875" style="179" customWidth="1"/>
    <col min="3330" max="3330" width="15.28515625" style="179" customWidth="1"/>
    <col min="3331" max="3331" width="4.28515625" style="179" customWidth="1"/>
    <col min="3332" max="3332" width="36.28515625" style="179" customWidth="1"/>
    <col min="3333" max="3333" width="16.28515625" style="179" customWidth="1"/>
    <col min="3334" max="3334" width="16.140625" style="179" customWidth="1"/>
    <col min="3335" max="3335" width="17" style="179" customWidth="1"/>
    <col min="3336" max="3336" width="4.28515625" style="179" customWidth="1"/>
    <col min="3337" max="3337" width="33.7109375" style="179" customWidth="1"/>
    <col min="3338" max="3339" width="17" style="179" customWidth="1"/>
    <col min="3340" max="3340" width="1.5703125" style="179" customWidth="1"/>
    <col min="3341" max="3341" width="4.28515625" style="179" customWidth="1"/>
    <col min="3342" max="3584" width="9.140625" style="179"/>
    <col min="3585" max="3585" width="1.85546875" style="179" customWidth="1"/>
    <col min="3586" max="3586" width="15.28515625" style="179" customWidth="1"/>
    <col min="3587" max="3587" width="4.28515625" style="179" customWidth="1"/>
    <col min="3588" max="3588" width="36.28515625" style="179" customWidth="1"/>
    <col min="3589" max="3589" width="16.28515625" style="179" customWidth="1"/>
    <col min="3590" max="3590" width="16.140625" style="179" customWidth="1"/>
    <col min="3591" max="3591" width="17" style="179" customWidth="1"/>
    <col min="3592" max="3592" width="4.28515625" style="179" customWidth="1"/>
    <col min="3593" max="3593" width="33.7109375" style="179" customWidth="1"/>
    <col min="3594" max="3595" width="17" style="179" customWidth="1"/>
    <col min="3596" max="3596" width="1.5703125" style="179" customWidth="1"/>
    <col min="3597" max="3597" width="4.28515625" style="179" customWidth="1"/>
    <col min="3598" max="3840" width="9.140625" style="179"/>
    <col min="3841" max="3841" width="1.85546875" style="179" customWidth="1"/>
    <col min="3842" max="3842" width="15.28515625" style="179" customWidth="1"/>
    <col min="3843" max="3843" width="4.28515625" style="179" customWidth="1"/>
    <col min="3844" max="3844" width="36.28515625" style="179" customWidth="1"/>
    <col min="3845" max="3845" width="16.28515625" style="179" customWidth="1"/>
    <col min="3846" max="3846" width="16.140625" style="179" customWidth="1"/>
    <col min="3847" max="3847" width="17" style="179" customWidth="1"/>
    <col min="3848" max="3848" width="4.28515625" style="179" customWidth="1"/>
    <col min="3849" max="3849" width="33.7109375" style="179" customWidth="1"/>
    <col min="3850" max="3851" width="17" style="179" customWidth="1"/>
    <col min="3852" max="3852" width="1.5703125" style="179" customWidth="1"/>
    <col min="3853" max="3853" width="4.28515625" style="179" customWidth="1"/>
    <col min="3854" max="4096" width="9.140625" style="179"/>
    <col min="4097" max="4097" width="1.85546875" style="179" customWidth="1"/>
    <col min="4098" max="4098" width="15.28515625" style="179" customWidth="1"/>
    <col min="4099" max="4099" width="4.28515625" style="179" customWidth="1"/>
    <col min="4100" max="4100" width="36.28515625" style="179" customWidth="1"/>
    <col min="4101" max="4101" width="16.28515625" style="179" customWidth="1"/>
    <col min="4102" max="4102" width="16.140625" style="179" customWidth="1"/>
    <col min="4103" max="4103" width="17" style="179" customWidth="1"/>
    <col min="4104" max="4104" width="4.28515625" style="179" customWidth="1"/>
    <col min="4105" max="4105" width="33.7109375" style="179" customWidth="1"/>
    <col min="4106" max="4107" width="17" style="179" customWidth="1"/>
    <col min="4108" max="4108" width="1.5703125" style="179" customWidth="1"/>
    <col min="4109" max="4109" width="4.28515625" style="179" customWidth="1"/>
    <col min="4110" max="4352" width="9.140625" style="179"/>
    <col min="4353" max="4353" width="1.85546875" style="179" customWidth="1"/>
    <col min="4354" max="4354" width="15.28515625" style="179" customWidth="1"/>
    <col min="4355" max="4355" width="4.28515625" style="179" customWidth="1"/>
    <col min="4356" max="4356" width="36.28515625" style="179" customWidth="1"/>
    <col min="4357" max="4357" width="16.28515625" style="179" customWidth="1"/>
    <col min="4358" max="4358" width="16.140625" style="179" customWidth="1"/>
    <col min="4359" max="4359" width="17" style="179" customWidth="1"/>
    <col min="4360" max="4360" width="4.28515625" style="179" customWidth="1"/>
    <col min="4361" max="4361" width="33.7109375" style="179" customWidth="1"/>
    <col min="4362" max="4363" width="17" style="179" customWidth="1"/>
    <col min="4364" max="4364" width="1.5703125" style="179" customWidth="1"/>
    <col min="4365" max="4365" width="4.28515625" style="179" customWidth="1"/>
    <col min="4366" max="4608" width="9.140625" style="179"/>
    <col min="4609" max="4609" width="1.85546875" style="179" customWidth="1"/>
    <col min="4610" max="4610" width="15.28515625" style="179" customWidth="1"/>
    <col min="4611" max="4611" width="4.28515625" style="179" customWidth="1"/>
    <col min="4612" max="4612" width="36.28515625" style="179" customWidth="1"/>
    <col min="4613" max="4613" width="16.28515625" style="179" customWidth="1"/>
    <col min="4614" max="4614" width="16.140625" style="179" customWidth="1"/>
    <col min="4615" max="4615" width="17" style="179" customWidth="1"/>
    <col min="4616" max="4616" width="4.28515625" style="179" customWidth="1"/>
    <col min="4617" max="4617" width="33.7109375" style="179" customWidth="1"/>
    <col min="4618" max="4619" width="17" style="179" customWidth="1"/>
    <col min="4620" max="4620" width="1.5703125" style="179" customWidth="1"/>
    <col min="4621" max="4621" width="4.28515625" style="179" customWidth="1"/>
    <col min="4622" max="4864" width="9.140625" style="179"/>
    <col min="4865" max="4865" width="1.85546875" style="179" customWidth="1"/>
    <col min="4866" max="4866" width="15.28515625" style="179" customWidth="1"/>
    <col min="4867" max="4867" width="4.28515625" style="179" customWidth="1"/>
    <col min="4868" max="4868" width="36.28515625" style="179" customWidth="1"/>
    <col min="4869" max="4869" width="16.28515625" style="179" customWidth="1"/>
    <col min="4870" max="4870" width="16.140625" style="179" customWidth="1"/>
    <col min="4871" max="4871" width="17" style="179" customWidth="1"/>
    <col min="4872" max="4872" width="4.28515625" style="179" customWidth="1"/>
    <col min="4873" max="4873" width="33.7109375" style="179" customWidth="1"/>
    <col min="4874" max="4875" width="17" style="179" customWidth="1"/>
    <col min="4876" max="4876" width="1.5703125" style="179" customWidth="1"/>
    <col min="4877" max="4877" width="4.28515625" style="179" customWidth="1"/>
    <col min="4878" max="5120" width="9.140625" style="179"/>
    <col min="5121" max="5121" width="1.85546875" style="179" customWidth="1"/>
    <col min="5122" max="5122" width="15.28515625" style="179" customWidth="1"/>
    <col min="5123" max="5123" width="4.28515625" style="179" customWidth="1"/>
    <col min="5124" max="5124" width="36.28515625" style="179" customWidth="1"/>
    <col min="5125" max="5125" width="16.28515625" style="179" customWidth="1"/>
    <col min="5126" max="5126" width="16.140625" style="179" customWidth="1"/>
    <col min="5127" max="5127" width="17" style="179" customWidth="1"/>
    <col min="5128" max="5128" width="4.28515625" style="179" customWidth="1"/>
    <col min="5129" max="5129" width="33.7109375" style="179" customWidth="1"/>
    <col min="5130" max="5131" width="17" style="179" customWidth="1"/>
    <col min="5132" max="5132" width="1.5703125" style="179" customWidth="1"/>
    <col min="5133" max="5133" width="4.28515625" style="179" customWidth="1"/>
    <col min="5134" max="5376" width="9.140625" style="179"/>
    <col min="5377" max="5377" width="1.85546875" style="179" customWidth="1"/>
    <col min="5378" max="5378" width="15.28515625" style="179" customWidth="1"/>
    <col min="5379" max="5379" width="4.28515625" style="179" customWidth="1"/>
    <col min="5380" max="5380" width="36.28515625" style="179" customWidth="1"/>
    <col min="5381" max="5381" width="16.28515625" style="179" customWidth="1"/>
    <col min="5382" max="5382" width="16.140625" style="179" customWidth="1"/>
    <col min="5383" max="5383" width="17" style="179" customWidth="1"/>
    <col min="5384" max="5384" width="4.28515625" style="179" customWidth="1"/>
    <col min="5385" max="5385" width="33.7109375" style="179" customWidth="1"/>
    <col min="5386" max="5387" width="17" style="179" customWidth="1"/>
    <col min="5388" max="5388" width="1.5703125" style="179" customWidth="1"/>
    <col min="5389" max="5389" width="4.28515625" style="179" customWidth="1"/>
    <col min="5390" max="5632" width="9.140625" style="179"/>
    <col min="5633" max="5633" width="1.85546875" style="179" customWidth="1"/>
    <col min="5634" max="5634" width="15.28515625" style="179" customWidth="1"/>
    <col min="5635" max="5635" width="4.28515625" style="179" customWidth="1"/>
    <col min="5636" max="5636" width="36.28515625" style="179" customWidth="1"/>
    <col min="5637" max="5637" width="16.28515625" style="179" customWidth="1"/>
    <col min="5638" max="5638" width="16.140625" style="179" customWidth="1"/>
    <col min="5639" max="5639" width="17" style="179" customWidth="1"/>
    <col min="5640" max="5640" width="4.28515625" style="179" customWidth="1"/>
    <col min="5641" max="5641" width="33.7109375" style="179" customWidth="1"/>
    <col min="5642" max="5643" width="17" style="179" customWidth="1"/>
    <col min="5644" max="5644" width="1.5703125" style="179" customWidth="1"/>
    <col min="5645" max="5645" width="4.28515625" style="179" customWidth="1"/>
    <col min="5646" max="5888" width="9.140625" style="179"/>
    <col min="5889" max="5889" width="1.85546875" style="179" customWidth="1"/>
    <col min="5890" max="5890" width="15.28515625" style="179" customWidth="1"/>
    <col min="5891" max="5891" width="4.28515625" style="179" customWidth="1"/>
    <col min="5892" max="5892" width="36.28515625" style="179" customWidth="1"/>
    <col min="5893" max="5893" width="16.28515625" style="179" customWidth="1"/>
    <col min="5894" max="5894" width="16.140625" style="179" customWidth="1"/>
    <col min="5895" max="5895" width="17" style="179" customWidth="1"/>
    <col min="5896" max="5896" width="4.28515625" style="179" customWidth="1"/>
    <col min="5897" max="5897" width="33.7109375" style="179" customWidth="1"/>
    <col min="5898" max="5899" width="17" style="179" customWidth="1"/>
    <col min="5900" max="5900" width="1.5703125" style="179" customWidth="1"/>
    <col min="5901" max="5901" width="4.28515625" style="179" customWidth="1"/>
    <col min="5902" max="6144" width="9.140625" style="179"/>
    <col min="6145" max="6145" width="1.85546875" style="179" customWidth="1"/>
    <col min="6146" max="6146" width="15.28515625" style="179" customWidth="1"/>
    <col min="6147" max="6147" width="4.28515625" style="179" customWidth="1"/>
    <col min="6148" max="6148" width="36.28515625" style="179" customWidth="1"/>
    <col min="6149" max="6149" width="16.28515625" style="179" customWidth="1"/>
    <col min="6150" max="6150" width="16.140625" style="179" customWidth="1"/>
    <col min="6151" max="6151" width="17" style="179" customWidth="1"/>
    <col min="6152" max="6152" width="4.28515625" style="179" customWidth="1"/>
    <col min="6153" max="6153" width="33.7109375" style="179" customWidth="1"/>
    <col min="6154" max="6155" width="17" style="179" customWidth="1"/>
    <col min="6156" max="6156" width="1.5703125" style="179" customWidth="1"/>
    <col min="6157" max="6157" width="4.28515625" style="179" customWidth="1"/>
    <col min="6158" max="6400" width="9.140625" style="179"/>
    <col min="6401" max="6401" width="1.85546875" style="179" customWidth="1"/>
    <col min="6402" max="6402" width="15.28515625" style="179" customWidth="1"/>
    <col min="6403" max="6403" width="4.28515625" style="179" customWidth="1"/>
    <col min="6404" max="6404" width="36.28515625" style="179" customWidth="1"/>
    <col min="6405" max="6405" width="16.28515625" style="179" customWidth="1"/>
    <col min="6406" max="6406" width="16.140625" style="179" customWidth="1"/>
    <col min="6407" max="6407" width="17" style="179" customWidth="1"/>
    <col min="6408" max="6408" width="4.28515625" style="179" customWidth="1"/>
    <col min="6409" max="6409" width="33.7109375" style="179" customWidth="1"/>
    <col min="6410" max="6411" width="17" style="179" customWidth="1"/>
    <col min="6412" max="6412" width="1.5703125" style="179" customWidth="1"/>
    <col min="6413" max="6413" width="4.28515625" style="179" customWidth="1"/>
    <col min="6414" max="6656" width="9.140625" style="179"/>
    <col min="6657" max="6657" width="1.85546875" style="179" customWidth="1"/>
    <col min="6658" max="6658" width="15.28515625" style="179" customWidth="1"/>
    <col min="6659" max="6659" width="4.28515625" style="179" customWidth="1"/>
    <col min="6660" max="6660" width="36.28515625" style="179" customWidth="1"/>
    <col min="6661" max="6661" width="16.28515625" style="179" customWidth="1"/>
    <col min="6662" max="6662" width="16.140625" style="179" customWidth="1"/>
    <col min="6663" max="6663" width="17" style="179" customWidth="1"/>
    <col min="6664" max="6664" width="4.28515625" style="179" customWidth="1"/>
    <col min="6665" max="6665" width="33.7109375" style="179" customWidth="1"/>
    <col min="6666" max="6667" width="17" style="179" customWidth="1"/>
    <col min="6668" max="6668" width="1.5703125" style="179" customWidth="1"/>
    <col min="6669" max="6669" width="4.28515625" style="179" customWidth="1"/>
    <col min="6670" max="6912" width="9.140625" style="179"/>
    <col min="6913" max="6913" width="1.85546875" style="179" customWidth="1"/>
    <col min="6914" max="6914" width="15.28515625" style="179" customWidth="1"/>
    <col min="6915" max="6915" width="4.28515625" style="179" customWidth="1"/>
    <col min="6916" max="6916" width="36.28515625" style="179" customWidth="1"/>
    <col min="6917" max="6917" width="16.28515625" style="179" customWidth="1"/>
    <col min="6918" max="6918" width="16.140625" style="179" customWidth="1"/>
    <col min="6919" max="6919" width="17" style="179" customWidth="1"/>
    <col min="6920" max="6920" width="4.28515625" style="179" customWidth="1"/>
    <col min="6921" max="6921" width="33.7109375" style="179" customWidth="1"/>
    <col min="6922" max="6923" width="17" style="179" customWidth="1"/>
    <col min="6924" max="6924" width="1.5703125" style="179" customWidth="1"/>
    <col min="6925" max="6925" width="4.28515625" style="179" customWidth="1"/>
    <col min="6926" max="7168" width="9.140625" style="179"/>
    <col min="7169" max="7169" width="1.85546875" style="179" customWidth="1"/>
    <col min="7170" max="7170" width="15.28515625" style="179" customWidth="1"/>
    <col min="7171" max="7171" width="4.28515625" style="179" customWidth="1"/>
    <col min="7172" max="7172" width="36.28515625" style="179" customWidth="1"/>
    <col min="7173" max="7173" width="16.28515625" style="179" customWidth="1"/>
    <col min="7174" max="7174" width="16.140625" style="179" customWidth="1"/>
    <col min="7175" max="7175" width="17" style="179" customWidth="1"/>
    <col min="7176" max="7176" width="4.28515625" style="179" customWidth="1"/>
    <col min="7177" max="7177" width="33.7109375" style="179" customWidth="1"/>
    <col min="7178" max="7179" width="17" style="179" customWidth="1"/>
    <col min="7180" max="7180" width="1.5703125" style="179" customWidth="1"/>
    <col min="7181" max="7181" width="4.28515625" style="179" customWidth="1"/>
    <col min="7182" max="7424" width="9.140625" style="179"/>
    <col min="7425" max="7425" width="1.85546875" style="179" customWidth="1"/>
    <col min="7426" max="7426" width="15.28515625" style="179" customWidth="1"/>
    <col min="7427" max="7427" width="4.28515625" style="179" customWidth="1"/>
    <col min="7428" max="7428" width="36.28515625" style="179" customWidth="1"/>
    <col min="7429" max="7429" width="16.28515625" style="179" customWidth="1"/>
    <col min="7430" max="7430" width="16.140625" style="179" customWidth="1"/>
    <col min="7431" max="7431" width="17" style="179" customWidth="1"/>
    <col min="7432" max="7432" width="4.28515625" style="179" customWidth="1"/>
    <col min="7433" max="7433" width="33.7109375" style="179" customWidth="1"/>
    <col min="7434" max="7435" width="17" style="179" customWidth="1"/>
    <col min="7436" max="7436" width="1.5703125" style="179" customWidth="1"/>
    <col min="7437" max="7437" width="4.28515625" style="179" customWidth="1"/>
    <col min="7438" max="7680" width="9.140625" style="179"/>
    <col min="7681" max="7681" width="1.85546875" style="179" customWidth="1"/>
    <col min="7682" max="7682" width="15.28515625" style="179" customWidth="1"/>
    <col min="7683" max="7683" width="4.28515625" style="179" customWidth="1"/>
    <col min="7684" max="7684" width="36.28515625" style="179" customWidth="1"/>
    <col min="7685" max="7685" width="16.28515625" style="179" customWidth="1"/>
    <col min="7686" max="7686" width="16.140625" style="179" customWidth="1"/>
    <col min="7687" max="7687" width="17" style="179" customWidth="1"/>
    <col min="7688" max="7688" width="4.28515625" style="179" customWidth="1"/>
    <col min="7689" max="7689" width="33.7109375" style="179" customWidth="1"/>
    <col min="7690" max="7691" width="17" style="179" customWidth="1"/>
    <col min="7692" max="7692" width="1.5703125" style="179" customWidth="1"/>
    <col min="7693" max="7693" width="4.28515625" style="179" customWidth="1"/>
    <col min="7694" max="7936" width="9.140625" style="179"/>
    <col min="7937" max="7937" width="1.85546875" style="179" customWidth="1"/>
    <col min="7938" max="7938" width="15.28515625" style="179" customWidth="1"/>
    <col min="7939" max="7939" width="4.28515625" style="179" customWidth="1"/>
    <col min="7940" max="7940" width="36.28515625" style="179" customWidth="1"/>
    <col min="7941" max="7941" width="16.28515625" style="179" customWidth="1"/>
    <col min="7942" max="7942" width="16.140625" style="179" customWidth="1"/>
    <col min="7943" max="7943" width="17" style="179" customWidth="1"/>
    <col min="7944" max="7944" width="4.28515625" style="179" customWidth="1"/>
    <col min="7945" max="7945" width="33.7109375" style="179" customWidth="1"/>
    <col min="7946" max="7947" width="17" style="179" customWidth="1"/>
    <col min="7948" max="7948" width="1.5703125" style="179" customWidth="1"/>
    <col min="7949" max="7949" width="4.28515625" style="179" customWidth="1"/>
    <col min="7950" max="8192" width="9.140625" style="179"/>
    <col min="8193" max="8193" width="1.85546875" style="179" customWidth="1"/>
    <col min="8194" max="8194" width="15.28515625" style="179" customWidth="1"/>
    <col min="8195" max="8195" width="4.28515625" style="179" customWidth="1"/>
    <col min="8196" max="8196" width="36.28515625" style="179" customWidth="1"/>
    <col min="8197" max="8197" width="16.28515625" style="179" customWidth="1"/>
    <col min="8198" max="8198" width="16.140625" style="179" customWidth="1"/>
    <col min="8199" max="8199" width="17" style="179" customWidth="1"/>
    <col min="8200" max="8200" width="4.28515625" style="179" customWidth="1"/>
    <col min="8201" max="8201" width="33.7109375" style="179" customWidth="1"/>
    <col min="8202" max="8203" width="17" style="179" customWidth="1"/>
    <col min="8204" max="8204" width="1.5703125" style="179" customWidth="1"/>
    <col min="8205" max="8205" width="4.28515625" style="179" customWidth="1"/>
    <col min="8206" max="8448" width="9.140625" style="179"/>
    <col min="8449" max="8449" width="1.85546875" style="179" customWidth="1"/>
    <col min="8450" max="8450" width="15.28515625" style="179" customWidth="1"/>
    <col min="8451" max="8451" width="4.28515625" style="179" customWidth="1"/>
    <col min="8452" max="8452" width="36.28515625" style="179" customWidth="1"/>
    <col min="8453" max="8453" width="16.28515625" style="179" customWidth="1"/>
    <col min="8454" max="8454" width="16.140625" style="179" customWidth="1"/>
    <col min="8455" max="8455" width="17" style="179" customWidth="1"/>
    <col min="8456" max="8456" width="4.28515625" style="179" customWidth="1"/>
    <col min="8457" max="8457" width="33.7109375" style="179" customWidth="1"/>
    <col min="8458" max="8459" width="17" style="179" customWidth="1"/>
    <col min="8460" max="8460" width="1.5703125" style="179" customWidth="1"/>
    <col min="8461" max="8461" width="4.28515625" style="179" customWidth="1"/>
    <col min="8462" max="8704" width="9.140625" style="179"/>
    <col min="8705" max="8705" width="1.85546875" style="179" customWidth="1"/>
    <col min="8706" max="8706" width="15.28515625" style="179" customWidth="1"/>
    <col min="8707" max="8707" width="4.28515625" style="179" customWidth="1"/>
    <col min="8708" max="8708" width="36.28515625" style="179" customWidth="1"/>
    <col min="8709" max="8709" width="16.28515625" style="179" customWidth="1"/>
    <col min="8710" max="8710" width="16.140625" style="179" customWidth="1"/>
    <col min="8711" max="8711" width="17" style="179" customWidth="1"/>
    <col min="8712" max="8712" width="4.28515625" style="179" customWidth="1"/>
    <col min="8713" max="8713" width="33.7109375" style="179" customWidth="1"/>
    <col min="8714" max="8715" width="17" style="179" customWidth="1"/>
    <col min="8716" max="8716" width="1.5703125" style="179" customWidth="1"/>
    <col min="8717" max="8717" width="4.28515625" style="179" customWidth="1"/>
    <col min="8718" max="8960" width="9.140625" style="179"/>
    <col min="8961" max="8961" width="1.85546875" style="179" customWidth="1"/>
    <col min="8962" max="8962" width="15.28515625" style="179" customWidth="1"/>
    <col min="8963" max="8963" width="4.28515625" style="179" customWidth="1"/>
    <col min="8964" max="8964" width="36.28515625" style="179" customWidth="1"/>
    <col min="8965" max="8965" width="16.28515625" style="179" customWidth="1"/>
    <col min="8966" max="8966" width="16.140625" style="179" customWidth="1"/>
    <col min="8967" max="8967" width="17" style="179" customWidth="1"/>
    <col min="8968" max="8968" width="4.28515625" style="179" customWidth="1"/>
    <col min="8969" max="8969" width="33.7109375" style="179" customWidth="1"/>
    <col min="8970" max="8971" width="17" style="179" customWidth="1"/>
    <col min="8972" max="8972" width="1.5703125" style="179" customWidth="1"/>
    <col min="8973" max="8973" width="4.28515625" style="179" customWidth="1"/>
    <col min="8974" max="9216" width="9.140625" style="179"/>
    <col min="9217" max="9217" width="1.85546875" style="179" customWidth="1"/>
    <col min="9218" max="9218" width="15.28515625" style="179" customWidth="1"/>
    <col min="9219" max="9219" width="4.28515625" style="179" customWidth="1"/>
    <col min="9220" max="9220" width="36.28515625" style="179" customWidth="1"/>
    <col min="9221" max="9221" width="16.28515625" style="179" customWidth="1"/>
    <col min="9222" max="9222" width="16.140625" style="179" customWidth="1"/>
    <col min="9223" max="9223" width="17" style="179" customWidth="1"/>
    <col min="9224" max="9224" width="4.28515625" style="179" customWidth="1"/>
    <col min="9225" max="9225" width="33.7109375" style="179" customWidth="1"/>
    <col min="9226" max="9227" width="17" style="179" customWidth="1"/>
    <col min="9228" max="9228" width="1.5703125" style="179" customWidth="1"/>
    <col min="9229" max="9229" width="4.28515625" style="179" customWidth="1"/>
    <col min="9230" max="9472" width="9.140625" style="179"/>
    <col min="9473" max="9473" width="1.85546875" style="179" customWidth="1"/>
    <col min="9474" max="9474" width="15.28515625" style="179" customWidth="1"/>
    <col min="9475" max="9475" width="4.28515625" style="179" customWidth="1"/>
    <col min="9476" max="9476" width="36.28515625" style="179" customWidth="1"/>
    <col min="9477" max="9477" width="16.28515625" style="179" customWidth="1"/>
    <col min="9478" max="9478" width="16.140625" style="179" customWidth="1"/>
    <col min="9479" max="9479" width="17" style="179" customWidth="1"/>
    <col min="9480" max="9480" width="4.28515625" style="179" customWidth="1"/>
    <col min="9481" max="9481" width="33.7109375" style="179" customWidth="1"/>
    <col min="9482" max="9483" width="17" style="179" customWidth="1"/>
    <col min="9484" max="9484" width="1.5703125" style="179" customWidth="1"/>
    <col min="9485" max="9485" width="4.28515625" style="179" customWidth="1"/>
    <col min="9486" max="9728" width="9.140625" style="179"/>
    <col min="9729" max="9729" width="1.85546875" style="179" customWidth="1"/>
    <col min="9730" max="9730" width="15.28515625" style="179" customWidth="1"/>
    <col min="9731" max="9731" width="4.28515625" style="179" customWidth="1"/>
    <col min="9732" max="9732" width="36.28515625" style="179" customWidth="1"/>
    <col min="9733" max="9733" width="16.28515625" style="179" customWidth="1"/>
    <col min="9734" max="9734" width="16.140625" style="179" customWidth="1"/>
    <col min="9735" max="9735" width="17" style="179" customWidth="1"/>
    <col min="9736" max="9736" width="4.28515625" style="179" customWidth="1"/>
    <col min="9737" max="9737" width="33.7109375" style="179" customWidth="1"/>
    <col min="9738" max="9739" width="17" style="179" customWidth="1"/>
    <col min="9740" max="9740" width="1.5703125" style="179" customWidth="1"/>
    <col min="9741" max="9741" width="4.28515625" style="179" customWidth="1"/>
    <col min="9742" max="9984" width="9.140625" style="179"/>
    <col min="9985" max="9985" width="1.85546875" style="179" customWidth="1"/>
    <col min="9986" max="9986" width="15.28515625" style="179" customWidth="1"/>
    <col min="9987" max="9987" width="4.28515625" style="179" customWidth="1"/>
    <col min="9988" max="9988" width="36.28515625" style="179" customWidth="1"/>
    <col min="9989" max="9989" width="16.28515625" style="179" customWidth="1"/>
    <col min="9990" max="9990" width="16.140625" style="179" customWidth="1"/>
    <col min="9991" max="9991" width="17" style="179" customWidth="1"/>
    <col min="9992" max="9992" width="4.28515625" style="179" customWidth="1"/>
    <col min="9993" max="9993" width="33.7109375" style="179" customWidth="1"/>
    <col min="9994" max="9995" width="17" style="179" customWidth="1"/>
    <col min="9996" max="9996" width="1.5703125" style="179" customWidth="1"/>
    <col min="9997" max="9997" width="4.28515625" style="179" customWidth="1"/>
    <col min="9998" max="10240" width="9.140625" style="179"/>
    <col min="10241" max="10241" width="1.85546875" style="179" customWidth="1"/>
    <col min="10242" max="10242" width="15.28515625" style="179" customWidth="1"/>
    <col min="10243" max="10243" width="4.28515625" style="179" customWidth="1"/>
    <col min="10244" max="10244" width="36.28515625" style="179" customWidth="1"/>
    <col min="10245" max="10245" width="16.28515625" style="179" customWidth="1"/>
    <col min="10246" max="10246" width="16.140625" style="179" customWidth="1"/>
    <col min="10247" max="10247" width="17" style="179" customWidth="1"/>
    <col min="10248" max="10248" width="4.28515625" style="179" customWidth="1"/>
    <col min="10249" max="10249" width="33.7109375" style="179" customWidth="1"/>
    <col min="10250" max="10251" width="17" style="179" customWidth="1"/>
    <col min="10252" max="10252" width="1.5703125" style="179" customWidth="1"/>
    <col min="10253" max="10253" width="4.28515625" style="179" customWidth="1"/>
    <col min="10254" max="10496" width="9.140625" style="179"/>
    <col min="10497" max="10497" width="1.85546875" style="179" customWidth="1"/>
    <col min="10498" max="10498" width="15.28515625" style="179" customWidth="1"/>
    <col min="10499" max="10499" width="4.28515625" style="179" customWidth="1"/>
    <col min="10500" max="10500" width="36.28515625" style="179" customWidth="1"/>
    <col min="10501" max="10501" width="16.28515625" style="179" customWidth="1"/>
    <col min="10502" max="10502" width="16.140625" style="179" customWidth="1"/>
    <col min="10503" max="10503" width="17" style="179" customWidth="1"/>
    <col min="10504" max="10504" width="4.28515625" style="179" customWidth="1"/>
    <col min="10505" max="10505" width="33.7109375" style="179" customWidth="1"/>
    <col min="10506" max="10507" width="17" style="179" customWidth="1"/>
    <col min="10508" max="10508" width="1.5703125" style="179" customWidth="1"/>
    <col min="10509" max="10509" width="4.28515625" style="179" customWidth="1"/>
    <col min="10510" max="10752" width="9.140625" style="179"/>
    <col min="10753" max="10753" width="1.85546875" style="179" customWidth="1"/>
    <col min="10754" max="10754" width="15.28515625" style="179" customWidth="1"/>
    <col min="10755" max="10755" width="4.28515625" style="179" customWidth="1"/>
    <col min="10756" max="10756" width="36.28515625" style="179" customWidth="1"/>
    <col min="10757" max="10757" width="16.28515625" style="179" customWidth="1"/>
    <col min="10758" max="10758" width="16.140625" style="179" customWidth="1"/>
    <col min="10759" max="10759" width="17" style="179" customWidth="1"/>
    <col min="10760" max="10760" width="4.28515625" style="179" customWidth="1"/>
    <col min="10761" max="10761" width="33.7109375" style="179" customWidth="1"/>
    <col min="10762" max="10763" width="17" style="179" customWidth="1"/>
    <col min="10764" max="10764" width="1.5703125" style="179" customWidth="1"/>
    <col min="10765" max="10765" width="4.28515625" style="179" customWidth="1"/>
    <col min="10766" max="11008" width="9.140625" style="179"/>
    <col min="11009" max="11009" width="1.85546875" style="179" customWidth="1"/>
    <col min="11010" max="11010" width="15.28515625" style="179" customWidth="1"/>
    <col min="11011" max="11011" width="4.28515625" style="179" customWidth="1"/>
    <col min="11012" max="11012" width="36.28515625" style="179" customWidth="1"/>
    <col min="11013" max="11013" width="16.28515625" style="179" customWidth="1"/>
    <col min="11014" max="11014" width="16.140625" style="179" customWidth="1"/>
    <col min="11015" max="11015" width="17" style="179" customWidth="1"/>
    <col min="11016" max="11016" width="4.28515625" style="179" customWidth="1"/>
    <col min="11017" max="11017" width="33.7109375" style="179" customWidth="1"/>
    <col min="11018" max="11019" width="17" style="179" customWidth="1"/>
    <col min="11020" max="11020" width="1.5703125" style="179" customWidth="1"/>
    <col min="11021" max="11021" width="4.28515625" style="179" customWidth="1"/>
    <col min="11022" max="11264" width="9.140625" style="179"/>
    <col min="11265" max="11265" width="1.85546875" style="179" customWidth="1"/>
    <col min="11266" max="11266" width="15.28515625" style="179" customWidth="1"/>
    <col min="11267" max="11267" width="4.28515625" style="179" customWidth="1"/>
    <col min="11268" max="11268" width="36.28515625" style="179" customWidth="1"/>
    <col min="11269" max="11269" width="16.28515625" style="179" customWidth="1"/>
    <col min="11270" max="11270" width="16.140625" style="179" customWidth="1"/>
    <col min="11271" max="11271" width="17" style="179" customWidth="1"/>
    <col min="11272" max="11272" width="4.28515625" style="179" customWidth="1"/>
    <col min="11273" max="11273" width="33.7109375" style="179" customWidth="1"/>
    <col min="11274" max="11275" width="17" style="179" customWidth="1"/>
    <col min="11276" max="11276" width="1.5703125" style="179" customWidth="1"/>
    <col min="11277" max="11277" width="4.28515625" style="179" customWidth="1"/>
    <col min="11278" max="11520" width="9.140625" style="179"/>
    <col min="11521" max="11521" width="1.85546875" style="179" customWidth="1"/>
    <col min="11522" max="11522" width="15.28515625" style="179" customWidth="1"/>
    <col min="11523" max="11523" width="4.28515625" style="179" customWidth="1"/>
    <col min="11524" max="11524" width="36.28515625" style="179" customWidth="1"/>
    <col min="11525" max="11525" width="16.28515625" style="179" customWidth="1"/>
    <col min="11526" max="11526" width="16.140625" style="179" customWidth="1"/>
    <col min="11527" max="11527" width="17" style="179" customWidth="1"/>
    <col min="11528" max="11528" width="4.28515625" style="179" customWidth="1"/>
    <col min="11529" max="11529" width="33.7109375" style="179" customWidth="1"/>
    <col min="11530" max="11531" width="17" style="179" customWidth="1"/>
    <col min="11532" max="11532" width="1.5703125" style="179" customWidth="1"/>
    <col min="11533" max="11533" width="4.28515625" style="179" customWidth="1"/>
    <col min="11534" max="11776" width="9.140625" style="179"/>
    <col min="11777" max="11777" width="1.85546875" style="179" customWidth="1"/>
    <col min="11778" max="11778" width="15.28515625" style="179" customWidth="1"/>
    <col min="11779" max="11779" width="4.28515625" style="179" customWidth="1"/>
    <col min="11780" max="11780" width="36.28515625" style="179" customWidth="1"/>
    <col min="11781" max="11781" width="16.28515625" style="179" customWidth="1"/>
    <col min="11782" max="11782" width="16.140625" style="179" customWidth="1"/>
    <col min="11783" max="11783" width="17" style="179" customWidth="1"/>
    <col min="11784" max="11784" width="4.28515625" style="179" customWidth="1"/>
    <col min="11785" max="11785" width="33.7109375" style="179" customWidth="1"/>
    <col min="11786" max="11787" width="17" style="179" customWidth="1"/>
    <col min="11788" max="11788" width="1.5703125" style="179" customWidth="1"/>
    <col min="11789" max="11789" width="4.28515625" style="179" customWidth="1"/>
    <col min="11790" max="12032" width="9.140625" style="179"/>
    <col min="12033" max="12033" width="1.85546875" style="179" customWidth="1"/>
    <col min="12034" max="12034" width="15.28515625" style="179" customWidth="1"/>
    <col min="12035" max="12035" width="4.28515625" style="179" customWidth="1"/>
    <col min="12036" max="12036" width="36.28515625" style="179" customWidth="1"/>
    <col min="12037" max="12037" width="16.28515625" style="179" customWidth="1"/>
    <col min="12038" max="12038" width="16.140625" style="179" customWidth="1"/>
    <col min="12039" max="12039" width="17" style="179" customWidth="1"/>
    <col min="12040" max="12040" width="4.28515625" style="179" customWidth="1"/>
    <col min="12041" max="12041" width="33.7109375" style="179" customWidth="1"/>
    <col min="12042" max="12043" width="17" style="179" customWidth="1"/>
    <col min="12044" max="12044" width="1.5703125" style="179" customWidth="1"/>
    <col min="12045" max="12045" width="4.28515625" style="179" customWidth="1"/>
    <col min="12046" max="12288" width="9.140625" style="179"/>
    <col min="12289" max="12289" width="1.85546875" style="179" customWidth="1"/>
    <col min="12290" max="12290" width="15.28515625" style="179" customWidth="1"/>
    <col min="12291" max="12291" width="4.28515625" style="179" customWidth="1"/>
    <col min="12292" max="12292" width="36.28515625" style="179" customWidth="1"/>
    <col min="12293" max="12293" width="16.28515625" style="179" customWidth="1"/>
    <col min="12294" max="12294" width="16.140625" style="179" customWidth="1"/>
    <col min="12295" max="12295" width="17" style="179" customWidth="1"/>
    <col min="12296" max="12296" width="4.28515625" style="179" customWidth="1"/>
    <col min="12297" max="12297" width="33.7109375" style="179" customWidth="1"/>
    <col min="12298" max="12299" width="17" style="179" customWidth="1"/>
    <col min="12300" max="12300" width="1.5703125" style="179" customWidth="1"/>
    <col min="12301" max="12301" width="4.28515625" style="179" customWidth="1"/>
    <col min="12302" max="12544" width="9.140625" style="179"/>
    <col min="12545" max="12545" width="1.85546875" style="179" customWidth="1"/>
    <col min="12546" max="12546" width="15.28515625" style="179" customWidth="1"/>
    <col min="12547" max="12547" width="4.28515625" style="179" customWidth="1"/>
    <col min="12548" max="12548" width="36.28515625" style="179" customWidth="1"/>
    <col min="12549" max="12549" width="16.28515625" style="179" customWidth="1"/>
    <col min="12550" max="12550" width="16.140625" style="179" customWidth="1"/>
    <col min="12551" max="12551" width="17" style="179" customWidth="1"/>
    <col min="12552" max="12552" width="4.28515625" style="179" customWidth="1"/>
    <col min="12553" max="12553" width="33.7109375" style="179" customWidth="1"/>
    <col min="12554" max="12555" width="17" style="179" customWidth="1"/>
    <col min="12556" max="12556" width="1.5703125" style="179" customWidth="1"/>
    <col min="12557" max="12557" width="4.28515625" style="179" customWidth="1"/>
    <col min="12558" max="12800" width="9.140625" style="179"/>
    <col min="12801" max="12801" width="1.85546875" style="179" customWidth="1"/>
    <col min="12802" max="12802" width="15.28515625" style="179" customWidth="1"/>
    <col min="12803" max="12803" width="4.28515625" style="179" customWidth="1"/>
    <col min="12804" max="12804" width="36.28515625" style="179" customWidth="1"/>
    <col min="12805" max="12805" width="16.28515625" style="179" customWidth="1"/>
    <col min="12806" max="12806" width="16.140625" style="179" customWidth="1"/>
    <col min="12807" max="12807" width="17" style="179" customWidth="1"/>
    <col min="12808" max="12808" width="4.28515625" style="179" customWidth="1"/>
    <col min="12809" max="12809" width="33.7109375" style="179" customWidth="1"/>
    <col min="12810" max="12811" width="17" style="179" customWidth="1"/>
    <col min="12812" max="12812" width="1.5703125" style="179" customWidth="1"/>
    <col min="12813" max="12813" width="4.28515625" style="179" customWidth="1"/>
    <col min="12814" max="13056" width="9.140625" style="179"/>
    <col min="13057" max="13057" width="1.85546875" style="179" customWidth="1"/>
    <col min="13058" max="13058" width="15.28515625" style="179" customWidth="1"/>
    <col min="13059" max="13059" width="4.28515625" style="179" customWidth="1"/>
    <col min="13060" max="13060" width="36.28515625" style="179" customWidth="1"/>
    <col min="13061" max="13061" width="16.28515625" style="179" customWidth="1"/>
    <col min="13062" max="13062" width="16.140625" style="179" customWidth="1"/>
    <col min="13063" max="13063" width="17" style="179" customWidth="1"/>
    <col min="13064" max="13064" width="4.28515625" style="179" customWidth="1"/>
    <col min="13065" max="13065" width="33.7109375" style="179" customWidth="1"/>
    <col min="13066" max="13067" width="17" style="179" customWidth="1"/>
    <col min="13068" max="13068" width="1.5703125" style="179" customWidth="1"/>
    <col min="13069" max="13069" width="4.28515625" style="179" customWidth="1"/>
    <col min="13070" max="13312" width="9.140625" style="179"/>
    <col min="13313" max="13313" width="1.85546875" style="179" customWidth="1"/>
    <col min="13314" max="13314" width="15.28515625" style="179" customWidth="1"/>
    <col min="13315" max="13315" width="4.28515625" style="179" customWidth="1"/>
    <col min="13316" max="13316" width="36.28515625" style="179" customWidth="1"/>
    <col min="13317" max="13317" width="16.28515625" style="179" customWidth="1"/>
    <col min="13318" max="13318" width="16.140625" style="179" customWidth="1"/>
    <col min="13319" max="13319" width="17" style="179" customWidth="1"/>
    <col min="13320" max="13320" width="4.28515625" style="179" customWidth="1"/>
    <col min="13321" max="13321" width="33.7109375" style="179" customWidth="1"/>
    <col min="13322" max="13323" width="17" style="179" customWidth="1"/>
    <col min="13324" max="13324" width="1.5703125" style="179" customWidth="1"/>
    <col min="13325" max="13325" width="4.28515625" style="179" customWidth="1"/>
    <col min="13326" max="13568" width="9.140625" style="179"/>
    <col min="13569" max="13569" width="1.85546875" style="179" customWidth="1"/>
    <col min="13570" max="13570" width="15.28515625" style="179" customWidth="1"/>
    <col min="13571" max="13571" width="4.28515625" style="179" customWidth="1"/>
    <col min="13572" max="13572" width="36.28515625" style="179" customWidth="1"/>
    <col min="13573" max="13573" width="16.28515625" style="179" customWidth="1"/>
    <col min="13574" max="13574" width="16.140625" style="179" customWidth="1"/>
    <col min="13575" max="13575" width="17" style="179" customWidth="1"/>
    <col min="13576" max="13576" width="4.28515625" style="179" customWidth="1"/>
    <col min="13577" max="13577" width="33.7109375" style="179" customWidth="1"/>
    <col min="13578" max="13579" width="17" style="179" customWidth="1"/>
    <col min="13580" max="13580" width="1.5703125" style="179" customWidth="1"/>
    <col min="13581" max="13581" width="4.28515625" style="179" customWidth="1"/>
    <col min="13582" max="13824" width="9.140625" style="179"/>
    <col min="13825" max="13825" width="1.85546875" style="179" customWidth="1"/>
    <col min="13826" max="13826" width="15.28515625" style="179" customWidth="1"/>
    <col min="13827" max="13827" width="4.28515625" style="179" customWidth="1"/>
    <col min="13828" max="13828" width="36.28515625" style="179" customWidth="1"/>
    <col min="13829" max="13829" width="16.28515625" style="179" customWidth="1"/>
    <col min="13830" max="13830" width="16.140625" style="179" customWidth="1"/>
    <col min="13831" max="13831" width="17" style="179" customWidth="1"/>
    <col min="13832" max="13832" width="4.28515625" style="179" customWidth="1"/>
    <col min="13833" max="13833" width="33.7109375" style="179" customWidth="1"/>
    <col min="13834" max="13835" width="17" style="179" customWidth="1"/>
    <col min="13836" max="13836" width="1.5703125" style="179" customWidth="1"/>
    <col min="13837" max="13837" width="4.28515625" style="179" customWidth="1"/>
    <col min="13838" max="14080" width="9.140625" style="179"/>
    <col min="14081" max="14081" width="1.85546875" style="179" customWidth="1"/>
    <col min="14082" max="14082" width="15.28515625" style="179" customWidth="1"/>
    <col min="14083" max="14083" width="4.28515625" style="179" customWidth="1"/>
    <col min="14084" max="14084" width="36.28515625" style="179" customWidth="1"/>
    <col min="14085" max="14085" width="16.28515625" style="179" customWidth="1"/>
    <col min="14086" max="14086" width="16.140625" style="179" customWidth="1"/>
    <col min="14087" max="14087" width="17" style="179" customWidth="1"/>
    <col min="14088" max="14088" width="4.28515625" style="179" customWidth="1"/>
    <col min="14089" max="14089" width="33.7109375" style="179" customWidth="1"/>
    <col min="14090" max="14091" width="17" style="179" customWidth="1"/>
    <col min="14092" max="14092" width="1.5703125" style="179" customWidth="1"/>
    <col min="14093" max="14093" width="4.28515625" style="179" customWidth="1"/>
    <col min="14094" max="14336" width="9.140625" style="179"/>
    <col min="14337" max="14337" width="1.85546875" style="179" customWidth="1"/>
    <col min="14338" max="14338" width="15.28515625" style="179" customWidth="1"/>
    <col min="14339" max="14339" width="4.28515625" style="179" customWidth="1"/>
    <col min="14340" max="14340" width="36.28515625" style="179" customWidth="1"/>
    <col min="14341" max="14341" width="16.28515625" style="179" customWidth="1"/>
    <col min="14342" max="14342" width="16.140625" style="179" customWidth="1"/>
    <col min="14343" max="14343" width="17" style="179" customWidth="1"/>
    <col min="14344" max="14344" width="4.28515625" style="179" customWidth="1"/>
    <col min="14345" max="14345" width="33.7109375" style="179" customWidth="1"/>
    <col min="14346" max="14347" width="17" style="179" customWidth="1"/>
    <col min="14348" max="14348" width="1.5703125" style="179" customWidth="1"/>
    <col min="14349" max="14349" width="4.28515625" style="179" customWidth="1"/>
    <col min="14350" max="14592" width="9.140625" style="179"/>
    <col min="14593" max="14593" width="1.85546875" style="179" customWidth="1"/>
    <col min="14594" max="14594" width="15.28515625" style="179" customWidth="1"/>
    <col min="14595" max="14595" width="4.28515625" style="179" customWidth="1"/>
    <col min="14596" max="14596" width="36.28515625" style="179" customWidth="1"/>
    <col min="14597" max="14597" width="16.28515625" style="179" customWidth="1"/>
    <col min="14598" max="14598" width="16.140625" style="179" customWidth="1"/>
    <col min="14599" max="14599" width="17" style="179" customWidth="1"/>
    <col min="14600" max="14600" width="4.28515625" style="179" customWidth="1"/>
    <col min="14601" max="14601" width="33.7109375" style="179" customWidth="1"/>
    <col min="14602" max="14603" width="17" style="179" customWidth="1"/>
    <col min="14604" max="14604" width="1.5703125" style="179" customWidth="1"/>
    <col min="14605" max="14605" width="4.28515625" style="179" customWidth="1"/>
    <col min="14606" max="14848" width="9.140625" style="179"/>
    <col min="14849" max="14849" width="1.85546875" style="179" customWidth="1"/>
    <col min="14850" max="14850" width="15.28515625" style="179" customWidth="1"/>
    <col min="14851" max="14851" width="4.28515625" style="179" customWidth="1"/>
    <col min="14852" max="14852" width="36.28515625" style="179" customWidth="1"/>
    <col min="14853" max="14853" width="16.28515625" style="179" customWidth="1"/>
    <col min="14854" max="14854" width="16.140625" style="179" customWidth="1"/>
    <col min="14855" max="14855" width="17" style="179" customWidth="1"/>
    <col min="14856" max="14856" width="4.28515625" style="179" customWidth="1"/>
    <col min="14857" max="14857" width="33.7109375" style="179" customWidth="1"/>
    <col min="14858" max="14859" width="17" style="179" customWidth="1"/>
    <col min="14860" max="14860" width="1.5703125" style="179" customWidth="1"/>
    <col min="14861" max="14861" width="4.28515625" style="179" customWidth="1"/>
    <col min="14862" max="15104" width="9.140625" style="179"/>
    <col min="15105" max="15105" width="1.85546875" style="179" customWidth="1"/>
    <col min="15106" max="15106" width="15.28515625" style="179" customWidth="1"/>
    <col min="15107" max="15107" width="4.28515625" style="179" customWidth="1"/>
    <col min="15108" max="15108" width="36.28515625" style="179" customWidth="1"/>
    <col min="15109" max="15109" width="16.28515625" style="179" customWidth="1"/>
    <col min="15110" max="15110" width="16.140625" style="179" customWidth="1"/>
    <col min="15111" max="15111" width="17" style="179" customWidth="1"/>
    <col min="15112" max="15112" width="4.28515625" style="179" customWidth="1"/>
    <col min="15113" max="15113" width="33.7109375" style="179" customWidth="1"/>
    <col min="15114" max="15115" width="17" style="179" customWidth="1"/>
    <col min="15116" max="15116" width="1.5703125" style="179" customWidth="1"/>
    <col min="15117" max="15117" width="4.28515625" style="179" customWidth="1"/>
    <col min="15118" max="15360" width="9.140625" style="179"/>
    <col min="15361" max="15361" width="1.85546875" style="179" customWidth="1"/>
    <col min="15362" max="15362" width="15.28515625" style="179" customWidth="1"/>
    <col min="15363" max="15363" width="4.28515625" style="179" customWidth="1"/>
    <col min="15364" max="15364" width="36.28515625" style="179" customWidth="1"/>
    <col min="15365" max="15365" width="16.28515625" style="179" customWidth="1"/>
    <col min="15366" max="15366" width="16.140625" style="179" customWidth="1"/>
    <col min="15367" max="15367" width="17" style="179" customWidth="1"/>
    <col min="15368" max="15368" width="4.28515625" style="179" customWidth="1"/>
    <col min="15369" max="15369" width="33.7109375" style="179" customWidth="1"/>
    <col min="15370" max="15371" width="17" style="179" customWidth="1"/>
    <col min="15372" max="15372" width="1.5703125" style="179" customWidth="1"/>
    <col min="15373" max="15373" width="4.28515625" style="179" customWidth="1"/>
    <col min="15374" max="15616" width="9.140625" style="179"/>
    <col min="15617" max="15617" width="1.85546875" style="179" customWidth="1"/>
    <col min="15618" max="15618" width="15.28515625" style="179" customWidth="1"/>
    <col min="15619" max="15619" width="4.28515625" style="179" customWidth="1"/>
    <col min="15620" max="15620" width="36.28515625" style="179" customWidth="1"/>
    <col min="15621" max="15621" width="16.28515625" style="179" customWidth="1"/>
    <col min="15622" max="15622" width="16.140625" style="179" customWidth="1"/>
    <col min="15623" max="15623" width="17" style="179" customWidth="1"/>
    <col min="15624" max="15624" width="4.28515625" style="179" customWidth="1"/>
    <col min="15625" max="15625" width="33.7109375" style="179" customWidth="1"/>
    <col min="15626" max="15627" width="17" style="179" customWidth="1"/>
    <col min="15628" max="15628" width="1.5703125" style="179" customWidth="1"/>
    <col min="15629" max="15629" width="4.28515625" style="179" customWidth="1"/>
    <col min="15630" max="15872" width="9.140625" style="179"/>
    <col min="15873" max="15873" width="1.85546875" style="179" customWidth="1"/>
    <col min="15874" max="15874" width="15.28515625" style="179" customWidth="1"/>
    <col min="15875" max="15875" width="4.28515625" style="179" customWidth="1"/>
    <col min="15876" max="15876" width="36.28515625" style="179" customWidth="1"/>
    <col min="15877" max="15877" width="16.28515625" style="179" customWidth="1"/>
    <col min="15878" max="15878" width="16.140625" style="179" customWidth="1"/>
    <col min="15879" max="15879" width="17" style="179" customWidth="1"/>
    <col min="15880" max="15880" width="4.28515625" style="179" customWidth="1"/>
    <col min="15881" max="15881" width="33.7109375" style="179" customWidth="1"/>
    <col min="15882" max="15883" width="17" style="179" customWidth="1"/>
    <col min="15884" max="15884" width="1.5703125" style="179" customWidth="1"/>
    <col min="15885" max="15885" width="4.28515625" style="179" customWidth="1"/>
    <col min="15886" max="16128" width="9.140625" style="179"/>
    <col min="16129" max="16129" width="1.85546875" style="179" customWidth="1"/>
    <col min="16130" max="16130" width="15.28515625" style="179" customWidth="1"/>
    <col min="16131" max="16131" width="4.28515625" style="179" customWidth="1"/>
    <col min="16132" max="16132" width="36.28515625" style="179" customWidth="1"/>
    <col min="16133" max="16133" width="16.28515625" style="179" customWidth="1"/>
    <col min="16134" max="16134" width="16.140625" style="179" customWidth="1"/>
    <col min="16135" max="16135" width="17" style="179" customWidth="1"/>
    <col min="16136" max="16136" width="4.28515625" style="179" customWidth="1"/>
    <col min="16137" max="16137" width="33.7109375" style="179" customWidth="1"/>
    <col min="16138" max="16139" width="17" style="179" customWidth="1"/>
    <col min="16140" max="16140" width="1.5703125" style="179" customWidth="1"/>
    <col min="16141" max="16141" width="4.28515625" style="179" customWidth="1"/>
    <col min="16142" max="16384" width="9.140625" style="179"/>
  </cols>
  <sheetData>
    <row r="1" spans="1:11">
      <c r="B1" s="180" t="s">
        <v>94</v>
      </c>
      <c r="D1" s="6245" t="s">
        <v>805</v>
      </c>
      <c r="E1" s="6246"/>
      <c r="F1" s="6246"/>
      <c r="G1" s="6246"/>
      <c r="H1" s="6246"/>
      <c r="I1" s="6247"/>
    </row>
    <row r="2" spans="1:11">
      <c r="D2" s="6248" t="s">
        <v>2431</v>
      </c>
      <c r="E2" s="6249"/>
      <c r="F2" s="6249"/>
      <c r="G2" s="6249"/>
      <c r="H2" s="6249"/>
      <c r="I2" s="6250"/>
    </row>
    <row r="3" spans="1:11">
      <c r="D3" s="6251" t="s">
        <v>806</v>
      </c>
      <c r="E3" s="6252"/>
      <c r="F3" s="6252"/>
      <c r="G3" s="6252"/>
      <c r="H3" s="6252"/>
      <c r="I3" s="6253"/>
      <c r="J3" s="180" t="s">
        <v>94</v>
      </c>
    </row>
    <row r="4" spans="1:11">
      <c r="D4" s="6254" t="s">
        <v>807</v>
      </c>
      <c r="E4" s="6255"/>
      <c r="F4" s="6255"/>
      <c r="G4" s="6255"/>
      <c r="H4" s="6255"/>
      <c r="I4" s="6256"/>
    </row>
    <row r="5" spans="1:11">
      <c r="F5" s="181"/>
    </row>
    <row r="6" spans="1:11" ht="15.75">
      <c r="B6" s="1722" t="s">
        <v>808</v>
      </c>
      <c r="C6" s="1723"/>
      <c r="D6" s="1721" t="s">
        <v>809</v>
      </c>
      <c r="E6" s="1722" t="s">
        <v>94</v>
      </c>
      <c r="F6" s="1745" t="s">
        <v>810</v>
      </c>
      <c r="G6" s="1745" t="s">
        <v>380</v>
      </c>
      <c r="H6" s="1723"/>
      <c r="I6" s="1746" t="s">
        <v>809</v>
      </c>
      <c r="J6" s="1747" t="s">
        <v>94</v>
      </c>
      <c r="K6" s="1745" t="s">
        <v>557</v>
      </c>
    </row>
    <row r="7" spans="1:11" ht="15.75" hidden="1">
      <c r="B7" s="182" t="s">
        <v>586</v>
      </c>
      <c r="C7" s="183"/>
      <c r="D7" s="1724"/>
      <c r="E7" s="1725" t="s">
        <v>586</v>
      </c>
      <c r="F7" s="1726" t="s">
        <v>586</v>
      </c>
      <c r="G7" s="1726" t="s">
        <v>586</v>
      </c>
      <c r="H7" s="1727"/>
      <c r="I7" s="1728"/>
      <c r="J7" s="1726" t="s">
        <v>586</v>
      </c>
      <c r="K7" s="1726" t="s">
        <v>586</v>
      </c>
    </row>
    <row r="8" spans="1:11">
      <c r="B8" s="185"/>
      <c r="C8" s="186"/>
      <c r="D8" s="187"/>
      <c r="E8" s="188"/>
      <c r="F8" s="189"/>
      <c r="G8" s="185"/>
      <c r="H8" s="186"/>
      <c r="I8" s="190" t="s">
        <v>94</v>
      </c>
      <c r="J8" s="185"/>
      <c r="K8" s="189"/>
    </row>
    <row r="9" spans="1:11">
      <c r="B9" s="191"/>
      <c r="C9" s="192"/>
      <c r="D9" s="193" t="s">
        <v>811</v>
      </c>
      <c r="E9" s="194"/>
      <c r="F9" s="195"/>
      <c r="G9" s="191"/>
      <c r="H9" s="192"/>
      <c r="I9" s="190" t="s">
        <v>812</v>
      </c>
      <c r="J9" s="191"/>
      <c r="K9" s="195"/>
    </row>
    <row r="10" spans="1:11">
      <c r="B10" s="191"/>
      <c r="C10" s="192"/>
      <c r="D10" s="190"/>
      <c r="E10" s="194"/>
      <c r="F10" s="195" t="s">
        <v>94</v>
      </c>
      <c r="G10" s="196">
        <v>-4560281506</v>
      </c>
      <c r="H10" s="192"/>
      <c r="I10" s="197" t="s">
        <v>660</v>
      </c>
      <c r="J10" s="191"/>
      <c r="K10" s="195" t="s">
        <v>94</v>
      </c>
    </row>
    <row r="11" spans="1:11">
      <c r="B11" s="198">
        <v>25471706790</v>
      </c>
      <c r="C11" s="192"/>
      <c r="D11" s="190" t="s">
        <v>813</v>
      </c>
      <c r="F11" s="198">
        <v>36201932746</v>
      </c>
      <c r="G11" s="196">
        <v>-3917294351</v>
      </c>
      <c r="H11" s="192"/>
      <c r="I11" s="197" t="s">
        <v>814</v>
      </c>
      <c r="J11" s="196">
        <v>-6335041719</v>
      </c>
      <c r="K11" s="195" t="s">
        <v>94</v>
      </c>
    </row>
    <row r="12" spans="1:11">
      <c r="B12" s="191">
        <v>147172340</v>
      </c>
      <c r="C12" s="192"/>
      <c r="D12" s="190" t="s">
        <v>815</v>
      </c>
      <c r="F12" s="191">
        <v>167408707</v>
      </c>
      <c r="G12" s="191"/>
      <c r="H12" s="192"/>
      <c r="I12" s="190" t="s">
        <v>816</v>
      </c>
      <c r="J12" s="191" t="s">
        <v>94</v>
      </c>
      <c r="K12" s="195"/>
    </row>
    <row r="13" spans="1:11">
      <c r="B13" s="191">
        <v>193692102</v>
      </c>
      <c r="C13" s="192"/>
      <c r="D13" s="190" t="s">
        <v>817</v>
      </c>
      <c r="F13" s="191">
        <v>194556975</v>
      </c>
      <c r="G13" s="191"/>
      <c r="H13" s="192"/>
      <c r="I13" s="197" t="s">
        <v>660</v>
      </c>
      <c r="J13" s="198">
        <v>1254184806</v>
      </c>
      <c r="K13" s="195" t="s">
        <v>94</v>
      </c>
    </row>
    <row r="14" spans="1:11">
      <c r="B14" s="191">
        <v>413045119</v>
      </c>
      <c r="C14" s="192"/>
      <c r="D14" s="190" t="s">
        <v>818</v>
      </c>
      <c r="F14" s="191">
        <v>533900720</v>
      </c>
      <c r="G14" s="191"/>
      <c r="H14" s="192" t="s">
        <v>94</v>
      </c>
      <c r="I14" s="197" t="s">
        <v>814</v>
      </c>
      <c r="J14" s="191"/>
      <c r="K14" s="199">
        <f>J11+J13</f>
        <v>-5080856913</v>
      </c>
    </row>
    <row r="15" spans="1:11">
      <c r="B15" s="191">
        <v>67750849</v>
      </c>
      <c r="C15" s="192"/>
      <c r="D15" s="190" t="s">
        <v>819</v>
      </c>
      <c r="F15" s="191">
        <v>70998230</v>
      </c>
      <c r="G15" s="200">
        <v>-8477575857</v>
      </c>
      <c r="H15" s="192"/>
      <c r="I15" s="201" t="s">
        <v>47</v>
      </c>
      <c r="J15" s="191" t="s">
        <v>94</v>
      </c>
      <c r="K15" s="202">
        <v>-5080856913</v>
      </c>
    </row>
    <row r="16" spans="1:11">
      <c r="A16" s="190"/>
      <c r="B16" s="191" t="s">
        <v>94</v>
      </c>
      <c r="C16" s="192"/>
      <c r="D16" s="190"/>
      <c r="E16" s="194" t="s">
        <v>94</v>
      </c>
      <c r="G16" s="191"/>
      <c r="H16" s="192"/>
      <c r="I16" s="190" t="s">
        <v>820</v>
      </c>
      <c r="J16" s="191" t="s">
        <v>94</v>
      </c>
      <c r="K16" s="203" t="s">
        <v>94</v>
      </c>
    </row>
    <row r="17" spans="1:15">
      <c r="A17" s="190"/>
      <c r="B17" s="204">
        <v>26293367200</v>
      </c>
      <c r="C17" s="192"/>
      <c r="D17" s="205" t="s">
        <v>47</v>
      </c>
      <c r="E17" s="194"/>
      <c r="F17" s="204">
        <v>37168797378</v>
      </c>
      <c r="G17" s="191">
        <v>456861781</v>
      </c>
      <c r="H17" s="192"/>
      <c r="I17" s="197" t="s">
        <v>660</v>
      </c>
      <c r="J17" s="196">
        <v>-3685324229</v>
      </c>
      <c r="K17" s="206"/>
    </row>
    <row r="18" spans="1:15">
      <c r="B18" s="191"/>
      <c r="C18" s="192"/>
      <c r="D18" s="190"/>
      <c r="E18" s="194" t="s">
        <v>94</v>
      </c>
      <c r="F18" s="195" t="s">
        <v>94</v>
      </c>
      <c r="G18" s="199">
        <v>-26204081134</v>
      </c>
      <c r="H18" s="192"/>
      <c r="I18" s="197" t="s">
        <v>814</v>
      </c>
      <c r="J18" s="199">
        <v>-30090886212</v>
      </c>
      <c r="K18" s="202">
        <f>J18+J17</f>
        <v>-33776210441</v>
      </c>
    </row>
    <row r="19" spans="1:15">
      <c r="B19" s="191"/>
      <c r="C19" s="192"/>
      <c r="D19" s="207" t="s">
        <v>821</v>
      </c>
      <c r="E19" s="194"/>
      <c r="F19" s="195"/>
      <c r="G19" s="200">
        <v>-25747219353</v>
      </c>
      <c r="H19" s="192"/>
      <c r="I19" s="195"/>
      <c r="J19" s="191"/>
      <c r="K19" s="208">
        <v>-38857067354</v>
      </c>
    </row>
    <row r="20" spans="1:15">
      <c r="B20" s="191">
        <v>21558555189</v>
      </c>
      <c r="C20" s="192"/>
      <c r="D20" s="209" t="s">
        <v>822</v>
      </c>
      <c r="E20" s="210">
        <v>2590446219</v>
      </c>
      <c r="F20" s="195"/>
      <c r="G20" s="191"/>
      <c r="H20" s="192"/>
      <c r="I20" s="195" t="s">
        <v>94</v>
      </c>
      <c r="J20" s="191"/>
      <c r="K20" s="195" t="s">
        <v>94</v>
      </c>
      <c r="O20" s="211"/>
    </row>
    <row r="21" spans="1:15">
      <c r="B21" s="191">
        <v>343197908</v>
      </c>
      <c r="C21" s="192"/>
      <c r="D21" s="209" t="s">
        <v>823</v>
      </c>
      <c r="E21" s="194">
        <v>367731765</v>
      </c>
      <c r="F21" s="195" t="s">
        <v>94</v>
      </c>
      <c r="G21" s="191"/>
      <c r="H21" s="192"/>
      <c r="I21" s="190" t="s">
        <v>824</v>
      </c>
      <c r="J21" s="191"/>
      <c r="K21" s="195" t="s">
        <v>94</v>
      </c>
    </row>
    <row r="22" spans="1:15">
      <c r="B22" s="191">
        <v>1276408104</v>
      </c>
      <c r="C22" s="192"/>
      <c r="D22" s="209" t="s">
        <v>825</v>
      </c>
      <c r="E22" s="198">
        <v>1932068020</v>
      </c>
      <c r="F22" s="195" t="s">
        <v>94</v>
      </c>
      <c r="G22" s="191">
        <v>100000</v>
      </c>
      <c r="H22" s="192"/>
      <c r="I22" s="190" t="s">
        <v>826</v>
      </c>
      <c r="J22" s="191"/>
      <c r="K22" s="195">
        <v>100000</v>
      </c>
      <c r="M22" s="212"/>
    </row>
    <row r="23" spans="1:15">
      <c r="B23" s="191">
        <v>1078500000</v>
      </c>
      <c r="C23" s="211"/>
      <c r="D23" s="209" t="s">
        <v>827</v>
      </c>
      <c r="E23" s="213">
        <v>1078500000</v>
      </c>
      <c r="F23" s="214">
        <v>29282946004</v>
      </c>
      <c r="G23" s="191"/>
      <c r="H23" s="192"/>
      <c r="I23" s="190" t="s">
        <v>94</v>
      </c>
      <c r="J23" s="191" t="s">
        <v>94</v>
      </c>
      <c r="K23" s="195"/>
      <c r="N23" s="211"/>
    </row>
    <row r="24" spans="1:15">
      <c r="A24" s="190"/>
      <c r="B24" s="191"/>
      <c r="C24" s="192"/>
      <c r="D24" s="190"/>
      <c r="E24" s="194"/>
      <c r="F24" s="195" t="s">
        <v>94</v>
      </c>
      <c r="G24" s="200">
        <v>-34224895210</v>
      </c>
      <c r="H24" s="192"/>
      <c r="I24" s="215" t="s">
        <v>47</v>
      </c>
      <c r="J24" s="191" t="s">
        <v>94</v>
      </c>
      <c r="K24" s="216">
        <f>K19-K22</f>
        <v>-38857167354</v>
      </c>
      <c r="M24" s="217"/>
    </row>
    <row r="25" spans="1:15">
      <c r="A25" s="190"/>
      <c r="B25" s="191">
        <v>2395782292</v>
      </c>
      <c r="C25" s="192"/>
      <c r="D25" s="190" t="s">
        <v>828</v>
      </c>
      <c r="E25" s="194"/>
      <c r="F25" s="218">
        <v>2841969644</v>
      </c>
      <c r="G25" s="191"/>
      <c r="H25" s="192"/>
      <c r="I25" s="190"/>
      <c r="J25" s="191" t="s">
        <v>94</v>
      </c>
      <c r="K25" s="195"/>
    </row>
    <row r="26" spans="1:15">
      <c r="A26" s="190"/>
      <c r="B26" s="191" t="s">
        <v>94</v>
      </c>
      <c r="C26" s="192"/>
      <c r="D26" s="190"/>
      <c r="E26" s="194"/>
      <c r="G26" s="191"/>
      <c r="H26" s="192"/>
      <c r="I26" s="190" t="s">
        <v>829</v>
      </c>
      <c r="J26" s="191" t="s">
        <v>94</v>
      </c>
      <c r="K26" s="195"/>
    </row>
    <row r="27" spans="1:15">
      <c r="A27" s="190"/>
      <c r="B27" s="191">
        <v>265141503</v>
      </c>
      <c r="C27" s="192"/>
      <c r="D27" s="190" t="s">
        <v>830</v>
      </c>
      <c r="E27" s="194"/>
      <c r="F27" s="180">
        <v>356348402</v>
      </c>
      <c r="G27" s="191"/>
      <c r="H27" s="192"/>
      <c r="I27" s="190" t="s">
        <v>831</v>
      </c>
      <c r="J27" s="191" t="s">
        <v>94</v>
      </c>
      <c r="K27" s="195"/>
    </row>
    <row r="28" spans="1:15">
      <c r="A28" s="190"/>
      <c r="B28" s="191"/>
      <c r="C28" s="192"/>
      <c r="D28" s="190"/>
      <c r="E28" s="194"/>
      <c r="G28" s="191">
        <v>0</v>
      </c>
      <c r="H28" s="192"/>
      <c r="I28" s="190" t="s">
        <v>832</v>
      </c>
      <c r="J28" s="191" t="s">
        <v>94</v>
      </c>
      <c r="K28" s="195">
        <v>0</v>
      </c>
    </row>
    <row r="29" spans="1:15">
      <c r="A29" s="190"/>
      <c r="B29" s="191">
        <v>388885129</v>
      </c>
      <c r="C29" s="192"/>
      <c r="D29" s="190" t="s">
        <v>833</v>
      </c>
      <c r="E29" s="194"/>
      <c r="F29" s="180">
        <v>462606574</v>
      </c>
      <c r="G29" s="191"/>
      <c r="H29" s="192"/>
      <c r="J29" s="219" t="s">
        <v>94</v>
      </c>
      <c r="K29" s="191" t="s">
        <v>94</v>
      </c>
    </row>
    <row r="30" spans="1:15">
      <c r="A30" s="190"/>
      <c r="B30" s="191" t="s">
        <v>94</v>
      </c>
      <c r="C30" s="192"/>
      <c r="D30" s="190" t="s">
        <v>94</v>
      </c>
      <c r="E30" s="194"/>
      <c r="G30" s="191"/>
      <c r="H30" s="192"/>
      <c r="I30" s="190" t="s">
        <v>834</v>
      </c>
      <c r="J30" s="191"/>
      <c r="K30" s="195"/>
    </row>
    <row r="31" spans="1:15">
      <c r="A31" s="190"/>
      <c r="B31" s="191">
        <v>861285619</v>
      </c>
      <c r="C31" s="192"/>
      <c r="D31" s="190" t="s">
        <v>804</v>
      </c>
      <c r="E31" s="194"/>
      <c r="F31" s="218">
        <v>1199721571</v>
      </c>
      <c r="G31" s="191">
        <v>100000</v>
      </c>
      <c r="H31" s="192"/>
      <c r="I31" s="190" t="s">
        <v>835</v>
      </c>
      <c r="J31" s="191" t="s">
        <v>94</v>
      </c>
      <c r="K31" s="195">
        <v>100000</v>
      </c>
    </row>
    <row r="32" spans="1:15">
      <c r="A32" s="190"/>
      <c r="B32" s="191" t="s">
        <v>94</v>
      </c>
      <c r="C32" s="192"/>
      <c r="D32" s="190" t="s">
        <v>94</v>
      </c>
      <c r="E32" s="194"/>
      <c r="G32" s="191"/>
      <c r="H32" s="192"/>
      <c r="J32" s="191" t="s">
        <v>94</v>
      </c>
      <c r="K32" s="195"/>
    </row>
    <row r="33" spans="1:12">
      <c r="A33" s="190"/>
      <c r="B33" s="191">
        <v>604610882</v>
      </c>
      <c r="C33" s="192"/>
      <c r="D33" s="190" t="s">
        <v>836</v>
      </c>
      <c r="E33" s="194"/>
      <c r="F33" s="180">
        <v>911604477</v>
      </c>
      <c r="G33" s="191" t="s">
        <v>94</v>
      </c>
      <c r="H33" s="192"/>
      <c r="I33" s="190" t="s">
        <v>837</v>
      </c>
      <c r="J33" s="191" t="s">
        <v>94</v>
      </c>
      <c r="K33" s="195" t="s">
        <v>94</v>
      </c>
    </row>
    <row r="34" spans="1:12">
      <c r="A34" s="190"/>
      <c r="B34" s="191"/>
      <c r="C34" s="192"/>
      <c r="D34" s="190"/>
      <c r="E34" s="194"/>
      <c r="G34" s="191">
        <v>0</v>
      </c>
      <c r="H34" s="192"/>
      <c r="I34" s="190" t="s">
        <v>838</v>
      </c>
      <c r="J34" s="219"/>
      <c r="K34" s="191">
        <v>0</v>
      </c>
    </row>
    <row r="35" spans="1:12">
      <c r="A35" s="190"/>
      <c r="B35" s="191">
        <v>472712106</v>
      </c>
      <c r="C35" s="192"/>
      <c r="D35" s="190" t="s">
        <v>839</v>
      </c>
      <c r="E35" s="194"/>
      <c r="F35" s="191">
        <v>533598229</v>
      </c>
      <c r="G35" s="195"/>
      <c r="H35" s="192"/>
      <c r="I35" s="190"/>
      <c r="J35" s="191"/>
      <c r="K35" s="191"/>
    </row>
    <row r="36" spans="1:12">
      <c r="A36" s="190"/>
      <c r="B36" s="191" t="s">
        <v>94</v>
      </c>
      <c r="C36" s="192"/>
      <c r="D36" s="190"/>
      <c r="E36" s="194"/>
      <c r="F36" s="191"/>
      <c r="G36" s="202">
        <v>-448584769</v>
      </c>
      <c r="H36" s="192"/>
      <c r="I36" s="190" t="s">
        <v>840</v>
      </c>
      <c r="J36" s="191"/>
      <c r="K36" s="196">
        <v>-20379734</v>
      </c>
    </row>
    <row r="37" spans="1:12">
      <c r="A37" s="190"/>
      <c r="B37" s="191">
        <v>335569974</v>
      </c>
      <c r="C37" s="192"/>
      <c r="D37" s="190" t="s">
        <v>841</v>
      </c>
      <c r="E37" s="194"/>
      <c r="F37" s="191">
        <v>325817671</v>
      </c>
      <c r="G37" s="195"/>
      <c r="H37" s="192"/>
      <c r="I37" s="190" t="s">
        <v>94</v>
      </c>
      <c r="J37" s="191"/>
      <c r="K37" s="195"/>
    </row>
    <row r="38" spans="1:12">
      <c r="A38" s="190"/>
      <c r="B38" s="191" t="s">
        <v>94</v>
      </c>
      <c r="C38" s="192"/>
      <c r="D38" s="190"/>
      <c r="E38" s="194"/>
      <c r="G38" s="191"/>
      <c r="H38" s="192"/>
      <c r="J38" s="191"/>
      <c r="K38" s="195" t="s">
        <v>94</v>
      </c>
    </row>
    <row r="39" spans="1:12">
      <c r="A39" s="190"/>
      <c r="B39" s="191">
        <v>1273000000</v>
      </c>
      <c r="C39" s="192"/>
      <c r="D39" s="190" t="s">
        <v>842</v>
      </c>
      <c r="E39" s="194"/>
      <c r="F39" s="180">
        <v>0</v>
      </c>
      <c r="G39" s="191" t="s">
        <v>94</v>
      </c>
      <c r="H39" s="211"/>
      <c r="I39" s="190" t="s">
        <v>94</v>
      </c>
      <c r="J39" s="219" t="s">
        <v>94</v>
      </c>
      <c r="K39" s="191" t="s">
        <v>94</v>
      </c>
    </row>
    <row r="40" spans="1:12">
      <c r="A40" s="190"/>
      <c r="B40" s="191" t="s">
        <v>94</v>
      </c>
      <c r="C40" s="220"/>
      <c r="D40" s="190"/>
      <c r="E40" s="194" t="s">
        <v>94</v>
      </c>
      <c r="F40" s="221"/>
      <c r="G40" s="191"/>
      <c r="H40" s="220"/>
      <c r="I40" s="190"/>
      <c r="J40" s="191"/>
      <c r="K40" s="195"/>
    </row>
    <row r="41" spans="1:12">
      <c r="A41" s="190"/>
      <c r="B41" s="222">
        <v>30853648706</v>
      </c>
      <c r="C41" s="223"/>
      <c r="D41" s="184" t="s">
        <v>499</v>
      </c>
      <c r="E41" s="224"/>
      <c r="F41" s="225">
        <v>35914612572</v>
      </c>
      <c r="G41" s="226">
        <v>-33776210441</v>
      </c>
      <c r="H41" s="223"/>
      <c r="I41" s="184" t="s">
        <v>843</v>
      </c>
      <c r="J41" s="227" t="s">
        <v>94</v>
      </c>
      <c r="K41" s="226">
        <v>-38836687620</v>
      </c>
    </row>
    <row r="42" spans="1:12">
      <c r="A42" s="190"/>
      <c r="B42" s="226">
        <v>-4560281506</v>
      </c>
      <c r="C42" s="223"/>
      <c r="D42" s="184" t="s">
        <v>844</v>
      </c>
      <c r="E42" s="224"/>
      <c r="F42" s="225">
        <v>1254184806</v>
      </c>
      <c r="G42" s="228" t="s">
        <v>94</v>
      </c>
      <c r="H42" s="223"/>
      <c r="I42" s="184"/>
      <c r="J42" s="227"/>
      <c r="K42" s="229"/>
    </row>
    <row r="43" spans="1:12">
      <c r="B43" s="230"/>
      <c r="C43" s="211"/>
      <c r="D43" s="215"/>
      <c r="E43" s="211"/>
      <c r="F43" s="230"/>
      <c r="G43" s="230"/>
      <c r="H43" s="211"/>
      <c r="I43" s="215"/>
      <c r="K43" s="231"/>
      <c r="L43" s="211"/>
    </row>
    <row r="44" spans="1:12">
      <c r="B44" s="230"/>
      <c r="C44" s="211"/>
      <c r="D44" s="215"/>
      <c r="E44" s="211"/>
      <c r="F44" s="230"/>
      <c r="G44" s="230"/>
      <c r="H44" s="211"/>
      <c r="I44" s="215"/>
      <c r="J44" s="230"/>
      <c r="K44" s="230" t="s">
        <v>94</v>
      </c>
      <c r="L44" s="211"/>
    </row>
    <row r="45" spans="1:12" ht="17.25">
      <c r="B45" s="230"/>
      <c r="C45" s="211"/>
      <c r="D45" s="215"/>
      <c r="E45" s="211"/>
      <c r="F45" s="232" t="s">
        <v>846</v>
      </c>
      <c r="G45" s="230"/>
      <c r="H45" s="211"/>
      <c r="I45" s="215"/>
      <c r="J45" s="230"/>
      <c r="K45" s="230"/>
      <c r="L45" s="211"/>
    </row>
    <row r="46" spans="1:12">
      <c r="B46" s="233"/>
      <c r="C46" s="234"/>
      <c r="E46" s="234"/>
      <c r="F46" s="233"/>
      <c r="G46" s="230"/>
      <c r="H46" s="211"/>
      <c r="I46" s="215"/>
      <c r="J46" s="230"/>
      <c r="K46" s="230"/>
      <c r="L46" s="211"/>
    </row>
    <row r="47" spans="1:12" ht="15.75">
      <c r="B47" s="235" t="s">
        <v>808</v>
      </c>
      <c r="C47" s="236"/>
      <c r="D47" s="1729" t="s">
        <v>809</v>
      </c>
      <c r="E47" s="1730"/>
      <c r="F47" s="1731" t="s">
        <v>810</v>
      </c>
      <c r="G47" s="1742"/>
      <c r="H47" s="1743"/>
      <c r="I47" s="1743"/>
      <c r="J47" s="1744"/>
      <c r="K47" s="1744"/>
    </row>
    <row r="48" spans="1:12" hidden="1">
      <c r="B48" s="237" t="s">
        <v>586</v>
      </c>
      <c r="C48" s="238"/>
      <c r="D48" s="239"/>
      <c r="E48" s="240" t="s">
        <v>586</v>
      </c>
      <c r="F48" s="1732" t="s">
        <v>586</v>
      </c>
      <c r="G48" s="1740" t="s">
        <v>586</v>
      </c>
      <c r="H48" s="1739"/>
      <c r="I48" s="244"/>
      <c r="J48" s="1738" t="s">
        <v>586</v>
      </c>
      <c r="K48" s="1738" t="s">
        <v>586</v>
      </c>
    </row>
    <row r="49" spans="2:13">
      <c r="B49" s="185"/>
      <c r="C49" s="186"/>
      <c r="D49" s="187"/>
      <c r="E49" s="188"/>
      <c r="F49" s="1733" t="s">
        <v>94</v>
      </c>
      <c r="G49" s="219"/>
      <c r="H49" s="211"/>
      <c r="I49" s="211"/>
      <c r="J49" s="230"/>
      <c r="K49" s="230"/>
    </row>
    <row r="50" spans="2:13">
      <c r="B50" s="191"/>
      <c r="C50" s="192"/>
      <c r="D50" s="193" t="s">
        <v>847</v>
      </c>
      <c r="E50" s="194"/>
      <c r="F50" s="219"/>
      <c r="G50" s="219"/>
      <c r="H50" s="211"/>
      <c r="I50" s="211"/>
      <c r="J50" s="230"/>
      <c r="K50" s="230"/>
    </row>
    <row r="51" spans="2:13">
      <c r="B51" s="191">
        <v>12975833762</v>
      </c>
      <c r="C51" s="192"/>
      <c r="D51" s="190" t="s">
        <v>848</v>
      </c>
      <c r="E51" s="194"/>
      <c r="F51" s="180">
        <v>13792443449</v>
      </c>
      <c r="G51" s="219"/>
      <c r="H51" s="211"/>
      <c r="I51" s="211" t="s">
        <v>94</v>
      </c>
      <c r="J51" s="230"/>
      <c r="K51" s="230"/>
    </row>
    <row r="52" spans="2:13">
      <c r="B52" s="191">
        <v>60661176</v>
      </c>
      <c r="C52" s="192"/>
      <c r="D52" s="190" t="s">
        <v>818</v>
      </c>
      <c r="E52" s="194"/>
      <c r="F52" s="180">
        <v>88426869</v>
      </c>
      <c r="G52" s="219" t="s">
        <v>94</v>
      </c>
      <c r="H52" s="211"/>
      <c r="I52" s="211"/>
      <c r="J52" s="230"/>
      <c r="K52" s="230"/>
      <c r="M52" s="179" t="s">
        <v>94</v>
      </c>
    </row>
    <row r="53" spans="2:13">
      <c r="B53" s="191">
        <v>139879589</v>
      </c>
      <c r="C53" s="192"/>
      <c r="D53" s="190" t="s">
        <v>849</v>
      </c>
      <c r="E53" s="194"/>
      <c r="F53" s="180">
        <v>105525242</v>
      </c>
      <c r="G53" s="219"/>
      <c r="H53" s="211"/>
      <c r="I53" s="211"/>
      <c r="J53" s="230"/>
      <c r="K53" s="230"/>
    </row>
    <row r="54" spans="2:13">
      <c r="B54" s="204">
        <v>13176374527</v>
      </c>
      <c r="C54" s="192"/>
      <c r="D54" s="241" t="s">
        <v>47</v>
      </c>
      <c r="E54" s="194" t="s">
        <v>94</v>
      </c>
      <c r="F54" s="1734">
        <v>13986395560</v>
      </c>
      <c r="G54" s="219"/>
      <c r="H54" s="211"/>
      <c r="I54" s="211" t="s">
        <v>94</v>
      </c>
      <c r="J54" s="230"/>
      <c r="K54" s="230"/>
    </row>
    <row r="55" spans="2:13">
      <c r="B55" s="191"/>
      <c r="C55" s="192"/>
      <c r="D55" s="190"/>
      <c r="E55" s="194"/>
      <c r="G55" s="219"/>
      <c r="H55" s="211"/>
      <c r="I55" s="211"/>
      <c r="J55" s="230"/>
      <c r="K55" s="230"/>
    </row>
    <row r="56" spans="2:13">
      <c r="B56" s="191"/>
      <c r="C56" s="192"/>
      <c r="D56" s="193" t="s">
        <v>850</v>
      </c>
      <c r="E56" s="194"/>
      <c r="G56" s="219"/>
      <c r="H56" s="211"/>
      <c r="I56" s="211"/>
      <c r="J56" s="230"/>
      <c r="K56" s="230"/>
    </row>
    <row r="57" spans="2:13">
      <c r="B57" s="191"/>
      <c r="C57" s="192"/>
      <c r="D57" s="190"/>
      <c r="E57" s="194"/>
      <c r="G57" s="219"/>
      <c r="H57" s="211"/>
      <c r="I57" s="211"/>
      <c r="J57" s="230"/>
      <c r="K57" s="230"/>
    </row>
    <row r="58" spans="2:13">
      <c r="B58" s="198">
        <v>3789600943</v>
      </c>
      <c r="C58" s="192"/>
      <c r="D58" s="190" t="s">
        <v>851</v>
      </c>
      <c r="E58" s="194"/>
      <c r="F58" s="218">
        <v>4309144734</v>
      </c>
      <c r="G58" s="219"/>
      <c r="H58" s="211"/>
      <c r="I58" s="211"/>
      <c r="J58" s="230"/>
      <c r="K58" s="230"/>
    </row>
    <row r="59" spans="2:13">
      <c r="B59" s="191" t="s">
        <v>277</v>
      </c>
      <c r="C59" s="192"/>
      <c r="D59" s="190"/>
      <c r="E59" s="194"/>
      <c r="G59" s="219"/>
      <c r="H59" s="211"/>
      <c r="I59" s="211"/>
      <c r="J59" s="230"/>
      <c r="K59" s="230"/>
    </row>
    <row r="60" spans="2:13">
      <c r="B60" s="198">
        <v>8734868077</v>
      </c>
      <c r="C60" s="192"/>
      <c r="D60" s="190" t="s">
        <v>828</v>
      </c>
      <c r="E60" s="194"/>
      <c r="F60" s="218">
        <v>11346841201</v>
      </c>
      <c r="G60" s="219"/>
      <c r="H60" s="211"/>
      <c r="I60" s="211"/>
      <c r="J60" s="230"/>
      <c r="K60" s="230"/>
    </row>
    <row r="61" spans="2:13">
      <c r="B61" s="191" t="s">
        <v>94</v>
      </c>
      <c r="C61" s="192"/>
      <c r="D61" s="190" t="s">
        <v>94</v>
      </c>
      <c r="E61" s="194"/>
      <c r="G61" s="219"/>
      <c r="H61" s="211"/>
      <c r="I61" s="211"/>
      <c r="J61" s="230"/>
      <c r="K61" s="230"/>
    </row>
    <row r="62" spans="2:13">
      <c r="B62" s="191">
        <v>516024666</v>
      </c>
      <c r="C62" s="192"/>
      <c r="D62" s="190" t="s">
        <v>830</v>
      </c>
      <c r="E62" s="194"/>
      <c r="F62" s="180">
        <v>455041406</v>
      </c>
      <c r="G62" s="219" t="s">
        <v>94</v>
      </c>
      <c r="H62" s="211"/>
      <c r="I62" s="211"/>
      <c r="J62" s="230"/>
      <c r="K62" s="230"/>
    </row>
    <row r="63" spans="2:13">
      <c r="B63" s="191" t="s">
        <v>94</v>
      </c>
      <c r="C63" s="192"/>
      <c r="D63" s="190"/>
      <c r="E63" s="194"/>
      <c r="G63" s="219"/>
      <c r="H63" s="211"/>
      <c r="I63" s="211"/>
      <c r="J63" s="230"/>
      <c r="K63" s="230"/>
      <c r="M63" s="217"/>
    </row>
    <row r="64" spans="2:13">
      <c r="B64" s="191">
        <v>651312117</v>
      </c>
      <c r="C64" s="192"/>
      <c r="D64" s="190" t="s">
        <v>833</v>
      </c>
      <c r="E64" s="194"/>
      <c r="F64" s="180">
        <v>948273033</v>
      </c>
      <c r="G64" s="219"/>
      <c r="H64" s="211"/>
      <c r="I64" s="211"/>
      <c r="J64" s="230"/>
      <c r="K64" s="230"/>
    </row>
    <row r="65" spans="2:11">
      <c r="B65" s="191"/>
      <c r="C65" s="192"/>
      <c r="D65" s="190"/>
      <c r="E65" s="194"/>
      <c r="G65" s="219"/>
      <c r="H65" s="211"/>
      <c r="I65" s="211"/>
      <c r="J65" s="230"/>
      <c r="K65" s="230"/>
    </row>
    <row r="66" spans="2:11">
      <c r="B66" s="191">
        <v>196384488</v>
      </c>
      <c r="C66" s="192"/>
      <c r="D66" s="190" t="s">
        <v>804</v>
      </c>
      <c r="E66" s="194" t="s">
        <v>94</v>
      </c>
      <c r="F66" s="180">
        <v>218431896</v>
      </c>
      <c r="G66" s="219"/>
      <c r="H66" s="211"/>
      <c r="I66" s="211"/>
      <c r="J66" s="230"/>
      <c r="K66" s="230"/>
    </row>
    <row r="67" spans="2:11">
      <c r="B67" s="191" t="s">
        <v>94</v>
      </c>
      <c r="C67" s="192"/>
      <c r="D67" s="190" t="s">
        <v>94</v>
      </c>
      <c r="E67" s="194" t="s">
        <v>94</v>
      </c>
      <c r="G67" s="219"/>
      <c r="H67" s="211"/>
      <c r="I67" s="211"/>
      <c r="J67" s="230"/>
      <c r="K67" s="230"/>
    </row>
    <row r="68" spans="2:11">
      <c r="B68" s="198">
        <v>1010304880</v>
      </c>
      <c r="C68" s="192"/>
      <c r="D68" s="190" t="s">
        <v>836</v>
      </c>
      <c r="E68" s="194"/>
      <c r="F68" s="180">
        <v>553047656</v>
      </c>
      <c r="G68" s="219"/>
      <c r="H68" s="211"/>
      <c r="I68" s="211"/>
      <c r="J68" s="230"/>
      <c r="K68" s="230"/>
    </row>
    <row r="69" spans="2:11">
      <c r="B69" s="191" t="s">
        <v>94</v>
      </c>
      <c r="C69" s="192"/>
      <c r="D69" s="190"/>
      <c r="E69" s="194"/>
      <c r="G69" s="219"/>
      <c r="H69" s="211"/>
      <c r="I69" s="211"/>
      <c r="J69" s="230"/>
      <c r="K69" s="230"/>
    </row>
    <row r="70" spans="2:11">
      <c r="B70" s="198">
        <v>1502909850</v>
      </c>
      <c r="C70" s="192"/>
      <c r="D70" s="190" t="s">
        <v>852</v>
      </c>
      <c r="E70" s="194"/>
      <c r="F70" s="180">
        <v>1655007698</v>
      </c>
      <c r="G70" s="219"/>
      <c r="H70" s="211"/>
      <c r="I70" s="211"/>
      <c r="J70" s="230"/>
      <c r="K70" s="230"/>
    </row>
    <row r="71" spans="2:11">
      <c r="B71" s="191" t="s">
        <v>94</v>
      </c>
      <c r="C71" s="192"/>
      <c r="D71" s="190"/>
      <c r="E71" s="194"/>
      <c r="G71" s="219"/>
      <c r="H71" s="211"/>
      <c r="I71" s="211"/>
      <c r="J71" s="230"/>
      <c r="K71" s="230"/>
    </row>
    <row r="72" spans="2:11">
      <c r="B72" s="191" t="s">
        <v>94</v>
      </c>
      <c r="C72" s="192"/>
      <c r="D72" s="190"/>
      <c r="E72" s="194"/>
      <c r="G72" s="219"/>
      <c r="H72" s="211"/>
      <c r="I72" s="211"/>
      <c r="J72" s="230"/>
      <c r="K72" s="230"/>
    </row>
    <row r="73" spans="2:11">
      <c r="B73" s="191">
        <v>692263857</v>
      </c>
      <c r="C73" s="192"/>
      <c r="D73" s="190" t="s">
        <v>853</v>
      </c>
      <c r="E73" s="194"/>
      <c r="F73" s="180">
        <v>835649655</v>
      </c>
      <c r="G73" s="219"/>
      <c r="H73" s="211"/>
      <c r="I73" s="211"/>
      <c r="J73" s="230"/>
      <c r="K73" s="230"/>
    </row>
    <row r="74" spans="2:11">
      <c r="B74" s="191" t="s">
        <v>94</v>
      </c>
      <c r="C74" s="192"/>
      <c r="D74" s="190"/>
      <c r="E74" s="194" t="s">
        <v>94</v>
      </c>
      <c r="G74" s="219"/>
      <c r="H74" s="211"/>
      <c r="I74" s="211"/>
      <c r="J74" s="230"/>
      <c r="K74" s="230"/>
    </row>
    <row r="75" spans="2:11">
      <c r="B75" s="191" t="s">
        <v>94</v>
      </c>
      <c r="C75" s="192"/>
      <c r="D75" s="190" t="s">
        <v>94</v>
      </c>
      <c r="E75" s="194"/>
      <c r="G75" s="219"/>
      <c r="H75" s="211"/>
      <c r="I75" s="211"/>
      <c r="J75" s="230"/>
      <c r="K75" s="230"/>
    </row>
    <row r="76" spans="2:11">
      <c r="B76" s="191" t="s">
        <v>94</v>
      </c>
      <c r="C76" s="192"/>
      <c r="D76" s="190" t="s">
        <v>94</v>
      </c>
      <c r="E76" s="194" t="s">
        <v>94</v>
      </c>
      <c r="G76" s="219"/>
      <c r="H76" s="211"/>
      <c r="I76" s="211"/>
      <c r="J76" s="230"/>
      <c r="K76" s="230"/>
    </row>
    <row r="77" spans="2:11">
      <c r="B77" s="191" t="s">
        <v>94</v>
      </c>
      <c r="C77" s="220"/>
      <c r="D77" s="190"/>
      <c r="E77" s="194"/>
      <c r="F77" s="1735"/>
      <c r="G77" s="219"/>
      <c r="H77" s="211"/>
      <c r="I77" s="211"/>
      <c r="J77" s="230"/>
      <c r="K77" s="230"/>
    </row>
    <row r="78" spans="2:11">
      <c r="B78" s="222">
        <v>17093668878</v>
      </c>
      <c r="C78" s="223"/>
      <c r="D78" s="184" t="s">
        <v>499</v>
      </c>
      <c r="E78" s="242"/>
      <c r="F78" s="1736">
        <v>20321437279</v>
      </c>
      <c r="G78" s="1741"/>
      <c r="H78" s="244"/>
      <c r="I78" s="215"/>
      <c r="J78" s="230"/>
      <c r="K78" s="230"/>
    </row>
    <row r="79" spans="2:11">
      <c r="B79" s="226">
        <v>-3917294351</v>
      </c>
      <c r="C79" s="223"/>
      <c r="D79" s="243" t="s">
        <v>844</v>
      </c>
      <c r="E79" s="242"/>
      <c r="F79" s="1737">
        <v>-6335041719</v>
      </c>
      <c r="G79" s="1741"/>
      <c r="H79" s="244"/>
      <c r="I79" s="215"/>
      <c r="J79" s="230"/>
      <c r="K79" s="230"/>
    </row>
    <row r="80" spans="2:11">
      <c r="B80" s="230"/>
      <c r="C80" s="211"/>
      <c r="D80" s="215"/>
      <c r="E80" s="211"/>
      <c r="F80" s="230"/>
      <c r="G80" s="230"/>
      <c r="H80" s="211"/>
      <c r="I80" s="215"/>
      <c r="J80" s="230"/>
      <c r="K80" s="230"/>
    </row>
    <row r="81" spans="2:12">
      <c r="B81" s="230"/>
      <c r="C81" s="211"/>
      <c r="D81" s="215"/>
      <c r="E81" s="211"/>
      <c r="F81" s="230"/>
      <c r="G81" s="230"/>
      <c r="H81" s="211"/>
      <c r="I81" s="215"/>
      <c r="J81" s="230"/>
      <c r="K81" s="230"/>
    </row>
    <row r="82" spans="2:12">
      <c r="B82" s="230"/>
      <c r="C82" s="211"/>
      <c r="D82" s="215"/>
      <c r="E82" s="211"/>
      <c r="F82" s="230"/>
      <c r="G82" s="230"/>
      <c r="H82" s="211"/>
      <c r="I82" s="215"/>
      <c r="J82" s="230"/>
      <c r="K82" s="230"/>
    </row>
    <row r="83" spans="2:12">
      <c r="B83" s="230"/>
      <c r="C83" s="211"/>
      <c r="D83" s="215"/>
      <c r="E83" s="211"/>
      <c r="F83" s="230"/>
      <c r="G83" s="230"/>
      <c r="H83" s="211"/>
      <c r="I83" s="215"/>
      <c r="J83" s="230"/>
      <c r="K83" s="230"/>
    </row>
    <row r="84" spans="2:12">
      <c r="B84" s="231" t="s">
        <v>854</v>
      </c>
      <c r="C84" s="211"/>
      <c r="D84" s="215"/>
      <c r="E84" s="244"/>
      <c r="F84" s="230"/>
      <c r="G84" s="231"/>
      <c r="I84" s="215"/>
      <c r="J84" s="231"/>
      <c r="K84" s="230"/>
    </row>
    <row r="85" spans="2:12">
      <c r="B85" s="230"/>
      <c r="C85" s="211"/>
      <c r="D85" s="215"/>
      <c r="E85" s="211"/>
      <c r="F85" s="230"/>
      <c r="G85" s="230"/>
      <c r="H85" s="211"/>
      <c r="I85" s="215"/>
      <c r="J85" s="230"/>
      <c r="K85" s="230"/>
    </row>
    <row r="86" spans="2:12">
      <c r="B86" s="230"/>
      <c r="C86" s="211"/>
      <c r="D86" s="215"/>
      <c r="E86" s="211"/>
      <c r="F86" s="230"/>
      <c r="G86" s="230"/>
      <c r="H86" s="211"/>
      <c r="I86" s="215"/>
      <c r="J86" s="230"/>
      <c r="K86" s="230"/>
    </row>
    <row r="87" spans="2:12">
      <c r="K87" s="230"/>
    </row>
    <row r="88" spans="2:12">
      <c r="K88" s="230"/>
    </row>
    <row r="89" spans="2:12" ht="15.75">
      <c r="D89" s="245"/>
      <c r="I89" s="245"/>
      <c r="K89" s="230"/>
    </row>
    <row r="90" spans="2:12" ht="15.75">
      <c r="D90" s="246"/>
      <c r="I90" s="246"/>
      <c r="K90" s="230"/>
      <c r="L90" s="179" t="s">
        <v>94</v>
      </c>
    </row>
    <row r="91" spans="2:12">
      <c r="K91" s="230"/>
    </row>
  </sheetData>
  <mergeCells count="4">
    <mergeCell ref="D1:I1"/>
    <mergeCell ref="D2:I2"/>
    <mergeCell ref="D3:I3"/>
    <mergeCell ref="D4:I4"/>
  </mergeCells>
  <printOptions horizontalCentered="1" verticalCentered="1"/>
  <pageMargins left="0" right="0" top="0" bottom="0" header="0.3" footer="0.3"/>
  <pageSetup paperSize="5" scale="88" orientation="landscape" horizontalDpi="180" verticalDpi="180" r:id="rId1"/>
  <rowBreaks count="1" manualBreakCount="1">
    <brk id="43" min="1" max="11" man="1"/>
  </rowBreaks>
</worksheet>
</file>

<file path=xl/worksheets/sheet121.xml><?xml version="1.0" encoding="utf-8"?>
<worksheet xmlns="http://schemas.openxmlformats.org/spreadsheetml/2006/main" xmlns:r="http://schemas.openxmlformats.org/officeDocument/2006/relationships">
  <sheetPr codeName="Sheet100"/>
  <dimension ref="A1:J33"/>
  <sheetViews>
    <sheetView showGridLines="0" view="pageBreakPreview" zoomScale="60" workbookViewId="0">
      <selection activeCell="G41" sqref="G41"/>
    </sheetView>
  </sheetViews>
  <sheetFormatPr defaultRowHeight="15"/>
  <cols>
    <col min="1" max="1" width="17.7109375" customWidth="1"/>
    <col min="2" max="5" width="9.28515625" bestFit="1" customWidth="1"/>
    <col min="6" max="6" width="9.42578125" bestFit="1" customWidth="1"/>
    <col min="7" max="9" width="9.28515625" bestFit="1" customWidth="1"/>
  </cols>
  <sheetData>
    <row r="1" spans="1:10">
      <c r="A1" s="6257" t="s">
        <v>2432</v>
      </c>
      <c r="B1" s="6258"/>
      <c r="C1" s="6258"/>
      <c r="D1" s="6258"/>
      <c r="E1" s="6258"/>
      <c r="F1" s="6258"/>
      <c r="G1" s="6258"/>
      <c r="H1" s="6258"/>
      <c r="I1" s="6258"/>
      <c r="J1" s="6259"/>
    </row>
    <row r="2" spans="1:10" hidden="1"/>
    <row r="3" spans="1:10" ht="15.75" thickBot="1">
      <c r="A3" t="s">
        <v>710</v>
      </c>
      <c r="C3" s="143" t="s">
        <v>711</v>
      </c>
      <c r="D3" s="143"/>
    </row>
    <row r="4" spans="1:10" ht="15.75" hidden="1" thickBot="1"/>
    <row r="5" spans="1:10">
      <c r="A5" s="1258" t="s">
        <v>712</v>
      </c>
      <c r="B5" s="1258" t="s">
        <v>713</v>
      </c>
      <c r="C5" s="1259" t="s">
        <v>714</v>
      </c>
      <c r="D5" s="1259" t="s">
        <v>715</v>
      </c>
      <c r="E5" s="1258" t="s">
        <v>47</v>
      </c>
      <c r="F5" s="1259" t="s">
        <v>563</v>
      </c>
      <c r="G5" s="1259" t="s">
        <v>716</v>
      </c>
      <c r="H5" s="1260">
        <v>0.7</v>
      </c>
      <c r="I5" s="1259" t="s">
        <v>717</v>
      </c>
    </row>
    <row r="6" spans="1:10">
      <c r="A6" s="1261" t="s">
        <v>718</v>
      </c>
      <c r="B6" s="1261"/>
      <c r="C6" s="1262" t="s">
        <v>380</v>
      </c>
      <c r="D6" s="1262" t="s">
        <v>719</v>
      </c>
      <c r="E6" s="1261" t="s">
        <v>720</v>
      </c>
      <c r="F6" s="1262" t="s">
        <v>721</v>
      </c>
      <c r="G6" s="1262" t="s">
        <v>722</v>
      </c>
      <c r="H6" s="1261" t="s">
        <v>723</v>
      </c>
      <c r="I6" s="1262" t="s">
        <v>724</v>
      </c>
    </row>
    <row r="7" spans="1:10">
      <c r="A7" s="1261"/>
      <c r="B7" s="1261"/>
      <c r="C7" s="1262"/>
      <c r="D7" s="1262" t="s">
        <v>725</v>
      </c>
      <c r="E7" s="1261"/>
      <c r="F7" s="1262" t="s">
        <v>557</v>
      </c>
      <c r="G7" s="1262" t="s">
        <v>558</v>
      </c>
      <c r="H7" s="1261" t="s">
        <v>726</v>
      </c>
      <c r="I7" s="1262" t="s">
        <v>727</v>
      </c>
    </row>
    <row r="8" spans="1:10">
      <c r="A8" s="1261"/>
      <c r="B8" s="1261"/>
      <c r="C8" s="1262"/>
      <c r="D8" s="1262" t="s">
        <v>557</v>
      </c>
      <c r="E8" s="1261"/>
      <c r="F8" s="1262"/>
      <c r="G8" s="1262" t="s">
        <v>728</v>
      </c>
      <c r="H8" s="1261"/>
      <c r="I8" s="1262"/>
    </row>
    <row r="9" spans="1:10">
      <c r="A9" s="1261"/>
      <c r="B9" s="1261"/>
      <c r="C9" s="1262"/>
      <c r="D9" s="1262"/>
      <c r="E9" s="1261"/>
      <c r="F9" s="1262"/>
      <c r="G9" s="1262"/>
      <c r="H9" s="1261" t="s">
        <v>729</v>
      </c>
      <c r="I9" s="1262"/>
    </row>
    <row r="10" spans="1:10">
      <c r="A10" s="1261"/>
      <c r="B10" s="1261"/>
      <c r="C10" s="1262"/>
      <c r="D10" s="1262"/>
      <c r="E10" s="1261"/>
      <c r="F10" s="1262"/>
      <c r="G10" s="1262"/>
      <c r="H10" s="1261"/>
      <c r="I10" s="1262"/>
    </row>
    <row r="11" spans="1:10">
      <c r="A11" s="896">
        <v>1</v>
      </c>
      <c r="B11" s="896">
        <v>2</v>
      </c>
      <c r="C11" s="896">
        <v>3</v>
      </c>
      <c r="D11" s="896">
        <v>4</v>
      </c>
      <c r="E11" s="896">
        <v>5</v>
      </c>
      <c r="F11" s="896">
        <v>6</v>
      </c>
      <c r="G11" s="896">
        <v>7</v>
      </c>
      <c r="H11" s="896">
        <v>8</v>
      </c>
      <c r="I11" s="896">
        <v>9</v>
      </c>
    </row>
    <row r="12" spans="1:10" hidden="1">
      <c r="A12" s="1"/>
      <c r="B12" s="1"/>
      <c r="C12" s="1"/>
      <c r="D12" s="1"/>
      <c r="E12" s="1"/>
      <c r="F12" s="1"/>
      <c r="G12" s="1"/>
      <c r="H12" s="1"/>
      <c r="I12" s="1"/>
    </row>
    <row r="13" spans="1:10" hidden="1">
      <c r="A13" s="1"/>
      <c r="B13" s="1"/>
      <c r="C13" s="1"/>
      <c r="D13" s="1"/>
      <c r="E13" s="1"/>
      <c r="F13" s="1"/>
      <c r="G13" s="1"/>
      <c r="H13" s="1"/>
      <c r="I13" s="1"/>
    </row>
    <row r="14" spans="1:10">
      <c r="A14" s="1" t="s">
        <v>730</v>
      </c>
      <c r="B14" s="1" t="s">
        <v>731</v>
      </c>
      <c r="C14" s="912">
        <v>12.93</v>
      </c>
      <c r="D14" s="912">
        <v>23.66</v>
      </c>
      <c r="E14" s="912">
        <f>+C14+D14</f>
        <v>36.590000000000003</v>
      </c>
      <c r="F14" s="912">
        <v>7.32</v>
      </c>
      <c r="G14" s="912">
        <f>+E14-F14</f>
        <v>29.270000000000003</v>
      </c>
      <c r="H14" s="912">
        <f>F14*70/100</f>
        <v>5.1239999999999997</v>
      </c>
      <c r="I14" s="912">
        <f>H14*11/100/2</f>
        <v>0.28181999999999996</v>
      </c>
    </row>
    <row r="15" spans="1:10" hidden="1">
      <c r="A15" s="1"/>
      <c r="B15" s="1"/>
      <c r="C15" s="912" t="s">
        <v>94</v>
      </c>
      <c r="D15" s="912"/>
      <c r="E15" s="912" t="s">
        <v>94</v>
      </c>
      <c r="F15" s="912" t="s">
        <v>732</v>
      </c>
      <c r="G15" s="912" t="s">
        <v>94</v>
      </c>
      <c r="H15" s="912"/>
      <c r="I15" s="912"/>
    </row>
    <row r="16" spans="1:10">
      <c r="A16" s="1" t="s">
        <v>730</v>
      </c>
      <c r="B16" s="1" t="s">
        <v>733</v>
      </c>
      <c r="C16" s="1263">
        <v>7.62</v>
      </c>
      <c r="D16" s="912">
        <v>13.24</v>
      </c>
      <c r="E16" s="912">
        <f>+C16+D16</f>
        <v>20.86</v>
      </c>
      <c r="F16" s="912">
        <v>13.3</v>
      </c>
      <c r="G16" s="912">
        <f>+E16-F16</f>
        <v>7.5599999999999987</v>
      </c>
      <c r="H16" s="912">
        <f>F16*70/100</f>
        <v>9.31</v>
      </c>
      <c r="I16" s="912">
        <f>H16*11/100/2</f>
        <v>0.51205000000000001</v>
      </c>
    </row>
    <row r="17" spans="1:9" hidden="1">
      <c r="A17" s="1"/>
      <c r="B17" s="1"/>
      <c r="C17" s="912" t="s">
        <v>94</v>
      </c>
      <c r="D17" s="912" t="s">
        <v>94</v>
      </c>
      <c r="E17" s="912" t="s">
        <v>94</v>
      </c>
      <c r="F17" s="912" t="s">
        <v>94</v>
      </c>
      <c r="G17" s="912" t="s">
        <v>94</v>
      </c>
      <c r="H17" s="912"/>
      <c r="I17" s="912"/>
    </row>
    <row r="18" spans="1:9">
      <c r="A18" s="1" t="s">
        <v>730</v>
      </c>
      <c r="B18" s="1" t="s">
        <v>734</v>
      </c>
      <c r="C18" s="912">
        <v>0.01</v>
      </c>
      <c r="D18" s="912">
        <v>30.17</v>
      </c>
      <c r="E18" s="912">
        <f t="shared" ref="E18:E30" si="0">+C18+D18</f>
        <v>30.180000000000003</v>
      </c>
      <c r="F18" s="912">
        <v>30.18</v>
      </c>
      <c r="G18" s="912">
        <f>+E18-F18</f>
        <v>0</v>
      </c>
      <c r="H18" s="912">
        <f>F18*70/100</f>
        <v>21.125999999999998</v>
      </c>
      <c r="I18" s="912">
        <v>0</v>
      </c>
    </row>
    <row r="19" spans="1:9" hidden="1">
      <c r="A19" s="1"/>
      <c r="B19" s="1"/>
      <c r="C19" s="912" t="s">
        <v>94</v>
      </c>
      <c r="D19" s="912"/>
      <c r="E19" s="912" t="s">
        <v>94</v>
      </c>
      <c r="F19" s="912"/>
      <c r="G19" s="912" t="s">
        <v>94</v>
      </c>
      <c r="H19" s="912"/>
      <c r="I19" s="912"/>
    </row>
    <row r="20" spans="1:9">
      <c r="A20" s="1" t="s">
        <v>730</v>
      </c>
      <c r="B20" s="1" t="s">
        <v>735</v>
      </c>
      <c r="C20" s="912">
        <v>0</v>
      </c>
      <c r="D20" s="912">
        <v>30.84</v>
      </c>
      <c r="E20" s="912">
        <f t="shared" si="0"/>
        <v>30.84</v>
      </c>
      <c r="F20" s="912">
        <v>30.84</v>
      </c>
      <c r="G20" s="912">
        <f>+E20-F20</f>
        <v>0</v>
      </c>
      <c r="H20" s="912">
        <f>F20*70/100</f>
        <v>21.588000000000001</v>
      </c>
      <c r="I20" s="912">
        <v>0</v>
      </c>
    </row>
    <row r="21" spans="1:9" hidden="1">
      <c r="A21" s="1"/>
      <c r="B21" s="1"/>
      <c r="C21" s="912" t="s">
        <v>94</v>
      </c>
      <c r="D21" s="912"/>
      <c r="E21" s="912" t="s">
        <v>94</v>
      </c>
      <c r="F21" s="912"/>
      <c r="G21" s="912" t="s">
        <v>94</v>
      </c>
      <c r="H21" s="912"/>
      <c r="I21" s="912"/>
    </row>
    <row r="22" spans="1:9">
      <c r="A22" s="1" t="s">
        <v>730</v>
      </c>
      <c r="B22" s="1" t="s">
        <v>736</v>
      </c>
      <c r="C22" s="912">
        <v>8.07</v>
      </c>
      <c r="D22" s="912">
        <v>9.3699999999999992</v>
      </c>
      <c r="E22" s="912">
        <f t="shared" si="0"/>
        <v>17.439999999999998</v>
      </c>
      <c r="F22" s="912">
        <v>17.440000000000001</v>
      </c>
      <c r="G22" s="912">
        <f>+E22-F22</f>
        <v>0</v>
      </c>
      <c r="H22" s="912">
        <f>F22*70/100</f>
        <v>12.208000000000002</v>
      </c>
      <c r="I22" s="912">
        <v>0</v>
      </c>
    </row>
    <row r="23" spans="1:9" hidden="1">
      <c r="A23" s="1"/>
      <c r="B23" s="1"/>
      <c r="C23" s="912" t="s">
        <v>94</v>
      </c>
      <c r="D23" s="912"/>
      <c r="E23" s="912" t="s">
        <v>94</v>
      </c>
      <c r="F23" s="912"/>
      <c r="G23" s="912" t="s">
        <v>94</v>
      </c>
      <c r="H23" s="912"/>
      <c r="I23" s="912"/>
    </row>
    <row r="24" spans="1:9">
      <c r="A24" s="1" t="s">
        <v>730</v>
      </c>
      <c r="B24" s="1" t="s">
        <v>149</v>
      </c>
      <c r="C24" s="912">
        <v>0</v>
      </c>
      <c r="D24" s="912">
        <v>6.47</v>
      </c>
      <c r="E24" s="912">
        <f t="shared" si="0"/>
        <v>6.47</v>
      </c>
      <c r="F24" s="912">
        <v>6.47</v>
      </c>
      <c r="G24" s="912">
        <f>+E24-F24</f>
        <v>0</v>
      </c>
      <c r="H24" s="912">
        <f>F24*70/100</f>
        <v>4.5289999999999999</v>
      </c>
      <c r="I24" s="912">
        <v>0</v>
      </c>
    </row>
    <row r="25" spans="1:9" hidden="1">
      <c r="A25" s="1"/>
      <c r="B25" s="1"/>
      <c r="C25" s="912" t="s">
        <v>94</v>
      </c>
      <c r="D25" s="912"/>
      <c r="E25" s="912" t="s">
        <v>94</v>
      </c>
      <c r="F25" s="912"/>
      <c r="G25" s="912" t="s">
        <v>94</v>
      </c>
      <c r="H25" s="912"/>
      <c r="I25" s="912"/>
    </row>
    <row r="26" spans="1:9">
      <c r="A26" s="1" t="s">
        <v>730</v>
      </c>
      <c r="B26" s="1" t="s">
        <v>737</v>
      </c>
      <c r="C26" s="912">
        <v>0</v>
      </c>
      <c r="D26" s="912">
        <v>17.399999999999999</v>
      </c>
      <c r="E26" s="912">
        <f t="shared" si="0"/>
        <v>17.399999999999999</v>
      </c>
      <c r="F26" s="912">
        <v>17.399999999999999</v>
      </c>
      <c r="G26" s="912">
        <f>+E26-F26</f>
        <v>0</v>
      </c>
      <c r="H26" s="912">
        <f>F26*70/100</f>
        <v>12.18</v>
      </c>
      <c r="I26" s="912">
        <v>0</v>
      </c>
    </row>
    <row r="27" spans="1:9">
      <c r="A27" s="1" t="s">
        <v>1647</v>
      </c>
      <c r="B27" s="1"/>
      <c r="C27" s="912" t="s">
        <v>94</v>
      </c>
      <c r="D27" s="912"/>
      <c r="E27" s="912" t="s">
        <v>94</v>
      </c>
      <c r="F27" s="1264">
        <f>SUM(F14:F26)</f>
        <v>122.94999999999999</v>
      </c>
      <c r="G27" s="912" t="s">
        <v>94</v>
      </c>
      <c r="H27" s="912"/>
      <c r="I27" s="912"/>
    </row>
    <row r="28" spans="1:9">
      <c r="A28" s="1" t="s">
        <v>738</v>
      </c>
      <c r="B28" s="1" t="s">
        <v>739</v>
      </c>
      <c r="C28" s="912">
        <v>0.06</v>
      </c>
      <c r="D28" s="912">
        <v>3.81</v>
      </c>
      <c r="E28" s="912">
        <f t="shared" si="0"/>
        <v>3.87</v>
      </c>
      <c r="F28" s="912">
        <v>0.99</v>
      </c>
      <c r="G28" s="912">
        <f>+E28-F28</f>
        <v>2.88</v>
      </c>
      <c r="H28" s="912">
        <f>F28*70/100</f>
        <v>0.69299999999999995</v>
      </c>
      <c r="I28" s="912">
        <f>H28*11/100/2</f>
        <v>3.8114999999999996E-2</v>
      </c>
    </row>
    <row r="29" spans="1:9" hidden="1">
      <c r="A29" s="1"/>
      <c r="B29" s="1"/>
      <c r="C29" s="912" t="s">
        <v>94</v>
      </c>
      <c r="D29" s="912"/>
      <c r="E29" s="912" t="s">
        <v>94</v>
      </c>
      <c r="F29" s="912"/>
      <c r="G29" s="912" t="s">
        <v>94</v>
      </c>
      <c r="H29" s="912"/>
      <c r="I29" s="912"/>
    </row>
    <row r="30" spans="1:9">
      <c r="A30" s="1" t="s">
        <v>738</v>
      </c>
      <c r="B30" s="1" t="s">
        <v>740</v>
      </c>
      <c r="C30" s="912">
        <v>0</v>
      </c>
      <c r="D30" s="912">
        <v>2.2999999999999998</v>
      </c>
      <c r="E30" s="912">
        <f t="shared" si="0"/>
        <v>2.2999999999999998</v>
      </c>
      <c r="F30" s="912">
        <v>2.2999999999999998</v>
      </c>
      <c r="G30" s="912">
        <f>+E30-F30</f>
        <v>0</v>
      </c>
      <c r="H30" s="912">
        <f>F30*70/100</f>
        <v>1.61</v>
      </c>
      <c r="I30" s="912">
        <v>0</v>
      </c>
    </row>
    <row r="31" spans="1:9">
      <c r="A31" s="1" t="s">
        <v>1648</v>
      </c>
      <c r="B31" s="1"/>
      <c r="C31" s="912"/>
      <c r="D31" s="912"/>
      <c r="E31" s="912" t="s">
        <v>94</v>
      </c>
      <c r="F31" s="1264">
        <f>SUM(F28:F30)</f>
        <v>3.29</v>
      </c>
      <c r="G31" s="912" t="s">
        <v>94</v>
      </c>
      <c r="H31" s="912"/>
      <c r="I31" s="912"/>
    </row>
    <row r="32" spans="1:9" hidden="1">
      <c r="A32" s="1"/>
      <c r="B32" s="1"/>
      <c r="C32" s="912"/>
      <c r="D32" s="912"/>
      <c r="E32" s="912" t="s">
        <v>94</v>
      </c>
      <c r="F32" s="912"/>
      <c r="G32" s="912" t="s">
        <v>94</v>
      </c>
      <c r="H32" s="912"/>
      <c r="I32" s="912"/>
    </row>
    <row r="33" spans="1:9">
      <c r="A33" s="1"/>
      <c r="B33" s="1758" t="s">
        <v>741</v>
      </c>
      <c r="C33" s="1759">
        <f>SUM(C14:C30)</f>
        <v>28.69</v>
      </c>
      <c r="D33" s="1759">
        <f>SUM(D14:D30)</f>
        <v>137.26000000000002</v>
      </c>
      <c r="E33" s="1759">
        <f>+C33+D33</f>
        <v>165.95000000000002</v>
      </c>
      <c r="F33" s="1759">
        <f>SUM(F14:F30)</f>
        <v>249.19</v>
      </c>
      <c r="G33" s="1759">
        <f>SUM(G14:G30)</f>
        <v>39.71</v>
      </c>
      <c r="H33" s="1759">
        <f>SUM(H14:H30)</f>
        <v>88.367999999999995</v>
      </c>
      <c r="I33" s="1759">
        <f>SUM(I14:I30)</f>
        <v>0.83198499999999997</v>
      </c>
    </row>
  </sheetData>
  <mergeCells count="1">
    <mergeCell ref="A1:J1"/>
  </mergeCells>
  <pageMargins left="0.7" right="0.7" top="0.75" bottom="0.75" header="0.3" footer="0.3"/>
  <pageSetup paperSize="9" scale="79" orientation="portrait" r:id="rId1"/>
</worksheet>
</file>

<file path=xl/worksheets/sheet122.xml><?xml version="1.0" encoding="utf-8"?>
<worksheet xmlns="http://schemas.openxmlformats.org/spreadsheetml/2006/main" xmlns:r="http://schemas.openxmlformats.org/officeDocument/2006/relationships">
  <sheetPr codeName="Sheet101">
    <pageSetUpPr fitToPage="1"/>
  </sheetPr>
  <dimension ref="A1:X55"/>
  <sheetViews>
    <sheetView showGridLines="0" zoomScale="70" zoomScaleNormal="70" workbookViewId="0">
      <selection activeCell="V42" sqref="V42:X43"/>
    </sheetView>
  </sheetViews>
  <sheetFormatPr defaultRowHeight="15"/>
  <cols>
    <col min="1" max="1" width="9.140625" style="1186"/>
    <col min="2" max="2" width="43.28515625" style="1186" customWidth="1"/>
    <col min="3" max="3" width="14" style="1186" customWidth="1"/>
    <col min="4" max="4" width="17.85546875" style="1186" customWidth="1"/>
    <col min="5" max="5" width="18" style="1186" customWidth="1"/>
    <col min="6" max="6" width="16" style="1186" customWidth="1"/>
    <col min="7" max="7" width="16.85546875" style="1186" customWidth="1"/>
    <col min="8" max="8" width="16.7109375" style="1186" customWidth="1"/>
    <col min="9" max="9" width="13.85546875" style="1186" customWidth="1"/>
    <col min="10" max="10" width="17.42578125" style="1186" customWidth="1"/>
    <col min="11" max="11" width="16.7109375" style="1186" customWidth="1"/>
    <col min="12" max="12" width="14.28515625" style="1186" customWidth="1"/>
    <col min="13" max="13" width="15.28515625" style="1186" customWidth="1"/>
    <col min="14" max="15" width="15.42578125" style="1186" customWidth="1"/>
    <col min="16" max="16" width="18.42578125" style="1186" customWidth="1"/>
    <col min="17" max="17" width="17.5703125" style="1186" customWidth="1"/>
    <col min="18" max="18" width="12.7109375" style="1186" customWidth="1"/>
    <col min="19" max="19" width="14.85546875" style="1186" customWidth="1"/>
    <col min="20" max="20" width="13.7109375" style="1186" customWidth="1"/>
    <col min="21" max="21" width="9.140625" style="1185" customWidth="1"/>
    <col min="22" max="257" width="9.140625" style="1186"/>
    <col min="258" max="258" width="43.28515625" style="1186" customWidth="1"/>
    <col min="259" max="259" width="14" style="1186" customWidth="1"/>
    <col min="260" max="260" width="17.85546875" style="1186" customWidth="1"/>
    <col min="261" max="261" width="18" style="1186" customWidth="1"/>
    <col min="262" max="262" width="16" style="1186" customWidth="1"/>
    <col min="263" max="263" width="16.85546875" style="1186" customWidth="1"/>
    <col min="264" max="264" width="16.7109375" style="1186" customWidth="1"/>
    <col min="265" max="265" width="13.85546875" style="1186" customWidth="1"/>
    <col min="266" max="266" width="17.42578125" style="1186" customWidth="1"/>
    <col min="267" max="267" width="16.7109375" style="1186" customWidth="1"/>
    <col min="268" max="268" width="14.28515625" style="1186" customWidth="1"/>
    <col min="269" max="269" width="15.28515625" style="1186" customWidth="1"/>
    <col min="270" max="271" width="15.42578125" style="1186" customWidth="1"/>
    <col min="272" max="272" width="18.42578125" style="1186" customWidth="1"/>
    <col min="273" max="273" width="17.5703125" style="1186" customWidth="1"/>
    <col min="274" max="274" width="12.7109375" style="1186" customWidth="1"/>
    <col min="275" max="275" width="14.85546875" style="1186" customWidth="1"/>
    <col min="276" max="276" width="13.7109375" style="1186" customWidth="1"/>
    <col min="277" max="277" width="9.140625" style="1186" customWidth="1"/>
    <col min="278" max="513" width="9.140625" style="1186"/>
    <col min="514" max="514" width="43.28515625" style="1186" customWidth="1"/>
    <col min="515" max="515" width="14" style="1186" customWidth="1"/>
    <col min="516" max="516" width="17.85546875" style="1186" customWidth="1"/>
    <col min="517" max="517" width="18" style="1186" customWidth="1"/>
    <col min="518" max="518" width="16" style="1186" customWidth="1"/>
    <col min="519" max="519" width="16.85546875" style="1186" customWidth="1"/>
    <col min="520" max="520" width="16.7109375" style="1186" customWidth="1"/>
    <col min="521" max="521" width="13.85546875" style="1186" customWidth="1"/>
    <col min="522" max="522" width="17.42578125" style="1186" customWidth="1"/>
    <col min="523" max="523" width="16.7109375" style="1186" customWidth="1"/>
    <col min="524" max="524" width="14.28515625" style="1186" customWidth="1"/>
    <col min="525" max="525" width="15.28515625" style="1186" customWidth="1"/>
    <col min="526" max="527" width="15.42578125" style="1186" customWidth="1"/>
    <col min="528" max="528" width="18.42578125" style="1186" customWidth="1"/>
    <col min="529" max="529" width="17.5703125" style="1186" customWidth="1"/>
    <col min="530" max="530" width="12.7109375" style="1186" customWidth="1"/>
    <col min="531" max="531" width="14.85546875" style="1186" customWidth="1"/>
    <col min="532" max="532" width="13.7109375" style="1186" customWidth="1"/>
    <col min="533" max="533" width="9.140625" style="1186" customWidth="1"/>
    <col min="534" max="769" width="9.140625" style="1186"/>
    <col min="770" max="770" width="43.28515625" style="1186" customWidth="1"/>
    <col min="771" max="771" width="14" style="1186" customWidth="1"/>
    <col min="772" max="772" width="17.85546875" style="1186" customWidth="1"/>
    <col min="773" max="773" width="18" style="1186" customWidth="1"/>
    <col min="774" max="774" width="16" style="1186" customWidth="1"/>
    <col min="775" max="775" width="16.85546875" style="1186" customWidth="1"/>
    <col min="776" max="776" width="16.7109375" style="1186" customWidth="1"/>
    <col min="777" max="777" width="13.85546875" style="1186" customWidth="1"/>
    <col min="778" max="778" width="17.42578125" style="1186" customWidth="1"/>
    <col min="779" max="779" width="16.7109375" style="1186" customWidth="1"/>
    <col min="780" max="780" width="14.28515625" style="1186" customWidth="1"/>
    <col min="781" max="781" width="15.28515625" style="1186" customWidth="1"/>
    <col min="782" max="783" width="15.42578125" style="1186" customWidth="1"/>
    <col min="784" max="784" width="18.42578125" style="1186" customWidth="1"/>
    <col min="785" max="785" width="17.5703125" style="1186" customWidth="1"/>
    <col min="786" max="786" width="12.7109375" style="1186" customWidth="1"/>
    <col min="787" max="787" width="14.85546875" style="1186" customWidth="1"/>
    <col min="788" max="788" width="13.7109375" style="1186" customWidth="1"/>
    <col min="789" max="789" width="9.140625" style="1186" customWidth="1"/>
    <col min="790" max="1025" width="9.140625" style="1186"/>
    <col min="1026" max="1026" width="43.28515625" style="1186" customWidth="1"/>
    <col min="1027" max="1027" width="14" style="1186" customWidth="1"/>
    <col min="1028" max="1028" width="17.85546875" style="1186" customWidth="1"/>
    <col min="1029" max="1029" width="18" style="1186" customWidth="1"/>
    <col min="1030" max="1030" width="16" style="1186" customWidth="1"/>
    <col min="1031" max="1031" width="16.85546875" style="1186" customWidth="1"/>
    <col min="1032" max="1032" width="16.7109375" style="1186" customWidth="1"/>
    <col min="1033" max="1033" width="13.85546875" style="1186" customWidth="1"/>
    <col min="1034" max="1034" width="17.42578125" style="1186" customWidth="1"/>
    <col min="1035" max="1035" width="16.7109375" style="1186" customWidth="1"/>
    <col min="1036" max="1036" width="14.28515625" style="1186" customWidth="1"/>
    <col min="1037" max="1037" width="15.28515625" style="1186" customWidth="1"/>
    <col min="1038" max="1039" width="15.42578125" style="1186" customWidth="1"/>
    <col min="1040" max="1040" width="18.42578125" style="1186" customWidth="1"/>
    <col min="1041" max="1041" width="17.5703125" style="1186" customWidth="1"/>
    <col min="1042" max="1042" width="12.7109375" style="1186" customWidth="1"/>
    <col min="1043" max="1043" width="14.85546875" style="1186" customWidth="1"/>
    <col min="1044" max="1044" width="13.7109375" style="1186" customWidth="1"/>
    <col min="1045" max="1045" width="9.140625" style="1186" customWidth="1"/>
    <col min="1046" max="1281" width="9.140625" style="1186"/>
    <col min="1282" max="1282" width="43.28515625" style="1186" customWidth="1"/>
    <col min="1283" max="1283" width="14" style="1186" customWidth="1"/>
    <col min="1284" max="1284" width="17.85546875" style="1186" customWidth="1"/>
    <col min="1285" max="1285" width="18" style="1186" customWidth="1"/>
    <col min="1286" max="1286" width="16" style="1186" customWidth="1"/>
    <col min="1287" max="1287" width="16.85546875" style="1186" customWidth="1"/>
    <col min="1288" max="1288" width="16.7109375" style="1186" customWidth="1"/>
    <col min="1289" max="1289" width="13.85546875" style="1186" customWidth="1"/>
    <col min="1290" max="1290" width="17.42578125" style="1186" customWidth="1"/>
    <col min="1291" max="1291" width="16.7109375" style="1186" customWidth="1"/>
    <col min="1292" max="1292" width="14.28515625" style="1186" customWidth="1"/>
    <col min="1293" max="1293" width="15.28515625" style="1186" customWidth="1"/>
    <col min="1294" max="1295" width="15.42578125" style="1186" customWidth="1"/>
    <col min="1296" max="1296" width="18.42578125" style="1186" customWidth="1"/>
    <col min="1297" max="1297" width="17.5703125" style="1186" customWidth="1"/>
    <col min="1298" max="1298" width="12.7109375" style="1186" customWidth="1"/>
    <col min="1299" max="1299" width="14.85546875" style="1186" customWidth="1"/>
    <col min="1300" max="1300" width="13.7109375" style="1186" customWidth="1"/>
    <col min="1301" max="1301" width="9.140625" style="1186" customWidth="1"/>
    <col min="1302" max="1537" width="9.140625" style="1186"/>
    <col min="1538" max="1538" width="43.28515625" style="1186" customWidth="1"/>
    <col min="1539" max="1539" width="14" style="1186" customWidth="1"/>
    <col min="1540" max="1540" width="17.85546875" style="1186" customWidth="1"/>
    <col min="1541" max="1541" width="18" style="1186" customWidth="1"/>
    <col min="1542" max="1542" width="16" style="1186" customWidth="1"/>
    <col min="1543" max="1543" width="16.85546875" style="1186" customWidth="1"/>
    <col min="1544" max="1544" width="16.7109375" style="1186" customWidth="1"/>
    <col min="1545" max="1545" width="13.85546875" style="1186" customWidth="1"/>
    <col min="1546" max="1546" width="17.42578125" style="1186" customWidth="1"/>
    <col min="1547" max="1547" width="16.7109375" style="1186" customWidth="1"/>
    <col min="1548" max="1548" width="14.28515625" style="1186" customWidth="1"/>
    <col min="1549" max="1549" width="15.28515625" style="1186" customWidth="1"/>
    <col min="1550" max="1551" width="15.42578125" style="1186" customWidth="1"/>
    <col min="1552" max="1552" width="18.42578125" style="1186" customWidth="1"/>
    <col min="1553" max="1553" width="17.5703125" style="1186" customWidth="1"/>
    <col min="1554" max="1554" width="12.7109375" style="1186" customWidth="1"/>
    <col min="1555" max="1555" width="14.85546875" style="1186" customWidth="1"/>
    <col min="1556" max="1556" width="13.7109375" style="1186" customWidth="1"/>
    <col min="1557" max="1557" width="9.140625" style="1186" customWidth="1"/>
    <col min="1558" max="1793" width="9.140625" style="1186"/>
    <col min="1794" max="1794" width="43.28515625" style="1186" customWidth="1"/>
    <col min="1795" max="1795" width="14" style="1186" customWidth="1"/>
    <col min="1796" max="1796" width="17.85546875" style="1186" customWidth="1"/>
    <col min="1797" max="1797" width="18" style="1186" customWidth="1"/>
    <col min="1798" max="1798" width="16" style="1186" customWidth="1"/>
    <col min="1799" max="1799" width="16.85546875" style="1186" customWidth="1"/>
    <col min="1800" max="1800" width="16.7109375" style="1186" customWidth="1"/>
    <col min="1801" max="1801" width="13.85546875" style="1186" customWidth="1"/>
    <col min="1802" max="1802" width="17.42578125" style="1186" customWidth="1"/>
    <col min="1803" max="1803" width="16.7109375" style="1186" customWidth="1"/>
    <col min="1804" max="1804" width="14.28515625" style="1186" customWidth="1"/>
    <col min="1805" max="1805" width="15.28515625" style="1186" customWidth="1"/>
    <col min="1806" max="1807" width="15.42578125" style="1186" customWidth="1"/>
    <col min="1808" max="1808" width="18.42578125" style="1186" customWidth="1"/>
    <col min="1809" max="1809" width="17.5703125" style="1186" customWidth="1"/>
    <col min="1810" max="1810" width="12.7109375" style="1186" customWidth="1"/>
    <col min="1811" max="1811" width="14.85546875" style="1186" customWidth="1"/>
    <col min="1812" max="1812" width="13.7109375" style="1186" customWidth="1"/>
    <col min="1813" max="1813" width="9.140625" style="1186" customWidth="1"/>
    <col min="1814" max="2049" width="9.140625" style="1186"/>
    <col min="2050" max="2050" width="43.28515625" style="1186" customWidth="1"/>
    <col min="2051" max="2051" width="14" style="1186" customWidth="1"/>
    <col min="2052" max="2052" width="17.85546875" style="1186" customWidth="1"/>
    <col min="2053" max="2053" width="18" style="1186" customWidth="1"/>
    <col min="2054" max="2054" width="16" style="1186" customWidth="1"/>
    <col min="2055" max="2055" width="16.85546875" style="1186" customWidth="1"/>
    <col min="2056" max="2056" width="16.7109375" style="1186" customWidth="1"/>
    <col min="2057" max="2057" width="13.85546875" style="1186" customWidth="1"/>
    <col min="2058" max="2058" width="17.42578125" style="1186" customWidth="1"/>
    <col min="2059" max="2059" width="16.7109375" style="1186" customWidth="1"/>
    <col min="2060" max="2060" width="14.28515625" style="1186" customWidth="1"/>
    <col min="2061" max="2061" width="15.28515625" style="1186" customWidth="1"/>
    <col min="2062" max="2063" width="15.42578125" style="1186" customWidth="1"/>
    <col min="2064" max="2064" width="18.42578125" style="1186" customWidth="1"/>
    <col min="2065" max="2065" width="17.5703125" style="1186" customWidth="1"/>
    <col min="2066" max="2066" width="12.7109375" style="1186" customWidth="1"/>
    <col min="2067" max="2067" width="14.85546875" style="1186" customWidth="1"/>
    <col min="2068" max="2068" width="13.7109375" style="1186" customWidth="1"/>
    <col min="2069" max="2069" width="9.140625" style="1186" customWidth="1"/>
    <col min="2070" max="2305" width="9.140625" style="1186"/>
    <col min="2306" max="2306" width="43.28515625" style="1186" customWidth="1"/>
    <col min="2307" max="2307" width="14" style="1186" customWidth="1"/>
    <col min="2308" max="2308" width="17.85546875" style="1186" customWidth="1"/>
    <col min="2309" max="2309" width="18" style="1186" customWidth="1"/>
    <col min="2310" max="2310" width="16" style="1186" customWidth="1"/>
    <col min="2311" max="2311" width="16.85546875" style="1186" customWidth="1"/>
    <col min="2312" max="2312" width="16.7109375" style="1186" customWidth="1"/>
    <col min="2313" max="2313" width="13.85546875" style="1186" customWidth="1"/>
    <col min="2314" max="2314" width="17.42578125" style="1186" customWidth="1"/>
    <col min="2315" max="2315" width="16.7109375" style="1186" customWidth="1"/>
    <col min="2316" max="2316" width="14.28515625" style="1186" customWidth="1"/>
    <col min="2317" max="2317" width="15.28515625" style="1186" customWidth="1"/>
    <col min="2318" max="2319" width="15.42578125" style="1186" customWidth="1"/>
    <col min="2320" max="2320" width="18.42578125" style="1186" customWidth="1"/>
    <col min="2321" max="2321" width="17.5703125" style="1186" customWidth="1"/>
    <col min="2322" max="2322" width="12.7109375" style="1186" customWidth="1"/>
    <col min="2323" max="2323" width="14.85546875" style="1186" customWidth="1"/>
    <col min="2324" max="2324" width="13.7109375" style="1186" customWidth="1"/>
    <col min="2325" max="2325" width="9.140625" style="1186" customWidth="1"/>
    <col min="2326" max="2561" width="9.140625" style="1186"/>
    <col min="2562" max="2562" width="43.28515625" style="1186" customWidth="1"/>
    <col min="2563" max="2563" width="14" style="1186" customWidth="1"/>
    <col min="2564" max="2564" width="17.85546875" style="1186" customWidth="1"/>
    <col min="2565" max="2565" width="18" style="1186" customWidth="1"/>
    <col min="2566" max="2566" width="16" style="1186" customWidth="1"/>
    <col min="2567" max="2567" width="16.85546875" style="1186" customWidth="1"/>
    <col min="2568" max="2568" width="16.7109375" style="1186" customWidth="1"/>
    <col min="2569" max="2569" width="13.85546875" style="1186" customWidth="1"/>
    <col min="2570" max="2570" width="17.42578125" style="1186" customWidth="1"/>
    <col min="2571" max="2571" width="16.7109375" style="1186" customWidth="1"/>
    <col min="2572" max="2572" width="14.28515625" style="1186" customWidth="1"/>
    <col min="2573" max="2573" width="15.28515625" style="1186" customWidth="1"/>
    <col min="2574" max="2575" width="15.42578125" style="1186" customWidth="1"/>
    <col min="2576" max="2576" width="18.42578125" style="1186" customWidth="1"/>
    <col min="2577" max="2577" width="17.5703125" style="1186" customWidth="1"/>
    <col min="2578" max="2578" width="12.7109375" style="1186" customWidth="1"/>
    <col min="2579" max="2579" width="14.85546875" style="1186" customWidth="1"/>
    <col min="2580" max="2580" width="13.7109375" style="1186" customWidth="1"/>
    <col min="2581" max="2581" width="9.140625" style="1186" customWidth="1"/>
    <col min="2582" max="2817" width="9.140625" style="1186"/>
    <col min="2818" max="2818" width="43.28515625" style="1186" customWidth="1"/>
    <col min="2819" max="2819" width="14" style="1186" customWidth="1"/>
    <col min="2820" max="2820" width="17.85546875" style="1186" customWidth="1"/>
    <col min="2821" max="2821" width="18" style="1186" customWidth="1"/>
    <col min="2822" max="2822" width="16" style="1186" customWidth="1"/>
    <col min="2823" max="2823" width="16.85546875" style="1186" customWidth="1"/>
    <col min="2824" max="2824" width="16.7109375" style="1186" customWidth="1"/>
    <col min="2825" max="2825" width="13.85546875" style="1186" customWidth="1"/>
    <col min="2826" max="2826" width="17.42578125" style="1186" customWidth="1"/>
    <col min="2827" max="2827" width="16.7109375" style="1186" customWidth="1"/>
    <col min="2828" max="2828" width="14.28515625" style="1186" customWidth="1"/>
    <col min="2829" max="2829" width="15.28515625" style="1186" customWidth="1"/>
    <col min="2830" max="2831" width="15.42578125" style="1186" customWidth="1"/>
    <col min="2832" max="2832" width="18.42578125" style="1186" customWidth="1"/>
    <col min="2833" max="2833" width="17.5703125" style="1186" customWidth="1"/>
    <col min="2834" max="2834" width="12.7109375" style="1186" customWidth="1"/>
    <col min="2835" max="2835" width="14.85546875" style="1186" customWidth="1"/>
    <col min="2836" max="2836" width="13.7109375" style="1186" customWidth="1"/>
    <col min="2837" max="2837" width="9.140625" style="1186" customWidth="1"/>
    <col min="2838" max="3073" width="9.140625" style="1186"/>
    <col min="3074" max="3074" width="43.28515625" style="1186" customWidth="1"/>
    <col min="3075" max="3075" width="14" style="1186" customWidth="1"/>
    <col min="3076" max="3076" width="17.85546875" style="1186" customWidth="1"/>
    <col min="3077" max="3077" width="18" style="1186" customWidth="1"/>
    <col min="3078" max="3078" width="16" style="1186" customWidth="1"/>
    <col min="3079" max="3079" width="16.85546875" style="1186" customWidth="1"/>
    <col min="3080" max="3080" width="16.7109375" style="1186" customWidth="1"/>
    <col min="3081" max="3081" width="13.85546875" style="1186" customWidth="1"/>
    <col min="3082" max="3082" width="17.42578125" style="1186" customWidth="1"/>
    <col min="3083" max="3083" width="16.7109375" style="1186" customWidth="1"/>
    <col min="3084" max="3084" width="14.28515625" style="1186" customWidth="1"/>
    <col min="3085" max="3085" width="15.28515625" style="1186" customWidth="1"/>
    <col min="3086" max="3087" width="15.42578125" style="1186" customWidth="1"/>
    <col min="3088" max="3088" width="18.42578125" style="1186" customWidth="1"/>
    <col min="3089" max="3089" width="17.5703125" style="1186" customWidth="1"/>
    <col min="3090" max="3090" width="12.7109375" style="1186" customWidth="1"/>
    <col min="3091" max="3091" width="14.85546875" style="1186" customWidth="1"/>
    <col min="3092" max="3092" width="13.7109375" style="1186" customWidth="1"/>
    <col min="3093" max="3093" width="9.140625" style="1186" customWidth="1"/>
    <col min="3094" max="3329" width="9.140625" style="1186"/>
    <col min="3330" max="3330" width="43.28515625" style="1186" customWidth="1"/>
    <col min="3331" max="3331" width="14" style="1186" customWidth="1"/>
    <col min="3332" max="3332" width="17.85546875" style="1186" customWidth="1"/>
    <col min="3333" max="3333" width="18" style="1186" customWidth="1"/>
    <col min="3334" max="3334" width="16" style="1186" customWidth="1"/>
    <col min="3335" max="3335" width="16.85546875" style="1186" customWidth="1"/>
    <col min="3336" max="3336" width="16.7109375" style="1186" customWidth="1"/>
    <col min="3337" max="3337" width="13.85546875" style="1186" customWidth="1"/>
    <col min="3338" max="3338" width="17.42578125" style="1186" customWidth="1"/>
    <col min="3339" max="3339" width="16.7109375" style="1186" customWidth="1"/>
    <col min="3340" max="3340" width="14.28515625" style="1186" customWidth="1"/>
    <col min="3341" max="3341" width="15.28515625" style="1186" customWidth="1"/>
    <col min="3342" max="3343" width="15.42578125" style="1186" customWidth="1"/>
    <col min="3344" max="3344" width="18.42578125" style="1186" customWidth="1"/>
    <col min="3345" max="3345" width="17.5703125" style="1186" customWidth="1"/>
    <col min="3346" max="3346" width="12.7109375" style="1186" customWidth="1"/>
    <col min="3347" max="3347" width="14.85546875" style="1186" customWidth="1"/>
    <col min="3348" max="3348" width="13.7109375" style="1186" customWidth="1"/>
    <col min="3349" max="3349" width="9.140625" style="1186" customWidth="1"/>
    <col min="3350" max="3585" width="9.140625" style="1186"/>
    <col min="3586" max="3586" width="43.28515625" style="1186" customWidth="1"/>
    <col min="3587" max="3587" width="14" style="1186" customWidth="1"/>
    <col min="3588" max="3588" width="17.85546875" style="1186" customWidth="1"/>
    <col min="3589" max="3589" width="18" style="1186" customWidth="1"/>
    <col min="3590" max="3590" width="16" style="1186" customWidth="1"/>
    <col min="3591" max="3591" width="16.85546875" style="1186" customWidth="1"/>
    <col min="3592" max="3592" width="16.7109375" style="1186" customWidth="1"/>
    <col min="3593" max="3593" width="13.85546875" style="1186" customWidth="1"/>
    <col min="3594" max="3594" width="17.42578125" style="1186" customWidth="1"/>
    <col min="3595" max="3595" width="16.7109375" style="1186" customWidth="1"/>
    <col min="3596" max="3596" width="14.28515625" style="1186" customWidth="1"/>
    <col min="3597" max="3597" width="15.28515625" style="1186" customWidth="1"/>
    <col min="3598" max="3599" width="15.42578125" style="1186" customWidth="1"/>
    <col min="3600" max="3600" width="18.42578125" style="1186" customWidth="1"/>
    <col min="3601" max="3601" width="17.5703125" style="1186" customWidth="1"/>
    <col min="3602" max="3602" width="12.7109375" style="1186" customWidth="1"/>
    <col min="3603" max="3603" width="14.85546875" style="1186" customWidth="1"/>
    <col min="3604" max="3604" width="13.7109375" style="1186" customWidth="1"/>
    <col min="3605" max="3605" width="9.140625" style="1186" customWidth="1"/>
    <col min="3606" max="3841" width="9.140625" style="1186"/>
    <col min="3842" max="3842" width="43.28515625" style="1186" customWidth="1"/>
    <col min="3843" max="3843" width="14" style="1186" customWidth="1"/>
    <col min="3844" max="3844" width="17.85546875" style="1186" customWidth="1"/>
    <col min="3845" max="3845" width="18" style="1186" customWidth="1"/>
    <col min="3846" max="3846" width="16" style="1186" customWidth="1"/>
    <col min="3847" max="3847" width="16.85546875" style="1186" customWidth="1"/>
    <col min="3848" max="3848" width="16.7109375" style="1186" customWidth="1"/>
    <col min="3849" max="3849" width="13.85546875" style="1186" customWidth="1"/>
    <col min="3850" max="3850" width="17.42578125" style="1186" customWidth="1"/>
    <col min="3851" max="3851" width="16.7109375" style="1186" customWidth="1"/>
    <col min="3852" max="3852" width="14.28515625" style="1186" customWidth="1"/>
    <col min="3853" max="3853" width="15.28515625" style="1186" customWidth="1"/>
    <col min="3854" max="3855" width="15.42578125" style="1186" customWidth="1"/>
    <col min="3856" max="3856" width="18.42578125" style="1186" customWidth="1"/>
    <col min="3857" max="3857" width="17.5703125" style="1186" customWidth="1"/>
    <col min="3858" max="3858" width="12.7109375" style="1186" customWidth="1"/>
    <col min="3859" max="3859" width="14.85546875" style="1186" customWidth="1"/>
    <col min="3860" max="3860" width="13.7109375" style="1186" customWidth="1"/>
    <col min="3861" max="3861" width="9.140625" style="1186" customWidth="1"/>
    <col min="3862" max="4097" width="9.140625" style="1186"/>
    <col min="4098" max="4098" width="43.28515625" style="1186" customWidth="1"/>
    <col min="4099" max="4099" width="14" style="1186" customWidth="1"/>
    <col min="4100" max="4100" width="17.85546875" style="1186" customWidth="1"/>
    <col min="4101" max="4101" width="18" style="1186" customWidth="1"/>
    <col min="4102" max="4102" width="16" style="1186" customWidth="1"/>
    <col min="4103" max="4103" width="16.85546875" style="1186" customWidth="1"/>
    <col min="4104" max="4104" width="16.7109375" style="1186" customWidth="1"/>
    <col min="4105" max="4105" width="13.85546875" style="1186" customWidth="1"/>
    <col min="4106" max="4106" width="17.42578125" style="1186" customWidth="1"/>
    <col min="4107" max="4107" width="16.7109375" style="1186" customWidth="1"/>
    <col min="4108" max="4108" width="14.28515625" style="1186" customWidth="1"/>
    <col min="4109" max="4109" width="15.28515625" style="1186" customWidth="1"/>
    <col min="4110" max="4111" width="15.42578125" style="1186" customWidth="1"/>
    <col min="4112" max="4112" width="18.42578125" style="1186" customWidth="1"/>
    <col min="4113" max="4113" width="17.5703125" style="1186" customWidth="1"/>
    <col min="4114" max="4114" width="12.7109375" style="1186" customWidth="1"/>
    <col min="4115" max="4115" width="14.85546875" style="1186" customWidth="1"/>
    <col min="4116" max="4116" width="13.7109375" style="1186" customWidth="1"/>
    <col min="4117" max="4117" width="9.140625" style="1186" customWidth="1"/>
    <col min="4118" max="4353" width="9.140625" style="1186"/>
    <col min="4354" max="4354" width="43.28515625" style="1186" customWidth="1"/>
    <col min="4355" max="4355" width="14" style="1186" customWidth="1"/>
    <col min="4356" max="4356" width="17.85546875" style="1186" customWidth="1"/>
    <col min="4357" max="4357" width="18" style="1186" customWidth="1"/>
    <col min="4358" max="4358" width="16" style="1186" customWidth="1"/>
    <col min="4359" max="4359" width="16.85546875" style="1186" customWidth="1"/>
    <col min="4360" max="4360" width="16.7109375" style="1186" customWidth="1"/>
    <col min="4361" max="4361" width="13.85546875" style="1186" customWidth="1"/>
    <col min="4362" max="4362" width="17.42578125" style="1186" customWidth="1"/>
    <col min="4363" max="4363" width="16.7109375" style="1186" customWidth="1"/>
    <col min="4364" max="4364" width="14.28515625" style="1186" customWidth="1"/>
    <col min="4365" max="4365" width="15.28515625" style="1186" customWidth="1"/>
    <col min="4366" max="4367" width="15.42578125" style="1186" customWidth="1"/>
    <col min="4368" max="4368" width="18.42578125" style="1186" customWidth="1"/>
    <col min="4369" max="4369" width="17.5703125" style="1186" customWidth="1"/>
    <col min="4370" max="4370" width="12.7109375" style="1186" customWidth="1"/>
    <col min="4371" max="4371" width="14.85546875" style="1186" customWidth="1"/>
    <col min="4372" max="4372" width="13.7109375" style="1186" customWidth="1"/>
    <col min="4373" max="4373" width="9.140625" style="1186" customWidth="1"/>
    <col min="4374" max="4609" width="9.140625" style="1186"/>
    <col min="4610" max="4610" width="43.28515625" style="1186" customWidth="1"/>
    <col min="4611" max="4611" width="14" style="1186" customWidth="1"/>
    <col min="4612" max="4612" width="17.85546875" style="1186" customWidth="1"/>
    <col min="4613" max="4613" width="18" style="1186" customWidth="1"/>
    <col min="4614" max="4614" width="16" style="1186" customWidth="1"/>
    <col min="4615" max="4615" width="16.85546875" style="1186" customWidth="1"/>
    <col min="4616" max="4616" width="16.7109375" style="1186" customWidth="1"/>
    <col min="4617" max="4617" width="13.85546875" style="1186" customWidth="1"/>
    <col min="4618" max="4618" width="17.42578125" style="1186" customWidth="1"/>
    <col min="4619" max="4619" width="16.7109375" style="1186" customWidth="1"/>
    <col min="4620" max="4620" width="14.28515625" style="1186" customWidth="1"/>
    <col min="4621" max="4621" width="15.28515625" style="1186" customWidth="1"/>
    <col min="4622" max="4623" width="15.42578125" style="1186" customWidth="1"/>
    <col min="4624" max="4624" width="18.42578125" style="1186" customWidth="1"/>
    <col min="4625" max="4625" width="17.5703125" style="1186" customWidth="1"/>
    <col min="4626" max="4626" width="12.7109375" style="1186" customWidth="1"/>
    <col min="4627" max="4627" width="14.85546875" style="1186" customWidth="1"/>
    <col min="4628" max="4628" width="13.7109375" style="1186" customWidth="1"/>
    <col min="4629" max="4629" width="9.140625" style="1186" customWidth="1"/>
    <col min="4630" max="4865" width="9.140625" style="1186"/>
    <col min="4866" max="4866" width="43.28515625" style="1186" customWidth="1"/>
    <col min="4867" max="4867" width="14" style="1186" customWidth="1"/>
    <col min="4868" max="4868" width="17.85546875" style="1186" customWidth="1"/>
    <col min="4869" max="4869" width="18" style="1186" customWidth="1"/>
    <col min="4870" max="4870" width="16" style="1186" customWidth="1"/>
    <col min="4871" max="4871" width="16.85546875" style="1186" customWidth="1"/>
    <col min="4872" max="4872" width="16.7109375" style="1186" customWidth="1"/>
    <col min="4873" max="4873" width="13.85546875" style="1186" customWidth="1"/>
    <col min="4874" max="4874" width="17.42578125" style="1186" customWidth="1"/>
    <col min="4875" max="4875" width="16.7109375" style="1186" customWidth="1"/>
    <col min="4876" max="4876" width="14.28515625" style="1186" customWidth="1"/>
    <col min="4877" max="4877" width="15.28515625" style="1186" customWidth="1"/>
    <col min="4878" max="4879" width="15.42578125" style="1186" customWidth="1"/>
    <col min="4880" max="4880" width="18.42578125" style="1186" customWidth="1"/>
    <col min="4881" max="4881" width="17.5703125" style="1186" customWidth="1"/>
    <col min="4882" max="4882" width="12.7109375" style="1186" customWidth="1"/>
    <col min="4883" max="4883" width="14.85546875" style="1186" customWidth="1"/>
    <col min="4884" max="4884" width="13.7109375" style="1186" customWidth="1"/>
    <col min="4885" max="4885" width="9.140625" style="1186" customWidth="1"/>
    <col min="4886" max="5121" width="9.140625" style="1186"/>
    <col min="5122" max="5122" width="43.28515625" style="1186" customWidth="1"/>
    <col min="5123" max="5123" width="14" style="1186" customWidth="1"/>
    <col min="5124" max="5124" width="17.85546875" style="1186" customWidth="1"/>
    <col min="5125" max="5125" width="18" style="1186" customWidth="1"/>
    <col min="5126" max="5126" width="16" style="1186" customWidth="1"/>
    <col min="5127" max="5127" width="16.85546875" style="1186" customWidth="1"/>
    <col min="5128" max="5128" width="16.7109375" style="1186" customWidth="1"/>
    <col min="5129" max="5129" width="13.85546875" style="1186" customWidth="1"/>
    <col min="5130" max="5130" width="17.42578125" style="1186" customWidth="1"/>
    <col min="5131" max="5131" width="16.7109375" style="1186" customWidth="1"/>
    <col min="5132" max="5132" width="14.28515625" style="1186" customWidth="1"/>
    <col min="5133" max="5133" width="15.28515625" style="1186" customWidth="1"/>
    <col min="5134" max="5135" width="15.42578125" style="1186" customWidth="1"/>
    <col min="5136" max="5136" width="18.42578125" style="1186" customWidth="1"/>
    <col min="5137" max="5137" width="17.5703125" style="1186" customWidth="1"/>
    <col min="5138" max="5138" width="12.7109375" style="1186" customWidth="1"/>
    <col min="5139" max="5139" width="14.85546875" style="1186" customWidth="1"/>
    <col min="5140" max="5140" width="13.7109375" style="1186" customWidth="1"/>
    <col min="5141" max="5141" width="9.140625" style="1186" customWidth="1"/>
    <col min="5142" max="5377" width="9.140625" style="1186"/>
    <col min="5378" max="5378" width="43.28515625" style="1186" customWidth="1"/>
    <col min="5379" max="5379" width="14" style="1186" customWidth="1"/>
    <col min="5380" max="5380" width="17.85546875" style="1186" customWidth="1"/>
    <col min="5381" max="5381" width="18" style="1186" customWidth="1"/>
    <col min="5382" max="5382" width="16" style="1186" customWidth="1"/>
    <col min="5383" max="5383" width="16.85546875" style="1186" customWidth="1"/>
    <col min="5384" max="5384" width="16.7109375" style="1186" customWidth="1"/>
    <col min="5385" max="5385" width="13.85546875" style="1186" customWidth="1"/>
    <col min="5386" max="5386" width="17.42578125" style="1186" customWidth="1"/>
    <col min="5387" max="5387" width="16.7109375" style="1186" customWidth="1"/>
    <col min="5388" max="5388" width="14.28515625" style="1186" customWidth="1"/>
    <col min="5389" max="5389" width="15.28515625" style="1186" customWidth="1"/>
    <col min="5390" max="5391" width="15.42578125" style="1186" customWidth="1"/>
    <col min="5392" max="5392" width="18.42578125" style="1186" customWidth="1"/>
    <col min="5393" max="5393" width="17.5703125" style="1186" customWidth="1"/>
    <col min="5394" max="5394" width="12.7109375" style="1186" customWidth="1"/>
    <col min="5395" max="5395" width="14.85546875" style="1186" customWidth="1"/>
    <col min="5396" max="5396" width="13.7109375" style="1186" customWidth="1"/>
    <col min="5397" max="5397" width="9.140625" style="1186" customWidth="1"/>
    <col min="5398" max="5633" width="9.140625" style="1186"/>
    <col min="5634" max="5634" width="43.28515625" style="1186" customWidth="1"/>
    <col min="5635" max="5635" width="14" style="1186" customWidth="1"/>
    <col min="5636" max="5636" width="17.85546875" style="1186" customWidth="1"/>
    <col min="5637" max="5637" width="18" style="1186" customWidth="1"/>
    <col min="5638" max="5638" width="16" style="1186" customWidth="1"/>
    <col min="5639" max="5639" width="16.85546875" style="1186" customWidth="1"/>
    <col min="5640" max="5640" width="16.7109375" style="1186" customWidth="1"/>
    <col min="5641" max="5641" width="13.85546875" style="1186" customWidth="1"/>
    <col min="5642" max="5642" width="17.42578125" style="1186" customWidth="1"/>
    <col min="5643" max="5643" width="16.7109375" style="1186" customWidth="1"/>
    <col min="5644" max="5644" width="14.28515625" style="1186" customWidth="1"/>
    <col min="5645" max="5645" width="15.28515625" style="1186" customWidth="1"/>
    <col min="5646" max="5647" width="15.42578125" style="1186" customWidth="1"/>
    <col min="5648" max="5648" width="18.42578125" style="1186" customWidth="1"/>
    <col min="5649" max="5649" width="17.5703125" style="1186" customWidth="1"/>
    <col min="5650" max="5650" width="12.7109375" style="1186" customWidth="1"/>
    <col min="5651" max="5651" width="14.85546875" style="1186" customWidth="1"/>
    <col min="5652" max="5652" width="13.7109375" style="1186" customWidth="1"/>
    <col min="5653" max="5653" width="9.140625" style="1186" customWidth="1"/>
    <col min="5654" max="5889" width="9.140625" style="1186"/>
    <col min="5890" max="5890" width="43.28515625" style="1186" customWidth="1"/>
    <col min="5891" max="5891" width="14" style="1186" customWidth="1"/>
    <col min="5892" max="5892" width="17.85546875" style="1186" customWidth="1"/>
    <col min="5893" max="5893" width="18" style="1186" customWidth="1"/>
    <col min="5894" max="5894" width="16" style="1186" customWidth="1"/>
    <col min="5895" max="5895" width="16.85546875" style="1186" customWidth="1"/>
    <col min="5896" max="5896" width="16.7109375" style="1186" customWidth="1"/>
    <col min="5897" max="5897" width="13.85546875" style="1186" customWidth="1"/>
    <col min="5898" max="5898" width="17.42578125" style="1186" customWidth="1"/>
    <col min="5899" max="5899" width="16.7109375" style="1186" customWidth="1"/>
    <col min="5900" max="5900" width="14.28515625" style="1186" customWidth="1"/>
    <col min="5901" max="5901" width="15.28515625" style="1186" customWidth="1"/>
    <col min="5902" max="5903" width="15.42578125" style="1186" customWidth="1"/>
    <col min="5904" max="5904" width="18.42578125" style="1186" customWidth="1"/>
    <col min="5905" max="5905" width="17.5703125" style="1186" customWidth="1"/>
    <col min="5906" max="5906" width="12.7109375" style="1186" customWidth="1"/>
    <col min="5907" max="5907" width="14.85546875" style="1186" customWidth="1"/>
    <col min="5908" max="5908" width="13.7109375" style="1186" customWidth="1"/>
    <col min="5909" max="5909" width="9.140625" style="1186" customWidth="1"/>
    <col min="5910" max="6145" width="9.140625" style="1186"/>
    <col min="6146" max="6146" width="43.28515625" style="1186" customWidth="1"/>
    <col min="6147" max="6147" width="14" style="1186" customWidth="1"/>
    <col min="6148" max="6148" width="17.85546875" style="1186" customWidth="1"/>
    <col min="6149" max="6149" width="18" style="1186" customWidth="1"/>
    <col min="6150" max="6150" width="16" style="1186" customWidth="1"/>
    <col min="6151" max="6151" width="16.85546875" style="1186" customWidth="1"/>
    <col min="6152" max="6152" width="16.7109375" style="1186" customWidth="1"/>
    <col min="6153" max="6153" width="13.85546875" style="1186" customWidth="1"/>
    <col min="6154" max="6154" width="17.42578125" style="1186" customWidth="1"/>
    <col min="6155" max="6155" width="16.7109375" style="1186" customWidth="1"/>
    <col min="6156" max="6156" width="14.28515625" style="1186" customWidth="1"/>
    <col min="6157" max="6157" width="15.28515625" style="1186" customWidth="1"/>
    <col min="6158" max="6159" width="15.42578125" style="1186" customWidth="1"/>
    <col min="6160" max="6160" width="18.42578125" style="1186" customWidth="1"/>
    <col min="6161" max="6161" width="17.5703125" style="1186" customWidth="1"/>
    <col min="6162" max="6162" width="12.7109375" style="1186" customWidth="1"/>
    <col min="6163" max="6163" width="14.85546875" style="1186" customWidth="1"/>
    <col min="6164" max="6164" width="13.7109375" style="1186" customWidth="1"/>
    <col min="6165" max="6165" width="9.140625" style="1186" customWidth="1"/>
    <col min="6166" max="6401" width="9.140625" style="1186"/>
    <col min="6402" max="6402" width="43.28515625" style="1186" customWidth="1"/>
    <col min="6403" max="6403" width="14" style="1186" customWidth="1"/>
    <col min="6404" max="6404" width="17.85546875" style="1186" customWidth="1"/>
    <col min="6405" max="6405" width="18" style="1186" customWidth="1"/>
    <col min="6406" max="6406" width="16" style="1186" customWidth="1"/>
    <col min="6407" max="6407" width="16.85546875" style="1186" customWidth="1"/>
    <col min="6408" max="6408" width="16.7109375" style="1186" customWidth="1"/>
    <col min="6409" max="6409" width="13.85546875" style="1186" customWidth="1"/>
    <col min="6410" max="6410" width="17.42578125" style="1186" customWidth="1"/>
    <col min="6411" max="6411" width="16.7109375" style="1186" customWidth="1"/>
    <col min="6412" max="6412" width="14.28515625" style="1186" customWidth="1"/>
    <col min="6413" max="6413" width="15.28515625" style="1186" customWidth="1"/>
    <col min="6414" max="6415" width="15.42578125" style="1186" customWidth="1"/>
    <col min="6416" max="6416" width="18.42578125" style="1186" customWidth="1"/>
    <col min="6417" max="6417" width="17.5703125" style="1186" customWidth="1"/>
    <col min="6418" max="6418" width="12.7109375" style="1186" customWidth="1"/>
    <col min="6419" max="6419" width="14.85546875" style="1186" customWidth="1"/>
    <col min="6420" max="6420" width="13.7109375" style="1186" customWidth="1"/>
    <col min="6421" max="6421" width="9.140625" style="1186" customWidth="1"/>
    <col min="6422" max="6657" width="9.140625" style="1186"/>
    <col min="6658" max="6658" width="43.28515625" style="1186" customWidth="1"/>
    <col min="6659" max="6659" width="14" style="1186" customWidth="1"/>
    <col min="6660" max="6660" width="17.85546875" style="1186" customWidth="1"/>
    <col min="6661" max="6661" width="18" style="1186" customWidth="1"/>
    <col min="6662" max="6662" width="16" style="1186" customWidth="1"/>
    <col min="6663" max="6663" width="16.85546875" style="1186" customWidth="1"/>
    <col min="6664" max="6664" width="16.7109375" style="1186" customWidth="1"/>
    <col min="6665" max="6665" width="13.85546875" style="1186" customWidth="1"/>
    <col min="6666" max="6666" width="17.42578125" style="1186" customWidth="1"/>
    <col min="6667" max="6667" width="16.7109375" style="1186" customWidth="1"/>
    <col min="6668" max="6668" width="14.28515625" style="1186" customWidth="1"/>
    <col min="6669" max="6669" width="15.28515625" style="1186" customWidth="1"/>
    <col min="6670" max="6671" width="15.42578125" style="1186" customWidth="1"/>
    <col min="6672" max="6672" width="18.42578125" style="1186" customWidth="1"/>
    <col min="6673" max="6673" width="17.5703125" style="1186" customWidth="1"/>
    <col min="6674" max="6674" width="12.7109375" style="1186" customWidth="1"/>
    <col min="6675" max="6675" width="14.85546875" style="1186" customWidth="1"/>
    <col min="6676" max="6676" width="13.7109375" style="1186" customWidth="1"/>
    <col min="6677" max="6677" width="9.140625" style="1186" customWidth="1"/>
    <col min="6678" max="6913" width="9.140625" style="1186"/>
    <col min="6914" max="6914" width="43.28515625" style="1186" customWidth="1"/>
    <col min="6915" max="6915" width="14" style="1186" customWidth="1"/>
    <col min="6916" max="6916" width="17.85546875" style="1186" customWidth="1"/>
    <col min="6917" max="6917" width="18" style="1186" customWidth="1"/>
    <col min="6918" max="6918" width="16" style="1186" customWidth="1"/>
    <col min="6919" max="6919" width="16.85546875" style="1186" customWidth="1"/>
    <col min="6920" max="6920" width="16.7109375" style="1186" customWidth="1"/>
    <col min="6921" max="6921" width="13.85546875" style="1186" customWidth="1"/>
    <col min="6922" max="6922" width="17.42578125" style="1186" customWidth="1"/>
    <col min="6923" max="6923" width="16.7109375" style="1186" customWidth="1"/>
    <col min="6924" max="6924" width="14.28515625" style="1186" customWidth="1"/>
    <col min="6925" max="6925" width="15.28515625" style="1186" customWidth="1"/>
    <col min="6926" max="6927" width="15.42578125" style="1186" customWidth="1"/>
    <col min="6928" max="6928" width="18.42578125" style="1186" customWidth="1"/>
    <col min="6929" max="6929" width="17.5703125" style="1186" customWidth="1"/>
    <col min="6930" max="6930" width="12.7109375" style="1186" customWidth="1"/>
    <col min="6931" max="6931" width="14.85546875" style="1186" customWidth="1"/>
    <col min="6932" max="6932" width="13.7109375" style="1186" customWidth="1"/>
    <col min="6933" max="6933" width="9.140625" style="1186" customWidth="1"/>
    <col min="6934" max="7169" width="9.140625" style="1186"/>
    <col min="7170" max="7170" width="43.28515625" style="1186" customWidth="1"/>
    <col min="7171" max="7171" width="14" style="1186" customWidth="1"/>
    <col min="7172" max="7172" width="17.85546875" style="1186" customWidth="1"/>
    <col min="7173" max="7173" width="18" style="1186" customWidth="1"/>
    <col min="7174" max="7174" width="16" style="1186" customWidth="1"/>
    <col min="7175" max="7175" width="16.85546875" style="1186" customWidth="1"/>
    <col min="7176" max="7176" width="16.7109375" style="1186" customWidth="1"/>
    <col min="7177" max="7177" width="13.85546875" style="1186" customWidth="1"/>
    <col min="7178" max="7178" width="17.42578125" style="1186" customWidth="1"/>
    <col min="7179" max="7179" width="16.7109375" style="1186" customWidth="1"/>
    <col min="7180" max="7180" width="14.28515625" style="1186" customWidth="1"/>
    <col min="7181" max="7181" width="15.28515625" style="1186" customWidth="1"/>
    <col min="7182" max="7183" width="15.42578125" style="1186" customWidth="1"/>
    <col min="7184" max="7184" width="18.42578125" style="1186" customWidth="1"/>
    <col min="7185" max="7185" width="17.5703125" style="1186" customWidth="1"/>
    <col min="7186" max="7186" width="12.7109375" style="1186" customWidth="1"/>
    <col min="7187" max="7187" width="14.85546875" style="1186" customWidth="1"/>
    <col min="7188" max="7188" width="13.7109375" style="1186" customWidth="1"/>
    <col min="7189" max="7189" width="9.140625" style="1186" customWidth="1"/>
    <col min="7190" max="7425" width="9.140625" style="1186"/>
    <col min="7426" max="7426" width="43.28515625" style="1186" customWidth="1"/>
    <col min="7427" max="7427" width="14" style="1186" customWidth="1"/>
    <col min="7428" max="7428" width="17.85546875" style="1186" customWidth="1"/>
    <col min="7429" max="7429" width="18" style="1186" customWidth="1"/>
    <col min="7430" max="7430" width="16" style="1186" customWidth="1"/>
    <col min="7431" max="7431" width="16.85546875" style="1186" customWidth="1"/>
    <col min="7432" max="7432" width="16.7109375" style="1186" customWidth="1"/>
    <col min="7433" max="7433" width="13.85546875" style="1186" customWidth="1"/>
    <col min="7434" max="7434" width="17.42578125" style="1186" customWidth="1"/>
    <col min="7435" max="7435" width="16.7109375" style="1186" customWidth="1"/>
    <col min="7436" max="7436" width="14.28515625" style="1186" customWidth="1"/>
    <col min="7437" max="7437" width="15.28515625" style="1186" customWidth="1"/>
    <col min="7438" max="7439" width="15.42578125" style="1186" customWidth="1"/>
    <col min="7440" max="7440" width="18.42578125" style="1186" customWidth="1"/>
    <col min="7441" max="7441" width="17.5703125" style="1186" customWidth="1"/>
    <col min="7442" max="7442" width="12.7109375" style="1186" customWidth="1"/>
    <col min="7443" max="7443" width="14.85546875" style="1186" customWidth="1"/>
    <col min="7444" max="7444" width="13.7109375" style="1186" customWidth="1"/>
    <col min="7445" max="7445" width="9.140625" style="1186" customWidth="1"/>
    <col min="7446" max="7681" width="9.140625" style="1186"/>
    <col min="7682" max="7682" width="43.28515625" style="1186" customWidth="1"/>
    <col min="7683" max="7683" width="14" style="1186" customWidth="1"/>
    <col min="7684" max="7684" width="17.85546875" style="1186" customWidth="1"/>
    <col min="7685" max="7685" width="18" style="1186" customWidth="1"/>
    <col min="7686" max="7686" width="16" style="1186" customWidth="1"/>
    <col min="7687" max="7687" width="16.85546875" style="1186" customWidth="1"/>
    <col min="7688" max="7688" width="16.7109375" style="1186" customWidth="1"/>
    <col min="7689" max="7689" width="13.85546875" style="1186" customWidth="1"/>
    <col min="7690" max="7690" width="17.42578125" style="1186" customWidth="1"/>
    <col min="7691" max="7691" width="16.7109375" style="1186" customWidth="1"/>
    <col min="7692" max="7692" width="14.28515625" style="1186" customWidth="1"/>
    <col min="7693" max="7693" width="15.28515625" style="1186" customWidth="1"/>
    <col min="7694" max="7695" width="15.42578125" style="1186" customWidth="1"/>
    <col min="7696" max="7696" width="18.42578125" style="1186" customWidth="1"/>
    <col min="7697" max="7697" width="17.5703125" style="1186" customWidth="1"/>
    <col min="7698" max="7698" width="12.7109375" style="1186" customWidth="1"/>
    <col min="7699" max="7699" width="14.85546875" style="1186" customWidth="1"/>
    <col min="7700" max="7700" width="13.7109375" style="1186" customWidth="1"/>
    <col min="7701" max="7701" width="9.140625" style="1186" customWidth="1"/>
    <col min="7702" max="7937" width="9.140625" style="1186"/>
    <col min="7938" max="7938" width="43.28515625" style="1186" customWidth="1"/>
    <col min="7939" max="7939" width="14" style="1186" customWidth="1"/>
    <col min="7940" max="7940" width="17.85546875" style="1186" customWidth="1"/>
    <col min="7941" max="7941" width="18" style="1186" customWidth="1"/>
    <col min="7942" max="7942" width="16" style="1186" customWidth="1"/>
    <col min="7943" max="7943" width="16.85546875" style="1186" customWidth="1"/>
    <col min="7944" max="7944" width="16.7109375" style="1186" customWidth="1"/>
    <col min="7945" max="7945" width="13.85546875" style="1186" customWidth="1"/>
    <col min="7946" max="7946" width="17.42578125" style="1186" customWidth="1"/>
    <col min="7947" max="7947" width="16.7109375" style="1186" customWidth="1"/>
    <col min="7948" max="7948" width="14.28515625" style="1186" customWidth="1"/>
    <col min="7949" max="7949" width="15.28515625" style="1186" customWidth="1"/>
    <col min="7950" max="7951" width="15.42578125" style="1186" customWidth="1"/>
    <col min="7952" max="7952" width="18.42578125" style="1186" customWidth="1"/>
    <col min="7953" max="7953" width="17.5703125" style="1186" customWidth="1"/>
    <col min="7954" max="7954" width="12.7109375" style="1186" customWidth="1"/>
    <col min="7955" max="7955" width="14.85546875" style="1186" customWidth="1"/>
    <col min="7956" max="7956" width="13.7109375" style="1186" customWidth="1"/>
    <col min="7957" max="7957" width="9.140625" style="1186" customWidth="1"/>
    <col min="7958" max="8193" width="9.140625" style="1186"/>
    <col min="8194" max="8194" width="43.28515625" style="1186" customWidth="1"/>
    <col min="8195" max="8195" width="14" style="1186" customWidth="1"/>
    <col min="8196" max="8196" width="17.85546875" style="1186" customWidth="1"/>
    <col min="8197" max="8197" width="18" style="1186" customWidth="1"/>
    <col min="8198" max="8198" width="16" style="1186" customWidth="1"/>
    <col min="8199" max="8199" width="16.85546875" style="1186" customWidth="1"/>
    <col min="8200" max="8200" width="16.7109375" style="1186" customWidth="1"/>
    <col min="8201" max="8201" width="13.85546875" style="1186" customWidth="1"/>
    <col min="8202" max="8202" width="17.42578125" style="1186" customWidth="1"/>
    <col min="8203" max="8203" width="16.7109375" style="1186" customWidth="1"/>
    <col min="8204" max="8204" width="14.28515625" style="1186" customWidth="1"/>
    <col min="8205" max="8205" width="15.28515625" style="1186" customWidth="1"/>
    <col min="8206" max="8207" width="15.42578125" style="1186" customWidth="1"/>
    <col min="8208" max="8208" width="18.42578125" style="1186" customWidth="1"/>
    <col min="8209" max="8209" width="17.5703125" style="1186" customWidth="1"/>
    <col min="8210" max="8210" width="12.7109375" style="1186" customWidth="1"/>
    <col min="8211" max="8211" width="14.85546875" style="1186" customWidth="1"/>
    <col min="8212" max="8212" width="13.7109375" style="1186" customWidth="1"/>
    <col min="8213" max="8213" width="9.140625" style="1186" customWidth="1"/>
    <col min="8214" max="8449" width="9.140625" style="1186"/>
    <col min="8450" max="8450" width="43.28515625" style="1186" customWidth="1"/>
    <col min="8451" max="8451" width="14" style="1186" customWidth="1"/>
    <col min="8452" max="8452" width="17.85546875" style="1186" customWidth="1"/>
    <col min="8453" max="8453" width="18" style="1186" customWidth="1"/>
    <col min="8454" max="8454" width="16" style="1186" customWidth="1"/>
    <col min="8455" max="8455" width="16.85546875" style="1186" customWidth="1"/>
    <col min="8456" max="8456" width="16.7109375" style="1186" customWidth="1"/>
    <col min="8457" max="8457" width="13.85546875" style="1186" customWidth="1"/>
    <col min="8458" max="8458" width="17.42578125" style="1186" customWidth="1"/>
    <col min="8459" max="8459" width="16.7109375" style="1186" customWidth="1"/>
    <col min="8460" max="8460" width="14.28515625" style="1186" customWidth="1"/>
    <col min="8461" max="8461" width="15.28515625" style="1186" customWidth="1"/>
    <col min="8462" max="8463" width="15.42578125" style="1186" customWidth="1"/>
    <col min="8464" max="8464" width="18.42578125" style="1186" customWidth="1"/>
    <col min="8465" max="8465" width="17.5703125" style="1186" customWidth="1"/>
    <col min="8466" max="8466" width="12.7109375" style="1186" customWidth="1"/>
    <col min="8467" max="8467" width="14.85546875" style="1186" customWidth="1"/>
    <col min="8468" max="8468" width="13.7109375" style="1186" customWidth="1"/>
    <col min="8469" max="8469" width="9.140625" style="1186" customWidth="1"/>
    <col min="8470" max="8705" width="9.140625" style="1186"/>
    <col min="8706" max="8706" width="43.28515625" style="1186" customWidth="1"/>
    <col min="8707" max="8707" width="14" style="1186" customWidth="1"/>
    <col min="8708" max="8708" width="17.85546875" style="1186" customWidth="1"/>
    <col min="8709" max="8709" width="18" style="1186" customWidth="1"/>
    <col min="8710" max="8710" width="16" style="1186" customWidth="1"/>
    <col min="8711" max="8711" width="16.85546875" style="1186" customWidth="1"/>
    <col min="8712" max="8712" width="16.7109375" style="1186" customWidth="1"/>
    <col min="8713" max="8713" width="13.85546875" style="1186" customWidth="1"/>
    <col min="8714" max="8714" width="17.42578125" style="1186" customWidth="1"/>
    <col min="8715" max="8715" width="16.7109375" style="1186" customWidth="1"/>
    <col min="8716" max="8716" width="14.28515625" style="1186" customWidth="1"/>
    <col min="8717" max="8717" width="15.28515625" style="1186" customWidth="1"/>
    <col min="8718" max="8719" width="15.42578125" style="1186" customWidth="1"/>
    <col min="8720" max="8720" width="18.42578125" style="1186" customWidth="1"/>
    <col min="8721" max="8721" width="17.5703125" style="1186" customWidth="1"/>
    <col min="8722" max="8722" width="12.7109375" style="1186" customWidth="1"/>
    <col min="8723" max="8723" width="14.85546875" style="1186" customWidth="1"/>
    <col min="8724" max="8724" width="13.7109375" style="1186" customWidth="1"/>
    <col min="8725" max="8725" width="9.140625" style="1186" customWidth="1"/>
    <col min="8726" max="8961" width="9.140625" style="1186"/>
    <col min="8962" max="8962" width="43.28515625" style="1186" customWidth="1"/>
    <col min="8963" max="8963" width="14" style="1186" customWidth="1"/>
    <col min="8964" max="8964" width="17.85546875" style="1186" customWidth="1"/>
    <col min="8965" max="8965" width="18" style="1186" customWidth="1"/>
    <col min="8966" max="8966" width="16" style="1186" customWidth="1"/>
    <col min="8967" max="8967" width="16.85546875" style="1186" customWidth="1"/>
    <col min="8968" max="8968" width="16.7109375" style="1186" customWidth="1"/>
    <col min="8969" max="8969" width="13.85546875" style="1186" customWidth="1"/>
    <col min="8970" max="8970" width="17.42578125" style="1186" customWidth="1"/>
    <col min="8971" max="8971" width="16.7109375" style="1186" customWidth="1"/>
    <col min="8972" max="8972" width="14.28515625" style="1186" customWidth="1"/>
    <col min="8973" max="8973" width="15.28515625" style="1186" customWidth="1"/>
    <col min="8974" max="8975" width="15.42578125" style="1186" customWidth="1"/>
    <col min="8976" max="8976" width="18.42578125" style="1186" customWidth="1"/>
    <col min="8977" max="8977" width="17.5703125" style="1186" customWidth="1"/>
    <col min="8978" max="8978" width="12.7109375" style="1186" customWidth="1"/>
    <col min="8979" max="8979" width="14.85546875" style="1186" customWidth="1"/>
    <col min="8980" max="8980" width="13.7109375" style="1186" customWidth="1"/>
    <col min="8981" max="8981" width="9.140625" style="1186" customWidth="1"/>
    <col min="8982" max="9217" width="9.140625" style="1186"/>
    <col min="9218" max="9218" width="43.28515625" style="1186" customWidth="1"/>
    <col min="9219" max="9219" width="14" style="1186" customWidth="1"/>
    <col min="9220" max="9220" width="17.85546875" style="1186" customWidth="1"/>
    <col min="9221" max="9221" width="18" style="1186" customWidth="1"/>
    <col min="9222" max="9222" width="16" style="1186" customWidth="1"/>
    <col min="9223" max="9223" width="16.85546875" style="1186" customWidth="1"/>
    <col min="9224" max="9224" width="16.7109375" style="1186" customWidth="1"/>
    <col min="9225" max="9225" width="13.85546875" style="1186" customWidth="1"/>
    <col min="9226" max="9226" width="17.42578125" style="1186" customWidth="1"/>
    <col min="9227" max="9227" width="16.7109375" style="1186" customWidth="1"/>
    <col min="9228" max="9228" width="14.28515625" style="1186" customWidth="1"/>
    <col min="9229" max="9229" width="15.28515625" style="1186" customWidth="1"/>
    <col min="9230" max="9231" width="15.42578125" style="1186" customWidth="1"/>
    <col min="9232" max="9232" width="18.42578125" style="1186" customWidth="1"/>
    <col min="9233" max="9233" width="17.5703125" style="1186" customWidth="1"/>
    <col min="9234" max="9234" width="12.7109375" style="1186" customWidth="1"/>
    <col min="9235" max="9235" width="14.85546875" style="1186" customWidth="1"/>
    <col min="9236" max="9236" width="13.7109375" style="1186" customWidth="1"/>
    <col min="9237" max="9237" width="9.140625" style="1186" customWidth="1"/>
    <col min="9238" max="9473" width="9.140625" style="1186"/>
    <col min="9474" max="9474" width="43.28515625" style="1186" customWidth="1"/>
    <col min="9475" max="9475" width="14" style="1186" customWidth="1"/>
    <col min="9476" max="9476" width="17.85546875" style="1186" customWidth="1"/>
    <col min="9477" max="9477" width="18" style="1186" customWidth="1"/>
    <col min="9478" max="9478" width="16" style="1186" customWidth="1"/>
    <col min="9479" max="9479" width="16.85546875" style="1186" customWidth="1"/>
    <col min="9480" max="9480" width="16.7109375" style="1186" customWidth="1"/>
    <col min="9481" max="9481" width="13.85546875" style="1186" customWidth="1"/>
    <col min="9482" max="9482" width="17.42578125" style="1186" customWidth="1"/>
    <col min="9483" max="9483" width="16.7109375" style="1186" customWidth="1"/>
    <col min="9484" max="9484" width="14.28515625" style="1186" customWidth="1"/>
    <col min="9485" max="9485" width="15.28515625" style="1186" customWidth="1"/>
    <col min="9486" max="9487" width="15.42578125" style="1186" customWidth="1"/>
    <col min="9488" max="9488" width="18.42578125" style="1186" customWidth="1"/>
    <col min="9489" max="9489" width="17.5703125" style="1186" customWidth="1"/>
    <col min="9490" max="9490" width="12.7109375" style="1186" customWidth="1"/>
    <col min="9491" max="9491" width="14.85546875" style="1186" customWidth="1"/>
    <col min="9492" max="9492" width="13.7109375" style="1186" customWidth="1"/>
    <col min="9493" max="9493" width="9.140625" style="1186" customWidth="1"/>
    <col min="9494" max="9729" width="9.140625" style="1186"/>
    <col min="9730" max="9730" width="43.28515625" style="1186" customWidth="1"/>
    <col min="9731" max="9731" width="14" style="1186" customWidth="1"/>
    <col min="9732" max="9732" width="17.85546875" style="1186" customWidth="1"/>
    <col min="9733" max="9733" width="18" style="1186" customWidth="1"/>
    <col min="9734" max="9734" width="16" style="1186" customWidth="1"/>
    <col min="9735" max="9735" width="16.85546875" style="1186" customWidth="1"/>
    <col min="9736" max="9736" width="16.7109375" style="1186" customWidth="1"/>
    <col min="9737" max="9737" width="13.85546875" style="1186" customWidth="1"/>
    <col min="9738" max="9738" width="17.42578125" style="1186" customWidth="1"/>
    <col min="9739" max="9739" width="16.7109375" style="1186" customWidth="1"/>
    <col min="9740" max="9740" width="14.28515625" style="1186" customWidth="1"/>
    <col min="9741" max="9741" width="15.28515625" style="1186" customWidth="1"/>
    <col min="9742" max="9743" width="15.42578125" style="1186" customWidth="1"/>
    <col min="9744" max="9744" width="18.42578125" style="1186" customWidth="1"/>
    <col min="9745" max="9745" width="17.5703125" style="1186" customWidth="1"/>
    <col min="9746" max="9746" width="12.7109375" style="1186" customWidth="1"/>
    <col min="9747" max="9747" width="14.85546875" style="1186" customWidth="1"/>
    <col min="9748" max="9748" width="13.7109375" style="1186" customWidth="1"/>
    <col min="9749" max="9749" width="9.140625" style="1186" customWidth="1"/>
    <col min="9750" max="9985" width="9.140625" style="1186"/>
    <col min="9986" max="9986" width="43.28515625" style="1186" customWidth="1"/>
    <col min="9987" max="9987" width="14" style="1186" customWidth="1"/>
    <col min="9988" max="9988" width="17.85546875" style="1186" customWidth="1"/>
    <col min="9989" max="9989" width="18" style="1186" customWidth="1"/>
    <col min="9990" max="9990" width="16" style="1186" customWidth="1"/>
    <col min="9991" max="9991" width="16.85546875" style="1186" customWidth="1"/>
    <col min="9992" max="9992" width="16.7109375" style="1186" customWidth="1"/>
    <col min="9993" max="9993" width="13.85546875" style="1186" customWidth="1"/>
    <col min="9994" max="9994" width="17.42578125" style="1186" customWidth="1"/>
    <col min="9995" max="9995" width="16.7109375" style="1186" customWidth="1"/>
    <col min="9996" max="9996" width="14.28515625" style="1186" customWidth="1"/>
    <col min="9997" max="9997" width="15.28515625" style="1186" customWidth="1"/>
    <col min="9998" max="9999" width="15.42578125" style="1186" customWidth="1"/>
    <col min="10000" max="10000" width="18.42578125" style="1186" customWidth="1"/>
    <col min="10001" max="10001" width="17.5703125" style="1186" customWidth="1"/>
    <col min="10002" max="10002" width="12.7109375" style="1186" customWidth="1"/>
    <col min="10003" max="10003" width="14.85546875" style="1186" customWidth="1"/>
    <col min="10004" max="10004" width="13.7109375" style="1186" customWidth="1"/>
    <col min="10005" max="10005" width="9.140625" style="1186" customWidth="1"/>
    <col min="10006" max="10241" width="9.140625" style="1186"/>
    <col min="10242" max="10242" width="43.28515625" style="1186" customWidth="1"/>
    <col min="10243" max="10243" width="14" style="1186" customWidth="1"/>
    <col min="10244" max="10244" width="17.85546875" style="1186" customWidth="1"/>
    <col min="10245" max="10245" width="18" style="1186" customWidth="1"/>
    <col min="10246" max="10246" width="16" style="1186" customWidth="1"/>
    <col min="10247" max="10247" width="16.85546875" style="1186" customWidth="1"/>
    <col min="10248" max="10248" width="16.7109375" style="1186" customWidth="1"/>
    <col min="10249" max="10249" width="13.85546875" style="1186" customWidth="1"/>
    <col min="10250" max="10250" width="17.42578125" style="1186" customWidth="1"/>
    <col min="10251" max="10251" width="16.7109375" style="1186" customWidth="1"/>
    <col min="10252" max="10252" width="14.28515625" style="1186" customWidth="1"/>
    <col min="10253" max="10253" width="15.28515625" style="1186" customWidth="1"/>
    <col min="10254" max="10255" width="15.42578125" style="1186" customWidth="1"/>
    <col min="10256" max="10256" width="18.42578125" style="1186" customWidth="1"/>
    <col min="10257" max="10257" width="17.5703125" style="1186" customWidth="1"/>
    <col min="10258" max="10258" width="12.7109375" style="1186" customWidth="1"/>
    <col min="10259" max="10259" width="14.85546875" style="1186" customWidth="1"/>
    <col min="10260" max="10260" width="13.7109375" style="1186" customWidth="1"/>
    <col min="10261" max="10261" width="9.140625" style="1186" customWidth="1"/>
    <col min="10262" max="10497" width="9.140625" style="1186"/>
    <col min="10498" max="10498" width="43.28515625" style="1186" customWidth="1"/>
    <col min="10499" max="10499" width="14" style="1186" customWidth="1"/>
    <col min="10500" max="10500" width="17.85546875" style="1186" customWidth="1"/>
    <col min="10501" max="10501" width="18" style="1186" customWidth="1"/>
    <col min="10502" max="10502" width="16" style="1186" customWidth="1"/>
    <col min="10503" max="10503" width="16.85546875" style="1186" customWidth="1"/>
    <col min="10504" max="10504" width="16.7109375" style="1186" customWidth="1"/>
    <col min="10505" max="10505" width="13.85546875" style="1186" customWidth="1"/>
    <col min="10506" max="10506" width="17.42578125" style="1186" customWidth="1"/>
    <col min="10507" max="10507" width="16.7109375" style="1186" customWidth="1"/>
    <col min="10508" max="10508" width="14.28515625" style="1186" customWidth="1"/>
    <col min="10509" max="10509" width="15.28515625" style="1186" customWidth="1"/>
    <col min="10510" max="10511" width="15.42578125" style="1186" customWidth="1"/>
    <col min="10512" max="10512" width="18.42578125" style="1186" customWidth="1"/>
    <col min="10513" max="10513" width="17.5703125" style="1186" customWidth="1"/>
    <col min="10514" max="10514" width="12.7109375" style="1186" customWidth="1"/>
    <col min="10515" max="10515" width="14.85546875" style="1186" customWidth="1"/>
    <col min="10516" max="10516" width="13.7109375" style="1186" customWidth="1"/>
    <col min="10517" max="10517" width="9.140625" style="1186" customWidth="1"/>
    <col min="10518" max="10753" width="9.140625" style="1186"/>
    <col min="10754" max="10754" width="43.28515625" style="1186" customWidth="1"/>
    <col min="10755" max="10755" width="14" style="1186" customWidth="1"/>
    <col min="10756" max="10756" width="17.85546875" style="1186" customWidth="1"/>
    <col min="10757" max="10757" width="18" style="1186" customWidth="1"/>
    <col min="10758" max="10758" width="16" style="1186" customWidth="1"/>
    <col min="10759" max="10759" width="16.85546875" style="1186" customWidth="1"/>
    <col min="10760" max="10760" width="16.7109375" style="1186" customWidth="1"/>
    <col min="10761" max="10761" width="13.85546875" style="1186" customWidth="1"/>
    <col min="10762" max="10762" width="17.42578125" style="1186" customWidth="1"/>
    <col min="10763" max="10763" width="16.7109375" style="1186" customWidth="1"/>
    <col min="10764" max="10764" width="14.28515625" style="1186" customWidth="1"/>
    <col min="10765" max="10765" width="15.28515625" style="1186" customWidth="1"/>
    <col min="10766" max="10767" width="15.42578125" style="1186" customWidth="1"/>
    <col min="10768" max="10768" width="18.42578125" style="1186" customWidth="1"/>
    <col min="10769" max="10769" width="17.5703125" style="1186" customWidth="1"/>
    <col min="10770" max="10770" width="12.7109375" style="1186" customWidth="1"/>
    <col min="10771" max="10771" width="14.85546875" style="1186" customWidth="1"/>
    <col min="10772" max="10772" width="13.7109375" style="1186" customWidth="1"/>
    <col min="10773" max="10773" width="9.140625" style="1186" customWidth="1"/>
    <col min="10774" max="11009" width="9.140625" style="1186"/>
    <col min="11010" max="11010" width="43.28515625" style="1186" customWidth="1"/>
    <col min="11011" max="11011" width="14" style="1186" customWidth="1"/>
    <col min="11012" max="11012" width="17.85546875" style="1186" customWidth="1"/>
    <col min="11013" max="11013" width="18" style="1186" customWidth="1"/>
    <col min="11014" max="11014" width="16" style="1186" customWidth="1"/>
    <col min="11015" max="11015" width="16.85546875" style="1186" customWidth="1"/>
    <col min="11016" max="11016" width="16.7109375" style="1186" customWidth="1"/>
    <col min="11017" max="11017" width="13.85546875" style="1186" customWidth="1"/>
    <col min="11018" max="11018" width="17.42578125" style="1186" customWidth="1"/>
    <col min="11019" max="11019" width="16.7109375" style="1186" customWidth="1"/>
    <col min="11020" max="11020" width="14.28515625" style="1186" customWidth="1"/>
    <col min="11021" max="11021" width="15.28515625" style="1186" customWidth="1"/>
    <col min="11022" max="11023" width="15.42578125" style="1186" customWidth="1"/>
    <col min="11024" max="11024" width="18.42578125" style="1186" customWidth="1"/>
    <col min="11025" max="11025" width="17.5703125" style="1186" customWidth="1"/>
    <col min="11026" max="11026" width="12.7109375" style="1186" customWidth="1"/>
    <col min="11027" max="11027" width="14.85546875" style="1186" customWidth="1"/>
    <col min="11028" max="11028" width="13.7109375" style="1186" customWidth="1"/>
    <col min="11029" max="11029" width="9.140625" style="1186" customWidth="1"/>
    <col min="11030" max="11265" width="9.140625" style="1186"/>
    <col min="11266" max="11266" width="43.28515625" style="1186" customWidth="1"/>
    <col min="11267" max="11267" width="14" style="1186" customWidth="1"/>
    <col min="11268" max="11268" width="17.85546875" style="1186" customWidth="1"/>
    <col min="11269" max="11269" width="18" style="1186" customWidth="1"/>
    <col min="11270" max="11270" width="16" style="1186" customWidth="1"/>
    <col min="11271" max="11271" width="16.85546875" style="1186" customWidth="1"/>
    <col min="11272" max="11272" width="16.7109375" style="1186" customWidth="1"/>
    <col min="11273" max="11273" width="13.85546875" style="1186" customWidth="1"/>
    <col min="11274" max="11274" width="17.42578125" style="1186" customWidth="1"/>
    <col min="11275" max="11275" width="16.7109375" style="1186" customWidth="1"/>
    <col min="11276" max="11276" width="14.28515625" style="1186" customWidth="1"/>
    <col min="11277" max="11277" width="15.28515625" style="1186" customWidth="1"/>
    <col min="11278" max="11279" width="15.42578125" style="1186" customWidth="1"/>
    <col min="11280" max="11280" width="18.42578125" style="1186" customWidth="1"/>
    <col min="11281" max="11281" width="17.5703125" style="1186" customWidth="1"/>
    <col min="11282" max="11282" width="12.7109375" style="1186" customWidth="1"/>
    <col min="11283" max="11283" width="14.85546875" style="1186" customWidth="1"/>
    <col min="11284" max="11284" width="13.7109375" style="1186" customWidth="1"/>
    <col min="11285" max="11285" width="9.140625" style="1186" customWidth="1"/>
    <col min="11286" max="11521" width="9.140625" style="1186"/>
    <col min="11522" max="11522" width="43.28515625" style="1186" customWidth="1"/>
    <col min="11523" max="11523" width="14" style="1186" customWidth="1"/>
    <col min="11524" max="11524" width="17.85546875" style="1186" customWidth="1"/>
    <col min="11525" max="11525" width="18" style="1186" customWidth="1"/>
    <col min="11526" max="11526" width="16" style="1186" customWidth="1"/>
    <col min="11527" max="11527" width="16.85546875" style="1186" customWidth="1"/>
    <col min="11528" max="11528" width="16.7109375" style="1186" customWidth="1"/>
    <col min="11529" max="11529" width="13.85546875" style="1186" customWidth="1"/>
    <col min="11530" max="11530" width="17.42578125" style="1186" customWidth="1"/>
    <col min="11531" max="11531" width="16.7109375" style="1186" customWidth="1"/>
    <col min="11532" max="11532" width="14.28515625" style="1186" customWidth="1"/>
    <col min="11533" max="11533" width="15.28515625" style="1186" customWidth="1"/>
    <col min="11534" max="11535" width="15.42578125" style="1186" customWidth="1"/>
    <col min="11536" max="11536" width="18.42578125" style="1186" customWidth="1"/>
    <col min="11537" max="11537" width="17.5703125" style="1186" customWidth="1"/>
    <col min="11538" max="11538" width="12.7109375" style="1186" customWidth="1"/>
    <col min="11539" max="11539" width="14.85546875" style="1186" customWidth="1"/>
    <col min="11540" max="11540" width="13.7109375" style="1186" customWidth="1"/>
    <col min="11541" max="11541" width="9.140625" style="1186" customWidth="1"/>
    <col min="11542" max="11777" width="9.140625" style="1186"/>
    <col min="11778" max="11778" width="43.28515625" style="1186" customWidth="1"/>
    <col min="11779" max="11779" width="14" style="1186" customWidth="1"/>
    <col min="11780" max="11780" width="17.85546875" style="1186" customWidth="1"/>
    <col min="11781" max="11781" width="18" style="1186" customWidth="1"/>
    <col min="11782" max="11782" width="16" style="1186" customWidth="1"/>
    <col min="11783" max="11783" width="16.85546875" style="1186" customWidth="1"/>
    <col min="11784" max="11784" width="16.7109375" style="1186" customWidth="1"/>
    <col min="11785" max="11785" width="13.85546875" style="1186" customWidth="1"/>
    <col min="11786" max="11786" width="17.42578125" style="1186" customWidth="1"/>
    <col min="11787" max="11787" width="16.7109375" style="1186" customWidth="1"/>
    <col min="11788" max="11788" width="14.28515625" style="1186" customWidth="1"/>
    <col min="11789" max="11789" width="15.28515625" style="1186" customWidth="1"/>
    <col min="11790" max="11791" width="15.42578125" style="1186" customWidth="1"/>
    <col min="11792" max="11792" width="18.42578125" style="1186" customWidth="1"/>
    <col min="11793" max="11793" width="17.5703125" style="1186" customWidth="1"/>
    <col min="11794" max="11794" width="12.7109375" style="1186" customWidth="1"/>
    <col min="11795" max="11795" width="14.85546875" style="1186" customWidth="1"/>
    <col min="11796" max="11796" width="13.7109375" style="1186" customWidth="1"/>
    <col min="11797" max="11797" width="9.140625" style="1186" customWidth="1"/>
    <col min="11798" max="12033" width="9.140625" style="1186"/>
    <col min="12034" max="12034" width="43.28515625" style="1186" customWidth="1"/>
    <col min="12035" max="12035" width="14" style="1186" customWidth="1"/>
    <col min="12036" max="12036" width="17.85546875" style="1186" customWidth="1"/>
    <col min="12037" max="12037" width="18" style="1186" customWidth="1"/>
    <col min="12038" max="12038" width="16" style="1186" customWidth="1"/>
    <col min="12039" max="12039" width="16.85546875" style="1186" customWidth="1"/>
    <col min="12040" max="12040" width="16.7109375" style="1186" customWidth="1"/>
    <col min="12041" max="12041" width="13.85546875" style="1186" customWidth="1"/>
    <col min="12042" max="12042" width="17.42578125" style="1186" customWidth="1"/>
    <col min="12043" max="12043" width="16.7109375" style="1186" customWidth="1"/>
    <col min="12044" max="12044" width="14.28515625" style="1186" customWidth="1"/>
    <col min="12045" max="12045" width="15.28515625" style="1186" customWidth="1"/>
    <col min="12046" max="12047" width="15.42578125" style="1186" customWidth="1"/>
    <col min="12048" max="12048" width="18.42578125" style="1186" customWidth="1"/>
    <col min="12049" max="12049" width="17.5703125" style="1186" customWidth="1"/>
    <col min="12050" max="12050" width="12.7109375" style="1186" customWidth="1"/>
    <col min="12051" max="12051" width="14.85546875" style="1186" customWidth="1"/>
    <col min="12052" max="12052" width="13.7109375" style="1186" customWidth="1"/>
    <col min="12053" max="12053" width="9.140625" style="1186" customWidth="1"/>
    <col min="12054" max="12289" width="9.140625" style="1186"/>
    <col min="12290" max="12290" width="43.28515625" style="1186" customWidth="1"/>
    <col min="12291" max="12291" width="14" style="1186" customWidth="1"/>
    <col min="12292" max="12292" width="17.85546875" style="1186" customWidth="1"/>
    <col min="12293" max="12293" width="18" style="1186" customWidth="1"/>
    <col min="12294" max="12294" width="16" style="1186" customWidth="1"/>
    <col min="12295" max="12295" width="16.85546875" style="1186" customWidth="1"/>
    <col min="12296" max="12296" width="16.7109375" style="1186" customWidth="1"/>
    <col min="12297" max="12297" width="13.85546875" style="1186" customWidth="1"/>
    <col min="12298" max="12298" width="17.42578125" style="1186" customWidth="1"/>
    <col min="12299" max="12299" width="16.7109375" style="1186" customWidth="1"/>
    <col min="12300" max="12300" width="14.28515625" style="1186" customWidth="1"/>
    <col min="12301" max="12301" width="15.28515625" style="1186" customWidth="1"/>
    <col min="12302" max="12303" width="15.42578125" style="1186" customWidth="1"/>
    <col min="12304" max="12304" width="18.42578125" style="1186" customWidth="1"/>
    <col min="12305" max="12305" width="17.5703125" style="1186" customWidth="1"/>
    <col min="12306" max="12306" width="12.7109375" style="1186" customWidth="1"/>
    <col min="12307" max="12307" width="14.85546875" style="1186" customWidth="1"/>
    <col min="12308" max="12308" width="13.7109375" style="1186" customWidth="1"/>
    <col min="12309" max="12309" width="9.140625" style="1186" customWidth="1"/>
    <col min="12310" max="12545" width="9.140625" style="1186"/>
    <col min="12546" max="12546" width="43.28515625" style="1186" customWidth="1"/>
    <col min="12547" max="12547" width="14" style="1186" customWidth="1"/>
    <col min="12548" max="12548" width="17.85546875" style="1186" customWidth="1"/>
    <col min="12549" max="12549" width="18" style="1186" customWidth="1"/>
    <col min="12550" max="12550" width="16" style="1186" customWidth="1"/>
    <col min="12551" max="12551" width="16.85546875" style="1186" customWidth="1"/>
    <col min="12552" max="12552" width="16.7109375" style="1186" customWidth="1"/>
    <col min="12553" max="12553" width="13.85546875" style="1186" customWidth="1"/>
    <col min="12554" max="12554" width="17.42578125" style="1186" customWidth="1"/>
    <col min="12555" max="12555" width="16.7109375" style="1186" customWidth="1"/>
    <col min="12556" max="12556" width="14.28515625" style="1186" customWidth="1"/>
    <col min="12557" max="12557" width="15.28515625" style="1186" customWidth="1"/>
    <col min="12558" max="12559" width="15.42578125" style="1186" customWidth="1"/>
    <col min="12560" max="12560" width="18.42578125" style="1186" customWidth="1"/>
    <col min="12561" max="12561" width="17.5703125" style="1186" customWidth="1"/>
    <col min="12562" max="12562" width="12.7109375" style="1186" customWidth="1"/>
    <col min="12563" max="12563" width="14.85546875" style="1186" customWidth="1"/>
    <col min="12564" max="12564" width="13.7109375" style="1186" customWidth="1"/>
    <col min="12565" max="12565" width="9.140625" style="1186" customWidth="1"/>
    <col min="12566" max="12801" width="9.140625" style="1186"/>
    <col min="12802" max="12802" width="43.28515625" style="1186" customWidth="1"/>
    <col min="12803" max="12803" width="14" style="1186" customWidth="1"/>
    <col min="12804" max="12804" width="17.85546875" style="1186" customWidth="1"/>
    <col min="12805" max="12805" width="18" style="1186" customWidth="1"/>
    <col min="12806" max="12806" width="16" style="1186" customWidth="1"/>
    <col min="12807" max="12807" width="16.85546875" style="1186" customWidth="1"/>
    <col min="12808" max="12808" width="16.7109375" style="1186" customWidth="1"/>
    <col min="12809" max="12809" width="13.85546875" style="1186" customWidth="1"/>
    <col min="12810" max="12810" width="17.42578125" style="1186" customWidth="1"/>
    <col min="12811" max="12811" width="16.7109375" style="1186" customWidth="1"/>
    <col min="12812" max="12812" width="14.28515625" style="1186" customWidth="1"/>
    <col min="12813" max="12813" width="15.28515625" style="1186" customWidth="1"/>
    <col min="12814" max="12815" width="15.42578125" style="1186" customWidth="1"/>
    <col min="12816" max="12816" width="18.42578125" style="1186" customWidth="1"/>
    <col min="12817" max="12817" width="17.5703125" style="1186" customWidth="1"/>
    <col min="12818" max="12818" width="12.7109375" style="1186" customWidth="1"/>
    <col min="12819" max="12819" width="14.85546875" style="1186" customWidth="1"/>
    <col min="12820" max="12820" width="13.7109375" style="1186" customWidth="1"/>
    <col min="12821" max="12821" width="9.140625" style="1186" customWidth="1"/>
    <col min="12822" max="13057" width="9.140625" style="1186"/>
    <col min="13058" max="13058" width="43.28515625" style="1186" customWidth="1"/>
    <col min="13059" max="13059" width="14" style="1186" customWidth="1"/>
    <col min="13060" max="13060" width="17.85546875" style="1186" customWidth="1"/>
    <col min="13061" max="13061" width="18" style="1186" customWidth="1"/>
    <col min="13062" max="13062" width="16" style="1186" customWidth="1"/>
    <col min="13063" max="13063" width="16.85546875" style="1186" customWidth="1"/>
    <col min="13064" max="13064" width="16.7109375" style="1186" customWidth="1"/>
    <col min="13065" max="13065" width="13.85546875" style="1186" customWidth="1"/>
    <col min="13066" max="13066" width="17.42578125" style="1186" customWidth="1"/>
    <col min="13067" max="13067" width="16.7109375" style="1186" customWidth="1"/>
    <col min="13068" max="13068" width="14.28515625" style="1186" customWidth="1"/>
    <col min="13069" max="13069" width="15.28515625" style="1186" customWidth="1"/>
    <col min="13070" max="13071" width="15.42578125" style="1186" customWidth="1"/>
    <col min="13072" max="13072" width="18.42578125" style="1186" customWidth="1"/>
    <col min="13073" max="13073" width="17.5703125" style="1186" customWidth="1"/>
    <col min="13074" max="13074" width="12.7109375" style="1186" customWidth="1"/>
    <col min="13075" max="13075" width="14.85546875" style="1186" customWidth="1"/>
    <col min="13076" max="13076" width="13.7109375" style="1186" customWidth="1"/>
    <col min="13077" max="13077" width="9.140625" style="1186" customWidth="1"/>
    <col min="13078" max="13313" width="9.140625" style="1186"/>
    <col min="13314" max="13314" width="43.28515625" style="1186" customWidth="1"/>
    <col min="13315" max="13315" width="14" style="1186" customWidth="1"/>
    <col min="13316" max="13316" width="17.85546875" style="1186" customWidth="1"/>
    <col min="13317" max="13317" width="18" style="1186" customWidth="1"/>
    <col min="13318" max="13318" width="16" style="1186" customWidth="1"/>
    <col min="13319" max="13319" width="16.85546875" style="1186" customWidth="1"/>
    <col min="13320" max="13320" width="16.7109375" style="1186" customWidth="1"/>
    <col min="13321" max="13321" width="13.85546875" style="1186" customWidth="1"/>
    <col min="13322" max="13322" width="17.42578125" style="1186" customWidth="1"/>
    <col min="13323" max="13323" width="16.7109375" style="1186" customWidth="1"/>
    <col min="13324" max="13324" width="14.28515625" style="1186" customWidth="1"/>
    <col min="13325" max="13325" width="15.28515625" style="1186" customWidth="1"/>
    <col min="13326" max="13327" width="15.42578125" style="1186" customWidth="1"/>
    <col min="13328" max="13328" width="18.42578125" style="1186" customWidth="1"/>
    <col min="13329" max="13329" width="17.5703125" style="1186" customWidth="1"/>
    <col min="13330" max="13330" width="12.7109375" style="1186" customWidth="1"/>
    <col min="13331" max="13331" width="14.85546875" style="1186" customWidth="1"/>
    <col min="13332" max="13332" width="13.7109375" style="1186" customWidth="1"/>
    <col min="13333" max="13333" width="9.140625" style="1186" customWidth="1"/>
    <col min="13334" max="13569" width="9.140625" style="1186"/>
    <col min="13570" max="13570" width="43.28515625" style="1186" customWidth="1"/>
    <col min="13571" max="13571" width="14" style="1186" customWidth="1"/>
    <col min="13572" max="13572" width="17.85546875" style="1186" customWidth="1"/>
    <col min="13573" max="13573" width="18" style="1186" customWidth="1"/>
    <col min="13574" max="13574" width="16" style="1186" customWidth="1"/>
    <col min="13575" max="13575" width="16.85546875" style="1186" customWidth="1"/>
    <col min="13576" max="13576" width="16.7109375" style="1186" customWidth="1"/>
    <col min="13577" max="13577" width="13.85546875" style="1186" customWidth="1"/>
    <col min="13578" max="13578" width="17.42578125" style="1186" customWidth="1"/>
    <col min="13579" max="13579" width="16.7109375" style="1186" customWidth="1"/>
    <col min="13580" max="13580" width="14.28515625" style="1186" customWidth="1"/>
    <col min="13581" max="13581" width="15.28515625" style="1186" customWidth="1"/>
    <col min="13582" max="13583" width="15.42578125" style="1186" customWidth="1"/>
    <col min="13584" max="13584" width="18.42578125" style="1186" customWidth="1"/>
    <col min="13585" max="13585" width="17.5703125" style="1186" customWidth="1"/>
    <col min="13586" max="13586" width="12.7109375" style="1186" customWidth="1"/>
    <col min="13587" max="13587" width="14.85546875" style="1186" customWidth="1"/>
    <col min="13588" max="13588" width="13.7109375" style="1186" customWidth="1"/>
    <col min="13589" max="13589" width="9.140625" style="1186" customWidth="1"/>
    <col min="13590" max="13825" width="9.140625" style="1186"/>
    <col min="13826" max="13826" width="43.28515625" style="1186" customWidth="1"/>
    <col min="13827" max="13827" width="14" style="1186" customWidth="1"/>
    <col min="13828" max="13828" width="17.85546875" style="1186" customWidth="1"/>
    <col min="13829" max="13829" width="18" style="1186" customWidth="1"/>
    <col min="13830" max="13830" width="16" style="1186" customWidth="1"/>
    <col min="13831" max="13831" width="16.85546875" style="1186" customWidth="1"/>
    <col min="13832" max="13832" width="16.7109375" style="1186" customWidth="1"/>
    <col min="13833" max="13833" width="13.85546875" style="1186" customWidth="1"/>
    <col min="13834" max="13834" width="17.42578125" style="1186" customWidth="1"/>
    <col min="13835" max="13835" width="16.7109375" style="1186" customWidth="1"/>
    <col min="13836" max="13836" width="14.28515625" style="1186" customWidth="1"/>
    <col min="13837" max="13837" width="15.28515625" style="1186" customWidth="1"/>
    <col min="13838" max="13839" width="15.42578125" style="1186" customWidth="1"/>
    <col min="13840" max="13840" width="18.42578125" style="1186" customWidth="1"/>
    <col min="13841" max="13841" width="17.5703125" style="1186" customWidth="1"/>
    <col min="13842" max="13842" width="12.7109375" style="1186" customWidth="1"/>
    <col min="13843" max="13843" width="14.85546875" style="1186" customWidth="1"/>
    <col min="13844" max="13844" width="13.7109375" style="1186" customWidth="1"/>
    <col min="13845" max="13845" width="9.140625" style="1186" customWidth="1"/>
    <col min="13846" max="14081" width="9.140625" style="1186"/>
    <col min="14082" max="14082" width="43.28515625" style="1186" customWidth="1"/>
    <col min="14083" max="14083" width="14" style="1186" customWidth="1"/>
    <col min="14084" max="14084" width="17.85546875" style="1186" customWidth="1"/>
    <col min="14085" max="14085" width="18" style="1186" customWidth="1"/>
    <col min="14086" max="14086" width="16" style="1186" customWidth="1"/>
    <col min="14087" max="14087" width="16.85546875" style="1186" customWidth="1"/>
    <col min="14088" max="14088" width="16.7109375" style="1186" customWidth="1"/>
    <col min="14089" max="14089" width="13.85546875" style="1186" customWidth="1"/>
    <col min="14090" max="14090" width="17.42578125" style="1186" customWidth="1"/>
    <col min="14091" max="14091" width="16.7109375" style="1186" customWidth="1"/>
    <col min="14092" max="14092" width="14.28515625" style="1186" customWidth="1"/>
    <col min="14093" max="14093" width="15.28515625" style="1186" customWidth="1"/>
    <col min="14094" max="14095" width="15.42578125" style="1186" customWidth="1"/>
    <col min="14096" max="14096" width="18.42578125" style="1186" customWidth="1"/>
    <col min="14097" max="14097" width="17.5703125" style="1186" customWidth="1"/>
    <col min="14098" max="14098" width="12.7109375" style="1186" customWidth="1"/>
    <col min="14099" max="14099" width="14.85546875" style="1186" customWidth="1"/>
    <col min="14100" max="14100" width="13.7109375" style="1186" customWidth="1"/>
    <col min="14101" max="14101" width="9.140625" style="1186" customWidth="1"/>
    <col min="14102" max="14337" width="9.140625" style="1186"/>
    <col min="14338" max="14338" width="43.28515625" style="1186" customWidth="1"/>
    <col min="14339" max="14339" width="14" style="1186" customWidth="1"/>
    <col min="14340" max="14340" width="17.85546875" style="1186" customWidth="1"/>
    <col min="14341" max="14341" width="18" style="1186" customWidth="1"/>
    <col min="14342" max="14342" width="16" style="1186" customWidth="1"/>
    <col min="14343" max="14343" width="16.85546875" style="1186" customWidth="1"/>
    <col min="14344" max="14344" width="16.7109375" style="1186" customWidth="1"/>
    <col min="14345" max="14345" width="13.85546875" style="1186" customWidth="1"/>
    <col min="14346" max="14346" width="17.42578125" style="1186" customWidth="1"/>
    <col min="14347" max="14347" width="16.7109375" style="1186" customWidth="1"/>
    <col min="14348" max="14348" width="14.28515625" style="1186" customWidth="1"/>
    <col min="14349" max="14349" width="15.28515625" style="1186" customWidth="1"/>
    <col min="14350" max="14351" width="15.42578125" style="1186" customWidth="1"/>
    <col min="14352" max="14352" width="18.42578125" style="1186" customWidth="1"/>
    <col min="14353" max="14353" width="17.5703125" style="1186" customWidth="1"/>
    <col min="14354" max="14354" width="12.7109375" style="1186" customWidth="1"/>
    <col min="14355" max="14355" width="14.85546875" style="1186" customWidth="1"/>
    <col min="14356" max="14356" width="13.7109375" style="1186" customWidth="1"/>
    <col min="14357" max="14357" width="9.140625" style="1186" customWidth="1"/>
    <col min="14358" max="14593" width="9.140625" style="1186"/>
    <col min="14594" max="14594" width="43.28515625" style="1186" customWidth="1"/>
    <col min="14595" max="14595" width="14" style="1186" customWidth="1"/>
    <col min="14596" max="14596" width="17.85546875" style="1186" customWidth="1"/>
    <col min="14597" max="14597" width="18" style="1186" customWidth="1"/>
    <col min="14598" max="14598" width="16" style="1186" customWidth="1"/>
    <col min="14599" max="14599" width="16.85546875" style="1186" customWidth="1"/>
    <col min="14600" max="14600" width="16.7109375" style="1186" customWidth="1"/>
    <col min="14601" max="14601" width="13.85546875" style="1186" customWidth="1"/>
    <col min="14602" max="14602" width="17.42578125" style="1186" customWidth="1"/>
    <col min="14603" max="14603" width="16.7109375" style="1186" customWidth="1"/>
    <col min="14604" max="14604" width="14.28515625" style="1186" customWidth="1"/>
    <col min="14605" max="14605" width="15.28515625" style="1186" customWidth="1"/>
    <col min="14606" max="14607" width="15.42578125" style="1186" customWidth="1"/>
    <col min="14608" max="14608" width="18.42578125" style="1186" customWidth="1"/>
    <col min="14609" max="14609" width="17.5703125" style="1186" customWidth="1"/>
    <col min="14610" max="14610" width="12.7109375" style="1186" customWidth="1"/>
    <col min="14611" max="14611" width="14.85546875" style="1186" customWidth="1"/>
    <col min="14612" max="14612" width="13.7109375" style="1186" customWidth="1"/>
    <col min="14613" max="14613" width="9.140625" style="1186" customWidth="1"/>
    <col min="14614" max="14849" width="9.140625" style="1186"/>
    <col min="14850" max="14850" width="43.28515625" style="1186" customWidth="1"/>
    <col min="14851" max="14851" width="14" style="1186" customWidth="1"/>
    <col min="14852" max="14852" width="17.85546875" style="1186" customWidth="1"/>
    <col min="14853" max="14853" width="18" style="1186" customWidth="1"/>
    <col min="14854" max="14854" width="16" style="1186" customWidth="1"/>
    <col min="14855" max="14855" width="16.85546875" style="1186" customWidth="1"/>
    <col min="14856" max="14856" width="16.7109375" style="1186" customWidth="1"/>
    <col min="14857" max="14857" width="13.85546875" style="1186" customWidth="1"/>
    <col min="14858" max="14858" width="17.42578125" style="1186" customWidth="1"/>
    <col min="14859" max="14859" width="16.7109375" style="1186" customWidth="1"/>
    <col min="14860" max="14860" width="14.28515625" style="1186" customWidth="1"/>
    <col min="14861" max="14861" width="15.28515625" style="1186" customWidth="1"/>
    <col min="14862" max="14863" width="15.42578125" style="1186" customWidth="1"/>
    <col min="14864" max="14864" width="18.42578125" style="1186" customWidth="1"/>
    <col min="14865" max="14865" width="17.5703125" style="1186" customWidth="1"/>
    <col min="14866" max="14866" width="12.7109375" style="1186" customWidth="1"/>
    <col min="14867" max="14867" width="14.85546875" style="1186" customWidth="1"/>
    <col min="14868" max="14868" width="13.7109375" style="1186" customWidth="1"/>
    <col min="14869" max="14869" width="9.140625" style="1186" customWidth="1"/>
    <col min="14870" max="15105" width="9.140625" style="1186"/>
    <col min="15106" max="15106" width="43.28515625" style="1186" customWidth="1"/>
    <col min="15107" max="15107" width="14" style="1186" customWidth="1"/>
    <col min="15108" max="15108" width="17.85546875" style="1186" customWidth="1"/>
    <col min="15109" max="15109" width="18" style="1186" customWidth="1"/>
    <col min="15110" max="15110" width="16" style="1186" customWidth="1"/>
    <col min="15111" max="15111" width="16.85546875" style="1186" customWidth="1"/>
    <col min="15112" max="15112" width="16.7109375" style="1186" customWidth="1"/>
    <col min="15113" max="15113" width="13.85546875" style="1186" customWidth="1"/>
    <col min="15114" max="15114" width="17.42578125" style="1186" customWidth="1"/>
    <col min="15115" max="15115" width="16.7109375" style="1186" customWidth="1"/>
    <col min="15116" max="15116" width="14.28515625" style="1186" customWidth="1"/>
    <col min="15117" max="15117" width="15.28515625" style="1186" customWidth="1"/>
    <col min="15118" max="15119" width="15.42578125" style="1186" customWidth="1"/>
    <col min="15120" max="15120" width="18.42578125" style="1186" customWidth="1"/>
    <col min="15121" max="15121" width="17.5703125" style="1186" customWidth="1"/>
    <col min="15122" max="15122" width="12.7109375" style="1186" customWidth="1"/>
    <col min="15123" max="15123" width="14.85546875" style="1186" customWidth="1"/>
    <col min="15124" max="15124" width="13.7109375" style="1186" customWidth="1"/>
    <col min="15125" max="15125" width="9.140625" style="1186" customWidth="1"/>
    <col min="15126" max="15361" width="9.140625" style="1186"/>
    <col min="15362" max="15362" width="43.28515625" style="1186" customWidth="1"/>
    <col min="15363" max="15363" width="14" style="1186" customWidth="1"/>
    <col min="15364" max="15364" width="17.85546875" style="1186" customWidth="1"/>
    <col min="15365" max="15365" width="18" style="1186" customWidth="1"/>
    <col min="15366" max="15366" width="16" style="1186" customWidth="1"/>
    <col min="15367" max="15367" width="16.85546875" style="1186" customWidth="1"/>
    <col min="15368" max="15368" width="16.7109375" style="1186" customWidth="1"/>
    <col min="15369" max="15369" width="13.85546875" style="1186" customWidth="1"/>
    <col min="15370" max="15370" width="17.42578125" style="1186" customWidth="1"/>
    <col min="15371" max="15371" width="16.7109375" style="1186" customWidth="1"/>
    <col min="15372" max="15372" width="14.28515625" style="1186" customWidth="1"/>
    <col min="15373" max="15373" width="15.28515625" style="1186" customWidth="1"/>
    <col min="15374" max="15375" width="15.42578125" style="1186" customWidth="1"/>
    <col min="15376" max="15376" width="18.42578125" style="1186" customWidth="1"/>
    <col min="15377" max="15377" width="17.5703125" style="1186" customWidth="1"/>
    <col min="15378" max="15378" width="12.7109375" style="1186" customWidth="1"/>
    <col min="15379" max="15379" width="14.85546875" style="1186" customWidth="1"/>
    <col min="15380" max="15380" width="13.7109375" style="1186" customWidth="1"/>
    <col min="15381" max="15381" width="9.140625" style="1186" customWidth="1"/>
    <col min="15382" max="15617" width="9.140625" style="1186"/>
    <col min="15618" max="15618" width="43.28515625" style="1186" customWidth="1"/>
    <col min="15619" max="15619" width="14" style="1186" customWidth="1"/>
    <col min="15620" max="15620" width="17.85546875" style="1186" customWidth="1"/>
    <col min="15621" max="15621" width="18" style="1186" customWidth="1"/>
    <col min="15622" max="15622" width="16" style="1186" customWidth="1"/>
    <col min="15623" max="15623" width="16.85546875" style="1186" customWidth="1"/>
    <col min="15624" max="15624" width="16.7109375" style="1186" customWidth="1"/>
    <col min="15625" max="15625" width="13.85546875" style="1186" customWidth="1"/>
    <col min="15626" max="15626" width="17.42578125" style="1186" customWidth="1"/>
    <col min="15627" max="15627" width="16.7109375" style="1186" customWidth="1"/>
    <col min="15628" max="15628" width="14.28515625" style="1186" customWidth="1"/>
    <col min="15629" max="15629" width="15.28515625" style="1186" customWidth="1"/>
    <col min="15630" max="15631" width="15.42578125" style="1186" customWidth="1"/>
    <col min="15632" max="15632" width="18.42578125" style="1186" customWidth="1"/>
    <col min="15633" max="15633" width="17.5703125" style="1186" customWidth="1"/>
    <col min="15634" max="15634" width="12.7109375" style="1186" customWidth="1"/>
    <col min="15635" max="15635" width="14.85546875" style="1186" customWidth="1"/>
    <col min="15636" max="15636" width="13.7109375" style="1186" customWidth="1"/>
    <col min="15637" max="15637" width="9.140625" style="1186" customWidth="1"/>
    <col min="15638" max="15873" width="9.140625" style="1186"/>
    <col min="15874" max="15874" width="43.28515625" style="1186" customWidth="1"/>
    <col min="15875" max="15875" width="14" style="1186" customWidth="1"/>
    <col min="15876" max="15876" width="17.85546875" style="1186" customWidth="1"/>
    <col min="15877" max="15877" width="18" style="1186" customWidth="1"/>
    <col min="15878" max="15878" width="16" style="1186" customWidth="1"/>
    <col min="15879" max="15879" width="16.85546875" style="1186" customWidth="1"/>
    <col min="15880" max="15880" width="16.7109375" style="1186" customWidth="1"/>
    <col min="15881" max="15881" width="13.85546875" style="1186" customWidth="1"/>
    <col min="15882" max="15882" width="17.42578125" style="1186" customWidth="1"/>
    <col min="15883" max="15883" width="16.7109375" style="1186" customWidth="1"/>
    <col min="15884" max="15884" width="14.28515625" style="1186" customWidth="1"/>
    <col min="15885" max="15885" width="15.28515625" style="1186" customWidth="1"/>
    <col min="15886" max="15887" width="15.42578125" style="1186" customWidth="1"/>
    <col min="15888" max="15888" width="18.42578125" style="1186" customWidth="1"/>
    <col min="15889" max="15889" width="17.5703125" style="1186" customWidth="1"/>
    <col min="15890" max="15890" width="12.7109375" style="1186" customWidth="1"/>
    <col min="15891" max="15891" width="14.85546875" style="1186" customWidth="1"/>
    <col min="15892" max="15892" width="13.7109375" style="1186" customWidth="1"/>
    <col min="15893" max="15893" width="9.140625" style="1186" customWidth="1"/>
    <col min="15894" max="16129" width="9.140625" style="1186"/>
    <col min="16130" max="16130" width="43.28515625" style="1186" customWidth="1"/>
    <col min="16131" max="16131" width="14" style="1186" customWidth="1"/>
    <col min="16132" max="16132" width="17.85546875" style="1186" customWidth="1"/>
    <col min="16133" max="16133" width="18" style="1186" customWidth="1"/>
    <col min="16134" max="16134" width="16" style="1186" customWidth="1"/>
    <col min="16135" max="16135" width="16.85546875" style="1186" customWidth="1"/>
    <col min="16136" max="16136" width="16.7109375" style="1186" customWidth="1"/>
    <col min="16137" max="16137" width="13.85546875" style="1186" customWidth="1"/>
    <col min="16138" max="16138" width="17.42578125" style="1186" customWidth="1"/>
    <col min="16139" max="16139" width="16.7109375" style="1186" customWidth="1"/>
    <col min="16140" max="16140" width="14.28515625" style="1186" customWidth="1"/>
    <col min="16141" max="16141" width="15.28515625" style="1186" customWidth="1"/>
    <col min="16142" max="16143" width="15.42578125" style="1186" customWidth="1"/>
    <col min="16144" max="16144" width="18.42578125" style="1186" customWidth="1"/>
    <col min="16145" max="16145" width="17.5703125" style="1186" customWidth="1"/>
    <col min="16146" max="16146" width="12.7109375" style="1186" customWidth="1"/>
    <col min="16147" max="16147" width="14.85546875" style="1186" customWidth="1"/>
    <col min="16148" max="16148" width="13.7109375" style="1186" customWidth="1"/>
    <col min="16149" max="16149" width="9.140625" style="1186" customWidth="1"/>
    <col min="16150" max="16384" width="9.140625" style="1186"/>
  </cols>
  <sheetData>
    <row r="1" spans="1:21">
      <c r="A1" s="6260" t="s">
        <v>2334</v>
      </c>
      <c r="B1" s="6261"/>
      <c r="C1" s="6261"/>
      <c r="D1" s="6261"/>
      <c r="E1" s="6261"/>
      <c r="F1" s="6261"/>
      <c r="G1" s="6261"/>
      <c r="H1" s="6261"/>
      <c r="I1" s="6261"/>
      <c r="J1" s="6261"/>
      <c r="K1" s="6261"/>
      <c r="L1" s="6261"/>
      <c r="M1" s="6261"/>
      <c r="N1" s="6261"/>
      <c r="O1" s="6261"/>
      <c r="P1" s="6261"/>
      <c r="Q1" s="6261"/>
      <c r="R1" s="6261"/>
      <c r="S1" s="6261"/>
      <c r="T1" s="6261"/>
    </row>
    <row r="2" spans="1:21">
      <c r="A2" s="6262" t="s">
        <v>856</v>
      </c>
      <c r="B2" s="6263" t="s">
        <v>857</v>
      </c>
      <c r="C2" s="920" t="s">
        <v>858</v>
      </c>
      <c r="D2" s="6264" t="s">
        <v>859</v>
      </c>
      <c r="E2" s="6264"/>
      <c r="F2" s="6265" t="s">
        <v>974</v>
      </c>
      <c r="G2" s="6265"/>
      <c r="H2" s="6265"/>
      <c r="I2" s="6265" t="s">
        <v>861</v>
      </c>
      <c r="J2" s="6265"/>
      <c r="K2" s="6265"/>
      <c r="L2" s="6265" t="s">
        <v>862</v>
      </c>
      <c r="M2" s="6265"/>
      <c r="N2" s="6265"/>
      <c r="O2" s="6265" t="s">
        <v>975</v>
      </c>
      <c r="P2" s="6265"/>
      <c r="Q2" s="6265"/>
      <c r="R2" s="6266" t="s">
        <v>976</v>
      </c>
      <c r="S2" s="6266"/>
      <c r="T2" s="6266"/>
      <c r="U2" s="1187"/>
    </row>
    <row r="3" spans="1:21">
      <c r="A3" s="6262"/>
      <c r="B3" s="6263"/>
      <c r="C3" s="920" t="s">
        <v>865</v>
      </c>
      <c r="D3" s="1326" t="s">
        <v>866</v>
      </c>
      <c r="E3" s="1326" t="s">
        <v>867</v>
      </c>
      <c r="F3" s="1327" t="s">
        <v>868</v>
      </c>
      <c r="G3" s="1327" t="s">
        <v>869</v>
      </c>
      <c r="H3" s="1327" t="s">
        <v>499</v>
      </c>
      <c r="I3" s="1327" t="s">
        <v>868</v>
      </c>
      <c r="J3" s="1327" t="s">
        <v>869</v>
      </c>
      <c r="K3" s="1327" t="s">
        <v>499</v>
      </c>
      <c r="L3" s="1327" t="s">
        <v>868</v>
      </c>
      <c r="M3" s="1327" t="s">
        <v>869</v>
      </c>
      <c r="N3" s="1327" t="s">
        <v>499</v>
      </c>
      <c r="O3" s="1327" t="s">
        <v>868</v>
      </c>
      <c r="P3" s="1327" t="s">
        <v>869</v>
      </c>
      <c r="Q3" s="1327" t="s">
        <v>499</v>
      </c>
      <c r="R3" s="1760" t="s">
        <v>868</v>
      </c>
      <c r="S3" s="1760" t="s">
        <v>869</v>
      </c>
      <c r="T3" s="1760" t="s">
        <v>499</v>
      </c>
      <c r="U3" s="1187"/>
    </row>
    <row r="4" spans="1:21">
      <c r="A4" s="1330" t="s">
        <v>870</v>
      </c>
      <c r="B4" s="1761" t="s">
        <v>871</v>
      </c>
      <c r="C4" s="1379"/>
      <c r="D4" s="1762"/>
      <c r="E4" s="1762"/>
      <c r="F4" s="1763"/>
      <c r="G4" s="1763"/>
      <c r="H4" s="1764"/>
      <c r="I4" s="1763"/>
      <c r="J4" s="1763"/>
      <c r="K4" s="1763"/>
      <c r="L4" s="1763"/>
      <c r="M4" s="1763"/>
      <c r="N4" s="1763"/>
      <c r="O4" s="1763"/>
      <c r="P4" s="1763"/>
      <c r="Q4" s="1763"/>
      <c r="R4" s="1765"/>
      <c r="S4" s="1765"/>
      <c r="T4" s="1765"/>
      <c r="U4" s="1187"/>
    </row>
    <row r="5" spans="1:21">
      <c r="A5" s="6270">
        <v>1</v>
      </c>
      <c r="B5" s="6268" t="s">
        <v>872</v>
      </c>
      <c r="C5" s="1766">
        <v>0.1075</v>
      </c>
      <c r="D5" s="1317" t="s">
        <v>977</v>
      </c>
      <c r="E5" s="1317" t="s">
        <v>889</v>
      </c>
      <c r="F5" s="1767">
        <v>0</v>
      </c>
      <c r="G5" s="1767">
        <f t="shared" ref="G5:G10" si="0">(H5)</f>
        <v>815</v>
      </c>
      <c r="H5" s="1768">
        <v>815</v>
      </c>
      <c r="I5" s="1767">
        <v>0</v>
      </c>
      <c r="J5" s="1767">
        <f t="shared" ref="J5:J10" si="1">(K5)</f>
        <v>0</v>
      </c>
      <c r="K5" s="1768">
        <v>0</v>
      </c>
      <c r="L5" s="1767">
        <v>0</v>
      </c>
      <c r="M5" s="1767">
        <f t="shared" ref="M5:M10" si="2">(N5)</f>
        <v>815</v>
      </c>
      <c r="N5" s="1768">
        <v>815</v>
      </c>
      <c r="O5" s="1767">
        <v>0</v>
      </c>
      <c r="P5" s="1767">
        <f t="shared" ref="P5:P10" si="3">(Q5)</f>
        <v>0</v>
      </c>
      <c r="Q5" s="1768">
        <f t="shared" ref="Q5:Q41" si="4">(H5+K5-N5)</f>
        <v>0</v>
      </c>
      <c r="R5" s="1767">
        <v>0</v>
      </c>
      <c r="S5" s="1767">
        <v>7.2</v>
      </c>
      <c r="T5" s="1767">
        <v>7.2</v>
      </c>
      <c r="U5" s="1187"/>
    </row>
    <row r="6" spans="1:21">
      <c r="A6" s="6270"/>
      <c r="B6" s="6268"/>
      <c r="C6" s="1766">
        <v>0.1075</v>
      </c>
      <c r="D6" s="1317" t="s">
        <v>978</v>
      </c>
      <c r="E6" s="1317" t="s">
        <v>979</v>
      </c>
      <c r="F6" s="1767">
        <v>0</v>
      </c>
      <c r="G6" s="1767">
        <f t="shared" si="0"/>
        <v>1650</v>
      </c>
      <c r="H6" s="1768">
        <v>1650</v>
      </c>
      <c r="I6" s="1767">
        <v>0</v>
      </c>
      <c r="J6" s="1767">
        <f t="shared" si="1"/>
        <v>0</v>
      </c>
      <c r="K6" s="1768">
        <v>0</v>
      </c>
      <c r="L6" s="1767">
        <v>0</v>
      </c>
      <c r="M6" s="1767">
        <f t="shared" si="2"/>
        <v>1650</v>
      </c>
      <c r="N6" s="1768">
        <v>1650</v>
      </c>
      <c r="O6" s="1767">
        <v>0</v>
      </c>
      <c r="P6" s="1767">
        <f t="shared" si="3"/>
        <v>0</v>
      </c>
      <c r="Q6" s="1768">
        <f t="shared" si="4"/>
        <v>0</v>
      </c>
      <c r="R6" s="1767">
        <v>0</v>
      </c>
      <c r="S6" s="1767">
        <v>22.03</v>
      </c>
      <c r="T6" s="1767">
        <v>22.03</v>
      </c>
      <c r="U6" s="1187"/>
    </row>
    <row r="7" spans="1:21">
      <c r="A7" s="6270"/>
      <c r="B7" s="6268"/>
      <c r="C7" s="1766">
        <v>0.1075</v>
      </c>
      <c r="D7" s="1317" t="s">
        <v>980</v>
      </c>
      <c r="E7" s="1317" t="s">
        <v>981</v>
      </c>
      <c r="F7" s="1767">
        <v>0</v>
      </c>
      <c r="G7" s="1767">
        <f t="shared" si="0"/>
        <v>2485</v>
      </c>
      <c r="H7" s="1768">
        <v>2485</v>
      </c>
      <c r="I7" s="1767">
        <v>0</v>
      </c>
      <c r="J7" s="1767">
        <f t="shared" si="1"/>
        <v>0</v>
      </c>
      <c r="K7" s="1768">
        <v>0</v>
      </c>
      <c r="L7" s="1767">
        <v>0</v>
      </c>
      <c r="M7" s="1767">
        <f t="shared" si="2"/>
        <v>2485</v>
      </c>
      <c r="N7" s="1768">
        <v>2485</v>
      </c>
      <c r="O7" s="1767">
        <v>0</v>
      </c>
      <c r="P7" s="1767">
        <f t="shared" si="3"/>
        <v>0</v>
      </c>
      <c r="Q7" s="1768">
        <f t="shared" si="4"/>
        <v>0</v>
      </c>
      <c r="R7" s="1767">
        <v>0</v>
      </c>
      <c r="S7" s="1767">
        <v>43.71</v>
      </c>
      <c r="T7" s="1767">
        <v>43.71</v>
      </c>
      <c r="U7" s="1187"/>
    </row>
    <row r="8" spans="1:21">
      <c r="A8" s="6270"/>
      <c r="B8" s="6268"/>
      <c r="C8" s="1766">
        <v>0.1075</v>
      </c>
      <c r="D8" s="1317" t="s">
        <v>982</v>
      </c>
      <c r="E8" s="1317" t="s">
        <v>983</v>
      </c>
      <c r="F8" s="1767">
        <v>0</v>
      </c>
      <c r="G8" s="1767">
        <f t="shared" si="0"/>
        <v>3320</v>
      </c>
      <c r="H8" s="1768">
        <v>3320</v>
      </c>
      <c r="I8" s="1767">
        <v>0</v>
      </c>
      <c r="J8" s="1767">
        <f t="shared" si="1"/>
        <v>0</v>
      </c>
      <c r="K8" s="1768">
        <v>0</v>
      </c>
      <c r="L8" s="1767">
        <v>0</v>
      </c>
      <c r="M8" s="1767">
        <f t="shared" si="2"/>
        <v>2505</v>
      </c>
      <c r="N8" s="1768">
        <v>2505</v>
      </c>
      <c r="O8" s="1767">
        <v>0</v>
      </c>
      <c r="P8" s="1767">
        <f t="shared" si="3"/>
        <v>815</v>
      </c>
      <c r="Q8" s="1768">
        <f t="shared" si="4"/>
        <v>815</v>
      </c>
      <c r="R8" s="1767">
        <v>0</v>
      </c>
      <c r="S8" s="1767">
        <v>66.28</v>
      </c>
      <c r="T8" s="1768">
        <v>66.28</v>
      </c>
      <c r="U8" s="1187"/>
    </row>
    <row r="9" spans="1:21">
      <c r="A9" s="6270"/>
      <c r="B9" s="6268"/>
      <c r="C9" s="1766">
        <v>0.1075</v>
      </c>
      <c r="D9" s="1317" t="s">
        <v>984</v>
      </c>
      <c r="E9" s="1317" t="s">
        <v>985</v>
      </c>
      <c r="F9" s="1767">
        <v>0</v>
      </c>
      <c r="G9" s="1767">
        <f t="shared" si="0"/>
        <v>4155</v>
      </c>
      <c r="H9" s="1768">
        <v>4155</v>
      </c>
      <c r="I9" s="1767">
        <v>0</v>
      </c>
      <c r="J9" s="1767">
        <f t="shared" si="1"/>
        <v>0</v>
      </c>
      <c r="K9" s="1768">
        <v>0</v>
      </c>
      <c r="L9" s="1767">
        <v>0</v>
      </c>
      <c r="M9" s="1767">
        <f t="shared" si="2"/>
        <v>2505</v>
      </c>
      <c r="N9" s="1768">
        <v>2505</v>
      </c>
      <c r="O9" s="1767">
        <v>0</v>
      </c>
      <c r="P9" s="1767">
        <f t="shared" si="3"/>
        <v>1650</v>
      </c>
      <c r="Q9" s="1768">
        <f t="shared" si="4"/>
        <v>1650</v>
      </c>
      <c r="R9" s="1767">
        <v>0</v>
      </c>
      <c r="S9" s="1767">
        <v>88.77</v>
      </c>
      <c r="T9" s="1768">
        <v>88.77</v>
      </c>
      <c r="U9" s="1187"/>
    </row>
    <row r="10" spans="1:21">
      <c r="A10" s="6270"/>
      <c r="B10" s="6268"/>
      <c r="C10" s="1766">
        <v>0.1075</v>
      </c>
      <c r="D10" s="1317" t="s">
        <v>986</v>
      </c>
      <c r="E10" s="1317" t="s">
        <v>987</v>
      </c>
      <c r="F10" s="1767">
        <v>0</v>
      </c>
      <c r="G10" s="1767">
        <f t="shared" si="0"/>
        <v>4990</v>
      </c>
      <c r="H10" s="1768">
        <v>4990</v>
      </c>
      <c r="I10" s="1767">
        <v>0</v>
      </c>
      <c r="J10" s="1767">
        <f t="shared" si="1"/>
        <v>0</v>
      </c>
      <c r="K10" s="1768">
        <v>0</v>
      </c>
      <c r="L10" s="1767">
        <v>0</v>
      </c>
      <c r="M10" s="1767">
        <f t="shared" si="2"/>
        <v>2505</v>
      </c>
      <c r="N10" s="1768">
        <v>2505</v>
      </c>
      <c r="O10" s="1767">
        <v>0</v>
      </c>
      <c r="P10" s="1767">
        <f t="shared" si="3"/>
        <v>2485</v>
      </c>
      <c r="Q10" s="1768">
        <f t="shared" si="4"/>
        <v>2485</v>
      </c>
      <c r="R10" s="1767">
        <v>0</v>
      </c>
      <c r="S10" s="1767">
        <v>110.80000000000001</v>
      </c>
      <c r="T10" s="1768">
        <v>110.80000000000001</v>
      </c>
      <c r="U10" s="1187"/>
    </row>
    <row r="11" spans="1:21">
      <c r="A11" s="6270"/>
      <c r="B11" s="6268"/>
      <c r="C11" s="1766">
        <v>0.1075</v>
      </c>
      <c r="D11" s="1317" t="s">
        <v>873</v>
      </c>
      <c r="E11" s="1317" t="s">
        <v>874</v>
      </c>
      <c r="F11" s="1767">
        <v>0</v>
      </c>
      <c r="G11" s="1767">
        <f>H11</f>
        <v>5825</v>
      </c>
      <c r="H11" s="1768">
        <v>5825</v>
      </c>
      <c r="I11" s="1767">
        <v>0</v>
      </c>
      <c r="J11" s="1767">
        <f>K11</f>
        <v>0</v>
      </c>
      <c r="K11" s="1768">
        <v>0</v>
      </c>
      <c r="L11" s="1767">
        <v>0</v>
      </c>
      <c r="M11" s="1767">
        <f>N11</f>
        <v>2505</v>
      </c>
      <c r="N11" s="1768">
        <v>2505</v>
      </c>
      <c r="O11" s="1767">
        <v>0</v>
      </c>
      <c r="P11" s="1767">
        <f>Q11</f>
        <v>3320</v>
      </c>
      <c r="Q11" s="1768">
        <f t="shared" si="4"/>
        <v>3320</v>
      </c>
      <c r="R11" s="1767">
        <v>0</v>
      </c>
      <c r="S11" s="1767">
        <v>133.18</v>
      </c>
      <c r="T11" s="1768">
        <v>133.18</v>
      </c>
      <c r="U11" s="1187"/>
    </row>
    <row r="12" spans="1:21">
      <c r="A12" s="6270"/>
      <c r="B12" s="6268"/>
      <c r="C12" s="1766">
        <v>0.1075</v>
      </c>
      <c r="D12" s="1317" t="s">
        <v>875</v>
      </c>
      <c r="E12" s="1317" t="s">
        <v>876</v>
      </c>
      <c r="F12" s="1767">
        <v>0</v>
      </c>
      <c r="G12" s="1767">
        <f>(H12)</f>
        <v>6660</v>
      </c>
      <c r="H12" s="1768">
        <v>6660</v>
      </c>
      <c r="I12" s="1767">
        <v>0</v>
      </c>
      <c r="J12" s="1767">
        <f>(K12)</f>
        <v>0</v>
      </c>
      <c r="K12" s="1768">
        <v>0</v>
      </c>
      <c r="L12" s="1767">
        <v>0</v>
      </c>
      <c r="M12" s="1767">
        <f>(N12)</f>
        <v>2505</v>
      </c>
      <c r="N12" s="1768">
        <v>2505</v>
      </c>
      <c r="O12" s="1767">
        <v>0</v>
      </c>
      <c r="P12" s="1767">
        <f>(Q12)</f>
        <v>4155</v>
      </c>
      <c r="Q12" s="1768">
        <f t="shared" si="4"/>
        <v>4155</v>
      </c>
      <c r="R12" s="1767">
        <v>0</v>
      </c>
      <c r="S12" s="1767">
        <v>155.26999999999998</v>
      </c>
      <c r="T12" s="1768">
        <v>155.26999999999998</v>
      </c>
      <c r="U12" s="1187"/>
    </row>
    <row r="13" spans="1:21">
      <c r="A13" s="6270"/>
      <c r="B13" s="6268"/>
      <c r="C13" s="1766">
        <v>0.1075</v>
      </c>
      <c r="D13" s="1317" t="s">
        <v>877</v>
      </c>
      <c r="E13" s="1317" t="s">
        <v>878</v>
      </c>
      <c r="F13" s="1767">
        <f>H13</f>
        <v>7495</v>
      </c>
      <c r="G13" s="1767">
        <v>0</v>
      </c>
      <c r="H13" s="1768">
        <v>7495</v>
      </c>
      <c r="I13" s="1767">
        <f>K13</f>
        <v>0</v>
      </c>
      <c r="J13" s="1767">
        <v>0</v>
      </c>
      <c r="K13" s="1768">
        <v>0</v>
      </c>
      <c r="L13" s="1767">
        <f>N13</f>
        <v>2505</v>
      </c>
      <c r="M13" s="1767">
        <v>0</v>
      </c>
      <c r="N13" s="1768">
        <v>2505</v>
      </c>
      <c r="O13" s="1767">
        <f>Q13</f>
        <v>4990</v>
      </c>
      <c r="P13" s="1767">
        <v>0</v>
      </c>
      <c r="Q13" s="1768">
        <f t="shared" si="4"/>
        <v>4990</v>
      </c>
      <c r="R13" s="1767">
        <v>110.75999999999999</v>
      </c>
      <c r="S13" s="1767">
        <v>0</v>
      </c>
      <c r="T13" s="1768">
        <v>110.75999999999999</v>
      </c>
      <c r="U13" s="1187"/>
    </row>
    <row r="14" spans="1:21">
      <c r="A14" s="6270"/>
      <c r="B14" s="6268"/>
      <c r="C14" s="1766">
        <v>0.1075</v>
      </c>
      <c r="D14" s="1317" t="s">
        <v>879</v>
      </c>
      <c r="E14" s="1317" t="s">
        <v>880</v>
      </c>
      <c r="F14" s="1767">
        <f>H14</f>
        <v>7495</v>
      </c>
      <c r="G14" s="1767">
        <v>0</v>
      </c>
      <c r="H14" s="1768">
        <v>7495</v>
      </c>
      <c r="I14" s="1767">
        <f>K14</f>
        <v>0</v>
      </c>
      <c r="J14" s="1767">
        <v>0</v>
      </c>
      <c r="K14" s="1768">
        <v>0</v>
      </c>
      <c r="L14" s="1767">
        <f>N14</f>
        <v>2505</v>
      </c>
      <c r="M14" s="1767">
        <v>0</v>
      </c>
      <c r="N14" s="1768">
        <v>2505</v>
      </c>
      <c r="O14" s="1767">
        <f>Q14</f>
        <v>4990</v>
      </c>
      <c r="P14" s="1767">
        <v>0</v>
      </c>
      <c r="Q14" s="1768">
        <f t="shared" si="4"/>
        <v>4990</v>
      </c>
      <c r="R14" s="1767">
        <v>177.35</v>
      </c>
      <c r="S14" s="1767">
        <v>0</v>
      </c>
      <c r="T14" s="1768">
        <v>177.35</v>
      </c>
      <c r="U14" s="1187"/>
    </row>
    <row r="15" spans="1:21">
      <c r="A15" s="6270"/>
      <c r="B15" s="6268"/>
      <c r="C15" s="1766">
        <v>0.1075</v>
      </c>
      <c r="D15" s="1317" t="s">
        <v>881</v>
      </c>
      <c r="E15" s="1317" t="s">
        <v>882</v>
      </c>
      <c r="F15" s="1767">
        <v>0</v>
      </c>
      <c r="G15" s="1767">
        <f>H15</f>
        <v>8330</v>
      </c>
      <c r="H15" s="1768">
        <v>8330</v>
      </c>
      <c r="I15" s="1767">
        <v>0</v>
      </c>
      <c r="J15" s="1767">
        <f>(K15)</f>
        <v>0</v>
      </c>
      <c r="K15" s="1768">
        <v>0</v>
      </c>
      <c r="L15" s="1767">
        <v>0</v>
      </c>
      <c r="M15" s="1767">
        <f>N15</f>
        <v>2505</v>
      </c>
      <c r="N15" s="1768">
        <v>2505</v>
      </c>
      <c r="O15" s="1767">
        <v>0</v>
      </c>
      <c r="P15" s="1767">
        <f>Q15</f>
        <v>5825</v>
      </c>
      <c r="Q15" s="1768">
        <f t="shared" si="4"/>
        <v>5825</v>
      </c>
      <c r="R15" s="1767">
        <v>0</v>
      </c>
      <c r="S15" s="1767">
        <v>200.38</v>
      </c>
      <c r="T15" s="1768">
        <v>200.38</v>
      </c>
      <c r="U15" s="1187"/>
    </row>
    <row r="16" spans="1:21">
      <c r="A16" s="6270"/>
      <c r="B16" s="6268"/>
      <c r="C16" s="1766">
        <v>0.1075</v>
      </c>
      <c r="D16" s="1317" t="s">
        <v>883</v>
      </c>
      <c r="E16" s="1317" t="s">
        <v>884</v>
      </c>
      <c r="F16" s="1767">
        <v>0</v>
      </c>
      <c r="G16" s="1767">
        <f>H16</f>
        <v>8330</v>
      </c>
      <c r="H16" s="1768">
        <v>8330</v>
      </c>
      <c r="I16" s="1767">
        <v>0</v>
      </c>
      <c r="J16" s="1767">
        <f>(K16)</f>
        <v>0</v>
      </c>
      <c r="K16" s="1768">
        <v>0</v>
      </c>
      <c r="L16" s="1767">
        <v>0</v>
      </c>
      <c r="M16" s="1767">
        <f>N16</f>
        <v>2505</v>
      </c>
      <c r="N16" s="1768">
        <v>2505</v>
      </c>
      <c r="O16" s="1767">
        <v>0</v>
      </c>
      <c r="P16" s="1767">
        <f>Q16</f>
        <v>5825</v>
      </c>
      <c r="Q16" s="1768">
        <f t="shared" si="4"/>
        <v>5825</v>
      </c>
      <c r="R16" s="1767">
        <v>0</v>
      </c>
      <c r="S16" s="1767">
        <v>200.45999999999998</v>
      </c>
      <c r="T16" s="1768">
        <v>200.45999999999998</v>
      </c>
      <c r="U16" s="1187"/>
    </row>
    <row r="17" spans="1:21">
      <c r="A17" s="6270"/>
      <c r="B17" s="6268"/>
      <c r="C17" s="1766">
        <v>0.1075</v>
      </c>
      <c r="D17" s="1317" t="s">
        <v>885</v>
      </c>
      <c r="E17" s="1317" t="s">
        <v>886</v>
      </c>
      <c r="F17" s="1767">
        <v>0</v>
      </c>
      <c r="G17" s="1767">
        <f>H17</f>
        <v>9165</v>
      </c>
      <c r="H17" s="1768">
        <v>9165</v>
      </c>
      <c r="I17" s="1767">
        <v>0</v>
      </c>
      <c r="J17" s="1767">
        <f t="shared" ref="J17:J22" si="5">K17</f>
        <v>0</v>
      </c>
      <c r="K17" s="1768">
        <v>0</v>
      </c>
      <c r="L17" s="1767">
        <v>0</v>
      </c>
      <c r="M17" s="1767">
        <f>N17</f>
        <v>2505</v>
      </c>
      <c r="N17" s="1768">
        <v>2505</v>
      </c>
      <c r="O17" s="1767">
        <v>0</v>
      </c>
      <c r="P17" s="1767">
        <f>Q17</f>
        <v>6660</v>
      </c>
      <c r="Q17" s="1768">
        <f t="shared" si="4"/>
        <v>6660</v>
      </c>
      <c r="R17" s="1767">
        <v>0</v>
      </c>
      <c r="S17" s="1767">
        <v>223.21</v>
      </c>
      <c r="T17" s="1768">
        <v>223.21</v>
      </c>
      <c r="U17" s="1187"/>
    </row>
    <row r="18" spans="1:21">
      <c r="A18" s="6270"/>
      <c r="B18" s="6268"/>
      <c r="C18" s="1766">
        <v>0.1075</v>
      </c>
      <c r="D18" s="1317" t="s">
        <v>887</v>
      </c>
      <c r="E18" s="1317" t="s">
        <v>888</v>
      </c>
      <c r="F18" s="1767">
        <v>0</v>
      </c>
      <c r="G18" s="1767">
        <f>H18</f>
        <v>10000</v>
      </c>
      <c r="H18" s="1768">
        <v>10000</v>
      </c>
      <c r="I18" s="1767">
        <v>0</v>
      </c>
      <c r="J18" s="1767">
        <f t="shared" si="5"/>
        <v>0</v>
      </c>
      <c r="K18" s="1768">
        <v>0</v>
      </c>
      <c r="L18" s="1767">
        <v>0</v>
      </c>
      <c r="M18" s="1767">
        <f>N18</f>
        <v>2505</v>
      </c>
      <c r="N18" s="1768">
        <v>2505</v>
      </c>
      <c r="O18" s="1767">
        <v>0</v>
      </c>
      <c r="P18" s="1767">
        <f>Q18</f>
        <v>7495</v>
      </c>
      <c r="Q18" s="1768">
        <f t="shared" si="4"/>
        <v>7495</v>
      </c>
      <c r="R18" s="1767">
        <v>0</v>
      </c>
      <c r="S18" s="1767">
        <v>245.79999999999998</v>
      </c>
      <c r="T18" s="1768">
        <v>245.79999999999998</v>
      </c>
      <c r="U18" s="1187"/>
    </row>
    <row r="19" spans="1:21">
      <c r="A19" s="6270"/>
      <c r="B19" s="6268"/>
      <c r="C19" s="1766">
        <v>0.1075</v>
      </c>
      <c r="D19" s="1317" t="s">
        <v>889</v>
      </c>
      <c r="E19" s="1317" t="s">
        <v>890</v>
      </c>
      <c r="F19" s="1767">
        <v>0</v>
      </c>
      <c r="G19" s="1767">
        <f>H19</f>
        <v>0</v>
      </c>
      <c r="H19" s="1768">
        <v>0</v>
      </c>
      <c r="I19" s="1767">
        <v>0</v>
      </c>
      <c r="J19" s="1767">
        <f t="shared" si="5"/>
        <v>10000</v>
      </c>
      <c r="K19" s="1768">
        <v>10000</v>
      </c>
      <c r="L19" s="1767">
        <v>0</v>
      </c>
      <c r="M19" s="1767">
        <f>N19</f>
        <v>1670</v>
      </c>
      <c r="N19" s="1768">
        <v>1670</v>
      </c>
      <c r="O19" s="1767">
        <v>0</v>
      </c>
      <c r="P19" s="1767">
        <f>Q19</f>
        <v>8330</v>
      </c>
      <c r="Q19" s="1768">
        <f t="shared" si="4"/>
        <v>8330</v>
      </c>
      <c r="R19" s="1767">
        <v>0</v>
      </c>
      <c r="S19" s="1767">
        <v>168.95</v>
      </c>
      <c r="T19" s="1768">
        <v>168.95</v>
      </c>
      <c r="U19" s="1204"/>
    </row>
    <row r="20" spans="1:21">
      <c r="A20" s="6270"/>
      <c r="B20" s="6268"/>
      <c r="C20" s="1766">
        <v>0.105</v>
      </c>
      <c r="D20" s="1317" t="s">
        <v>891</v>
      </c>
      <c r="E20" s="1317" t="s">
        <v>892</v>
      </c>
      <c r="F20" s="1767">
        <v>0</v>
      </c>
      <c r="G20" s="1767">
        <f>(H20)</f>
        <v>0</v>
      </c>
      <c r="H20" s="1768">
        <v>0</v>
      </c>
      <c r="I20" s="1767">
        <v>0</v>
      </c>
      <c r="J20" s="1767">
        <f t="shared" si="5"/>
        <v>10000</v>
      </c>
      <c r="K20" s="1768">
        <v>10000</v>
      </c>
      <c r="L20" s="1767">
        <v>0</v>
      </c>
      <c r="M20" s="1767">
        <f>(N20)</f>
        <v>835</v>
      </c>
      <c r="N20" s="1768">
        <v>835</v>
      </c>
      <c r="O20" s="1767">
        <v>0</v>
      </c>
      <c r="P20" s="1767">
        <f>(Q20)</f>
        <v>9165</v>
      </c>
      <c r="Q20" s="1768">
        <f t="shared" si="4"/>
        <v>9165</v>
      </c>
      <c r="R20" s="1767">
        <v>0</v>
      </c>
      <c r="S20" s="1767">
        <v>88.46</v>
      </c>
      <c r="T20" s="1768">
        <v>88.46</v>
      </c>
      <c r="U20" s="1205"/>
    </row>
    <row r="21" spans="1:21">
      <c r="A21" s="6270"/>
      <c r="B21" s="6268"/>
      <c r="C21" s="1766">
        <v>0.105</v>
      </c>
      <c r="D21" s="1317" t="s">
        <v>893</v>
      </c>
      <c r="E21" s="1317" t="s">
        <v>894</v>
      </c>
      <c r="F21" s="1767">
        <v>0</v>
      </c>
      <c r="G21" s="1767">
        <f>(H21)</f>
        <v>0</v>
      </c>
      <c r="H21" s="1768">
        <v>0</v>
      </c>
      <c r="I21" s="1767">
        <v>0</v>
      </c>
      <c r="J21" s="1767">
        <f t="shared" si="5"/>
        <v>10000</v>
      </c>
      <c r="K21" s="1768">
        <v>10000</v>
      </c>
      <c r="L21" s="1767">
        <v>0</v>
      </c>
      <c r="M21" s="1767">
        <f>(N21)</f>
        <v>835</v>
      </c>
      <c r="N21" s="1768">
        <v>835</v>
      </c>
      <c r="O21" s="1767">
        <v>0</v>
      </c>
      <c r="P21" s="1767">
        <f>(Q21)</f>
        <v>9165</v>
      </c>
      <c r="Q21" s="1768">
        <f t="shared" si="4"/>
        <v>9165</v>
      </c>
      <c r="R21" s="1767">
        <v>0</v>
      </c>
      <c r="S21" s="1767">
        <v>88.91</v>
      </c>
      <c r="T21" s="1768">
        <v>88.91</v>
      </c>
      <c r="U21" s="1205"/>
    </row>
    <row r="22" spans="1:21">
      <c r="A22" s="6270"/>
      <c r="B22" s="6268"/>
      <c r="C22" s="1766">
        <v>0.105</v>
      </c>
      <c r="D22" s="1317" t="s">
        <v>895</v>
      </c>
      <c r="E22" s="1317" t="s">
        <v>896</v>
      </c>
      <c r="F22" s="1767">
        <v>0</v>
      </c>
      <c r="G22" s="1767">
        <f>H22</f>
        <v>0</v>
      </c>
      <c r="H22" s="1768">
        <v>0</v>
      </c>
      <c r="I22" s="1767">
        <v>0</v>
      </c>
      <c r="J22" s="1767">
        <f t="shared" si="5"/>
        <v>10000</v>
      </c>
      <c r="K22" s="1768">
        <v>10000</v>
      </c>
      <c r="L22" s="1767">
        <v>0</v>
      </c>
      <c r="M22" s="1767">
        <f>N22</f>
        <v>0</v>
      </c>
      <c r="N22" s="1768">
        <v>0</v>
      </c>
      <c r="O22" s="1767">
        <v>0</v>
      </c>
      <c r="P22" s="1767">
        <f>Q22</f>
        <v>10000</v>
      </c>
      <c r="Q22" s="1768">
        <f t="shared" si="4"/>
        <v>10000</v>
      </c>
      <c r="R22" s="1767">
        <v>0</v>
      </c>
      <c r="S22" s="1767">
        <v>0</v>
      </c>
      <c r="T22" s="1768">
        <v>0</v>
      </c>
      <c r="U22" s="1206"/>
    </row>
    <row r="23" spans="1:21">
      <c r="A23" s="6270">
        <v>2</v>
      </c>
      <c r="B23" s="6268" t="s">
        <v>905</v>
      </c>
      <c r="C23" s="1766">
        <v>0.1065</v>
      </c>
      <c r="D23" s="1317" t="s">
        <v>988</v>
      </c>
      <c r="E23" s="1317" t="s">
        <v>989</v>
      </c>
      <c r="F23" s="1767">
        <v>0</v>
      </c>
      <c r="G23" s="1767">
        <f>(H23)</f>
        <v>1000</v>
      </c>
      <c r="H23" s="1768">
        <v>1000</v>
      </c>
      <c r="I23" s="1767">
        <v>0</v>
      </c>
      <c r="J23" s="1767">
        <f t="shared" ref="J23:J28" si="6">(K23)</f>
        <v>0</v>
      </c>
      <c r="K23" s="1768">
        <v>0</v>
      </c>
      <c r="L23" s="1767">
        <v>0</v>
      </c>
      <c r="M23" s="1767">
        <f>(N23)</f>
        <v>1000</v>
      </c>
      <c r="N23" s="1768">
        <v>1000</v>
      </c>
      <c r="O23" s="1767">
        <v>0</v>
      </c>
      <c r="P23" s="1767">
        <f>(Q23)</f>
        <v>0</v>
      </c>
      <c r="Q23" s="1768">
        <f t="shared" si="4"/>
        <v>0</v>
      </c>
      <c r="R23" s="1768">
        <v>0</v>
      </c>
      <c r="S23" s="1768">
        <v>12.899999999999999</v>
      </c>
      <c r="T23" s="1767">
        <v>12.899999999999999</v>
      </c>
      <c r="U23" s="1187"/>
    </row>
    <row r="24" spans="1:21">
      <c r="A24" s="6270"/>
      <c r="B24" s="6268"/>
      <c r="C24" s="1766">
        <v>0.1065</v>
      </c>
      <c r="D24" s="1317" t="s">
        <v>990</v>
      </c>
      <c r="E24" s="1317" t="s">
        <v>899</v>
      </c>
      <c r="F24" s="1767">
        <v>0</v>
      </c>
      <c r="G24" s="1767">
        <f>(H24)</f>
        <v>3400</v>
      </c>
      <c r="H24" s="1768">
        <v>3400</v>
      </c>
      <c r="I24" s="1767">
        <v>0</v>
      </c>
      <c r="J24" s="1767">
        <f t="shared" si="6"/>
        <v>0</v>
      </c>
      <c r="K24" s="1768">
        <v>0</v>
      </c>
      <c r="L24" s="1767">
        <v>0</v>
      </c>
      <c r="M24" s="1767">
        <f>(N24)</f>
        <v>2525</v>
      </c>
      <c r="N24" s="1768">
        <v>2525</v>
      </c>
      <c r="O24" s="1767">
        <v>0</v>
      </c>
      <c r="P24" s="1767">
        <f>(Q24)</f>
        <v>875</v>
      </c>
      <c r="Q24" s="1768">
        <f t="shared" si="4"/>
        <v>875</v>
      </c>
      <c r="R24" s="1768">
        <v>0</v>
      </c>
      <c r="S24" s="1768">
        <v>48.510000000000005</v>
      </c>
      <c r="T24" s="1768">
        <v>48.510000000000005</v>
      </c>
      <c r="U24" s="1187"/>
    </row>
    <row r="25" spans="1:21">
      <c r="A25" s="6270"/>
      <c r="B25" s="6268"/>
      <c r="C25" s="1766">
        <v>0.1075</v>
      </c>
      <c r="D25" s="1317" t="s">
        <v>906</v>
      </c>
      <c r="E25" s="1317" t="s">
        <v>907</v>
      </c>
      <c r="F25" s="1767">
        <v>0</v>
      </c>
      <c r="G25" s="1767">
        <f t="shared" ref="G25:G33" si="7">(H25)</f>
        <v>3800</v>
      </c>
      <c r="H25" s="1768">
        <v>3800</v>
      </c>
      <c r="I25" s="1767">
        <v>0</v>
      </c>
      <c r="J25" s="1767">
        <f t="shared" si="6"/>
        <v>0</v>
      </c>
      <c r="K25" s="1768">
        <v>0</v>
      </c>
      <c r="L25" s="1767">
        <v>0</v>
      </c>
      <c r="M25" s="1767">
        <f>(N25)</f>
        <v>1200</v>
      </c>
      <c r="N25" s="1768">
        <v>1200</v>
      </c>
      <c r="O25" s="1767">
        <v>0</v>
      </c>
      <c r="P25" s="1767">
        <f>(Q25)</f>
        <v>2600</v>
      </c>
      <c r="Q25" s="1768">
        <f t="shared" si="4"/>
        <v>2600</v>
      </c>
      <c r="R25" s="1768">
        <v>0</v>
      </c>
      <c r="S25" s="1768">
        <v>81.78</v>
      </c>
      <c r="T25" s="1768">
        <v>81.78</v>
      </c>
      <c r="U25" s="1187"/>
    </row>
    <row r="26" spans="1:21">
      <c r="A26" s="6270"/>
      <c r="B26" s="6268"/>
      <c r="C26" s="1766">
        <v>0.1065</v>
      </c>
      <c r="D26" s="1317" t="s">
        <v>908</v>
      </c>
      <c r="E26" s="1317" t="s">
        <v>909</v>
      </c>
      <c r="F26" s="1767">
        <f>H26*75%</f>
        <v>6300</v>
      </c>
      <c r="G26" s="1767">
        <f>(H26)*25%</f>
        <v>2100</v>
      </c>
      <c r="H26" s="1768">
        <v>8400</v>
      </c>
      <c r="I26" s="1767">
        <f>K26*75%</f>
        <v>0</v>
      </c>
      <c r="J26" s="1767">
        <f>(K26)*25%</f>
        <v>0</v>
      </c>
      <c r="K26" s="1768">
        <v>0</v>
      </c>
      <c r="L26" s="1767">
        <f>N26*75%</f>
        <v>1800</v>
      </c>
      <c r="M26" s="1767">
        <f>(N26)*25%</f>
        <v>600</v>
      </c>
      <c r="N26" s="1768">
        <v>2400</v>
      </c>
      <c r="O26" s="1767">
        <f>Q26*75%</f>
        <v>4500</v>
      </c>
      <c r="P26" s="1767">
        <f>(Q26)*25%</f>
        <v>1500</v>
      </c>
      <c r="Q26" s="1768">
        <f t="shared" si="4"/>
        <v>6000</v>
      </c>
      <c r="R26" s="1767">
        <v>138.14999999999998</v>
      </c>
      <c r="S26" s="1767">
        <v>46.05</v>
      </c>
      <c r="T26" s="1768">
        <v>184.2</v>
      </c>
      <c r="U26" s="1187"/>
    </row>
    <row r="27" spans="1:21">
      <c r="A27" s="6270"/>
      <c r="B27" s="6268"/>
      <c r="C27" s="1766">
        <v>0.1075</v>
      </c>
      <c r="D27" s="1317" t="s">
        <v>910</v>
      </c>
      <c r="E27" s="1317" t="s">
        <v>911</v>
      </c>
      <c r="F27" s="1767">
        <v>0</v>
      </c>
      <c r="G27" s="1767">
        <f t="shared" si="7"/>
        <v>4600</v>
      </c>
      <c r="H27" s="1768">
        <v>4600</v>
      </c>
      <c r="I27" s="1767">
        <v>0</v>
      </c>
      <c r="J27" s="1767">
        <f t="shared" si="6"/>
        <v>0</v>
      </c>
      <c r="K27" s="1768"/>
      <c r="L27" s="1767">
        <v>0</v>
      </c>
      <c r="M27" s="1767">
        <f>(N27)</f>
        <v>1200</v>
      </c>
      <c r="N27" s="1768">
        <v>1200</v>
      </c>
      <c r="O27" s="1767">
        <v>0</v>
      </c>
      <c r="P27" s="1767">
        <f>(Q27)</f>
        <v>3400</v>
      </c>
      <c r="Q27" s="1768">
        <f t="shared" si="4"/>
        <v>3400</v>
      </c>
      <c r="R27" s="1768">
        <v>0</v>
      </c>
      <c r="S27" s="1768">
        <v>101.61</v>
      </c>
      <c r="T27" s="1768">
        <v>101.61</v>
      </c>
      <c r="U27" s="1187"/>
    </row>
    <row r="28" spans="1:21">
      <c r="A28" s="6270"/>
      <c r="B28" s="6268"/>
      <c r="C28" s="1766">
        <v>0.1075</v>
      </c>
      <c r="D28" s="1317" t="s">
        <v>912</v>
      </c>
      <c r="E28" s="1317" t="s">
        <v>913</v>
      </c>
      <c r="F28" s="1767">
        <v>0</v>
      </c>
      <c r="G28" s="1767">
        <f t="shared" si="7"/>
        <v>9200</v>
      </c>
      <c r="H28" s="1768">
        <v>9200</v>
      </c>
      <c r="I28" s="1767">
        <v>0</v>
      </c>
      <c r="J28" s="1767">
        <f t="shared" si="6"/>
        <v>0</v>
      </c>
      <c r="K28" s="1768"/>
      <c r="L28" s="1767">
        <v>0</v>
      </c>
      <c r="M28" s="1767">
        <f>(N28)</f>
        <v>2400</v>
      </c>
      <c r="N28" s="1768">
        <v>2400</v>
      </c>
      <c r="O28" s="1767">
        <v>0</v>
      </c>
      <c r="P28" s="1767">
        <f>(Q28)</f>
        <v>6800</v>
      </c>
      <c r="Q28" s="1768">
        <f t="shared" si="4"/>
        <v>6800</v>
      </c>
      <c r="R28" s="1768">
        <v>0</v>
      </c>
      <c r="S28" s="1768">
        <v>206.26000000000002</v>
      </c>
      <c r="T28" s="1768">
        <v>206.26000000000002</v>
      </c>
      <c r="U28" s="1187"/>
    </row>
    <row r="29" spans="1:21">
      <c r="A29" s="6270"/>
      <c r="B29" s="6268"/>
      <c r="C29" s="1766">
        <v>0.1075</v>
      </c>
      <c r="D29" s="1317" t="s">
        <v>914</v>
      </c>
      <c r="E29" s="1317" t="s">
        <v>915</v>
      </c>
      <c r="F29" s="1767">
        <v>0</v>
      </c>
      <c r="G29" s="1767">
        <f>H29</f>
        <v>0</v>
      </c>
      <c r="H29" s="1768">
        <v>0</v>
      </c>
      <c r="I29" s="1767">
        <v>0</v>
      </c>
      <c r="J29" s="1767">
        <f>K29</f>
        <v>10000</v>
      </c>
      <c r="K29" s="1768">
        <v>10000</v>
      </c>
      <c r="L29" s="1767">
        <v>0</v>
      </c>
      <c r="M29" s="1767">
        <f>N29</f>
        <v>1600</v>
      </c>
      <c r="N29" s="1768">
        <v>1600</v>
      </c>
      <c r="O29" s="1767">
        <v>0</v>
      </c>
      <c r="P29" s="1767">
        <f>Q29</f>
        <v>8400</v>
      </c>
      <c r="Q29" s="1768">
        <f t="shared" si="4"/>
        <v>8400</v>
      </c>
      <c r="R29" s="1767">
        <v>0</v>
      </c>
      <c r="S29" s="1767">
        <v>187.76999999999998</v>
      </c>
      <c r="T29" s="1768">
        <v>187.76999999999998</v>
      </c>
      <c r="U29" s="1204"/>
    </row>
    <row r="30" spans="1:21">
      <c r="A30" s="6270"/>
      <c r="B30" s="6268"/>
      <c r="C30" s="1766">
        <v>0.105</v>
      </c>
      <c r="D30" s="1317" t="s">
        <v>991</v>
      </c>
      <c r="E30" s="1317" t="s">
        <v>992</v>
      </c>
      <c r="F30" s="1767">
        <v>0</v>
      </c>
      <c r="G30" s="1767">
        <f>(H30)</f>
        <v>0</v>
      </c>
      <c r="H30" s="1768">
        <v>0</v>
      </c>
      <c r="I30" s="1767">
        <v>0</v>
      </c>
      <c r="J30" s="1767">
        <f>K30</f>
        <v>6000</v>
      </c>
      <c r="K30" s="1768">
        <v>6000</v>
      </c>
      <c r="L30" s="1767">
        <v>0</v>
      </c>
      <c r="M30" s="1767">
        <f>(N30)</f>
        <v>3000</v>
      </c>
      <c r="N30" s="1768">
        <v>3000</v>
      </c>
      <c r="O30" s="1767">
        <v>0</v>
      </c>
      <c r="P30" s="1767">
        <f>(Q30)</f>
        <v>3000</v>
      </c>
      <c r="Q30" s="1768">
        <f t="shared" si="4"/>
        <v>3000</v>
      </c>
      <c r="R30" s="1767">
        <v>0</v>
      </c>
      <c r="S30" s="1767">
        <v>73.36</v>
      </c>
      <c r="T30" s="1768">
        <v>73.36</v>
      </c>
      <c r="U30" s="1204"/>
    </row>
    <row r="31" spans="1:21">
      <c r="A31" s="6270"/>
      <c r="B31" s="6268"/>
      <c r="C31" s="1766">
        <v>0.105</v>
      </c>
      <c r="D31" s="1317" t="s">
        <v>993</v>
      </c>
      <c r="E31" s="1317" t="s">
        <v>994</v>
      </c>
      <c r="F31" s="1767">
        <v>0</v>
      </c>
      <c r="G31" s="1767">
        <f>H31</f>
        <v>0</v>
      </c>
      <c r="H31" s="1768">
        <v>0</v>
      </c>
      <c r="I31" s="1767">
        <v>0</v>
      </c>
      <c r="J31" s="1767">
        <f>K31</f>
        <v>5000</v>
      </c>
      <c r="K31" s="1768">
        <v>5000</v>
      </c>
      <c r="L31" s="1767">
        <v>0</v>
      </c>
      <c r="M31" s="1767">
        <f>N31</f>
        <v>0</v>
      </c>
      <c r="N31" s="1768">
        <v>0</v>
      </c>
      <c r="O31" s="1767">
        <v>0</v>
      </c>
      <c r="P31" s="1767">
        <f>Q31</f>
        <v>5000</v>
      </c>
      <c r="Q31" s="1768">
        <f t="shared" si="4"/>
        <v>5000</v>
      </c>
      <c r="R31" s="1767">
        <v>0</v>
      </c>
      <c r="S31" s="1767">
        <v>14.38</v>
      </c>
      <c r="T31" s="1768">
        <v>14.38</v>
      </c>
      <c r="U31" s="1206"/>
    </row>
    <row r="32" spans="1:21">
      <c r="A32" s="6267">
        <v>3</v>
      </c>
      <c r="B32" s="6268" t="s">
        <v>916</v>
      </c>
      <c r="C32" s="1320">
        <v>0.1075</v>
      </c>
      <c r="D32" s="1318" t="s">
        <v>910</v>
      </c>
      <c r="E32" s="1318" t="s">
        <v>995</v>
      </c>
      <c r="F32" s="1768">
        <v>0</v>
      </c>
      <c r="G32" s="1767">
        <f t="shared" si="7"/>
        <v>8350</v>
      </c>
      <c r="H32" s="1768">
        <v>8350</v>
      </c>
      <c r="I32" s="1767">
        <v>0</v>
      </c>
      <c r="J32" s="1767">
        <f>(K32)</f>
        <v>0</v>
      </c>
      <c r="K32" s="1768"/>
      <c r="L32" s="1768">
        <v>0</v>
      </c>
      <c r="M32" s="1767">
        <f>(N32)</f>
        <v>5000</v>
      </c>
      <c r="N32" s="1768">
        <v>5000</v>
      </c>
      <c r="O32" s="1768">
        <v>0</v>
      </c>
      <c r="P32" s="1767">
        <f>(Q32)</f>
        <v>3350</v>
      </c>
      <c r="Q32" s="1768">
        <f t="shared" si="4"/>
        <v>3350</v>
      </c>
      <c r="R32" s="1768">
        <v>0</v>
      </c>
      <c r="S32" s="1767">
        <v>139.62</v>
      </c>
      <c r="T32" s="1767">
        <v>139.62</v>
      </c>
      <c r="U32" s="1187"/>
    </row>
    <row r="33" spans="1:24">
      <c r="A33" s="6267"/>
      <c r="B33" s="6268"/>
      <c r="C33" s="1320">
        <v>0.1075</v>
      </c>
      <c r="D33" s="1318" t="s">
        <v>996</v>
      </c>
      <c r="E33" s="1318" t="s">
        <v>997</v>
      </c>
      <c r="F33" s="1768">
        <v>0</v>
      </c>
      <c r="G33" s="1767">
        <f t="shared" si="7"/>
        <v>10000</v>
      </c>
      <c r="H33" s="1768">
        <v>10000</v>
      </c>
      <c r="I33" s="1767">
        <v>0</v>
      </c>
      <c r="J33" s="1767">
        <f>(K33)</f>
        <v>0</v>
      </c>
      <c r="K33" s="1768"/>
      <c r="L33" s="1768">
        <v>0</v>
      </c>
      <c r="M33" s="1767">
        <f>(N33)</f>
        <v>5000</v>
      </c>
      <c r="N33" s="1768">
        <v>5000</v>
      </c>
      <c r="O33" s="1768">
        <v>0</v>
      </c>
      <c r="P33" s="1767">
        <f>(Q33)</f>
        <v>5000</v>
      </c>
      <c r="Q33" s="1768">
        <f t="shared" si="4"/>
        <v>5000</v>
      </c>
      <c r="R33" s="1768">
        <v>0</v>
      </c>
      <c r="S33" s="1767">
        <v>187.82999999999998</v>
      </c>
      <c r="T33" s="1767">
        <v>187.82999999999998</v>
      </c>
      <c r="U33" s="1187"/>
    </row>
    <row r="34" spans="1:24">
      <c r="A34" s="6267"/>
      <c r="B34" s="6268"/>
      <c r="C34" s="1766">
        <v>0.105</v>
      </c>
      <c r="D34" s="1318" t="s">
        <v>998</v>
      </c>
      <c r="E34" s="1318" t="s">
        <v>999</v>
      </c>
      <c r="F34" s="1768">
        <v>0</v>
      </c>
      <c r="G34" s="1767">
        <f>(H34)</f>
        <v>0</v>
      </c>
      <c r="H34" s="1768">
        <v>0</v>
      </c>
      <c r="I34" s="1767">
        <v>0</v>
      </c>
      <c r="J34" s="1767">
        <f>K34</f>
        <v>10000</v>
      </c>
      <c r="K34" s="1768">
        <v>10000</v>
      </c>
      <c r="L34" s="1768">
        <v>0</v>
      </c>
      <c r="M34" s="1767">
        <f>(N34)</f>
        <v>0</v>
      </c>
      <c r="N34" s="1768">
        <v>0</v>
      </c>
      <c r="O34" s="1768">
        <v>0</v>
      </c>
      <c r="P34" s="1767">
        <f>(Q34)</f>
        <v>10000</v>
      </c>
      <c r="Q34" s="1768">
        <f t="shared" si="4"/>
        <v>10000</v>
      </c>
      <c r="R34" s="1767">
        <v>0</v>
      </c>
      <c r="S34" s="1767">
        <v>66.16</v>
      </c>
      <c r="T34" s="1767">
        <v>66.16</v>
      </c>
      <c r="U34" s="1206"/>
    </row>
    <row r="35" spans="1:24">
      <c r="A35" s="6267">
        <v>4</v>
      </c>
      <c r="B35" s="6268" t="s">
        <v>930</v>
      </c>
      <c r="C35" s="1320">
        <v>0.1075</v>
      </c>
      <c r="D35" s="1318" t="s">
        <v>1000</v>
      </c>
      <c r="E35" s="1318" t="s">
        <v>1001</v>
      </c>
      <c r="F35" s="1767">
        <v>0</v>
      </c>
      <c r="G35" s="1767">
        <f>H35</f>
        <v>2575</v>
      </c>
      <c r="H35" s="1768">
        <v>2575</v>
      </c>
      <c r="I35" s="1767">
        <v>0</v>
      </c>
      <c r="J35" s="1767">
        <f>K35</f>
        <v>0</v>
      </c>
      <c r="K35" s="1768">
        <v>0</v>
      </c>
      <c r="L35" s="1767">
        <v>0</v>
      </c>
      <c r="M35" s="1767">
        <f>N35</f>
        <v>2575</v>
      </c>
      <c r="N35" s="1768">
        <v>2575</v>
      </c>
      <c r="O35" s="1767">
        <v>0</v>
      </c>
      <c r="P35" s="1767">
        <f>Q35</f>
        <v>0</v>
      </c>
      <c r="Q35" s="1768">
        <f t="shared" si="4"/>
        <v>0</v>
      </c>
      <c r="R35" s="1768">
        <v>0</v>
      </c>
      <c r="S35" s="1768">
        <v>31.91</v>
      </c>
      <c r="T35" s="1768">
        <v>31.91</v>
      </c>
      <c r="U35" s="1187"/>
    </row>
    <row r="36" spans="1:24">
      <c r="A36" s="6267"/>
      <c r="B36" s="6268"/>
      <c r="C36" s="1320">
        <v>0.1075</v>
      </c>
      <c r="D36" s="1318" t="s">
        <v>931</v>
      </c>
      <c r="E36" s="1318" t="s">
        <v>932</v>
      </c>
      <c r="F36" s="1768">
        <f>H36</f>
        <v>5875</v>
      </c>
      <c r="G36" s="1768">
        <v>0</v>
      </c>
      <c r="H36" s="1768">
        <v>5875</v>
      </c>
      <c r="I36" s="1767">
        <f>K36</f>
        <v>0</v>
      </c>
      <c r="J36" s="1767">
        <v>0</v>
      </c>
      <c r="K36" s="1768">
        <v>0</v>
      </c>
      <c r="L36" s="1768">
        <f>N36</f>
        <v>2475</v>
      </c>
      <c r="M36" s="1768">
        <v>0</v>
      </c>
      <c r="N36" s="1768">
        <v>2475</v>
      </c>
      <c r="O36" s="1768">
        <f>Q36</f>
        <v>3400</v>
      </c>
      <c r="P36" s="1768">
        <v>0</v>
      </c>
      <c r="Q36" s="1768">
        <f t="shared" si="4"/>
        <v>3400</v>
      </c>
      <c r="R36" s="1767">
        <v>114.46</v>
      </c>
      <c r="S36" s="1767">
        <v>0</v>
      </c>
      <c r="T36" s="1768">
        <v>114.46</v>
      </c>
      <c r="U36" s="1187"/>
    </row>
    <row r="37" spans="1:24">
      <c r="A37" s="6267"/>
      <c r="B37" s="6268"/>
      <c r="C37" s="1320">
        <v>0.1075</v>
      </c>
      <c r="D37" s="1318" t="s">
        <v>933</v>
      </c>
      <c r="E37" s="1318" t="s">
        <v>928</v>
      </c>
      <c r="F37" s="1768">
        <v>0</v>
      </c>
      <c r="G37" s="1767">
        <f>(H37)</f>
        <v>15000</v>
      </c>
      <c r="H37" s="1768">
        <v>15000</v>
      </c>
      <c r="I37" s="1767">
        <v>0</v>
      </c>
      <c r="J37" s="1767">
        <f>(K37)</f>
        <v>0</v>
      </c>
      <c r="K37" s="1768"/>
      <c r="L37" s="1768">
        <v>0</v>
      </c>
      <c r="M37" s="1767">
        <f>(N37)</f>
        <v>3712.5</v>
      </c>
      <c r="N37" s="1768">
        <v>3712.5</v>
      </c>
      <c r="O37" s="1768">
        <v>0</v>
      </c>
      <c r="P37" s="1767">
        <f>(Q37)</f>
        <v>11287.5</v>
      </c>
      <c r="Q37" s="1768">
        <f t="shared" si="4"/>
        <v>11287.5</v>
      </c>
      <c r="R37" s="1768">
        <v>0</v>
      </c>
      <c r="S37" s="1767">
        <v>357.53</v>
      </c>
      <c r="T37" s="1767">
        <v>357.53</v>
      </c>
      <c r="U37" s="1187"/>
    </row>
    <row r="38" spans="1:24">
      <c r="A38" s="6267"/>
      <c r="B38" s="6268"/>
      <c r="C38" s="1320">
        <v>0.1075</v>
      </c>
      <c r="D38" s="1318" t="s">
        <v>934</v>
      </c>
      <c r="E38" s="1318" t="s">
        <v>935</v>
      </c>
      <c r="F38" s="1768">
        <v>0</v>
      </c>
      <c r="G38" s="1767">
        <f>(H38)</f>
        <v>0</v>
      </c>
      <c r="H38" s="1768">
        <v>0</v>
      </c>
      <c r="I38" s="1767">
        <v>0</v>
      </c>
      <c r="J38" s="1767">
        <f>K38</f>
        <v>5000</v>
      </c>
      <c r="K38" s="1768">
        <v>5000</v>
      </c>
      <c r="L38" s="1768">
        <v>0</v>
      </c>
      <c r="M38" s="1767">
        <f>(N38)</f>
        <v>825</v>
      </c>
      <c r="N38" s="1768">
        <v>825</v>
      </c>
      <c r="O38" s="1768">
        <v>0</v>
      </c>
      <c r="P38" s="1767">
        <f>(Q38)</f>
        <v>4175</v>
      </c>
      <c r="Q38" s="1768">
        <f t="shared" si="4"/>
        <v>4175</v>
      </c>
      <c r="R38" s="1768">
        <v>0</v>
      </c>
      <c r="S38" s="1767">
        <v>118.39</v>
      </c>
      <c r="T38" s="1767">
        <v>118.39</v>
      </c>
      <c r="U38" s="1204"/>
    </row>
    <row r="39" spans="1:24">
      <c r="A39" s="6267">
        <v>5</v>
      </c>
      <c r="B39" s="6269" t="s">
        <v>941</v>
      </c>
      <c r="C39" s="1769">
        <v>0.107</v>
      </c>
      <c r="D39" s="1318" t="s">
        <v>1002</v>
      </c>
      <c r="E39" s="1318" t="s">
        <v>1003</v>
      </c>
      <c r="F39" s="1767">
        <v>0</v>
      </c>
      <c r="G39" s="1767">
        <f>(H39)</f>
        <v>4225</v>
      </c>
      <c r="H39" s="1768">
        <v>4225</v>
      </c>
      <c r="I39" s="1767">
        <v>0</v>
      </c>
      <c r="J39" s="1767">
        <f>(K39)</f>
        <v>0</v>
      </c>
      <c r="K39" s="1768">
        <v>0</v>
      </c>
      <c r="L39" s="1767">
        <v>0</v>
      </c>
      <c r="M39" s="1767">
        <f>(N39)</f>
        <v>1650</v>
      </c>
      <c r="N39" s="1768">
        <v>1650</v>
      </c>
      <c r="O39" s="1767">
        <v>0</v>
      </c>
      <c r="P39" s="1767">
        <f>(Q39)</f>
        <v>2575</v>
      </c>
      <c r="Q39" s="1768">
        <f t="shared" si="4"/>
        <v>2575</v>
      </c>
      <c r="R39" s="1767">
        <v>0</v>
      </c>
      <c r="S39" s="1767">
        <v>91.95</v>
      </c>
      <c r="T39" s="1767">
        <v>91.95</v>
      </c>
      <c r="U39" s="1187"/>
    </row>
    <row r="40" spans="1:24">
      <c r="A40" s="6267"/>
      <c r="B40" s="6269"/>
      <c r="C40" s="1769">
        <v>0.107</v>
      </c>
      <c r="D40" s="1318" t="s">
        <v>1004</v>
      </c>
      <c r="E40" s="1318" t="s">
        <v>999</v>
      </c>
      <c r="F40" s="1767">
        <v>0</v>
      </c>
      <c r="G40" s="1767">
        <f>(H40)</f>
        <v>5050</v>
      </c>
      <c r="H40" s="1768">
        <v>5050</v>
      </c>
      <c r="I40" s="1767">
        <v>0</v>
      </c>
      <c r="J40" s="1767">
        <f>(K40)</f>
        <v>0</v>
      </c>
      <c r="K40" s="1768">
        <v>0</v>
      </c>
      <c r="L40" s="1767">
        <v>0</v>
      </c>
      <c r="M40" s="1767">
        <f>(N40)</f>
        <v>2475</v>
      </c>
      <c r="N40" s="1768">
        <v>2475</v>
      </c>
      <c r="O40" s="1767">
        <v>0</v>
      </c>
      <c r="P40" s="1767">
        <f>(Q40)</f>
        <v>2575</v>
      </c>
      <c r="Q40" s="1768">
        <f t="shared" si="4"/>
        <v>2575</v>
      </c>
      <c r="R40" s="1767">
        <v>0</v>
      </c>
      <c r="S40" s="1767">
        <v>97.609999999999985</v>
      </c>
      <c r="T40" s="1767">
        <v>97.609999999999985</v>
      </c>
      <c r="U40" s="1187"/>
    </row>
    <row r="41" spans="1:24">
      <c r="A41" s="1330">
        <v>6</v>
      </c>
      <c r="B41" s="1770" t="s">
        <v>944</v>
      </c>
      <c r="C41" s="1769">
        <v>0.107</v>
      </c>
      <c r="D41" s="1318" t="s">
        <v>945</v>
      </c>
      <c r="E41" s="1318" t="s">
        <v>946</v>
      </c>
      <c r="F41" s="1767">
        <v>0</v>
      </c>
      <c r="G41" s="1767">
        <f>H41</f>
        <v>6666.67</v>
      </c>
      <c r="H41" s="1768">
        <v>6666.67</v>
      </c>
      <c r="I41" s="1767">
        <v>0</v>
      </c>
      <c r="J41" s="1767">
        <f>(K41)</f>
        <v>0</v>
      </c>
      <c r="K41" s="1768">
        <v>0</v>
      </c>
      <c r="L41" s="1767">
        <v>0</v>
      </c>
      <c r="M41" s="1767">
        <f>N41</f>
        <v>2500</v>
      </c>
      <c r="N41" s="1768">
        <v>2500</v>
      </c>
      <c r="O41" s="1767">
        <v>0</v>
      </c>
      <c r="P41" s="1767">
        <f>Q41</f>
        <v>4166.67</v>
      </c>
      <c r="Q41" s="1768">
        <f t="shared" si="4"/>
        <v>4166.67</v>
      </c>
      <c r="R41" s="1767">
        <v>0</v>
      </c>
      <c r="S41" s="1767">
        <v>136.92000000000002</v>
      </c>
      <c r="T41" s="1767">
        <v>136.92000000000002</v>
      </c>
      <c r="U41" s="1187"/>
    </row>
    <row r="42" spans="1:24">
      <c r="A42" s="1762"/>
      <c r="B42" s="1233" t="s">
        <v>949</v>
      </c>
      <c r="C42" s="1765"/>
      <c r="D42" s="1318"/>
      <c r="E42" s="1318"/>
      <c r="F42" s="1768">
        <f t="shared" ref="F42:T42" si="8">SUM(F5:F41)</f>
        <v>27165</v>
      </c>
      <c r="G42" s="1768">
        <f t="shared" si="8"/>
        <v>141691.67000000001</v>
      </c>
      <c r="H42" s="1768">
        <f t="shared" si="8"/>
        <v>168856.67</v>
      </c>
      <c r="I42" s="1768">
        <f t="shared" si="8"/>
        <v>0</v>
      </c>
      <c r="J42" s="1768">
        <f t="shared" si="8"/>
        <v>76000</v>
      </c>
      <c r="K42" s="1768">
        <f t="shared" si="8"/>
        <v>76000</v>
      </c>
      <c r="L42" s="1768">
        <f t="shared" si="8"/>
        <v>9285</v>
      </c>
      <c r="M42" s="1768">
        <f t="shared" si="8"/>
        <v>68097.5</v>
      </c>
      <c r="N42" s="1768">
        <f t="shared" si="8"/>
        <v>77382.5</v>
      </c>
      <c r="O42" s="1768">
        <f t="shared" si="8"/>
        <v>17880</v>
      </c>
      <c r="P42" s="1768">
        <f t="shared" si="8"/>
        <v>149594.17000000001</v>
      </c>
      <c r="Q42" s="1768">
        <f t="shared" si="8"/>
        <v>167474.17000000001</v>
      </c>
      <c r="R42" s="1768">
        <f t="shared" si="8"/>
        <v>540.72</v>
      </c>
      <c r="S42" s="1768">
        <f t="shared" si="8"/>
        <v>3843.95</v>
      </c>
      <c r="T42" s="1768">
        <f t="shared" si="8"/>
        <v>4384.67</v>
      </c>
      <c r="U42" s="1187"/>
      <c r="V42" s="1190"/>
      <c r="W42" s="1190"/>
      <c r="X42" s="1190"/>
    </row>
    <row r="43" spans="1:24">
      <c r="A43" s="1762"/>
      <c r="B43" s="1233"/>
      <c r="C43" s="1765"/>
      <c r="D43" s="1318"/>
      <c r="E43" s="1318"/>
      <c r="F43" s="1768"/>
      <c r="G43" s="1768"/>
      <c r="H43" s="1768"/>
      <c r="I43" s="1768"/>
      <c r="J43" s="1768"/>
      <c r="K43" s="1768"/>
      <c r="L43" s="1768"/>
      <c r="M43" s="1768"/>
      <c r="N43" s="1768"/>
      <c r="O43" s="1768"/>
      <c r="P43" s="1768"/>
      <c r="Q43" s="1768"/>
      <c r="R43" s="1765"/>
      <c r="S43" s="1765"/>
      <c r="T43" s="1765"/>
      <c r="U43" s="1187"/>
    </row>
    <row r="44" spans="1:24">
      <c r="A44" s="1379" t="s">
        <v>950</v>
      </c>
      <c r="B44" s="1771" t="s">
        <v>951</v>
      </c>
      <c r="C44" s="1765"/>
      <c r="D44" s="1317"/>
      <c r="E44" s="1317"/>
      <c r="F44" s="1768"/>
      <c r="G44" s="1768"/>
      <c r="H44" s="1768"/>
      <c r="I44" s="1768"/>
      <c r="J44" s="1768"/>
      <c r="K44" s="1768"/>
      <c r="L44" s="1768"/>
      <c r="M44" s="1768"/>
      <c r="N44" s="1768"/>
      <c r="O44" s="1768"/>
      <c r="P44" s="1768"/>
      <c r="Q44" s="1768"/>
      <c r="R44" s="1765"/>
      <c r="S44" s="1765"/>
      <c r="T44" s="1765"/>
      <c r="U44" s="1187"/>
    </row>
    <row r="45" spans="1:24">
      <c r="A45" s="1772">
        <v>7</v>
      </c>
      <c r="B45" s="1329" t="s">
        <v>952</v>
      </c>
      <c r="C45" s="1773">
        <v>0.13500000000000001</v>
      </c>
      <c r="D45" s="1774" t="s">
        <v>953</v>
      </c>
      <c r="E45" s="1774" t="s">
        <v>954</v>
      </c>
      <c r="F45" s="1775">
        <f>(H45*46/100)</f>
        <v>5750</v>
      </c>
      <c r="G45" s="1775">
        <f>(H45*54/100)</f>
        <v>6750</v>
      </c>
      <c r="H45" s="1775">
        <v>12500</v>
      </c>
      <c r="I45" s="1775">
        <f>(K45*46/100)</f>
        <v>0</v>
      </c>
      <c r="J45" s="1775">
        <f>(K45*54/100)</f>
        <v>0</v>
      </c>
      <c r="K45" s="1775">
        <v>0</v>
      </c>
      <c r="L45" s="1775">
        <f>(N45*46/100)</f>
        <v>287.5</v>
      </c>
      <c r="M45" s="1775">
        <f>(N45*54/100)</f>
        <v>337.5</v>
      </c>
      <c r="N45" s="1775">
        <v>625</v>
      </c>
      <c r="O45" s="1775">
        <f>(Q45*46/100)</f>
        <v>5462.5</v>
      </c>
      <c r="P45" s="1775">
        <f>(Q45*54/100)</f>
        <v>6412.5</v>
      </c>
      <c r="Q45" s="1775">
        <f>(H45+K45-N45)</f>
        <v>11875</v>
      </c>
      <c r="R45" s="1775">
        <f>T45*46/100</f>
        <v>190.72979999999998</v>
      </c>
      <c r="S45" s="1775">
        <f>T45*54/100</f>
        <v>223.90020000000001</v>
      </c>
      <c r="T45" s="1775">
        <v>414.63</v>
      </c>
      <c r="U45" s="1187"/>
    </row>
    <row r="46" spans="1:24">
      <c r="A46" s="1776">
        <v>8</v>
      </c>
      <c r="B46" s="1776" t="s">
        <v>955</v>
      </c>
      <c r="C46" s="1777" t="s">
        <v>956</v>
      </c>
      <c r="D46" s="1317" t="s">
        <v>957</v>
      </c>
      <c r="E46" s="1317" t="s">
        <v>958</v>
      </c>
      <c r="F46" s="1767">
        <f>(H46)</f>
        <v>159.58004</v>
      </c>
      <c r="G46" s="1767">
        <v>0</v>
      </c>
      <c r="H46" s="1778">
        <v>159.58004</v>
      </c>
      <c r="I46" s="1767">
        <f>(K46)</f>
        <v>0</v>
      </c>
      <c r="J46" s="1767">
        <v>0</v>
      </c>
      <c r="K46" s="1768">
        <v>0</v>
      </c>
      <c r="L46" s="1767">
        <f>(N46)</f>
        <v>0</v>
      </c>
      <c r="M46" s="1767">
        <v>0</v>
      </c>
      <c r="N46" s="1768">
        <v>0</v>
      </c>
      <c r="O46" s="1767">
        <f>(Q46)</f>
        <v>159.58004</v>
      </c>
      <c r="P46" s="1767">
        <v>0</v>
      </c>
      <c r="Q46" s="1768">
        <f>(H46+K46-N46)</f>
        <v>159.58004</v>
      </c>
      <c r="R46" s="1767">
        <v>0</v>
      </c>
      <c r="S46" s="1767">
        <v>0</v>
      </c>
      <c r="T46" s="1767">
        <v>0</v>
      </c>
      <c r="U46" s="1187"/>
    </row>
    <row r="47" spans="1:24">
      <c r="A47" s="1776">
        <v>9</v>
      </c>
      <c r="B47" s="1776" t="s">
        <v>959</v>
      </c>
      <c r="C47" s="1765" t="s">
        <v>960</v>
      </c>
      <c r="D47" s="1317" t="s">
        <v>961</v>
      </c>
      <c r="E47" s="1317" t="s">
        <v>962</v>
      </c>
      <c r="F47" s="1767">
        <f>(H47)</f>
        <v>3798.5</v>
      </c>
      <c r="G47" s="1767">
        <v>0</v>
      </c>
      <c r="H47" s="1767">
        <v>3798.5</v>
      </c>
      <c r="I47" s="1767">
        <f>(K47)</f>
        <v>0</v>
      </c>
      <c r="J47" s="1767">
        <v>0</v>
      </c>
      <c r="K47" s="1768">
        <v>0</v>
      </c>
      <c r="L47" s="1767">
        <f>(N47)</f>
        <v>0</v>
      </c>
      <c r="M47" s="1767">
        <v>0</v>
      </c>
      <c r="N47" s="1768">
        <v>0</v>
      </c>
      <c r="O47" s="1767">
        <f>(Q47)</f>
        <v>3798.5</v>
      </c>
      <c r="P47" s="1767">
        <v>0</v>
      </c>
      <c r="Q47" s="1768">
        <f>(H47+K47-N47)</f>
        <v>3798.5</v>
      </c>
      <c r="R47" s="1767">
        <f>(T47)</f>
        <v>0</v>
      </c>
      <c r="S47" s="1767">
        <v>0</v>
      </c>
      <c r="T47" s="1767">
        <v>0</v>
      </c>
      <c r="U47" s="1187"/>
    </row>
    <row r="48" spans="1:24">
      <c r="A48" s="1776">
        <v>10</v>
      </c>
      <c r="B48" s="1776" t="s">
        <v>963</v>
      </c>
      <c r="C48" s="1777" t="s">
        <v>964</v>
      </c>
      <c r="D48" s="1317" t="s">
        <v>965</v>
      </c>
      <c r="E48" s="1317" t="s">
        <v>966</v>
      </c>
      <c r="F48" s="1767">
        <v>0</v>
      </c>
      <c r="G48" s="1767">
        <f>(H48)</f>
        <v>8139.8084999999974</v>
      </c>
      <c r="H48" s="1767">
        <v>8139.8084999999974</v>
      </c>
      <c r="I48" s="1767">
        <v>0</v>
      </c>
      <c r="J48" s="1767">
        <f>(K48)</f>
        <v>0</v>
      </c>
      <c r="K48" s="1768">
        <v>0</v>
      </c>
      <c r="L48" s="1767">
        <v>0</v>
      </c>
      <c r="M48" s="1767">
        <f>(N48)</f>
        <v>0</v>
      </c>
      <c r="N48" s="1768">
        <v>0</v>
      </c>
      <c r="O48" s="1767">
        <v>0</v>
      </c>
      <c r="P48" s="1767">
        <f>(Q48)</f>
        <v>8139.8084999999974</v>
      </c>
      <c r="Q48" s="1768">
        <f>(H48+K48-N48)</f>
        <v>8139.8084999999974</v>
      </c>
      <c r="R48" s="1767">
        <v>0</v>
      </c>
      <c r="S48" s="1767">
        <f>(T48)</f>
        <v>0</v>
      </c>
      <c r="T48" s="1767">
        <v>0</v>
      </c>
      <c r="U48" s="1187"/>
    </row>
    <row r="49" spans="1:21">
      <c r="A49" s="1233"/>
      <c r="B49" s="1328" t="s">
        <v>970</v>
      </c>
      <c r="C49" s="1765"/>
      <c r="D49" s="1317"/>
      <c r="E49" s="1317"/>
      <c r="F49" s="1767">
        <f>SUM(F45:F48)</f>
        <v>9708.0800400000007</v>
      </c>
      <c r="G49" s="1767">
        <f t="shared" ref="G49:Q49" si="9">SUM(G45:G48)</f>
        <v>14889.808499999997</v>
      </c>
      <c r="H49" s="1767">
        <f t="shared" si="9"/>
        <v>24597.88854</v>
      </c>
      <c r="I49" s="1767">
        <f t="shared" si="9"/>
        <v>0</v>
      </c>
      <c r="J49" s="1767">
        <f t="shared" si="9"/>
        <v>0</v>
      </c>
      <c r="K49" s="1767">
        <f t="shared" si="9"/>
        <v>0</v>
      </c>
      <c r="L49" s="1767">
        <f t="shared" si="9"/>
        <v>287.5</v>
      </c>
      <c r="M49" s="1767">
        <f t="shared" si="9"/>
        <v>337.5</v>
      </c>
      <c r="N49" s="1767">
        <f t="shared" si="9"/>
        <v>625</v>
      </c>
      <c r="O49" s="1767">
        <f t="shared" si="9"/>
        <v>9420.5800400000007</v>
      </c>
      <c r="P49" s="1767">
        <f t="shared" si="9"/>
        <v>14552.308499999997</v>
      </c>
      <c r="Q49" s="1767">
        <f t="shared" si="9"/>
        <v>23972.88854</v>
      </c>
      <c r="R49" s="1767">
        <f>SUM(R45:R48)</f>
        <v>190.72979999999998</v>
      </c>
      <c r="S49" s="1767">
        <f>SUM(S45:S48)</f>
        <v>223.90020000000001</v>
      </c>
      <c r="T49" s="1767">
        <f>SUM(T45:T48)</f>
        <v>414.63</v>
      </c>
      <c r="U49" s="1187"/>
    </row>
    <row r="50" spans="1:21">
      <c r="A50" s="1233"/>
      <c r="B50" s="1328" t="s">
        <v>2335</v>
      </c>
      <c r="C50" s="1765"/>
      <c r="D50" s="1317"/>
      <c r="E50" s="1317"/>
      <c r="F50" s="1767">
        <f t="shared" ref="F50:T50" si="10">(F42+F49)</f>
        <v>36873.080040000001</v>
      </c>
      <c r="G50" s="1767">
        <f t="shared" si="10"/>
        <v>156581.4785</v>
      </c>
      <c r="H50" s="1767">
        <f t="shared" si="10"/>
        <v>193454.55854</v>
      </c>
      <c r="I50" s="1767">
        <f t="shared" si="10"/>
        <v>0</v>
      </c>
      <c r="J50" s="1767">
        <f t="shared" si="10"/>
        <v>76000</v>
      </c>
      <c r="K50" s="1767">
        <f t="shared" si="10"/>
        <v>76000</v>
      </c>
      <c r="L50" s="1767">
        <f t="shared" si="10"/>
        <v>9572.5</v>
      </c>
      <c r="M50" s="1767">
        <f t="shared" si="10"/>
        <v>68435</v>
      </c>
      <c r="N50" s="1767">
        <f t="shared" si="10"/>
        <v>78007.5</v>
      </c>
      <c r="O50" s="1767">
        <f t="shared" si="10"/>
        <v>27300.580040000001</v>
      </c>
      <c r="P50" s="1767">
        <f t="shared" si="10"/>
        <v>164146.4785</v>
      </c>
      <c r="Q50" s="1767">
        <f t="shared" si="10"/>
        <v>191447.05854</v>
      </c>
      <c r="R50" s="1767">
        <f t="shared" si="10"/>
        <v>731.44979999999998</v>
      </c>
      <c r="S50" s="1767">
        <f t="shared" si="10"/>
        <v>4067.8501999999999</v>
      </c>
      <c r="T50" s="1767">
        <f t="shared" si="10"/>
        <v>4799.3</v>
      </c>
      <c r="U50" s="1187"/>
    </row>
    <row r="55" spans="1:21">
      <c r="L55" s="1186">
        <f>24065.83+25003.33+28938.33-73407.49</f>
        <v>4600</v>
      </c>
    </row>
  </sheetData>
  <mergeCells count="19">
    <mergeCell ref="A35:A38"/>
    <mergeCell ref="B35:B38"/>
    <mergeCell ref="A39:A40"/>
    <mergeCell ref="B39:B40"/>
    <mergeCell ref="A5:A22"/>
    <mergeCell ref="B5:B22"/>
    <mergeCell ref="A23:A31"/>
    <mergeCell ref="B23:B31"/>
    <mergeCell ref="A32:A34"/>
    <mergeCell ref="B32:B34"/>
    <mergeCell ref="A1:T1"/>
    <mergeCell ref="A2:A3"/>
    <mergeCell ref="B2:B3"/>
    <mergeCell ref="D2:E2"/>
    <mergeCell ref="F2:H2"/>
    <mergeCell ref="I2:K2"/>
    <mergeCell ref="L2:N2"/>
    <mergeCell ref="O2:Q2"/>
    <mergeCell ref="R2:T2"/>
  </mergeCells>
  <pageMargins left="0.17" right="0.14000000000000001" top="0.51" bottom="0.33" header="0.3" footer="0.3"/>
  <pageSetup paperSize="9" scale="38" orientation="landscape" r:id="rId1"/>
</worksheet>
</file>

<file path=xl/worksheets/sheet123.xml><?xml version="1.0" encoding="utf-8"?>
<worksheet xmlns="http://schemas.openxmlformats.org/spreadsheetml/2006/main" xmlns:r="http://schemas.openxmlformats.org/officeDocument/2006/relationships">
  <sheetPr codeName="Sheet102"/>
  <dimension ref="A1:U51"/>
  <sheetViews>
    <sheetView showGridLines="0" zoomScale="60" zoomScaleNormal="60" workbookViewId="0">
      <selection activeCell="I22" sqref="I22"/>
    </sheetView>
  </sheetViews>
  <sheetFormatPr defaultRowHeight="15"/>
  <cols>
    <col min="1" max="1" width="9.140625" style="1186"/>
    <col min="2" max="2" width="40.7109375" style="1186" customWidth="1"/>
    <col min="3" max="3" width="16.28515625" style="1186" customWidth="1"/>
    <col min="4" max="5" width="16.5703125" style="1186" customWidth="1"/>
    <col min="6" max="6" width="15.42578125" style="1186" customWidth="1"/>
    <col min="7" max="7" width="18.28515625" style="1186" customWidth="1"/>
    <col min="8" max="8" width="16.7109375" style="1186" customWidth="1"/>
    <col min="9" max="9" width="13.42578125" style="1186" customWidth="1"/>
    <col min="10" max="10" width="15.5703125" style="1186" customWidth="1"/>
    <col min="11" max="11" width="15.28515625" style="1186" customWidth="1"/>
    <col min="12" max="12" width="13.42578125" style="1186" customWidth="1"/>
    <col min="13" max="14" width="15.7109375" style="1186" customWidth="1"/>
    <col min="15" max="15" width="16.28515625" style="1186" customWidth="1"/>
    <col min="16" max="17" width="16.7109375" style="1186" customWidth="1"/>
    <col min="18" max="18" width="13.42578125" style="1186" bestFit="1" customWidth="1"/>
    <col min="19" max="19" width="14.28515625" style="1186" customWidth="1"/>
    <col min="20" max="20" width="15.28515625" style="1186" customWidth="1"/>
    <col min="21" max="257" width="9.140625" style="1186"/>
    <col min="258" max="258" width="40.7109375" style="1186" customWidth="1"/>
    <col min="259" max="259" width="16.28515625" style="1186" customWidth="1"/>
    <col min="260" max="261" width="16.5703125" style="1186" customWidth="1"/>
    <col min="262" max="262" width="15.42578125" style="1186" customWidth="1"/>
    <col min="263" max="263" width="18.28515625" style="1186" customWidth="1"/>
    <col min="264" max="264" width="16.7109375" style="1186" customWidth="1"/>
    <col min="265" max="265" width="13.42578125" style="1186" customWidth="1"/>
    <col min="266" max="266" width="15.5703125" style="1186" customWidth="1"/>
    <col min="267" max="267" width="15.28515625" style="1186" customWidth="1"/>
    <col min="268" max="268" width="13.42578125" style="1186" customWidth="1"/>
    <col min="269" max="270" width="15.7109375" style="1186" customWidth="1"/>
    <col min="271" max="271" width="16.28515625" style="1186" customWidth="1"/>
    <col min="272" max="273" width="16.7109375" style="1186" customWidth="1"/>
    <col min="274" max="274" width="13.42578125" style="1186" bestFit="1" customWidth="1"/>
    <col min="275" max="275" width="14.28515625" style="1186" customWidth="1"/>
    <col min="276" max="276" width="15.28515625" style="1186" customWidth="1"/>
    <col min="277" max="513" width="9.140625" style="1186"/>
    <col min="514" max="514" width="40.7109375" style="1186" customWidth="1"/>
    <col min="515" max="515" width="16.28515625" style="1186" customWidth="1"/>
    <col min="516" max="517" width="16.5703125" style="1186" customWidth="1"/>
    <col min="518" max="518" width="15.42578125" style="1186" customWidth="1"/>
    <col min="519" max="519" width="18.28515625" style="1186" customWidth="1"/>
    <col min="520" max="520" width="16.7109375" style="1186" customWidth="1"/>
    <col min="521" max="521" width="13.42578125" style="1186" customWidth="1"/>
    <col min="522" max="522" width="15.5703125" style="1186" customWidth="1"/>
    <col min="523" max="523" width="15.28515625" style="1186" customWidth="1"/>
    <col min="524" max="524" width="13.42578125" style="1186" customWidth="1"/>
    <col min="525" max="526" width="15.7109375" style="1186" customWidth="1"/>
    <col min="527" max="527" width="16.28515625" style="1186" customWidth="1"/>
    <col min="528" max="529" width="16.7109375" style="1186" customWidth="1"/>
    <col min="530" max="530" width="13.42578125" style="1186" bestFit="1" customWidth="1"/>
    <col min="531" max="531" width="14.28515625" style="1186" customWidth="1"/>
    <col min="532" max="532" width="15.28515625" style="1186" customWidth="1"/>
    <col min="533" max="769" width="9.140625" style="1186"/>
    <col min="770" max="770" width="40.7109375" style="1186" customWidth="1"/>
    <col min="771" max="771" width="16.28515625" style="1186" customWidth="1"/>
    <col min="772" max="773" width="16.5703125" style="1186" customWidth="1"/>
    <col min="774" max="774" width="15.42578125" style="1186" customWidth="1"/>
    <col min="775" max="775" width="18.28515625" style="1186" customWidth="1"/>
    <col min="776" max="776" width="16.7109375" style="1186" customWidth="1"/>
    <col min="777" max="777" width="13.42578125" style="1186" customWidth="1"/>
    <col min="778" max="778" width="15.5703125" style="1186" customWidth="1"/>
    <col min="779" max="779" width="15.28515625" style="1186" customWidth="1"/>
    <col min="780" max="780" width="13.42578125" style="1186" customWidth="1"/>
    <col min="781" max="782" width="15.7109375" style="1186" customWidth="1"/>
    <col min="783" max="783" width="16.28515625" style="1186" customWidth="1"/>
    <col min="784" max="785" width="16.7109375" style="1186" customWidth="1"/>
    <col min="786" max="786" width="13.42578125" style="1186" bestFit="1" customWidth="1"/>
    <col min="787" max="787" width="14.28515625" style="1186" customWidth="1"/>
    <col min="788" max="788" width="15.28515625" style="1186" customWidth="1"/>
    <col min="789" max="1025" width="9.140625" style="1186"/>
    <col min="1026" max="1026" width="40.7109375" style="1186" customWidth="1"/>
    <col min="1027" max="1027" width="16.28515625" style="1186" customWidth="1"/>
    <col min="1028" max="1029" width="16.5703125" style="1186" customWidth="1"/>
    <col min="1030" max="1030" width="15.42578125" style="1186" customWidth="1"/>
    <col min="1031" max="1031" width="18.28515625" style="1186" customWidth="1"/>
    <col min="1032" max="1032" width="16.7109375" style="1186" customWidth="1"/>
    <col min="1033" max="1033" width="13.42578125" style="1186" customWidth="1"/>
    <col min="1034" max="1034" width="15.5703125" style="1186" customWidth="1"/>
    <col min="1035" max="1035" width="15.28515625" style="1186" customWidth="1"/>
    <col min="1036" max="1036" width="13.42578125" style="1186" customWidth="1"/>
    <col min="1037" max="1038" width="15.7109375" style="1186" customWidth="1"/>
    <col min="1039" max="1039" width="16.28515625" style="1186" customWidth="1"/>
    <col min="1040" max="1041" width="16.7109375" style="1186" customWidth="1"/>
    <col min="1042" max="1042" width="13.42578125" style="1186" bestFit="1" customWidth="1"/>
    <col min="1043" max="1043" width="14.28515625" style="1186" customWidth="1"/>
    <col min="1044" max="1044" width="15.28515625" style="1186" customWidth="1"/>
    <col min="1045" max="1281" width="9.140625" style="1186"/>
    <col min="1282" max="1282" width="40.7109375" style="1186" customWidth="1"/>
    <col min="1283" max="1283" width="16.28515625" style="1186" customWidth="1"/>
    <col min="1284" max="1285" width="16.5703125" style="1186" customWidth="1"/>
    <col min="1286" max="1286" width="15.42578125" style="1186" customWidth="1"/>
    <col min="1287" max="1287" width="18.28515625" style="1186" customWidth="1"/>
    <col min="1288" max="1288" width="16.7109375" style="1186" customWidth="1"/>
    <col min="1289" max="1289" width="13.42578125" style="1186" customWidth="1"/>
    <col min="1290" max="1290" width="15.5703125" style="1186" customWidth="1"/>
    <col min="1291" max="1291" width="15.28515625" style="1186" customWidth="1"/>
    <col min="1292" max="1292" width="13.42578125" style="1186" customWidth="1"/>
    <col min="1293" max="1294" width="15.7109375" style="1186" customWidth="1"/>
    <col min="1295" max="1295" width="16.28515625" style="1186" customWidth="1"/>
    <col min="1296" max="1297" width="16.7109375" style="1186" customWidth="1"/>
    <col min="1298" max="1298" width="13.42578125" style="1186" bestFit="1" customWidth="1"/>
    <col min="1299" max="1299" width="14.28515625" style="1186" customWidth="1"/>
    <col min="1300" max="1300" width="15.28515625" style="1186" customWidth="1"/>
    <col min="1301" max="1537" width="9.140625" style="1186"/>
    <col min="1538" max="1538" width="40.7109375" style="1186" customWidth="1"/>
    <col min="1539" max="1539" width="16.28515625" style="1186" customWidth="1"/>
    <col min="1540" max="1541" width="16.5703125" style="1186" customWidth="1"/>
    <col min="1542" max="1542" width="15.42578125" style="1186" customWidth="1"/>
    <col min="1543" max="1543" width="18.28515625" style="1186" customWidth="1"/>
    <col min="1544" max="1544" width="16.7109375" style="1186" customWidth="1"/>
    <col min="1545" max="1545" width="13.42578125" style="1186" customWidth="1"/>
    <col min="1546" max="1546" width="15.5703125" style="1186" customWidth="1"/>
    <col min="1547" max="1547" width="15.28515625" style="1186" customWidth="1"/>
    <col min="1548" max="1548" width="13.42578125" style="1186" customWidth="1"/>
    <col min="1549" max="1550" width="15.7109375" style="1186" customWidth="1"/>
    <col min="1551" max="1551" width="16.28515625" style="1186" customWidth="1"/>
    <col min="1552" max="1553" width="16.7109375" style="1186" customWidth="1"/>
    <col min="1554" max="1554" width="13.42578125" style="1186" bestFit="1" customWidth="1"/>
    <col min="1555" max="1555" width="14.28515625" style="1186" customWidth="1"/>
    <col min="1556" max="1556" width="15.28515625" style="1186" customWidth="1"/>
    <col min="1557" max="1793" width="9.140625" style="1186"/>
    <col min="1794" max="1794" width="40.7109375" style="1186" customWidth="1"/>
    <col min="1795" max="1795" width="16.28515625" style="1186" customWidth="1"/>
    <col min="1796" max="1797" width="16.5703125" style="1186" customWidth="1"/>
    <col min="1798" max="1798" width="15.42578125" style="1186" customWidth="1"/>
    <col min="1799" max="1799" width="18.28515625" style="1186" customWidth="1"/>
    <col min="1800" max="1800" width="16.7109375" style="1186" customWidth="1"/>
    <col min="1801" max="1801" width="13.42578125" style="1186" customWidth="1"/>
    <col min="1802" max="1802" width="15.5703125" style="1186" customWidth="1"/>
    <col min="1803" max="1803" width="15.28515625" style="1186" customWidth="1"/>
    <col min="1804" max="1804" width="13.42578125" style="1186" customWidth="1"/>
    <col min="1805" max="1806" width="15.7109375" style="1186" customWidth="1"/>
    <col min="1807" max="1807" width="16.28515625" style="1186" customWidth="1"/>
    <col min="1808" max="1809" width="16.7109375" style="1186" customWidth="1"/>
    <col min="1810" max="1810" width="13.42578125" style="1186" bestFit="1" customWidth="1"/>
    <col min="1811" max="1811" width="14.28515625" style="1186" customWidth="1"/>
    <col min="1812" max="1812" width="15.28515625" style="1186" customWidth="1"/>
    <col min="1813" max="2049" width="9.140625" style="1186"/>
    <col min="2050" max="2050" width="40.7109375" style="1186" customWidth="1"/>
    <col min="2051" max="2051" width="16.28515625" style="1186" customWidth="1"/>
    <col min="2052" max="2053" width="16.5703125" style="1186" customWidth="1"/>
    <col min="2054" max="2054" width="15.42578125" style="1186" customWidth="1"/>
    <col min="2055" max="2055" width="18.28515625" style="1186" customWidth="1"/>
    <col min="2056" max="2056" width="16.7109375" style="1186" customWidth="1"/>
    <col min="2057" max="2057" width="13.42578125" style="1186" customWidth="1"/>
    <col min="2058" max="2058" width="15.5703125" style="1186" customWidth="1"/>
    <col min="2059" max="2059" width="15.28515625" style="1186" customWidth="1"/>
    <col min="2060" max="2060" width="13.42578125" style="1186" customWidth="1"/>
    <col min="2061" max="2062" width="15.7109375" style="1186" customWidth="1"/>
    <col min="2063" max="2063" width="16.28515625" style="1186" customWidth="1"/>
    <col min="2064" max="2065" width="16.7109375" style="1186" customWidth="1"/>
    <col min="2066" max="2066" width="13.42578125" style="1186" bestFit="1" customWidth="1"/>
    <col min="2067" max="2067" width="14.28515625" style="1186" customWidth="1"/>
    <col min="2068" max="2068" width="15.28515625" style="1186" customWidth="1"/>
    <col min="2069" max="2305" width="9.140625" style="1186"/>
    <col min="2306" max="2306" width="40.7109375" style="1186" customWidth="1"/>
    <col min="2307" max="2307" width="16.28515625" style="1186" customWidth="1"/>
    <col min="2308" max="2309" width="16.5703125" style="1186" customWidth="1"/>
    <col min="2310" max="2310" width="15.42578125" style="1186" customWidth="1"/>
    <col min="2311" max="2311" width="18.28515625" style="1186" customWidth="1"/>
    <col min="2312" max="2312" width="16.7109375" style="1186" customWidth="1"/>
    <col min="2313" max="2313" width="13.42578125" style="1186" customWidth="1"/>
    <col min="2314" max="2314" width="15.5703125" style="1186" customWidth="1"/>
    <col min="2315" max="2315" width="15.28515625" style="1186" customWidth="1"/>
    <col min="2316" max="2316" width="13.42578125" style="1186" customWidth="1"/>
    <col min="2317" max="2318" width="15.7109375" style="1186" customWidth="1"/>
    <col min="2319" max="2319" width="16.28515625" style="1186" customWidth="1"/>
    <col min="2320" max="2321" width="16.7109375" style="1186" customWidth="1"/>
    <col min="2322" max="2322" width="13.42578125" style="1186" bestFit="1" customWidth="1"/>
    <col min="2323" max="2323" width="14.28515625" style="1186" customWidth="1"/>
    <col min="2324" max="2324" width="15.28515625" style="1186" customWidth="1"/>
    <col min="2325" max="2561" width="9.140625" style="1186"/>
    <col min="2562" max="2562" width="40.7109375" style="1186" customWidth="1"/>
    <col min="2563" max="2563" width="16.28515625" style="1186" customWidth="1"/>
    <col min="2564" max="2565" width="16.5703125" style="1186" customWidth="1"/>
    <col min="2566" max="2566" width="15.42578125" style="1186" customWidth="1"/>
    <col min="2567" max="2567" width="18.28515625" style="1186" customWidth="1"/>
    <col min="2568" max="2568" width="16.7109375" style="1186" customWidth="1"/>
    <col min="2569" max="2569" width="13.42578125" style="1186" customWidth="1"/>
    <col min="2570" max="2570" width="15.5703125" style="1186" customWidth="1"/>
    <col min="2571" max="2571" width="15.28515625" style="1186" customWidth="1"/>
    <col min="2572" max="2572" width="13.42578125" style="1186" customWidth="1"/>
    <col min="2573" max="2574" width="15.7109375" style="1186" customWidth="1"/>
    <col min="2575" max="2575" width="16.28515625" style="1186" customWidth="1"/>
    <col min="2576" max="2577" width="16.7109375" style="1186" customWidth="1"/>
    <col min="2578" max="2578" width="13.42578125" style="1186" bestFit="1" customWidth="1"/>
    <col min="2579" max="2579" width="14.28515625" style="1186" customWidth="1"/>
    <col min="2580" max="2580" width="15.28515625" style="1186" customWidth="1"/>
    <col min="2581" max="2817" width="9.140625" style="1186"/>
    <col min="2818" max="2818" width="40.7109375" style="1186" customWidth="1"/>
    <col min="2819" max="2819" width="16.28515625" style="1186" customWidth="1"/>
    <col min="2820" max="2821" width="16.5703125" style="1186" customWidth="1"/>
    <col min="2822" max="2822" width="15.42578125" style="1186" customWidth="1"/>
    <col min="2823" max="2823" width="18.28515625" style="1186" customWidth="1"/>
    <col min="2824" max="2824" width="16.7109375" style="1186" customWidth="1"/>
    <col min="2825" max="2825" width="13.42578125" style="1186" customWidth="1"/>
    <col min="2826" max="2826" width="15.5703125" style="1186" customWidth="1"/>
    <col min="2827" max="2827" width="15.28515625" style="1186" customWidth="1"/>
    <col min="2828" max="2828" width="13.42578125" style="1186" customWidth="1"/>
    <col min="2829" max="2830" width="15.7109375" style="1186" customWidth="1"/>
    <col min="2831" max="2831" width="16.28515625" style="1186" customWidth="1"/>
    <col min="2832" max="2833" width="16.7109375" style="1186" customWidth="1"/>
    <col min="2834" max="2834" width="13.42578125" style="1186" bestFit="1" customWidth="1"/>
    <col min="2835" max="2835" width="14.28515625" style="1186" customWidth="1"/>
    <col min="2836" max="2836" width="15.28515625" style="1186" customWidth="1"/>
    <col min="2837" max="3073" width="9.140625" style="1186"/>
    <col min="3074" max="3074" width="40.7109375" style="1186" customWidth="1"/>
    <col min="3075" max="3075" width="16.28515625" style="1186" customWidth="1"/>
    <col min="3076" max="3077" width="16.5703125" style="1186" customWidth="1"/>
    <col min="3078" max="3078" width="15.42578125" style="1186" customWidth="1"/>
    <col min="3079" max="3079" width="18.28515625" style="1186" customWidth="1"/>
    <col min="3080" max="3080" width="16.7109375" style="1186" customWidth="1"/>
    <col min="3081" max="3081" width="13.42578125" style="1186" customWidth="1"/>
    <col min="3082" max="3082" width="15.5703125" style="1186" customWidth="1"/>
    <col min="3083" max="3083" width="15.28515625" style="1186" customWidth="1"/>
    <col min="3084" max="3084" width="13.42578125" style="1186" customWidth="1"/>
    <col min="3085" max="3086" width="15.7109375" style="1186" customWidth="1"/>
    <col min="3087" max="3087" width="16.28515625" style="1186" customWidth="1"/>
    <col min="3088" max="3089" width="16.7109375" style="1186" customWidth="1"/>
    <col min="3090" max="3090" width="13.42578125" style="1186" bestFit="1" customWidth="1"/>
    <col min="3091" max="3091" width="14.28515625" style="1186" customWidth="1"/>
    <col min="3092" max="3092" width="15.28515625" style="1186" customWidth="1"/>
    <col min="3093" max="3329" width="9.140625" style="1186"/>
    <col min="3330" max="3330" width="40.7109375" style="1186" customWidth="1"/>
    <col min="3331" max="3331" width="16.28515625" style="1186" customWidth="1"/>
    <col min="3332" max="3333" width="16.5703125" style="1186" customWidth="1"/>
    <col min="3334" max="3334" width="15.42578125" style="1186" customWidth="1"/>
    <col min="3335" max="3335" width="18.28515625" style="1186" customWidth="1"/>
    <col min="3336" max="3336" width="16.7109375" style="1186" customWidth="1"/>
    <col min="3337" max="3337" width="13.42578125" style="1186" customWidth="1"/>
    <col min="3338" max="3338" width="15.5703125" style="1186" customWidth="1"/>
    <col min="3339" max="3339" width="15.28515625" style="1186" customWidth="1"/>
    <col min="3340" max="3340" width="13.42578125" style="1186" customWidth="1"/>
    <col min="3341" max="3342" width="15.7109375" style="1186" customWidth="1"/>
    <col min="3343" max="3343" width="16.28515625" style="1186" customWidth="1"/>
    <col min="3344" max="3345" width="16.7109375" style="1186" customWidth="1"/>
    <col min="3346" max="3346" width="13.42578125" style="1186" bestFit="1" customWidth="1"/>
    <col min="3347" max="3347" width="14.28515625" style="1186" customWidth="1"/>
    <col min="3348" max="3348" width="15.28515625" style="1186" customWidth="1"/>
    <col min="3349" max="3585" width="9.140625" style="1186"/>
    <col min="3586" max="3586" width="40.7109375" style="1186" customWidth="1"/>
    <col min="3587" max="3587" width="16.28515625" style="1186" customWidth="1"/>
    <col min="3588" max="3589" width="16.5703125" style="1186" customWidth="1"/>
    <col min="3590" max="3590" width="15.42578125" style="1186" customWidth="1"/>
    <col min="3591" max="3591" width="18.28515625" style="1186" customWidth="1"/>
    <col min="3592" max="3592" width="16.7109375" style="1186" customWidth="1"/>
    <col min="3593" max="3593" width="13.42578125" style="1186" customWidth="1"/>
    <col min="3594" max="3594" width="15.5703125" style="1186" customWidth="1"/>
    <col min="3595" max="3595" width="15.28515625" style="1186" customWidth="1"/>
    <col min="3596" max="3596" width="13.42578125" style="1186" customWidth="1"/>
    <col min="3597" max="3598" width="15.7109375" style="1186" customWidth="1"/>
    <col min="3599" max="3599" width="16.28515625" style="1186" customWidth="1"/>
    <col min="3600" max="3601" width="16.7109375" style="1186" customWidth="1"/>
    <col min="3602" max="3602" width="13.42578125" style="1186" bestFit="1" customWidth="1"/>
    <col min="3603" max="3603" width="14.28515625" style="1186" customWidth="1"/>
    <col min="3604" max="3604" width="15.28515625" style="1186" customWidth="1"/>
    <col min="3605" max="3841" width="9.140625" style="1186"/>
    <col min="3842" max="3842" width="40.7109375" style="1186" customWidth="1"/>
    <col min="3843" max="3843" width="16.28515625" style="1186" customWidth="1"/>
    <col min="3844" max="3845" width="16.5703125" style="1186" customWidth="1"/>
    <col min="3846" max="3846" width="15.42578125" style="1186" customWidth="1"/>
    <col min="3847" max="3847" width="18.28515625" style="1186" customWidth="1"/>
    <col min="3848" max="3848" width="16.7109375" style="1186" customWidth="1"/>
    <col min="3849" max="3849" width="13.42578125" style="1186" customWidth="1"/>
    <col min="3850" max="3850" width="15.5703125" style="1186" customWidth="1"/>
    <col min="3851" max="3851" width="15.28515625" style="1186" customWidth="1"/>
    <col min="3852" max="3852" width="13.42578125" style="1186" customWidth="1"/>
    <col min="3853" max="3854" width="15.7109375" style="1186" customWidth="1"/>
    <col min="3855" max="3855" width="16.28515625" style="1186" customWidth="1"/>
    <col min="3856" max="3857" width="16.7109375" style="1186" customWidth="1"/>
    <col min="3858" max="3858" width="13.42578125" style="1186" bestFit="1" customWidth="1"/>
    <col min="3859" max="3859" width="14.28515625" style="1186" customWidth="1"/>
    <col min="3860" max="3860" width="15.28515625" style="1186" customWidth="1"/>
    <col min="3861" max="4097" width="9.140625" style="1186"/>
    <col min="4098" max="4098" width="40.7109375" style="1186" customWidth="1"/>
    <col min="4099" max="4099" width="16.28515625" style="1186" customWidth="1"/>
    <col min="4100" max="4101" width="16.5703125" style="1186" customWidth="1"/>
    <col min="4102" max="4102" width="15.42578125" style="1186" customWidth="1"/>
    <col min="4103" max="4103" width="18.28515625" style="1186" customWidth="1"/>
    <col min="4104" max="4104" width="16.7109375" style="1186" customWidth="1"/>
    <col min="4105" max="4105" width="13.42578125" style="1186" customWidth="1"/>
    <col min="4106" max="4106" width="15.5703125" style="1186" customWidth="1"/>
    <col min="4107" max="4107" width="15.28515625" style="1186" customWidth="1"/>
    <col min="4108" max="4108" width="13.42578125" style="1186" customWidth="1"/>
    <col min="4109" max="4110" width="15.7109375" style="1186" customWidth="1"/>
    <col min="4111" max="4111" width="16.28515625" style="1186" customWidth="1"/>
    <col min="4112" max="4113" width="16.7109375" style="1186" customWidth="1"/>
    <col min="4114" max="4114" width="13.42578125" style="1186" bestFit="1" customWidth="1"/>
    <col min="4115" max="4115" width="14.28515625" style="1186" customWidth="1"/>
    <col min="4116" max="4116" width="15.28515625" style="1186" customWidth="1"/>
    <col min="4117" max="4353" width="9.140625" style="1186"/>
    <col min="4354" max="4354" width="40.7109375" style="1186" customWidth="1"/>
    <col min="4355" max="4355" width="16.28515625" style="1186" customWidth="1"/>
    <col min="4356" max="4357" width="16.5703125" style="1186" customWidth="1"/>
    <col min="4358" max="4358" width="15.42578125" style="1186" customWidth="1"/>
    <col min="4359" max="4359" width="18.28515625" style="1186" customWidth="1"/>
    <col min="4360" max="4360" width="16.7109375" style="1186" customWidth="1"/>
    <col min="4361" max="4361" width="13.42578125" style="1186" customWidth="1"/>
    <col min="4362" max="4362" width="15.5703125" style="1186" customWidth="1"/>
    <col min="4363" max="4363" width="15.28515625" style="1186" customWidth="1"/>
    <col min="4364" max="4364" width="13.42578125" style="1186" customWidth="1"/>
    <col min="4365" max="4366" width="15.7109375" style="1186" customWidth="1"/>
    <col min="4367" max="4367" width="16.28515625" style="1186" customWidth="1"/>
    <col min="4368" max="4369" width="16.7109375" style="1186" customWidth="1"/>
    <col min="4370" max="4370" width="13.42578125" style="1186" bestFit="1" customWidth="1"/>
    <col min="4371" max="4371" width="14.28515625" style="1186" customWidth="1"/>
    <col min="4372" max="4372" width="15.28515625" style="1186" customWidth="1"/>
    <col min="4373" max="4609" width="9.140625" style="1186"/>
    <col min="4610" max="4610" width="40.7109375" style="1186" customWidth="1"/>
    <col min="4611" max="4611" width="16.28515625" style="1186" customWidth="1"/>
    <col min="4612" max="4613" width="16.5703125" style="1186" customWidth="1"/>
    <col min="4614" max="4614" width="15.42578125" style="1186" customWidth="1"/>
    <col min="4615" max="4615" width="18.28515625" style="1186" customWidth="1"/>
    <col min="4616" max="4616" width="16.7109375" style="1186" customWidth="1"/>
    <col min="4617" max="4617" width="13.42578125" style="1186" customWidth="1"/>
    <col min="4618" max="4618" width="15.5703125" style="1186" customWidth="1"/>
    <col min="4619" max="4619" width="15.28515625" style="1186" customWidth="1"/>
    <col min="4620" max="4620" width="13.42578125" style="1186" customWidth="1"/>
    <col min="4621" max="4622" width="15.7109375" style="1186" customWidth="1"/>
    <col min="4623" max="4623" width="16.28515625" style="1186" customWidth="1"/>
    <col min="4624" max="4625" width="16.7109375" style="1186" customWidth="1"/>
    <col min="4626" max="4626" width="13.42578125" style="1186" bestFit="1" customWidth="1"/>
    <col min="4627" max="4627" width="14.28515625" style="1186" customWidth="1"/>
    <col min="4628" max="4628" width="15.28515625" style="1186" customWidth="1"/>
    <col min="4629" max="4865" width="9.140625" style="1186"/>
    <col min="4866" max="4866" width="40.7109375" style="1186" customWidth="1"/>
    <col min="4867" max="4867" width="16.28515625" style="1186" customWidth="1"/>
    <col min="4868" max="4869" width="16.5703125" style="1186" customWidth="1"/>
    <col min="4870" max="4870" width="15.42578125" style="1186" customWidth="1"/>
    <col min="4871" max="4871" width="18.28515625" style="1186" customWidth="1"/>
    <col min="4872" max="4872" width="16.7109375" style="1186" customWidth="1"/>
    <col min="4873" max="4873" width="13.42578125" style="1186" customWidth="1"/>
    <col min="4874" max="4874" width="15.5703125" style="1186" customWidth="1"/>
    <col min="4875" max="4875" width="15.28515625" style="1186" customWidth="1"/>
    <col min="4876" max="4876" width="13.42578125" style="1186" customWidth="1"/>
    <col min="4877" max="4878" width="15.7109375" style="1186" customWidth="1"/>
    <col min="4879" max="4879" width="16.28515625" style="1186" customWidth="1"/>
    <col min="4880" max="4881" width="16.7109375" style="1186" customWidth="1"/>
    <col min="4882" max="4882" width="13.42578125" style="1186" bestFit="1" customWidth="1"/>
    <col min="4883" max="4883" width="14.28515625" style="1186" customWidth="1"/>
    <col min="4884" max="4884" width="15.28515625" style="1186" customWidth="1"/>
    <col min="4885" max="5121" width="9.140625" style="1186"/>
    <col min="5122" max="5122" width="40.7109375" style="1186" customWidth="1"/>
    <col min="5123" max="5123" width="16.28515625" style="1186" customWidth="1"/>
    <col min="5124" max="5125" width="16.5703125" style="1186" customWidth="1"/>
    <col min="5126" max="5126" width="15.42578125" style="1186" customWidth="1"/>
    <col min="5127" max="5127" width="18.28515625" style="1186" customWidth="1"/>
    <col min="5128" max="5128" width="16.7109375" style="1186" customWidth="1"/>
    <col min="5129" max="5129" width="13.42578125" style="1186" customWidth="1"/>
    <col min="5130" max="5130" width="15.5703125" style="1186" customWidth="1"/>
    <col min="5131" max="5131" width="15.28515625" style="1186" customWidth="1"/>
    <col min="5132" max="5132" width="13.42578125" style="1186" customWidth="1"/>
    <col min="5133" max="5134" width="15.7109375" style="1186" customWidth="1"/>
    <col min="5135" max="5135" width="16.28515625" style="1186" customWidth="1"/>
    <col min="5136" max="5137" width="16.7109375" style="1186" customWidth="1"/>
    <col min="5138" max="5138" width="13.42578125" style="1186" bestFit="1" customWidth="1"/>
    <col min="5139" max="5139" width="14.28515625" style="1186" customWidth="1"/>
    <col min="5140" max="5140" width="15.28515625" style="1186" customWidth="1"/>
    <col min="5141" max="5377" width="9.140625" style="1186"/>
    <col min="5378" max="5378" width="40.7109375" style="1186" customWidth="1"/>
    <col min="5379" max="5379" width="16.28515625" style="1186" customWidth="1"/>
    <col min="5380" max="5381" width="16.5703125" style="1186" customWidth="1"/>
    <col min="5382" max="5382" width="15.42578125" style="1186" customWidth="1"/>
    <col min="5383" max="5383" width="18.28515625" style="1186" customWidth="1"/>
    <col min="5384" max="5384" width="16.7109375" style="1186" customWidth="1"/>
    <col min="5385" max="5385" width="13.42578125" style="1186" customWidth="1"/>
    <col min="5386" max="5386" width="15.5703125" style="1186" customWidth="1"/>
    <col min="5387" max="5387" width="15.28515625" style="1186" customWidth="1"/>
    <col min="5388" max="5388" width="13.42578125" style="1186" customWidth="1"/>
    <col min="5389" max="5390" width="15.7109375" style="1186" customWidth="1"/>
    <col min="5391" max="5391" width="16.28515625" style="1186" customWidth="1"/>
    <col min="5392" max="5393" width="16.7109375" style="1186" customWidth="1"/>
    <col min="5394" max="5394" width="13.42578125" style="1186" bestFit="1" customWidth="1"/>
    <col min="5395" max="5395" width="14.28515625" style="1186" customWidth="1"/>
    <col min="5396" max="5396" width="15.28515625" style="1186" customWidth="1"/>
    <col min="5397" max="5633" width="9.140625" style="1186"/>
    <col min="5634" max="5634" width="40.7109375" style="1186" customWidth="1"/>
    <col min="5635" max="5635" width="16.28515625" style="1186" customWidth="1"/>
    <col min="5636" max="5637" width="16.5703125" style="1186" customWidth="1"/>
    <col min="5638" max="5638" width="15.42578125" style="1186" customWidth="1"/>
    <col min="5639" max="5639" width="18.28515625" style="1186" customWidth="1"/>
    <col min="5640" max="5640" width="16.7109375" style="1186" customWidth="1"/>
    <col min="5641" max="5641" width="13.42578125" style="1186" customWidth="1"/>
    <col min="5642" max="5642" width="15.5703125" style="1186" customWidth="1"/>
    <col min="5643" max="5643" width="15.28515625" style="1186" customWidth="1"/>
    <col min="5644" max="5644" width="13.42578125" style="1186" customWidth="1"/>
    <col min="5645" max="5646" width="15.7109375" style="1186" customWidth="1"/>
    <col min="5647" max="5647" width="16.28515625" style="1186" customWidth="1"/>
    <col min="5648" max="5649" width="16.7109375" style="1186" customWidth="1"/>
    <col min="5650" max="5650" width="13.42578125" style="1186" bestFit="1" customWidth="1"/>
    <col min="5651" max="5651" width="14.28515625" style="1186" customWidth="1"/>
    <col min="5652" max="5652" width="15.28515625" style="1186" customWidth="1"/>
    <col min="5653" max="5889" width="9.140625" style="1186"/>
    <col min="5890" max="5890" width="40.7109375" style="1186" customWidth="1"/>
    <col min="5891" max="5891" width="16.28515625" style="1186" customWidth="1"/>
    <col min="5892" max="5893" width="16.5703125" style="1186" customWidth="1"/>
    <col min="5894" max="5894" width="15.42578125" style="1186" customWidth="1"/>
    <col min="5895" max="5895" width="18.28515625" style="1186" customWidth="1"/>
    <col min="5896" max="5896" width="16.7109375" style="1186" customWidth="1"/>
    <col min="5897" max="5897" width="13.42578125" style="1186" customWidth="1"/>
    <col min="5898" max="5898" width="15.5703125" style="1186" customWidth="1"/>
    <col min="5899" max="5899" width="15.28515625" style="1186" customWidth="1"/>
    <col min="5900" max="5900" width="13.42578125" style="1186" customWidth="1"/>
    <col min="5901" max="5902" width="15.7109375" style="1186" customWidth="1"/>
    <col min="5903" max="5903" width="16.28515625" style="1186" customWidth="1"/>
    <col min="5904" max="5905" width="16.7109375" style="1186" customWidth="1"/>
    <col min="5906" max="5906" width="13.42578125" style="1186" bestFit="1" customWidth="1"/>
    <col min="5907" max="5907" width="14.28515625" style="1186" customWidth="1"/>
    <col min="5908" max="5908" width="15.28515625" style="1186" customWidth="1"/>
    <col min="5909" max="6145" width="9.140625" style="1186"/>
    <col min="6146" max="6146" width="40.7109375" style="1186" customWidth="1"/>
    <col min="6147" max="6147" width="16.28515625" style="1186" customWidth="1"/>
    <col min="6148" max="6149" width="16.5703125" style="1186" customWidth="1"/>
    <col min="6150" max="6150" width="15.42578125" style="1186" customWidth="1"/>
    <col min="6151" max="6151" width="18.28515625" style="1186" customWidth="1"/>
    <col min="6152" max="6152" width="16.7109375" style="1186" customWidth="1"/>
    <col min="6153" max="6153" width="13.42578125" style="1186" customWidth="1"/>
    <col min="6154" max="6154" width="15.5703125" style="1186" customWidth="1"/>
    <col min="6155" max="6155" width="15.28515625" style="1186" customWidth="1"/>
    <col min="6156" max="6156" width="13.42578125" style="1186" customWidth="1"/>
    <col min="6157" max="6158" width="15.7109375" style="1186" customWidth="1"/>
    <col min="6159" max="6159" width="16.28515625" style="1186" customWidth="1"/>
    <col min="6160" max="6161" width="16.7109375" style="1186" customWidth="1"/>
    <col min="6162" max="6162" width="13.42578125" style="1186" bestFit="1" customWidth="1"/>
    <col min="6163" max="6163" width="14.28515625" style="1186" customWidth="1"/>
    <col min="6164" max="6164" width="15.28515625" style="1186" customWidth="1"/>
    <col min="6165" max="6401" width="9.140625" style="1186"/>
    <col min="6402" max="6402" width="40.7109375" style="1186" customWidth="1"/>
    <col min="6403" max="6403" width="16.28515625" style="1186" customWidth="1"/>
    <col min="6404" max="6405" width="16.5703125" style="1186" customWidth="1"/>
    <col min="6406" max="6406" width="15.42578125" style="1186" customWidth="1"/>
    <col min="6407" max="6407" width="18.28515625" style="1186" customWidth="1"/>
    <col min="6408" max="6408" width="16.7109375" style="1186" customWidth="1"/>
    <col min="6409" max="6409" width="13.42578125" style="1186" customWidth="1"/>
    <col min="6410" max="6410" width="15.5703125" style="1186" customWidth="1"/>
    <col min="6411" max="6411" width="15.28515625" style="1186" customWidth="1"/>
    <col min="6412" max="6412" width="13.42578125" style="1186" customWidth="1"/>
    <col min="6413" max="6414" width="15.7109375" style="1186" customWidth="1"/>
    <col min="6415" max="6415" width="16.28515625" style="1186" customWidth="1"/>
    <col min="6416" max="6417" width="16.7109375" style="1186" customWidth="1"/>
    <col min="6418" max="6418" width="13.42578125" style="1186" bestFit="1" customWidth="1"/>
    <col min="6419" max="6419" width="14.28515625" style="1186" customWidth="1"/>
    <col min="6420" max="6420" width="15.28515625" style="1186" customWidth="1"/>
    <col min="6421" max="6657" width="9.140625" style="1186"/>
    <col min="6658" max="6658" width="40.7109375" style="1186" customWidth="1"/>
    <col min="6659" max="6659" width="16.28515625" style="1186" customWidth="1"/>
    <col min="6660" max="6661" width="16.5703125" style="1186" customWidth="1"/>
    <col min="6662" max="6662" width="15.42578125" style="1186" customWidth="1"/>
    <col min="6663" max="6663" width="18.28515625" style="1186" customWidth="1"/>
    <col min="6664" max="6664" width="16.7109375" style="1186" customWidth="1"/>
    <col min="6665" max="6665" width="13.42578125" style="1186" customWidth="1"/>
    <col min="6666" max="6666" width="15.5703125" style="1186" customWidth="1"/>
    <col min="6667" max="6667" width="15.28515625" style="1186" customWidth="1"/>
    <col min="6668" max="6668" width="13.42578125" style="1186" customWidth="1"/>
    <col min="6669" max="6670" width="15.7109375" style="1186" customWidth="1"/>
    <col min="6671" max="6671" width="16.28515625" style="1186" customWidth="1"/>
    <col min="6672" max="6673" width="16.7109375" style="1186" customWidth="1"/>
    <col min="6674" max="6674" width="13.42578125" style="1186" bestFit="1" customWidth="1"/>
    <col min="6675" max="6675" width="14.28515625" style="1186" customWidth="1"/>
    <col min="6676" max="6676" width="15.28515625" style="1186" customWidth="1"/>
    <col min="6677" max="6913" width="9.140625" style="1186"/>
    <col min="6914" max="6914" width="40.7109375" style="1186" customWidth="1"/>
    <col min="6915" max="6915" width="16.28515625" style="1186" customWidth="1"/>
    <col min="6916" max="6917" width="16.5703125" style="1186" customWidth="1"/>
    <col min="6918" max="6918" width="15.42578125" style="1186" customWidth="1"/>
    <col min="6919" max="6919" width="18.28515625" style="1186" customWidth="1"/>
    <col min="6920" max="6920" width="16.7109375" style="1186" customWidth="1"/>
    <col min="6921" max="6921" width="13.42578125" style="1186" customWidth="1"/>
    <col min="6922" max="6922" width="15.5703125" style="1186" customWidth="1"/>
    <col min="6923" max="6923" width="15.28515625" style="1186" customWidth="1"/>
    <col min="6924" max="6924" width="13.42578125" style="1186" customWidth="1"/>
    <col min="6925" max="6926" width="15.7109375" style="1186" customWidth="1"/>
    <col min="6927" max="6927" width="16.28515625" style="1186" customWidth="1"/>
    <col min="6928" max="6929" width="16.7109375" style="1186" customWidth="1"/>
    <col min="6930" max="6930" width="13.42578125" style="1186" bestFit="1" customWidth="1"/>
    <col min="6931" max="6931" width="14.28515625" style="1186" customWidth="1"/>
    <col min="6932" max="6932" width="15.28515625" style="1186" customWidth="1"/>
    <col min="6933" max="7169" width="9.140625" style="1186"/>
    <col min="7170" max="7170" width="40.7109375" style="1186" customWidth="1"/>
    <col min="7171" max="7171" width="16.28515625" style="1186" customWidth="1"/>
    <col min="7172" max="7173" width="16.5703125" style="1186" customWidth="1"/>
    <col min="7174" max="7174" width="15.42578125" style="1186" customWidth="1"/>
    <col min="7175" max="7175" width="18.28515625" style="1186" customWidth="1"/>
    <col min="7176" max="7176" width="16.7109375" style="1186" customWidth="1"/>
    <col min="7177" max="7177" width="13.42578125" style="1186" customWidth="1"/>
    <col min="7178" max="7178" width="15.5703125" style="1186" customWidth="1"/>
    <col min="7179" max="7179" width="15.28515625" style="1186" customWidth="1"/>
    <col min="7180" max="7180" width="13.42578125" style="1186" customWidth="1"/>
    <col min="7181" max="7182" width="15.7109375" style="1186" customWidth="1"/>
    <col min="7183" max="7183" width="16.28515625" style="1186" customWidth="1"/>
    <col min="7184" max="7185" width="16.7109375" style="1186" customWidth="1"/>
    <col min="7186" max="7186" width="13.42578125" style="1186" bestFit="1" customWidth="1"/>
    <col min="7187" max="7187" width="14.28515625" style="1186" customWidth="1"/>
    <col min="7188" max="7188" width="15.28515625" style="1186" customWidth="1"/>
    <col min="7189" max="7425" width="9.140625" style="1186"/>
    <col min="7426" max="7426" width="40.7109375" style="1186" customWidth="1"/>
    <col min="7427" max="7427" width="16.28515625" style="1186" customWidth="1"/>
    <col min="7428" max="7429" width="16.5703125" style="1186" customWidth="1"/>
    <col min="7430" max="7430" width="15.42578125" style="1186" customWidth="1"/>
    <col min="7431" max="7431" width="18.28515625" style="1186" customWidth="1"/>
    <col min="7432" max="7432" width="16.7109375" style="1186" customWidth="1"/>
    <col min="7433" max="7433" width="13.42578125" style="1186" customWidth="1"/>
    <col min="7434" max="7434" width="15.5703125" style="1186" customWidth="1"/>
    <col min="7435" max="7435" width="15.28515625" style="1186" customWidth="1"/>
    <col min="7436" max="7436" width="13.42578125" style="1186" customWidth="1"/>
    <col min="7437" max="7438" width="15.7109375" style="1186" customWidth="1"/>
    <col min="7439" max="7439" width="16.28515625" style="1186" customWidth="1"/>
    <col min="7440" max="7441" width="16.7109375" style="1186" customWidth="1"/>
    <col min="7442" max="7442" width="13.42578125" style="1186" bestFit="1" customWidth="1"/>
    <col min="7443" max="7443" width="14.28515625" style="1186" customWidth="1"/>
    <col min="7444" max="7444" width="15.28515625" style="1186" customWidth="1"/>
    <col min="7445" max="7681" width="9.140625" style="1186"/>
    <col min="7682" max="7682" width="40.7109375" style="1186" customWidth="1"/>
    <col min="7683" max="7683" width="16.28515625" style="1186" customWidth="1"/>
    <col min="7684" max="7685" width="16.5703125" style="1186" customWidth="1"/>
    <col min="7686" max="7686" width="15.42578125" style="1186" customWidth="1"/>
    <col min="7687" max="7687" width="18.28515625" style="1186" customWidth="1"/>
    <col min="7688" max="7688" width="16.7109375" style="1186" customWidth="1"/>
    <col min="7689" max="7689" width="13.42578125" style="1186" customWidth="1"/>
    <col min="7690" max="7690" width="15.5703125" style="1186" customWidth="1"/>
    <col min="7691" max="7691" width="15.28515625" style="1186" customWidth="1"/>
    <col min="7692" max="7692" width="13.42578125" style="1186" customWidth="1"/>
    <col min="7693" max="7694" width="15.7109375" style="1186" customWidth="1"/>
    <col min="7695" max="7695" width="16.28515625" style="1186" customWidth="1"/>
    <col min="7696" max="7697" width="16.7109375" style="1186" customWidth="1"/>
    <col min="7698" max="7698" width="13.42578125" style="1186" bestFit="1" customWidth="1"/>
    <col min="7699" max="7699" width="14.28515625" style="1186" customWidth="1"/>
    <col min="7700" max="7700" width="15.28515625" style="1186" customWidth="1"/>
    <col min="7701" max="7937" width="9.140625" style="1186"/>
    <col min="7938" max="7938" width="40.7109375" style="1186" customWidth="1"/>
    <col min="7939" max="7939" width="16.28515625" style="1186" customWidth="1"/>
    <col min="7940" max="7941" width="16.5703125" style="1186" customWidth="1"/>
    <col min="7942" max="7942" width="15.42578125" style="1186" customWidth="1"/>
    <col min="7943" max="7943" width="18.28515625" style="1186" customWidth="1"/>
    <col min="7944" max="7944" width="16.7109375" style="1186" customWidth="1"/>
    <col min="7945" max="7945" width="13.42578125" style="1186" customWidth="1"/>
    <col min="7946" max="7946" width="15.5703125" style="1186" customWidth="1"/>
    <col min="7947" max="7947" width="15.28515625" style="1186" customWidth="1"/>
    <col min="7948" max="7948" width="13.42578125" style="1186" customWidth="1"/>
    <col min="7949" max="7950" width="15.7109375" style="1186" customWidth="1"/>
    <col min="7951" max="7951" width="16.28515625" style="1186" customWidth="1"/>
    <col min="7952" max="7953" width="16.7109375" style="1186" customWidth="1"/>
    <col min="7954" max="7954" width="13.42578125" style="1186" bestFit="1" customWidth="1"/>
    <col min="7955" max="7955" width="14.28515625" style="1186" customWidth="1"/>
    <col min="7956" max="7956" width="15.28515625" style="1186" customWidth="1"/>
    <col min="7957" max="8193" width="9.140625" style="1186"/>
    <col min="8194" max="8194" width="40.7109375" style="1186" customWidth="1"/>
    <col min="8195" max="8195" width="16.28515625" style="1186" customWidth="1"/>
    <col min="8196" max="8197" width="16.5703125" style="1186" customWidth="1"/>
    <col min="8198" max="8198" width="15.42578125" style="1186" customWidth="1"/>
    <col min="8199" max="8199" width="18.28515625" style="1186" customWidth="1"/>
    <col min="8200" max="8200" width="16.7109375" style="1186" customWidth="1"/>
    <col min="8201" max="8201" width="13.42578125" style="1186" customWidth="1"/>
    <col min="8202" max="8202" width="15.5703125" style="1186" customWidth="1"/>
    <col min="8203" max="8203" width="15.28515625" style="1186" customWidth="1"/>
    <col min="8204" max="8204" width="13.42578125" style="1186" customWidth="1"/>
    <col min="8205" max="8206" width="15.7109375" style="1186" customWidth="1"/>
    <col min="8207" max="8207" width="16.28515625" style="1186" customWidth="1"/>
    <col min="8208" max="8209" width="16.7109375" style="1186" customWidth="1"/>
    <col min="8210" max="8210" width="13.42578125" style="1186" bestFit="1" customWidth="1"/>
    <col min="8211" max="8211" width="14.28515625" style="1186" customWidth="1"/>
    <col min="8212" max="8212" width="15.28515625" style="1186" customWidth="1"/>
    <col min="8213" max="8449" width="9.140625" style="1186"/>
    <col min="8450" max="8450" width="40.7109375" style="1186" customWidth="1"/>
    <col min="8451" max="8451" width="16.28515625" style="1186" customWidth="1"/>
    <col min="8452" max="8453" width="16.5703125" style="1186" customWidth="1"/>
    <col min="8454" max="8454" width="15.42578125" style="1186" customWidth="1"/>
    <col min="8455" max="8455" width="18.28515625" style="1186" customWidth="1"/>
    <col min="8456" max="8456" width="16.7109375" style="1186" customWidth="1"/>
    <col min="8457" max="8457" width="13.42578125" style="1186" customWidth="1"/>
    <col min="8458" max="8458" width="15.5703125" style="1186" customWidth="1"/>
    <col min="8459" max="8459" width="15.28515625" style="1186" customWidth="1"/>
    <col min="8460" max="8460" width="13.42578125" style="1186" customWidth="1"/>
    <col min="8461" max="8462" width="15.7109375" style="1186" customWidth="1"/>
    <col min="8463" max="8463" width="16.28515625" style="1186" customWidth="1"/>
    <col min="8464" max="8465" width="16.7109375" style="1186" customWidth="1"/>
    <col min="8466" max="8466" width="13.42578125" style="1186" bestFit="1" customWidth="1"/>
    <col min="8467" max="8467" width="14.28515625" style="1186" customWidth="1"/>
    <col min="8468" max="8468" width="15.28515625" style="1186" customWidth="1"/>
    <col min="8469" max="8705" width="9.140625" style="1186"/>
    <col min="8706" max="8706" width="40.7109375" style="1186" customWidth="1"/>
    <col min="8707" max="8707" width="16.28515625" style="1186" customWidth="1"/>
    <col min="8708" max="8709" width="16.5703125" style="1186" customWidth="1"/>
    <col min="8710" max="8710" width="15.42578125" style="1186" customWidth="1"/>
    <col min="8711" max="8711" width="18.28515625" style="1186" customWidth="1"/>
    <col min="8712" max="8712" width="16.7109375" style="1186" customWidth="1"/>
    <col min="8713" max="8713" width="13.42578125" style="1186" customWidth="1"/>
    <col min="8714" max="8714" width="15.5703125" style="1186" customWidth="1"/>
    <col min="8715" max="8715" width="15.28515625" style="1186" customWidth="1"/>
    <col min="8716" max="8716" width="13.42578125" style="1186" customWidth="1"/>
    <col min="8717" max="8718" width="15.7109375" style="1186" customWidth="1"/>
    <col min="8719" max="8719" width="16.28515625" style="1186" customWidth="1"/>
    <col min="8720" max="8721" width="16.7109375" style="1186" customWidth="1"/>
    <col min="8722" max="8722" width="13.42578125" style="1186" bestFit="1" customWidth="1"/>
    <col min="8723" max="8723" width="14.28515625" style="1186" customWidth="1"/>
    <col min="8724" max="8724" width="15.28515625" style="1186" customWidth="1"/>
    <col min="8725" max="8961" width="9.140625" style="1186"/>
    <col min="8962" max="8962" width="40.7109375" style="1186" customWidth="1"/>
    <col min="8963" max="8963" width="16.28515625" style="1186" customWidth="1"/>
    <col min="8964" max="8965" width="16.5703125" style="1186" customWidth="1"/>
    <col min="8966" max="8966" width="15.42578125" style="1186" customWidth="1"/>
    <col min="8967" max="8967" width="18.28515625" style="1186" customWidth="1"/>
    <col min="8968" max="8968" width="16.7109375" style="1186" customWidth="1"/>
    <col min="8969" max="8969" width="13.42578125" style="1186" customWidth="1"/>
    <col min="8970" max="8970" width="15.5703125" style="1186" customWidth="1"/>
    <col min="8971" max="8971" width="15.28515625" style="1186" customWidth="1"/>
    <col min="8972" max="8972" width="13.42578125" style="1186" customWidth="1"/>
    <col min="8973" max="8974" width="15.7109375" style="1186" customWidth="1"/>
    <col min="8975" max="8975" width="16.28515625" style="1186" customWidth="1"/>
    <col min="8976" max="8977" width="16.7109375" style="1186" customWidth="1"/>
    <col min="8978" max="8978" width="13.42578125" style="1186" bestFit="1" customWidth="1"/>
    <col min="8979" max="8979" width="14.28515625" style="1186" customWidth="1"/>
    <col min="8980" max="8980" width="15.28515625" style="1186" customWidth="1"/>
    <col min="8981" max="9217" width="9.140625" style="1186"/>
    <col min="9218" max="9218" width="40.7109375" style="1186" customWidth="1"/>
    <col min="9219" max="9219" width="16.28515625" style="1186" customWidth="1"/>
    <col min="9220" max="9221" width="16.5703125" style="1186" customWidth="1"/>
    <col min="9222" max="9222" width="15.42578125" style="1186" customWidth="1"/>
    <col min="9223" max="9223" width="18.28515625" style="1186" customWidth="1"/>
    <col min="9224" max="9224" width="16.7109375" style="1186" customWidth="1"/>
    <col min="9225" max="9225" width="13.42578125" style="1186" customWidth="1"/>
    <col min="9226" max="9226" width="15.5703125" style="1186" customWidth="1"/>
    <col min="9227" max="9227" width="15.28515625" style="1186" customWidth="1"/>
    <col min="9228" max="9228" width="13.42578125" style="1186" customWidth="1"/>
    <col min="9229" max="9230" width="15.7109375" style="1186" customWidth="1"/>
    <col min="9231" max="9231" width="16.28515625" style="1186" customWidth="1"/>
    <col min="9232" max="9233" width="16.7109375" style="1186" customWidth="1"/>
    <col min="9234" max="9234" width="13.42578125" style="1186" bestFit="1" customWidth="1"/>
    <col min="9235" max="9235" width="14.28515625" style="1186" customWidth="1"/>
    <col min="9236" max="9236" width="15.28515625" style="1186" customWidth="1"/>
    <col min="9237" max="9473" width="9.140625" style="1186"/>
    <col min="9474" max="9474" width="40.7109375" style="1186" customWidth="1"/>
    <col min="9475" max="9475" width="16.28515625" style="1186" customWidth="1"/>
    <col min="9476" max="9477" width="16.5703125" style="1186" customWidth="1"/>
    <col min="9478" max="9478" width="15.42578125" style="1186" customWidth="1"/>
    <col min="9479" max="9479" width="18.28515625" style="1186" customWidth="1"/>
    <col min="9480" max="9480" width="16.7109375" style="1186" customWidth="1"/>
    <col min="9481" max="9481" width="13.42578125" style="1186" customWidth="1"/>
    <col min="9482" max="9482" width="15.5703125" style="1186" customWidth="1"/>
    <col min="9483" max="9483" width="15.28515625" style="1186" customWidth="1"/>
    <col min="9484" max="9484" width="13.42578125" style="1186" customWidth="1"/>
    <col min="9485" max="9486" width="15.7109375" style="1186" customWidth="1"/>
    <col min="9487" max="9487" width="16.28515625" style="1186" customWidth="1"/>
    <col min="9488" max="9489" width="16.7109375" style="1186" customWidth="1"/>
    <col min="9490" max="9490" width="13.42578125" style="1186" bestFit="1" customWidth="1"/>
    <col min="9491" max="9491" width="14.28515625" style="1186" customWidth="1"/>
    <col min="9492" max="9492" width="15.28515625" style="1186" customWidth="1"/>
    <col min="9493" max="9729" width="9.140625" style="1186"/>
    <col min="9730" max="9730" width="40.7109375" style="1186" customWidth="1"/>
    <col min="9731" max="9731" width="16.28515625" style="1186" customWidth="1"/>
    <col min="9732" max="9733" width="16.5703125" style="1186" customWidth="1"/>
    <col min="9734" max="9734" width="15.42578125" style="1186" customWidth="1"/>
    <col min="9735" max="9735" width="18.28515625" style="1186" customWidth="1"/>
    <col min="9736" max="9736" width="16.7109375" style="1186" customWidth="1"/>
    <col min="9737" max="9737" width="13.42578125" style="1186" customWidth="1"/>
    <col min="9738" max="9738" width="15.5703125" style="1186" customWidth="1"/>
    <col min="9739" max="9739" width="15.28515625" style="1186" customWidth="1"/>
    <col min="9740" max="9740" width="13.42578125" style="1186" customWidth="1"/>
    <col min="9741" max="9742" width="15.7109375" style="1186" customWidth="1"/>
    <col min="9743" max="9743" width="16.28515625" style="1186" customWidth="1"/>
    <col min="9744" max="9745" width="16.7109375" style="1186" customWidth="1"/>
    <col min="9746" max="9746" width="13.42578125" style="1186" bestFit="1" customWidth="1"/>
    <col min="9747" max="9747" width="14.28515625" style="1186" customWidth="1"/>
    <col min="9748" max="9748" width="15.28515625" style="1186" customWidth="1"/>
    <col min="9749" max="9985" width="9.140625" style="1186"/>
    <col min="9986" max="9986" width="40.7109375" style="1186" customWidth="1"/>
    <col min="9987" max="9987" width="16.28515625" style="1186" customWidth="1"/>
    <col min="9988" max="9989" width="16.5703125" style="1186" customWidth="1"/>
    <col min="9990" max="9990" width="15.42578125" style="1186" customWidth="1"/>
    <col min="9991" max="9991" width="18.28515625" style="1186" customWidth="1"/>
    <col min="9992" max="9992" width="16.7109375" style="1186" customWidth="1"/>
    <col min="9993" max="9993" width="13.42578125" style="1186" customWidth="1"/>
    <col min="9994" max="9994" width="15.5703125" style="1186" customWidth="1"/>
    <col min="9995" max="9995" width="15.28515625" style="1186" customWidth="1"/>
    <col min="9996" max="9996" width="13.42578125" style="1186" customWidth="1"/>
    <col min="9997" max="9998" width="15.7109375" style="1186" customWidth="1"/>
    <col min="9999" max="9999" width="16.28515625" style="1186" customWidth="1"/>
    <col min="10000" max="10001" width="16.7109375" style="1186" customWidth="1"/>
    <col min="10002" max="10002" width="13.42578125" style="1186" bestFit="1" customWidth="1"/>
    <col min="10003" max="10003" width="14.28515625" style="1186" customWidth="1"/>
    <col min="10004" max="10004" width="15.28515625" style="1186" customWidth="1"/>
    <col min="10005" max="10241" width="9.140625" style="1186"/>
    <col min="10242" max="10242" width="40.7109375" style="1186" customWidth="1"/>
    <col min="10243" max="10243" width="16.28515625" style="1186" customWidth="1"/>
    <col min="10244" max="10245" width="16.5703125" style="1186" customWidth="1"/>
    <col min="10246" max="10246" width="15.42578125" style="1186" customWidth="1"/>
    <col min="10247" max="10247" width="18.28515625" style="1186" customWidth="1"/>
    <col min="10248" max="10248" width="16.7109375" style="1186" customWidth="1"/>
    <col min="10249" max="10249" width="13.42578125" style="1186" customWidth="1"/>
    <col min="10250" max="10250" width="15.5703125" style="1186" customWidth="1"/>
    <col min="10251" max="10251" width="15.28515625" style="1186" customWidth="1"/>
    <col min="10252" max="10252" width="13.42578125" style="1186" customWidth="1"/>
    <col min="10253" max="10254" width="15.7109375" style="1186" customWidth="1"/>
    <col min="10255" max="10255" width="16.28515625" style="1186" customWidth="1"/>
    <col min="10256" max="10257" width="16.7109375" style="1186" customWidth="1"/>
    <col min="10258" max="10258" width="13.42578125" style="1186" bestFit="1" customWidth="1"/>
    <col min="10259" max="10259" width="14.28515625" style="1186" customWidth="1"/>
    <col min="10260" max="10260" width="15.28515625" style="1186" customWidth="1"/>
    <col min="10261" max="10497" width="9.140625" style="1186"/>
    <col min="10498" max="10498" width="40.7109375" style="1186" customWidth="1"/>
    <col min="10499" max="10499" width="16.28515625" style="1186" customWidth="1"/>
    <col min="10500" max="10501" width="16.5703125" style="1186" customWidth="1"/>
    <col min="10502" max="10502" width="15.42578125" style="1186" customWidth="1"/>
    <col min="10503" max="10503" width="18.28515625" style="1186" customWidth="1"/>
    <col min="10504" max="10504" width="16.7109375" style="1186" customWidth="1"/>
    <col min="10505" max="10505" width="13.42578125" style="1186" customWidth="1"/>
    <col min="10506" max="10506" width="15.5703125" style="1186" customWidth="1"/>
    <col min="10507" max="10507" width="15.28515625" style="1186" customWidth="1"/>
    <col min="10508" max="10508" width="13.42578125" style="1186" customWidth="1"/>
    <col min="10509" max="10510" width="15.7109375" style="1186" customWidth="1"/>
    <col min="10511" max="10511" width="16.28515625" style="1186" customWidth="1"/>
    <col min="10512" max="10513" width="16.7109375" style="1186" customWidth="1"/>
    <col min="10514" max="10514" width="13.42578125" style="1186" bestFit="1" customWidth="1"/>
    <col min="10515" max="10515" width="14.28515625" style="1186" customWidth="1"/>
    <col min="10516" max="10516" width="15.28515625" style="1186" customWidth="1"/>
    <col min="10517" max="10753" width="9.140625" style="1186"/>
    <col min="10754" max="10754" width="40.7109375" style="1186" customWidth="1"/>
    <col min="10755" max="10755" width="16.28515625" style="1186" customWidth="1"/>
    <col min="10756" max="10757" width="16.5703125" style="1186" customWidth="1"/>
    <col min="10758" max="10758" width="15.42578125" style="1186" customWidth="1"/>
    <col min="10759" max="10759" width="18.28515625" style="1186" customWidth="1"/>
    <col min="10760" max="10760" width="16.7109375" style="1186" customWidth="1"/>
    <col min="10761" max="10761" width="13.42578125" style="1186" customWidth="1"/>
    <col min="10762" max="10762" width="15.5703125" style="1186" customWidth="1"/>
    <col min="10763" max="10763" width="15.28515625" style="1186" customWidth="1"/>
    <col min="10764" max="10764" width="13.42578125" style="1186" customWidth="1"/>
    <col min="10765" max="10766" width="15.7109375" style="1186" customWidth="1"/>
    <col min="10767" max="10767" width="16.28515625" style="1186" customWidth="1"/>
    <col min="10768" max="10769" width="16.7109375" style="1186" customWidth="1"/>
    <col min="10770" max="10770" width="13.42578125" style="1186" bestFit="1" customWidth="1"/>
    <col min="10771" max="10771" width="14.28515625" style="1186" customWidth="1"/>
    <col min="10772" max="10772" width="15.28515625" style="1186" customWidth="1"/>
    <col min="10773" max="11009" width="9.140625" style="1186"/>
    <col min="11010" max="11010" width="40.7109375" style="1186" customWidth="1"/>
    <col min="11011" max="11011" width="16.28515625" style="1186" customWidth="1"/>
    <col min="11012" max="11013" width="16.5703125" style="1186" customWidth="1"/>
    <col min="11014" max="11014" width="15.42578125" style="1186" customWidth="1"/>
    <col min="11015" max="11015" width="18.28515625" style="1186" customWidth="1"/>
    <col min="11016" max="11016" width="16.7109375" style="1186" customWidth="1"/>
    <col min="11017" max="11017" width="13.42578125" style="1186" customWidth="1"/>
    <col min="11018" max="11018" width="15.5703125" style="1186" customWidth="1"/>
    <col min="11019" max="11019" width="15.28515625" style="1186" customWidth="1"/>
    <col min="11020" max="11020" width="13.42578125" style="1186" customWidth="1"/>
    <col min="11021" max="11022" width="15.7109375" style="1186" customWidth="1"/>
    <col min="11023" max="11023" width="16.28515625" style="1186" customWidth="1"/>
    <col min="11024" max="11025" width="16.7109375" style="1186" customWidth="1"/>
    <col min="11026" max="11026" width="13.42578125" style="1186" bestFit="1" customWidth="1"/>
    <col min="11027" max="11027" width="14.28515625" style="1186" customWidth="1"/>
    <col min="11028" max="11028" width="15.28515625" style="1186" customWidth="1"/>
    <col min="11029" max="11265" width="9.140625" style="1186"/>
    <col min="11266" max="11266" width="40.7109375" style="1186" customWidth="1"/>
    <col min="11267" max="11267" width="16.28515625" style="1186" customWidth="1"/>
    <col min="11268" max="11269" width="16.5703125" style="1186" customWidth="1"/>
    <col min="11270" max="11270" width="15.42578125" style="1186" customWidth="1"/>
    <col min="11271" max="11271" width="18.28515625" style="1186" customWidth="1"/>
    <col min="11272" max="11272" width="16.7109375" style="1186" customWidth="1"/>
    <col min="11273" max="11273" width="13.42578125" style="1186" customWidth="1"/>
    <col min="11274" max="11274" width="15.5703125" style="1186" customWidth="1"/>
    <col min="11275" max="11275" width="15.28515625" style="1186" customWidth="1"/>
    <col min="11276" max="11276" width="13.42578125" style="1186" customWidth="1"/>
    <col min="11277" max="11278" width="15.7109375" style="1186" customWidth="1"/>
    <col min="11279" max="11279" width="16.28515625" style="1186" customWidth="1"/>
    <col min="11280" max="11281" width="16.7109375" style="1186" customWidth="1"/>
    <col min="11282" max="11282" width="13.42578125" style="1186" bestFit="1" customWidth="1"/>
    <col min="11283" max="11283" width="14.28515625" style="1186" customWidth="1"/>
    <col min="11284" max="11284" width="15.28515625" style="1186" customWidth="1"/>
    <col min="11285" max="11521" width="9.140625" style="1186"/>
    <col min="11522" max="11522" width="40.7109375" style="1186" customWidth="1"/>
    <col min="11523" max="11523" width="16.28515625" style="1186" customWidth="1"/>
    <col min="11524" max="11525" width="16.5703125" style="1186" customWidth="1"/>
    <col min="11526" max="11526" width="15.42578125" style="1186" customWidth="1"/>
    <col min="11527" max="11527" width="18.28515625" style="1186" customWidth="1"/>
    <col min="11528" max="11528" width="16.7109375" style="1186" customWidth="1"/>
    <col min="11529" max="11529" width="13.42578125" style="1186" customWidth="1"/>
    <col min="11530" max="11530" width="15.5703125" style="1186" customWidth="1"/>
    <col min="11531" max="11531" width="15.28515625" style="1186" customWidth="1"/>
    <col min="11532" max="11532" width="13.42578125" style="1186" customWidth="1"/>
    <col min="11533" max="11534" width="15.7109375" style="1186" customWidth="1"/>
    <col min="11535" max="11535" width="16.28515625" style="1186" customWidth="1"/>
    <col min="11536" max="11537" width="16.7109375" style="1186" customWidth="1"/>
    <col min="11538" max="11538" width="13.42578125" style="1186" bestFit="1" customWidth="1"/>
    <col min="11539" max="11539" width="14.28515625" style="1186" customWidth="1"/>
    <col min="11540" max="11540" width="15.28515625" style="1186" customWidth="1"/>
    <col min="11541" max="11777" width="9.140625" style="1186"/>
    <col min="11778" max="11778" width="40.7109375" style="1186" customWidth="1"/>
    <col min="11779" max="11779" width="16.28515625" style="1186" customWidth="1"/>
    <col min="11780" max="11781" width="16.5703125" style="1186" customWidth="1"/>
    <col min="11782" max="11782" width="15.42578125" style="1186" customWidth="1"/>
    <col min="11783" max="11783" width="18.28515625" style="1186" customWidth="1"/>
    <col min="11784" max="11784" width="16.7109375" style="1186" customWidth="1"/>
    <col min="11785" max="11785" width="13.42578125" style="1186" customWidth="1"/>
    <col min="11786" max="11786" width="15.5703125" style="1186" customWidth="1"/>
    <col min="11787" max="11787" width="15.28515625" style="1186" customWidth="1"/>
    <col min="11788" max="11788" width="13.42578125" style="1186" customWidth="1"/>
    <col min="11789" max="11790" width="15.7109375" style="1186" customWidth="1"/>
    <col min="11791" max="11791" width="16.28515625" style="1186" customWidth="1"/>
    <col min="11792" max="11793" width="16.7109375" style="1186" customWidth="1"/>
    <col min="11794" max="11794" width="13.42578125" style="1186" bestFit="1" customWidth="1"/>
    <col min="11795" max="11795" width="14.28515625" style="1186" customWidth="1"/>
    <col min="11796" max="11796" width="15.28515625" style="1186" customWidth="1"/>
    <col min="11797" max="12033" width="9.140625" style="1186"/>
    <col min="12034" max="12034" width="40.7109375" style="1186" customWidth="1"/>
    <col min="12035" max="12035" width="16.28515625" style="1186" customWidth="1"/>
    <col min="12036" max="12037" width="16.5703125" style="1186" customWidth="1"/>
    <col min="12038" max="12038" width="15.42578125" style="1186" customWidth="1"/>
    <col min="12039" max="12039" width="18.28515625" style="1186" customWidth="1"/>
    <col min="12040" max="12040" width="16.7109375" style="1186" customWidth="1"/>
    <col min="12041" max="12041" width="13.42578125" style="1186" customWidth="1"/>
    <col min="12042" max="12042" width="15.5703125" style="1186" customWidth="1"/>
    <col min="12043" max="12043" width="15.28515625" style="1186" customWidth="1"/>
    <col min="12044" max="12044" width="13.42578125" style="1186" customWidth="1"/>
    <col min="12045" max="12046" width="15.7109375" style="1186" customWidth="1"/>
    <col min="12047" max="12047" width="16.28515625" style="1186" customWidth="1"/>
    <col min="12048" max="12049" width="16.7109375" style="1186" customWidth="1"/>
    <col min="12050" max="12050" width="13.42578125" style="1186" bestFit="1" customWidth="1"/>
    <col min="12051" max="12051" width="14.28515625" style="1186" customWidth="1"/>
    <col min="12052" max="12052" width="15.28515625" style="1186" customWidth="1"/>
    <col min="12053" max="12289" width="9.140625" style="1186"/>
    <col min="12290" max="12290" width="40.7109375" style="1186" customWidth="1"/>
    <col min="12291" max="12291" width="16.28515625" style="1186" customWidth="1"/>
    <col min="12292" max="12293" width="16.5703125" style="1186" customWidth="1"/>
    <col min="12294" max="12294" width="15.42578125" style="1186" customWidth="1"/>
    <col min="12295" max="12295" width="18.28515625" style="1186" customWidth="1"/>
    <col min="12296" max="12296" width="16.7109375" style="1186" customWidth="1"/>
    <col min="12297" max="12297" width="13.42578125" style="1186" customWidth="1"/>
    <col min="12298" max="12298" width="15.5703125" style="1186" customWidth="1"/>
    <col min="12299" max="12299" width="15.28515625" style="1186" customWidth="1"/>
    <col min="12300" max="12300" width="13.42578125" style="1186" customWidth="1"/>
    <col min="12301" max="12302" width="15.7109375" style="1186" customWidth="1"/>
    <col min="12303" max="12303" width="16.28515625" style="1186" customWidth="1"/>
    <col min="12304" max="12305" width="16.7109375" style="1186" customWidth="1"/>
    <col min="12306" max="12306" width="13.42578125" style="1186" bestFit="1" customWidth="1"/>
    <col min="12307" max="12307" width="14.28515625" style="1186" customWidth="1"/>
    <col min="12308" max="12308" width="15.28515625" style="1186" customWidth="1"/>
    <col min="12309" max="12545" width="9.140625" style="1186"/>
    <col min="12546" max="12546" width="40.7109375" style="1186" customWidth="1"/>
    <col min="12547" max="12547" width="16.28515625" style="1186" customWidth="1"/>
    <col min="12548" max="12549" width="16.5703125" style="1186" customWidth="1"/>
    <col min="12550" max="12550" width="15.42578125" style="1186" customWidth="1"/>
    <col min="12551" max="12551" width="18.28515625" style="1186" customWidth="1"/>
    <col min="12552" max="12552" width="16.7109375" style="1186" customWidth="1"/>
    <col min="12553" max="12553" width="13.42578125" style="1186" customWidth="1"/>
    <col min="12554" max="12554" width="15.5703125" style="1186" customWidth="1"/>
    <col min="12555" max="12555" width="15.28515625" style="1186" customWidth="1"/>
    <col min="12556" max="12556" width="13.42578125" style="1186" customWidth="1"/>
    <col min="12557" max="12558" width="15.7109375" style="1186" customWidth="1"/>
    <col min="12559" max="12559" width="16.28515625" style="1186" customWidth="1"/>
    <col min="12560" max="12561" width="16.7109375" style="1186" customWidth="1"/>
    <col min="12562" max="12562" width="13.42578125" style="1186" bestFit="1" customWidth="1"/>
    <col min="12563" max="12563" width="14.28515625" style="1186" customWidth="1"/>
    <col min="12564" max="12564" width="15.28515625" style="1186" customWidth="1"/>
    <col min="12565" max="12801" width="9.140625" style="1186"/>
    <col min="12802" max="12802" width="40.7109375" style="1186" customWidth="1"/>
    <col min="12803" max="12803" width="16.28515625" style="1186" customWidth="1"/>
    <col min="12804" max="12805" width="16.5703125" style="1186" customWidth="1"/>
    <col min="12806" max="12806" width="15.42578125" style="1186" customWidth="1"/>
    <col min="12807" max="12807" width="18.28515625" style="1186" customWidth="1"/>
    <col min="12808" max="12808" width="16.7109375" style="1186" customWidth="1"/>
    <col min="12809" max="12809" width="13.42578125" style="1186" customWidth="1"/>
    <col min="12810" max="12810" width="15.5703125" style="1186" customWidth="1"/>
    <col min="12811" max="12811" width="15.28515625" style="1186" customWidth="1"/>
    <col min="12812" max="12812" width="13.42578125" style="1186" customWidth="1"/>
    <col min="12813" max="12814" width="15.7109375" style="1186" customWidth="1"/>
    <col min="12815" max="12815" width="16.28515625" style="1186" customWidth="1"/>
    <col min="12816" max="12817" width="16.7109375" style="1186" customWidth="1"/>
    <col min="12818" max="12818" width="13.42578125" style="1186" bestFit="1" customWidth="1"/>
    <col min="12819" max="12819" width="14.28515625" style="1186" customWidth="1"/>
    <col min="12820" max="12820" width="15.28515625" style="1186" customWidth="1"/>
    <col min="12821" max="13057" width="9.140625" style="1186"/>
    <col min="13058" max="13058" width="40.7109375" style="1186" customWidth="1"/>
    <col min="13059" max="13059" width="16.28515625" style="1186" customWidth="1"/>
    <col min="13060" max="13061" width="16.5703125" style="1186" customWidth="1"/>
    <col min="13062" max="13062" width="15.42578125" style="1186" customWidth="1"/>
    <col min="13063" max="13063" width="18.28515625" style="1186" customWidth="1"/>
    <col min="13064" max="13064" width="16.7109375" style="1186" customWidth="1"/>
    <col min="13065" max="13065" width="13.42578125" style="1186" customWidth="1"/>
    <col min="13066" max="13066" width="15.5703125" style="1186" customWidth="1"/>
    <col min="13067" max="13067" width="15.28515625" style="1186" customWidth="1"/>
    <col min="13068" max="13068" width="13.42578125" style="1186" customWidth="1"/>
    <col min="13069" max="13070" width="15.7109375" style="1186" customWidth="1"/>
    <col min="13071" max="13071" width="16.28515625" style="1186" customWidth="1"/>
    <col min="13072" max="13073" width="16.7109375" style="1186" customWidth="1"/>
    <col min="13074" max="13074" width="13.42578125" style="1186" bestFit="1" customWidth="1"/>
    <col min="13075" max="13075" width="14.28515625" style="1186" customWidth="1"/>
    <col min="13076" max="13076" width="15.28515625" style="1186" customWidth="1"/>
    <col min="13077" max="13313" width="9.140625" style="1186"/>
    <col min="13314" max="13314" width="40.7109375" style="1186" customWidth="1"/>
    <col min="13315" max="13315" width="16.28515625" style="1186" customWidth="1"/>
    <col min="13316" max="13317" width="16.5703125" style="1186" customWidth="1"/>
    <col min="13318" max="13318" width="15.42578125" style="1186" customWidth="1"/>
    <col min="13319" max="13319" width="18.28515625" style="1186" customWidth="1"/>
    <col min="13320" max="13320" width="16.7109375" style="1186" customWidth="1"/>
    <col min="13321" max="13321" width="13.42578125" style="1186" customWidth="1"/>
    <col min="13322" max="13322" width="15.5703125" style="1186" customWidth="1"/>
    <col min="13323" max="13323" width="15.28515625" style="1186" customWidth="1"/>
    <col min="13324" max="13324" width="13.42578125" style="1186" customWidth="1"/>
    <col min="13325" max="13326" width="15.7109375" style="1186" customWidth="1"/>
    <col min="13327" max="13327" width="16.28515625" style="1186" customWidth="1"/>
    <col min="13328" max="13329" width="16.7109375" style="1186" customWidth="1"/>
    <col min="13330" max="13330" width="13.42578125" style="1186" bestFit="1" customWidth="1"/>
    <col min="13331" max="13331" width="14.28515625" style="1186" customWidth="1"/>
    <col min="13332" max="13332" width="15.28515625" style="1186" customWidth="1"/>
    <col min="13333" max="13569" width="9.140625" style="1186"/>
    <col min="13570" max="13570" width="40.7109375" style="1186" customWidth="1"/>
    <col min="13571" max="13571" width="16.28515625" style="1186" customWidth="1"/>
    <col min="13572" max="13573" width="16.5703125" style="1186" customWidth="1"/>
    <col min="13574" max="13574" width="15.42578125" style="1186" customWidth="1"/>
    <col min="13575" max="13575" width="18.28515625" style="1186" customWidth="1"/>
    <col min="13576" max="13576" width="16.7109375" style="1186" customWidth="1"/>
    <col min="13577" max="13577" width="13.42578125" style="1186" customWidth="1"/>
    <col min="13578" max="13578" width="15.5703125" style="1186" customWidth="1"/>
    <col min="13579" max="13579" width="15.28515625" style="1186" customWidth="1"/>
    <col min="13580" max="13580" width="13.42578125" style="1186" customWidth="1"/>
    <col min="13581" max="13582" width="15.7109375" style="1186" customWidth="1"/>
    <col min="13583" max="13583" width="16.28515625" style="1186" customWidth="1"/>
    <col min="13584" max="13585" width="16.7109375" style="1186" customWidth="1"/>
    <col min="13586" max="13586" width="13.42578125" style="1186" bestFit="1" customWidth="1"/>
    <col min="13587" max="13587" width="14.28515625" style="1186" customWidth="1"/>
    <col min="13588" max="13588" width="15.28515625" style="1186" customWidth="1"/>
    <col min="13589" max="13825" width="9.140625" style="1186"/>
    <col min="13826" max="13826" width="40.7109375" style="1186" customWidth="1"/>
    <col min="13827" max="13827" width="16.28515625" style="1186" customWidth="1"/>
    <col min="13828" max="13829" width="16.5703125" style="1186" customWidth="1"/>
    <col min="13830" max="13830" width="15.42578125" style="1186" customWidth="1"/>
    <col min="13831" max="13831" width="18.28515625" style="1186" customWidth="1"/>
    <col min="13832" max="13832" width="16.7109375" style="1186" customWidth="1"/>
    <col min="13833" max="13833" width="13.42578125" style="1186" customWidth="1"/>
    <col min="13834" max="13834" width="15.5703125" style="1186" customWidth="1"/>
    <col min="13835" max="13835" width="15.28515625" style="1186" customWidth="1"/>
    <col min="13836" max="13836" width="13.42578125" style="1186" customWidth="1"/>
    <col min="13837" max="13838" width="15.7109375" style="1186" customWidth="1"/>
    <col min="13839" max="13839" width="16.28515625" style="1186" customWidth="1"/>
    <col min="13840" max="13841" width="16.7109375" style="1186" customWidth="1"/>
    <col min="13842" max="13842" width="13.42578125" style="1186" bestFit="1" customWidth="1"/>
    <col min="13843" max="13843" width="14.28515625" style="1186" customWidth="1"/>
    <col min="13844" max="13844" width="15.28515625" style="1186" customWidth="1"/>
    <col min="13845" max="14081" width="9.140625" style="1186"/>
    <col min="14082" max="14082" width="40.7109375" style="1186" customWidth="1"/>
    <col min="14083" max="14083" width="16.28515625" style="1186" customWidth="1"/>
    <col min="14084" max="14085" width="16.5703125" style="1186" customWidth="1"/>
    <col min="14086" max="14086" width="15.42578125" style="1186" customWidth="1"/>
    <col min="14087" max="14087" width="18.28515625" style="1186" customWidth="1"/>
    <col min="14088" max="14088" width="16.7109375" style="1186" customWidth="1"/>
    <col min="14089" max="14089" width="13.42578125" style="1186" customWidth="1"/>
    <col min="14090" max="14090" width="15.5703125" style="1186" customWidth="1"/>
    <col min="14091" max="14091" width="15.28515625" style="1186" customWidth="1"/>
    <col min="14092" max="14092" width="13.42578125" style="1186" customWidth="1"/>
    <col min="14093" max="14094" width="15.7109375" style="1186" customWidth="1"/>
    <col min="14095" max="14095" width="16.28515625" style="1186" customWidth="1"/>
    <col min="14096" max="14097" width="16.7109375" style="1186" customWidth="1"/>
    <col min="14098" max="14098" width="13.42578125" style="1186" bestFit="1" customWidth="1"/>
    <col min="14099" max="14099" width="14.28515625" style="1186" customWidth="1"/>
    <col min="14100" max="14100" width="15.28515625" style="1186" customWidth="1"/>
    <col min="14101" max="14337" width="9.140625" style="1186"/>
    <col min="14338" max="14338" width="40.7109375" style="1186" customWidth="1"/>
    <col min="14339" max="14339" width="16.28515625" style="1186" customWidth="1"/>
    <col min="14340" max="14341" width="16.5703125" style="1186" customWidth="1"/>
    <col min="14342" max="14342" width="15.42578125" style="1186" customWidth="1"/>
    <col min="14343" max="14343" width="18.28515625" style="1186" customWidth="1"/>
    <col min="14344" max="14344" width="16.7109375" style="1186" customWidth="1"/>
    <col min="14345" max="14345" width="13.42578125" style="1186" customWidth="1"/>
    <col min="14346" max="14346" width="15.5703125" style="1186" customWidth="1"/>
    <col min="14347" max="14347" width="15.28515625" style="1186" customWidth="1"/>
    <col min="14348" max="14348" width="13.42578125" style="1186" customWidth="1"/>
    <col min="14349" max="14350" width="15.7109375" style="1186" customWidth="1"/>
    <col min="14351" max="14351" width="16.28515625" style="1186" customWidth="1"/>
    <col min="14352" max="14353" width="16.7109375" style="1186" customWidth="1"/>
    <col min="14354" max="14354" width="13.42578125" style="1186" bestFit="1" customWidth="1"/>
    <col min="14355" max="14355" width="14.28515625" style="1186" customWidth="1"/>
    <col min="14356" max="14356" width="15.28515625" style="1186" customWidth="1"/>
    <col min="14357" max="14593" width="9.140625" style="1186"/>
    <col min="14594" max="14594" width="40.7109375" style="1186" customWidth="1"/>
    <col min="14595" max="14595" width="16.28515625" style="1186" customWidth="1"/>
    <col min="14596" max="14597" width="16.5703125" style="1186" customWidth="1"/>
    <col min="14598" max="14598" width="15.42578125" style="1186" customWidth="1"/>
    <col min="14599" max="14599" width="18.28515625" style="1186" customWidth="1"/>
    <col min="14600" max="14600" width="16.7109375" style="1186" customWidth="1"/>
    <col min="14601" max="14601" width="13.42578125" style="1186" customWidth="1"/>
    <col min="14602" max="14602" width="15.5703125" style="1186" customWidth="1"/>
    <col min="14603" max="14603" width="15.28515625" style="1186" customWidth="1"/>
    <col min="14604" max="14604" width="13.42578125" style="1186" customWidth="1"/>
    <col min="14605" max="14606" width="15.7109375" style="1186" customWidth="1"/>
    <col min="14607" max="14607" width="16.28515625" style="1186" customWidth="1"/>
    <col min="14608" max="14609" width="16.7109375" style="1186" customWidth="1"/>
    <col min="14610" max="14610" width="13.42578125" style="1186" bestFit="1" customWidth="1"/>
    <col min="14611" max="14611" width="14.28515625" style="1186" customWidth="1"/>
    <col min="14612" max="14612" width="15.28515625" style="1186" customWidth="1"/>
    <col min="14613" max="14849" width="9.140625" style="1186"/>
    <col min="14850" max="14850" width="40.7109375" style="1186" customWidth="1"/>
    <col min="14851" max="14851" width="16.28515625" style="1186" customWidth="1"/>
    <col min="14852" max="14853" width="16.5703125" style="1186" customWidth="1"/>
    <col min="14854" max="14854" width="15.42578125" style="1186" customWidth="1"/>
    <col min="14855" max="14855" width="18.28515625" style="1186" customWidth="1"/>
    <col min="14856" max="14856" width="16.7109375" style="1186" customWidth="1"/>
    <col min="14857" max="14857" width="13.42578125" style="1186" customWidth="1"/>
    <col min="14858" max="14858" width="15.5703125" style="1186" customWidth="1"/>
    <col min="14859" max="14859" width="15.28515625" style="1186" customWidth="1"/>
    <col min="14860" max="14860" width="13.42578125" style="1186" customWidth="1"/>
    <col min="14861" max="14862" width="15.7109375" style="1186" customWidth="1"/>
    <col min="14863" max="14863" width="16.28515625" style="1186" customWidth="1"/>
    <col min="14864" max="14865" width="16.7109375" style="1186" customWidth="1"/>
    <col min="14866" max="14866" width="13.42578125" style="1186" bestFit="1" customWidth="1"/>
    <col min="14867" max="14867" width="14.28515625" style="1186" customWidth="1"/>
    <col min="14868" max="14868" width="15.28515625" style="1186" customWidth="1"/>
    <col min="14869" max="15105" width="9.140625" style="1186"/>
    <col min="15106" max="15106" width="40.7109375" style="1186" customWidth="1"/>
    <col min="15107" max="15107" width="16.28515625" style="1186" customWidth="1"/>
    <col min="15108" max="15109" width="16.5703125" style="1186" customWidth="1"/>
    <col min="15110" max="15110" width="15.42578125" style="1186" customWidth="1"/>
    <col min="15111" max="15111" width="18.28515625" style="1186" customWidth="1"/>
    <col min="15112" max="15112" width="16.7109375" style="1186" customWidth="1"/>
    <col min="15113" max="15113" width="13.42578125" style="1186" customWidth="1"/>
    <col min="15114" max="15114" width="15.5703125" style="1186" customWidth="1"/>
    <col min="15115" max="15115" width="15.28515625" style="1186" customWidth="1"/>
    <col min="15116" max="15116" width="13.42578125" style="1186" customWidth="1"/>
    <col min="15117" max="15118" width="15.7109375" style="1186" customWidth="1"/>
    <col min="15119" max="15119" width="16.28515625" style="1186" customWidth="1"/>
    <col min="15120" max="15121" width="16.7109375" style="1186" customWidth="1"/>
    <col min="15122" max="15122" width="13.42578125" style="1186" bestFit="1" customWidth="1"/>
    <col min="15123" max="15123" width="14.28515625" style="1186" customWidth="1"/>
    <col min="15124" max="15124" width="15.28515625" style="1186" customWidth="1"/>
    <col min="15125" max="15361" width="9.140625" style="1186"/>
    <col min="15362" max="15362" width="40.7109375" style="1186" customWidth="1"/>
    <col min="15363" max="15363" width="16.28515625" style="1186" customWidth="1"/>
    <col min="15364" max="15365" width="16.5703125" style="1186" customWidth="1"/>
    <col min="15366" max="15366" width="15.42578125" style="1186" customWidth="1"/>
    <col min="15367" max="15367" width="18.28515625" style="1186" customWidth="1"/>
    <col min="15368" max="15368" width="16.7109375" style="1186" customWidth="1"/>
    <col min="15369" max="15369" width="13.42578125" style="1186" customWidth="1"/>
    <col min="15370" max="15370" width="15.5703125" style="1186" customWidth="1"/>
    <col min="15371" max="15371" width="15.28515625" style="1186" customWidth="1"/>
    <col min="15372" max="15372" width="13.42578125" style="1186" customWidth="1"/>
    <col min="15373" max="15374" width="15.7109375" style="1186" customWidth="1"/>
    <col min="15375" max="15375" width="16.28515625" style="1186" customWidth="1"/>
    <col min="15376" max="15377" width="16.7109375" style="1186" customWidth="1"/>
    <col min="15378" max="15378" width="13.42578125" style="1186" bestFit="1" customWidth="1"/>
    <col min="15379" max="15379" width="14.28515625" style="1186" customWidth="1"/>
    <col min="15380" max="15380" width="15.28515625" style="1186" customWidth="1"/>
    <col min="15381" max="15617" width="9.140625" style="1186"/>
    <col min="15618" max="15618" width="40.7109375" style="1186" customWidth="1"/>
    <col min="15619" max="15619" width="16.28515625" style="1186" customWidth="1"/>
    <col min="15620" max="15621" width="16.5703125" style="1186" customWidth="1"/>
    <col min="15622" max="15622" width="15.42578125" style="1186" customWidth="1"/>
    <col min="15623" max="15623" width="18.28515625" style="1186" customWidth="1"/>
    <col min="15624" max="15624" width="16.7109375" style="1186" customWidth="1"/>
    <col min="15625" max="15625" width="13.42578125" style="1186" customWidth="1"/>
    <col min="15626" max="15626" width="15.5703125" style="1186" customWidth="1"/>
    <col min="15627" max="15627" width="15.28515625" style="1186" customWidth="1"/>
    <col min="15628" max="15628" width="13.42578125" style="1186" customWidth="1"/>
    <col min="15629" max="15630" width="15.7109375" style="1186" customWidth="1"/>
    <col min="15631" max="15631" width="16.28515625" style="1186" customWidth="1"/>
    <col min="15632" max="15633" width="16.7109375" style="1186" customWidth="1"/>
    <col min="15634" max="15634" width="13.42578125" style="1186" bestFit="1" customWidth="1"/>
    <col min="15635" max="15635" width="14.28515625" style="1186" customWidth="1"/>
    <col min="15636" max="15636" width="15.28515625" style="1186" customWidth="1"/>
    <col min="15637" max="15873" width="9.140625" style="1186"/>
    <col min="15874" max="15874" width="40.7109375" style="1186" customWidth="1"/>
    <col min="15875" max="15875" width="16.28515625" style="1186" customWidth="1"/>
    <col min="15876" max="15877" width="16.5703125" style="1186" customWidth="1"/>
    <col min="15878" max="15878" width="15.42578125" style="1186" customWidth="1"/>
    <col min="15879" max="15879" width="18.28515625" style="1186" customWidth="1"/>
    <col min="15880" max="15880" width="16.7109375" style="1186" customWidth="1"/>
    <col min="15881" max="15881" width="13.42578125" style="1186" customWidth="1"/>
    <col min="15882" max="15882" width="15.5703125" style="1186" customWidth="1"/>
    <col min="15883" max="15883" width="15.28515625" style="1186" customWidth="1"/>
    <col min="15884" max="15884" width="13.42578125" style="1186" customWidth="1"/>
    <col min="15885" max="15886" width="15.7109375" style="1186" customWidth="1"/>
    <col min="15887" max="15887" width="16.28515625" style="1186" customWidth="1"/>
    <col min="15888" max="15889" width="16.7109375" style="1186" customWidth="1"/>
    <col min="15890" max="15890" width="13.42578125" style="1186" bestFit="1" customWidth="1"/>
    <col min="15891" max="15891" width="14.28515625" style="1186" customWidth="1"/>
    <col min="15892" max="15892" width="15.28515625" style="1186" customWidth="1"/>
    <col min="15893" max="16129" width="9.140625" style="1186"/>
    <col min="16130" max="16130" width="40.7109375" style="1186" customWidth="1"/>
    <col min="16131" max="16131" width="16.28515625" style="1186" customWidth="1"/>
    <col min="16132" max="16133" width="16.5703125" style="1186" customWidth="1"/>
    <col min="16134" max="16134" width="15.42578125" style="1186" customWidth="1"/>
    <col min="16135" max="16135" width="18.28515625" style="1186" customWidth="1"/>
    <col min="16136" max="16136" width="16.7109375" style="1186" customWidth="1"/>
    <col min="16137" max="16137" width="13.42578125" style="1186" customWidth="1"/>
    <col min="16138" max="16138" width="15.5703125" style="1186" customWidth="1"/>
    <col min="16139" max="16139" width="15.28515625" style="1186" customWidth="1"/>
    <col min="16140" max="16140" width="13.42578125" style="1186" customWidth="1"/>
    <col min="16141" max="16142" width="15.7109375" style="1186" customWidth="1"/>
    <col min="16143" max="16143" width="16.28515625" style="1186" customWidth="1"/>
    <col min="16144" max="16145" width="16.7109375" style="1186" customWidth="1"/>
    <col min="16146" max="16146" width="13.42578125" style="1186" bestFit="1" customWidth="1"/>
    <col min="16147" max="16147" width="14.28515625" style="1186" customWidth="1"/>
    <col min="16148" max="16148" width="15.28515625" style="1186" customWidth="1"/>
    <col min="16149" max="16384" width="9.140625" style="1186"/>
  </cols>
  <sheetData>
    <row r="1" spans="1:20">
      <c r="A1" s="6260" t="s">
        <v>2336</v>
      </c>
      <c r="B1" s="6261"/>
      <c r="C1" s="6261"/>
      <c r="D1" s="6261"/>
      <c r="E1" s="6261"/>
      <c r="F1" s="6261"/>
      <c r="G1" s="6261"/>
      <c r="H1" s="6261"/>
      <c r="I1" s="6261"/>
      <c r="J1" s="6261"/>
      <c r="K1" s="6261"/>
      <c r="L1" s="6261"/>
      <c r="M1" s="6261"/>
      <c r="N1" s="6261"/>
      <c r="O1" s="6261"/>
      <c r="P1" s="6261"/>
      <c r="Q1" s="6261"/>
      <c r="R1" s="6261"/>
      <c r="S1" s="6261"/>
      <c r="T1" s="6261"/>
    </row>
    <row r="2" spans="1:20">
      <c r="A2" s="6262" t="s">
        <v>856</v>
      </c>
      <c r="B2" s="6263" t="s">
        <v>857</v>
      </c>
      <c r="C2" s="920" t="s">
        <v>858</v>
      </c>
      <c r="D2" s="6264" t="s">
        <v>859</v>
      </c>
      <c r="E2" s="6264"/>
      <c r="F2" s="6265" t="s">
        <v>975</v>
      </c>
      <c r="G2" s="6265"/>
      <c r="H2" s="6265"/>
      <c r="I2" s="6265" t="s">
        <v>861</v>
      </c>
      <c r="J2" s="6265"/>
      <c r="K2" s="6265"/>
      <c r="L2" s="6265" t="s">
        <v>862</v>
      </c>
      <c r="M2" s="6265"/>
      <c r="N2" s="6265"/>
      <c r="O2" s="6265" t="s">
        <v>1005</v>
      </c>
      <c r="P2" s="6265"/>
      <c r="Q2" s="6265"/>
      <c r="R2" s="6266" t="s">
        <v>1006</v>
      </c>
      <c r="S2" s="6266"/>
      <c r="T2" s="6266"/>
    </row>
    <row r="3" spans="1:20">
      <c r="A3" s="6262"/>
      <c r="B3" s="6263"/>
      <c r="C3" s="920" t="s">
        <v>865</v>
      </c>
      <c r="D3" s="1326" t="s">
        <v>866</v>
      </c>
      <c r="E3" s="1326" t="s">
        <v>867</v>
      </c>
      <c r="F3" s="1327" t="s">
        <v>868</v>
      </c>
      <c r="G3" s="1327" t="s">
        <v>869</v>
      </c>
      <c r="H3" s="1327" t="s">
        <v>499</v>
      </c>
      <c r="I3" s="1327" t="s">
        <v>868</v>
      </c>
      <c r="J3" s="1327" t="s">
        <v>869</v>
      </c>
      <c r="K3" s="1327" t="s">
        <v>499</v>
      </c>
      <c r="L3" s="1327" t="s">
        <v>868</v>
      </c>
      <c r="M3" s="1327" t="s">
        <v>869</v>
      </c>
      <c r="N3" s="1327" t="s">
        <v>499</v>
      </c>
      <c r="O3" s="1327" t="s">
        <v>868</v>
      </c>
      <c r="P3" s="1327" t="s">
        <v>869</v>
      </c>
      <c r="Q3" s="1327" t="s">
        <v>499</v>
      </c>
      <c r="R3" s="1760" t="s">
        <v>868</v>
      </c>
      <c r="S3" s="1760" t="s">
        <v>869</v>
      </c>
      <c r="T3" s="1760" t="s">
        <v>499</v>
      </c>
    </row>
    <row r="4" spans="1:20">
      <c r="A4" s="1330" t="s">
        <v>870</v>
      </c>
      <c r="B4" s="1761" t="s">
        <v>871</v>
      </c>
      <c r="C4" s="1379"/>
      <c r="D4" s="1762"/>
      <c r="E4" s="1762"/>
      <c r="F4" s="1763"/>
      <c r="G4" s="1763"/>
      <c r="H4" s="1764"/>
      <c r="I4" s="1763"/>
      <c r="J4" s="1763"/>
      <c r="K4" s="1763"/>
      <c r="L4" s="1763"/>
      <c r="M4" s="1763"/>
      <c r="N4" s="1763"/>
      <c r="O4" s="1763"/>
      <c r="P4" s="1763"/>
      <c r="Q4" s="1763"/>
      <c r="R4" s="1765"/>
      <c r="S4" s="1765"/>
      <c r="T4" s="1765"/>
    </row>
    <row r="5" spans="1:20">
      <c r="A5" s="6270">
        <v>1</v>
      </c>
      <c r="B5" s="6268" t="s">
        <v>872</v>
      </c>
      <c r="C5" s="1766">
        <v>0.1075</v>
      </c>
      <c r="D5" s="1317" t="s">
        <v>982</v>
      </c>
      <c r="E5" s="1317" t="s">
        <v>983</v>
      </c>
      <c r="F5" s="1767">
        <v>0</v>
      </c>
      <c r="G5" s="1767">
        <f>(H5)</f>
        <v>815</v>
      </c>
      <c r="H5" s="1768">
        <v>815</v>
      </c>
      <c r="I5" s="1767">
        <v>0</v>
      </c>
      <c r="J5" s="1767">
        <f>(K5)</f>
        <v>0</v>
      </c>
      <c r="K5" s="1768">
        <v>0</v>
      </c>
      <c r="L5" s="1767">
        <v>0</v>
      </c>
      <c r="M5" s="1767">
        <f>(N5)</f>
        <v>815</v>
      </c>
      <c r="N5" s="1768">
        <v>815</v>
      </c>
      <c r="O5" s="1767">
        <v>0</v>
      </c>
      <c r="P5" s="1767">
        <f>(Q5)</f>
        <v>0</v>
      </c>
      <c r="Q5" s="1768">
        <f t="shared" ref="Q5:Q42" si="0">(H5+K5-N5)</f>
        <v>0</v>
      </c>
      <c r="R5" s="1767">
        <v>0</v>
      </c>
      <c r="S5" s="1767">
        <v>6.8</v>
      </c>
      <c r="T5" s="1768">
        <v>6.8</v>
      </c>
    </row>
    <row r="6" spans="1:20">
      <c r="A6" s="6270"/>
      <c r="B6" s="6268"/>
      <c r="C6" s="1766">
        <v>0.1075</v>
      </c>
      <c r="D6" s="1317" t="s">
        <v>984</v>
      </c>
      <c r="E6" s="1317" t="s">
        <v>985</v>
      </c>
      <c r="F6" s="1767">
        <v>0</v>
      </c>
      <c r="G6" s="1767">
        <f>(H6)</f>
        <v>1650</v>
      </c>
      <c r="H6" s="1768">
        <v>1650</v>
      </c>
      <c r="I6" s="1767">
        <v>0</v>
      </c>
      <c r="J6" s="1767">
        <f>(K6)</f>
        <v>0</v>
      </c>
      <c r="K6" s="1768">
        <v>0</v>
      </c>
      <c r="L6" s="1767">
        <v>0</v>
      </c>
      <c r="M6" s="1767">
        <f>(N6)</f>
        <v>1650</v>
      </c>
      <c r="N6" s="1768">
        <v>1650</v>
      </c>
      <c r="O6" s="1767">
        <v>0</v>
      </c>
      <c r="P6" s="1767">
        <f>(Q6)</f>
        <v>0</v>
      </c>
      <c r="Q6" s="1768">
        <f t="shared" si="0"/>
        <v>0</v>
      </c>
      <c r="R6" s="1767">
        <v>0</v>
      </c>
      <c r="S6" s="1767">
        <v>21.259999999999998</v>
      </c>
      <c r="T6" s="1768">
        <v>21.259999999999998</v>
      </c>
    </row>
    <row r="7" spans="1:20">
      <c r="A7" s="6270"/>
      <c r="B7" s="6268"/>
      <c r="C7" s="1766">
        <v>0.1075</v>
      </c>
      <c r="D7" s="1317" t="s">
        <v>986</v>
      </c>
      <c r="E7" s="1317" t="s">
        <v>987</v>
      </c>
      <c r="F7" s="1767">
        <v>0</v>
      </c>
      <c r="G7" s="1767">
        <f>(H7)</f>
        <v>2485</v>
      </c>
      <c r="H7" s="1768">
        <v>2485</v>
      </c>
      <c r="I7" s="1767">
        <v>0</v>
      </c>
      <c r="J7" s="1767">
        <f>(K7)</f>
        <v>0</v>
      </c>
      <c r="K7" s="1768">
        <v>0</v>
      </c>
      <c r="L7" s="1767">
        <v>0</v>
      </c>
      <c r="M7" s="1767">
        <f>(N7)</f>
        <v>2485</v>
      </c>
      <c r="N7" s="1768">
        <v>2485</v>
      </c>
      <c r="O7" s="1767">
        <v>0</v>
      </c>
      <c r="P7" s="1767">
        <f>(Q7)</f>
        <v>0</v>
      </c>
      <c r="Q7" s="1768">
        <f t="shared" si="0"/>
        <v>0</v>
      </c>
      <c r="R7" s="1767">
        <v>0</v>
      </c>
      <c r="S7" s="1767">
        <v>51.11</v>
      </c>
      <c r="T7" s="1768">
        <v>51.11</v>
      </c>
    </row>
    <row r="8" spans="1:20">
      <c r="A8" s="6270"/>
      <c r="B8" s="6268"/>
      <c r="C8" s="1766">
        <v>0.1075</v>
      </c>
      <c r="D8" s="1317" t="s">
        <v>873</v>
      </c>
      <c r="E8" s="1317" t="s">
        <v>874</v>
      </c>
      <c r="F8" s="1767">
        <v>0</v>
      </c>
      <c r="G8" s="1767">
        <f>H8</f>
        <v>3320</v>
      </c>
      <c r="H8" s="1768">
        <v>3320</v>
      </c>
      <c r="I8" s="1767">
        <v>0</v>
      </c>
      <c r="J8" s="1767">
        <f>K8</f>
        <v>0</v>
      </c>
      <c r="K8" s="1768">
        <v>0</v>
      </c>
      <c r="L8" s="1767">
        <v>0</v>
      </c>
      <c r="M8" s="1767">
        <f>N8</f>
        <v>2505</v>
      </c>
      <c r="N8" s="1768">
        <v>2505</v>
      </c>
      <c r="O8" s="1767">
        <v>0</v>
      </c>
      <c r="P8" s="1767">
        <f>Q8</f>
        <v>815</v>
      </c>
      <c r="Q8" s="1768">
        <f>(H8+K8-N8)</f>
        <v>815</v>
      </c>
      <c r="R8" s="1767">
        <v>0</v>
      </c>
      <c r="S8" s="1767">
        <v>70.17</v>
      </c>
      <c r="T8" s="1768">
        <v>70.17</v>
      </c>
    </row>
    <row r="9" spans="1:20">
      <c r="A9" s="6270"/>
      <c r="B9" s="6268"/>
      <c r="C9" s="1766">
        <v>0.1075</v>
      </c>
      <c r="D9" s="1317" t="s">
        <v>875</v>
      </c>
      <c r="E9" s="1317" t="s">
        <v>876</v>
      </c>
      <c r="F9" s="1767">
        <v>0</v>
      </c>
      <c r="G9" s="1767">
        <f>(H9)</f>
        <v>4155</v>
      </c>
      <c r="H9" s="1768">
        <v>4155</v>
      </c>
      <c r="I9" s="1767">
        <v>0</v>
      </c>
      <c r="J9" s="1767">
        <f>(K9)</f>
        <v>0</v>
      </c>
      <c r="K9" s="1768">
        <v>0</v>
      </c>
      <c r="L9" s="1767">
        <v>0</v>
      </c>
      <c r="M9" s="1767">
        <f>(N9)</f>
        <v>2505</v>
      </c>
      <c r="N9" s="1768">
        <v>2505</v>
      </c>
      <c r="O9" s="1767">
        <v>0</v>
      </c>
      <c r="P9" s="1767">
        <f>(Q9)</f>
        <v>1650</v>
      </c>
      <c r="Q9" s="1768">
        <f t="shared" si="0"/>
        <v>1650</v>
      </c>
      <c r="R9" s="1767">
        <v>0</v>
      </c>
      <c r="S9" s="1767">
        <v>92.740000000000009</v>
      </c>
      <c r="T9" s="1768">
        <v>92.740000000000009</v>
      </c>
    </row>
    <row r="10" spans="1:20">
      <c r="A10" s="6270"/>
      <c r="B10" s="6268"/>
      <c r="C10" s="1766">
        <v>0.1075</v>
      </c>
      <c r="D10" s="1317" t="s">
        <v>877</v>
      </c>
      <c r="E10" s="1317" t="s">
        <v>878</v>
      </c>
      <c r="F10" s="1767">
        <f>H10</f>
        <v>4990</v>
      </c>
      <c r="G10" s="1767">
        <v>0</v>
      </c>
      <c r="H10" s="1768">
        <v>4990</v>
      </c>
      <c r="I10" s="1767">
        <f>K10</f>
        <v>0</v>
      </c>
      <c r="J10" s="1767">
        <v>0</v>
      </c>
      <c r="K10" s="1768">
        <v>0</v>
      </c>
      <c r="L10" s="1767">
        <f>N10</f>
        <v>2505</v>
      </c>
      <c r="M10" s="1767">
        <v>0</v>
      </c>
      <c r="N10" s="1768">
        <v>2505</v>
      </c>
      <c r="O10" s="1767">
        <f>Q10</f>
        <v>2485</v>
      </c>
      <c r="P10" s="1767">
        <v>0</v>
      </c>
      <c r="Q10" s="1768">
        <f t="shared" si="0"/>
        <v>2485</v>
      </c>
      <c r="R10" s="1767">
        <v>110.14</v>
      </c>
      <c r="S10" s="1767">
        <v>0</v>
      </c>
      <c r="T10" s="1768">
        <v>110.14</v>
      </c>
    </row>
    <row r="11" spans="1:20">
      <c r="A11" s="6270"/>
      <c r="B11" s="6268"/>
      <c r="C11" s="1766">
        <v>0.1075</v>
      </c>
      <c r="D11" s="1317" t="s">
        <v>879</v>
      </c>
      <c r="E11" s="1317" t="s">
        <v>880</v>
      </c>
      <c r="F11" s="1767">
        <f>H11</f>
        <v>4990</v>
      </c>
      <c r="G11" s="1767">
        <v>0</v>
      </c>
      <c r="H11" s="1768">
        <v>4990</v>
      </c>
      <c r="I11" s="1767">
        <f>K11</f>
        <v>0</v>
      </c>
      <c r="J11" s="1767">
        <v>0</v>
      </c>
      <c r="K11" s="1768">
        <v>0</v>
      </c>
      <c r="L11" s="1767">
        <f>N11</f>
        <v>2505</v>
      </c>
      <c r="M11" s="1767">
        <v>0</v>
      </c>
      <c r="N11" s="1768">
        <v>2505</v>
      </c>
      <c r="O11" s="1767">
        <f>Q11</f>
        <v>2485</v>
      </c>
      <c r="P11" s="1767">
        <v>0</v>
      </c>
      <c r="Q11" s="1768">
        <f t="shared" si="0"/>
        <v>2485</v>
      </c>
      <c r="R11" s="1767">
        <v>111.72</v>
      </c>
      <c r="S11" s="1767">
        <v>0</v>
      </c>
      <c r="T11" s="1768">
        <v>111.72</v>
      </c>
    </row>
    <row r="12" spans="1:20">
      <c r="A12" s="6270"/>
      <c r="B12" s="6268"/>
      <c r="C12" s="1766">
        <v>0.1075</v>
      </c>
      <c r="D12" s="1317" t="s">
        <v>881</v>
      </c>
      <c r="E12" s="1317" t="s">
        <v>882</v>
      </c>
      <c r="F12" s="1767">
        <v>0</v>
      </c>
      <c r="G12" s="1767">
        <f>H12</f>
        <v>5825</v>
      </c>
      <c r="H12" s="1768">
        <v>5825</v>
      </c>
      <c r="I12" s="1767">
        <v>0</v>
      </c>
      <c r="J12" s="1767">
        <f>(K12)</f>
        <v>0</v>
      </c>
      <c r="K12" s="1768">
        <v>0</v>
      </c>
      <c r="L12" s="1767">
        <v>0</v>
      </c>
      <c r="M12" s="1767">
        <f>N12</f>
        <v>2505</v>
      </c>
      <c r="N12" s="1768">
        <v>2505</v>
      </c>
      <c r="O12" s="1767">
        <v>0</v>
      </c>
      <c r="P12" s="1767">
        <f>Q12</f>
        <v>3320</v>
      </c>
      <c r="Q12" s="1768">
        <f t="shared" si="0"/>
        <v>3320</v>
      </c>
      <c r="R12" s="1767">
        <v>0</v>
      </c>
      <c r="S12" s="1767">
        <v>133.37</v>
      </c>
      <c r="T12" s="1768">
        <v>133.37</v>
      </c>
    </row>
    <row r="13" spans="1:20">
      <c r="A13" s="6270"/>
      <c r="B13" s="6268"/>
      <c r="C13" s="1766">
        <v>0.1075</v>
      </c>
      <c r="D13" s="1317" t="s">
        <v>883</v>
      </c>
      <c r="E13" s="1317" t="s">
        <v>884</v>
      </c>
      <c r="F13" s="1767">
        <v>0</v>
      </c>
      <c r="G13" s="1767">
        <f>H13</f>
        <v>5825</v>
      </c>
      <c r="H13" s="1768">
        <v>5825</v>
      </c>
      <c r="I13" s="1767">
        <v>0</v>
      </c>
      <c r="J13" s="1767">
        <f>(K13)</f>
        <v>0</v>
      </c>
      <c r="K13" s="1768">
        <v>0</v>
      </c>
      <c r="L13" s="1767">
        <v>0</v>
      </c>
      <c r="M13" s="1767">
        <f>N13</f>
        <v>2505</v>
      </c>
      <c r="N13" s="1768">
        <v>2505</v>
      </c>
      <c r="O13" s="1767">
        <v>0</v>
      </c>
      <c r="P13" s="1767">
        <f>Q13</f>
        <v>3320</v>
      </c>
      <c r="Q13" s="1768">
        <f t="shared" si="0"/>
        <v>3320</v>
      </c>
      <c r="R13" s="1767">
        <v>0</v>
      </c>
      <c r="S13" s="1767">
        <v>136.32</v>
      </c>
      <c r="T13" s="1768">
        <v>136.32</v>
      </c>
    </row>
    <row r="14" spans="1:20">
      <c r="A14" s="6270"/>
      <c r="B14" s="6268"/>
      <c r="C14" s="1766">
        <v>0.1075</v>
      </c>
      <c r="D14" s="1317" t="s">
        <v>885</v>
      </c>
      <c r="E14" s="1317" t="s">
        <v>886</v>
      </c>
      <c r="F14" s="1767">
        <v>0</v>
      </c>
      <c r="G14" s="1767">
        <f>H14</f>
        <v>6660</v>
      </c>
      <c r="H14" s="1768">
        <v>6660</v>
      </c>
      <c r="I14" s="1767">
        <v>0</v>
      </c>
      <c r="J14" s="1767">
        <f t="shared" ref="J14:J19" si="1">K14</f>
        <v>0</v>
      </c>
      <c r="K14" s="1768">
        <v>0</v>
      </c>
      <c r="L14" s="1767">
        <v>0</v>
      </c>
      <c r="M14" s="1767">
        <f>N14</f>
        <v>2505</v>
      </c>
      <c r="N14" s="1768">
        <v>2505</v>
      </c>
      <c r="O14" s="1767">
        <v>0</v>
      </c>
      <c r="P14" s="1767">
        <f>Q14</f>
        <v>4155</v>
      </c>
      <c r="Q14" s="1768">
        <f t="shared" si="0"/>
        <v>4155</v>
      </c>
      <c r="R14" s="1767">
        <v>0</v>
      </c>
      <c r="S14" s="1767">
        <v>158.97999999999999</v>
      </c>
      <c r="T14" s="1768">
        <v>158.97999999999999</v>
      </c>
    </row>
    <row r="15" spans="1:20">
      <c r="A15" s="6270"/>
      <c r="B15" s="6268"/>
      <c r="C15" s="1766">
        <v>0.1075</v>
      </c>
      <c r="D15" s="1317" t="s">
        <v>887</v>
      </c>
      <c r="E15" s="1317" t="s">
        <v>888</v>
      </c>
      <c r="F15" s="1767">
        <v>0</v>
      </c>
      <c r="G15" s="1767">
        <f>H15</f>
        <v>7495</v>
      </c>
      <c r="H15" s="1768">
        <v>7495</v>
      </c>
      <c r="I15" s="1767">
        <v>0</v>
      </c>
      <c r="J15" s="1767">
        <f t="shared" si="1"/>
        <v>0</v>
      </c>
      <c r="K15" s="1768">
        <v>0</v>
      </c>
      <c r="L15" s="1767">
        <v>0</v>
      </c>
      <c r="M15" s="1767">
        <f>N15</f>
        <v>2505</v>
      </c>
      <c r="N15" s="1768">
        <v>2505</v>
      </c>
      <c r="O15" s="1767">
        <v>0</v>
      </c>
      <c r="P15" s="1767">
        <f>Q15</f>
        <v>4990</v>
      </c>
      <c r="Q15" s="1768">
        <f t="shared" si="0"/>
        <v>4990</v>
      </c>
      <c r="R15" s="1767">
        <v>0</v>
      </c>
      <c r="S15" s="1767">
        <v>178.12</v>
      </c>
      <c r="T15" s="1768">
        <v>178.12</v>
      </c>
    </row>
    <row r="16" spans="1:20">
      <c r="A16" s="6270"/>
      <c r="B16" s="6268"/>
      <c r="C16" s="1766">
        <v>0.1075</v>
      </c>
      <c r="D16" s="1317" t="s">
        <v>889</v>
      </c>
      <c r="E16" s="1317" t="s">
        <v>890</v>
      </c>
      <c r="F16" s="1767">
        <v>0</v>
      </c>
      <c r="G16" s="1767">
        <f>H16</f>
        <v>8330</v>
      </c>
      <c r="H16" s="1768">
        <v>8330</v>
      </c>
      <c r="I16" s="1767">
        <v>0</v>
      </c>
      <c r="J16" s="1767">
        <f t="shared" si="1"/>
        <v>0</v>
      </c>
      <c r="K16" s="1768">
        <v>0</v>
      </c>
      <c r="L16" s="1767">
        <v>0</v>
      </c>
      <c r="M16" s="1767">
        <f>N16</f>
        <v>2505</v>
      </c>
      <c r="N16" s="1768">
        <v>2505</v>
      </c>
      <c r="O16" s="1767">
        <v>0</v>
      </c>
      <c r="P16" s="1767">
        <f>Q16</f>
        <v>5825</v>
      </c>
      <c r="Q16" s="1768">
        <f t="shared" si="0"/>
        <v>5825</v>
      </c>
      <c r="R16" s="1767">
        <v>0</v>
      </c>
      <c r="S16" s="1767">
        <v>202.95000000000002</v>
      </c>
      <c r="T16" s="1768">
        <v>202.95000000000002</v>
      </c>
    </row>
    <row r="17" spans="1:20">
      <c r="A17" s="6270"/>
      <c r="B17" s="6268"/>
      <c r="C17" s="1766">
        <v>0.105</v>
      </c>
      <c r="D17" s="1317" t="s">
        <v>891</v>
      </c>
      <c r="E17" s="1317" t="s">
        <v>892</v>
      </c>
      <c r="F17" s="1767">
        <v>0</v>
      </c>
      <c r="G17" s="1767">
        <f>(H17)</f>
        <v>9165</v>
      </c>
      <c r="H17" s="1768">
        <v>9165</v>
      </c>
      <c r="I17" s="1767">
        <v>0</v>
      </c>
      <c r="J17" s="1767">
        <f t="shared" si="1"/>
        <v>0</v>
      </c>
      <c r="K17" s="1768">
        <v>0</v>
      </c>
      <c r="L17" s="1767">
        <v>0</v>
      </c>
      <c r="M17" s="1767">
        <f>(N17)</f>
        <v>2505</v>
      </c>
      <c r="N17" s="1768">
        <v>2505</v>
      </c>
      <c r="O17" s="1767">
        <v>0</v>
      </c>
      <c r="P17" s="1767">
        <f>(Q17)</f>
        <v>6660</v>
      </c>
      <c r="Q17" s="1768">
        <f t="shared" si="0"/>
        <v>6660</v>
      </c>
      <c r="R17" s="1767">
        <v>0</v>
      </c>
      <c r="S17" s="1767">
        <v>222.31</v>
      </c>
      <c r="T17" s="1768">
        <v>222.31</v>
      </c>
    </row>
    <row r="18" spans="1:20">
      <c r="A18" s="6270"/>
      <c r="B18" s="6268"/>
      <c r="C18" s="1766">
        <v>0.105</v>
      </c>
      <c r="D18" s="1317" t="s">
        <v>893</v>
      </c>
      <c r="E18" s="1317" t="s">
        <v>894</v>
      </c>
      <c r="F18" s="1767">
        <v>0</v>
      </c>
      <c r="G18" s="1767">
        <f>(H18)</f>
        <v>9165</v>
      </c>
      <c r="H18" s="1768">
        <v>9165</v>
      </c>
      <c r="I18" s="1767">
        <v>0</v>
      </c>
      <c r="J18" s="1767">
        <f t="shared" si="1"/>
        <v>0</v>
      </c>
      <c r="K18" s="1768">
        <v>0</v>
      </c>
      <c r="L18" s="1767">
        <v>0</v>
      </c>
      <c r="M18" s="1767">
        <f>(N18)</f>
        <v>2505</v>
      </c>
      <c r="N18" s="1768">
        <v>2505</v>
      </c>
      <c r="O18" s="1767">
        <v>0</v>
      </c>
      <c r="P18" s="1767">
        <f>(Q18)</f>
        <v>6660</v>
      </c>
      <c r="Q18" s="1768">
        <f t="shared" si="0"/>
        <v>6660</v>
      </c>
      <c r="R18" s="1767">
        <v>0</v>
      </c>
      <c r="S18" s="1767">
        <v>221.22000000000003</v>
      </c>
      <c r="T18" s="1768">
        <v>221.22000000000003</v>
      </c>
    </row>
    <row r="19" spans="1:20">
      <c r="A19" s="6270"/>
      <c r="B19" s="6268"/>
      <c r="C19" s="1766">
        <v>0.105</v>
      </c>
      <c r="D19" s="1317" t="s">
        <v>895</v>
      </c>
      <c r="E19" s="1317" t="s">
        <v>896</v>
      </c>
      <c r="F19" s="1767">
        <v>0</v>
      </c>
      <c r="G19" s="1767">
        <f>H19</f>
        <v>10000</v>
      </c>
      <c r="H19" s="1768">
        <v>10000</v>
      </c>
      <c r="I19" s="1767">
        <v>0</v>
      </c>
      <c r="J19" s="1767">
        <f t="shared" si="1"/>
        <v>0</v>
      </c>
      <c r="K19" s="1768">
        <v>0</v>
      </c>
      <c r="L19" s="1767">
        <v>0</v>
      </c>
      <c r="M19" s="1767">
        <f>N19</f>
        <v>2505</v>
      </c>
      <c r="N19" s="1768">
        <v>2505</v>
      </c>
      <c r="O19" s="1767">
        <v>0</v>
      </c>
      <c r="P19" s="1767">
        <f t="shared" ref="P19:P24" si="2">Q19</f>
        <v>7495</v>
      </c>
      <c r="Q19" s="1768">
        <f t="shared" si="0"/>
        <v>7495</v>
      </c>
      <c r="R19" s="1767">
        <v>0</v>
      </c>
      <c r="S19" s="1767">
        <v>247.63</v>
      </c>
      <c r="T19" s="1768">
        <v>247.63</v>
      </c>
    </row>
    <row r="20" spans="1:20">
      <c r="A20" s="6270"/>
      <c r="B20" s="6268"/>
      <c r="C20" s="1766">
        <v>0.105</v>
      </c>
      <c r="D20" s="1317" t="s">
        <v>897</v>
      </c>
      <c r="E20" s="1317" t="s">
        <v>898</v>
      </c>
      <c r="F20" s="1767">
        <v>0</v>
      </c>
      <c r="G20" s="1767">
        <v>0</v>
      </c>
      <c r="H20" s="1768">
        <v>0</v>
      </c>
      <c r="I20" s="1767">
        <v>0</v>
      </c>
      <c r="J20" s="1767">
        <v>10000</v>
      </c>
      <c r="K20" s="1768">
        <v>10000</v>
      </c>
      <c r="L20" s="1767">
        <v>0</v>
      </c>
      <c r="M20" s="1767">
        <f>N20</f>
        <v>1670</v>
      </c>
      <c r="N20" s="1768">
        <v>1670</v>
      </c>
      <c r="O20" s="1767">
        <v>0</v>
      </c>
      <c r="P20" s="1767">
        <f t="shared" si="2"/>
        <v>8330</v>
      </c>
      <c r="Q20" s="1768">
        <f>(H20+K20-N20)</f>
        <v>8330</v>
      </c>
      <c r="R20" s="1767">
        <v>0</v>
      </c>
      <c r="S20" s="1767">
        <v>173</v>
      </c>
      <c r="T20" s="1768">
        <v>173</v>
      </c>
    </row>
    <row r="21" spans="1:20">
      <c r="A21" s="6270"/>
      <c r="B21" s="6268"/>
      <c r="C21" s="1766">
        <v>0.105</v>
      </c>
      <c r="D21" s="1317" t="s">
        <v>899</v>
      </c>
      <c r="E21" s="1317" t="s">
        <v>900</v>
      </c>
      <c r="F21" s="1767">
        <v>0</v>
      </c>
      <c r="G21" s="1767">
        <v>0</v>
      </c>
      <c r="H21" s="1768">
        <v>0</v>
      </c>
      <c r="I21" s="1767">
        <v>0</v>
      </c>
      <c r="J21" s="1767">
        <v>10000</v>
      </c>
      <c r="K21" s="1768">
        <v>10000</v>
      </c>
      <c r="L21" s="1767">
        <v>0</v>
      </c>
      <c r="M21" s="1767">
        <f>N21</f>
        <v>1670</v>
      </c>
      <c r="N21" s="1768">
        <v>1670</v>
      </c>
      <c r="O21" s="1767">
        <v>0</v>
      </c>
      <c r="P21" s="1767">
        <f t="shared" si="2"/>
        <v>8330</v>
      </c>
      <c r="Q21" s="1768">
        <f>(H21+K21-N21)</f>
        <v>8330</v>
      </c>
      <c r="R21" s="1767">
        <v>0</v>
      </c>
      <c r="S21" s="1767">
        <v>172.69</v>
      </c>
      <c r="T21" s="1768">
        <v>172.69</v>
      </c>
    </row>
    <row r="22" spans="1:20">
      <c r="A22" s="6270"/>
      <c r="B22" s="6268"/>
      <c r="C22" s="1766">
        <v>0.105</v>
      </c>
      <c r="D22" s="1317" t="s">
        <v>901</v>
      </c>
      <c r="E22" s="1317" t="s">
        <v>902</v>
      </c>
      <c r="F22" s="1767">
        <v>0</v>
      </c>
      <c r="G22" s="1767">
        <v>0</v>
      </c>
      <c r="H22" s="1768">
        <v>0</v>
      </c>
      <c r="I22" s="1767">
        <v>0</v>
      </c>
      <c r="J22" s="1767">
        <v>10000</v>
      </c>
      <c r="K22" s="1768">
        <v>10000</v>
      </c>
      <c r="L22" s="1767">
        <v>0</v>
      </c>
      <c r="M22" s="1767">
        <f>N22</f>
        <v>0</v>
      </c>
      <c r="N22" s="1768">
        <v>0</v>
      </c>
      <c r="O22" s="1767">
        <v>0</v>
      </c>
      <c r="P22" s="1767">
        <f t="shared" si="2"/>
        <v>10000</v>
      </c>
      <c r="Q22" s="1768">
        <f>(H22+K22-N22)</f>
        <v>10000</v>
      </c>
      <c r="R22" s="1767">
        <v>0</v>
      </c>
      <c r="S22" s="1767">
        <v>0</v>
      </c>
      <c r="T22" s="1768">
        <v>0</v>
      </c>
    </row>
    <row r="23" spans="1:20">
      <c r="A23" s="6270">
        <v>2</v>
      </c>
      <c r="B23" s="6268" t="s">
        <v>905</v>
      </c>
      <c r="C23" s="1766">
        <v>0.1065</v>
      </c>
      <c r="D23" s="1317" t="s">
        <v>990</v>
      </c>
      <c r="E23" s="1317" t="s">
        <v>899</v>
      </c>
      <c r="F23" s="1767">
        <v>0</v>
      </c>
      <c r="G23" s="1767">
        <f>(H23)</f>
        <v>875</v>
      </c>
      <c r="H23" s="1768">
        <v>875</v>
      </c>
      <c r="I23" s="1767">
        <v>0</v>
      </c>
      <c r="J23" s="1767">
        <f>(K23)</f>
        <v>0</v>
      </c>
      <c r="K23" s="1768">
        <v>0</v>
      </c>
      <c r="L23" s="1767">
        <v>0</v>
      </c>
      <c r="M23" s="1767">
        <f>(N23)</f>
        <v>875</v>
      </c>
      <c r="N23" s="1768">
        <v>875</v>
      </c>
      <c r="O23" s="1767">
        <v>0</v>
      </c>
      <c r="P23" s="1767">
        <f t="shared" si="2"/>
        <v>0</v>
      </c>
      <c r="Q23" s="1768">
        <f t="shared" si="0"/>
        <v>0</v>
      </c>
      <c r="R23" s="1768">
        <v>0</v>
      </c>
      <c r="S23" s="1768">
        <v>1.37</v>
      </c>
      <c r="T23" s="1768">
        <v>1.37</v>
      </c>
    </row>
    <row r="24" spans="1:20">
      <c r="A24" s="6270"/>
      <c r="B24" s="6268"/>
      <c r="C24" s="1766">
        <v>0.1075</v>
      </c>
      <c r="D24" s="1317" t="s">
        <v>906</v>
      </c>
      <c r="E24" s="1317" t="s">
        <v>907</v>
      </c>
      <c r="F24" s="1767">
        <v>0</v>
      </c>
      <c r="G24" s="1767">
        <f t="shared" ref="G24:G32" si="3">(H24)</f>
        <v>2600</v>
      </c>
      <c r="H24" s="1768">
        <v>2600</v>
      </c>
      <c r="I24" s="1767">
        <v>0</v>
      </c>
      <c r="J24" s="1767">
        <f>(K24)</f>
        <v>0</v>
      </c>
      <c r="K24" s="1768">
        <v>0</v>
      </c>
      <c r="L24" s="1767">
        <v>0</v>
      </c>
      <c r="M24" s="1767">
        <f>(N24)</f>
        <v>1200</v>
      </c>
      <c r="N24" s="1768">
        <v>1200</v>
      </c>
      <c r="O24" s="1767">
        <v>0</v>
      </c>
      <c r="P24" s="1767">
        <f t="shared" si="2"/>
        <v>1400</v>
      </c>
      <c r="Q24" s="1768">
        <f t="shared" si="0"/>
        <v>1400</v>
      </c>
      <c r="R24" s="1768">
        <v>0</v>
      </c>
      <c r="S24" s="1768">
        <v>51.539999999999992</v>
      </c>
      <c r="T24" s="1768">
        <v>51.539999999999992</v>
      </c>
    </row>
    <row r="25" spans="1:20">
      <c r="A25" s="6270"/>
      <c r="B25" s="6268"/>
      <c r="C25" s="1766">
        <v>0.1065</v>
      </c>
      <c r="D25" s="1317" t="s">
        <v>908</v>
      </c>
      <c r="E25" s="1317" t="s">
        <v>909</v>
      </c>
      <c r="F25" s="1767">
        <f>H25*75%</f>
        <v>4500</v>
      </c>
      <c r="G25" s="1767">
        <f>(H25)*25%</f>
        <v>1500</v>
      </c>
      <c r="H25" s="1768">
        <v>6000</v>
      </c>
      <c r="I25" s="1767">
        <f>K25*75%</f>
        <v>0</v>
      </c>
      <c r="J25" s="1767">
        <f>(K25)*25%</f>
        <v>0</v>
      </c>
      <c r="K25" s="1768">
        <v>0</v>
      </c>
      <c r="L25" s="1767">
        <f>N25*75%</f>
        <v>1800</v>
      </c>
      <c r="M25" s="1767">
        <f>(N25)*25%</f>
        <v>600</v>
      </c>
      <c r="N25" s="1768">
        <v>2400</v>
      </c>
      <c r="O25" s="1767">
        <f>Q25*75%</f>
        <v>2700</v>
      </c>
      <c r="P25" s="1767">
        <f>(Q25)*25%</f>
        <v>900</v>
      </c>
      <c r="Q25" s="1768">
        <f t="shared" si="0"/>
        <v>3600</v>
      </c>
      <c r="R25" s="1767">
        <v>93.36</v>
      </c>
      <c r="S25" s="1767">
        <v>31.12</v>
      </c>
      <c r="T25" s="1768">
        <v>124.48</v>
      </c>
    </row>
    <row r="26" spans="1:20">
      <c r="A26" s="6270"/>
      <c r="B26" s="6268"/>
      <c r="C26" s="1766">
        <v>0.1075</v>
      </c>
      <c r="D26" s="1317" t="s">
        <v>910</v>
      </c>
      <c r="E26" s="1317" t="s">
        <v>911</v>
      </c>
      <c r="F26" s="1767">
        <v>0</v>
      </c>
      <c r="G26" s="1767">
        <f t="shared" si="3"/>
        <v>3400</v>
      </c>
      <c r="H26" s="1768">
        <v>3400</v>
      </c>
      <c r="I26" s="1767">
        <v>0</v>
      </c>
      <c r="J26" s="1767">
        <f>(K26)</f>
        <v>0</v>
      </c>
      <c r="K26" s="1768">
        <v>0</v>
      </c>
      <c r="L26" s="1767">
        <v>0</v>
      </c>
      <c r="M26" s="1767">
        <f>(N26)</f>
        <v>1200</v>
      </c>
      <c r="N26" s="1768">
        <v>1200</v>
      </c>
      <c r="O26" s="1767">
        <v>0</v>
      </c>
      <c r="P26" s="1767">
        <f t="shared" ref="P26:P31" si="4">Q26</f>
        <v>2200</v>
      </c>
      <c r="Q26" s="1768">
        <f t="shared" si="0"/>
        <v>2200</v>
      </c>
      <c r="R26" s="1768">
        <v>0</v>
      </c>
      <c r="S26" s="1768">
        <v>70.53</v>
      </c>
      <c r="T26" s="1768">
        <v>70.53</v>
      </c>
    </row>
    <row r="27" spans="1:20">
      <c r="A27" s="6270"/>
      <c r="B27" s="6268"/>
      <c r="C27" s="1766">
        <v>0.1075</v>
      </c>
      <c r="D27" s="1317" t="s">
        <v>912</v>
      </c>
      <c r="E27" s="1317" t="s">
        <v>913</v>
      </c>
      <c r="F27" s="1767">
        <v>0</v>
      </c>
      <c r="G27" s="1767">
        <f t="shared" si="3"/>
        <v>6800</v>
      </c>
      <c r="H27" s="1768">
        <v>6800</v>
      </c>
      <c r="I27" s="1767">
        <v>0</v>
      </c>
      <c r="J27" s="1767">
        <f>(K27)</f>
        <v>0</v>
      </c>
      <c r="K27" s="1768">
        <v>0</v>
      </c>
      <c r="L27" s="1767">
        <v>0</v>
      </c>
      <c r="M27" s="1767">
        <f>(N27)</f>
        <v>2400</v>
      </c>
      <c r="N27" s="1768">
        <v>2400</v>
      </c>
      <c r="O27" s="1767">
        <v>0</v>
      </c>
      <c r="P27" s="1767">
        <f t="shared" si="4"/>
        <v>4400</v>
      </c>
      <c r="Q27" s="1768">
        <f t="shared" si="0"/>
        <v>4400</v>
      </c>
      <c r="R27" s="1768">
        <v>0</v>
      </c>
      <c r="S27" s="1768">
        <v>146.57999999999998</v>
      </c>
      <c r="T27" s="1768">
        <v>146.57999999999998</v>
      </c>
    </row>
    <row r="28" spans="1:20">
      <c r="A28" s="6270"/>
      <c r="B28" s="6268"/>
      <c r="C28" s="1766">
        <v>0.1075</v>
      </c>
      <c r="D28" s="1317" t="s">
        <v>914</v>
      </c>
      <c r="E28" s="1317" t="s">
        <v>915</v>
      </c>
      <c r="F28" s="1767">
        <v>0</v>
      </c>
      <c r="G28" s="1767">
        <f>H28</f>
        <v>8400</v>
      </c>
      <c r="H28" s="1768">
        <v>8400</v>
      </c>
      <c r="I28" s="1767">
        <v>0</v>
      </c>
      <c r="J28" s="1767">
        <f>K28</f>
        <v>0</v>
      </c>
      <c r="K28" s="1768">
        <v>0</v>
      </c>
      <c r="L28" s="1767">
        <v>0</v>
      </c>
      <c r="M28" s="1767">
        <f>N28</f>
        <v>2400</v>
      </c>
      <c r="N28" s="1768">
        <v>2400</v>
      </c>
      <c r="O28" s="1767">
        <v>0</v>
      </c>
      <c r="P28" s="1767">
        <f t="shared" si="4"/>
        <v>6000</v>
      </c>
      <c r="Q28" s="1768">
        <f t="shared" si="0"/>
        <v>6000</v>
      </c>
      <c r="R28" s="1767">
        <v>0</v>
      </c>
      <c r="S28" s="1767">
        <v>194.45</v>
      </c>
      <c r="T28" s="1768">
        <v>194.45</v>
      </c>
    </row>
    <row r="29" spans="1:20">
      <c r="A29" s="6270"/>
      <c r="B29" s="6268"/>
      <c r="C29" s="1766">
        <v>0.105</v>
      </c>
      <c r="D29" s="1317" t="s">
        <v>991</v>
      </c>
      <c r="E29" s="1317" t="s">
        <v>992</v>
      </c>
      <c r="F29" s="1767">
        <v>0</v>
      </c>
      <c r="G29" s="1767">
        <f>(H29)</f>
        <v>3000</v>
      </c>
      <c r="H29" s="1768">
        <v>3000</v>
      </c>
      <c r="I29" s="1767">
        <v>0</v>
      </c>
      <c r="J29" s="1767">
        <f>K29</f>
        <v>0</v>
      </c>
      <c r="K29" s="1768">
        <v>0</v>
      </c>
      <c r="L29" s="1767">
        <v>0</v>
      </c>
      <c r="M29" s="1767">
        <f>(N29)</f>
        <v>3000</v>
      </c>
      <c r="N29" s="1768">
        <v>3000</v>
      </c>
      <c r="O29" s="1767">
        <v>0</v>
      </c>
      <c r="P29" s="1767">
        <f t="shared" si="4"/>
        <v>0</v>
      </c>
      <c r="Q29" s="1768">
        <f t="shared" si="0"/>
        <v>0</v>
      </c>
      <c r="R29" s="1767">
        <v>0</v>
      </c>
      <c r="S29" s="1767">
        <v>14.66</v>
      </c>
      <c r="T29" s="1768">
        <v>14.66</v>
      </c>
    </row>
    <row r="30" spans="1:20">
      <c r="A30" s="6270"/>
      <c r="B30" s="6268"/>
      <c r="C30" s="1766">
        <v>0.105</v>
      </c>
      <c r="D30" s="1317" t="s">
        <v>993</v>
      </c>
      <c r="E30" s="1317" t="s">
        <v>994</v>
      </c>
      <c r="F30" s="1767">
        <v>0</v>
      </c>
      <c r="G30" s="1767">
        <f>H30</f>
        <v>5000</v>
      </c>
      <c r="H30" s="1768">
        <v>5000</v>
      </c>
      <c r="I30" s="1767">
        <v>0</v>
      </c>
      <c r="J30" s="1767">
        <f>K30</f>
        <v>0</v>
      </c>
      <c r="K30" s="1768">
        <v>0</v>
      </c>
      <c r="L30" s="1767">
        <v>0</v>
      </c>
      <c r="M30" s="1767">
        <f>N30</f>
        <v>5000</v>
      </c>
      <c r="N30" s="1768">
        <v>5000</v>
      </c>
      <c r="O30" s="1767">
        <v>0</v>
      </c>
      <c r="P30" s="1767">
        <f t="shared" si="4"/>
        <v>0</v>
      </c>
      <c r="Q30" s="1768">
        <f t="shared" si="0"/>
        <v>0</v>
      </c>
      <c r="R30" s="1767">
        <v>0</v>
      </c>
      <c r="S30" s="1767">
        <v>50.34</v>
      </c>
      <c r="T30" s="1768">
        <v>50.34</v>
      </c>
    </row>
    <row r="31" spans="1:20">
      <c r="A31" s="6267">
        <v>3</v>
      </c>
      <c r="B31" s="6268" t="s">
        <v>916</v>
      </c>
      <c r="C31" s="1320">
        <v>0.1075</v>
      </c>
      <c r="D31" s="1318" t="s">
        <v>910</v>
      </c>
      <c r="E31" s="1318" t="s">
        <v>995</v>
      </c>
      <c r="F31" s="1768">
        <v>0</v>
      </c>
      <c r="G31" s="1767">
        <f t="shared" si="3"/>
        <v>3350</v>
      </c>
      <c r="H31" s="1768">
        <v>3350</v>
      </c>
      <c r="I31" s="1767">
        <v>0</v>
      </c>
      <c r="J31" s="1767">
        <f>(K31)</f>
        <v>0</v>
      </c>
      <c r="K31" s="1768">
        <v>0</v>
      </c>
      <c r="L31" s="1768">
        <v>0</v>
      </c>
      <c r="M31" s="1767">
        <f>(N31)</f>
        <v>3350</v>
      </c>
      <c r="N31" s="1768">
        <v>3350</v>
      </c>
      <c r="O31" s="1768">
        <v>0</v>
      </c>
      <c r="P31" s="1767">
        <f t="shared" si="4"/>
        <v>0</v>
      </c>
      <c r="Q31" s="1768">
        <f t="shared" si="0"/>
        <v>0</v>
      </c>
      <c r="R31" s="1768">
        <v>0</v>
      </c>
      <c r="S31" s="1767">
        <v>19.510000000000002</v>
      </c>
      <c r="T31" s="1768">
        <v>19.510000000000002</v>
      </c>
    </row>
    <row r="32" spans="1:20">
      <c r="A32" s="6267"/>
      <c r="B32" s="6268"/>
      <c r="C32" s="1320">
        <v>0.1075</v>
      </c>
      <c r="D32" s="1318" t="s">
        <v>996</v>
      </c>
      <c r="E32" s="1318" t="s">
        <v>997</v>
      </c>
      <c r="F32" s="1768">
        <v>0</v>
      </c>
      <c r="G32" s="1767">
        <f t="shared" si="3"/>
        <v>5000</v>
      </c>
      <c r="H32" s="1768">
        <v>5000</v>
      </c>
      <c r="I32" s="1767">
        <v>0</v>
      </c>
      <c r="J32" s="1767">
        <f>(K32)</f>
        <v>0</v>
      </c>
      <c r="K32" s="1768">
        <v>0</v>
      </c>
      <c r="L32" s="1768">
        <v>0</v>
      </c>
      <c r="M32" s="1767">
        <f>(N32)</f>
        <v>5000</v>
      </c>
      <c r="N32" s="1768">
        <v>5000</v>
      </c>
      <c r="O32" s="1768">
        <v>0</v>
      </c>
      <c r="P32" s="1767">
        <f>(Q32)</f>
        <v>0</v>
      </c>
      <c r="Q32" s="1768">
        <f t="shared" si="0"/>
        <v>0</v>
      </c>
      <c r="R32" s="1768">
        <v>0</v>
      </c>
      <c r="S32" s="1767">
        <v>57.59</v>
      </c>
      <c r="T32" s="1768">
        <v>57.59</v>
      </c>
    </row>
    <row r="33" spans="1:21">
      <c r="A33" s="6267"/>
      <c r="B33" s="6268"/>
      <c r="C33" s="1766">
        <v>0.105</v>
      </c>
      <c r="D33" s="1318" t="s">
        <v>998</v>
      </c>
      <c r="E33" s="1318" t="s">
        <v>999</v>
      </c>
      <c r="F33" s="1768">
        <v>0</v>
      </c>
      <c r="G33" s="1767">
        <f>(H33)</f>
        <v>10000</v>
      </c>
      <c r="H33" s="1768">
        <v>10000</v>
      </c>
      <c r="I33" s="1767">
        <v>0</v>
      </c>
      <c r="J33" s="1767">
        <f>K33</f>
        <v>0</v>
      </c>
      <c r="K33" s="1768">
        <v>0</v>
      </c>
      <c r="L33" s="1768">
        <v>0</v>
      </c>
      <c r="M33" s="1767">
        <f>(N33)</f>
        <v>10000</v>
      </c>
      <c r="N33" s="1768">
        <v>10000</v>
      </c>
      <c r="O33" s="1768">
        <v>0</v>
      </c>
      <c r="P33" s="1767">
        <f>(Q33)</f>
        <v>0</v>
      </c>
      <c r="Q33" s="1768">
        <f t="shared" si="0"/>
        <v>0</v>
      </c>
      <c r="R33" s="1767">
        <v>0</v>
      </c>
      <c r="S33" s="1767">
        <v>118.07</v>
      </c>
      <c r="T33" s="1768">
        <v>118.07</v>
      </c>
    </row>
    <row r="34" spans="1:21">
      <c r="A34" s="6267"/>
      <c r="B34" s="6268"/>
      <c r="C34" s="1766">
        <v>0.105</v>
      </c>
      <c r="D34" s="1318" t="s">
        <v>917</v>
      </c>
      <c r="E34" s="1318" t="s">
        <v>918</v>
      </c>
      <c r="F34" s="1768">
        <v>0</v>
      </c>
      <c r="G34" s="1767">
        <v>0</v>
      </c>
      <c r="H34" s="1768">
        <v>0</v>
      </c>
      <c r="I34" s="1767">
        <v>0</v>
      </c>
      <c r="J34" s="1767">
        <v>10000</v>
      </c>
      <c r="K34" s="1768">
        <v>10000</v>
      </c>
      <c r="L34" s="1768">
        <v>0</v>
      </c>
      <c r="M34" s="1767">
        <f>+N34</f>
        <v>1650</v>
      </c>
      <c r="N34" s="1768">
        <v>1650</v>
      </c>
      <c r="O34" s="1768">
        <v>0</v>
      </c>
      <c r="P34" s="1767">
        <f>Q34</f>
        <v>8350</v>
      </c>
      <c r="Q34" s="1768">
        <f t="shared" si="0"/>
        <v>8350</v>
      </c>
      <c r="R34" s="1767">
        <v>0</v>
      </c>
      <c r="S34" s="1767">
        <v>148.25</v>
      </c>
      <c r="T34" s="1768">
        <v>148.25</v>
      </c>
    </row>
    <row r="35" spans="1:21">
      <c r="A35" s="6267"/>
      <c r="B35" s="6268"/>
      <c r="C35" s="1766">
        <v>0.105</v>
      </c>
      <c r="D35" s="1318" t="s">
        <v>919</v>
      </c>
      <c r="E35" s="1318" t="s">
        <v>920</v>
      </c>
      <c r="F35" s="1768">
        <v>0</v>
      </c>
      <c r="G35" s="1767">
        <v>0</v>
      </c>
      <c r="H35" s="1768">
        <v>0</v>
      </c>
      <c r="I35" s="1767">
        <v>0</v>
      </c>
      <c r="J35" s="1767">
        <v>10000</v>
      </c>
      <c r="K35" s="1768">
        <v>10000</v>
      </c>
      <c r="L35" s="1768">
        <v>0</v>
      </c>
      <c r="M35" s="1767">
        <v>0</v>
      </c>
      <c r="N35" s="1768">
        <v>0</v>
      </c>
      <c r="O35" s="1768">
        <v>0</v>
      </c>
      <c r="P35" s="1767">
        <f>Q35</f>
        <v>10000</v>
      </c>
      <c r="Q35" s="1768">
        <f t="shared" si="0"/>
        <v>10000</v>
      </c>
      <c r="R35" s="1767">
        <v>0</v>
      </c>
      <c r="S35" s="1767">
        <v>31.64</v>
      </c>
      <c r="T35" s="1768">
        <v>31.64</v>
      </c>
    </row>
    <row r="36" spans="1:21">
      <c r="A36" s="6267">
        <v>4</v>
      </c>
      <c r="B36" s="6268" t="s">
        <v>930</v>
      </c>
      <c r="C36" s="1320">
        <v>0.1075</v>
      </c>
      <c r="D36" s="1318" t="s">
        <v>931</v>
      </c>
      <c r="E36" s="1318" t="s">
        <v>932</v>
      </c>
      <c r="F36" s="1768">
        <f>H36</f>
        <v>3400</v>
      </c>
      <c r="G36" s="1768">
        <v>0</v>
      </c>
      <c r="H36" s="1768">
        <v>3400</v>
      </c>
      <c r="I36" s="1767">
        <f>K36</f>
        <v>0</v>
      </c>
      <c r="J36" s="1767">
        <v>0</v>
      </c>
      <c r="K36" s="1768">
        <v>0</v>
      </c>
      <c r="L36" s="1768">
        <f>N36</f>
        <v>2525</v>
      </c>
      <c r="M36" s="1768">
        <v>0</v>
      </c>
      <c r="N36" s="1768">
        <v>2525</v>
      </c>
      <c r="O36" s="1768">
        <f>Q36</f>
        <v>875</v>
      </c>
      <c r="P36" s="1768">
        <v>0</v>
      </c>
      <c r="Q36" s="1768">
        <f t="shared" si="0"/>
        <v>875</v>
      </c>
      <c r="R36" s="1767">
        <v>54.47</v>
      </c>
      <c r="S36" s="1767">
        <v>0</v>
      </c>
      <c r="T36" s="1768">
        <v>54.47</v>
      </c>
    </row>
    <row r="37" spans="1:21">
      <c r="A37" s="6267"/>
      <c r="B37" s="6268"/>
      <c r="C37" s="1320">
        <v>0.1075</v>
      </c>
      <c r="D37" s="1318" t="s">
        <v>933</v>
      </c>
      <c r="E37" s="1318" t="s">
        <v>928</v>
      </c>
      <c r="F37" s="1768">
        <v>0</v>
      </c>
      <c r="G37" s="1767">
        <f>(H37)</f>
        <v>11287.5</v>
      </c>
      <c r="H37" s="1768">
        <v>11287.5</v>
      </c>
      <c r="I37" s="1767">
        <v>0</v>
      </c>
      <c r="J37" s="1767">
        <f>(K37)</f>
        <v>0</v>
      </c>
      <c r="K37" s="1768">
        <v>0</v>
      </c>
      <c r="L37" s="1768">
        <v>0</v>
      </c>
      <c r="M37" s="1767">
        <f>(N37)</f>
        <v>3712.5</v>
      </c>
      <c r="N37" s="1768">
        <v>3712.5</v>
      </c>
      <c r="O37" s="1768">
        <v>0</v>
      </c>
      <c r="P37" s="1767">
        <f>(Q37)</f>
        <v>7575</v>
      </c>
      <c r="Q37" s="1768">
        <f t="shared" si="0"/>
        <v>7575</v>
      </c>
      <c r="R37" s="1768">
        <v>0</v>
      </c>
      <c r="S37" s="1767">
        <v>260.13</v>
      </c>
      <c r="T37" s="1768">
        <v>260.13</v>
      </c>
    </row>
    <row r="38" spans="1:21">
      <c r="A38" s="6267"/>
      <c r="B38" s="6268"/>
      <c r="C38" s="1320">
        <v>0.1075</v>
      </c>
      <c r="D38" s="1318" t="s">
        <v>934</v>
      </c>
      <c r="E38" s="1318" t="s">
        <v>935</v>
      </c>
      <c r="F38" s="1768">
        <v>0</v>
      </c>
      <c r="G38" s="1767">
        <f>(H38)</f>
        <v>4175</v>
      </c>
      <c r="H38" s="1768">
        <v>4175</v>
      </c>
      <c r="I38" s="1767">
        <v>0</v>
      </c>
      <c r="J38" s="1767">
        <f>K38</f>
        <v>0</v>
      </c>
      <c r="K38" s="1768">
        <v>0</v>
      </c>
      <c r="L38" s="1768">
        <v>0</v>
      </c>
      <c r="M38" s="1767">
        <f>(N38)</f>
        <v>1237.5</v>
      </c>
      <c r="N38" s="1768">
        <v>1237.5</v>
      </c>
      <c r="O38" s="1768">
        <v>0</v>
      </c>
      <c r="P38" s="1767">
        <f>(Q38)</f>
        <v>2937.5</v>
      </c>
      <c r="Q38" s="1768">
        <f t="shared" si="0"/>
        <v>2937.5</v>
      </c>
      <c r="R38" s="1768">
        <v>0</v>
      </c>
      <c r="S38" s="1767">
        <v>89.09</v>
      </c>
      <c r="T38" s="1768">
        <v>89.09</v>
      </c>
    </row>
    <row r="39" spans="1:21">
      <c r="A39" s="6267">
        <v>5</v>
      </c>
      <c r="B39" s="6269" t="s">
        <v>941</v>
      </c>
      <c r="C39" s="1320">
        <v>0.11</v>
      </c>
      <c r="D39" s="1318" t="s">
        <v>936</v>
      </c>
      <c r="E39" s="1318" t="s">
        <v>937</v>
      </c>
      <c r="F39" s="1768">
        <v>0</v>
      </c>
      <c r="G39" s="1767">
        <v>0</v>
      </c>
      <c r="H39" s="1768">
        <v>0</v>
      </c>
      <c r="I39" s="1767">
        <v>0</v>
      </c>
      <c r="J39" s="1767">
        <v>20000</v>
      </c>
      <c r="K39" s="1768">
        <v>20000</v>
      </c>
      <c r="L39" s="1768">
        <v>0</v>
      </c>
      <c r="M39" s="1767">
        <f>+N39</f>
        <v>3300</v>
      </c>
      <c r="N39" s="1768">
        <v>3300</v>
      </c>
      <c r="O39" s="1768">
        <v>0</v>
      </c>
      <c r="P39" s="1767">
        <f>Q39</f>
        <v>16700</v>
      </c>
      <c r="Q39" s="1768">
        <f t="shared" si="0"/>
        <v>16700</v>
      </c>
      <c r="R39" s="1768">
        <v>0</v>
      </c>
      <c r="S39" s="1767">
        <v>351.15999999999997</v>
      </c>
      <c r="T39" s="1768">
        <v>351.15999999999997</v>
      </c>
    </row>
    <row r="40" spans="1:21">
      <c r="A40" s="6267"/>
      <c r="B40" s="6269"/>
      <c r="C40" s="1769">
        <v>0.107</v>
      </c>
      <c r="D40" s="1318" t="s">
        <v>1002</v>
      </c>
      <c r="E40" s="1318" t="s">
        <v>1003</v>
      </c>
      <c r="F40" s="1767">
        <v>0</v>
      </c>
      <c r="G40" s="1767">
        <f>(H40)</f>
        <v>2575</v>
      </c>
      <c r="H40" s="1768">
        <v>2575</v>
      </c>
      <c r="I40" s="1767">
        <v>0</v>
      </c>
      <c r="J40" s="1767">
        <f>(K40)</f>
        <v>0</v>
      </c>
      <c r="K40" s="1768">
        <v>0</v>
      </c>
      <c r="L40" s="1767">
        <v>0</v>
      </c>
      <c r="M40" s="1767">
        <f>(N40)</f>
        <v>2575</v>
      </c>
      <c r="N40" s="1768">
        <v>2575</v>
      </c>
      <c r="O40" s="1767">
        <v>0</v>
      </c>
      <c r="P40" s="1767">
        <f>(Q40)</f>
        <v>0</v>
      </c>
      <c r="Q40" s="1768">
        <f t="shared" si="0"/>
        <v>0</v>
      </c>
      <c r="R40" s="1767">
        <v>0</v>
      </c>
      <c r="S40" s="1767">
        <v>22.900000000000002</v>
      </c>
      <c r="T40" s="1768">
        <v>22.900000000000002</v>
      </c>
    </row>
    <row r="41" spans="1:21">
      <c r="A41" s="6267"/>
      <c r="B41" s="6269"/>
      <c r="C41" s="1769">
        <v>0.107</v>
      </c>
      <c r="D41" s="1318" t="s">
        <v>1004</v>
      </c>
      <c r="E41" s="1318" t="s">
        <v>999</v>
      </c>
      <c r="F41" s="1767">
        <v>0</v>
      </c>
      <c r="G41" s="1767">
        <f>(H41)</f>
        <v>2575</v>
      </c>
      <c r="H41" s="1768">
        <v>2575</v>
      </c>
      <c r="I41" s="1767">
        <v>0</v>
      </c>
      <c r="J41" s="1767">
        <f>(K41)</f>
        <v>0</v>
      </c>
      <c r="K41" s="1768">
        <v>0</v>
      </c>
      <c r="L41" s="1767">
        <v>0</v>
      </c>
      <c r="M41" s="1767">
        <f>(N41)</f>
        <v>2575</v>
      </c>
      <c r="N41" s="1768">
        <v>2575</v>
      </c>
      <c r="O41" s="1767">
        <v>0</v>
      </c>
      <c r="P41" s="1767">
        <f>(Q41)</f>
        <v>0</v>
      </c>
      <c r="Q41" s="1768">
        <f t="shared" si="0"/>
        <v>0</v>
      </c>
      <c r="R41" s="1767">
        <v>0</v>
      </c>
      <c r="S41" s="1767">
        <v>31.04</v>
      </c>
      <c r="T41" s="1768">
        <v>31.04</v>
      </c>
    </row>
    <row r="42" spans="1:21">
      <c r="A42" s="1330">
        <v>6</v>
      </c>
      <c r="B42" s="1770" t="s">
        <v>944</v>
      </c>
      <c r="C42" s="1769">
        <v>0.107</v>
      </c>
      <c r="D42" s="1318" t="s">
        <v>945</v>
      </c>
      <c r="E42" s="1318" t="s">
        <v>946</v>
      </c>
      <c r="F42" s="1767">
        <v>0</v>
      </c>
      <c r="G42" s="1767">
        <f>H42</f>
        <v>4166.67</v>
      </c>
      <c r="H42" s="1768">
        <v>4166.67</v>
      </c>
      <c r="I42" s="1767">
        <v>0</v>
      </c>
      <c r="J42" s="1767">
        <f>(K42)</f>
        <v>0</v>
      </c>
      <c r="K42" s="1768">
        <v>0</v>
      </c>
      <c r="L42" s="1767">
        <v>0</v>
      </c>
      <c r="M42" s="1767">
        <f>N42</f>
        <v>2500</v>
      </c>
      <c r="N42" s="1768">
        <v>2500</v>
      </c>
      <c r="O42" s="1767">
        <v>0</v>
      </c>
      <c r="P42" s="1767">
        <f>Q42</f>
        <v>1666.67</v>
      </c>
      <c r="Q42" s="1768">
        <f t="shared" si="0"/>
        <v>1666.67</v>
      </c>
      <c r="R42" s="1767">
        <v>0</v>
      </c>
      <c r="S42" s="1767">
        <v>71.19</v>
      </c>
      <c r="T42" s="1768">
        <v>71.19</v>
      </c>
    </row>
    <row r="43" spans="1:21">
      <c r="A43" s="1762"/>
      <c r="B43" s="1233" t="s">
        <v>949</v>
      </c>
      <c r="C43" s="1765"/>
      <c r="D43" s="1318"/>
      <c r="E43" s="1318"/>
      <c r="F43" s="1768">
        <f t="shared" ref="F43:T43" si="5">SUM(F5:F42)</f>
        <v>17880</v>
      </c>
      <c r="G43" s="1768">
        <f t="shared" si="5"/>
        <v>149594.17000000001</v>
      </c>
      <c r="H43" s="1768">
        <f t="shared" si="5"/>
        <v>167474.17000000001</v>
      </c>
      <c r="I43" s="1768">
        <f t="shared" si="5"/>
        <v>0</v>
      </c>
      <c r="J43" s="1768">
        <f t="shared" si="5"/>
        <v>70000</v>
      </c>
      <c r="K43" s="1768">
        <f t="shared" si="5"/>
        <v>70000</v>
      </c>
      <c r="L43" s="1768">
        <f t="shared" si="5"/>
        <v>9335</v>
      </c>
      <c r="M43" s="1768">
        <f t="shared" si="5"/>
        <v>85915</v>
      </c>
      <c r="N43" s="1768">
        <f t="shared" si="5"/>
        <v>95250</v>
      </c>
      <c r="O43" s="1768">
        <f t="shared" si="5"/>
        <v>8545</v>
      </c>
      <c r="P43" s="1768">
        <f t="shared" si="5"/>
        <v>133679.17000000001</v>
      </c>
      <c r="Q43" s="1768">
        <f t="shared" si="5"/>
        <v>142224.17000000001</v>
      </c>
      <c r="R43" s="1768">
        <f t="shared" si="5"/>
        <v>369.69000000000005</v>
      </c>
      <c r="S43" s="1768">
        <f t="shared" si="5"/>
        <v>3849.8300000000004</v>
      </c>
      <c r="T43" s="1768">
        <f t="shared" si="5"/>
        <v>4219.5199999999995</v>
      </c>
      <c r="U43" s="1190">
        <f>T43-4219.52</f>
        <v>0</v>
      </c>
    </row>
    <row r="44" spans="1:21">
      <c r="A44" s="1762"/>
      <c r="B44" s="1233"/>
      <c r="C44" s="1765"/>
      <c r="D44" s="1318"/>
      <c r="E44" s="1318"/>
      <c r="F44" s="1768"/>
      <c r="G44" s="1768"/>
      <c r="H44" s="1768"/>
      <c r="I44" s="1768"/>
      <c r="J44" s="1768"/>
      <c r="K44" s="1768"/>
      <c r="L44" s="1768"/>
      <c r="M44" s="1768"/>
      <c r="N44" s="1768"/>
      <c r="O44" s="1768"/>
      <c r="P44" s="1768"/>
      <c r="Q44" s="1768"/>
      <c r="R44" s="1765"/>
      <c r="S44" s="1765"/>
      <c r="T44" s="1765"/>
    </row>
    <row r="45" spans="1:21">
      <c r="A45" s="1379" t="s">
        <v>950</v>
      </c>
      <c r="B45" s="1771" t="s">
        <v>951</v>
      </c>
      <c r="C45" s="1765"/>
      <c r="D45" s="1317"/>
      <c r="E45" s="1317"/>
      <c r="F45" s="1768"/>
      <c r="G45" s="1768"/>
      <c r="H45" s="1768"/>
      <c r="I45" s="1768"/>
      <c r="J45" s="1768"/>
      <c r="K45" s="1768"/>
      <c r="L45" s="1768"/>
      <c r="M45" s="1768"/>
      <c r="N45" s="1768"/>
      <c r="O45" s="1768"/>
      <c r="P45" s="1768"/>
      <c r="Q45" s="1768"/>
      <c r="R45" s="1765"/>
      <c r="S45" s="1765"/>
      <c r="T45" s="1765"/>
    </row>
    <row r="46" spans="1:21">
      <c r="A46" s="1772">
        <v>7</v>
      </c>
      <c r="B46" s="1329" t="s">
        <v>952</v>
      </c>
      <c r="C46" s="1773">
        <v>0.13500000000000001</v>
      </c>
      <c r="D46" s="1774" t="s">
        <v>953</v>
      </c>
      <c r="E46" s="1774" t="s">
        <v>954</v>
      </c>
      <c r="F46" s="1775">
        <f>(H46*46/100)</f>
        <v>5462.5</v>
      </c>
      <c r="G46" s="1775">
        <f>(H46*54/100)</f>
        <v>6412.5</v>
      </c>
      <c r="H46" s="1775">
        <v>11875</v>
      </c>
      <c r="I46" s="1775">
        <f>(K46*46/100)</f>
        <v>0</v>
      </c>
      <c r="J46" s="1775">
        <f>(K46*54/100)</f>
        <v>0</v>
      </c>
      <c r="K46" s="1775">
        <v>0</v>
      </c>
      <c r="L46" s="1775">
        <f>(N46*46/100)</f>
        <v>287.5</v>
      </c>
      <c r="M46" s="1775">
        <f>(N46*54/100)</f>
        <v>337.5</v>
      </c>
      <c r="N46" s="1775">
        <v>625</v>
      </c>
      <c r="O46" s="1775">
        <f>(Q46*46/100)</f>
        <v>5175</v>
      </c>
      <c r="P46" s="1775">
        <f>(Q46*54/100)</f>
        <v>6075</v>
      </c>
      <c r="Q46" s="1775">
        <f>(H46+K46-N46)</f>
        <v>11250</v>
      </c>
      <c r="R46" s="1775">
        <v>176.48359999999997</v>
      </c>
      <c r="S46" s="1775">
        <v>207.1764</v>
      </c>
      <c r="T46" s="1775">
        <v>383.65999999999997</v>
      </c>
      <c r="U46" s="1190">
        <f>T46-383.66</f>
        <v>0</v>
      </c>
    </row>
    <row r="47" spans="1:21">
      <c r="A47" s="1776">
        <v>8</v>
      </c>
      <c r="B47" s="1776" t="s">
        <v>955</v>
      </c>
      <c r="C47" s="1777" t="s">
        <v>956</v>
      </c>
      <c r="D47" s="1317" t="s">
        <v>957</v>
      </c>
      <c r="E47" s="1317" t="s">
        <v>958</v>
      </c>
      <c r="F47" s="1767">
        <f>(H47)</f>
        <v>159.58004</v>
      </c>
      <c r="G47" s="1767">
        <v>0</v>
      </c>
      <c r="H47" s="1778">
        <v>159.58004</v>
      </c>
      <c r="I47" s="1767">
        <f>(K47)</f>
        <v>0</v>
      </c>
      <c r="J47" s="1767">
        <v>0</v>
      </c>
      <c r="K47" s="1768">
        <v>0</v>
      </c>
      <c r="L47" s="1767">
        <f>(N47)</f>
        <v>0</v>
      </c>
      <c r="M47" s="1767">
        <v>0</v>
      </c>
      <c r="N47" s="1768">
        <v>0</v>
      </c>
      <c r="O47" s="1767">
        <f>(Q47)</f>
        <v>159.58004</v>
      </c>
      <c r="P47" s="1767">
        <v>0</v>
      </c>
      <c r="Q47" s="1768">
        <f>(H47+K47-N47)</f>
        <v>159.58004</v>
      </c>
      <c r="R47" s="1767">
        <v>0</v>
      </c>
      <c r="S47" s="1767">
        <v>0</v>
      </c>
      <c r="T47" s="1767">
        <v>0</v>
      </c>
    </row>
    <row r="48" spans="1:21">
      <c r="A48" s="1776">
        <v>9</v>
      </c>
      <c r="B48" s="1776" t="s">
        <v>959</v>
      </c>
      <c r="C48" s="1765" t="s">
        <v>960</v>
      </c>
      <c r="D48" s="1317" t="s">
        <v>961</v>
      </c>
      <c r="E48" s="1317" t="s">
        <v>962</v>
      </c>
      <c r="F48" s="1767">
        <f>(H48)</f>
        <v>3798.5</v>
      </c>
      <c r="G48" s="1767">
        <v>0</v>
      </c>
      <c r="H48" s="1767">
        <v>3798.5</v>
      </c>
      <c r="I48" s="1767">
        <f>(K48)</f>
        <v>0</v>
      </c>
      <c r="J48" s="1767">
        <v>0</v>
      </c>
      <c r="K48" s="1768">
        <v>0</v>
      </c>
      <c r="L48" s="1767">
        <f>(N48)</f>
        <v>0</v>
      </c>
      <c r="M48" s="1767">
        <v>0</v>
      </c>
      <c r="N48" s="1768">
        <v>0</v>
      </c>
      <c r="O48" s="1767">
        <f>(Q48)</f>
        <v>3798.5</v>
      </c>
      <c r="P48" s="1767">
        <v>0</v>
      </c>
      <c r="Q48" s="1768">
        <f>(H48+K48-N48)</f>
        <v>3798.5</v>
      </c>
      <c r="R48" s="1767">
        <v>0</v>
      </c>
      <c r="S48" s="1767">
        <v>0</v>
      </c>
      <c r="T48" s="1767">
        <v>0</v>
      </c>
    </row>
    <row r="49" spans="1:21">
      <c r="A49" s="1776">
        <v>10</v>
      </c>
      <c r="B49" s="1776" t="s">
        <v>963</v>
      </c>
      <c r="C49" s="1777" t="s">
        <v>964</v>
      </c>
      <c r="D49" s="1317" t="s">
        <v>965</v>
      </c>
      <c r="E49" s="1317" t="s">
        <v>966</v>
      </c>
      <c r="F49" s="1767">
        <v>0</v>
      </c>
      <c r="G49" s="1767">
        <f>(H49)</f>
        <v>8139.8084999999974</v>
      </c>
      <c r="H49" s="1767">
        <v>8139.8084999999974</v>
      </c>
      <c r="I49" s="1767">
        <v>0</v>
      </c>
      <c r="J49" s="1767">
        <f>(K49)</f>
        <v>0</v>
      </c>
      <c r="K49" s="1768">
        <v>0</v>
      </c>
      <c r="L49" s="1767">
        <v>0</v>
      </c>
      <c r="M49" s="1767">
        <f>(N49)</f>
        <v>226.11</v>
      </c>
      <c r="N49" s="1768">
        <v>226.11</v>
      </c>
      <c r="O49" s="1767">
        <v>0</v>
      </c>
      <c r="P49" s="1767">
        <f>(Q49)</f>
        <v>7913.6984999999977</v>
      </c>
      <c r="Q49" s="1768">
        <f>(H49+K49-N49)</f>
        <v>7913.6984999999977</v>
      </c>
      <c r="R49" s="1767">
        <v>0</v>
      </c>
      <c r="S49" s="1767">
        <v>285.83</v>
      </c>
      <c r="T49" s="1767">
        <v>285.83</v>
      </c>
      <c r="U49" s="1190"/>
    </row>
    <row r="50" spans="1:21">
      <c r="A50" s="1233"/>
      <c r="B50" s="1328" t="s">
        <v>970</v>
      </c>
      <c r="C50" s="1765"/>
      <c r="D50" s="1317"/>
      <c r="E50" s="1317"/>
      <c r="F50" s="1767">
        <f>SUM(F46:F49)</f>
        <v>9420.5800400000007</v>
      </c>
      <c r="G50" s="1767">
        <f t="shared" ref="G50:Q50" si="6">SUM(G46:G49)</f>
        <v>14552.308499999997</v>
      </c>
      <c r="H50" s="1767">
        <f t="shared" si="6"/>
        <v>23972.88854</v>
      </c>
      <c r="I50" s="1767">
        <f t="shared" si="6"/>
        <v>0</v>
      </c>
      <c r="J50" s="1767">
        <f t="shared" si="6"/>
        <v>0</v>
      </c>
      <c r="K50" s="1767">
        <f t="shared" si="6"/>
        <v>0</v>
      </c>
      <c r="L50" s="1767">
        <f t="shared" si="6"/>
        <v>287.5</v>
      </c>
      <c r="M50" s="1767">
        <f t="shared" si="6"/>
        <v>563.61</v>
      </c>
      <c r="N50" s="1767">
        <f t="shared" si="6"/>
        <v>851.11</v>
      </c>
      <c r="O50" s="1767">
        <f t="shared" si="6"/>
        <v>9133.0800400000007</v>
      </c>
      <c r="P50" s="1767">
        <f t="shared" si="6"/>
        <v>13988.698499999999</v>
      </c>
      <c r="Q50" s="1767">
        <f t="shared" si="6"/>
        <v>23121.778539999999</v>
      </c>
      <c r="R50" s="1767">
        <f>SUM(R46:R49)</f>
        <v>176.48359999999997</v>
      </c>
      <c r="S50" s="1767">
        <f>SUM(S46:S49)</f>
        <v>493.00639999999999</v>
      </c>
      <c r="T50" s="1767">
        <f>SUM(T46:T49)</f>
        <v>669.49</v>
      </c>
      <c r="U50" s="1190"/>
    </row>
    <row r="51" spans="1:21">
      <c r="A51" s="1233"/>
      <c r="B51" s="1328" t="s">
        <v>2335</v>
      </c>
      <c r="C51" s="1765"/>
      <c r="D51" s="1317"/>
      <c r="E51" s="1317"/>
      <c r="F51" s="1767">
        <f t="shared" ref="F51:T51" si="7">(F43+F50)</f>
        <v>27300.580040000001</v>
      </c>
      <c r="G51" s="1767">
        <f t="shared" si="7"/>
        <v>164146.4785</v>
      </c>
      <c r="H51" s="1767">
        <f t="shared" si="7"/>
        <v>191447.05854</v>
      </c>
      <c r="I51" s="1767">
        <f t="shared" si="7"/>
        <v>0</v>
      </c>
      <c r="J51" s="1767">
        <f t="shared" si="7"/>
        <v>70000</v>
      </c>
      <c r="K51" s="1767">
        <f t="shared" si="7"/>
        <v>70000</v>
      </c>
      <c r="L51" s="1767">
        <f t="shared" si="7"/>
        <v>9622.5</v>
      </c>
      <c r="M51" s="1767">
        <f t="shared" si="7"/>
        <v>86478.61</v>
      </c>
      <c r="N51" s="1767">
        <f t="shared" si="7"/>
        <v>96101.11</v>
      </c>
      <c r="O51" s="1767">
        <f t="shared" si="7"/>
        <v>17678.080040000001</v>
      </c>
      <c r="P51" s="1767">
        <f t="shared" si="7"/>
        <v>147667.86850000001</v>
      </c>
      <c r="Q51" s="1767">
        <f t="shared" si="7"/>
        <v>165345.94854000001</v>
      </c>
      <c r="R51" s="1767">
        <f t="shared" si="7"/>
        <v>546.17360000000008</v>
      </c>
      <c r="S51" s="1767">
        <f t="shared" si="7"/>
        <v>4342.8364000000001</v>
      </c>
      <c r="T51" s="1767">
        <f t="shared" si="7"/>
        <v>4889.0099999999993</v>
      </c>
      <c r="U51" s="1190">
        <f>T51-383.66</f>
        <v>4505.3499999999995</v>
      </c>
    </row>
  </sheetData>
  <mergeCells count="19">
    <mergeCell ref="A36:A38"/>
    <mergeCell ref="B36:B38"/>
    <mergeCell ref="A39:A41"/>
    <mergeCell ref="B39:B41"/>
    <mergeCell ref="A5:A22"/>
    <mergeCell ref="B5:B22"/>
    <mergeCell ref="A23:A30"/>
    <mergeCell ref="B23:B30"/>
    <mergeCell ref="A31:A35"/>
    <mergeCell ref="B31:B35"/>
    <mergeCell ref="A1:T1"/>
    <mergeCell ref="A2:A3"/>
    <mergeCell ref="B2:B3"/>
    <mergeCell ref="D2:E2"/>
    <mergeCell ref="F2:H2"/>
    <mergeCell ref="I2:K2"/>
    <mergeCell ref="L2:N2"/>
    <mergeCell ref="O2:Q2"/>
    <mergeCell ref="R2:T2"/>
  </mergeCells>
  <pageMargins left="0.7" right="0.7" top="0.75" bottom="0.75" header="0.3" footer="0.3"/>
  <pageSetup scale="35" orientation="landscape" horizontalDpi="180" verticalDpi="180" r:id="rId1"/>
</worksheet>
</file>

<file path=xl/worksheets/sheet124.xml><?xml version="1.0" encoding="utf-8"?>
<worksheet xmlns="http://schemas.openxmlformats.org/spreadsheetml/2006/main" xmlns:r="http://schemas.openxmlformats.org/officeDocument/2006/relationships">
  <sheetPr codeName="Sheet103">
    <pageSetUpPr fitToPage="1"/>
  </sheetPr>
  <dimension ref="A1:Y44"/>
  <sheetViews>
    <sheetView zoomScale="80" zoomScaleNormal="80" workbookViewId="0">
      <selection activeCell="E13" sqref="E13"/>
    </sheetView>
  </sheetViews>
  <sheetFormatPr defaultRowHeight="15"/>
  <cols>
    <col min="1" max="1" width="9.140625" style="1186"/>
    <col min="2" max="2" width="37" style="1186" customWidth="1"/>
    <col min="3" max="3" width="16.28515625" style="1186" hidden="1" customWidth="1"/>
    <col min="4" max="4" width="20.140625" style="1186" customWidth="1"/>
    <col min="5" max="5" width="16.5703125" style="1186" customWidth="1"/>
    <col min="6" max="6" width="14" style="1186" customWidth="1"/>
    <col min="7" max="8" width="15.7109375" style="1186" customWidth="1"/>
    <col min="9" max="9" width="13.42578125" style="1186" bestFit="1" customWidth="1"/>
    <col min="10" max="10" width="16.140625" style="1186" customWidth="1"/>
    <col min="11" max="11" width="16.5703125" style="1186" customWidth="1"/>
    <col min="12" max="12" width="13.42578125" style="1186" customWidth="1"/>
    <col min="13" max="13" width="14" style="1186" customWidth="1"/>
    <col min="14" max="14" width="15.7109375" style="1186" customWidth="1"/>
    <col min="15" max="15" width="14" style="1186" customWidth="1"/>
    <col min="16" max="17" width="15.7109375" style="1186" customWidth="1"/>
    <col min="18" max="18" width="13.42578125" style="1186" customWidth="1"/>
    <col min="19" max="20" width="12.28515625" style="1186" customWidth="1"/>
    <col min="21" max="21" width="9.140625" style="1186"/>
    <col min="22" max="22" width="10.28515625" style="1186" bestFit="1" customWidth="1"/>
    <col min="23" max="23" width="14.7109375" style="1186" customWidth="1"/>
    <col min="24" max="24" width="17.42578125" style="1186" customWidth="1"/>
    <col min="25" max="25" width="15.42578125" style="1186" customWidth="1"/>
    <col min="26" max="257" width="9.140625" style="1186"/>
    <col min="258" max="258" width="37" style="1186" customWidth="1"/>
    <col min="259" max="259" width="0" style="1186" hidden="1" customWidth="1"/>
    <col min="260" max="260" width="20.140625" style="1186" customWidth="1"/>
    <col min="261" max="261" width="16.5703125" style="1186" customWidth="1"/>
    <col min="262" max="262" width="14" style="1186" customWidth="1"/>
    <col min="263" max="264" width="15.7109375" style="1186" customWidth="1"/>
    <col min="265" max="265" width="13.42578125" style="1186" bestFit="1" customWidth="1"/>
    <col min="266" max="266" width="16.140625" style="1186" customWidth="1"/>
    <col min="267" max="267" width="16.5703125" style="1186" customWidth="1"/>
    <col min="268" max="268" width="13.42578125" style="1186" customWidth="1"/>
    <col min="269" max="269" width="14" style="1186" customWidth="1"/>
    <col min="270" max="270" width="15.7109375" style="1186" customWidth="1"/>
    <col min="271" max="271" width="14" style="1186" customWidth="1"/>
    <col min="272" max="273" width="15.7109375" style="1186" customWidth="1"/>
    <col min="274" max="274" width="13.42578125" style="1186" customWidth="1"/>
    <col min="275" max="276" width="12.28515625" style="1186" customWidth="1"/>
    <col min="277" max="277" width="9.140625" style="1186"/>
    <col min="278" max="278" width="10.28515625" style="1186" bestFit="1" customWidth="1"/>
    <col min="279" max="279" width="14.7109375" style="1186" customWidth="1"/>
    <col min="280" max="280" width="17.42578125" style="1186" customWidth="1"/>
    <col min="281" max="281" width="15.42578125" style="1186" customWidth="1"/>
    <col min="282" max="513" width="9.140625" style="1186"/>
    <col min="514" max="514" width="37" style="1186" customWidth="1"/>
    <col min="515" max="515" width="0" style="1186" hidden="1" customWidth="1"/>
    <col min="516" max="516" width="20.140625" style="1186" customWidth="1"/>
    <col min="517" max="517" width="16.5703125" style="1186" customWidth="1"/>
    <col min="518" max="518" width="14" style="1186" customWidth="1"/>
    <col min="519" max="520" width="15.7109375" style="1186" customWidth="1"/>
    <col min="521" max="521" width="13.42578125" style="1186" bestFit="1" customWidth="1"/>
    <col min="522" max="522" width="16.140625" style="1186" customWidth="1"/>
    <col min="523" max="523" width="16.5703125" style="1186" customWidth="1"/>
    <col min="524" max="524" width="13.42578125" style="1186" customWidth="1"/>
    <col min="525" max="525" width="14" style="1186" customWidth="1"/>
    <col min="526" max="526" width="15.7109375" style="1186" customWidth="1"/>
    <col min="527" max="527" width="14" style="1186" customWidth="1"/>
    <col min="528" max="529" width="15.7109375" style="1186" customWidth="1"/>
    <col min="530" max="530" width="13.42578125" style="1186" customWidth="1"/>
    <col min="531" max="532" width="12.28515625" style="1186" customWidth="1"/>
    <col min="533" max="533" width="9.140625" style="1186"/>
    <col min="534" max="534" width="10.28515625" style="1186" bestFit="1" customWidth="1"/>
    <col min="535" max="535" width="14.7109375" style="1186" customWidth="1"/>
    <col min="536" max="536" width="17.42578125" style="1186" customWidth="1"/>
    <col min="537" max="537" width="15.42578125" style="1186" customWidth="1"/>
    <col min="538" max="769" width="9.140625" style="1186"/>
    <col min="770" max="770" width="37" style="1186" customWidth="1"/>
    <col min="771" max="771" width="0" style="1186" hidden="1" customWidth="1"/>
    <col min="772" max="772" width="20.140625" style="1186" customWidth="1"/>
    <col min="773" max="773" width="16.5703125" style="1186" customWidth="1"/>
    <col min="774" max="774" width="14" style="1186" customWidth="1"/>
    <col min="775" max="776" width="15.7109375" style="1186" customWidth="1"/>
    <col min="777" max="777" width="13.42578125" style="1186" bestFit="1" customWidth="1"/>
    <col min="778" max="778" width="16.140625" style="1186" customWidth="1"/>
    <col min="779" max="779" width="16.5703125" style="1186" customWidth="1"/>
    <col min="780" max="780" width="13.42578125" style="1186" customWidth="1"/>
    <col min="781" max="781" width="14" style="1186" customWidth="1"/>
    <col min="782" max="782" width="15.7109375" style="1186" customWidth="1"/>
    <col min="783" max="783" width="14" style="1186" customWidth="1"/>
    <col min="784" max="785" width="15.7109375" style="1186" customWidth="1"/>
    <col min="786" max="786" width="13.42578125" style="1186" customWidth="1"/>
    <col min="787" max="788" width="12.28515625" style="1186" customWidth="1"/>
    <col min="789" max="789" width="9.140625" style="1186"/>
    <col min="790" max="790" width="10.28515625" style="1186" bestFit="1" customWidth="1"/>
    <col min="791" max="791" width="14.7109375" style="1186" customWidth="1"/>
    <col min="792" max="792" width="17.42578125" style="1186" customWidth="1"/>
    <col min="793" max="793" width="15.42578125" style="1186" customWidth="1"/>
    <col min="794" max="1025" width="9.140625" style="1186"/>
    <col min="1026" max="1026" width="37" style="1186" customWidth="1"/>
    <col min="1027" max="1027" width="0" style="1186" hidden="1" customWidth="1"/>
    <col min="1028" max="1028" width="20.140625" style="1186" customWidth="1"/>
    <col min="1029" max="1029" width="16.5703125" style="1186" customWidth="1"/>
    <col min="1030" max="1030" width="14" style="1186" customWidth="1"/>
    <col min="1031" max="1032" width="15.7109375" style="1186" customWidth="1"/>
    <col min="1033" max="1033" width="13.42578125" style="1186" bestFit="1" customWidth="1"/>
    <col min="1034" max="1034" width="16.140625" style="1186" customWidth="1"/>
    <col min="1035" max="1035" width="16.5703125" style="1186" customWidth="1"/>
    <col min="1036" max="1036" width="13.42578125" style="1186" customWidth="1"/>
    <col min="1037" max="1037" width="14" style="1186" customWidth="1"/>
    <col min="1038" max="1038" width="15.7109375" style="1186" customWidth="1"/>
    <col min="1039" max="1039" width="14" style="1186" customWidth="1"/>
    <col min="1040" max="1041" width="15.7109375" style="1186" customWidth="1"/>
    <col min="1042" max="1042" width="13.42578125" style="1186" customWidth="1"/>
    <col min="1043" max="1044" width="12.28515625" style="1186" customWidth="1"/>
    <col min="1045" max="1045" width="9.140625" style="1186"/>
    <col min="1046" max="1046" width="10.28515625" style="1186" bestFit="1" customWidth="1"/>
    <col min="1047" max="1047" width="14.7109375" style="1186" customWidth="1"/>
    <col min="1048" max="1048" width="17.42578125" style="1186" customWidth="1"/>
    <col min="1049" max="1049" width="15.42578125" style="1186" customWidth="1"/>
    <col min="1050" max="1281" width="9.140625" style="1186"/>
    <col min="1282" max="1282" width="37" style="1186" customWidth="1"/>
    <col min="1283" max="1283" width="0" style="1186" hidden="1" customWidth="1"/>
    <col min="1284" max="1284" width="20.140625" style="1186" customWidth="1"/>
    <col min="1285" max="1285" width="16.5703125" style="1186" customWidth="1"/>
    <col min="1286" max="1286" width="14" style="1186" customWidth="1"/>
    <col min="1287" max="1288" width="15.7109375" style="1186" customWidth="1"/>
    <col min="1289" max="1289" width="13.42578125" style="1186" bestFit="1" customWidth="1"/>
    <col min="1290" max="1290" width="16.140625" style="1186" customWidth="1"/>
    <col min="1291" max="1291" width="16.5703125" style="1186" customWidth="1"/>
    <col min="1292" max="1292" width="13.42578125" style="1186" customWidth="1"/>
    <col min="1293" max="1293" width="14" style="1186" customWidth="1"/>
    <col min="1294" max="1294" width="15.7109375" style="1186" customWidth="1"/>
    <col min="1295" max="1295" width="14" style="1186" customWidth="1"/>
    <col min="1296" max="1297" width="15.7109375" style="1186" customWidth="1"/>
    <col min="1298" max="1298" width="13.42578125" style="1186" customWidth="1"/>
    <col min="1299" max="1300" width="12.28515625" style="1186" customWidth="1"/>
    <col min="1301" max="1301" width="9.140625" style="1186"/>
    <col min="1302" max="1302" width="10.28515625" style="1186" bestFit="1" customWidth="1"/>
    <col min="1303" max="1303" width="14.7109375" style="1186" customWidth="1"/>
    <col min="1304" max="1304" width="17.42578125" style="1186" customWidth="1"/>
    <col min="1305" max="1305" width="15.42578125" style="1186" customWidth="1"/>
    <col min="1306" max="1537" width="9.140625" style="1186"/>
    <col min="1538" max="1538" width="37" style="1186" customWidth="1"/>
    <col min="1539" max="1539" width="0" style="1186" hidden="1" customWidth="1"/>
    <col min="1540" max="1540" width="20.140625" style="1186" customWidth="1"/>
    <col min="1541" max="1541" width="16.5703125" style="1186" customWidth="1"/>
    <col min="1542" max="1542" width="14" style="1186" customWidth="1"/>
    <col min="1543" max="1544" width="15.7109375" style="1186" customWidth="1"/>
    <col min="1545" max="1545" width="13.42578125" style="1186" bestFit="1" customWidth="1"/>
    <col min="1546" max="1546" width="16.140625" style="1186" customWidth="1"/>
    <col min="1547" max="1547" width="16.5703125" style="1186" customWidth="1"/>
    <col min="1548" max="1548" width="13.42578125" style="1186" customWidth="1"/>
    <col min="1549" max="1549" width="14" style="1186" customWidth="1"/>
    <col min="1550" max="1550" width="15.7109375" style="1186" customWidth="1"/>
    <col min="1551" max="1551" width="14" style="1186" customWidth="1"/>
    <col min="1552" max="1553" width="15.7109375" style="1186" customWidth="1"/>
    <col min="1554" max="1554" width="13.42578125" style="1186" customWidth="1"/>
    <col min="1555" max="1556" width="12.28515625" style="1186" customWidth="1"/>
    <col min="1557" max="1557" width="9.140625" style="1186"/>
    <col min="1558" max="1558" width="10.28515625" style="1186" bestFit="1" customWidth="1"/>
    <col min="1559" max="1559" width="14.7109375" style="1186" customWidth="1"/>
    <col min="1560" max="1560" width="17.42578125" style="1186" customWidth="1"/>
    <col min="1561" max="1561" width="15.42578125" style="1186" customWidth="1"/>
    <col min="1562" max="1793" width="9.140625" style="1186"/>
    <col min="1794" max="1794" width="37" style="1186" customWidth="1"/>
    <col min="1795" max="1795" width="0" style="1186" hidden="1" customWidth="1"/>
    <col min="1796" max="1796" width="20.140625" style="1186" customWidth="1"/>
    <col min="1797" max="1797" width="16.5703125" style="1186" customWidth="1"/>
    <col min="1798" max="1798" width="14" style="1186" customWidth="1"/>
    <col min="1799" max="1800" width="15.7109375" style="1186" customWidth="1"/>
    <col min="1801" max="1801" width="13.42578125" style="1186" bestFit="1" customWidth="1"/>
    <col min="1802" max="1802" width="16.140625" style="1186" customWidth="1"/>
    <col min="1803" max="1803" width="16.5703125" style="1186" customWidth="1"/>
    <col min="1804" max="1804" width="13.42578125" style="1186" customWidth="1"/>
    <col min="1805" max="1805" width="14" style="1186" customWidth="1"/>
    <col min="1806" max="1806" width="15.7109375" style="1186" customWidth="1"/>
    <col min="1807" max="1807" width="14" style="1186" customWidth="1"/>
    <col min="1808" max="1809" width="15.7109375" style="1186" customWidth="1"/>
    <col min="1810" max="1810" width="13.42578125" style="1186" customWidth="1"/>
    <col min="1811" max="1812" width="12.28515625" style="1186" customWidth="1"/>
    <col min="1813" max="1813" width="9.140625" style="1186"/>
    <col min="1814" max="1814" width="10.28515625" style="1186" bestFit="1" customWidth="1"/>
    <col min="1815" max="1815" width="14.7109375" style="1186" customWidth="1"/>
    <col min="1816" max="1816" width="17.42578125" style="1186" customWidth="1"/>
    <col min="1817" max="1817" width="15.42578125" style="1186" customWidth="1"/>
    <col min="1818" max="2049" width="9.140625" style="1186"/>
    <col min="2050" max="2050" width="37" style="1186" customWidth="1"/>
    <col min="2051" max="2051" width="0" style="1186" hidden="1" customWidth="1"/>
    <col min="2052" max="2052" width="20.140625" style="1186" customWidth="1"/>
    <col min="2053" max="2053" width="16.5703125" style="1186" customWidth="1"/>
    <col min="2054" max="2054" width="14" style="1186" customWidth="1"/>
    <col min="2055" max="2056" width="15.7109375" style="1186" customWidth="1"/>
    <col min="2057" max="2057" width="13.42578125" style="1186" bestFit="1" customWidth="1"/>
    <col min="2058" max="2058" width="16.140625" style="1186" customWidth="1"/>
    <col min="2059" max="2059" width="16.5703125" style="1186" customWidth="1"/>
    <col min="2060" max="2060" width="13.42578125" style="1186" customWidth="1"/>
    <col min="2061" max="2061" width="14" style="1186" customWidth="1"/>
    <col min="2062" max="2062" width="15.7109375" style="1186" customWidth="1"/>
    <col min="2063" max="2063" width="14" style="1186" customWidth="1"/>
    <col min="2064" max="2065" width="15.7109375" style="1186" customWidth="1"/>
    <col min="2066" max="2066" width="13.42578125" style="1186" customWidth="1"/>
    <col min="2067" max="2068" width="12.28515625" style="1186" customWidth="1"/>
    <col min="2069" max="2069" width="9.140625" style="1186"/>
    <col min="2070" max="2070" width="10.28515625" style="1186" bestFit="1" customWidth="1"/>
    <col min="2071" max="2071" width="14.7109375" style="1186" customWidth="1"/>
    <col min="2072" max="2072" width="17.42578125" style="1186" customWidth="1"/>
    <col min="2073" max="2073" width="15.42578125" style="1186" customWidth="1"/>
    <col min="2074" max="2305" width="9.140625" style="1186"/>
    <col min="2306" max="2306" width="37" style="1186" customWidth="1"/>
    <col min="2307" max="2307" width="0" style="1186" hidden="1" customWidth="1"/>
    <col min="2308" max="2308" width="20.140625" style="1186" customWidth="1"/>
    <col min="2309" max="2309" width="16.5703125" style="1186" customWidth="1"/>
    <col min="2310" max="2310" width="14" style="1186" customWidth="1"/>
    <col min="2311" max="2312" width="15.7109375" style="1186" customWidth="1"/>
    <col min="2313" max="2313" width="13.42578125" style="1186" bestFit="1" customWidth="1"/>
    <col min="2314" max="2314" width="16.140625" style="1186" customWidth="1"/>
    <col min="2315" max="2315" width="16.5703125" style="1186" customWidth="1"/>
    <col min="2316" max="2316" width="13.42578125" style="1186" customWidth="1"/>
    <col min="2317" max="2317" width="14" style="1186" customWidth="1"/>
    <col min="2318" max="2318" width="15.7109375" style="1186" customWidth="1"/>
    <col min="2319" max="2319" width="14" style="1186" customWidth="1"/>
    <col min="2320" max="2321" width="15.7109375" style="1186" customWidth="1"/>
    <col min="2322" max="2322" width="13.42578125" style="1186" customWidth="1"/>
    <col min="2323" max="2324" width="12.28515625" style="1186" customWidth="1"/>
    <col min="2325" max="2325" width="9.140625" style="1186"/>
    <col min="2326" max="2326" width="10.28515625" style="1186" bestFit="1" customWidth="1"/>
    <col min="2327" max="2327" width="14.7109375" style="1186" customWidth="1"/>
    <col min="2328" max="2328" width="17.42578125" style="1186" customWidth="1"/>
    <col min="2329" max="2329" width="15.42578125" style="1186" customWidth="1"/>
    <col min="2330" max="2561" width="9.140625" style="1186"/>
    <col min="2562" max="2562" width="37" style="1186" customWidth="1"/>
    <col min="2563" max="2563" width="0" style="1186" hidden="1" customWidth="1"/>
    <col min="2564" max="2564" width="20.140625" style="1186" customWidth="1"/>
    <col min="2565" max="2565" width="16.5703125" style="1186" customWidth="1"/>
    <col min="2566" max="2566" width="14" style="1186" customWidth="1"/>
    <col min="2567" max="2568" width="15.7109375" style="1186" customWidth="1"/>
    <col min="2569" max="2569" width="13.42578125" style="1186" bestFit="1" customWidth="1"/>
    <col min="2570" max="2570" width="16.140625" style="1186" customWidth="1"/>
    <col min="2571" max="2571" width="16.5703125" style="1186" customWidth="1"/>
    <col min="2572" max="2572" width="13.42578125" style="1186" customWidth="1"/>
    <col min="2573" max="2573" width="14" style="1186" customWidth="1"/>
    <col min="2574" max="2574" width="15.7109375" style="1186" customWidth="1"/>
    <col min="2575" max="2575" width="14" style="1186" customWidth="1"/>
    <col min="2576" max="2577" width="15.7109375" style="1186" customWidth="1"/>
    <col min="2578" max="2578" width="13.42578125" style="1186" customWidth="1"/>
    <col min="2579" max="2580" width="12.28515625" style="1186" customWidth="1"/>
    <col min="2581" max="2581" width="9.140625" style="1186"/>
    <col min="2582" max="2582" width="10.28515625" style="1186" bestFit="1" customWidth="1"/>
    <col min="2583" max="2583" width="14.7109375" style="1186" customWidth="1"/>
    <col min="2584" max="2584" width="17.42578125" style="1186" customWidth="1"/>
    <col min="2585" max="2585" width="15.42578125" style="1186" customWidth="1"/>
    <col min="2586" max="2817" width="9.140625" style="1186"/>
    <col min="2818" max="2818" width="37" style="1186" customWidth="1"/>
    <col min="2819" max="2819" width="0" style="1186" hidden="1" customWidth="1"/>
    <col min="2820" max="2820" width="20.140625" style="1186" customWidth="1"/>
    <col min="2821" max="2821" width="16.5703125" style="1186" customWidth="1"/>
    <col min="2822" max="2822" width="14" style="1186" customWidth="1"/>
    <col min="2823" max="2824" width="15.7109375" style="1186" customWidth="1"/>
    <col min="2825" max="2825" width="13.42578125" style="1186" bestFit="1" customWidth="1"/>
    <col min="2826" max="2826" width="16.140625" style="1186" customWidth="1"/>
    <col min="2827" max="2827" width="16.5703125" style="1186" customWidth="1"/>
    <col min="2828" max="2828" width="13.42578125" style="1186" customWidth="1"/>
    <col min="2829" max="2829" width="14" style="1186" customWidth="1"/>
    <col min="2830" max="2830" width="15.7109375" style="1186" customWidth="1"/>
    <col min="2831" max="2831" width="14" style="1186" customWidth="1"/>
    <col min="2832" max="2833" width="15.7109375" style="1186" customWidth="1"/>
    <col min="2834" max="2834" width="13.42578125" style="1186" customWidth="1"/>
    <col min="2835" max="2836" width="12.28515625" style="1186" customWidth="1"/>
    <col min="2837" max="2837" width="9.140625" style="1186"/>
    <col min="2838" max="2838" width="10.28515625" style="1186" bestFit="1" customWidth="1"/>
    <col min="2839" max="2839" width="14.7109375" style="1186" customWidth="1"/>
    <col min="2840" max="2840" width="17.42578125" style="1186" customWidth="1"/>
    <col min="2841" max="2841" width="15.42578125" style="1186" customWidth="1"/>
    <col min="2842" max="3073" width="9.140625" style="1186"/>
    <col min="3074" max="3074" width="37" style="1186" customWidth="1"/>
    <col min="3075" max="3075" width="0" style="1186" hidden="1" customWidth="1"/>
    <col min="3076" max="3076" width="20.140625" style="1186" customWidth="1"/>
    <col min="3077" max="3077" width="16.5703125" style="1186" customWidth="1"/>
    <col min="3078" max="3078" width="14" style="1186" customWidth="1"/>
    <col min="3079" max="3080" width="15.7109375" style="1186" customWidth="1"/>
    <col min="3081" max="3081" width="13.42578125" style="1186" bestFit="1" customWidth="1"/>
    <col min="3082" max="3082" width="16.140625" style="1186" customWidth="1"/>
    <col min="3083" max="3083" width="16.5703125" style="1186" customWidth="1"/>
    <col min="3084" max="3084" width="13.42578125" style="1186" customWidth="1"/>
    <col min="3085" max="3085" width="14" style="1186" customWidth="1"/>
    <col min="3086" max="3086" width="15.7109375" style="1186" customWidth="1"/>
    <col min="3087" max="3087" width="14" style="1186" customWidth="1"/>
    <col min="3088" max="3089" width="15.7109375" style="1186" customWidth="1"/>
    <col min="3090" max="3090" width="13.42578125" style="1186" customWidth="1"/>
    <col min="3091" max="3092" width="12.28515625" style="1186" customWidth="1"/>
    <col min="3093" max="3093" width="9.140625" style="1186"/>
    <col min="3094" max="3094" width="10.28515625" style="1186" bestFit="1" customWidth="1"/>
    <col min="3095" max="3095" width="14.7109375" style="1186" customWidth="1"/>
    <col min="3096" max="3096" width="17.42578125" style="1186" customWidth="1"/>
    <col min="3097" max="3097" width="15.42578125" style="1186" customWidth="1"/>
    <col min="3098" max="3329" width="9.140625" style="1186"/>
    <col min="3330" max="3330" width="37" style="1186" customWidth="1"/>
    <col min="3331" max="3331" width="0" style="1186" hidden="1" customWidth="1"/>
    <col min="3332" max="3332" width="20.140625" style="1186" customWidth="1"/>
    <col min="3333" max="3333" width="16.5703125" style="1186" customWidth="1"/>
    <col min="3334" max="3334" width="14" style="1186" customWidth="1"/>
    <col min="3335" max="3336" width="15.7109375" style="1186" customWidth="1"/>
    <col min="3337" max="3337" width="13.42578125" style="1186" bestFit="1" customWidth="1"/>
    <col min="3338" max="3338" width="16.140625" style="1186" customWidth="1"/>
    <col min="3339" max="3339" width="16.5703125" style="1186" customWidth="1"/>
    <col min="3340" max="3340" width="13.42578125" style="1186" customWidth="1"/>
    <col min="3341" max="3341" width="14" style="1186" customWidth="1"/>
    <col min="3342" max="3342" width="15.7109375" style="1186" customWidth="1"/>
    <col min="3343" max="3343" width="14" style="1186" customWidth="1"/>
    <col min="3344" max="3345" width="15.7109375" style="1186" customWidth="1"/>
    <col min="3346" max="3346" width="13.42578125" style="1186" customWidth="1"/>
    <col min="3347" max="3348" width="12.28515625" style="1186" customWidth="1"/>
    <col min="3349" max="3349" width="9.140625" style="1186"/>
    <col min="3350" max="3350" width="10.28515625" style="1186" bestFit="1" customWidth="1"/>
    <col min="3351" max="3351" width="14.7109375" style="1186" customWidth="1"/>
    <col min="3352" max="3352" width="17.42578125" style="1186" customWidth="1"/>
    <col min="3353" max="3353" width="15.42578125" style="1186" customWidth="1"/>
    <col min="3354" max="3585" width="9.140625" style="1186"/>
    <col min="3586" max="3586" width="37" style="1186" customWidth="1"/>
    <col min="3587" max="3587" width="0" style="1186" hidden="1" customWidth="1"/>
    <col min="3588" max="3588" width="20.140625" style="1186" customWidth="1"/>
    <col min="3589" max="3589" width="16.5703125" style="1186" customWidth="1"/>
    <col min="3590" max="3590" width="14" style="1186" customWidth="1"/>
    <col min="3591" max="3592" width="15.7109375" style="1186" customWidth="1"/>
    <col min="3593" max="3593" width="13.42578125" style="1186" bestFit="1" customWidth="1"/>
    <col min="3594" max="3594" width="16.140625" style="1186" customWidth="1"/>
    <col min="3595" max="3595" width="16.5703125" style="1186" customWidth="1"/>
    <col min="3596" max="3596" width="13.42578125" style="1186" customWidth="1"/>
    <col min="3597" max="3597" width="14" style="1186" customWidth="1"/>
    <col min="3598" max="3598" width="15.7109375" style="1186" customWidth="1"/>
    <col min="3599" max="3599" width="14" style="1186" customWidth="1"/>
    <col min="3600" max="3601" width="15.7109375" style="1186" customWidth="1"/>
    <col min="3602" max="3602" width="13.42578125" style="1186" customWidth="1"/>
    <col min="3603" max="3604" width="12.28515625" style="1186" customWidth="1"/>
    <col min="3605" max="3605" width="9.140625" style="1186"/>
    <col min="3606" max="3606" width="10.28515625" style="1186" bestFit="1" customWidth="1"/>
    <col min="3607" max="3607" width="14.7109375" style="1186" customWidth="1"/>
    <col min="3608" max="3608" width="17.42578125" style="1186" customWidth="1"/>
    <col min="3609" max="3609" width="15.42578125" style="1186" customWidth="1"/>
    <col min="3610" max="3841" width="9.140625" style="1186"/>
    <col min="3842" max="3842" width="37" style="1186" customWidth="1"/>
    <col min="3843" max="3843" width="0" style="1186" hidden="1" customWidth="1"/>
    <col min="3844" max="3844" width="20.140625" style="1186" customWidth="1"/>
    <col min="3845" max="3845" width="16.5703125" style="1186" customWidth="1"/>
    <col min="3846" max="3846" width="14" style="1186" customWidth="1"/>
    <col min="3847" max="3848" width="15.7109375" style="1186" customWidth="1"/>
    <col min="3849" max="3849" width="13.42578125" style="1186" bestFit="1" customWidth="1"/>
    <col min="3850" max="3850" width="16.140625" style="1186" customWidth="1"/>
    <col min="3851" max="3851" width="16.5703125" style="1186" customWidth="1"/>
    <col min="3852" max="3852" width="13.42578125" style="1186" customWidth="1"/>
    <col min="3853" max="3853" width="14" style="1186" customWidth="1"/>
    <col min="3854" max="3854" width="15.7109375" style="1186" customWidth="1"/>
    <col min="3855" max="3855" width="14" style="1186" customWidth="1"/>
    <col min="3856" max="3857" width="15.7109375" style="1186" customWidth="1"/>
    <col min="3858" max="3858" width="13.42578125" style="1186" customWidth="1"/>
    <col min="3859" max="3860" width="12.28515625" style="1186" customWidth="1"/>
    <col min="3861" max="3861" width="9.140625" style="1186"/>
    <col min="3862" max="3862" width="10.28515625" style="1186" bestFit="1" customWidth="1"/>
    <col min="3863" max="3863" width="14.7109375" style="1186" customWidth="1"/>
    <col min="3864" max="3864" width="17.42578125" style="1186" customWidth="1"/>
    <col min="3865" max="3865" width="15.42578125" style="1186" customWidth="1"/>
    <col min="3866" max="4097" width="9.140625" style="1186"/>
    <col min="4098" max="4098" width="37" style="1186" customWidth="1"/>
    <col min="4099" max="4099" width="0" style="1186" hidden="1" customWidth="1"/>
    <col min="4100" max="4100" width="20.140625" style="1186" customWidth="1"/>
    <col min="4101" max="4101" width="16.5703125" style="1186" customWidth="1"/>
    <col min="4102" max="4102" width="14" style="1186" customWidth="1"/>
    <col min="4103" max="4104" width="15.7109375" style="1186" customWidth="1"/>
    <col min="4105" max="4105" width="13.42578125" style="1186" bestFit="1" customWidth="1"/>
    <col min="4106" max="4106" width="16.140625" style="1186" customWidth="1"/>
    <col min="4107" max="4107" width="16.5703125" style="1186" customWidth="1"/>
    <col min="4108" max="4108" width="13.42578125" style="1186" customWidth="1"/>
    <col min="4109" max="4109" width="14" style="1186" customWidth="1"/>
    <col min="4110" max="4110" width="15.7109375" style="1186" customWidth="1"/>
    <col min="4111" max="4111" width="14" style="1186" customWidth="1"/>
    <col min="4112" max="4113" width="15.7109375" style="1186" customWidth="1"/>
    <col min="4114" max="4114" width="13.42578125" style="1186" customWidth="1"/>
    <col min="4115" max="4116" width="12.28515625" style="1186" customWidth="1"/>
    <col min="4117" max="4117" width="9.140625" style="1186"/>
    <col min="4118" max="4118" width="10.28515625" style="1186" bestFit="1" customWidth="1"/>
    <col min="4119" max="4119" width="14.7109375" style="1186" customWidth="1"/>
    <col min="4120" max="4120" width="17.42578125" style="1186" customWidth="1"/>
    <col min="4121" max="4121" width="15.42578125" style="1186" customWidth="1"/>
    <col min="4122" max="4353" width="9.140625" style="1186"/>
    <col min="4354" max="4354" width="37" style="1186" customWidth="1"/>
    <col min="4355" max="4355" width="0" style="1186" hidden="1" customWidth="1"/>
    <col min="4356" max="4356" width="20.140625" style="1186" customWidth="1"/>
    <col min="4357" max="4357" width="16.5703125" style="1186" customWidth="1"/>
    <col min="4358" max="4358" width="14" style="1186" customWidth="1"/>
    <col min="4359" max="4360" width="15.7109375" style="1186" customWidth="1"/>
    <col min="4361" max="4361" width="13.42578125" style="1186" bestFit="1" customWidth="1"/>
    <col min="4362" max="4362" width="16.140625" style="1186" customWidth="1"/>
    <col min="4363" max="4363" width="16.5703125" style="1186" customWidth="1"/>
    <col min="4364" max="4364" width="13.42578125" style="1186" customWidth="1"/>
    <col min="4365" max="4365" width="14" style="1186" customWidth="1"/>
    <col min="4366" max="4366" width="15.7109375" style="1186" customWidth="1"/>
    <col min="4367" max="4367" width="14" style="1186" customWidth="1"/>
    <col min="4368" max="4369" width="15.7109375" style="1186" customWidth="1"/>
    <col min="4370" max="4370" width="13.42578125" style="1186" customWidth="1"/>
    <col min="4371" max="4372" width="12.28515625" style="1186" customWidth="1"/>
    <col min="4373" max="4373" width="9.140625" style="1186"/>
    <col min="4374" max="4374" width="10.28515625" style="1186" bestFit="1" customWidth="1"/>
    <col min="4375" max="4375" width="14.7109375" style="1186" customWidth="1"/>
    <col min="4376" max="4376" width="17.42578125" style="1186" customWidth="1"/>
    <col min="4377" max="4377" width="15.42578125" style="1186" customWidth="1"/>
    <col min="4378" max="4609" width="9.140625" style="1186"/>
    <col min="4610" max="4610" width="37" style="1186" customWidth="1"/>
    <col min="4611" max="4611" width="0" style="1186" hidden="1" customWidth="1"/>
    <col min="4612" max="4612" width="20.140625" style="1186" customWidth="1"/>
    <col min="4613" max="4613" width="16.5703125" style="1186" customWidth="1"/>
    <col min="4614" max="4614" width="14" style="1186" customWidth="1"/>
    <col min="4615" max="4616" width="15.7109375" style="1186" customWidth="1"/>
    <col min="4617" max="4617" width="13.42578125" style="1186" bestFit="1" customWidth="1"/>
    <col min="4618" max="4618" width="16.140625" style="1186" customWidth="1"/>
    <col min="4619" max="4619" width="16.5703125" style="1186" customWidth="1"/>
    <col min="4620" max="4620" width="13.42578125" style="1186" customWidth="1"/>
    <col min="4621" max="4621" width="14" style="1186" customWidth="1"/>
    <col min="4622" max="4622" width="15.7109375" style="1186" customWidth="1"/>
    <col min="4623" max="4623" width="14" style="1186" customWidth="1"/>
    <col min="4624" max="4625" width="15.7109375" style="1186" customWidth="1"/>
    <col min="4626" max="4626" width="13.42578125" style="1186" customWidth="1"/>
    <col min="4627" max="4628" width="12.28515625" style="1186" customWidth="1"/>
    <col min="4629" max="4629" width="9.140625" style="1186"/>
    <col min="4630" max="4630" width="10.28515625" style="1186" bestFit="1" customWidth="1"/>
    <col min="4631" max="4631" width="14.7109375" style="1186" customWidth="1"/>
    <col min="4632" max="4632" width="17.42578125" style="1186" customWidth="1"/>
    <col min="4633" max="4633" width="15.42578125" style="1186" customWidth="1"/>
    <col min="4634" max="4865" width="9.140625" style="1186"/>
    <col min="4866" max="4866" width="37" style="1186" customWidth="1"/>
    <col min="4867" max="4867" width="0" style="1186" hidden="1" customWidth="1"/>
    <col min="4868" max="4868" width="20.140625" style="1186" customWidth="1"/>
    <col min="4869" max="4869" width="16.5703125" style="1186" customWidth="1"/>
    <col min="4870" max="4870" width="14" style="1186" customWidth="1"/>
    <col min="4871" max="4872" width="15.7109375" style="1186" customWidth="1"/>
    <col min="4873" max="4873" width="13.42578125" style="1186" bestFit="1" customWidth="1"/>
    <col min="4874" max="4874" width="16.140625" style="1186" customWidth="1"/>
    <col min="4875" max="4875" width="16.5703125" style="1186" customWidth="1"/>
    <col min="4876" max="4876" width="13.42578125" style="1186" customWidth="1"/>
    <col min="4877" max="4877" width="14" style="1186" customWidth="1"/>
    <col min="4878" max="4878" width="15.7109375" style="1186" customWidth="1"/>
    <col min="4879" max="4879" width="14" style="1186" customWidth="1"/>
    <col min="4880" max="4881" width="15.7109375" style="1186" customWidth="1"/>
    <col min="4882" max="4882" width="13.42578125" style="1186" customWidth="1"/>
    <col min="4883" max="4884" width="12.28515625" style="1186" customWidth="1"/>
    <col min="4885" max="4885" width="9.140625" style="1186"/>
    <col min="4886" max="4886" width="10.28515625" style="1186" bestFit="1" customWidth="1"/>
    <col min="4887" max="4887" width="14.7109375" style="1186" customWidth="1"/>
    <col min="4888" max="4888" width="17.42578125" style="1186" customWidth="1"/>
    <col min="4889" max="4889" width="15.42578125" style="1186" customWidth="1"/>
    <col min="4890" max="5121" width="9.140625" style="1186"/>
    <col min="5122" max="5122" width="37" style="1186" customWidth="1"/>
    <col min="5123" max="5123" width="0" style="1186" hidden="1" customWidth="1"/>
    <col min="5124" max="5124" width="20.140625" style="1186" customWidth="1"/>
    <col min="5125" max="5125" width="16.5703125" style="1186" customWidth="1"/>
    <col min="5126" max="5126" width="14" style="1186" customWidth="1"/>
    <col min="5127" max="5128" width="15.7109375" style="1186" customWidth="1"/>
    <col min="5129" max="5129" width="13.42578125" style="1186" bestFit="1" customWidth="1"/>
    <col min="5130" max="5130" width="16.140625" style="1186" customWidth="1"/>
    <col min="5131" max="5131" width="16.5703125" style="1186" customWidth="1"/>
    <col min="5132" max="5132" width="13.42578125" style="1186" customWidth="1"/>
    <col min="5133" max="5133" width="14" style="1186" customWidth="1"/>
    <col min="5134" max="5134" width="15.7109375" style="1186" customWidth="1"/>
    <col min="5135" max="5135" width="14" style="1186" customWidth="1"/>
    <col min="5136" max="5137" width="15.7109375" style="1186" customWidth="1"/>
    <col min="5138" max="5138" width="13.42578125" style="1186" customWidth="1"/>
    <col min="5139" max="5140" width="12.28515625" style="1186" customWidth="1"/>
    <col min="5141" max="5141" width="9.140625" style="1186"/>
    <col min="5142" max="5142" width="10.28515625" style="1186" bestFit="1" customWidth="1"/>
    <col min="5143" max="5143" width="14.7109375" style="1186" customWidth="1"/>
    <col min="5144" max="5144" width="17.42578125" style="1186" customWidth="1"/>
    <col min="5145" max="5145" width="15.42578125" style="1186" customWidth="1"/>
    <col min="5146" max="5377" width="9.140625" style="1186"/>
    <col min="5378" max="5378" width="37" style="1186" customWidth="1"/>
    <col min="5379" max="5379" width="0" style="1186" hidden="1" customWidth="1"/>
    <col min="5380" max="5380" width="20.140625" style="1186" customWidth="1"/>
    <col min="5381" max="5381" width="16.5703125" style="1186" customWidth="1"/>
    <col min="5382" max="5382" width="14" style="1186" customWidth="1"/>
    <col min="5383" max="5384" width="15.7109375" style="1186" customWidth="1"/>
    <col min="5385" max="5385" width="13.42578125" style="1186" bestFit="1" customWidth="1"/>
    <col min="5386" max="5386" width="16.140625" style="1186" customWidth="1"/>
    <col min="5387" max="5387" width="16.5703125" style="1186" customWidth="1"/>
    <col min="5388" max="5388" width="13.42578125" style="1186" customWidth="1"/>
    <col min="5389" max="5389" width="14" style="1186" customWidth="1"/>
    <col min="5390" max="5390" width="15.7109375" style="1186" customWidth="1"/>
    <col min="5391" max="5391" width="14" style="1186" customWidth="1"/>
    <col min="5392" max="5393" width="15.7109375" style="1186" customWidth="1"/>
    <col min="5394" max="5394" width="13.42578125" style="1186" customWidth="1"/>
    <col min="5395" max="5396" width="12.28515625" style="1186" customWidth="1"/>
    <col min="5397" max="5397" width="9.140625" style="1186"/>
    <col min="5398" max="5398" width="10.28515625" style="1186" bestFit="1" customWidth="1"/>
    <col min="5399" max="5399" width="14.7109375" style="1186" customWidth="1"/>
    <col min="5400" max="5400" width="17.42578125" style="1186" customWidth="1"/>
    <col min="5401" max="5401" width="15.42578125" style="1186" customWidth="1"/>
    <col min="5402" max="5633" width="9.140625" style="1186"/>
    <col min="5634" max="5634" width="37" style="1186" customWidth="1"/>
    <col min="5635" max="5635" width="0" style="1186" hidden="1" customWidth="1"/>
    <col min="5636" max="5636" width="20.140625" style="1186" customWidth="1"/>
    <col min="5637" max="5637" width="16.5703125" style="1186" customWidth="1"/>
    <col min="5638" max="5638" width="14" style="1186" customWidth="1"/>
    <col min="5639" max="5640" width="15.7109375" style="1186" customWidth="1"/>
    <col min="5641" max="5641" width="13.42578125" style="1186" bestFit="1" customWidth="1"/>
    <col min="5642" max="5642" width="16.140625" style="1186" customWidth="1"/>
    <col min="5643" max="5643" width="16.5703125" style="1186" customWidth="1"/>
    <col min="5644" max="5644" width="13.42578125" style="1186" customWidth="1"/>
    <col min="5645" max="5645" width="14" style="1186" customWidth="1"/>
    <col min="5646" max="5646" width="15.7109375" style="1186" customWidth="1"/>
    <col min="5647" max="5647" width="14" style="1186" customWidth="1"/>
    <col min="5648" max="5649" width="15.7109375" style="1186" customWidth="1"/>
    <col min="5650" max="5650" width="13.42578125" style="1186" customWidth="1"/>
    <col min="5651" max="5652" width="12.28515625" style="1186" customWidth="1"/>
    <col min="5653" max="5653" width="9.140625" style="1186"/>
    <col min="5654" max="5654" width="10.28515625" style="1186" bestFit="1" customWidth="1"/>
    <col min="5655" max="5655" width="14.7109375" style="1186" customWidth="1"/>
    <col min="5656" max="5656" width="17.42578125" style="1186" customWidth="1"/>
    <col min="5657" max="5657" width="15.42578125" style="1186" customWidth="1"/>
    <col min="5658" max="5889" width="9.140625" style="1186"/>
    <col min="5890" max="5890" width="37" style="1186" customWidth="1"/>
    <col min="5891" max="5891" width="0" style="1186" hidden="1" customWidth="1"/>
    <col min="5892" max="5892" width="20.140625" style="1186" customWidth="1"/>
    <col min="5893" max="5893" width="16.5703125" style="1186" customWidth="1"/>
    <col min="5894" max="5894" width="14" style="1186" customWidth="1"/>
    <col min="5895" max="5896" width="15.7109375" style="1186" customWidth="1"/>
    <col min="5897" max="5897" width="13.42578125" style="1186" bestFit="1" customWidth="1"/>
    <col min="5898" max="5898" width="16.140625" style="1186" customWidth="1"/>
    <col min="5899" max="5899" width="16.5703125" style="1186" customWidth="1"/>
    <col min="5900" max="5900" width="13.42578125" style="1186" customWidth="1"/>
    <col min="5901" max="5901" width="14" style="1186" customWidth="1"/>
    <col min="5902" max="5902" width="15.7109375" style="1186" customWidth="1"/>
    <col min="5903" max="5903" width="14" style="1186" customWidth="1"/>
    <col min="5904" max="5905" width="15.7109375" style="1186" customWidth="1"/>
    <col min="5906" max="5906" width="13.42578125" style="1186" customWidth="1"/>
    <col min="5907" max="5908" width="12.28515625" style="1186" customWidth="1"/>
    <col min="5909" max="5909" width="9.140625" style="1186"/>
    <col min="5910" max="5910" width="10.28515625" style="1186" bestFit="1" customWidth="1"/>
    <col min="5911" max="5911" width="14.7109375" style="1186" customWidth="1"/>
    <col min="5912" max="5912" width="17.42578125" style="1186" customWidth="1"/>
    <col min="5913" max="5913" width="15.42578125" style="1186" customWidth="1"/>
    <col min="5914" max="6145" width="9.140625" style="1186"/>
    <col min="6146" max="6146" width="37" style="1186" customWidth="1"/>
    <col min="6147" max="6147" width="0" style="1186" hidden="1" customWidth="1"/>
    <col min="6148" max="6148" width="20.140625" style="1186" customWidth="1"/>
    <col min="6149" max="6149" width="16.5703125" style="1186" customWidth="1"/>
    <col min="6150" max="6150" width="14" style="1186" customWidth="1"/>
    <col min="6151" max="6152" width="15.7109375" style="1186" customWidth="1"/>
    <col min="6153" max="6153" width="13.42578125" style="1186" bestFit="1" customWidth="1"/>
    <col min="6154" max="6154" width="16.140625" style="1186" customWidth="1"/>
    <col min="6155" max="6155" width="16.5703125" style="1186" customWidth="1"/>
    <col min="6156" max="6156" width="13.42578125" style="1186" customWidth="1"/>
    <col min="6157" max="6157" width="14" style="1186" customWidth="1"/>
    <col min="6158" max="6158" width="15.7109375" style="1186" customWidth="1"/>
    <col min="6159" max="6159" width="14" style="1186" customWidth="1"/>
    <col min="6160" max="6161" width="15.7109375" style="1186" customWidth="1"/>
    <col min="6162" max="6162" width="13.42578125" style="1186" customWidth="1"/>
    <col min="6163" max="6164" width="12.28515625" style="1186" customWidth="1"/>
    <col min="6165" max="6165" width="9.140625" style="1186"/>
    <col min="6166" max="6166" width="10.28515625" style="1186" bestFit="1" customWidth="1"/>
    <col min="6167" max="6167" width="14.7109375" style="1186" customWidth="1"/>
    <col min="6168" max="6168" width="17.42578125" style="1186" customWidth="1"/>
    <col min="6169" max="6169" width="15.42578125" style="1186" customWidth="1"/>
    <col min="6170" max="6401" width="9.140625" style="1186"/>
    <col min="6402" max="6402" width="37" style="1186" customWidth="1"/>
    <col min="6403" max="6403" width="0" style="1186" hidden="1" customWidth="1"/>
    <col min="6404" max="6404" width="20.140625" style="1186" customWidth="1"/>
    <col min="6405" max="6405" width="16.5703125" style="1186" customWidth="1"/>
    <col min="6406" max="6406" width="14" style="1186" customWidth="1"/>
    <col min="6407" max="6408" width="15.7109375" style="1186" customWidth="1"/>
    <col min="6409" max="6409" width="13.42578125" style="1186" bestFit="1" customWidth="1"/>
    <col min="6410" max="6410" width="16.140625" style="1186" customWidth="1"/>
    <col min="6411" max="6411" width="16.5703125" style="1186" customWidth="1"/>
    <col min="6412" max="6412" width="13.42578125" style="1186" customWidth="1"/>
    <col min="6413" max="6413" width="14" style="1186" customWidth="1"/>
    <col min="6414" max="6414" width="15.7109375" style="1186" customWidth="1"/>
    <col min="6415" max="6415" width="14" style="1186" customWidth="1"/>
    <col min="6416" max="6417" width="15.7109375" style="1186" customWidth="1"/>
    <col min="6418" max="6418" width="13.42578125" style="1186" customWidth="1"/>
    <col min="6419" max="6420" width="12.28515625" style="1186" customWidth="1"/>
    <col min="6421" max="6421" width="9.140625" style="1186"/>
    <col min="6422" max="6422" width="10.28515625" style="1186" bestFit="1" customWidth="1"/>
    <col min="6423" max="6423" width="14.7109375" style="1186" customWidth="1"/>
    <col min="6424" max="6424" width="17.42578125" style="1186" customWidth="1"/>
    <col min="6425" max="6425" width="15.42578125" style="1186" customWidth="1"/>
    <col min="6426" max="6657" width="9.140625" style="1186"/>
    <col min="6658" max="6658" width="37" style="1186" customWidth="1"/>
    <col min="6659" max="6659" width="0" style="1186" hidden="1" customWidth="1"/>
    <col min="6660" max="6660" width="20.140625" style="1186" customWidth="1"/>
    <col min="6661" max="6661" width="16.5703125" style="1186" customWidth="1"/>
    <col min="6662" max="6662" width="14" style="1186" customWidth="1"/>
    <col min="6663" max="6664" width="15.7109375" style="1186" customWidth="1"/>
    <col min="6665" max="6665" width="13.42578125" style="1186" bestFit="1" customWidth="1"/>
    <col min="6666" max="6666" width="16.140625" style="1186" customWidth="1"/>
    <col min="6667" max="6667" width="16.5703125" style="1186" customWidth="1"/>
    <col min="6668" max="6668" width="13.42578125" style="1186" customWidth="1"/>
    <col min="6669" max="6669" width="14" style="1186" customWidth="1"/>
    <col min="6670" max="6670" width="15.7109375" style="1186" customWidth="1"/>
    <col min="6671" max="6671" width="14" style="1186" customWidth="1"/>
    <col min="6672" max="6673" width="15.7109375" style="1186" customWidth="1"/>
    <col min="6674" max="6674" width="13.42578125" style="1186" customWidth="1"/>
    <col min="6675" max="6676" width="12.28515625" style="1186" customWidth="1"/>
    <col min="6677" max="6677" width="9.140625" style="1186"/>
    <col min="6678" max="6678" width="10.28515625" style="1186" bestFit="1" customWidth="1"/>
    <col min="6679" max="6679" width="14.7109375" style="1186" customWidth="1"/>
    <col min="6680" max="6680" width="17.42578125" style="1186" customWidth="1"/>
    <col min="6681" max="6681" width="15.42578125" style="1186" customWidth="1"/>
    <col min="6682" max="6913" width="9.140625" style="1186"/>
    <col min="6914" max="6914" width="37" style="1186" customWidth="1"/>
    <col min="6915" max="6915" width="0" style="1186" hidden="1" customWidth="1"/>
    <col min="6916" max="6916" width="20.140625" style="1186" customWidth="1"/>
    <col min="6917" max="6917" width="16.5703125" style="1186" customWidth="1"/>
    <col min="6918" max="6918" width="14" style="1186" customWidth="1"/>
    <col min="6919" max="6920" width="15.7109375" style="1186" customWidth="1"/>
    <col min="6921" max="6921" width="13.42578125" style="1186" bestFit="1" customWidth="1"/>
    <col min="6922" max="6922" width="16.140625" style="1186" customWidth="1"/>
    <col min="6923" max="6923" width="16.5703125" style="1186" customWidth="1"/>
    <col min="6924" max="6924" width="13.42578125" style="1186" customWidth="1"/>
    <col min="6925" max="6925" width="14" style="1186" customWidth="1"/>
    <col min="6926" max="6926" width="15.7109375" style="1186" customWidth="1"/>
    <col min="6927" max="6927" width="14" style="1186" customWidth="1"/>
    <col min="6928" max="6929" width="15.7109375" style="1186" customWidth="1"/>
    <col min="6930" max="6930" width="13.42578125" style="1186" customWidth="1"/>
    <col min="6931" max="6932" width="12.28515625" style="1186" customWidth="1"/>
    <col min="6933" max="6933" width="9.140625" style="1186"/>
    <col min="6934" max="6934" width="10.28515625" style="1186" bestFit="1" customWidth="1"/>
    <col min="6935" max="6935" width="14.7109375" style="1186" customWidth="1"/>
    <col min="6936" max="6936" width="17.42578125" style="1186" customWidth="1"/>
    <col min="6937" max="6937" width="15.42578125" style="1186" customWidth="1"/>
    <col min="6938" max="7169" width="9.140625" style="1186"/>
    <col min="7170" max="7170" width="37" style="1186" customWidth="1"/>
    <col min="7171" max="7171" width="0" style="1186" hidden="1" customWidth="1"/>
    <col min="7172" max="7172" width="20.140625" style="1186" customWidth="1"/>
    <col min="7173" max="7173" width="16.5703125" style="1186" customWidth="1"/>
    <col min="7174" max="7174" width="14" style="1186" customWidth="1"/>
    <col min="7175" max="7176" width="15.7109375" style="1186" customWidth="1"/>
    <col min="7177" max="7177" width="13.42578125" style="1186" bestFit="1" customWidth="1"/>
    <col min="7178" max="7178" width="16.140625" style="1186" customWidth="1"/>
    <col min="7179" max="7179" width="16.5703125" style="1186" customWidth="1"/>
    <col min="7180" max="7180" width="13.42578125" style="1186" customWidth="1"/>
    <col min="7181" max="7181" width="14" style="1186" customWidth="1"/>
    <col min="7182" max="7182" width="15.7109375" style="1186" customWidth="1"/>
    <col min="7183" max="7183" width="14" style="1186" customWidth="1"/>
    <col min="7184" max="7185" width="15.7109375" style="1186" customWidth="1"/>
    <col min="7186" max="7186" width="13.42578125" style="1186" customWidth="1"/>
    <col min="7187" max="7188" width="12.28515625" style="1186" customWidth="1"/>
    <col min="7189" max="7189" width="9.140625" style="1186"/>
    <col min="7190" max="7190" width="10.28515625" style="1186" bestFit="1" customWidth="1"/>
    <col min="7191" max="7191" width="14.7109375" style="1186" customWidth="1"/>
    <col min="7192" max="7192" width="17.42578125" style="1186" customWidth="1"/>
    <col min="7193" max="7193" width="15.42578125" style="1186" customWidth="1"/>
    <col min="7194" max="7425" width="9.140625" style="1186"/>
    <col min="7426" max="7426" width="37" style="1186" customWidth="1"/>
    <col min="7427" max="7427" width="0" style="1186" hidden="1" customWidth="1"/>
    <col min="7428" max="7428" width="20.140625" style="1186" customWidth="1"/>
    <col min="7429" max="7429" width="16.5703125" style="1186" customWidth="1"/>
    <col min="7430" max="7430" width="14" style="1186" customWidth="1"/>
    <col min="7431" max="7432" width="15.7109375" style="1186" customWidth="1"/>
    <col min="7433" max="7433" width="13.42578125" style="1186" bestFit="1" customWidth="1"/>
    <col min="7434" max="7434" width="16.140625" style="1186" customWidth="1"/>
    <col min="7435" max="7435" width="16.5703125" style="1186" customWidth="1"/>
    <col min="7436" max="7436" width="13.42578125" style="1186" customWidth="1"/>
    <col min="7437" max="7437" width="14" style="1186" customWidth="1"/>
    <col min="7438" max="7438" width="15.7109375" style="1186" customWidth="1"/>
    <col min="7439" max="7439" width="14" style="1186" customWidth="1"/>
    <col min="7440" max="7441" width="15.7109375" style="1186" customWidth="1"/>
    <col min="7442" max="7442" width="13.42578125" style="1186" customWidth="1"/>
    <col min="7443" max="7444" width="12.28515625" style="1186" customWidth="1"/>
    <col min="7445" max="7445" width="9.140625" style="1186"/>
    <col min="7446" max="7446" width="10.28515625" style="1186" bestFit="1" customWidth="1"/>
    <col min="7447" max="7447" width="14.7109375" style="1186" customWidth="1"/>
    <col min="7448" max="7448" width="17.42578125" style="1186" customWidth="1"/>
    <col min="7449" max="7449" width="15.42578125" style="1186" customWidth="1"/>
    <col min="7450" max="7681" width="9.140625" style="1186"/>
    <col min="7682" max="7682" width="37" style="1186" customWidth="1"/>
    <col min="7683" max="7683" width="0" style="1186" hidden="1" customWidth="1"/>
    <col min="7684" max="7684" width="20.140625" style="1186" customWidth="1"/>
    <col min="7685" max="7685" width="16.5703125" style="1186" customWidth="1"/>
    <col min="7686" max="7686" width="14" style="1186" customWidth="1"/>
    <col min="7687" max="7688" width="15.7109375" style="1186" customWidth="1"/>
    <col min="7689" max="7689" width="13.42578125" style="1186" bestFit="1" customWidth="1"/>
    <col min="7690" max="7690" width="16.140625" style="1186" customWidth="1"/>
    <col min="7691" max="7691" width="16.5703125" style="1186" customWidth="1"/>
    <col min="7692" max="7692" width="13.42578125" style="1186" customWidth="1"/>
    <col min="7693" max="7693" width="14" style="1186" customWidth="1"/>
    <col min="7694" max="7694" width="15.7109375" style="1186" customWidth="1"/>
    <col min="7695" max="7695" width="14" style="1186" customWidth="1"/>
    <col min="7696" max="7697" width="15.7109375" style="1186" customWidth="1"/>
    <col min="7698" max="7698" width="13.42578125" style="1186" customWidth="1"/>
    <col min="7699" max="7700" width="12.28515625" style="1186" customWidth="1"/>
    <col min="7701" max="7701" width="9.140625" style="1186"/>
    <col min="7702" max="7702" width="10.28515625" style="1186" bestFit="1" customWidth="1"/>
    <col min="7703" max="7703" width="14.7109375" style="1186" customWidth="1"/>
    <col min="7704" max="7704" width="17.42578125" style="1186" customWidth="1"/>
    <col min="7705" max="7705" width="15.42578125" style="1186" customWidth="1"/>
    <col min="7706" max="7937" width="9.140625" style="1186"/>
    <col min="7938" max="7938" width="37" style="1186" customWidth="1"/>
    <col min="7939" max="7939" width="0" style="1186" hidden="1" customWidth="1"/>
    <col min="7940" max="7940" width="20.140625" style="1186" customWidth="1"/>
    <col min="7941" max="7941" width="16.5703125" style="1186" customWidth="1"/>
    <col min="7942" max="7942" width="14" style="1186" customWidth="1"/>
    <col min="7943" max="7944" width="15.7109375" style="1186" customWidth="1"/>
    <col min="7945" max="7945" width="13.42578125" style="1186" bestFit="1" customWidth="1"/>
    <col min="7946" max="7946" width="16.140625" style="1186" customWidth="1"/>
    <col min="7947" max="7947" width="16.5703125" style="1186" customWidth="1"/>
    <col min="7948" max="7948" width="13.42578125" style="1186" customWidth="1"/>
    <col min="7949" max="7949" width="14" style="1186" customWidth="1"/>
    <col min="7950" max="7950" width="15.7109375" style="1186" customWidth="1"/>
    <col min="7951" max="7951" width="14" style="1186" customWidth="1"/>
    <col min="7952" max="7953" width="15.7109375" style="1186" customWidth="1"/>
    <col min="7954" max="7954" width="13.42578125" style="1186" customWidth="1"/>
    <col min="7955" max="7956" width="12.28515625" style="1186" customWidth="1"/>
    <col min="7957" max="7957" width="9.140625" style="1186"/>
    <col min="7958" max="7958" width="10.28515625" style="1186" bestFit="1" customWidth="1"/>
    <col min="7959" max="7959" width="14.7109375" style="1186" customWidth="1"/>
    <col min="7960" max="7960" width="17.42578125" style="1186" customWidth="1"/>
    <col min="7961" max="7961" width="15.42578125" style="1186" customWidth="1"/>
    <col min="7962" max="8193" width="9.140625" style="1186"/>
    <col min="8194" max="8194" width="37" style="1186" customWidth="1"/>
    <col min="8195" max="8195" width="0" style="1186" hidden="1" customWidth="1"/>
    <col min="8196" max="8196" width="20.140625" style="1186" customWidth="1"/>
    <col min="8197" max="8197" width="16.5703125" style="1186" customWidth="1"/>
    <col min="8198" max="8198" width="14" style="1186" customWidth="1"/>
    <col min="8199" max="8200" width="15.7109375" style="1186" customWidth="1"/>
    <col min="8201" max="8201" width="13.42578125" style="1186" bestFit="1" customWidth="1"/>
    <col min="8202" max="8202" width="16.140625" style="1186" customWidth="1"/>
    <col min="8203" max="8203" width="16.5703125" style="1186" customWidth="1"/>
    <col min="8204" max="8204" width="13.42578125" style="1186" customWidth="1"/>
    <col min="8205" max="8205" width="14" style="1186" customWidth="1"/>
    <col min="8206" max="8206" width="15.7109375" style="1186" customWidth="1"/>
    <col min="8207" max="8207" width="14" style="1186" customWidth="1"/>
    <col min="8208" max="8209" width="15.7109375" style="1186" customWidth="1"/>
    <col min="8210" max="8210" width="13.42578125" style="1186" customWidth="1"/>
    <col min="8211" max="8212" width="12.28515625" style="1186" customWidth="1"/>
    <col min="8213" max="8213" width="9.140625" style="1186"/>
    <col min="8214" max="8214" width="10.28515625" style="1186" bestFit="1" customWidth="1"/>
    <col min="8215" max="8215" width="14.7109375" style="1186" customWidth="1"/>
    <col min="8216" max="8216" width="17.42578125" style="1186" customWidth="1"/>
    <col min="8217" max="8217" width="15.42578125" style="1186" customWidth="1"/>
    <col min="8218" max="8449" width="9.140625" style="1186"/>
    <col min="8450" max="8450" width="37" style="1186" customWidth="1"/>
    <col min="8451" max="8451" width="0" style="1186" hidden="1" customWidth="1"/>
    <col min="8452" max="8452" width="20.140625" style="1186" customWidth="1"/>
    <col min="8453" max="8453" width="16.5703125" style="1186" customWidth="1"/>
    <col min="8454" max="8454" width="14" style="1186" customWidth="1"/>
    <col min="8455" max="8456" width="15.7109375" style="1186" customWidth="1"/>
    <col min="8457" max="8457" width="13.42578125" style="1186" bestFit="1" customWidth="1"/>
    <col min="8458" max="8458" width="16.140625" style="1186" customWidth="1"/>
    <col min="8459" max="8459" width="16.5703125" style="1186" customWidth="1"/>
    <col min="8460" max="8460" width="13.42578125" style="1186" customWidth="1"/>
    <col min="8461" max="8461" width="14" style="1186" customWidth="1"/>
    <col min="8462" max="8462" width="15.7109375" style="1186" customWidth="1"/>
    <col min="8463" max="8463" width="14" style="1186" customWidth="1"/>
    <col min="8464" max="8465" width="15.7109375" style="1186" customWidth="1"/>
    <col min="8466" max="8466" width="13.42578125" style="1186" customWidth="1"/>
    <col min="8467" max="8468" width="12.28515625" style="1186" customWidth="1"/>
    <col min="8469" max="8469" width="9.140625" style="1186"/>
    <col min="8470" max="8470" width="10.28515625" style="1186" bestFit="1" customWidth="1"/>
    <col min="8471" max="8471" width="14.7109375" style="1186" customWidth="1"/>
    <col min="8472" max="8472" width="17.42578125" style="1186" customWidth="1"/>
    <col min="8473" max="8473" width="15.42578125" style="1186" customWidth="1"/>
    <col min="8474" max="8705" width="9.140625" style="1186"/>
    <col min="8706" max="8706" width="37" style="1186" customWidth="1"/>
    <col min="8707" max="8707" width="0" style="1186" hidden="1" customWidth="1"/>
    <col min="8708" max="8708" width="20.140625" style="1186" customWidth="1"/>
    <col min="8709" max="8709" width="16.5703125" style="1186" customWidth="1"/>
    <col min="8710" max="8710" width="14" style="1186" customWidth="1"/>
    <col min="8711" max="8712" width="15.7109375" style="1186" customWidth="1"/>
    <col min="8713" max="8713" width="13.42578125" style="1186" bestFit="1" customWidth="1"/>
    <col min="8714" max="8714" width="16.140625" style="1186" customWidth="1"/>
    <col min="8715" max="8715" width="16.5703125" style="1186" customWidth="1"/>
    <col min="8716" max="8716" width="13.42578125" style="1186" customWidth="1"/>
    <col min="8717" max="8717" width="14" style="1186" customWidth="1"/>
    <col min="8718" max="8718" width="15.7109375" style="1186" customWidth="1"/>
    <col min="8719" max="8719" width="14" style="1186" customWidth="1"/>
    <col min="8720" max="8721" width="15.7109375" style="1186" customWidth="1"/>
    <col min="8722" max="8722" width="13.42578125" style="1186" customWidth="1"/>
    <col min="8723" max="8724" width="12.28515625" style="1186" customWidth="1"/>
    <col min="8725" max="8725" width="9.140625" style="1186"/>
    <col min="8726" max="8726" width="10.28515625" style="1186" bestFit="1" customWidth="1"/>
    <col min="8727" max="8727" width="14.7109375" style="1186" customWidth="1"/>
    <col min="8728" max="8728" width="17.42578125" style="1186" customWidth="1"/>
    <col min="8729" max="8729" width="15.42578125" style="1186" customWidth="1"/>
    <col min="8730" max="8961" width="9.140625" style="1186"/>
    <col min="8962" max="8962" width="37" style="1186" customWidth="1"/>
    <col min="8963" max="8963" width="0" style="1186" hidden="1" customWidth="1"/>
    <col min="8964" max="8964" width="20.140625" style="1186" customWidth="1"/>
    <col min="8965" max="8965" width="16.5703125" style="1186" customWidth="1"/>
    <col min="8966" max="8966" width="14" style="1186" customWidth="1"/>
    <col min="8967" max="8968" width="15.7109375" style="1186" customWidth="1"/>
    <col min="8969" max="8969" width="13.42578125" style="1186" bestFit="1" customWidth="1"/>
    <col min="8970" max="8970" width="16.140625" style="1186" customWidth="1"/>
    <col min="8971" max="8971" width="16.5703125" style="1186" customWidth="1"/>
    <col min="8972" max="8972" width="13.42578125" style="1186" customWidth="1"/>
    <col min="8973" max="8973" width="14" style="1186" customWidth="1"/>
    <col min="8974" max="8974" width="15.7109375" style="1186" customWidth="1"/>
    <col min="8975" max="8975" width="14" style="1186" customWidth="1"/>
    <col min="8976" max="8977" width="15.7109375" style="1186" customWidth="1"/>
    <col min="8978" max="8978" width="13.42578125" style="1186" customWidth="1"/>
    <col min="8979" max="8980" width="12.28515625" style="1186" customWidth="1"/>
    <col min="8981" max="8981" width="9.140625" style="1186"/>
    <col min="8982" max="8982" width="10.28515625" style="1186" bestFit="1" customWidth="1"/>
    <col min="8983" max="8983" width="14.7109375" style="1186" customWidth="1"/>
    <col min="8984" max="8984" width="17.42578125" style="1186" customWidth="1"/>
    <col min="8985" max="8985" width="15.42578125" style="1186" customWidth="1"/>
    <col min="8986" max="9217" width="9.140625" style="1186"/>
    <col min="9218" max="9218" width="37" style="1186" customWidth="1"/>
    <col min="9219" max="9219" width="0" style="1186" hidden="1" customWidth="1"/>
    <col min="9220" max="9220" width="20.140625" style="1186" customWidth="1"/>
    <col min="9221" max="9221" width="16.5703125" style="1186" customWidth="1"/>
    <col min="9222" max="9222" width="14" style="1186" customWidth="1"/>
    <col min="9223" max="9224" width="15.7109375" style="1186" customWidth="1"/>
    <col min="9225" max="9225" width="13.42578125" style="1186" bestFit="1" customWidth="1"/>
    <col min="9226" max="9226" width="16.140625" style="1186" customWidth="1"/>
    <col min="9227" max="9227" width="16.5703125" style="1186" customWidth="1"/>
    <col min="9228" max="9228" width="13.42578125" style="1186" customWidth="1"/>
    <col min="9229" max="9229" width="14" style="1186" customWidth="1"/>
    <col min="9230" max="9230" width="15.7109375" style="1186" customWidth="1"/>
    <col min="9231" max="9231" width="14" style="1186" customWidth="1"/>
    <col min="9232" max="9233" width="15.7109375" style="1186" customWidth="1"/>
    <col min="9234" max="9234" width="13.42578125" style="1186" customWidth="1"/>
    <col min="9235" max="9236" width="12.28515625" style="1186" customWidth="1"/>
    <col min="9237" max="9237" width="9.140625" style="1186"/>
    <col min="9238" max="9238" width="10.28515625" style="1186" bestFit="1" customWidth="1"/>
    <col min="9239" max="9239" width="14.7109375" style="1186" customWidth="1"/>
    <col min="9240" max="9240" width="17.42578125" style="1186" customWidth="1"/>
    <col min="9241" max="9241" width="15.42578125" style="1186" customWidth="1"/>
    <col min="9242" max="9473" width="9.140625" style="1186"/>
    <col min="9474" max="9474" width="37" style="1186" customWidth="1"/>
    <col min="9475" max="9475" width="0" style="1186" hidden="1" customWidth="1"/>
    <col min="9476" max="9476" width="20.140625" style="1186" customWidth="1"/>
    <col min="9477" max="9477" width="16.5703125" style="1186" customWidth="1"/>
    <col min="9478" max="9478" width="14" style="1186" customWidth="1"/>
    <col min="9479" max="9480" width="15.7109375" style="1186" customWidth="1"/>
    <col min="9481" max="9481" width="13.42578125" style="1186" bestFit="1" customWidth="1"/>
    <col min="9482" max="9482" width="16.140625" style="1186" customWidth="1"/>
    <col min="9483" max="9483" width="16.5703125" style="1186" customWidth="1"/>
    <col min="9484" max="9484" width="13.42578125" style="1186" customWidth="1"/>
    <col min="9485" max="9485" width="14" style="1186" customWidth="1"/>
    <col min="9486" max="9486" width="15.7109375" style="1186" customWidth="1"/>
    <col min="9487" max="9487" width="14" style="1186" customWidth="1"/>
    <col min="9488" max="9489" width="15.7109375" style="1186" customWidth="1"/>
    <col min="9490" max="9490" width="13.42578125" style="1186" customWidth="1"/>
    <col min="9491" max="9492" width="12.28515625" style="1186" customWidth="1"/>
    <col min="9493" max="9493" width="9.140625" style="1186"/>
    <col min="9494" max="9494" width="10.28515625" style="1186" bestFit="1" customWidth="1"/>
    <col min="9495" max="9495" width="14.7109375" style="1186" customWidth="1"/>
    <col min="9496" max="9496" width="17.42578125" style="1186" customWidth="1"/>
    <col min="9497" max="9497" width="15.42578125" style="1186" customWidth="1"/>
    <col min="9498" max="9729" width="9.140625" style="1186"/>
    <col min="9730" max="9730" width="37" style="1186" customWidth="1"/>
    <col min="9731" max="9731" width="0" style="1186" hidden="1" customWidth="1"/>
    <col min="9732" max="9732" width="20.140625" style="1186" customWidth="1"/>
    <col min="9733" max="9733" width="16.5703125" style="1186" customWidth="1"/>
    <col min="9734" max="9734" width="14" style="1186" customWidth="1"/>
    <col min="9735" max="9736" width="15.7109375" style="1186" customWidth="1"/>
    <col min="9737" max="9737" width="13.42578125" style="1186" bestFit="1" customWidth="1"/>
    <col min="9738" max="9738" width="16.140625" style="1186" customWidth="1"/>
    <col min="9739" max="9739" width="16.5703125" style="1186" customWidth="1"/>
    <col min="9740" max="9740" width="13.42578125" style="1186" customWidth="1"/>
    <col min="9741" max="9741" width="14" style="1186" customWidth="1"/>
    <col min="9742" max="9742" width="15.7109375" style="1186" customWidth="1"/>
    <col min="9743" max="9743" width="14" style="1186" customWidth="1"/>
    <col min="9744" max="9745" width="15.7109375" style="1186" customWidth="1"/>
    <col min="9746" max="9746" width="13.42578125" style="1186" customWidth="1"/>
    <col min="9747" max="9748" width="12.28515625" style="1186" customWidth="1"/>
    <col min="9749" max="9749" width="9.140625" style="1186"/>
    <col min="9750" max="9750" width="10.28515625" style="1186" bestFit="1" customWidth="1"/>
    <col min="9751" max="9751" width="14.7109375" style="1186" customWidth="1"/>
    <col min="9752" max="9752" width="17.42578125" style="1186" customWidth="1"/>
    <col min="9753" max="9753" width="15.42578125" style="1186" customWidth="1"/>
    <col min="9754" max="9985" width="9.140625" style="1186"/>
    <col min="9986" max="9986" width="37" style="1186" customWidth="1"/>
    <col min="9987" max="9987" width="0" style="1186" hidden="1" customWidth="1"/>
    <col min="9988" max="9988" width="20.140625" style="1186" customWidth="1"/>
    <col min="9989" max="9989" width="16.5703125" style="1186" customWidth="1"/>
    <col min="9990" max="9990" width="14" style="1186" customWidth="1"/>
    <col min="9991" max="9992" width="15.7109375" style="1186" customWidth="1"/>
    <col min="9993" max="9993" width="13.42578125" style="1186" bestFit="1" customWidth="1"/>
    <col min="9994" max="9994" width="16.140625" style="1186" customWidth="1"/>
    <col min="9995" max="9995" width="16.5703125" style="1186" customWidth="1"/>
    <col min="9996" max="9996" width="13.42578125" style="1186" customWidth="1"/>
    <col min="9997" max="9997" width="14" style="1186" customWidth="1"/>
    <col min="9998" max="9998" width="15.7109375" style="1186" customWidth="1"/>
    <col min="9999" max="9999" width="14" style="1186" customWidth="1"/>
    <col min="10000" max="10001" width="15.7109375" style="1186" customWidth="1"/>
    <col min="10002" max="10002" width="13.42578125" style="1186" customWidth="1"/>
    <col min="10003" max="10004" width="12.28515625" style="1186" customWidth="1"/>
    <col min="10005" max="10005" width="9.140625" style="1186"/>
    <col min="10006" max="10006" width="10.28515625" style="1186" bestFit="1" customWidth="1"/>
    <col min="10007" max="10007" width="14.7109375" style="1186" customWidth="1"/>
    <col min="10008" max="10008" width="17.42578125" style="1186" customWidth="1"/>
    <col min="10009" max="10009" width="15.42578125" style="1186" customWidth="1"/>
    <col min="10010" max="10241" width="9.140625" style="1186"/>
    <col min="10242" max="10242" width="37" style="1186" customWidth="1"/>
    <col min="10243" max="10243" width="0" style="1186" hidden="1" customWidth="1"/>
    <col min="10244" max="10244" width="20.140625" style="1186" customWidth="1"/>
    <col min="10245" max="10245" width="16.5703125" style="1186" customWidth="1"/>
    <col min="10246" max="10246" width="14" style="1186" customWidth="1"/>
    <col min="10247" max="10248" width="15.7109375" style="1186" customWidth="1"/>
    <col min="10249" max="10249" width="13.42578125" style="1186" bestFit="1" customWidth="1"/>
    <col min="10250" max="10250" width="16.140625" style="1186" customWidth="1"/>
    <col min="10251" max="10251" width="16.5703125" style="1186" customWidth="1"/>
    <col min="10252" max="10252" width="13.42578125" style="1186" customWidth="1"/>
    <col min="10253" max="10253" width="14" style="1186" customWidth="1"/>
    <col min="10254" max="10254" width="15.7109375" style="1186" customWidth="1"/>
    <col min="10255" max="10255" width="14" style="1186" customWidth="1"/>
    <col min="10256" max="10257" width="15.7109375" style="1186" customWidth="1"/>
    <col min="10258" max="10258" width="13.42578125" style="1186" customWidth="1"/>
    <col min="10259" max="10260" width="12.28515625" style="1186" customWidth="1"/>
    <col min="10261" max="10261" width="9.140625" style="1186"/>
    <col min="10262" max="10262" width="10.28515625" style="1186" bestFit="1" customWidth="1"/>
    <col min="10263" max="10263" width="14.7109375" style="1186" customWidth="1"/>
    <col min="10264" max="10264" width="17.42578125" style="1186" customWidth="1"/>
    <col min="10265" max="10265" width="15.42578125" style="1186" customWidth="1"/>
    <col min="10266" max="10497" width="9.140625" style="1186"/>
    <col min="10498" max="10498" width="37" style="1186" customWidth="1"/>
    <col min="10499" max="10499" width="0" style="1186" hidden="1" customWidth="1"/>
    <col min="10500" max="10500" width="20.140625" style="1186" customWidth="1"/>
    <col min="10501" max="10501" width="16.5703125" style="1186" customWidth="1"/>
    <col min="10502" max="10502" width="14" style="1186" customWidth="1"/>
    <col min="10503" max="10504" width="15.7109375" style="1186" customWidth="1"/>
    <col min="10505" max="10505" width="13.42578125" style="1186" bestFit="1" customWidth="1"/>
    <col min="10506" max="10506" width="16.140625" style="1186" customWidth="1"/>
    <col min="10507" max="10507" width="16.5703125" style="1186" customWidth="1"/>
    <col min="10508" max="10508" width="13.42578125" style="1186" customWidth="1"/>
    <col min="10509" max="10509" width="14" style="1186" customWidth="1"/>
    <col min="10510" max="10510" width="15.7109375" style="1186" customWidth="1"/>
    <col min="10511" max="10511" width="14" style="1186" customWidth="1"/>
    <col min="10512" max="10513" width="15.7109375" style="1186" customWidth="1"/>
    <col min="10514" max="10514" width="13.42578125" style="1186" customWidth="1"/>
    <col min="10515" max="10516" width="12.28515625" style="1186" customWidth="1"/>
    <col min="10517" max="10517" width="9.140625" style="1186"/>
    <col min="10518" max="10518" width="10.28515625" style="1186" bestFit="1" customWidth="1"/>
    <col min="10519" max="10519" width="14.7109375" style="1186" customWidth="1"/>
    <col min="10520" max="10520" width="17.42578125" style="1186" customWidth="1"/>
    <col min="10521" max="10521" width="15.42578125" style="1186" customWidth="1"/>
    <col min="10522" max="10753" width="9.140625" style="1186"/>
    <col min="10754" max="10754" width="37" style="1186" customWidth="1"/>
    <col min="10755" max="10755" width="0" style="1186" hidden="1" customWidth="1"/>
    <col min="10756" max="10756" width="20.140625" style="1186" customWidth="1"/>
    <col min="10757" max="10757" width="16.5703125" style="1186" customWidth="1"/>
    <col min="10758" max="10758" width="14" style="1186" customWidth="1"/>
    <col min="10759" max="10760" width="15.7109375" style="1186" customWidth="1"/>
    <col min="10761" max="10761" width="13.42578125" style="1186" bestFit="1" customWidth="1"/>
    <col min="10762" max="10762" width="16.140625" style="1186" customWidth="1"/>
    <col min="10763" max="10763" width="16.5703125" style="1186" customWidth="1"/>
    <col min="10764" max="10764" width="13.42578125" style="1186" customWidth="1"/>
    <col min="10765" max="10765" width="14" style="1186" customWidth="1"/>
    <col min="10766" max="10766" width="15.7109375" style="1186" customWidth="1"/>
    <col min="10767" max="10767" width="14" style="1186" customWidth="1"/>
    <col min="10768" max="10769" width="15.7109375" style="1186" customWidth="1"/>
    <col min="10770" max="10770" width="13.42578125" style="1186" customWidth="1"/>
    <col min="10771" max="10772" width="12.28515625" style="1186" customWidth="1"/>
    <col min="10773" max="10773" width="9.140625" style="1186"/>
    <col min="10774" max="10774" width="10.28515625" style="1186" bestFit="1" customWidth="1"/>
    <col min="10775" max="10775" width="14.7109375" style="1186" customWidth="1"/>
    <col min="10776" max="10776" width="17.42578125" style="1186" customWidth="1"/>
    <col min="10777" max="10777" width="15.42578125" style="1186" customWidth="1"/>
    <col min="10778" max="11009" width="9.140625" style="1186"/>
    <col min="11010" max="11010" width="37" style="1186" customWidth="1"/>
    <col min="11011" max="11011" width="0" style="1186" hidden="1" customWidth="1"/>
    <col min="11012" max="11012" width="20.140625" style="1186" customWidth="1"/>
    <col min="11013" max="11013" width="16.5703125" style="1186" customWidth="1"/>
    <col min="11014" max="11014" width="14" style="1186" customWidth="1"/>
    <col min="11015" max="11016" width="15.7109375" style="1186" customWidth="1"/>
    <col min="11017" max="11017" width="13.42578125" style="1186" bestFit="1" customWidth="1"/>
    <col min="11018" max="11018" width="16.140625" style="1186" customWidth="1"/>
    <col min="11019" max="11019" width="16.5703125" style="1186" customWidth="1"/>
    <col min="11020" max="11020" width="13.42578125" style="1186" customWidth="1"/>
    <col min="11021" max="11021" width="14" style="1186" customWidth="1"/>
    <col min="11022" max="11022" width="15.7109375" style="1186" customWidth="1"/>
    <col min="11023" max="11023" width="14" style="1186" customWidth="1"/>
    <col min="11024" max="11025" width="15.7109375" style="1186" customWidth="1"/>
    <col min="11026" max="11026" width="13.42578125" style="1186" customWidth="1"/>
    <col min="11027" max="11028" width="12.28515625" style="1186" customWidth="1"/>
    <col min="11029" max="11029" width="9.140625" style="1186"/>
    <col min="11030" max="11030" width="10.28515625" style="1186" bestFit="1" customWidth="1"/>
    <col min="11031" max="11031" width="14.7109375" style="1186" customWidth="1"/>
    <col min="11032" max="11032" width="17.42578125" style="1186" customWidth="1"/>
    <col min="11033" max="11033" width="15.42578125" style="1186" customWidth="1"/>
    <col min="11034" max="11265" width="9.140625" style="1186"/>
    <col min="11266" max="11266" width="37" style="1186" customWidth="1"/>
    <col min="11267" max="11267" width="0" style="1186" hidden="1" customWidth="1"/>
    <col min="11268" max="11268" width="20.140625" style="1186" customWidth="1"/>
    <col min="11269" max="11269" width="16.5703125" style="1186" customWidth="1"/>
    <col min="11270" max="11270" width="14" style="1186" customWidth="1"/>
    <col min="11271" max="11272" width="15.7109375" style="1186" customWidth="1"/>
    <col min="11273" max="11273" width="13.42578125" style="1186" bestFit="1" customWidth="1"/>
    <col min="11274" max="11274" width="16.140625" style="1186" customWidth="1"/>
    <col min="11275" max="11275" width="16.5703125" style="1186" customWidth="1"/>
    <col min="11276" max="11276" width="13.42578125" style="1186" customWidth="1"/>
    <col min="11277" max="11277" width="14" style="1186" customWidth="1"/>
    <col min="11278" max="11278" width="15.7109375" style="1186" customWidth="1"/>
    <col min="11279" max="11279" width="14" style="1186" customWidth="1"/>
    <col min="11280" max="11281" width="15.7109375" style="1186" customWidth="1"/>
    <col min="11282" max="11282" width="13.42578125" style="1186" customWidth="1"/>
    <col min="11283" max="11284" width="12.28515625" style="1186" customWidth="1"/>
    <col min="11285" max="11285" width="9.140625" style="1186"/>
    <col min="11286" max="11286" width="10.28515625" style="1186" bestFit="1" customWidth="1"/>
    <col min="11287" max="11287" width="14.7109375" style="1186" customWidth="1"/>
    <col min="11288" max="11288" width="17.42578125" style="1186" customWidth="1"/>
    <col min="11289" max="11289" width="15.42578125" style="1186" customWidth="1"/>
    <col min="11290" max="11521" width="9.140625" style="1186"/>
    <col min="11522" max="11522" width="37" style="1186" customWidth="1"/>
    <col min="11523" max="11523" width="0" style="1186" hidden="1" customWidth="1"/>
    <col min="11524" max="11524" width="20.140625" style="1186" customWidth="1"/>
    <col min="11525" max="11525" width="16.5703125" style="1186" customWidth="1"/>
    <col min="11526" max="11526" width="14" style="1186" customWidth="1"/>
    <col min="11527" max="11528" width="15.7109375" style="1186" customWidth="1"/>
    <col min="11529" max="11529" width="13.42578125" style="1186" bestFit="1" customWidth="1"/>
    <col min="11530" max="11530" width="16.140625" style="1186" customWidth="1"/>
    <col min="11531" max="11531" width="16.5703125" style="1186" customWidth="1"/>
    <col min="11532" max="11532" width="13.42578125" style="1186" customWidth="1"/>
    <col min="11533" max="11533" width="14" style="1186" customWidth="1"/>
    <col min="11534" max="11534" width="15.7109375" style="1186" customWidth="1"/>
    <col min="11535" max="11535" width="14" style="1186" customWidth="1"/>
    <col min="11536" max="11537" width="15.7109375" style="1186" customWidth="1"/>
    <col min="11538" max="11538" width="13.42578125" style="1186" customWidth="1"/>
    <col min="11539" max="11540" width="12.28515625" style="1186" customWidth="1"/>
    <col min="11541" max="11541" width="9.140625" style="1186"/>
    <col min="11542" max="11542" width="10.28515625" style="1186" bestFit="1" customWidth="1"/>
    <col min="11543" max="11543" width="14.7109375" style="1186" customWidth="1"/>
    <col min="11544" max="11544" width="17.42578125" style="1186" customWidth="1"/>
    <col min="11545" max="11545" width="15.42578125" style="1186" customWidth="1"/>
    <col min="11546" max="11777" width="9.140625" style="1186"/>
    <col min="11778" max="11778" width="37" style="1186" customWidth="1"/>
    <col min="11779" max="11779" width="0" style="1186" hidden="1" customWidth="1"/>
    <col min="11780" max="11780" width="20.140625" style="1186" customWidth="1"/>
    <col min="11781" max="11781" width="16.5703125" style="1186" customWidth="1"/>
    <col min="11782" max="11782" width="14" style="1186" customWidth="1"/>
    <col min="11783" max="11784" width="15.7109375" style="1186" customWidth="1"/>
    <col min="11785" max="11785" width="13.42578125" style="1186" bestFit="1" customWidth="1"/>
    <col min="11786" max="11786" width="16.140625" style="1186" customWidth="1"/>
    <col min="11787" max="11787" width="16.5703125" style="1186" customWidth="1"/>
    <col min="11788" max="11788" width="13.42578125" style="1186" customWidth="1"/>
    <col min="11789" max="11789" width="14" style="1186" customWidth="1"/>
    <col min="11790" max="11790" width="15.7109375" style="1186" customWidth="1"/>
    <col min="11791" max="11791" width="14" style="1186" customWidth="1"/>
    <col min="11792" max="11793" width="15.7109375" style="1186" customWidth="1"/>
    <col min="11794" max="11794" width="13.42578125" style="1186" customWidth="1"/>
    <col min="11795" max="11796" width="12.28515625" style="1186" customWidth="1"/>
    <col min="11797" max="11797" width="9.140625" style="1186"/>
    <col min="11798" max="11798" width="10.28515625" style="1186" bestFit="1" customWidth="1"/>
    <col min="11799" max="11799" width="14.7109375" style="1186" customWidth="1"/>
    <col min="11800" max="11800" width="17.42578125" style="1186" customWidth="1"/>
    <col min="11801" max="11801" width="15.42578125" style="1186" customWidth="1"/>
    <col min="11802" max="12033" width="9.140625" style="1186"/>
    <col min="12034" max="12034" width="37" style="1186" customWidth="1"/>
    <col min="12035" max="12035" width="0" style="1186" hidden="1" customWidth="1"/>
    <col min="12036" max="12036" width="20.140625" style="1186" customWidth="1"/>
    <col min="12037" max="12037" width="16.5703125" style="1186" customWidth="1"/>
    <col min="12038" max="12038" width="14" style="1186" customWidth="1"/>
    <col min="12039" max="12040" width="15.7109375" style="1186" customWidth="1"/>
    <col min="12041" max="12041" width="13.42578125" style="1186" bestFit="1" customWidth="1"/>
    <col min="12042" max="12042" width="16.140625" style="1186" customWidth="1"/>
    <col min="12043" max="12043" width="16.5703125" style="1186" customWidth="1"/>
    <col min="12044" max="12044" width="13.42578125" style="1186" customWidth="1"/>
    <col min="12045" max="12045" width="14" style="1186" customWidth="1"/>
    <col min="12046" max="12046" width="15.7109375" style="1186" customWidth="1"/>
    <col min="12047" max="12047" width="14" style="1186" customWidth="1"/>
    <col min="12048" max="12049" width="15.7109375" style="1186" customWidth="1"/>
    <col min="12050" max="12050" width="13.42578125" style="1186" customWidth="1"/>
    <col min="12051" max="12052" width="12.28515625" style="1186" customWidth="1"/>
    <col min="12053" max="12053" width="9.140625" style="1186"/>
    <col min="12054" max="12054" width="10.28515625" style="1186" bestFit="1" customWidth="1"/>
    <col min="12055" max="12055" width="14.7109375" style="1186" customWidth="1"/>
    <col min="12056" max="12056" width="17.42578125" style="1186" customWidth="1"/>
    <col min="12057" max="12057" width="15.42578125" style="1186" customWidth="1"/>
    <col min="12058" max="12289" width="9.140625" style="1186"/>
    <col min="12290" max="12290" width="37" style="1186" customWidth="1"/>
    <col min="12291" max="12291" width="0" style="1186" hidden="1" customWidth="1"/>
    <col min="12292" max="12292" width="20.140625" style="1186" customWidth="1"/>
    <col min="12293" max="12293" width="16.5703125" style="1186" customWidth="1"/>
    <col min="12294" max="12294" width="14" style="1186" customWidth="1"/>
    <col min="12295" max="12296" width="15.7109375" style="1186" customWidth="1"/>
    <col min="12297" max="12297" width="13.42578125" style="1186" bestFit="1" customWidth="1"/>
    <col min="12298" max="12298" width="16.140625" style="1186" customWidth="1"/>
    <col min="12299" max="12299" width="16.5703125" style="1186" customWidth="1"/>
    <col min="12300" max="12300" width="13.42578125" style="1186" customWidth="1"/>
    <col min="12301" max="12301" width="14" style="1186" customWidth="1"/>
    <col min="12302" max="12302" width="15.7109375" style="1186" customWidth="1"/>
    <col min="12303" max="12303" width="14" style="1186" customWidth="1"/>
    <col min="12304" max="12305" width="15.7109375" style="1186" customWidth="1"/>
    <col min="12306" max="12306" width="13.42578125" style="1186" customWidth="1"/>
    <col min="12307" max="12308" width="12.28515625" style="1186" customWidth="1"/>
    <col min="12309" max="12309" width="9.140625" style="1186"/>
    <col min="12310" max="12310" width="10.28515625" style="1186" bestFit="1" customWidth="1"/>
    <col min="12311" max="12311" width="14.7109375" style="1186" customWidth="1"/>
    <col min="12312" max="12312" width="17.42578125" style="1186" customWidth="1"/>
    <col min="12313" max="12313" width="15.42578125" style="1186" customWidth="1"/>
    <col min="12314" max="12545" width="9.140625" style="1186"/>
    <col min="12546" max="12546" width="37" style="1186" customWidth="1"/>
    <col min="12547" max="12547" width="0" style="1186" hidden="1" customWidth="1"/>
    <col min="12548" max="12548" width="20.140625" style="1186" customWidth="1"/>
    <col min="12549" max="12549" width="16.5703125" style="1186" customWidth="1"/>
    <col min="12550" max="12550" width="14" style="1186" customWidth="1"/>
    <col min="12551" max="12552" width="15.7109375" style="1186" customWidth="1"/>
    <col min="12553" max="12553" width="13.42578125" style="1186" bestFit="1" customWidth="1"/>
    <col min="12554" max="12554" width="16.140625" style="1186" customWidth="1"/>
    <col min="12555" max="12555" width="16.5703125" style="1186" customWidth="1"/>
    <col min="12556" max="12556" width="13.42578125" style="1186" customWidth="1"/>
    <col min="12557" max="12557" width="14" style="1186" customWidth="1"/>
    <col min="12558" max="12558" width="15.7109375" style="1186" customWidth="1"/>
    <col min="12559" max="12559" width="14" style="1186" customWidth="1"/>
    <col min="12560" max="12561" width="15.7109375" style="1186" customWidth="1"/>
    <col min="12562" max="12562" width="13.42578125" style="1186" customWidth="1"/>
    <col min="12563" max="12564" width="12.28515625" style="1186" customWidth="1"/>
    <col min="12565" max="12565" width="9.140625" style="1186"/>
    <col min="12566" max="12566" width="10.28515625" style="1186" bestFit="1" customWidth="1"/>
    <col min="12567" max="12567" width="14.7109375" style="1186" customWidth="1"/>
    <col min="12568" max="12568" width="17.42578125" style="1186" customWidth="1"/>
    <col min="12569" max="12569" width="15.42578125" style="1186" customWidth="1"/>
    <col min="12570" max="12801" width="9.140625" style="1186"/>
    <col min="12802" max="12802" width="37" style="1186" customWidth="1"/>
    <col min="12803" max="12803" width="0" style="1186" hidden="1" customWidth="1"/>
    <col min="12804" max="12804" width="20.140625" style="1186" customWidth="1"/>
    <col min="12805" max="12805" width="16.5703125" style="1186" customWidth="1"/>
    <col min="12806" max="12806" width="14" style="1186" customWidth="1"/>
    <col min="12807" max="12808" width="15.7109375" style="1186" customWidth="1"/>
    <col min="12809" max="12809" width="13.42578125" style="1186" bestFit="1" customWidth="1"/>
    <col min="12810" max="12810" width="16.140625" style="1186" customWidth="1"/>
    <col min="12811" max="12811" width="16.5703125" style="1186" customWidth="1"/>
    <col min="12812" max="12812" width="13.42578125" style="1186" customWidth="1"/>
    <col min="12813" max="12813" width="14" style="1186" customWidth="1"/>
    <col min="12814" max="12814" width="15.7109375" style="1186" customWidth="1"/>
    <col min="12815" max="12815" width="14" style="1186" customWidth="1"/>
    <col min="12816" max="12817" width="15.7109375" style="1186" customWidth="1"/>
    <col min="12818" max="12818" width="13.42578125" style="1186" customWidth="1"/>
    <col min="12819" max="12820" width="12.28515625" style="1186" customWidth="1"/>
    <col min="12821" max="12821" width="9.140625" style="1186"/>
    <col min="12822" max="12822" width="10.28515625" style="1186" bestFit="1" customWidth="1"/>
    <col min="12823" max="12823" width="14.7109375" style="1186" customWidth="1"/>
    <col min="12824" max="12824" width="17.42578125" style="1186" customWidth="1"/>
    <col min="12825" max="12825" width="15.42578125" style="1186" customWidth="1"/>
    <col min="12826" max="13057" width="9.140625" style="1186"/>
    <col min="13058" max="13058" width="37" style="1186" customWidth="1"/>
    <col min="13059" max="13059" width="0" style="1186" hidden="1" customWidth="1"/>
    <col min="13060" max="13060" width="20.140625" style="1186" customWidth="1"/>
    <col min="13061" max="13061" width="16.5703125" style="1186" customWidth="1"/>
    <col min="13062" max="13062" width="14" style="1186" customWidth="1"/>
    <col min="13063" max="13064" width="15.7109375" style="1186" customWidth="1"/>
    <col min="13065" max="13065" width="13.42578125" style="1186" bestFit="1" customWidth="1"/>
    <col min="13066" max="13066" width="16.140625" style="1186" customWidth="1"/>
    <col min="13067" max="13067" width="16.5703125" style="1186" customWidth="1"/>
    <col min="13068" max="13068" width="13.42578125" style="1186" customWidth="1"/>
    <col min="13069" max="13069" width="14" style="1186" customWidth="1"/>
    <col min="13070" max="13070" width="15.7109375" style="1186" customWidth="1"/>
    <col min="13071" max="13071" width="14" style="1186" customWidth="1"/>
    <col min="13072" max="13073" width="15.7109375" style="1186" customWidth="1"/>
    <col min="13074" max="13074" width="13.42578125" style="1186" customWidth="1"/>
    <col min="13075" max="13076" width="12.28515625" style="1186" customWidth="1"/>
    <col min="13077" max="13077" width="9.140625" style="1186"/>
    <col min="13078" max="13078" width="10.28515625" style="1186" bestFit="1" customWidth="1"/>
    <col min="13079" max="13079" width="14.7109375" style="1186" customWidth="1"/>
    <col min="13080" max="13080" width="17.42578125" style="1186" customWidth="1"/>
    <col min="13081" max="13081" width="15.42578125" style="1186" customWidth="1"/>
    <col min="13082" max="13313" width="9.140625" style="1186"/>
    <col min="13314" max="13314" width="37" style="1186" customWidth="1"/>
    <col min="13315" max="13315" width="0" style="1186" hidden="1" customWidth="1"/>
    <col min="13316" max="13316" width="20.140625" style="1186" customWidth="1"/>
    <col min="13317" max="13317" width="16.5703125" style="1186" customWidth="1"/>
    <col min="13318" max="13318" width="14" style="1186" customWidth="1"/>
    <col min="13319" max="13320" width="15.7109375" style="1186" customWidth="1"/>
    <col min="13321" max="13321" width="13.42578125" style="1186" bestFit="1" customWidth="1"/>
    <col min="13322" max="13322" width="16.140625" style="1186" customWidth="1"/>
    <col min="13323" max="13323" width="16.5703125" style="1186" customWidth="1"/>
    <col min="13324" max="13324" width="13.42578125" style="1186" customWidth="1"/>
    <col min="13325" max="13325" width="14" style="1186" customWidth="1"/>
    <col min="13326" max="13326" width="15.7109375" style="1186" customWidth="1"/>
    <col min="13327" max="13327" width="14" style="1186" customWidth="1"/>
    <col min="13328" max="13329" width="15.7109375" style="1186" customWidth="1"/>
    <col min="13330" max="13330" width="13.42578125" style="1186" customWidth="1"/>
    <col min="13331" max="13332" width="12.28515625" style="1186" customWidth="1"/>
    <col min="13333" max="13333" width="9.140625" style="1186"/>
    <col min="13334" max="13334" width="10.28515625" style="1186" bestFit="1" customWidth="1"/>
    <col min="13335" max="13335" width="14.7109375" style="1186" customWidth="1"/>
    <col min="13336" max="13336" width="17.42578125" style="1186" customWidth="1"/>
    <col min="13337" max="13337" width="15.42578125" style="1186" customWidth="1"/>
    <col min="13338" max="13569" width="9.140625" style="1186"/>
    <col min="13570" max="13570" width="37" style="1186" customWidth="1"/>
    <col min="13571" max="13571" width="0" style="1186" hidden="1" customWidth="1"/>
    <col min="13572" max="13572" width="20.140625" style="1186" customWidth="1"/>
    <col min="13573" max="13573" width="16.5703125" style="1186" customWidth="1"/>
    <col min="13574" max="13574" width="14" style="1186" customWidth="1"/>
    <col min="13575" max="13576" width="15.7109375" style="1186" customWidth="1"/>
    <col min="13577" max="13577" width="13.42578125" style="1186" bestFit="1" customWidth="1"/>
    <col min="13578" max="13578" width="16.140625" style="1186" customWidth="1"/>
    <col min="13579" max="13579" width="16.5703125" style="1186" customWidth="1"/>
    <col min="13580" max="13580" width="13.42578125" style="1186" customWidth="1"/>
    <col min="13581" max="13581" width="14" style="1186" customWidth="1"/>
    <col min="13582" max="13582" width="15.7109375" style="1186" customWidth="1"/>
    <col min="13583" max="13583" width="14" style="1186" customWidth="1"/>
    <col min="13584" max="13585" width="15.7109375" style="1186" customWidth="1"/>
    <col min="13586" max="13586" width="13.42578125" style="1186" customWidth="1"/>
    <col min="13587" max="13588" width="12.28515625" style="1186" customWidth="1"/>
    <col min="13589" max="13589" width="9.140625" style="1186"/>
    <col min="13590" max="13590" width="10.28515625" style="1186" bestFit="1" customWidth="1"/>
    <col min="13591" max="13591" width="14.7109375" style="1186" customWidth="1"/>
    <col min="13592" max="13592" width="17.42578125" style="1186" customWidth="1"/>
    <col min="13593" max="13593" width="15.42578125" style="1186" customWidth="1"/>
    <col min="13594" max="13825" width="9.140625" style="1186"/>
    <col min="13826" max="13826" width="37" style="1186" customWidth="1"/>
    <col min="13827" max="13827" width="0" style="1186" hidden="1" customWidth="1"/>
    <col min="13828" max="13828" width="20.140625" style="1186" customWidth="1"/>
    <col min="13829" max="13829" width="16.5703125" style="1186" customWidth="1"/>
    <col min="13830" max="13830" width="14" style="1186" customWidth="1"/>
    <col min="13831" max="13832" width="15.7109375" style="1186" customWidth="1"/>
    <col min="13833" max="13833" width="13.42578125" style="1186" bestFit="1" customWidth="1"/>
    <col min="13834" max="13834" width="16.140625" style="1186" customWidth="1"/>
    <col min="13835" max="13835" width="16.5703125" style="1186" customWidth="1"/>
    <col min="13836" max="13836" width="13.42578125" style="1186" customWidth="1"/>
    <col min="13837" max="13837" width="14" style="1186" customWidth="1"/>
    <col min="13838" max="13838" width="15.7109375" style="1186" customWidth="1"/>
    <col min="13839" max="13839" width="14" style="1186" customWidth="1"/>
    <col min="13840" max="13841" width="15.7109375" style="1186" customWidth="1"/>
    <col min="13842" max="13842" width="13.42578125" style="1186" customWidth="1"/>
    <col min="13843" max="13844" width="12.28515625" style="1186" customWidth="1"/>
    <col min="13845" max="13845" width="9.140625" style="1186"/>
    <col min="13846" max="13846" width="10.28515625" style="1186" bestFit="1" customWidth="1"/>
    <col min="13847" max="13847" width="14.7109375" style="1186" customWidth="1"/>
    <col min="13848" max="13848" width="17.42578125" style="1186" customWidth="1"/>
    <col min="13849" max="13849" width="15.42578125" style="1186" customWidth="1"/>
    <col min="13850" max="14081" width="9.140625" style="1186"/>
    <col min="14082" max="14082" width="37" style="1186" customWidth="1"/>
    <col min="14083" max="14083" width="0" style="1186" hidden="1" customWidth="1"/>
    <col min="14084" max="14084" width="20.140625" style="1186" customWidth="1"/>
    <col min="14085" max="14085" width="16.5703125" style="1186" customWidth="1"/>
    <col min="14086" max="14086" width="14" style="1186" customWidth="1"/>
    <col min="14087" max="14088" width="15.7109375" style="1186" customWidth="1"/>
    <col min="14089" max="14089" width="13.42578125" style="1186" bestFit="1" customWidth="1"/>
    <col min="14090" max="14090" width="16.140625" style="1186" customWidth="1"/>
    <col min="14091" max="14091" width="16.5703125" style="1186" customWidth="1"/>
    <col min="14092" max="14092" width="13.42578125" style="1186" customWidth="1"/>
    <col min="14093" max="14093" width="14" style="1186" customWidth="1"/>
    <col min="14094" max="14094" width="15.7109375" style="1186" customWidth="1"/>
    <col min="14095" max="14095" width="14" style="1186" customWidth="1"/>
    <col min="14096" max="14097" width="15.7109375" style="1186" customWidth="1"/>
    <col min="14098" max="14098" width="13.42578125" style="1186" customWidth="1"/>
    <col min="14099" max="14100" width="12.28515625" style="1186" customWidth="1"/>
    <col min="14101" max="14101" width="9.140625" style="1186"/>
    <col min="14102" max="14102" width="10.28515625" style="1186" bestFit="1" customWidth="1"/>
    <col min="14103" max="14103" width="14.7109375" style="1186" customWidth="1"/>
    <col min="14104" max="14104" width="17.42578125" style="1186" customWidth="1"/>
    <col min="14105" max="14105" width="15.42578125" style="1186" customWidth="1"/>
    <col min="14106" max="14337" width="9.140625" style="1186"/>
    <col min="14338" max="14338" width="37" style="1186" customWidth="1"/>
    <col min="14339" max="14339" width="0" style="1186" hidden="1" customWidth="1"/>
    <col min="14340" max="14340" width="20.140625" style="1186" customWidth="1"/>
    <col min="14341" max="14341" width="16.5703125" style="1186" customWidth="1"/>
    <col min="14342" max="14342" width="14" style="1186" customWidth="1"/>
    <col min="14343" max="14344" width="15.7109375" style="1186" customWidth="1"/>
    <col min="14345" max="14345" width="13.42578125" style="1186" bestFit="1" customWidth="1"/>
    <col min="14346" max="14346" width="16.140625" style="1186" customWidth="1"/>
    <col min="14347" max="14347" width="16.5703125" style="1186" customWidth="1"/>
    <col min="14348" max="14348" width="13.42578125" style="1186" customWidth="1"/>
    <col min="14349" max="14349" width="14" style="1186" customWidth="1"/>
    <col min="14350" max="14350" width="15.7109375" style="1186" customWidth="1"/>
    <col min="14351" max="14351" width="14" style="1186" customWidth="1"/>
    <col min="14352" max="14353" width="15.7109375" style="1186" customWidth="1"/>
    <col min="14354" max="14354" width="13.42578125" style="1186" customWidth="1"/>
    <col min="14355" max="14356" width="12.28515625" style="1186" customWidth="1"/>
    <col min="14357" max="14357" width="9.140625" style="1186"/>
    <col min="14358" max="14358" width="10.28515625" style="1186" bestFit="1" customWidth="1"/>
    <col min="14359" max="14359" width="14.7109375" style="1186" customWidth="1"/>
    <col min="14360" max="14360" width="17.42578125" style="1186" customWidth="1"/>
    <col min="14361" max="14361" width="15.42578125" style="1186" customWidth="1"/>
    <col min="14362" max="14593" width="9.140625" style="1186"/>
    <col min="14594" max="14594" width="37" style="1186" customWidth="1"/>
    <col min="14595" max="14595" width="0" style="1186" hidden="1" customWidth="1"/>
    <col min="14596" max="14596" width="20.140625" style="1186" customWidth="1"/>
    <col min="14597" max="14597" width="16.5703125" style="1186" customWidth="1"/>
    <col min="14598" max="14598" width="14" style="1186" customWidth="1"/>
    <col min="14599" max="14600" width="15.7109375" style="1186" customWidth="1"/>
    <col min="14601" max="14601" width="13.42578125" style="1186" bestFit="1" customWidth="1"/>
    <col min="14602" max="14602" width="16.140625" style="1186" customWidth="1"/>
    <col min="14603" max="14603" width="16.5703125" style="1186" customWidth="1"/>
    <col min="14604" max="14604" width="13.42578125" style="1186" customWidth="1"/>
    <col min="14605" max="14605" width="14" style="1186" customWidth="1"/>
    <col min="14606" max="14606" width="15.7109375" style="1186" customWidth="1"/>
    <col min="14607" max="14607" width="14" style="1186" customWidth="1"/>
    <col min="14608" max="14609" width="15.7109375" style="1186" customWidth="1"/>
    <col min="14610" max="14610" width="13.42578125" style="1186" customWidth="1"/>
    <col min="14611" max="14612" width="12.28515625" style="1186" customWidth="1"/>
    <col min="14613" max="14613" width="9.140625" style="1186"/>
    <col min="14614" max="14614" width="10.28515625" style="1186" bestFit="1" customWidth="1"/>
    <col min="14615" max="14615" width="14.7109375" style="1186" customWidth="1"/>
    <col min="14616" max="14616" width="17.42578125" style="1186" customWidth="1"/>
    <col min="14617" max="14617" width="15.42578125" style="1186" customWidth="1"/>
    <col min="14618" max="14849" width="9.140625" style="1186"/>
    <col min="14850" max="14850" width="37" style="1186" customWidth="1"/>
    <col min="14851" max="14851" width="0" style="1186" hidden="1" customWidth="1"/>
    <col min="14852" max="14852" width="20.140625" style="1186" customWidth="1"/>
    <col min="14853" max="14853" width="16.5703125" style="1186" customWidth="1"/>
    <col min="14854" max="14854" width="14" style="1186" customWidth="1"/>
    <col min="14855" max="14856" width="15.7109375" style="1186" customWidth="1"/>
    <col min="14857" max="14857" width="13.42578125" style="1186" bestFit="1" customWidth="1"/>
    <col min="14858" max="14858" width="16.140625" style="1186" customWidth="1"/>
    <col min="14859" max="14859" width="16.5703125" style="1186" customWidth="1"/>
    <col min="14860" max="14860" width="13.42578125" style="1186" customWidth="1"/>
    <col min="14861" max="14861" width="14" style="1186" customWidth="1"/>
    <col min="14862" max="14862" width="15.7109375" style="1186" customWidth="1"/>
    <col min="14863" max="14863" width="14" style="1186" customWidth="1"/>
    <col min="14864" max="14865" width="15.7109375" style="1186" customWidth="1"/>
    <col min="14866" max="14866" width="13.42578125" style="1186" customWidth="1"/>
    <col min="14867" max="14868" width="12.28515625" style="1186" customWidth="1"/>
    <col min="14869" max="14869" width="9.140625" style="1186"/>
    <col min="14870" max="14870" width="10.28515625" style="1186" bestFit="1" customWidth="1"/>
    <col min="14871" max="14871" width="14.7109375" style="1186" customWidth="1"/>
    <col min="14872" max="14872" width="17.42578125" style="1186" customWidth="1"/>
    <col min="14873" max="14873" width="15.42578125" style="1186" customWidth="1"/>
    <col min="14874" max="15105" width="9.140625" style="1186"/>
    <col min="15106" max="15106" width="37" style="1186" customWidth="1"/>
    <col min="15107" max="15107" width="0" style="1186" hidden="1" customWidth="1"/>
    <col min="15108" max="15108" width="20.140625" style="1186" customWidth="1"/>
    <col min="15109" max="15109" width="16.5703125" style="1186" customWidth="1"/>
    <col min="15110" max="15110" width="14" style="1186" customWidth="1"/>
    <col min="15111" max="15112" width="15.7109375" style="1186" customWidth="1"/>
    <col min="15113" max="15113" width="13.42578125" style="1186" bestFit="1" customWidth="1"/>
    <col min="15114" max="15114" width="16.140625" style="1186" customWidth="1"/>
    <col min="15115" max="15115" width="16.5703125" style="1186" customWidth="1"/>
    <col min="15116" max="15116" width="13.42578125" style="1186" customWidth="1"/>
    <col min="15117" max="15117" width="14" style="1186" customWidth="1"/>
    <col min="15118" max="15118" width="15.7109375" style="1186" customWidth="1"/>
    <col min="15119" max="15119" width="14" style="1186" customWidth="1"/>
    <col min="15120" max="15121" width="15.7109375" style="1186" customWidth="1"/>
    <col min="15122" max="15122" width="13.42578125" style="1186" customWidth="1"/>
    <col min="15123" max="15124" width="12.28515625" style="1186" customWidth="1"/>
    <col min="15125" max="15125" width="9.140625" style="1186"/>
    <col min="15126" max="15126" width="10.28515625" style="1186" bestFit="1" customWidth="1"/>
    <col min="15127" max="15127" width="14.7109375" style="1186" customWidth="1"/>
    <col min="15128" max="15128" width="17.42578125" style="1186" customWidth="1"/>
    <col min="15129" max="15129" width="15.42578125" style="1186" customWidth="1"/>
    <col min="15130" max="15361" width="9.140625" style="1186"/>
    <col min="15362" max="15362" width="37" style="1186" customWidth="1"/>
    <col min="15363" max="15363" width="0" style="1186" hidden="1" customWidth="1"/>
    <col min="15364" max="15364" width="20.140625" style="1186" customWidth="1"/>
    <col min="15365" max="15365" width="16.5703125" style="1186" customWidth="1"/>
    <col min="15366" max="15366" width="14" style="1186" customWidth="1"/>
    <col min="15367" max="15368" width="15.7109375" style="1186" customWidth="1"/>
    <col min="15369" max="15369" width="13.42578125" style="1186" bestFit="1" customWidth="1"/>
    <col min="15370" max="15370" width="16.140625" style="1186" customWidth="1"/>
    <col min="15371" max="15371" width="16.5703125" style="1186" customWidth="1"/>
    <col min="15372" max="15372" width="13.42578125" style="1186" customWidth="1"/>
    <col min="15373" max="15373" width="14" style="1186" customWidth="1"/>
    <col min="15374" max="15374" width="15.7109375" style="1186" customWidth="1"/>
    <col min="15375" max="15375" width="14" style="1186" customWidth="1"/>
    <col min="15376" max="15377" width="15.7109375" style="1186" customWidth="1"/>
    <col min="15378" max="15378" width="13.42578125" style="1186" customWidth="1"/>
    <col min="15379" max="15380" width="12.28515625" style="1186" customWidth="1"/>
    <col min="15381" max="15381" width="9.140625" style="1186"/>
    <col min="15382" max="15382" width="10.28515625" style="1186" bestFit="1" customWidth="1"/>
    <col min="15383" max="15383" width="14.7109375" style="1186" customWidth="1"/>
    <col min="15384" max="15384" width="17.42578125" style="1186" customWidth="1"/>
    <col min="15385" max="15385" width="15.42578125" style="1186" customWidth="1"/>
    <col min="15386" max="15617" width="9.140625" style="1186"/>
    <col min="15618" max="15618" width="37" style="1186" customWidth="1"/>
    <col min="15619" max="15619" width="0" style="1186" hidden="1" customWidth="1"/>
    <col min="15620" max="15620" width="20.140625" style="1186" customWidth="1"/>
    <col min="15621" max="15621" width="16.5703125" style="1186" customWidth="1"/>
    <col min="15622" max="15622" width="14" style="1186" customWidth="1"/>
    <col min="15623" max="15624" width="15.7109375" style="1186" customWidth="1"/>
    <col min="15625" max="15625" width="13.42578125" style="1186" bestFit="1" customWidth="1"/>
    <col min="15626" max="15626" width="16.140625" style="1186" customWidth="1"/>
    <col min="15627" max="15627" width="16.5703125" style="1186" customWidth="1"/>
    <col min="15628" max="15628" width="13.42578125" style="1186" customWidth="1"/>
    <col min="15629" max="15629" width="14" style="1186" customWidth="1"/>
    <col min="15630" max="15630" width="15.7109375" style="1186" customWidth="1"/>
    <col min="15631" max="15631" width="14" style="1186" customWidth="1"/>
    <col min="15632" max="15633" width="15.7109375" style="1186" customWidth="1"/>
    <col min="15634" max="15634" width="13.42578125" style="1186" customWidth="1"/>
    <col min="15635" max="15636" width="12.28515625" style="1186" customWidth="1"/>
    <col min="15637" max="15637" width="9.140625" style="1186"/>
    <col min="15638" max="15638" width="10.28515625" style="1186" bestFit="1" customWidth="1"/>
    <col min="15639" max="15639" width="14.7109375" style="1186" customWidth="1"/>
    <col min="15640" max="15640" width="17.42578125" style="1186" customWidth="1"/>
    <col min="15641" max="15641" width="15.42578125" style="1186" customWidth="1"/>
    <col min="15642" max="15873" width="9.140625" style="1186"/>
    <col min="15874" max="15874" width="37" style="1186" customWidth="1"/>
    <col min="15875" max="15875" width="0" style="1186" hidden="1" customWidth="1"/>
    <col min="15876" max="15876" width="20.140625" style="1186" customWidth="1"/>
    <col min="15877" max="15877" width="16.5703125" style="1186" customWidth="1"/>
    <col min="15878" max="15878" width="14" style="1186" customWidth="1"/>
    <col min="15879" max="15880" width="15.7109375" style="1186" customWidth="1"/>
    <col min="15881" max="15881" width="13.42578125" style="1186" bestFit="1" customWidth="1"/>
    <col min="15882" max="15882" width="16.140625" style="1186" customWidth="1"/>
    <col min="15883" max="15883" width="16.5703125" style="1186" customWidth="1"/>
    <col min="15884" max="15884" width="13.42578125" style="1186" customWidth="1"/>
    <col min="15885" max="15885" width="14" style="1186" customWidth="1"/>
    <col min="15886" max="15886" width="15.7109375" style="1186" customWidth="1"/>
    <col min="15887" max="15887" width="14" style="1186" customWidth="1"/>
    <col min="15888" max="15889" width="15.7109375" style="1186" customWidth="1"/>
    <col min="15890" max="15890" width="13.42578125" style="1186" customWidth="1"/>
    <col min="15891" max="15892" width="12.28515625" style="1186" customWidth="1"/>
    <col min="15893" max="15893" width="9.140625" style="1186"/>
    <col min="15894" max="15894" width="10.28515625" style="1186" bestFit="1" customWidth="1"/>
    <col min="15895" max="15895" width="14.7109375" style="1186" customWidth="1"/>
    <col min="15896" max="15896" width="17.42578125" style="1186" customWidth="1"/>
    <col min="15897" max="15897" width="15.42578125" style="1186" customWidth="1"/>
    <col min="15898" max="16129" width="9.140625" style="1186"/>
    <col min="16130" max="16130" width="37" style="1186" customWidth="1"/>
    <col min="16131" max="16131" width="0" style="1186" hidden="1" customWidth="1"/>
    <col min="16132" max="16132" width="20.140625" style="1186" customWidth="1"/>
    <col min="16133" max="16133" width="16.5703125" style="1186" customWidth="1"/>
    <col min="16134" max="16134" width="14" style="1186" customWidth="1"/>
    <col min="16135" max="16136" width="15.7109375" style="1186" customWidth="1"/>
    <col min="16137" max="16137" width="13.42578125" style="1186" bestFit="1" customWidth="1"/>
    <col min="16138" max="16138" width="16.140625" style="1186" customWidth="1"/>
    <col min="16139" max="16139" width="16.5703125" style="1186" customWidth="1"/>
    <col min="16140" max="16140" width="13.42578125" style="1186" customWidth="1"/>
    <col min="16141" max="16141" width="14" style="1186" customWidth="1"/>
    <col min="16142" max="16142" width="15.7109375" style="1186" customWidth="1"/>
    <col min="16143" max="16143" width="14" style="1186" customWidth="1"/>
    <col min="16144" max="16145" width="15.7109375" style="1186" customWidth="1"/>
    <col min="16146" max="16146" width="13.42578125" style="1186" customWidth="1"/>
    <col min="16147" max="16148" width="12.28515625" style="1186" customWidth="1"/>
    <col min="16149" max="16149" width="9.140625" style="1186"/>
    <col min="16150" max="16150" width="10.28515625" style="1186" bestFit="1" customWidth="1"/>
    <col min="16151" max="16151" width="14.7109375" style="1186" customWidth="1"/>
    <col min="16152" max="16152" width="17.42578125" style="1186" customWidth="1"/>
    <col min="16153" max="16153" width="15.42578125" style="1186" customWidth="1"/>
    <col min="16154" max="16384" width="9.140625" style="1186"/>
  </cols>
  <sheetData>
    <row r="1" spans="1:22">
      <c r="A1" s="6260" t="s">
        <v>2337</v>
      </c>
      <c r="B1" s="6261"/>
      <c r="C1" s="6261"/>
      <c r="D1" s="6261"/>
      <c r="E1" s="6261"/>
      <c r="F1" s="6261"/>
      <c r="G1" s="6261"/>
      <c r="H1" s="6261"/>
      <c r="I1" s="6261"/>
      <c r="J1" s="6261"/>
      <c r="K1" s="6261"/>
      <c r="L1" s="6261"/>
      <c r="M1" s="6261"/>
      <c r="N1" s="6261"/>
      <c r="O1" s="6261"/>
      <c r="P1" s="6261"/>
      <c r="Q1" s="6261"/>
      <c r="R1" s="6261"/>
      <c r="S1" s="6261"/>
      <c r="T1" s="6261"/>
    </row>
    <row r="2" spans="1:22">
      <c r="A2" s="6262" t="s">
        <v>856</v>
      </c>
      <c r="B2" s="6263" t="s">
        <v>857</v>
      </c>
      <c r="C2" s="920" t="s">
        <v>858</v>
      </c>
      <c r="D2" s="6264" t="s">
        <v>859</v>
      </c>
      <c r="E2" s="6264"/>
      <c r="F2" s="6265" t="s">
        <v>1005</v>
      </c>
      <c r="G2" s="6265"/>
      <c r="H2" s="6265"/>
      <c r="I2" s="6265" t="s">
        <v>861</v>
      </c>
      <c r="J2" s="6265"/>
      <c r="K2" s="6265"/>
      <c r="L2" s="6265" t="s">
        <v>862</v>
      </c>
      <c r="M2" s="6265"/>
      <c r="N2" s="6265"/>
      <c r="O2" s="6265" t="s">
        <v>1007</v>
      </c>
      <c r="P2" s="6265"/>
      <c r="Q2" s="6265"/>
      <c r="R2" s="6266" t="s">
        <v>1008</v>
      </c>
      <c r="S2" s="6266"/>
      <c r="T2" s="6266"/>
    </row>
    <row r="3" spans="1:22">
      <c r="A3" s="6262"/>
      <c r="B3" s="6263"/>
      <c r="C3" s="920" t="s">
        <v>865</v>
      </c>
      <c r="D3" s="1326" t="s">
        <v>866</v>
      </c>
      <c r="E3" s="1326" t="s">
        <v>867</v>
      </c>
      <c r="F3" s="1327" t="s">
        <v>868</v>
      </c>
      <c r="G3" s="1327" t="s">
        <v>869</v>
      </c>
      <c r="H3" s="1327" t="s">
        <v>499</v>
      </c>
      <c r="I3" s="1327" t="s">
        <v>868</v>
      </c>
      <c r="J3" s="1327" t="s">
        <v>869</v>
      </c>
      <c r="K3" s="1327" t="s">
        <v>499</v>
      </c>
      <c r="L3" s="1327" t="s">
        <v>868</v>
      </c>
      <c r="M3" s="1327" t="s">
        <v>869</v>
      </c>
      <c r="N3" s="1327" t="s">
        <v>499</v>
      </c>
      <c r="O3" s="1327" t="s">
        <v>868</v>
      </c>
      <c r="P3" s="1327" t="s">
        <v>869</v>
      </c>
      <c r="Q3" s="1327" t="s">
        <v>499</v>
      </c>
      <c r="R3" s="1760" t="s">
        <v>868</v>
      </c>
      <c r="S3" s="1760" t="s">
        <v>869</v>
      </c>
      <c r="T3" s="1760" t="s">
        <v>499</v>
      </c>
    </row>
    <row r="4" spans="1:22">
      <c r="A4" s="1330" t="s">
        <v>870</v>
      </c>
      <c r="B4" s="1329" t="s">
        <v>871</v>
      </c>
      <c r="C4" s="1379"/>
      <c r="D4" s="1762"/>
      <c r="E4" s="1762"/>
      <c r="F4" s="1763"/>
      <c r="G4" s="1763"/>
      <c r="H4" s="1764"/>
      <c r="I4" s="1763"/>
      <c r="J4" s="1763"/>
      <c r="K4" s="1763"/>
      <c r="L4" s="1763"/>
      <c r="M4" s="1763"/>
      <c r="N4" s="1763"/>
      <c r="O4" s="1763"/>
      <c r="P4" s="1763"/>
      <c r="Q4" s="1763"/>
      <c r="R4" s="1765"/>
      <c r="S4" s="1765"/>
      <c r="T4" s="1765"/>
    </row>
    <row r="5" spans="1:22">
      <c r="A5" s="6270">
        <v>1</v>
      </c>
      <c r="B5" s="6268" t="s">
        <v>872</v>
      </c>
      <c r="C5" s="1779">
        <v>0.1075</v>
      </c>
      <c r="D5" s="1491" t="s">
        <v>873</v>
      </c>
      <c r="E5" s="1491" t="s">
        <v>874</v>
      </c>
      <c r="F5" s="1354">
        <v>0</v>
      </c>
      <c r="G5" s="1354">
        <f>H5</f>
        <v>815</v>
      </c>
      <c r="H5" s="1354">
        <v>815</v>
      </c>
      <c r="I5" s="1354">
        <v>0</v>
      </c>
      <c r="J5" s="1354">
        <f>K5</f>
        <v>0</v>
      </c>
      <c r="K5" s="1354">
        <v>0</v>
      </c>
      <c r="L5" s="1354">
        <v>0</v>
      </c>
      <c r="M5" s="1354">
        <f>N5</f>
        <v>815</v>
      </c>
      <c r="N5" s="1354">
        <f>'[114]31.10.12'!$N$7</f>
        <v>815</v>
      </c>
      <c r="O5" s="1354">
        <v>0</v>
      </c>
      <c r="P5" s="1354">
        <f>Q5</f>
        <v>0</v>
      </c>
      <c r="Q5" s="1354">
        <f>(H5+K5-N5)</f>
        <v>0</v>
      </c>
      <c r="R5" s="1354">
        <v>0</v>
      </c>
      <c r="S5" s="1354">
        <f>T5</f>
        <v>13.51</v>
      </c>
      <c r="T5" s="1354">
        <f>'[114]31.10.12'!$T$7</f>
        <v>13.51</v>
      </c>
      <c r="V5" s="1190"/>
    </row>
    <row r="6" spans="1:22">
      <c r="A6" s="6270"/>
      <c r="B6" s="6268"/>
      <c r="C6" s="1779">
        <v>0.1075</v>
      </c>
      <c r="D6" s="1491" t="s">
        <v>875</v>
      </c>
      <c r="E6" s="1491" t="s">
        <v>876</v>
      </c>
      <c r="F6" s="1354">
        <v>0</v>
      </c>
      <c r="G6" s="1354">
        <f>(H6)</f>
        <v>1650</v>
      </c>
      <c r="H6" s="1354">
        <v>1650</v>
      </c>
      <c r="I6" s="1354">
        <v>0</v>
      </c>
      <c r="J6" s="1354">
        <f>(K6)</f>
        <v>0</v>
      </c>
      <c r="K6" s="1354">
        <v>0</v>
      </c>
      <c r="L6" s="1354">
        <v>0</v>
      </c>
      <c r="M6" s="1354">
        <f>(N6)</f>
        <v>1650</v>
      </c>
      <c r="N6" s="1354">
        <f>'[114]31.10.12'!$N$8+'[114]30.11.12'!$N$7</f>
        <v>1650</v>
      </c>
      <c r="O6" s="1354">
        <v>0</v>
      </c>
      <c r="P6" s="1354">
        <f>(Q6)</f>
        <v>0</v>
      </c>
      <c r="Q6" s="1354">
        <f t="shared" ref="Q6:Q35" si="0">(H6+K6-N6)</f>
        <v>0</v>
      </c>
      <c r="R6" s="1354">
        <v>0</v>
      </c>
      <c r="S6" s="1354">
        <f>(T6)</f>
        <v>31.990000000000002</v>
      </c>
      <c r="T6" s="1354">
        <f>'[114]31.10.12'!$T$8+'[114]30.11.12'!$T$7</f>
        <v>31.990000000000002</v>
      </c>
      <c r="V6" s="1190"/>
    </row>
    <row r="7" spans="1:22">
      <c r="A7" s="6270"/>
      <c r="B7" s="6268"/>
      <c r="C7" s="1779">
        <v>0.1075</v>
      </c>
      <c r="D7" s="1491" t="s">
        <v>877</v>
      </c>
      <c r="E7" s="1491" t="s">
        <v>878</v>
      </c>
      <c r="F7" s="1354">
        <f>H7</f>
        <v>2485</v>
      </c>
      <c r="G7" s="1354">
        <v>0</v>
      </c>
      <c r="H7" s="1354">
        <v>2485</v>
      </c>
      <c r="I7" s="1354">
        <f>K7</f>
        <v>0</v>
      </c>
      <c r="J7" s="1354">
        <v>0</v>
      </c>
      <c r="K7" s="1354">
        <v>0</v>
      </c>
      <c r="L7" s="1354">
        <f>N7</f>
        <v>2485</v>
      </c>
      <c r="M7" s="1354">
        <v>0</v>
      </c>
      <c r="N7" s="1354">
        <f>'[114]31.10.12'!$N$9+'[114]30.11.12'!$N$8</f>
        <v>2485</v>
      </c>
      <c r="O7" s="1354">
        <f>Q7</f>
        <v>0</v>
      </c>
      <c r="P7" s="1354">
        <v>0</v>
      </c>
      <c r="Q7" s="1354">
        <f t="shared" si="0"/>
        <v>0</v>
      </c>
      <c r="R7" s="1354">
        <f>T7</f>
        <v>52.7</v>
      </c>
      <c r="S7" s="1354">
        <v>0</v>
      </c>
      <c r="T7" s="1354">
        <f>'[114]31.10.12'!$T$9+'[114]30.11.12'!$T$8+'[114]31.12.12'!$T$7</f>
        <v>52.7</v>
      </c>
      <c r="V7" s="1190"/>
    </row>
    <row r="8" spans="1:22">
      <c r="A8" s="6270"/>
      <c r="B8" s="6268"/>
      <c r="C8" s="1779">
        <v>0.1075</v>
      </c>
      <c r="D8" s="1491" t="s">
        <v>879</v>
      </c>
      <c r="E8" s="1491" t="s">
        <v>880</v>
      </c>
      <c r="F8" s="1354">
        <f>H8</f>
        <v>2485</v>
      </c>
      <c r="G8" s="1354">
        <v>0</v>
      </c>
      <c r="H8" s="1354">
        <v>2485</v>
      </c>
      <c r="I8" s="1354">
        <f>K8</f>
        <v>0</v>
      </c>
      <c r="J8" s="1354">
        <v>0</v>
      </c>
      <c r="K8" s="1354">
        <v>0</v>
      </c>
      <c r="L8" s="1354">
        <f>N8</f>
        <v>2485</v>
      </c>
      <c r="M8" s="1354">
        <v>0</v>
      </c>
      <c r="N8" s="1354">
        <f>'[114]31.10.12'!$N$10+'[114]30.11.12'!$N$9+'[114]31.12.12'!$N$8</f>
        <v>2485</v>
      </c>
      <c r="O8" s="1354">
        <f>Q8</f>
        <v>0</v>
      </c>
      <c r="P8" s="1354">
        <v>0</v>
      </c>
      <c r="Q8" s="1354">
        <f t="shared" si="0"/>
        <v>0</v>
      </c>
      <c r="R8" s="1354">
        <f>T8</f>
        <v>52.050000000000004</v>
      </c>
      <c r="S8" s="1354">
        <v>0</v>
      </c>
      <c r="T8" s="1354">
        <f>'[114]31.10.12'!$T$10+'[114]30.11.12'!$T$9+'[114]31.12.12'!$T$8</f>
        <v>52.050000000000004</v>
      </c>
      <c r="V8" s="1190"/>
    </row>
    <row r="9" spans="1:22">
      <c r="A9" s="6270"/>
      <c r="B9" s="6268"/>
      <c r="C9" s="1779">
        <v>0.1075</v>
      </c>
      <c r="D9" s="1491" t="s">
        <v>881</v>
      </c>
      <c r="E9" s="1491" t="s">
        <v>882</v>
      </c>
      <c r="F9" s="1354">
        <v>0</v>
      </c>
      <c r="G9" s="1354">
        <f>H9</f>
        <v>3320</v>
      </c>
      <c r="H9" s="1354">
        <v>3320</v>
      </c>
      <c r="I9" s="1354">
        <v>0</v>
      </c>
      <c r="J9" s="1354">
        <f>(K9)</f>
        <v>0</v>
      </c>
      <c r="K9" s="1354">
        <v>0</v>
      </c>
      <c r="L9" s="1354">
        <v>0</v>
      </c>
      <c r="M9" s="1354">
        <f>N9</f>
        <v>2505</v>
      </c>
      <c r="N9" s="1354">
        <f>'[114]31.10.12'!$N$11+'[114]30.11.12'!$N$10+'[114]31.12.12'!$N$9</f>
        <v>2505</v>
      </c>
      <c r="O9" s="1354">
        <v>0</v>
      </c>
      <c r="P9" s="1354">
        <f>Q9</f>
        <v>815</v>
      </c>
      <c r="Q9" s="1354">
        <f t="shared" si="0"/>
        <v>815</v>
      </c>
      <c r="R9" s="1354">
        <v>0</v>
      </c>
      <c r="S9" s="1354">
        <f>(T9)</f>
        <v>78.48</v>
      </c>
      <c r="T9" s="1354">
        <f>'[114]31.10.12'!$T$11+'[114]30.11.12'!$T$10+'[114]31.12.12'!$T$9</f>
        <v>78.48</v>
      </c>
      <c r="V9" s="1190"/>
    </row>
    <row r="10" spans="1:22">
      <c r="A10" s="6270"/>
      <c r="B10" s="6268"/>
      <c r="C10" s="1779">
        <v>0.1075</v>
      </c>
      <c r="D10" s="1491" t="s">
        <v>883</v>
      </c>
      <c r="E10" s="1491" t="s">
        <v>884</v>
      </c>
      <c r="F10" s="1354">
        <v>0</v>
      </c>
      <c r="G10" s="1354">
        <f>H10</f>
        <v>3320</v>
      </c>
      <c r="H10" s="1354">
        <v>3320</v>
      </c>
      <c r="I10" s="1354">
        <v>0</v>
      </c>
      <c r="J10" s="1354">
        <f>(K10)</f>
        <v>0</v>
      </c>
      <c r="K10" s="1354">
        <v>0</v>
      </c>
      <c r="L10" s="1354">
        <v>0</v>
      </c>
      <c r="M10" s="1354">
        <f>N10</f>
        <v>2505</v>
      </c>
      <c r="N10" s="1354">
        <f>'[114]31.10.12'!$N$12+'[114]30.11.12'!$N$11+'[114]31.12.12'!$N$10</f>
        <v>2505</v>
      </c>
      <c r="O10" s="1354">
        <v>0</v>
      </c>
      <c r="P10" s="1354">
        <f>Q10</f>
        <v>815</v>
      </c>
      <c r="Q10" s="1354">
        <f t="shared" si="0"/>
        <v>815</v>
      </c>
      <c r="R10" s="1354">
        <v>0</v>
      </c>
      <c r="S10" s="1354">
        <f>(T10)</f>
        <v>102.89999999999999</v>
      </c>
      <c r="T10" s="1354">
        <f>'[114]31.10.12'!$T$12+'[114]30.11.12'!$T$11+'[114]31.12.12'!$T$10</f>
        <v>102.89999999999999</v>
      </c>
      <c r="V10" s="1190"/>
    </row>
    <row r="11" spans="1:22">
      <c r="A11" s="6270"/>
      <c r="B11" s="6268"/>
      <c r="C11" s="1779">
        <v>0.1075</v>
      </c>
      <c r="D11" s="1491" t="s">
        <v>885</v>
      </c>
      <c r="E11" s="1491" t="s">
        <v>886</v>
      </c>
      <c r="F11" s="1354">
        <v>0</v>
      </c>
      <c r="G11" s="1354">
        <f>H11</f>
        <v>4155</v>
      </c>
      <c r="H11" s="1354">
        <v>4155</v>
      </c>
      <c r="I11" s="1354">
        <v>0</v>
      </c>
      <c r="J11" s="1354">
        <f t="shared" ref="J11:J19" si="1">K11</f>
        <v>0</v>
      </c>
      <c r="K11" s="1354">
        <v>0</v>
      </c>
      <c r="L11" s="1354">
        <v>0</v>
      </c>
      <c r="M11" s="1354">
        <f>N11</f>
        <v>2505</v>
      </c>
      <c r="N11" s="1354">
        <f>'[114]31.10.12'!$N$13+'[114]30.11.12'!$N$12+'[114]31.12.12'!$N$11</f>
        <v>2505</v>
      </c>
      <c r="O11" s="1354">
        <v>0</v>
      </c>
      <c r="P11" s="1354">
        <f>Q11</f>
        <v>1650</v>
      </c>
      <c r="Q11" s="1354">
        <f t="shared" si="0"/>
        <v>1650</v>
      </c>
      <c r="R11" s="1354">
        <v>0</v>
      </c>
      <c r="S11" s="1354">
        <f t="shared" ref="S11:S18" si="2">T11</f>
        <v>73.959999999999994</v>
      </c>
      <c r="T11" s="1354">
        <f>'[114]31.10.12'!$T$13+'[114]30.11.12'!$T$12+'[114]31.12.12'!$T$11</f>
        <v>73.959999999999994</v>
      </c>
      <c r="V11" s="1190"/>
    </row>
    <row r="12" spans="1:22">
      <c r="A12" s="6270"/>
      <c r="B12" s="6268"/>
      <c r="C12" s="1779">
        <v>0.1075</v>
      </c>
      <c r="D12" s="1491" t="s">
        <v>887</v>
      </c>
      <c r="E12" s="1491" t="s">
        <v>888</v>
      </c>
      <c r="F12" s="1354">
        <v>0</v>
      </c>
      <c r="G12" s="1354">
        <f>H12</f>
        <v>4990</v>
      </c>
      <c r="H12" s="1354">
        <v>4990</v>
      </c>
      <c r="I12" s="1354">
        <v>0</v>
      </c>
      <c r="J12" s="1354">
        <f t="shared" si="1"/>
        <v>0</v>
      </c>
      <c r="K12" s="1354">
        <v>0</v>
      </c>
      <c r="L12" s="1354">
        <v>0</v>
      </c>
      <c r="M12" s="1354">
        <f>N12</f>
        <v>2505</v>
      </c>
      <c r="N12" s="1354">
        <f>'[114]31.10.12'!$N$14+'[114]30.11.12'!$N$13+'[114]31.12.12'!$N$12</f>
        <v>2505</v>
      </c>
      <c r="O12" s="1354">
        <v>0</v>
      </c>
      <c r="P12" s="1354">
        <f>Q12</f>
        <v>2485</v>
      </c>
      <c r="Q12" s="1354">
        <f t="shared" si="0"/>
        <v>2485</v>
      </c>
      <c r="R12" s="1354">
        <v>0</v>
      </c>
      <c r="S12" s="1354">
        <f t="shared" si="2"/>
        <v>121.4</v>
      </c>
      <c r="T12" s="1354">
        <f>'[114]31.10.12'!$T$14+'[114]30.11.12'!$T$13+'[114]31.12.12'!$T$12</f>
        <v>121.4</v>
      </c>
      <c r="V12" s="1190"/>
    </row>
    <row r="13" spans="1:22">
      <c r="A13" s="6270"/>
      <c r="B13" s="6268"/>
      <c r="C13" s="1779">
        <v>0.1075</v>
      </c>
      <c r="D13" s="1491" t="s">
        <v>889</v>
      </c>
      <c r="E13" s="1491" t="s">
        <v>890</v>
      </c>
      <c r="F13" s="1354">
        <v>0</v>
      </c>
      <c r="G13" s="1354">
        <f>H13</f>
        <v>5825</v>
      </c>
      <c r="H13" s="1354">
        <v>5825</v>
      </c>
      <c r="I13" s="1354">
        <v>0</v>
      </c>
      <c r="J13" s="1354">
        <f t="shared" si="1"/>
        <v>0</v>
      </c>
      <c r="K13" s="1354">
        <v>0</v>
      </c>
      <c r="L13" s="1354">
        <v>0</v>
      </c>
      <c r="M13" s="1354">
        <f>N13</f>
        <v>2505</v>
      </c>
      <c r="N13" s="1354">
        <f>'[114]31.10.12'!$N$15+'[114]30.11.12'!$N$14+'[114]31.12.12'!$N$13</f>
        <v>2505</v>
      </c>
      <c r="O13" s="1354">
        <v>0</v>
      </c>
      <c r="P13" s="1354">
        <f>Q13</f>
        <v>3320</v>
      </c>
      <c r="Q13" s="1354">
        <f t="shared" si="0"/>
        <v>3320</v>
      </c>
      <c r="R13" s="1354">
        <v>0</v>
      </c>
      <c r="S13" s="1354">
        <f t="shared" si="2"/>
        <v>144.51</v>
      </c>
      <c r="T13" s="1354">
        <f>'[114]31.10.12'!$T$15+'[114]30.11.12'!$T$14+'[114]31.12.12'!$T$13</f>
        <v>144.51</v>
      </c>
      <c r="V13" s="1190"/>
    </row>
    <row r="14" spans="1:22">
      <c r="A14" s="6270"/>
      <c r="B14" s="6268"/>
      <c r="C14" s="1779">
        <v>0.105</v>
      </c>
      <c r="D14" s="1491" t="s">
        <v>891</v>
      </c>
      <c r="E14" s="1491" t="s">
        <v>892</v>
      </c>
      <c r="F14" s="1354">
        <v>0</v>
      </c>
      <c r="G14" s="1354">
        <f>(H14)</f>
        <v>6660</v>
      </c>
      <c r="H14" s="1354">
        <v>6660</v>
      </c>
      <c r="I14" s="1354">
        <v>0</v>
      </c>
      <c r="J14" s="1354">
        <f t="shared" si="1"/>
        <v>0</v>
      </c>
      <c r="K14" s="1354">
        <v>0</v>
      </c>
      <c r="L14" s="1354">
        <v>0</v>
      </c>
      <c r="M14" s="1354">
        <f>(N14)</f>
        <v>2505</v>
      </c>
      <c r="N14" s="1354">
        <f>'[114]31.10.12'!$N$16+'[114]30.11.12'!$N$15+'[114]31.12.12'!$N$14</f>
        <v>2505</v>
      </c>
      <c r="O14" s="1354">
        <v>0</v>
      </c>
      <c r="P14" s="1354">
        <f>(Q14)</f>
        <v>4155</v>
      </c>
      <c r="Q14" s="1354">
        <f t="shared" si="0"/>
        <v>4155</v>
      </c>
      <c r="R14" s="1354">
        <v>0</v>
      </c>
      <c r="S14" s="1354">
        <f t="shared" si="2"/>
        <v>164.16</v>
      </c>
      <c r="T14" s="1354">
        <f>'[114]31.10.12'!$T$16+'[114]30.11.12'!$T$15+'[114]31.12.12'!$T$14</f>
        <v>164.16</v>
      </c>
      <c r="V14" s="1190"/>
    </row>
    <row r="15" spans="1:22">
      <c r="A15" s="6270"/>
      <c r="B15" s="6268"/>
      <c r="C15" s="1779">
        <v>0.105</v>
      </c>
      <c r="D15" s="1491" t="s">
        <v>893</v>
      </c>
      <c r="E15" s="1491" t="s">
        <v>894</v>
      </c>
      <c r="F15" s="1354">
        <v>0</v>
      </c>
      <c r="G15" s="1354">
        <f>(H15)</f>
        <v>6660</v>
      </c>
      <c r="H15" s="1354">
        <v>6660</v>
      </c>
      <c r="I15" s="1354">
        <v>0</v>
      </c>
      <c r="J15" s="1354">
        <f t="shared" si="1"/>
        <v>0</v>
      </c>
      <c r="K15" s="1354">
        <v>0</v>
      </c>
      <c r="L15" s="1354">
        <v>0</v>
      </c>
      <c r="M15" s="1354">
        <f>(N15)</f>
        <v>2505</v>
      </c>
      <c r="N15" s="1354">
        <f>'[114]31.10.12'!$N$17+'[114]30.11.12'!$N$16+'[114]31.12.12'!$N$15</f>
        <v>2505</v>
      </c>
      <c r="O15" s="1354">
        <v>0</v>
      </c>
      <c r="P15" s="1354">
        <f>(Q15)</f>
        <v>4155</v>
      </c>
      <c r="Q15" s="1354">
        <f t="shared" si="0"/>
        <v>4155</v>
      </c>
      <c r="R15" s="1354">
        <v>0</v>
      </c>
      <c r="S15" s="1354">
        <f t="shared" si="2"/>
        <v>158.1</v>
      </c>
      <c r="T15" s="1354">
        <f>'[114]31.10.12'!$T$17+'[114]30.11.12'!$T$16+'[114]31.12.12'!$T$15</f>
        <v>158.1</v>
      </c>
      <c r="V15" s="1190"/>
    </row>
    <row r="16" spans="1:22">
      <c r="A16" s="6270"/>
      <c r="B16" s="6268"/>
      <c r="C16" s="1779">
        <v>0.105</v>
      </c>
      <c r="D16" s="1491" t="s">
        <v>895</v>
      </c>
      <c r="E16" s="1491" t="s">
        <v>896</v>
      </c>
      <c r="F16" s="1354">
        <v>0</v>
      </c>
      <c r="G16" s="1354">
        <f>H16</f>
        <v>7495</v>
      </c>
      <c r="H16" s="1354">
        <v>7495</v>
      </c>
      <c r="I16" s="1354">
        <v>0</v>
      </c>
      <c r="J16" s="1354">
        <f t="shared" si="1"/>
        <v>0</v>
      </c>
      <c r="K16" s="1354">
        <v>0</v>
      </c>
      <c r="L16" s="1354">
        <v>0</v>
      </c>
      <c r="M16" s="1354">
        <f>N16</f>
        <v>2505</v>
      </c>
      <c r="N16" s="1354">
        <f>'[114]31.10.12'!$N$18+'[114]30.11.12'!$N$17+'[114]31.12.12'!$N$16</f>
        <v>2505</v>
      </c>
      <c r="O16" s="1354">
        <v>0</v>
      </c>
      <c r="P16" s="1354">
        <f>Q16</f>
        <v>4990</v>
      </c>
      <c r="Q16" s="1354">
        <f t="shared" si="0"/>
        <v>4990</v>
      </c>
      <c r="R16" s="1354">
        <v>0</v>
      </c>
      <c r="S16" s="1354">
        <f t="shared" si="2"/>
        <v>186.51000000000002</v>
      </c>
      <c r="T16" s="1354">
        <f>'[114]31.10.12'!$T$18+'[114]30.11.12'!$T$17+'[114]31.12.12'!$T$16</f>
        <v>186.51000000000002</v>
      </c>
      <c r="V16" s="1190"/>
    </row>
    <row r="17" spans="1:22">
      <c r="A17" s="6270"/>
      <c r="B17" s="6268"/>
      <c r="C17" s="1779">
        <v>0.105</v>
      </c>
      <c r="D17" s="1491" t="s">
        <v>897</v>
      </c>
      <c r="E17" s="1491" t="s">
        <v>898</v>
      </c>
      <c r="F17" s="1354">
        <v>0</v>
      </c>
      <c r="G17" s="1354">
        <f>H17</f>
        <v>8330</v>
      </c>
      <c r="H17" s="1354">
        <v>8330</v>
      </c>
      <c r="I17" s="1354">
        <v>0</v>
      </c>
      <c r="J17" s="1354">
        <f t="shared" si="1"/>
        <v>0</v>
      </c>
      <c r="K17" s="1354">
        <v>0</v>
      </c>
      <c r="L17" s="1354">
        <v>0</v>
      </c>
      <c r="M17" s="1354">
        <f>N17</f>
        <v>2505</v>
      </c>
      <c r="N17" s="1354">
        <f>'[114]31.10.12'!$N$19+'[114]30.11.12'!$N$18+'[114]31.12.12'!$N$17</f>
        <v>2505</v>
      </c>
      <c r="O17" s="1354">
        <v>0</v>
      </c>
      <c r="P17" s="1354">
        <f>Q17</f>
        <v>5825</v>
      </c>
      <c r="Q17" s="1354">
        <f>(H17+K17-N17)</f>
        <v>5825</v>
      </c>
      <c r="R17" s="1354">
        <v>0</v>
      </c>
      <c r="S17" s="1354">
        <f t="shared" si="2"/>
        <v>208.74</v>
      </c>
      <c r="T17" s="1354">
        <f>'[114]31.10.12'!$T$19+'[114]30.11.12'!$T$18+'[114]31.12.12'!$T$17</f>
        <v>208.74</v>
      </c>
      <c r="V17" s="1190"/>
    </row>
    <row r="18" spans="1:22">
      <c r="A18" s="6270"/>
      <c r="B18" s="6268"/>
      <c r="C18" s="1779">
        <v>0.105</v>
      </c>
      <c r="D18" s="1491" t="s">
        <v>899</v>
      </c>
      <c r="E18" s="1491" t="s">
        <v>900</v>
      </c>
      <c r="F18" s="1354">
        <v>0</v>
      </c>
      <c r="G18" s="1354">
        <f>H18</f>
        <v>8330</v>
      </c>
      <c r="H18" s="1354">
        <v>8330</v>
      </c>
      <c r="I18" s="1354">
        <v>0</v>
      </c>
      <c r="J18" s="1354">
        <f t="shared" si="1"/>
        <v>0</v>
      </c>
      <c r="K18" s="1354">
        <v>0</v>
      </c>
      <c r="L18" s="1354">
        <v>0</v>
      </c>
      <c r="M18" s="1354">
        <f>N18</f>
        <v>2505</v>
      </c>
      <c r="N18" s="1354">
        <f>'[114]31.10.12'!$N$20+'[114]30.11.12'!$N$19+'[114]31.12.12'!$N$18</f>
        <v>2505</v>
      </c>
      <c r="O18" s="1354">
        <v>0</v>
      </c>
      <c r="P18" s="1354">
        <f>Q18</f>
        <v>5825</v>
      </c>
      <c r="Q18" s="1354">
        <f>(H18+K18-N18)</f>
        <v>5825</v>
      </c>
      <c r="R18" s="1354">
        <v>0</v>
      </c>
      <c r="S18" s="1354">
        <f t="shared" si="2"/>
        <v>209.69</v>
      </c>
      <c r="T18" s="1354">
        <f>'[114]31.10.12'!$T$20+'[114]30.11.12'!$T$19+'[114]31.12.12'!$T$18</f>
        <v>209.69</v>
      </c>
      <c r="V18" s="1190"/>
    </row>
    <row r="19" spans="1:22">
      <c r="A19" s="6270"/>
      <c r="B19" s="6268"/>
      <c r="C19" s="1779">
        <v>0.105</v>
      </c>
      <c r="D19" s="1491" t="s">
        <v>901</v>
      </c>
      <c r="E19" s="1491" t="s">
        <v>902</v>
      </c>
      <c r="F19" s="1354">
        <v>0</v>
      </c>
      <c r="G19" s="1354">
        <f>H19</f>
        <v>10000</v>
      </c>
      <c r="H19" s="1354">
        <v>10000</v>
      </c>
      <c r="I19" s="1354">
        <v>0</v>
      </c>
      <c r="J19" s="1354">
        <f t="shared" si="1"/>
        <v>0</v>
      </c>
      <c r="K19" s="1354">
        <v>0</v>
      </c>
      <c r="L19" s="1354">
        <v>0</v>
      </c>
      <c r="M19" s="1354">
        <f>N19</f>
        <v>2505</v>
      </c>
      <c r="N19" s="1354">
        <f>'[114]31.10.12'!$N$21+'[114]30.11.12'!$N$20+'[114]31.12.12'!$N$19</f>
        <v>2505</v>
      </c>
      <c r="O19" s="1354">
        <v>0</v>
      </c>
      <c r="P19" s="1354">
        <f>Q19</f>
        <v>7495</v>
      </c>
      <c r="Q19" s="1354">
        <f>(H19+K19-N19)</f>
        <v>7495</v>
      </c>
      <c r="R19" s="1354">
        <v>0</v>
      </c>
      <c r="S19" s="1354">
        <f>+T19</f>
        <v>242.72999999999996</v>
      </c>
      <c r="T19" s="1354">
        <f>'[114]31.10.12'!$T$21+'[114]30.11.12'!$T$20+'[114]31.12.12'!$T$19</f>
        <v>242.72999999999996</v>
      </c>
      <c r="V19" s="1190"/>
    </row>
    <row r="20" spans="1:22">
      <c r="A20" s="6270">
        <v>2</v>
      </c>
      <c r="B20" s="6268" t="s">
        <v>905</v>
      </c>
      <c r="C20" s="1779">
        <v>0.1075</v>
      </c>
      <c r="D20" s="1491" t="s">
        <v>906</v>
      </c>
      <c r="E20" s="1491" t="s">
        <v>907</v>
      </c>
      <c r="F20" s="1354">
        <v>0</v>
      </c>
      <c r="G20" s="1354">
        <f>(H20)</f>
        <v>1400</v>
      </c>
      <c r="H20" s="1354">
        <v>1400</v>
      </c>
      <c r="I20" s="1354">
        <v>0</v>
      </c>
      <c r="J20" s="1354">
        <f>(K20)</f>
        <v>0</v>
      </c>
      <c r="K20" s="1354">
        <v>0</v>
      </c>
      <c r="L20" s="1354">
        <v>0</v>
      </c>
      <c r="M20" s="1354">
        <f>(N20)</f>
        <v>1400</v>
      </c>
      <c r="N20" s="1354">
        <f>'[114]31.10.12'!$N$22+'[114]30.11.12'!$N$21+'[114]31.12.12'!$N$20</f>
        <v>1400</v>
      </c>
      <c r="O20" s="1354">
        <v>0</v>
      </c>
      <c r="P20" s="1354">
        <f>Q20</f>
        <v>0</v>
      </c>
      <c r="Q20" s="1354">
        <f t="shared" si="0"/>
        <v>0</v>
      </c>
      <c r="R20" s="1354">
        <v>0</v>
      </c>
      <c r="S20" s="1354">
        <f>(T20)</f>
        <v>17.600000000000001</v>
      </c>
      <c r="T20" s="1354">
        <f>'[114]31.10.12'!$T$22+'[114]30.11.12'!$T$21+'[114]31.12.12'!$T$20</f>
        <v>17.600000000000001</v>
      </c>
      <c r="V20" s="1190"/>
    </row>
    <row r="21" spans="1:22">
      <c r="A21" s="6270"/>
      <c r="B21" s="6268"/>
      <c r="C21" s="1779">
        <v>0.1065</v>
      </c>
      <c r="D21" s="1491" t="s">
        <v>908</v>
      </c>
      <c r="E21" s="1491" t="s">
        <v>909</v>
      </c>
      <c r="F21" s="1354">
        <f>H21*75%</f>
        <v>2700</v>
      </c>
      <c r="G21" s="1354">
        <f>(H21)*25%</f>
        <v>900</v>
      </c>
      <c r="H21" s="1354">
        <v>3600</v>
      </c>
      <c r="I21" s="1354">
        <f>K21*75%</f>
        <v>0</v>
      </c>
      <c r="J21" s="1354">
        <f>(K21)*25%</f>
        <v>0</v>
      </c>
      <c r="K21" s="1354">
        <v>0</v>
      </c>
      <c r="L21" s="1354">
        <f>N21*75%</f>
        <v>1950</v>
      </c>
      <c r="M21" s="1354">
        <f>(N21)*25%</f>
        <v>650</v>
      </c>
      <c r="N21" s="1354">
        <f>'[114]31.10.12'!$N$23+'[114]30.11.12'!$N$22+'[114]31.12.12'!$N$21</f>
        <v>2600</v>
      </c>
      <c r="O21" s="1354">
        <f>Q21*75%</f>
        <v>750</v>
      </c>
      <c r="P21" s="1354">
        <f>(Q21)*25%</f>
        <v>250</v>
      </c>
      <c r="Q21" s="1354">
        <f t="shared" si="0"/>
        <v>1000</v>
      </c>
      <c r="R21" s="1354">
        <f>T21*75%</f>
        <v>46.14</v>
      </c>
      <c r="S21" s="1354">
        <f>(T21)*25%</f>
        <v>15.379999999999999</v>
      </c>
      <c r="T21" s="1354">
        <f>'[114]31.10.12'!$T$23+'[114]30.11.12'!$T$22+'[114]31.12.12'!$T$21</f>
        <v>61.519999999999996</v>
      </c>
      <c r="V21" s="1190"/>
    </row>
    <row r="22" spans="1:22">
      <c r="A22" s="6270"/>
      <c r="B22" s="6268"/>
      <c r="C22" s="1779">
        <v>0.1075</v>
      </c>
      <c r="D22" s="1491" t="s">
        <v>910</v>
      </c>
      <c r="E22" s="1491" t="s">
        <v>911</v>
      </c>
      <c r="F22" s="1354">
        <v>0</v>
      </c>
      <c r="G22" s="1354">
        <f>(H22)</f>
        <v>2200</v>
      </c>
      <c r="H22" s="1354">
        <v>2200</v>
      </c>
      <c r="I22" s="1354">
        <v>0</v>
      </c>
      <c r="J22" s="1354">
        <f>(K22)</f>
        <v>0</v>
      </c>
      <c r="K22" s="1354">
        <v>0</v>
      </c>
      <c r="L22" s="1354">
        <v>0</v>
      </c>
      <c r="M22" s="1354">
        <f>(N22)</f>
        <v>1200</v>
      </c>
      <c r="N22" s="1354">
        <f>'[114]31.10.12'!$N$24+'[114]30.11.12'!$N$23+'[114]31.12.12'!$N$22</f>
        <v>1200</v>
      </c>
      <c r="O22" s="1354">
        <v>0</v>
      </c>
      <c r="P22" s="1354">
        <f t="shared" ref="P22:P27" si="3">Q22</f>
        <v>1000</v>
      </c>
      <c r="Q22" s="1354">
        <f t="shared" si="0"/>
        <v>1000</v>
      </c>
      <c r="R22" s="1354">
        <v>0</v>
      </c>
      <c r="S22" s="1354">
        <f>(T22)</f>
        <v>39.92</v>
      </c>
      <c r="T22" s="1354">
        <f>'[114]31.10.12'!$T$24+'[114]30.11.12'!$T$23+'[114]31.12.12'!$T$22</f>
        <v>39.92</v>
      </c>
      <c r="V22" s="1190"/>
    </row>
    <row r="23" spans="1:22">
      <c r="A23" s="6270"/>
      <c r="B23" s="6268"/>
      <c r="C23" s="1779">
        <v>0.1075</v>
      </c>
      <c r="D23" s="1491" t="s">
        <v>912</v>
      </c>
      <c r="E23" s="1491" t="s">
        <v>913</v>
      </c>
      <c r="F23" s="1354">
        <v>0</v>
      </c>
      <c r="G23" s="1354">
        <f>(H23)</f>
        <v>4400</v>
      </c>
      <c r="H23" s="1354">
        <v>4400</v>
      </c>
      <c r="I23" s="1354">
        <v>0</v>
      </c>
      <c r="J23" s="1354">
        <f>(K23)</f>
        <v>0</v>
      </c>
      <c r="K23" s="1354">
        <v>0</v>
      </c>
      <c r="L23" s="1354">
        <v>0</v>
      </c>
      <c r="M23" s="1354">
        <f>(N23)</f>
        <v>2400</v>
      </c>
      <c r="N23" s="1354">
        <f>'[114]31.10.12'!$N$25+'[114]30.11.12'!$N$24+'[114]31.12.12'!$N$23</f>
        <v>2400</v>
      </c>
      <c r="O23" s="1354">
        <v>0</v>
      </c>
      <c r="P23" s="1354">
        <f t="shared" si="3"/>
        <v>2000</v>
      </c>
      <c r="Q23" s="1354">
        <f t="shared" si="0"/>
        <v>2000</v>
      </c>
      <c r="R23" s="1354">
        <v>0</v>
      </c>
      <c r="S23" s="1354">
        <f>(T23)</f>
        <v>88.38</v>
      </c>
      <c r="T23" s="1354">
        <f>'[114]31.10.12'!$T$25+'[114]30.11.12'!$T$24+'[114]31.12.12'!$T$23</f>
        <v>88.38</v>
      </c>
      <c r="V23" s="1190"/>
    </row>
    <row r="24" spans="1:22">
      <c r="A24" s="6270"/>
      <c r="B24" s="6268"/>
      <c r="C24" s="1779">
        <v>0.1075</v>
      </c>
      <c r="D24" s="1491" t="s">
        <v>914</v>
      </c>
      <c r="E24" s="1491" t="s">
        <v>915</v>
      </c>
      <c r="F24" s="1354">
        <v>0</v>
      </c>
      <c r="G24" s="1354">
        <f>H24</f>
        <v>6000</v>
      </c>
      <c r="H24" s="1354">
        <v>6000</v>
      </c>
      <c r="I24" s="1354">
        <v>0</v>
      </c>
      <c r="J24" s="1354">
        <f>K24</f>
        <v>0</v>
      </c>
      <c r="K24" s="1354">
        <v>0</v>
      </c>
      <c r="L24" s="1354">
        <v>0</v>
      </c>
      <c r="M24" s="1354">
        <f>N24</f>
        <v>2400</v>
      </c>
      <c r="N24" s="1354">
        <f>'[114]31.10.12'!$N$26+'[114]30.11.12'!$N$25+'[114]31.12.12'!$N$24</f>
        <v>2400</v>
      </c>
      <c r="O24" s="1354">
        <v>0</v>
      </c>
      <c r="P24" s="1354">
        <f t="shared" si="3"/>
        <v>3600</v>
      </c>
      <c r="Q24" s="1354">
        <f t="shared" si="0"/>
        <v>3600</v>
      </c>
      <c r="R24" s="1354">
        <v>0</v>
      </c>
      <c r="S24" s="1354">
        <f>T24</f>
        <v>133.26</v>
      </c>
      <c r="T24" s="1354">
        <f>'[114]31.10.12'!$T$26+'[114]30.11.12'!$T$25+'[114]31.12.12'!$T$24</f>
        <v>133.26</v>
      </c>
      <c r="V24" s="1190"/>
    </row>
    <row r="25" spans="1:22">
      <c r="A25" s="6267">
        <v>3</v>
      </c>
      <c r="B25" s="6268" t="s">
        <v>916</v>
      </c>
      <c r="C25" s="1779">
        <v>0.105</v>
      </c>
      <c r="D25" s="1783" t="s">
        <v>917</v>
      </c>
      <c r="E25" s="1783" t="s">
        <v>918</v>
      </c>
      <c r="F25" s="1354">
        <v>0</v>
      </c>
      <c r="G25" s="1354">
        <f>H25</f>
        <v>8350</v>
      </c>
      <c r="H25" s="1354">
        <v>8350</v>
      </c>
      <c r="I25" s="1354">
        <v>0</v>
      </c>
      <c r="J25" s="1354">
        <f>K25</f>
        <v>0</v>
      </c>
      <c r="K25" s="1354">
        <v>0</v>
      </c>
      <c r="L25" s="1354">
        <v>0</v>
      </c>
      <c r="M25" s="1354">
        <f>N25</f>
        <v>4950</v>
      </c>
      <c r="N25" s="1354">
        <f>'[114]31.10.12'!$N$27+'[114]30.11.12'!$N$26+'[114]31.12.12'!$N$25</f>
        <v>4950</v>
      </c>
      <c r="O25" s="1354">
        <v>0</v>
      </c>
      <c r="P25" s="1354">
        <f t="shared" si="3"/>
        <v>3400</v>
      </c>
      <c r="Q25" s="1354">
        <f t="shared" si="0"/>
        <v>3400</v>
      </c>
      <c r="R25" s="1354">
        <v>0</v>
      </c>
      <c r="S25" s="1354">
        <f>+T25</f>
        <v>153.55000000000001</v>
      </c>
      <c r="T25" s="1354">
        <f>'[114]31.10.12'!$T$27+'[114]30.11.12'!$T$26+'[114]31.12.12'!$T$25</f>
        <v>153.55000000000001</v>
      </c>
      <c r="V25" s="1190"/>
    </row>
    <row r="26" spans="1:22">
      <c r="A26" s="6267"/>
      <c r="B26" s="6268"/>
      <c r="C26" s="1779">
        <v>0.105</v>
      </c>
      <c r="D26" s="1783" t="s">
        <v>919</v>
      </c>
      <c r="E26" s="1783" t="s">
        <v>920</v>
      </c>
      <c r="F26" s="1354">
        <v>0</v>
      </c>
      <c r="G26" s="1354">
        <f>H26</f>
        <v>10000</v>
      </c>
      <c r="H26" s="1354">
        <v>10000</v>
      </c>
      <c r="I26" s="1354">
        <v>0</v>
      </c>
      <c r="J26" s="1354">
        <f>K26</f>
        <v>0</v>
      </c>
      <c r="K26" s="1354">
        <v>0</v>
      </c>
      <c r="L26" s="1354">
        <v>0</v>
      </c>
      <c r="M26" s="1354">
        <f>N26</f>
        <v>4950</v>
      </c>
      <c r="N26" s="1354">
        <f>'[114]31.10.12'!$N$28+'[114]30.11.12'!$N$27+'[114]31.12.12'!$N$26</f>
        <v>4950</v>
      </c>
      <c r="O26" s="1354">
        <v>0</v>
      </c>
      <c r="P26" s="1354">
        <f t="shared" si="3"/>
        <v>5050</v>
      </c>
      <c r="Q26" s="1354">
        <f t="shared" si="0"/>
        <v>5050</v>
      </c>
      <c r="R26" s="1354">
        <v>0</v>
      </c>
      <c r="S26" s="1354">
        <f>+T26</f>
        <v>205.28</v>
      </c>
      <c r="T26" s="1354">
        <f>'[114]31.10.12'!$T$28+'[114]30.11.12'!$T$27+'[114]31.12.12'!$T$26</f>
        <v>205.28</v>
      </c>
      <c r="V26" s="1190"/>
    </row>
    <row r="27" spans="1:22">
      <c r="A27" s="6267"/>
      <c r="B27" s="6268"/>
      <c r="C27" s="1779">
        <v>0.105</v>
      </c>
      <c r="D27" s="1783" t="s">
        <v>921</v>
      </c>
      <c r="E27" s="1783" t="s">
        <v>922</v>
      </c>
      <c r="F27" s="1354">
        <v>0</v>
      </c>
      <c r="G27" s="1354">
        <f>(H27)</f>
        <v>0</v>
      </c>
      <c r="H27" s="1354">
        <v>0</v>
      </c>
      <c r="I27" s="1354">
        <v>0</v>
      </c>
      <c r="J27" s="1354">
        <f>K27</f>
        <v>10000</v>
      </c>
      <c r="K27" s="1354">
        <v>10000</v>
      </c>
      <c r="L27" s="1354">
        <v>0</v>
      </c>
      <c r="M27" s="1354">
        <f>N27</f>
        <v>0</v>
      </c>
      <c r="N27" s="1354">
        <v>0</v>
      </c>
      <c r="O27" s="1354">
        <v>0</v>
      </c>
      <c r="P27" s="1354">
        <f t="shared" si="3"/>
        <v>10000</v>
      </c>
      <c r="Q27" s="1354">
        <f t="shared" si="0"/>
        <v>10000</v>
      </c>
      <c r="R27" s="1354">
        <v>0</v>
      </c>
      <c r="S27" s="1354">
        <f>T27</f>
        <v>23.01</v>
      </c>
      <c r="T27" s="1354">
        <f>+'[114]31.12.12'!$T$27</f>
        <v>23.01</v>
      </c>
      <c r="V27" s="1190"/>
    </row>
    <row r="28" spans="1:22">
      <c r="A28" s="6267">
        <v>4</v>
      </c>
      <c r="B28" s="6268" t="s">
        <v>930</v>
      </c>
      <c r="C28" s="1770">
        <v>0.1075</v>
      </c>
      <c r="D28" s="1783" t="s">
        <v>931</v>
      </c>
      <c r="E28" s="1783" t="s">
        <v>932</v>
      </c>
      <c r="F28" s="1354">
        <f>H28</f>
        <v>875</v>
      </c>
      <c r="G28" s="1354">
        <v>0</v>
      </c>
      <c r="H28" s="1354">
        <v>875</v>
      </c>
      <c r="I28" s="1354">
        <f>K28</f>
        <v>0</v>
      </c>
      <c r="J28" s="1354">
        <v>0</v>
      </c>
      <c r="K28" s="1354">
        <v>0</v>
      </c>
      <c r="L28" s="1354">
        <f>N28</f>
        <v>875</v>
      </c>
      <c r="M28" s="1354">
        <v>0</v>
      </c>
      <c r="N28" s="1354">
        <f>'[114]31.10.12'!$N$29</f>
        <v>875</v>
      </c>
      <c r="O28" s="1354">
        <f>Q28</f>
        <v>0</v>
      </c>
      <c r="P28" s="1354">
        <v>0</v>
      </c>
      <c r="Q28" s="1354">
        <f t="shared" si="0"/>
        <v>0</v>
      </c>
      <c r="R28" s="1354">
        <f>T28</f>
        <v>0.74</v>
      </c>
      <c r="S28" s="1354">
        <v>0</v>
      </c>
      <c r="T28" s="1354">
        <f>'[114]31.10.12'!$T$29</f>
        <v>0.74</v>
      </c>
      <c r="V28" s="1190"/>
    </row>
    <row r="29" spans="1:22">
      <c r="A29" s="6267"/>
      <c r="B29" s="6268"/>
      <c r="C29" s="1770">
        <v>0.1075</v>
      </c>
      <c r="D29" s="1783" t="s">
        <v>933</v>
      </c>
      <c r="E29" s="1783" t="s">
        <v>928</v>
      </c>
      <c r="F29" s="1354">
        <v>0</v>
      </c>
      <c r="G29" s="1354">
        <f>(H29)</f>
        <v>7575</v>
      </c>
      <c r="H29" s="1354">
        <v>7575</v>
      </c>
      <c r="I29" s="1354">
        <v>0</v>
      </c>
      <c r="J29" s="1354">
        <f>(K29)</f>
        <v>0</v>
      </c>
      <c r="K29" s="1354">
        <v>0</v>
      </c>
      <c r="L29" s="1354">
        <v>0</v>
      </c>
      <c r="M29" s="1354">
        <f>(N29)</f>
        <v>3712.5</v>
      </c>
      <c r="N29" s="1354">
        <f>'[114]31.10.12'!$N$30+'[114]30.11.12'!$N$28+'[114]31.12.12'!$N$28</f>
        <v>3712.5</v>
      </c>
      <c r="O29" s="1354">
        <v>0</v>
      </c>
      <c r="P29" s="1354">
        <f>(Q29)</f>
        <v>3862.5</v>
      </c>
      <c r="Q29" s="1354">
        <f t="shared" si="0"/>
        <v>3862.5</v>
      </c>
      <c r="R29" s="1354">
        <f>'[114]31.10.12'!$R$30+'[114]30.11.12'!$R$28+'[114]31.12.12'!$R$28</f>
        <v>0.75</v>
      </c>
      <c r="S29" s="1354">
        <f>'[114]31.10.12'!$S$30+'[114]30.11.12'!$S$28+'[114]31.12.12'!$S$28</f>
        <v>163.79</v>
      </c>
      <c r="T29" s="1354">
        <f>'[114]31.10.12'!$T$30+'[114]30.11.12'!$T$28+'[114]31.12.12'!$T$28</f>
        <v>164.54</v>
      </c>
      <c r="V29" s="1190"/>
    </row>
    <row r="30" spans="1:22">
      <c r="A30" s="6267"/>
      <c r="B30" s="6268"/>
      <c r="C30" s="1770">
        <v>0.1075</v>
      </c>
      <c r="D30" s="1783" t="s">
        <v>934</v>
      </c>
      <c r="E30" s="1783" t="s">
        <v>935</v>
      </c>
      <c r="F30" s="1354">
        <v>0</v>
      </c>
      <c r="G30" s="1354">
        <f>(H30)</f>
        <v>2937.5</v>
      </c>
      <c r="H30" s="1354">
        <v>2937.5</v>
      </c>
      <c r="I30" s="1354">
        <v>0</v>
      </c>
      <c r="J30" s="1354">
        <f>K30</f>
        <v>0</v>
      </c>
      <c r="K30" s="1354">
        <v>0</v>
      </c>
      <c r="L30" s="1354">
        <v>0</v>
      </c>
      <c r="M30" s="1354">
        <f>(N30)</f>
        <v>1237.5</v>
      </c>
      <c r="N30" s="1354">
        <f>'[114]31.10.12'!$N$31+'[114]30.11.12'!$N$29+'[114]31.12.12'!$N$29</f>
        <v>1237.5</v>
      </c>
      <c r="O30" s="1354">
        <v>0</v>
      </c>
      <c r="P30" s="1354">
        <f>(Q30)</f>
        <v>1700</v>
      </c>
      <c r="Q30" s="1354">
        <f t="shared" si="0"/>
        <v>1700</v>
      </c>
      <c r="R30" s="1354">
        <v>0</v>
      </c>
      <c r="S30" s="1354">
        <f>(T30)</f>
        <v>58.63</v>
      </c>
      <c r="T30" s="1354">
        <f>'[114]31.10.12'!$T$31+'[114]30.11.12'!$T$29+'[114]31.12.12'!$T$29</f>
        <v>58.63</v>
      </c>
      <c r="V30" s="1190"/>
    </row>
    <row r="31" spans="1:22">
      <c r="A31" s="6267"/>
      <c r="B31" s="6268"/>
      <c r="C31" s="1770">
        <v>0.11</v>
      </c>
      <c r="D31" s="1783" t="s">
        <v>936</v>
      </c>
      <c r="E31" s="1783" t="s">
        <v>937</v>
      </c>
      <c r="F31" s="1354">
        <v>0</v>
      </c>
      <c r="G31" s="1354">
        <f>H31</f>
        <v>16700</v>
      </c>
      <c r="H31" s="1354">
        <v>16700</v>
      </c>
      <c r="I31" s="1354">
        <v>0</v>
      </c>
      <c r="J31" s="1354">
        <f>K31</f>
        <v>0</v>
      </c>
      <c r="K31" s="1354">
        <v>0</v>
      </c>
      <c r="L31" s="1354">
        <v>0</v>
      </c>
      <c r="M31" s="1354">
        <f>N31</f>
        <v>4950</v>
      </c>
      <c r="N31" s="1354">
        <f>'[114]31.10.12'!$N$32+'[114]30.11.12'!$N$30+'[114]31.12.12'!$N$30</f>
        <v>4950</v>
      </c>
      <c r="O31" s="1354">
        <v>0</v>
      </c>
      <c r="P31" s="1354">
        <f>Q31</f>
        <v>11750</v>
      </c>
      <c r="Q31" s="1354">
        <f t="shared" si="0"/>
        <v>11750</v>
      </c>
      <c r="R31" s="1354">
        <v>0</v>
      </c>
      <c r="S31" s="1354">
        <f>+T31</f>
        <v>415.63</v>
      </c>
      <c r="T31" s="1354">
        <f>'[114]31.10.12'!$T$32+'[114]30.11.12'!$T$30+'[114]31.12.12'!$T$30</f>
        <v>415.63</v>
      </c>
      <c r="V31" s="1190"/>
    </row>
    <row r="32" spans="1:22">
      <c r="A32" s="6267"/>
      <c r="B32" s="6268"/>
      <c r="C32" s="1779">
        <v>0.11</v>
      </c>
      <c r="D32" s="1783" t="s">
        <v>880</v>
      </c>
      <c r="E32" s="1783" t="s">
        <v>938</v>
      </c>
      <c r="F32" s="1354">
        <v>0</v>
      </c>
      <c r="G32" s="1354">
        <f>(H32)</f>
        <v>0</v>
      </c>
      <c r="H32" s="1354">
        <v>0</v>
      </c>
      <c r="I32" s="1354">
        <f>K32*45%</f>
        <v>9000</v>
      </c>
      <c r="J32" s="1354">
        <f>K32*55%</f>
        <v>11000</v>
      </c>
      <c r="K32" s="1354">
        <v>20000</v>
      </c>
      <c r="L32" s="1354">
        <v>0</v>
      </c>
      <c r="M32" s="1354">
        <f>N32</f>
        <v>0</v>
      </c>
      <c r="N32" s="1354">
        <f>'[114]31.12.12'!$N$31</f>
        <v>0</v>
      </c>
      <c r="O32" s="1354">
        <f>Q32*45%</f>
        <v>9000</v>
      </c>
      <c r="P32" s="1354">
        <f>Q32*55%</f>
        <v>11000</v>
      </c>
      <c r="Q32" s="1354">
        <f>(H32+K32-N32)</f>
        <v>20000</v>
      </c>
      <c r="R32" s="1354">
        <f>T32*45%</f>
        <v>32.548499999999997</v>
      </c>
      <c r="S32" s="1354">
        <f>T32*55%</f>
        <v>39.781500000000001</v>
      </c>
      <c r="T32" s="1354">
        <f>'[114]31.12.12'!$T$31</f>
        <v>72.33</v>
      </c>
      <c r="V32" s="1190"/>
    </row>
    <row r="33" spans="1:25" ht="15.75" thickBot="1">
      <c r="A33" s="1330">
        <v>5</v>
      </c>
      <c r="B33" s="1780" t="s">
        <v>941</v>
      </c>
      <c r="C33" s="1779">
        <v>0.105</v>
      </c>
      <c r="D33" s="1783" t="s">
        <v>942</v>
      </c>
      <c r="E33" s="1783" t="s">
        <v>943</v>
      </c>
      <c r="F33" s="1354">
        <v>0</v>
      </c>
      <c r="G33" s="1354">
        <f>(H33)</f>
        <v>0</v>
      </c>
      <c r="H33" s="1354">
        <v>0</v>
      </c>
      <c r="I33" s="1354">
        <v>0</v>
      </c>
      <c r="J33" s="1354">
        <f>K33</f>
        <v>20000</v>
      </c>
      <c r="K33" s="1354">
        <v>20000</v>
      </c>
      <c r="L33" s="1354">
        <v>0</v>
      </c>
      <c r="M33" s="1354">
        <f>N33</f>
        <v>1650</v>
      </c>
      <c r="N33" s="1354">
        <f>'[114]30.11.12'!$N$31+'[114]31.12.12'!$N$32</f>
        <v>1650</v>
      </c>
      <c r="O33" s="1354">
        <v>0</v>
      </c>
      <c r="P33" s="1354">
        <f>Q33</f>
        <v>18350</v>
      </c>
      <c r="Q33" s="1354">
        <f t="shared" si="0"/>
        <v>18350</v>
      </c>
      <c r="R33" s="1354">
        <v>0</v>
      </c>
      <c r="S33" s="1354">
        <f>T33</f>
        <v>277.70999999999998</v>
      </c>
      <c r="T33" s="1354">
        <f>'[114]30.11.12'!$T$31+'[114]31.12.12'!$T$32</f>
        <v>277.70999999999998</v>
      </c>
      <c r="V33" s="1190"/>
    </row>
    <row r="34" spans="1:25">
      <c r="A34" s="6267">
        <v>6</v>
      </c>
      <c r="B34" s="6269" t="s">
        <v>944</v>
      </c>
      <c r="C34" s="1781">
        <v>0.107</v>
      </c>
      <c r="D34" s="1783" t="s">
        <v>945</v>
      </c>
      <c r="E34" s="1783" t="s">
        <v>946</v>
      </c>
      <c r="F34" s="1354">
        <v>0</v>
      </c>
      <c r="G34" s="1354">
        <f>H34</f>
        <v>1666.67</v>
      </c>
      <c r="H34" s="1354">
        <v>1666.67</v>
      </c>
      <c r="I34" s="1354">
        <v>0</v>
      </c>
      <c r="J34" s="1354">
        <f>(K34)</f>
        <v>0</v>
      </c>
      <c r="K34" s="1354">
        <v>0</v>
      </c>
      <c r="L34" s="1354">
        <v>0</v>
      </c>
      <c r="M34" s="1354">
        <f>N34</f>
        <v>1666.67</v>
      </c>
      <c r="N34" s="1354">
        <f>'[114]31.10.12'!$N$33+'[114]30.11.12'!$N$32</f>
        <v>1666.67</v>
      </c>
      <c r="O34" s="1354">
        <v>0</v>
      </c>
      <c r="P34" s="1354">
        <f>Q34</f>
        <v>0</v>
      </c>
      <c r="Q34" s="1354">
        <f t="shared" si="0"/>
        <v>0</v>
      </c>
      <c r="R34" s="1354">
        <v>0</v>
      </c>
      <c r="S34" s="1354">
        <f>(T34)</f>
        <v>11.03</v>
      </c>
      <c r="T34" s="1354">
        <f>'[114]31.10.12'!$T$33+'[114]30.11.12'!$T$32</f>
        <v>11.03</v>
      </c>
      <c r="W34" s="6271" t="s">
        <v>1009</v>
      </c>
      <c r="X34" s="6272"/>
      <c r="Y34" s="6273"/>
    </row>
    <row r="35" spans="1:25">
      <c r="A35" s="6267"/>
      <c r="B35" s="6269"/>
      <c r="C35" s="1781">
        <v>0.108</v>
      </c>
      <c r="D35" s="1783" t="s">
        <v>947</v>
      </c>
      <c r="E35" s="1783" t="s">
        <v>948</v>
      </c>
      <c r="F35" s="1354">
        <v>0</v>
      </c>
      <c r="G35" s="1354">
        <f>H35</f>
        <v>0</v>
      </c>
      <c r="H35" s="1354">
        <v>0</v>
      </c>
      <c r="I35" s="1354">
        <v>0</v>
      </c>
      <c r="J35" s="1354">
        <f>(K35)</f>
        <v>20000</v>
      </c>
      <c r="K35" s="1354">
        <v>20000</v>
      </c>
      <c r="L35" s="1354">
        <v>0</v>
      </c>
      <c r="M35" s="1354">
        <f>(N35)</f>
        <v>0</v>
      </c>
      <c r="N35" s="1354">
        <f>'[114]31.12.12'!$N$33</f>
        <v>0</v>
      </c>
      <c r="O35" s="1354">
        <v>0</v>
      </c>
      <c r="P35" s="1354">
        <f>(Q35)</f>
        <v>20000</v>
      </c>
      <c r="Q35" s="1354">
        <f t="shared" si="0"/>
        <v>20000</v>
      </c>
      <c r="R35" s="1354">
        <v>0</v>
      </c>
      <c r="S35" s="1354">
        <f>(T35)</f>
        <v>106.52</v>
      </c>
      <c r="T35" s="1354">
        <f>'[114]31.12.12'!$T$33</f>
        <v>106.52</v>
      </c>
      <c r="W35" s="1233" t="s">
        <v>868</v>
      </c>
      <c r="X35" s="1233" t="s">
        <v>869</v>
      </c>
      <c r="Y35" s="1233" t="s">
        <v>499</v>
      </c>
    </row>
    <row r="36" spans="1:25">
      <c r="A36" s="1762"/>
      <c r="B36" s="1233" t="s">
        <v>949</v>
      </c>
      <c r="C36" s="1233"/>
      <c r="D36" s="1783"/>
      <c r="E36" s="1783"/>
      <c r="F36" s="1354">
        <f t="shared" ref="F36:T36" si="4">SUM(F5:F35)</f>
        <v>8545</v>
      </c>
      <c r="G36" s="1354">
        <f t="shared" si="4"/>
        <v>133679.17000000001</v>
      </c>
      <c r="H36" s="1354">
        <f t="shared" si="4"/>
        <v>142224.17000000001</v>
      </c>
      <c r="I36" s="1354">
        <f t="shared" si="4"/>
        <v>9000</v>
      </c>
      <c r="J36" s="1354">
        <f t="shared" si="4"/>
        <v>61000</v>
      </c>
      <c r="K36" s="1354">
        <f t="shared" si="4"/>
        <v>70000</v>
      </c>
      <c r="L36" s="1354">
        <f t="shared" si="4"/>
        <v>7795</v>
      </c>
      <c r="M36" s="1354">
        <f t="shared" si="4"/>
        <v>61186.67</v>
      </c>
      <c r="N36" s="1354">
        <f t="shared" si="4"/>
        <v>68981.67</v>
      </c>
      <c r="O36" s="1354">
        <f t="shared" si="4"/>
        <v>9750</v>
      </c>
      <c r="P36" s="1354">
        <f t="shared" si="4"/>
        <v>133492.5</v>
      </c>
      <c r="Q36" s="1354">
        <f t="shared" si="4"/>
        <v>143242.5</v>
      </c>
      <c r="R36" s="1354">
        <f t="shared" si="4"/>
        <v>184.92849999999999</v>
      </c>
      <c r="S36" s="1354">
        <f t="shared" si="4"/>
        <v>3486.1515000000009</v>
      </c>
      <c r="T36" s="1354">
        <f t="shared" si="4"/>
        <v>3671.0800000000004</v>
      </c>
      <c r="W36" s="1234">
        <f>+'[115]H1-2012-13'!R48+'E13_Q3-2012-13'!R36</f>
        <v>1095.3385000000001</v>
      </c>
      <c r="X36" s="1234" t="e">
        <f>+'[115]H1-2012-13'!S48+'E13_Q3-2012-13'!S36</f>
        <v>#REF!</v>
      </c>
      <c r="Y36" s="1234" t="e">
        <f>+'[115]H1-2012-13'!T48+'E13_Q3-2012-13'!T36</f>
        <v>#REF!</v>
      </c>
    </row>
    <row r="37" spans="1:25">
      <c r="A37" s="1762"/>
      <c r="B37" s="1233"/>
      <c r="C37" s="1233"/>
      <c r="D37" s="1783"/>
      <c r="E37" s="1783"/>
      <c r="F37" s="1354"/>
      <c r="G37" s="1354"/>
      <c r="H37" s="1354"/>
      <c r="I37" s="1354"/>
      <c r="J37" s="1354"/>
      <c r="K37" s="1354"/>
      <c r="L37" s="1354"/>
      <c r="M37" s="1354"/>
      <c r="N37" s="1354"/>
      <c r="O37" s="1354"/>
      <c r="P37" s="1354"/>
      <c r="Q37" s="1354"/>
      <c r="R37" s="1491"/>
      <c r="S37" s="1491"/>
      <c r="T37" s="1491"/>
      <c r="W37" s="1233"/>
      <c r="X37" s="1233"/>
      <c r="Y37" s="1233"/>
    </row>
    <row r="38" spans="1:25">
      <c r="A38" s="1379" t="s">
        <v>950</v>
      </c>
      <c r="B38" s="1771" t="s">
        <v>951</v>
      </c>
      <c r="C38" s="1233"/>
      <c r="D38" s="1491"/>
      <c r="E38" s="1491"/>
      <c r="F38" s="1354"/>
      <c r="G38" s="1354"/>
      <c r="H38" s="1354"/>
      <c r="I38" s="1354"/>
      <c r="J38" s="1354"/>
      <c r="K38" s="1354"/>
      <c r="L38" s="1354"/>
      <c r="M38" s="1354"/>
      <c r="N38" s="1354"/>
      <c r="O38" s="1354"/>
      <c r="P38" s="1354"/>
      <c r="Q38" s="1354"/>
      <c r="R38" s="1491"/>
      <c r="S38" s="1491"/>
      <c r="T38" s="1491"/>
      <c r="W38" s="1233"/>
      <c r="X38" s="1233"/>
      <c r="Y38" s="1233"/>
    </row>
    <row r="39" spans="1:25">
      <c r="A39" s="1772">
        <v>7</v>
      </c>
      <c r="B39" s="1329" t="s">
        <v>952</v>
      </c>
      <c r="C39" s="1780">
        <v>0.13500000000000001</v>
      </c>
      <c r="D39" s="1784" t="s">
        <v>953</v>
      </c>
      <c r="E39" s="1784" t="s">
        <v>954</v>
      </c>
      <c r="F39" s="1355">
        <f>(H39*46/100)</f>
        <v>5175</v>
      </c>
      <c r="G39" s="1355">
        <f>(H39*54/100)</f>
        <v>6075</v>
      </c>
      <c r="H39" s="1355">
        <v>11250</v>
      </c>
      <c r="I39" s="1355">
        <f>(K39*46/100)</f>
        <v>0</v>
      </c>
      <c r="J39" s="1355">
        <f>(K39*54/100)</f>
        <v>0</v>
      </c>
      <c r="K39" s="1355">
        <v>0</v>
      </c>
      <c r="L39" s="1355">
        <f>(N39*46/100)</f>
        <v>287.5</v>
      </c>
      <c r="M39" s="1355">
        <f>(N39*54/100)</f>
        <v>337.5</v>
      </c>
      <c r="N39" s="1355">
        <f>'[114]31.10.12'!$N$37+'[114]30.11.12'!$N$36+'[114]31.12.12'!$N$37</f>
        <v>625</v>
      </c>
      <c r="O39" s="1355">
        <f>(Q39*46/100)</f>
        <v>4887.5</v>
      </c>
      <c r="P39" s="1355">
        <f>(Q39*54/100)</f>
        <v>5737.5</v>
      </c>
      <c r="Q39" s="1355">
        <f>(H39+K39-N39)</f>
        <v>10625</v>
      </c>
      <c r="R39" s="1355">
        <f>T39*46/100</f>
        <v>169.47319999999999</v>
      </c>
      <c r="S39" s="1355">
        <f>T39*54/100</f>
        <v>198.9468</v>
      </c>
      <c r="T39" s="1355">
        <f>+'[114]31.10.12'!$T$37+'[114]30.11.12'!$T$36+'[114]31.12.12'!$T$37</f>
        <v>368.42</v>
      </c>
      <c r="W39" s="1233"/>
      <c r="X39" s="1233"/>
      <c r="Y39" s="1233"/>
    </row>
    <row r="40" spans="1:25">
      <c r="A40" s="1776">
        <v>8</v>
      </c>
      <c r="B40" s="1776" t="s">
        <v>955</v>
      </c>
      <c r="C40" s="1782" t="s">
        <v>956</v>
      </c>
      <c r="D40" s="1491" t="s">
        <v>957</v>
      </c>
      <c r="E40" s="1491" t="s">
        <v>958</v>
      </c>
      <c r="F40" s="1354">
        <f>(H40)</f>
        <v>159.58004</v>
      </c>
      <c r="G40" s="1354">
        <v>0</v>
      </c>
      <c r="H40" s="1785">
        <v>159.58004</v>
      </c>
      <c r="I40" s="1354">
        <f>(K40)</f>
        <v>0</v>
      </c>
      <c r="J40" s="1354">
        <v>0</v>
      </c>
      <c r="K40" s="1354">
        <v>0</v>
      </c>
      <c r="L40" s="1354">
        <f>(N40)</f>
        <v>0</v>
      </c>
      <c r="M40" s="1354">
        <v>0</v>
      </c>
      <c r="N40" s="1354">
        <v>0</v>
      </c>
      <c r="O40" s="1354">
        <f>(Q40)</f>
        <v>159.58004</v>
      </c>
      <c r="P40" s="1354">
        <v>0</v>
      </c>
      <c r="Q40" s="1354">
        <f>(H40+K40-N40)</f>
        <v>159.58004</v>
      </c>
      <c r="R40" s="1354">
        <v>0</v>
      </c>
      <c r="S40" s="1354">
        <v>0</v>
      </c>
      <c r="T40" s="1354">
        <v>0</v>
      </c>
      <c r="W40" s="1233"/>
      <c r="X40" s="1233"/>
      <c r="Y40" s="1233"/>
    </row>
    <row r="41" spans="1:25">
      <c r="A41" s="1776">
        <v>9</v>
      </c>
      <c r="B41" s="1776" t="s">
        <v>959</v>
      </c>
      <c r="C41" s="1233" t="s">
        <v>960</v>
      </c>
      <c r="D41" s="1491" t="s">
        <v>961</v>
      </c>
      <c r="E41" s="1491" t="s">
        <v>962</v>
      </c>
      <c r="F41" s="1354">
        <f>(H41)</f>
        <v>3798.5</v>
      </c>
      <c r="G41" s="1354">
        <v>0</v>
      </c>
      <c r="H41" s="1354">
        <v>3798.5</v>
      </c>
      <c r="I41" s="1354">
        <f>(K41)</f>
        <v>0</v>
      </c>
      <c r="J41" s="1354">
        <v>0</v>
      </c>
      <c r="K41" s="1354">
        <v>0</v>
      </c>
      <c r="L41" s="1354">
        <f>(N41)</f>
        <v>0</v>
      </c>
      <c r="M41" s="1354">
        <v>0</v>
      </c>
      <c r="N41" s="1354">
        <v>0</v>
      </c>
      <c r="O41" s="1354">
        <f>(Q41)</f>
        <v>3798.5</v>
      </c>
      <c r="P41" s="1354">
        <v>0</v>
      </c>
      <c r="Q41" s="1354">
        <f>(H41+K41-N41)</f>
        <v>3798.5</v>
      </c>
      <c r="R41" s="1354">
        <f>(T41)</f>
        <v>0</v>
      </c>
      <c r="S41" s="1354">
        <v>0</v>
      </c>
      <c r="T41" s="1354">
        <v>0</v>
      </c>
      <c r="W41" s="1233"/>
      <c r="X41" s="1233"/>
      <c r="Y41" s="1233"/>
    </row>
    <row r="42" spans="1:25">
      <c r="A42" s="1776">
        <v>10</v>
      </c>
      <c r="B42" s="1776" t="s">
        <v>963</v>
      </c>
      <c r="C42" s="1782" t="s">
        <v>964</v>
      </c>
      <c r="D42" s="1491" t="s">
        <v>965</v>
      </c>
      <c r="E42" s="1491" t="s">
        <v>966</v>
      </c>
      <c r="F42" s="1354">
        <v>0</v>
      </c>
      <c r="G42" s="1354">
        <f>(H42)</f>
        <v>7913.6984999999977</v>
      </c>
      <c r="H42" s="1354">
        <v>7913.6984999999977</v>
      </c>
      <c r="I42" s="1354">
        <v>0</v>
      </c>
      <c r="J42" s="1354">
        <f>(K42)</f>
        <v>0</v>
      </c>
      <c r="K42" s="1354">
        <v>0</v>
      </c>
      <c r="L42" s="1354">
        <v>0</v>
      </c>
      <c r="M42" s="1354">
        <f>(N42)</f>
        <v>0</v>
      </c>
      <c r="N42" s="1354">
        <v>0</v>
      </c>
      <c r="O42" s="1354">
        <v>0</v>
      </c>
      <c r="P42" s="1354">
        <f>(Q42)</f>
        <v>7913.6984999999977</v>
      </c>
      <c r="Q42" s="1354">
        <f>(H42+K42-N42)</f>
        <v>7913.6984999999977</v>
      </c>
      <c r="R42" s="1354">
        <v>0</v>
      </c>
      <c r="S42" s="1354">
        <f>(T42)</f>
        <v>0</v>
      </c>
      <c r="T42" s="1355">
        <v>0</v>
      </c>
      <c r="W42" s="1233"/>
      <c r="X42" s="1233"/>
      <c r="Y42" s="1233"/>
    </row>
    <row r="43" spans="1:25">
      <c r="A43" s="1233"/>
      <c r="B43" s="1328" t="s">
        <v>970</v>
      </c>
      <c r="C43" s="1233"/>
      <c r="D43" s="1491"/>
      <c r="E43" s="1491"/>
      <c r="F43" s="1354">
        <f>SUM(F39:F42)</f>
        <v>9133.0800400000007</v>
      </c>
      <c r="G43" s="1354">
        <f t="shared" ref="G43:Q43" si="5">SUM(G39:G42)</f>
        <v>13988.698499999999</v>
      </c>
      <c r="H43" s="1354">
        <f t="shared" si="5"/>
        <v>23121.778539999999</v>
      </c>
      <c r="I43" s="1354">
        <f t="shared" si="5"/>
        <v>0</v>
      </c>
      <c r="J43" s="1354">
        <f t="shared" si="5"/>
        <v>0</v>
      </c>
      <c r="K43" s="1354">
        <f t="shared" si="5"/>
        <v>0</v>
      </c>
      <c r="L43" s="1354">
        <f t="shared" si="5"/>
        <v>287.5</v>
      </c>
      <c r="M43" s="1354">
        <f t="shared" si="5"/>
        <v>337.5</v>
      </c>
      <c r="N43" s="1354">
        <f t="shared" si="5"/>
        <v>625</v>
      </c>
      <c r="O43" s="1354">
        <f t="shared" si="5"/>
        <v>8845.5800400000007</v>
      </c>
      <c r="P43" s="1354">
        <f t="shared" si="5"/>
        <v>13651.198499999999</v>
      </c>
      <c r="Q43" s="1354">
        <f t="shared" si="5"/>
        <v>22496.778539999999</v>
      </c>
      <c r="R43" s="1354">
        <f>SUM(R39:R42)</f>
        <v>169.47319999999999</v>
      </c>
      <c r="S43" s="1354">
        <f>SUM(S39:S42)</f>
        <v>198.9468</v>
      </c>
      <c r="T43" s="1354">
        <f>SUM(T39:T42)</f>
        <v>368.42</v>
      </c>
      <c r="W43" s="1234">
        <f>+'[115]H1-2012-13'!R55+'E13_Q3-2012-13'!R43</f>
        <v>536.6866</v>
      </c>
      <c r="X43" s="1234">
        <f>+'[115]H1-2012-13'!S55+'E13_Q3-2012-13'!S43</f>
        <v>915.85339999999997</v>
      </c>
      <c r="Y43" s="1234">
        <f>+'[115]H1-2012-13'!T55+'E13_Q3-2012-13'!T43</f>
        <v>1452.54</v>
      </c>
    </row>
    <row r="44" spans="1:25">
      <c r="A44" s="1233"/>
      <c r="B44" s="1328" t="s">
        <v>2335</v>
      </c>
      <c r="C44" s="1233"/>
      <c r="D44" s="1491"/>
      <c r="E44" s="1491"/>
      <c r="F44" s="1354">
        <f t="shared" ref="F44:T44" si="6">(F36+F43)</f>
        <v>17678.080040000001</v>
      </c>
      <c r="G44" s="1354">
        <f t="shared" si="6"/>
        <v>147667.86850000001</v>
      </c>
      <c r="H44" s="1354">
        <f t="shared" si="6"/>
        <v>165345.94854000001</v>
      </c>
      <c r="I44" s="1354">
        <f t="shared" si="6"/>
        <v>9000</v>
      </c>
      <c r="J44" s="1354">
        <f t="shared" si="6"/>
        <v>61000</v>
      </c>
      <c r="K44" s="1354">
        <f t="shared" si="6"/>
        <v>70000</v>
      </c>
      <c r="L44" s="1354">
        <f t="shared" si="6"/>
        <v>8082.5</v>
      </c>
      <c r="M44" s="1354">
        <f t="shared" si="6"/>
        <v>61524.17</v>
      </c>
      <c r="N44" s="1354">
        <f t="shared" si="6"/>
        <v>69606.67</v>
      </c>
      <c r="O44" s="1354">
        <f t="shared" si="6"/>
        <v>18595.580040000001</v>
      </c>
      <c r="P44" s="1354">
        <f t="shared" si="6"/>
        <v>147143.6985</v>
      </c>
      <c r="Q44" s="1354">
        <f t="shared" si="6"/>
        <v>165739.27854</v>
      </c>
      <c r="R44" s="1354">
        <f t="shared" si="6"/>
        <v>354.40170000000001</v>
      </c>
      <c r="S44" s="1354">
        <f t="shared" si="6"/>
        <v>3685.098300000001</v>
      </c>
      <c r="T44" s="1354">
        <f t="shared" si="6"/>
        <v>4039.5000000000005</v>
      </c>
      <c r="W44" s="1234">
        <f>+'[115]H1-2012-13'!R56+'E13_Q3-2012-13'!R44</f>
        <v>1632.0250999999998</v>
      </c>
      <c r="X44" s="1234" t="e">
        <f>+'[115]H1-2012-13'!S56+'E13_Q3-2012-13'!S44</f>
        <v>#REF!</v>
      </c>
      <c r="Y44" s="1234" t="e">
        <f>+'[115]H1-2012-13'!T56+'E13_Q3-2012-13'!T44</f>
        <v>#REF!</v>
      </c>
    </row>
  </sheetData>
  <mergeCells count="20">
    <mergeCell ref="A28:A32"/>
    <mergeCell ref="B28:B32"/>
    <mergeCell ref="A34:A35"/>
    <mergeCell ref="B34:B35"/>
    <mergeCell ref="W34:Y34"/>
    <mergeCell ref="A5:A19"/>
    <mergeCell ref="B5:B19"/>
    <mergeCell ref="A20:A24"/>
    <mergeCell ref="B20:B24"/>
    <mergeCell ref="A25:A27"/>
    <mergeCell ref="B25:B27"/>
    <mergeCell ref="A1:T1"/>
    <mergeCell ref="A2:A3"/>
    <mergeCell ref="B2:B3"/>
    <mergeCell ref="D2:E2"/>
    <mergeCell ref="F2:H2"/>
    <mergeCell ref="I2:K2"/>
    <mergeCell ref="L2:N2"/>
    <mergeCell ref="O2:Q2"/>
    <mergeCell ref="R2:T2"/>
  </mergeCells>
  <pageMargins left="0.95" right="0.14000000000000001" top="0.75" bottom="0.75" header="0.3" footer="0.3"/>
  <pageSetup paperSize="9" scale="36" orientation="landscape" horizontalDpi="180" verticalDpi="180" r:id="rId1"/>
</worksheet>
</file>

<file path=xl/worksheets/sheet125.xml><?xml version="1.0" encoding="utf-8"?>
<worksheet xmlns="http://schemas.openxmlformats.org/spreadsheetml/2006/main" xmlns:r="http://schemas.openxmlformats.org/officeDocument/2006/relationships">
  <sheetPr codeName="Sheet104"/>
  <dimension ref="A1:AB44"/>
  <sheetViews>
    <sheetView showGridLines="0" zoomScale="80" zoomScaleNormal="80" workbookViewId="0">
      <selection activeCell="H31" sqref="H31"/>
    </sheetView>
  </sheetViews>
  <sheetFormatPr defaultRowHeight="15"/>
  <cols>
    <col min="1" max="1" width="9.140625" style="1186"/>
    <col min="2" max="2" width="54.140625" style="1186" bestFit="1" customWidth="1"/>
    <col min="3" max="3" width="15.28515625" style="1186" hidden="1" customWidth="1"/>
    <col min="4" max="4" width="16.5703125" style="1186" bestFit="1" customWidth="1"/>
    <col min="5" max="5" width="16.5703125" style="1186" customWidth="1"/>
    <col min="6" max="6" width="14" style="1186" customWidth="1"/>
    <col min="7" max="8" width="15.7109375" style="1186" customWidth="1"/>
    <col min="9" max="9" width="13.42578125" style="1186" customWidth="1"/>
    <col min="10" max="10" width="14" style="1186" customWidth="1"/>
    <col min="11" max="11" width="15.42578125" style="1186" customWidth="1"/>
    <col min="12" max="12" width="13.42578125" style="1186" customWidth="1"/>
    <col min="13" max="14" width="14" style="1186" customWidth="1"/>
    <col min="15" max="15" width="13.42578125" style="1186" customWidth="1"/>
    <col min="16" max="17" width="15.7109375" style="1186" customWidth="1"/>
    <col min="18" max="18" width="13.42578125" style="1186" customWidth="1"/>
    <col min="19" max="20" width="12.28515625" style="1186" customWidth="1"/>
    <col min="21" max="257" width="9.140625" style="1186"/>
    <col min="258" max="258" width="54.140625" style="1186" bestFit="1" customWidth="1"/>
    <col min="259" max="259" width="0" style="1186" hidden="1" customWidth="1"/>
    <col min="260" max="260" width="16.5703125" style="1186" bestFit="1" customWidth="1"/>
    <col min="261" max="261" width="16.5703125" style="1186" customWidth="1"/>
    <col min="262" max="262" width="14" style="1186" customWidth="1"/>
    <col min="263" max="264" width="15.7109375" style="1186" customWidth="1"/>
    <col min="265" max="265" width="13.42578125" style="1186" customWidth="1"/>
    <col min="266" max="266" width="14" style="1186" customWidth="1"/>
    <col min="267" max="267" width="15.42578125" style="1186" customWidth="1"/>
    <col min="268" max="268" width="13.42578125" style="1186" customWidth="1"/>
    <col min="269" max="270" width="14" style="1186" customWidth="1"/>
    <col min="271" max="271" width="13.42578125" style="1186" customWidth="1"/>
    <col min="272" max="273" width="15.7109375" style="1186" customWidth="1"/>
    <col min="274" max="274" width="13.42578125" style="1186" customWidth="1"/>
    <col min="275" max="276" width="12.28515625" style="1186" customWidth="1"/>
    <col min="277" max="513" width="9.140625" style="1186"/>
    <col min="514" max="514" width="54.140625" style="1186" bestFit="1" customWidth="1"/>
    <col min="515" max="515" width="0" style="1186" hidden="1" customWidth="1"/>
    <col min="516" max="516" width="16.5703125" style="1186" bestFit="1" customWidth="1"/>
    <col min="517" max="517" width="16.5703125" style="1186" customWidth="1"/>
    <col min="518" max="518" width="14" style="1186" customWidth="1"/>
    <col min="519" max="520" width="15.7109375" style="1186" customWidth="1"/>
    <col min="521" max="521" width="13.42578125" style="1186" customWidth="1"/>
    <col min="522" max="522" width="14" style="1186" customWidth="1"/>
    <col min="523" max="523" width="15.42578125" style="1186" customWidth="1"/>
    <col min="524" max="524" width="13.42578125" style="1186" customWidth="1"/>
    <col min="525" max="526" width="14" style="1186" customWidth="1"/>
    <col min="527" max="527" width="13.42578125" style="1186" customWidth="1"/>
    <col min="528" max="529" width="15.7109375" style="1186" customWidth="1"/>
    <col min="530" max="530" width="13.42578125" style="1186" customWidth="1"/>
    <col min="531" max="532" width="12.28515625" style="1186" customWidth="1"/>
    <col min="533" max="769" width="9.140625" style="1186"/>
    <col min="770" max="770" width="54.140625" style="1186" bestFit="1" customWidth="1"/>
    <col min="771" max="771" width="0" style="1186" hidden="1" customWidth="1"/>
    <col min="772" max="772" width="16.5703125" style="1186" bestFit="1" customWidth="1"/>
    <col min="773" max="773" width="16.5703125" style="1186" customWidth="1"/>
    <col min="774" max="774" width="14" style="1186" customWidth="1"/>
    <col min="775" max="776" width="15.7109375" style="1186" customWidth="1"/>
    <col min="777" max="777" width="13.42578125" style="1186" customWidth="1"/>
    <col min="778" max="778" width="14" style="1186" customWidth="1"/>
    <col min="779" max="779" width="15.42578125" style="1186" customWidth="1"/>
    <col min="780" max="780" width="13.42578125" style="1186" customWidth="1"/>
    <col min="781" max="782" width="14" style="1186" customWidth="1"/>
    <col min="783" max="783" width="13.42578125" style="1186" customWidth="1"/>
    <col min="784" max="785" width="15.7109375" style="1186" customWidth="1"/>
    <col min="786" max="786" width="13.42578125" style="1186" customWidth="1"/>
    <col min="787" max="788" width="12.28515625" style="1186" customWidth="1"/>
    <col min="789" max="1025" width="9.140625" style="1186"/>
    <col min="1026" max="1026" width="54.140625" style="1186" bestFit="1" customWidth="1"/>
    <col min="1027" max="1027" width="0" style="1186" hidden="1" customWidth="1"/>
    <col min="1028" max="1028" width="16.5703125" style="1186" bestFit="1" customWidth="1"/>
    <col min="1029" max="1029" width="16.5703125" style="1186" customWidth="1"/>
    <col min="1030" max="1030" width="14" style="1186" customWidth="1"/>
    <col min="1031" max="1032" width="15.7109375" style="1186" customWidth="1"/>
    <col min="1033" max="1033" width="13.42578125" style="1186" customWidth="1"/>
    <col min="1034" max="1034" width="14" style="1186" customWidth="1"/>
    <col min="1035" max="1035" width="15.42578125" style="1186" customWidth="1"/>
    <col min="1036" max="1036" width="13.42578125" style="1186" customWidth="1"/>
    <col min="1037" max="1038" width="14" style="1186" customWidth="1"/>
    <col min="1039" max="1039" width="13.42578125" style="1186" customWidth="1"/>
    <col min="1040" max="1041" width="15.7109375" style="1186" customWidth="1"/>
    <col min="1042" max="1042" width="13.42578125" style="1186" customWidth="1"/>
    <col min="1043" max="1044" width="12.28515625" style="1186" customWidth="1"/>
    <col min="1045" max="1281" width="9.140625" style="1186"/>
    <col min="1282" max="1282" width="54.140625" style="1186" bestFit="1" customWidth="1"/>
    <col min="1283" max="1283" width="0" style="1186" hidden="1" customWidth="1"/>
    <col min="1284" max="1284" width="16.5703125" style="1186" bestFit="1" customWidth="1"/>
    <col min="1285" max="1285" width="16.5703125" style="1186" customWidth="1"/>
    <col min="1286" max="1286" width="14" style="1186" customWidth="1"/>
    <col min="1287" max="1288" width="15.7109375" style="1186" customWidth="1"/>
    <col min="1289" max="1289" width="13.42578125" style="1186" customWidth="1"/>
    <col min="1290" max="1290" width="14" style="1186" customWidth="1"/>
    <col min="1291" max="1291" width="15.42578125" style="1186" customWidth="1"/>
    <col min="1292" max="1292" width="13.42578125" style="1186" customWidth="1"/>
    <col min="1293" max="1294" width="14" style="1186" customWidth="1"/>
    <col min="1295" max="1295" width="13.42578125" style="1186" customWidth="1"/>
    <col min="1296" max="1297" width="15.7109375" style="1186" customWidth="1"/>
    <col min="1298" max="1298" width="13.42578125" style="1186" customWidth="1"/>
    <col min="1299" max="1300" width="12.28515625" style="1186" customWidth="1"/>
    <col min="1301" max="1537" width="9.140625" style="1186"/>
    <col min="1538" max="1538" width="54.140625" style="1186" bestFit="1" customWidth="1"/>
    <col min="1539" max="1539" width="0" style="1186" hidden="1" customWidth="1"/>
    <col min="1540" max="1540" width="16.5703125" style="1186" bestFit="1" customWidth="1"/>
    <col min="1541" max="1541" width="16.5703125" style="1186" customWidth="1"/>
    <col min="1542" max="1542" width="14" style="1186" customWidth="1"/>
    <col min="1543" max="1544" width="15.7109375" style="1186" customWidth="1"/>
    <col min="1545" max="1545" width="13.42578125" style="1186" customWidth="1"/>
    <col min="1546" max="1546" width="14" style="1186" customWidth="1"/>
    <col min="1547" max="1547" width="15.42578125" style="1186" customWidth="1"/>
    <col min="1548" max="1548" width="13.42578125" style="1186" customWidth="1"/>
    <col min="1549" max="1550" width="14" style="1186" customWidth="1"/>
    <col min="1551" max="1551" width="13.42578125" style="1186" customWidth="1"/>
    <col min="1552" max="1553" width="15.7109375" style="1186" customWidth="1"/>
    <col min="1554" max="1554" width="13.42578125" style="1186" customWidth="1"/>
    <col min="1555" max="1556" width="12.28515625" style="1186" customWidth="1"/>
    <col min="1557" max="1793" width="9.140625" style="1186"/>
    <col min="1794" max="1794" width="54.140625" style="1186" bestFit="1" customWidth="1"/>
    <col min="1795" max="1795" width="0" style="1186" hidden="1" customWidth="1"/>
    <col min="1796" max="1796" width="16.5703125" style="1186" bestFit="1" customWidth="1"/>
    <col min="1797" max="1797" width="16.5703125" style="1186" customWidth="1"/>
    <col min="1798" max="1798" width="14" style="1186" customWidth="1"/>
    <col min="1799" max="1800" width="15.7109375" style="1186" customWidth="1"/>
    <col min="1801" max="1801" width="13.42578125" style="1186" customWidth="1"/>
    <col min="1802" max="1802" width="14" style="1186" customWidth="1"/>
    <col min="1803" max="1803" width="15.42578125" style="1186" customWidth="1"/>
    <col min="1804" max="1804" width="13.42578125" style="1186" customWidth="1"/>
    <col min="1805" max="1806" width="14" style="1186" customWidth="1"/>
    <col min="1807" max="1807" width="13.42578125" style="1186" customWidth="1"/>
    <col min="1808" max="1809" width="15.7109375" style="1186" customWidth="1"/>
    <col min="1810" max="1810" width="13.42578125" style="1186" customWidth="1"/>
    <col min="1811" max="1812" width="12.28515625" style="1186" customWidth="1"/>
    <col min="1813" max="2049" width="9.140625" style="1186"/>
    <col min="2050" max="2050" width="54.140625" style="1186" bestFit="1" customWidth="1"/>
    <col min="2051" max="2051" width="0" style="1186" hidden="1" customWidth="1"/>
    <col min="2052" max="2052" width="16.5703125" style="1186" bestFit="1" customWidth="1"/>
    <col min="2053" max="2053" width="16.5703125" style="1186" customWidth="1"/>
    <col min="2054" max="2054" width="14" style="1186" customWidth="1"/>
    <col min="2055" max="2056" width="15.7109375" style="1186" customWidth="1"/>
    <col min="2057" max="2057" width="13.42578125" style="1186" customWidth="1"/>
    <col min="2058" max="2058" width="14" style="1186" customWidth="1"/>
    <col min="2059" max="2059" width="15.42578125" style="1186" customWidth="1"/>
    <col min="2060" max="2060" width="13.42578125" style="1186" customWidth="1"/>
    <col min="2061" max="2062" width="14" style="1186" customWidth="1"/>
    <col min="2063" max="2063" width="13.42578125" style="1186" customWidth="1"/>
    <col min="2064" max="2065" width="15.7109375" style="1186" customWidth="1"/>
    <col min="2066" max="2066" width="13.42578125" style="1186" customWidth="1"/>
    <col min="2067" max="2068" width="12.28515625" style="1186" customWidth="1"/>
    <col min="2069" max="2305" width="9.140625" style="1186"/>
    <col min="2306" max="2306" width="54.140625" style="1186" bestFit="1" customWidth="1"/>
    <col min="2307" max="2307" width="0" style="1186" hidden="1" customWidth="1"/>
    <col min="2308" max="2308" width="16.5703125" style="1186" bestFit="1" customWidth="1"/>
    <col min="2309" max="2309" width="16.5703125" style="1186" customWidth="1"/>
    <col min="2310" max="2310" width="14" style="1186" customWidth="1"/>
    <col min="2311" max="2312" width="15.7109375" style="1186" customWidth="1"/>
    <col min="2313" max="2313" width="13.42578125" style="1186" customWidth="1"/>
    <col min="2314" max="2314" width="14" style="1186" customWidth="1"/>
    <col min="2315" max="2315" width="15.42578125" style="1186" customWidth="1"/>
    <col min="2316" max="2316" width="13.42578125" style="1186" customWidth="1"/>
    <col min="2317" max="2318" width="14" style="1186" customWidth="1"/>
    <col min="2319" max="2319" width="13.42578125" style="1186" customWidth="1"/>
    <col min="2320" max="2321" width="15.7109375" style="1186" customWidth="1"/>
    <col min="2322" max="2322" width="13.42578125" style="1186" customWidth="1"/>
    <col min="2323" max="2324" width="12.28515625" style="1186" customWidth="1"/>
    <col min="2325" max="2561" width="9.140625" style="1186"/>
    <col min="2562" max="2562" width="54.140625" style="1186" bestFit="1" customWidth="1"/>
    <col min="2563" max="2563" width="0" style="1186" hidden="1" customWidth="1"/>
    <col min="2564" max="2564" width="16.5703125" style="1186" bestFit="1" customWidth="1"/>
    <col min="2565" max="2565" width="16.5703125" style="1186" customWidth="1"/>
    <col min="2566" max="2566" width="14" style="1186" customWidth="1"/>
    <col min="2567" max="2568" width="15.7109375" style="1186" customWidth="1"/>
    <col min="2569" max="2569" width="13.42578125" style="1186" customWidth="1"/>
    <col min="2570" max="2570" width="14" style="1186" customWidth="1"/>
    <col min="2571" max="2571" width="15.42578125" style="1186" customWidth="1"/>
    <col min="2572" max="2572" width="13.42578125" style="1186" customWidth="1"/>
    <col min="2573" max="2574" width="14" style="1186" customWidth="1"/>
    <col min="2575" max="2575" width="13.42578125" style="1186" customWidth="1"/>
    <col min="2576" max="2577" width="15.7109375" style="1186" customWidth="1"/>
    <col min="2578" max="2578" width="13.42578125" style="1186" customWidth="1"/>
    <col min="2579" max="2580" width="12.28515625" style="1186" customWidth="1"/>
    <col min="2581" max="2817" width="9.140625" style="1186"/>
    <col min="2818" max="2818" width="54.140625" style="1186" bestFit="1" customWidth="1"/>
    <col min="2819" max="2819" width="0" style="1186" hidden="1" customWidth="1"/>
    <col min="2820" max="2820" width="16.5703125" style="1186" bestFit="1" customWidth="1"/>
    <col min="2821" max="2821" width="16.5703125" style="1186" customWidth="1"/>
    <col min="2822" max="2822" width="14" style="1186" customWidth="1"/>
    <col min="2823" max="2824" width="15.7109375" style="1186" customWidth="1"/>
    <col min="2825" max="2825" width="13.42578125" style="1186" customWidth="1"/>
    <col min="2826" max="2826" width="14" style="1186" customWidth="1"/>
    <col min="2827" max="2827" width="15.42578125" style="1186" customWidth="1"/>
    <col min="2828" max="2828" width="13.42578125" style="1186" customWidth="1"/>
    <col min="2829" max="2830" width="14" style="1186" customWidth="1"/>
    <col min="2831" max="2831" width="13.42578125" style="1186" customWidth="1"/>
    <col min="2832" max="2833" width="15.7109375" style="1186" customWidth="1"/>
    <col min="2834" max="2834" width="13.42578125" style="1186" customWidth="1"/>
    <col min="2835" max="2836" width="12.28515625" style="1186" customWidth="1"/>
    <col min="2837" max="3073" width="9.140625" style="1186"/>
    <col min="3074" max="3074" width="54.140625" style="1186" bestFit="1" customWidth="1"/>
    <col min="3075" max="3075" width="0" style="1186" hidden="1" customWidth="1"/>
    <col min="3076" max="3076" width="16.5703125" style="1186" bestFit="1" customWidth="1"/>
    <col min="3077" max="3077" width="16.5703125" style="1186" customWidth="1"/>
    <col min="3078" max="3078" width="14" style="1186" customWidth="1"/>
    <col min="3079" max="3080" width="15.7109375" style="1186" customWidth="1"/>
    <col min="3081" max="3081" width="13.42578125" style="1186" customWidth="1"/>
    <col min="3082" max="3082" width="14" style="1186" customWidth="1"/>
    <col min="3083" max="3083" width="15.42578125" style="1186" customWidth="1"/>
    <col min="3084" max="3084" width="13.42578125" style="1186" customWidth="1"/>
    <col min="3085" max="3086" width="14" style="1186" customWidth="1"/>
    <col min="3087" max="3087" width="13.42578125" style="1186" customWidth="1"/>
    <col min="3088" max="3089" width="15.7109375" style="1186" customWidth="1"/>
    <col min="3090" max="3090" width="13.42578125" style="1186" customWidth="1"/>
    <col min="3091" max="3092" width="12.28515625" style="1186" customWidth="1"/>
    <col min="3093" max="3329" width="9.140625" style="1186"/>
    <col min="3330" max="3330" width="54.140625" style="1186" bestFit="1" customWidth="1"/>
    <col min="3331" max="3331" width="0" style="1186" hidden="1" customWidth="1"/>
    <col min="3332" max="3332" width="16.5703125" style="1186" bestFit="1" customWidth="1"/>
    <col min="3333" max="3333" width="16.5703125" style="1186" customWidth="1"/>
    <col min="3334" max="3334" width="14" style="1186" customWidth="1"/>
    <col min="3335" max="3336" width="15.7109375" style="1186" customWidth="1"/>
    <col min="3337" max="3337" width="13.42578125" style="1186" customWidth="1"/>
    <col min="3338" max="3338" width="14" style="1186" customWidth="1"/>
    <col min="3339" max="3339" width="15.42578125" style="1186" customWidth="1"/>
    <col min="3340" max="3340" width="13.42578125" style="1186" customWidth="1"/>
    <col min="3341" max="3342" width="14" style="1186" customWidth="1"/>
    <col min="3343" max="3343" width="13.42578125" style="1186" customWidth="1"/>
    <col min="3344" max="3345" width="15.7109375" style="1186" customWidth="1"/>
    <col min="3346" max="3346" width="13.42578125" style="1186" customWidth="1"/>
    <col min="3347" max="3348" width="12.28515625" style="1186" customWidth="1"/>
    <col min="3349" max="3585" width="9.140625" style="1186"/>
    <col min="3586" max="3586" width="54.140625" style="1186" bestFit="1" customWidth="1"/>
    <col min="3587" max="3587" width="0" style="1186" hidden="1" customWidth="1"/>
    <col min="3588" max="3588" width="16.5703125" style="1186" bestFit="1" customWidth="1"/>
    <col min="3589" max="3589" width="16.5703125" style="1186" customWidth="1"/>
    <col min="3590" max="3590" width="14" style="1186" customWidth="1"/>
    <col min="3591" max="3592" width="15.7109375" style="1186" customWidth="1"/>
    <col min="3593" max="3593" width="13.42578125" style="1186" customWidth="1"/>
    <col min="3594" max="3594" width="14" style="1186" customWidth="1"/>
    <col min="3595" max="3595" width="15.42578125" style="1186" customWidth="1"/>
    <col min="3596" max="3596" width="13.42578125" style="1186" customWidth="1"/>
    <col min="3597" max="3598" width="14" style="1186" customWidth="1"/>
    <col min="3599" max="3599" width="13.42578125" style="1186" customWidth="1"/>
    <col min="3600" max="3601" width="15.7109375" style="1186" customWidth="1"/>
    <col min="3602" max="3602" width="13.42578125" style="1186" customWidth="1"/>
    <col min="3603" max="3604" width="12.28515625" style="1186" customWidth="1"/>
    <col min="3605" max="3841" width="9.140625" style="1186"/>
    <col min="3842" max="3842" width="54.140625" style="1186" bestFit="1" customWidth="1"/>
    <col min="3843" max="3843" width="0" style="1186" hidden="1" customWidth="1"/>
    <col min="3844" max="3844" width="16.5703125" style="1186" bestFit="1" customWidth="1"/>
    <col min="3845" max="3845" width="16.5703125" style="1186" customWidth="1"/>
    <col min="3846" max="3846" width="14" style="1186" customWidth="1"/>
    <col min="3847" max="3848" width="15.7109375" style="1186" customWidth="1"/>
    <col min="3849" max="3849" width="13.42578125" style="1186" customWidth="1"/>
    <col min="3850" max="3850" width="14" style="1186" customWidth="1"/>
    <col min="3851" max="3851" width="15.42578125" style="1186" customWidth="1"/>
    <col min="3852" max="3852" width="13.42578125" style="1186" customWidth="1"/>
    <col min="3853" max="3854" width="14" style="1186" customWidth="1"/>
    <col min="3855" max="3855" width="13.42578125" style="1186" customWidth="1"/>
    <col min="3856" max="3857" width="15.7109375" style="1186" customWidth="1"/>
    <col min="3858" max="3858" width="13.42578125" style="1186" customWidth="1"/>
    <col min="3859" max="3860" width="12.28515625" style="1186" customWidth="1"/>
    <col min="3861" max="4097" width="9.140625" style="1186"/>
    <col min="4098" max="4098" width="54.140625" style="1186" bestFit="1" customWidth="1"/>
    <col min="4099" max="4099" width="0" style="1186" hidden="1" customWidth="1"/>
    <col min="4100" max="4100" width="16.5703125" style="1186" bestFit="1" customWidth="1"/>
    <col min="4101" max="4101" width="16.5703125" style="1186" customWidth="1"/>
    <col min="4102" max="4102" width="14" style="1186" customWidth="1"/>
    <col min="4103" max="4104" width="15.7109375" style="1186" customWidth="1"/>
    <col min="4105" max="4105" width="13.42578125" style="1186" customWidth="1"/>
    <col min="4106" max="4106" width="14" style="1186" customWidth="1"/>
    <col min="4107" max="4107" width="15.42578125" style="1186" customWidth="1"/>
    <col min="4108" max="4108" width="13.42578125" style="1186" customWidth="1"/>
    <col min="4109" max="4110" width="14" style="1186" customWidth="1"/>
    <col min="4111" max="4111" width="13.42578125" style="1186" customWidth="1"/>
    <col min="4112" max="4113" width="15.7109375" style="1186" customWidth="1"/>
    <col min="4114" max="4114" width="13.42578125" style="1186" customWidth="1"/>
    <col min="4115" max="4116" width="12.28515625" style="1186" customWidth="1"/>
    <col min="4117" max="4353" width="9.140625" style="1186"/>
    <col min="4354" max="4354" width="54.140625" style="1186" bestFit="1" customWidth="1"/>
    <col min="4355" max="4355" width="0" style="1186" hidden="1" customWidth="1"/>
    <col min="4356" max="4356" width="16.5703125" style="1186" bestFit="1" customWidth="1"/>
    <col min="4357" max="4357" width="16.5703125" style="1186" customWidth="1"/>
    <col min="4358" max="4358" width="14" style="1186" customWidth="1"/>
    <col min="4359" max="4360" width="15.7109375" style="1186" customWidth="1"/>
    <col min="4361" max="4361" width="13.42578125" style="1186" customWidth="1"/>
    <col min="4362" max="4362" width="14" style="1186" customWidth="1"/>
    <col min="4363" max="4363" width="15.42578125" style="1186" customWidth="1"/>
    <col min="4364" max="4364" width="13.42578125" style="1186" customWidth="1"/>
    <col min="4365" max="4366" width="14" style="1186" customWidth="1"/>
    <col min="4367" max="4367" width="13.42578125" style="1186" customWidth="1"/>
    <col min="4368" max="4369" width="15.7109375" style="1186" customWidth="1"/>
    <col min="4370" max="4370" width="13.42578125" style="1186" customWidth="1"/>
    <col min="4371" max="4372" width="12.28515625" style="1186" customWidth="1"/>
    <col min="4373" max="4609" width="9.140625" style="1186"/>
    <col min="4610" max="4610" width="54.140625" style="1186" bestFit="1" customWidth="1"/>
    <col min="4611" max="4611" width="0" style="1186" hidden="1" customWidth="1"/>
    <col min="4612" max="4612" width="16.5703125" style="1186" bestFit="1" customWidth="1"/>
    <col min="4613" max="4613" width="16.5703125" style="1186" customWidth="1"/>
    <col min="4614" max="4614" width="14" style="1186" customWidth="1"/>
    <col min="4615" max="4616" width="15.7109375" style="1186" customWidth="1"/>
    <col min="4617" max="4617" width="13.42578125" style="1186" customWidth="1"/>
    <col min="4618" max="4618" width="14" style="1186" customWidth="1"/>
    <col min="4619" max="4619" width="15.42578125" style="1186" customWidth="1"/>
    <col min="4620" max="4620" width="13.42578125" style="1186" customWidth="1"/>
    <col min="4621" max="4622" width="14" style="1186" customWidth="1"/>
    <col min="4623" max="4623" width="13.42578125" style="1186" customWidth="1"/>
    <col min="4624" max="4625" width="15.7109375" style="1186" customWidth="1"/>
    <col min="4626" max="4626" width="13.42578125" style="1186" customWidth="1"/>
    <col min="4627" max="4628" width="12.28515625" style="1186" customWidth="1"/>
    <col min="4629" max="4865" width="9.140625" style="1186"/>
    <col min="4866" max="4866" width="54.140625" style="1186" bestFit="1" customWidth="1"/>
    <col min="4867" max="4867" width="0" style="1186" hidden="1" customWidth="1"/>
    <col min="4868" max="4868" width="16.5703125" style="1186" bestFit="1" customWidth="1"/>
    <col min="4869" max="4869" width="16.5703125" style="1186" customWidth="1"/>
    <col min="4870" max="4870" width="14" style="1186" customWidth="1"/>
    <col min="4871" max="4872" width="15.7109375" style="1186" customWidth="1"/>
    <col min="4873" max="4873" width="13.42578125" style="1186" customWidth="1"/>
    <col min="4874" max="4874" width="14" style="1186" customWidth="1"/>
    <col min="4875" max="4875" width="15.42578125" style="1186" customWidth="1"/>
    <col min="4876" max="4876" width="13.42578125" style="1186" customWidth="1"/>
    <col min="4877" max="4878" width="14" style="1186" customWidth="1"/>
    <col min="4879" max="4879" width="13.42578125" style="1186" customWidth="1"/>
    <col min="4880" max="4881" width="15.7109375" style="1186" customWidth="1"/>
    <col min="4882" max="4882" width="13.42578125" style="1186" customWidth="1"/>
    <col min="4883" max="4884" width="12.28515625" style="1186" customWidth="1"/>
    <col min="4885" max="5121" width="9.140625" style="1186"/>
    <col min="5122" max="5122" width="54.140625" style="1186" bestFit="1" customWidth="1"/>
    <col min="5123" max="5123" width="0" style="1186" hidden="1" customWidth="1"/>
    <col min="5124" max="5124" width="16.5703125" style="1186" bestFit="1" customWidth="1"/>
    <col min="5125" max="5125" width="16.5703125" style="1186" customWidth="1"/>
    <col min="5126" max="5126" width="14" style="1186" customWidth="1"/>
    <col min="5127" max="5128" width="15.7109375" style="1186" customWidth="1"/>
    <col min="5129" max="5129" width="13.42578125" style="1186" customWidth="1"/>
    <col min="5130" max="5130" width="14" style="1186" customWidth="1"/>
    <col min="5131" max="5131" width="15.42578125" style="1186" customWidth="1"/>
    <col min="5132" max="5132" width="13.42578125" style="1186" customWidth="1"/>
    <col min="5133" max="5134" width="14" style="1186" customWidth="1"/>
    <col min="5135" max="5135" width="13.42578125" style="1186" customWidth="1"/>
    <col min="5136" max="5137" width="15.7109375" style="1186" customWidth="1"/>
    <col min="5138" max="5138" width="13.42578125" style="1186" customWidth="1"/>
    <col min="5139" max="5140" width="12.28515625" style="1186" customWidth="1"/>
    <col min="5141" max="5377" width="9.140625" style="1186"/>
    <col min="5378" max="5378" width="54.140625" style="1186" bestFit="1" customWidth="1"/>
    <col min="5379" max="5379" width="0" style="1186" hidden="1" customWidth="1"/>
    <col min="5380" max="5380" width="16.5703125" style="1186" bestFit="1" customWidth="1"/>
    <col min="5381" max="5381" width="16.5703125" style="1186" customWidth="1"/>
    <col min="5382" max="5382" width="14" style="1186" customWidth="1"/>
    <col min="5383" max="5384" width="15.7109375" style="1186" customWidth="1"/>
    <col min="5385" max="5385" width="13.42578125" style="1186" customWidth="1"/>
    <col min="5386" max="5386" width="14" style="1186" customWidth="1"/>
    <col min="5387" max="5387" width="15.42578125" style="1186" customWidth="1"/>
    <col min="5388" max="5388" width="13.42578125" style="1186" customWidth="1"/>
    <col min="5389" max="5390" width="14" style="1186" customWidth="1"/>
    <col min="5391" max="5391" width="13.42578125" style="1186" customWidth="1"/>
    <col min="5392" max="5393" width="15.7109375" style="1186" customWidth="1"/>
    <col min="5394" max="5394" width="13.42578125" style="1186" customWidth="1"/>
    <col min="5395" max="5396" width="12.28515625" style="1186" customWidth="1"/>
    <col min="5397" max="5633" width="9.140625" style="1186"/>
    <col min="5634" max="5634" width="54.140625" style="1186" bestFit="1" customWidth="1"/>
    <col min="5635" max="5635" width="0" style="1186" hidden="1" customWidth="1"/>
    <col min="5636" max="5636" width="16.5703125" style="1186" bestFit="1" customWidth="1"/>
    <col min="5637" max="5637" width="16.5703125" style="1186" customWidth="1"/>
    <col min="5638" max="5638" width="14" style="1186" customWidth="1"/>
    <col min="5639" max="5640" width="15.7109375" style="1186" customWidth="1"/>
    <col min="5641" max="5641" width="13.42578125" style="1186" customWidth="1"/>
    <col min="5642" max="5642" width="14" style="1186" customWidth="1"/>
    <col min="5643" max="5643" width="15.42578125" style="1186" customWidth="1"/>
    <col min="5644" max="5644" width="13.42578125" style="1186" customWidth="1"/>
    <col min="5645" max="5646" width="14" style="1186" customWidth="1"/>
    <col min="5647" max="5647" width="13.42578125" style="1186" customWidth="1"/>
    <col min="5648" max="5649" width="15.7109375" style="1186" customWidth="1"/>
    <col min="5650" max="5650" width="13.42578125" style="1186" customWidth="1"/>
    <col min="5651" max="5652" width="12.28515625" style="1186" customWidth="1"/>
    <col min="5653" max="5889" width="9.140625" style="1186"/>
    <col min="5890" max="5890" width="54.140625" style="1186" bestFit="1" customWidth="1"/>
    <col min="5891" max="5891" width="0" style="1186" hidden="1" customWidth="1"/>
    <col min="5892" max="5892" width="16.5703125" style="1186" bestFit="1" customWidth="1"/>
    <col min="5893" max="5893" width="16.5703125" style="1186" customWidth="1"/>
    <col min="5894" max="5894" width="14" style="1186" customWidth="1"/>
    <col min="5895" max="5896" width="15.7109375" style="1186" customWidth="1"/>
    <col min="5897" max="5897" width="13.42578125" style="1186" customWidth="1"/>
    <col min="5898" max="5898" width="14" style="1186" customWidth="1"/>
    <col min="5899" max="5899" width="15.42578125" style="1186" customWidth="1"/>
    <col min="5900" max="5900" width="13.42578125" style="1186" customWidth="1"/>
    <col min="5901" max="5902" width="14" style="1186" customWidth="1"/>
    <col min="5903" max="5903" width="13.42578125" style="1186" customWidth="1"/>
    <col min="5904" max="5905" width="15.7109375" style="1186" customWidth="1"/>
    <col min="5906" max="5906" width="13.42578125" style="1186" customWidth="1"/>
    <col min="5907" max="5908" width="12.28515625" style="1186" customWidth="1"/>
    <col min="5909" max="6145" width="9.140625" style="1186"/>
    <col min="6146" max="6146" width="54.140625" style="1186" bestFit="1" customWidth="1"/>
    <col min="6147" max="6147" width="0" style="1186" hidden="1" customWidth="1"/>
    <col min="6148" max="6148" width="16.5703125" style="1186" bestFit="1" customWidth="1"/>
    <col min="6149" max="6149" width="16.5703125" style="1186" customWidth="1"/>
    <col min="6150" max="6150" width="14" style="1186" customWidth="1"/>
    <col min="6151" max="6152" width="15.7109375" style="1186" customWidth="1"/>
    <col min="6153" max="6153" width="13.42578125" style="1186" customWidth="1"/>
    <col min="6154" max="6154" width="14" style="1186" customWidth="1"/>
    <col min="6155" max="6155" width="15.42578125" style="1186" customWidth="1"/>
    <col min="6156" max="6156" width="13.42578125" style="1186" customWidth="1"/>
    <col min="6157" max="6158" width="14" style="1186" customWidth="1"/>
    <col min="6159" max="6159" width="13.42578125" style="1186" customWidth="1"/>
    <col min="6160" max="6161" width="15.7109375" style="1186" customWidth="1"/>
    <col min="6162" max="6162" width="13.42578125" style="1186" customWidth="1"/>
    <col min="6163" max="6164" width="12.28515625" style="1186" customWidth="1"/>
    <col min="6165" max="6401" width="9.140625" style="1186"/>
    <col min="6402" max="6402" width="54.140625" style="1186" bestFit="1" customWidth="1"/>
    <col min="6403" max="6403" width="0" style="1186" hidden="1" customWidth="1"/>
    <col min="6404" max="6404" width="16.5703125" style="1186" bestFit="1" customWidth="1"/>
    <col min="6405" max="6405" width="16.5703125" style="1186" customWidth="1"/>
    <col min="6406" max="6406" width="14" style="1186" customWidth="1"/>
    <col min="6407" max="6408" width="15.7109375" style="1186" customWidth="1"/>
    <col min="6409" max="6409" width="13.42578125" style="1186" customWidth="1"/>
    <col min="6410" max="6410" width="14" style="1186" customWidth="1"/>
    <col min="6411" max="6411" width="15.42578125" style="1186" customWidth="1"/>
    <col min="6412" max="6412" width="13.42578125" style="1186" customWidth="1"/>
    <col min="6413" max="6414" width="14" style="1186" customWidth="1"/>
    <col min="6415" max="6415" width="13.42578125" style="1186" customWidth="1"/>
    <col min="6416" max="6417" width="15.7109375" style="1186" customWidth="1"/>
    <col min="6418" max="6418" width="13.42578125" style="1186" customWidth="1"/>
    <col min="6419" max="6420" width="12.28515625" style="1186" customWidth="1"/>
    <col min="6421" max="6657" width="9.140625" style="1186"/>
    <col min="6658" max="6658" width="54.140625" style="1186" bestFit="1" customWidth="1"/>
    <col min="6659" max="6659" width="0" style="1186" hidden="1" customWidth="1"/>
    <col min="6660" max="6660" width="16.5703125" style="1186" bestFit="1" customWidth="1"/>
    <col min="6661" max="6661" width="16.5703125" style="1186" customWidth="1"/>
    <col min="6662" max="6662" width="14" style="1186" customWidth="1"/>
    <col min="6663" max="6664" width="15.7109375" style="1186" customWidth="1"/>
    <col min="6665" max="6665" width="13.42578125" style="1186" customWidth="1"/>
    <col min="6666" max="6666" width="14" style="1186" customWidth="1"/>
    <col min="6667" max="6667" width="15.42578125" style="1186" customWidth="1"/>
    <col min="6668" max="6668" width="13.42578125" style="1186" customWidth="1"/>
    <col min="6669" max="6670" width="14" style="1186" customWidth="1"/>
    <col min="6671" max="6671" width="13.42578125" style="1186" customWidth="1"/>
    <col min="6672" max="6673" width="15.7109375" style="1186" customWidth="1"/>
    <col min="6674" max="6674" width="13.42578125" style="1186" customWidth="1"/>
    <col min="6675" max="6676" width="12.28515625" style="1186" customWidth="1"/>
    <col min="6677" max="6913" width="9.140625" style="1186"/>
    <col min="6914" max="6914" width="54.140625" style="1186" bestFit="1" customWidth="1"/>
    <col min="6915" max="6915" width="0" style="1186" hidden="1" customWidth="1"/>
    <col min="6916" max="6916" width="16.5703125" style="1186" bestFit="1" customWidth="1"/>
    <col min="6917" max="6917" width="16.5703125" style="1186" customWidth="1"/>
    <col min="6918" max="6918" width="14" style="1186" customWidth="1"/>
    <col min="6919" max="6920" width="15.7109375" style="1186" customWidth="1"/>
    <col min="6921" max="6921" width="13.42578125" style="1186" customWidth="1"/>
    <col min="6922" max="6922" width="14" style="1186" customWidth="1"/>
    <col min="6923" max="6923" width="15.42578125" style="1186" customWidth="1"/>
    <col min="6924" max="6924" width="13.42578125" style="1186" customWidth="1"/>
    <col min="6925" max="6926" width="14" style="1186" customWidth="1"/>
    <col min="6927" max="6927" width="13.42578125" style="1186" customWidth="1"/>
    <col min="6928" max="6929" width="15.7109375" style="1186" customWidth="1"/>
    <col min="6930" max="6930" width="13.42578125" style="1186" customWidth="1"/>
    <col min="6931" max="6932" width="12.28515625" style="1186" customWidth="1"/>
    <col min="6933" max="7169" width="9.140625" style="1186"/>
    <col min="7170" max="7170" width="54.140625" style="1186" bestFit="1" customWidth="1"/>
    <col min="7171" max="7171" width="0" style="1186" hidden="1" customWidth="1"/>
    <col min="7172" max="7172" width="16.5703125" style="1186" bestFit="1" customWidth="1"/>
    <col min="7173" max="7173" width="16.5703125" style="1186" customWidth="1"/>
    <col min="7174" max="7174" width="14" style="1186" customWidth="1"/>
    <col min="7175" max="7176" width="15.7109375" style="1186" customWidth="1"/>
    <col min="7177" max="7177" width="13.42578125" style="1186" customWidth="1"/>
    <col min="7178" max="7178" width="14" style="1186" customWidth="1"/>
    <col min="7179" max="7179" width="15.42578125" style="1186" customWidth="1"/>
    <col min="7180" max="7180" width="13.42578125" style="1186" customWidth="1"/>
    <col min="7181" max="7182" width="14" style="1186" customWidth="1"/>
    <col min="7183" max="7183" width="13.42578125" style="1186" customWidth="1"/>
    <col min="7184" max="7185" width="15.7109375" style="1186" customWidth="1"/>
    <col min="7186" max="7186" width="13.42578125" style="1186" customWidth="1"/>
    <col min="7187" max="7188" width="12.28515625" style="1186" customWidth="1"/>
    <col min="7189" max="7425" width="9.140625" style="1186"/>
    <col min="7426" max="7426" width="54.140625" style="1186" bestFit="1" customWidth="1"/>
    <col min="7427" max="7427" width="0" style="1186" hidden="1" customWidth="1"/>
    <col min="7428" max="7428" width="16.5703125" style="1186" bestFit="1" customWidth="1"/>
    <col min="7429" max="7429" width="16.5703125" style="1186" customWidth="1"/>
    <col min="7430" max="7430" width="14" style="1186" customWidth="1"/>
    <col min="7431" max="7432" width="15.7109375" style="1186" customWidth="1"/>
    <col min="7433" max="7433" width="13.42578125" style="1186" customWidth="1"/>
    <col min="7434" max="7434" width="14" style="1186" customWidth="1"/>
    <col min="7435" max="7435" width="15.42578125" style="1186" customWidth="1"/>
    <col min="7436" max="7436" width="13.42578125" style="1186" customWidth="1"/>
    <col min="7437" max="7438" width="14" style="1186" customWidth="1"/>
    <col min="7439" max="7439" width="13.42578125" style="1186" customWidth="1"/>
    <col min="7440" max="7441" width="15.7109375" style="1186" customWidth="1"/>
    <col min="7442" max="7442" width="13.42578125" style="1186" customWidth="1"/>
    <col min="7443" max="7444" width="12.28515625" style="1186" customWidth="1"/>
    <col min="7445" max="7681" width="9.140625" style="1186"/>
    <col min="7682" max="7682" width="54.140625" style="1186" bestFit="1" customWidth="1"/>
    <col min="7683" max="7683" width="0" style="1186" hidden="1" customWidth="1"/>
    <col min="7684" max="7684" width="16.5703125" style="1186" bestFit="1" customWidth="1"/>
    <col min="7685" max="7685" width="16.5703125" style="1186" customWidth="1"/>
    <col min="7686" max="7686" width="14" style="1186" customWidth="1"/>
    <col min="7687" max="7688" width="15.7109375" style="1186" customWidth="1"/>
    <col min="7689" max="7689" width="13.42578125" style="1186" customWidth="1"/>
    <col min="7690" max="7690" width="14" style="1186" customWidth="1"/>
    <col min="7691" max="7691" width="15.42578125" style="1186" customWidth="1"/>
    <col min="7692" max="7692" width="13.42578125" style="1186" customWidth="1"/>
    <col min="7693" max="7694" width="14" style="1186" customWidth="1"/>
    <col min="7695" max="7695" width="13.42578125" style="1186" customWidth="1"/>
    <col min="7696" max="7697" width="15.7109375" style="1186" customWidth="1"/>
    <col min="7698" max="7698" width="13.42578125" style="1186" customWidth="1"/>
    <col min="7699" max="7700" width="12.28515625" style="1186" customWidth="1"/>
    <col min="7701" max="7937" width="9.140625" style="1186"/>
    <col min="7938" max="7938" width="54.140625" style="1186" bestFit="1" customWidth="1"/>
    <col min="7939" max="7939" width="0" style="1186" hidden="1" customWidth="1"/>
    <col min="7940" max="7940" width="16.5703125" style="1186" bestFit="1" customWidth="1"/>
    <col min="7941" max="7941" width="16.5703125" style="1186" customWidth="1"/>
    <col min="7942" max="7942" width="14" style="1186" customWidth="1"/>
    <col min="7943" max="7944" width="15.7109375" style="1186" customWidth="1"/>
    <col min="7945" max="7945" width="13.42578125" style="1186" customWidth="1"/>
    <col min="7946" max="7946" width="14" style="1186" customWidth="1"/>
    <col min="7947" max="7947" width="15.42578125" style="1186" customWidth="1"/>
    <col min="7948" max="7948" width="13.42578125" style="1186" customWidth="1"/>
    <col min="7949" max="7950" width="14" style="1186" customWidth="1"/>
    <col min="7951" max="7951" width="13.42578125" style="1186" customWidth="1"/>
    <col min="7952" max="7953" width="15.7109375" style="1186" customWidth="1"/>
    <col min="7954" max="7954" width="13.42578125" style="1186" customWidth="1"/>
    <col min="7955" max="7956" width="12.28515625" style="1186" customWidth="1"/>
    <col min="7957" max="8193" width="9.140625" style="1186"/>
    <col min="8194" max="8194" width="54.140625" style="1186" bestFit="1" customWidth="1"/>
    <col min="8195" max="8195" width="0" style="1186" hidden="1" customWidth="1"/>
    <col min="8196" max="8196" width="16.5703125" style="1186" bestFit="1" customWidth="1"/>
    <col min="8197" max="8197" width="16.5703125" style="1186" customWidth="1"/>
    <col min="8198" max="8198" width="14" style="1186" customWidth="1"/>
    <col min="8199" max="8200" width="15.7109375" style="1186" customWidth="1"/>
    <col min="8201" max="8201" width="13.42578125" style="1186" customWidth="1"/>
    <col min="8202" max="8202" width="14" style="1186" customWidth="1"/>
    <col min="8203" max="8203" width="15.42578125" style="1186" customWidth="1"/>
    <col min="8204" max="8204" width="13.42578125" style="1186" customWidth="1"/>
    <col min="8205" max="8206" width="14" style="1186" customWidth="1"/>
    <col min="8207" max="8207" width="13.42578125" style="1186" customWidth="1"/>
    <col min="8208" max="8209" width="15.7109375" style="1186" customWidth="1"/>
    <col min="8210" max="8210" width="13.42578125" style="1186" customWidth="1"/>
    <col min="8211" max="8212" width="12.28515625" style="1186" customWidth="1"/>
    <col min="8213" max="8449" width="9.140625" style="1186"/>
    <col min="8450" max="8450" width="54.140625" style="1186" bestFit="1" customWidth="1"/>
    <col min="8451" max="8451" width="0" style="1186" hidden="1" customWidth="1"/>
    <col min="8452" max="8452" width="16.5703125" style="1186" bestFit="1" customWidth="1"/>
    <col min="8453" max="8453" width="16.5703125" style="1186" customWidth="1"/>
    <col min="8454" max="8454" width="14" style="1186" customWidth="1"/>
    <col min="8455" max="8456" width="15.7109375" style="1186" customWidth="1"/>
    <col min="8457" max="8457" width="13.42578125" style="1186" customWidth="1"/>
    <col min="8458" max="8458" width="14" style="1186" customWidth="1"/>
    <col min="8459" max="8459" width="15.42578125" style="1186" customWidth="1"/>
    <col min="8460" max="8460" width="13.42578125" style="1186" customWidth="1"/>
    <col min="8461" max="8462" width="14" style="1186" customWidth="1"/>
    <col min="8463" max="8463" width="13.42578125" style="1186" customWidth="1"/>
    <col min="8464" max="8465" width="15.7109375" style="1186" customWidth="1"/>
    <col min="8466" max="8466" width="13.42578125" style="1186" customWidth="1"/>
    <col min="8467" max="8468" width="12.28515625" style="1186" customWidth="1"/>
    <col min="8469" max="8705" width="9.140625" style="1186"/>
    <col min="8706" max="8706" width="54.140625" style="1186" bestFit="1" customWidth="1"/>
    <col min="8707" max="8707" width="0" style="1186" hidden="1" customWidth="1"/>
    <col min="8708" max="8708" width="16.5703125" style="1186" bestFit="1" customWidth="1"/>
    <col min="8709" max="8709" width="16.5703125" style="1186" customWidth="1"/>
    <col min="8710" max="8710" width="14" style="1186" customWidth="1"/>
    <col min="8711" max="8712" width="15.7109375" style="1186" customWidth="1"/>
    <col min="8713" max="8713" width="13.42578125" style="1186" customWidth="1"/>
    <col min="8714" max="8714" width="14" style="1186" customWidth="1"/>
    <col min="8715" max="8715" width="15.42578125" style="1186" customWidth="1"/>
    <col min="8716" max="8716" width="13.42578125" style="1186" customWidth="1"/>
    <col min="8717" max="8718" width="14" style="1186" customWidth="1"/>
    <col min="8719" max="8719" width="13.42578125" style="1186" customWidth="1"/>
    <col min="8720" max="8721" width="15.7109375" style="1186" customWidth="1"/>
    <col min="8722" max="8722" width="13.42578125" style="1186" customWidth="1"/>
    <col min="8723" max="8724" width="12.28515625" style="1186" customWidth="1"/>
    <col min="8725" max="8961" width="9.140625" style="1186"/>
    <col min="8962" max="8962" width="54.140625" style="1186" bestFit="1" customWidth="1"/>
    <col min="8963" max="8963" width="0" style="1186" hidden="1" customWidth="1"/>
    <col min="8964" max="8964" width="16.5703125" style="1186" bestFit="1" customWidth="1"/>
    <col min="8965" max="8965" width="16.5703125" style="1186" customWidth="1"/>
    <col min="8966" max="8966" width="14" style="1186" customWidth="1"/>
    <col min="8967" max="8968" width="15.7109375" style="1186" customWidth="1"/>
    <col min="8969" max="8969" width="13.42578125" style="1186" customWidth="1"/>
    <col min="8970" max="8970" width="14" style="1186" customWidth="1"/>
    <col min="8971" max="8971" width="15.42578125" style="1186" customWidth="1"/>
    <col min="8972" max="8972" width="13.42578125" style="1186" customWidth="1"/>
    <col min="8973" max="8974" width="14" style="1186" customWidth="1"/>
    <col min="8975" max="8975" width="13.42578125" style="1186" customWidth="1"/>
    <col min="8976" max="8977" width="15.7109375" style="1186" customWidth="1"/>
    <col min="8978" max="8978" width="13.42578125" style="1186" customWidth="1"/>
    <col min="8979" max="8980" width="12.28515625" style="1186" customWidth="1"/>
    <col min="8981" max="9217" width="9.140625" style="1186"/>
    <col min="9218" max="9218" width="54.140625" style="1186" bestFit="1" customWidth="1"/>
    <col min="9219" max="9219" width="0" style="1186" hidden="1" customWidth="1"/>
    <col min="9220" max="9220" width="16.5703125" style="1186" bestFit="1" customWidth="1"/>
    <col min="9221" max="9221" width="16.5703125" style="1186" customWidth="1"/>
    <col min="9222" max="9222" width="14" style="1186" customWidth="1"/>
    <col min="9223" max="9224" width="15.7109375" style="1186" customWidth="1"/>
    <col min="9225" max="9225" width="13.42578125" style="1186" customWidth="1"/>
    <col min="9226" max="9226" width="14" style="1186" customWidth="1"/>
    <col min="9227" max="9227" width="15.42578125" style="1186" customWidth="1"/>
    <col min="9228" max="9228" width="13.42578125" style="1186" customWidth="1"/>
    <col min="9229" max="9230" width="14" style="1186" customWidth="1"/>
    <col min="9231" max="9231" width="13.42578125" style="1186" customWidth="1"/>
    <col min="9232" max="9233" width="15.7109375" style="1186" customWidth="1"/>
    <col min="9234" max="9234" width="13.42578125" style="1186" customWidth="1"/>
    <col min="9235" max="9236" width="12.28515625" style="1186" customWidth="1"/>
    <col min="9237" max="9473" width="9.140625" style="1186"/>
    <col min="9474" max="9474" width="54.140625" style="1186" bestFit="1" customWidth="1"/>
    <col min="9475" max="9475" width="0" style="1186" hidden="1" customWidth="1"/>
    <col min="9476" max="9476" width="16.5703125" style="1186" bestFit="1" customWidth="1"/>
    <col min="9477" max="9477" width="16.5703125" style="1186" customWidth="1"/>
    <col min="9478" max="9478" width="14" style="1186" customWidth="1"/>
    <col min="9479" max="9480" width="15.7109375" style="1186" customWidth="1"/>
    <col min="9481" max="9481" width="13.42578125" style="1186" customWidth="1"/>
    <col min="9482" max="9482" width="14" style="1186" customWidth="1"/>
    <col min="9483" max="9483" width="15.42578125" style="1186" customWidth="1"/>
    <col min="9484" max="9484" width="13.42578125" style="1186" customWidth="1"/>
    <col min="9485" max="9486" width="14" style="1186" customWidth="1"/>
    <col min="9487" max="9487" width="13.42578125" style="1186" customWidth="1"/>
    <col min="9488" max="9489" width="15.7109375" style="1186" customWidth="1"/>
    <col min="9490" max="9490" width="13.42578125" style="1186" customWidth="1"/>
    <col min="9491" max="9492" width="12.28515625" style="1186" customWidth="1"/>
    <col min="9493" max="9729" width="9.140625" style="1186"/>
    <col min="9730" max="9730" width="54.140625" style="1186" bestFit="1" customWidth="1"/>
    <col min="9731" max="9731" width="0" style="1186" hidden="1" customWidth="1"/>
    <col min="9732" max="9732" width="16.5703125" style="1186" bestFit="1" customWidth="1"/>
    <col min="9733" max="9733" width="16.5703125" style="1186" customWidth="1"/>
    <col min="9734" max="9734" width="14" style="1186" customWidth="1"/>
    <col min="9735" max="9736" width="15.7109375" style="1186" customWidth="1"/>
    <col min="9737" max="9737" width="13.42578125" style="1186" customWidth="1"/>
    <col min="9738" max="9738" width="14" style="1186" customWidth="1"/>
    <col min="9739" max="9739" width="15.42578125" style="1186" customWidth="1"/>
    <col min="9740" max="9740" width="13.42578125" style="1186" customWidth="1"/>
    <col min="9741" max="9742" width="14" style="1186" customWidth="1"/>
    <col min="9743" max="9743" width="13.42578125" style="1186" customWidth="1"/>
    <col min="9744" max="9745" width="15.7109375" style="1186" customWidth="1"/>
    <col min="9746" max="9746" width="13.42578125" style="1186" customWidth="1"/>
    <col min="9747" max="9748" width="12.28515625" style="1186" customWidth="1"/>
    <col min="9749" max="9985" width="9.140625" style="1186"/>
    <col min="9986" max="9986" width="54.140625" style="1186" bestFit="1" customWidth="1"/>
    <col min="9987" max="9987" width="0" style="1186" hidden="1" customWidth="1"/>
    <col min="9988" max="9988" width="16.5703125" style="1186" bestFit="1" customWidth="1"/>
    <col min="9989" max="9989" width="16.5703125" style="1186" customWidth="1"/>
    <col min="9990" max="9990" width="14" style="1186" customWidth="1"/>
    <col min="9991" max="9992" width="15.7109375" style="1186" customWidth="1"/>
    <col min="9993" max="9993" width="13.42578125" style="1186" customWidth="1"/>
    <col min="9994" max="9994" width="14" style="1186" customWidth="1"/>
    <col min="9995" max="9995" width="15.42578125" style="1186" customWidth="1"/>
    <col min="9996" max="9996" width="13.42578125" style="1186" customWidth="1"/>
    <col min="9997" max="9998" width="14" style="1186" customWidth="1"/>
    <col min="9999" max="9999" width="13.42578125" style="1186" customWidth="1"/>
    <col min="10000" max="10001" width="15.7109375" style="1186" customWidth="1"/>
    <col min="10002" max="10002" width="13.42578125" style="1186" customWidth="1"/>
    <col min="10003" max="10004" width="12.28515625" style="1186" customWidth="1"/>
    <col min="10005" max="10241" width="9.140625" style="1186"/>
    <col min="10242" max="10242" width="54.140625" style="1186" bestFit="1" customWidth="1"/>
    <col min="10243" max="10243" width="0" style="1186" hidden="1" customWidth="1"/>
    <col min="10244" max="10244" width="16.5703125" style="1186" bestFit="1" customWidth="1"/>
    <col min="10245" max="10245" width="16.5703125" style="1186" customWidth="1"/>
    <col min="10246" max="10246" width="14" style="1186" customWidth="1"/>
    <col min="10247" max="10248" width="15.7109375" style="1186" customWidth="1"/>
    <col min="10249" max="10249" width="13.42578125" style="1186" customWidth="1"/>
    <col min="10250" max="10250" width="14" style="1186" customWidth="1"/>
    <col min="10251" max="10251" width="15.42578125" style="1186" customWidth="1"/>
    <col min="10252" max="10252" width="13.42578125" style="1186" customWidth="1"/>
    <col min="10253" max="10254" width="14" style="1186" customWidth="1"/>
    <col min="10255" max="10255" width="13.42578125" style="1186" customWidth="1"/>
    <col min="10256" max="10257" width="15.7109375" style="1186" customWidth="1"/>
    <col min="10258" max="10258" width="13.42578125" style="1186" customWidth="1"/>
    <col min="10259" max="10260" width="12.28515625" style="1186" customWidth="1"/>
    <col min="10261" max="10497" width="9.140625" style="1186"/>
    <col min="10498" max="10498" width="54.140625" style="1186" bestFit="1" customWidth="1"/>
    <col min="10499" max="10499" width="0" style="1186" hidden="1" customWidth="1"/>
    <col min="10500" max="10500" width="16.5703125" style="1186" bestFit="1" customWidth="1"/>
    <col min="10501" max="10501" width="16.5703125" style="1186" customWidth="1"/>
    <col min="10502" max="10502" width="14" style="1186" customWidth="1"/>
    <col min="10503" max="10504" width="15.7109375" style="1186" customWidth="1"/>
    <col min="10505" max="10505" width="13.42578125" style="1186" customWidth="1"/>
    <col min="10506" max="10506" width="14" style="1186" customWidth="1"/>
    <col min="10507" max="10507" width="15.42578125" style="1186" customWidth="1"/>
    <col min="10508" max="10508" width="13.42578125" style="1186" customWidth="1"/>
    <col min="10509" max="10510" width="14" style="1186" customWidth="1"/>
    <col min="10511" max="10511" width="13.42578125" style="1186" customWidth="1"/>
    <col min="10512" max="10513" width="15.7109375" style="1186" customWidth="1"/>
    <col min="10514" max="10514" width="13.42578125" style="1186" customWidth="1"/>
    <col min="10515" max="10516" width="12.28515625" style="1186" customWidth="1"/>
    <col min="10517" max="10753" width="9.140625" style="1186"/>
    <col min="10754" max="10754" width="54.140625" style="1186" bestFit="1" customWidth="1"/>
    <col min="10755" max="10755" width="0" style="1186" hidden="1" customWidth="1"/>
    <col min="10756" max="10756" width="16.5703125" style="1186" bestFit="1" customWidth="1"/>
    <col min="10757" max="10757" width="16.5703125" style="1186" customWidth="1"/>
    <col min="10758" max="10758" width="14" style="1186" customWidth="1"/>
    <col min="10759" max="10760" width="15.7109375" style="1186" customWidth="1"/>
    <col min="10761" max="10761" width="13.42578125" style="1186" customWidth="1"/>
    <col min="10762" max="10762" width="14" style="1186" customWidth="1"/>
    <col min="10763" max="10763" width="15.42578125" style="1186" customWidth="1"/>
    <col min="10764" max="10764" width="13.42578125" style="1186" customWidth="1"/>
    <col min="10765" max="10766" width="14" style="1186" customWidth="1"/>
    <col min="10767" max="10767" width="13.42578125" style="1186" customWidth="1"/>
    <col min="10768" max="10769" width="15.7109375" style="1186" customWidth="1"/>
    <col min="10770" max="10770" width="13.42578125" style="1186" customWidth="1"/>
    <col min="10771" max="10772" width="12.28515625" style="1186" customWidth="1"/>
    <col min="10773" max="11009" width="9.140625" style="1186"/>
    <col min="11010" max="11010" width="54.140625" style="1186" bestFit="1" customWidth="1"/>
    <col min="11011" max="11011" width="0" style="1186" hidden="1" customWidth="1"/>
    <col min="11012" max="11012" width="16.5703125" style="1186" bestFit="1" customWidth="1"/>
    <col min="11013" max="11013" width="16.5703125" style="1186" customWidth="1"/>
    <col min="11014" max="11014" width="14" style="1186" customWidth="1"/>
    <col min="11015" max="11016" width="15.7109375" style="1186" customWidth="1"/>
    <col min="11017" max="11017" width="13.42578125" style="1186" customWidth="1"/>
    <col min="11018" max="11018" width="14" style="1186" customWidth="1"/>
    <col min="11019" max="11019" width="15.42578125" style="1186" customWidth="1"/>
    <col min="11020" max="11020" width="13.42578125" style="1186" customWidth="1"/>
    <col min="11021" max="11022" width="14" style="1186" customWidth="1"/>
    <col min="11023" max="11023" width="13.42578125" style="1186" customWidth="1"/>
    <col min="11024" max="11025" width="15.7109375" style="1186" customWidth="1"/>
    <col min="11026" max="11026" width="13.42578125" style="1186" customWidth="1"/>
    <col min="11027" max="11028" width="12.28515625" style="1186" customWidth="1"/>
    <col min="11029" max="11265" width="9.140625" style="1186"/>
    <col min="11266" max="11266" width="54.140625" style="1186" bestFit="1" customWidth="1"/>
    <col min="11267" max="11267" width="0" style="1186" hidden="1" customWidth="1"/>
    <col min="11268" max="11268" width="16.5703125" style="1186" bestFit="1" customWidth="1"/>
    <col min="11269" max="11269" width="16.5703125" style="1186" customWidth="1"/>
    <col min="11270" max="11270" width="14" style="1186" customWidth="1"/>
    <col min="11271" max="11272" width="15.7109375" style="1186" customWidth="1"/>
    <col min="11273" max="11273" width="13.42578125" style="1186" customWidth="1"/>
    <col min="11274" max="11274" width="14" style="1186" customWidth="1"/>
    <col min="11275" max="11275" width="15.42578125" style="1186" customWidth="1"/>
    <col min="11276" max="11276" width="13.42578125" style="1186" customWidth="1"/>
    <col min="11277" max="11278" width="14" style="1186" customWidth="1"/>
    <col min="11279" max="11279" width="13.42578125" style="1186" customWidth="1"/>
    <col min="11280" max="11281" width="15.7109375" style="1186" customWidth="1"/>
    <col min="11282" max="11282" width="13.42578125" style="1186" customWidth="1"/>
    <col min="11283" max="11284" width="12.28515625" style="1186" customWidth="1"/>
    <col min="11285" max="11521" width="9.140625" style="1186"/>
    <col min="11522" max="11522" width="54.140625" style="1186" bestFit="1" customWidth="1"/>
    <col min="11523" max="11523" width="0" style="1186" hidden="1" customWidth="1"/>
    <col min="11524" max="11524" width="16.5703125" style="1186" bestFit="1" customWidth="1"/>
    <col min="11525" max="11525" width="16.5703125" style="1186" customWidth="1"/>
    <col min="11526" max="11526" width="14" style="1186" customWidth="1"/>
    <col min="11527" max="11528" width="15.7109375" style="1186" customWidth="1"/>
    <col min="11529" max="11529" width="13.42578125" style="1186" customWidth="1"/>
    <col min="11530" max="11530" width="14" style="1186" customWidth="1"/>
    <col min="11531" max="11531" width="15.42578125" style="1186" customWidth="1"/>
    <col min="11532" max="11532" width="13.42578125" style="1186" customWidth="1"/>
    <col min="11533" max="11534" width="14" style="1186" customWidth="1"/>
    <col min="11535" max="11535" width="13.42578125" style="1186" customWidth="1"/>
    <col min="11536" max="11537" width="15.7109375" style="1186" customWidth="1"/>
    <col min="11538" max="11538" width="13.42578125" style="1186" customWidth="1"/>
    <col min="11539" max="11540" width="12.28515625" style="1186" customWidth="1"/>
    <col min="11541" max="11777" width="9.140625" style="1186"/>
    <col min="11778" max="11778" width="54.140625" style="1186" bestFit="1" customWidth="1"/>
    <col min="11779" max="11779" width="0" style="1186" hidden="1" customWidth="1"/>
    <col min="11780" max="11780" width="16.5703125" style="1186" bestFit="1" customWidth="1"/>
    <col min="11781" max="11781" width="16.5703125" style="1186" customWidth="1"/>
    <col min="11782" max="11782" width="14" style="1186" customWidth="1"/>
    <col min="11783" max="11784" width="15.7109375" style="1186" customWidth="1"/>
    <col min="11785" max="11785" width="13.42578125" style="1186" customWidth="1"/>
    <col min="11786" max="11786" width="14" style="1186" customWidth="1"/>
    <col min="11787" max="11787" width="15.42578125" style="1186" customWidth="1"/>
    <col min="11788" max="11788" width="13.42578125" style="1186" customWidth="1"/>
    <col min="11789" max="11790" width="14" style="1186" customWidth="1"/>
    <col min="11791" max="11791" width="13.42578125" style="1186" customWidth="1"/>
    <col min="11792" max="11793" width="15.7109375" style="1186" customWidth="1"/>
    <col min="11794" max="11794" width="13.42578125" style="1186" customWidth="1"/>
    <col min="11795" max="11796" width="12.28515625" style="1186" customWidth="1"/>
    <col min="11797" max="12033" width="9.140625" style="1186"/>
    <col min="12034" max="12034" width="54.140625" style="1186" bestFit="1" customWidth="1"/>
    <col min="12035" max="12035" width="0" style="1186" hidden="1" customWidth="1"/>
    <col min="12036" max="12036" width="16.5703125" style="1186" bestFit="1" customWidth="1"/>
    <col min="12037" max="12037" width="16.5703125" style="1186" customWidth="1"/>
    <col min="12038" max="12038" width="14" style="1186" customWidth="1"/>
    <col min="12039" max="12040" width="15.7109375" style="1186" customWidth="1"/>
    <col min="12041" max="12041" width="13.42578125" style="1186" customWidth="1"/>
    <col min="12042" max="12042" width="14" style="1186" customWidth="1"/>
    <col min="12043" max="12043" width="15.42578125" style="1186" customWidth="1"/>
    <col min="12044" max="12044" width="13.42578125" style="1186" customWidth="1"/>
    <col min="12045" max="12046" width="14" style="1186" customWidth="1"/>
    <col min="12047" max="12047" width="13.42578125" style="1186" customWidth="1"/>
    <col min="12048" max="12049" width="15.7109375" style="1186" customWidth="1"/>
    <col min="12050" max="12050" width="13.42578125" style="1186" customWidth="1"/>
    <col min="12051" max="12052" width="12.28515625" style="1186" customWidth="1"/>
    <col min="12053" max="12289" width="9.140625" style="1186"/>
    <col min="12290" max="12290" width="54.140625" style="1186" bestFit="1" customWidth="1"/>
    <col min="12291" max="12291" width="0" style="1186" hidden="1" customWidth="1"/>
    <col min="12292" max="12292" width="16.5703125" style="1186" bestFit="1" customWidth="1"/>
    <col min="12293" max="12293" width="16.5703125" style="1186" customWidth="1"/>
    <col min="12294" max="12294" width="14" style="1186" customWidth="1"/>
    <col min="12295" max="12296" width="15.7109375" style="1186" customWidth="1"/>
    <col min="12297" max="12297" width="13.42578125" style="1186" customWidth="1"/>
    <col min="12298" max="12298" width="14" style="1186" customWidth="1"/>
    <col min="12299" max="12299" width="15.42578125" style="1186" customWidth="1"/>
    <col min="12300" max="12300" width="13.42578125" style="1186" customWidth="1"/>
    <col min="12301" max="12302" width="14" style="1186" customWidth="1"/>
    <col min="12303" max="12303" width="13.42578125" style="1186" customWidth="1"/>
    <col min="12304" max="12305" width="15.7109375" style="1186" customWidth="1"/>
    <col min="12306" max="12306" width="13.42578125" style="1186" customWidth="1"/>
    <col min="12307" max="12308" width="12.28515625" style="1186" customWidth="1"/>
    <col min="12309" max="12545" width="9.140625" style="1186"/>
    <col min="12546" max="12546" width="54.140625" style="1186" bestFit="1" customWidth="1"/>
    <col min="12547" max="12547" width="0" style="1186" hidden="1" customWidth="1"/>
    <col min="12548" max="12548" width="16.5703125" style="1186" bestFit="1" customWidth="1"/>
    <col min="12549" max="12549" width="16.5703125" style="1186" customWidth="1"/>
    <col min="12550" max="12550" width="14" style="1186" customWidth="1"/>
    <col min="12551" max="12552" width="15.7109375" style="1186" customWidth="1"/>
    <col min="12553" max="12553" width="13.42578125" style="1186" customWidth="1"/>
    <col min="12554" max="12554" width="14" style="1186" customWidth="1"/>
    <col min="12555" max="12555" width="15.42578125" style="1186" customWidth="1"/>
    <col min="12556" max="12556" width="13.42578125" style="1186" customWidth="1"/>
    <col min="12557" max="12558" width="14" style="1186" customWidth="1"/>
    <col min="12559" max="12559" width="13.42578125" style="1186" customWidth="1"/>
    <col min="12560" max="12561" width="15.7109375" style="1186" customWidth="1"/>
    <col min="12562" max="12562" width="13.42578125" style="1186" customWidth="1"/>
    <col min="12563" max="12564" width="12.28515625" style="1186" customWidth="1"/>
    <col min="12565" max="12801" width="9.140625" style="1186"/>
    <col min="12802" max="12802" width="54.140625" style="1186" bestFit="1" customWidth="1"/>
    <col min="12803" max="12803" width="0" style="1186" hidden="1" customWidth="1"/>
    <col min="12804" max="12804" width="16.5703125" style="1186" bestFit="1" customWidth="1"/>
    <col min="12805" max="12805" width="16.5703125" style="1186" customWidth="1"/>
    <col min="12806" max="12806" width="14" style="1186" customWidth="1"/>
    <col min="12807" max="12808" width="15.7109375" style="1186" customWidth="1"/>
    <col min="12809" max="12809" width="13.42578125" style="1186" customWidth="1"/>
    <col min="12810" max="12810" width="14" style="1186" customWidth="1"/>
    <col min="12811" max="12811" width="15.42578125" style="1186" customWidth="1"/>
    <col min="12812" max="12812" width="13.42578125" style="1186" customWidth="1"/>
    <col min="12813" max="12814" width="14" style="1186" customWidth="1"/>
    <col min="12815" max="12815" width="13.42578125" style="1186" customWidth="1"/>
    <col min="12816" max="12817" width="15.7109375" style="1186" customWidth="1"/>
    <col min="12818" max="12818" width="13.42578125" style="1186" customWidth="1"/>
    <col min="12819" max="12820" width="12.28515625" style="1186" customWidth="1"/>
    <col min="12821" max="13057" width="9.140625" style="1186"/>
    <col min="13058" max="13058" width="54.140625" style="1186" bestFit="1" customWidth="1"/>
    <col min="13059" max="13059" width="0" style="1186" hidden="1" customWidth="1"/>
    <col min="13060" max="13060" width="16.5703125" style="1186" bestFit="1" customWidth="1"/>
    <col min="13061" max="13061" width="16.5703125" style="1186" customWidth="1"/>
    <col min="13062" max="13062" width="14" style="1186" customWidth="1"/>
    <col min="13063" max="13064" width="15.7109375" style="1186" customWidth="1"/>
    <col min="13065" max="13065" width="13.42578125" style="1186" customWidth="1"/>
    <col min="13066" max="13066" width="14" style="1186" customWidth="1"/>
    <col min="13067" max="13067" width="15.42578125" style="1186" customWidth="1"/>
    <col min="13068" max="13068" width="13.42578125" style="1186" customWidth="1"/>
    <col min="13069" max="13070" width="14" style="1186" customWidth="1"/>
    <col min="13071" max="13071" width="13.42578125" style="1186" customWidth="1"/>
    <col min="13072" max="13073" width="15.7109375" style="1186" customWidth="1"/>
    <col min="13074" max="13074" width="13.42578125" style="1186" customWidth="1"/>
    <col min="13075" max="13076" width="12.28515625" style="1186" customWidth="1"/>
    <col min="13077" max="13313" width="9.140625" style="1186"/>
    <col min="13314" max="13314" width="54.140625" style="1186" bestFit="1" customWidth="1"/>
    <col min="13315" max="13315" width="0" style="1186" hidden="1" customWidth="1"/>
    <col min="13316" max="13316" width="16.5703125" style="1186" bestFit="1" customWidth="1"/>
    <col min="13317" max="13317" width="16.5703125" style="1186" customWidth="1"/>
    <col min="13318" max="13318" width="14" style="1186" customWidth="1"/>
    <col min="13319" max="13320" width="15.7109375" style="1186" customWidth="1"/>
    <col min="13321" max="13321" width="13.42578125" style="1186" customWidth="1"/>
    <col min="13322" max="13322" width="14" style="1186" customWidth="1"/>
    <col min="13323" max="13323" width="15.42578125" style="1186" customWidth="1"/>
    <col min="13324" max="13324" width="13.42578125" style="1186" customWidth="1"/>
    <col min="13325" max="13326" width="14" style="1186" customWidth="1"/>
    <col min="13327" max="13327" width="13.42578125" style="1186" customWidth="1"/>
    <col min="13328" max="13329" width="15.7109375" style="1186" customWidth="1"/>
    <col min="13330" max="13330" width="13.42578125" style="1186" customWidth="1"/>
    <col min="13331" max="13332" width="12.28515625" style="1186" customWidth="1"/>
    <col min="13333" max="13569" width="9.140625" style="1186"/>
    <col min="13570" max="13570" width="54.140625" style="1186" bestFit="1" customWidth="1"/>
    <col min="13571" max="13571" width="0" style="1186" hidden="1" customWidth="1"/>
    <col min="13572" max="13572" width="16.5703125" style="1186" bestFit="1" customWidth="1"/>
    <col min="13573" max="13573" width="16.5703125" style="1186" customWidth="1"/>
    <col min="13574" max="13574" width="14" style="1186" customWidth="1"/>
    <col min="13575" max="13576" width="15.7109375" style="1186" customWidth="1"/>
    <col min="13577" max="13577" width="13.42578125" style="1186" customWidth="1"/>
    <col min="13578" max="13578" width="14" style="1186" customWidth="1"/>
    <col min="13579" max="13579" width="15.42578125" style="1186" customWidth="1"/>
    <col min="13580" max="13580" width="13.42578125" style="1186" customWidth="1"/>
    <col min="13581" max="13582" width="14" style="1186" customWidth="1"/>
    <col min="13583" max="13583" width="13.42578125" style="1186" customWidth="1"/>
    <col min="13584" max="13585" width="15.7109375" style="1186" customWidth="1"/>
    <col min="13586" max="13586" width="13.42578125" style="1186" customWidth="1"/>
    <col min="13587" max="13588" width="12.28515625" style="1186" customWidth="1"/>
    <col min="13589" max="13825" width="9.140625" style="1186"/>
    <col min="13826" max="13826" width="54.140625" style="1186" bestFit="1" customWidth="1"/>
    <col min="13827" max="13827" width="0" style="1186" hidden="1" customWidth="1"/>
    <col min="13828" max="13828" width="16.5703125" style="1186" bestFit="1" customWidth="1"/>
    <col min="13829" max="13829" width="16.5703125" style="1186" customWidth="1"/>
    <col min="13830" max="13830" width="14" style="1186" customWidth="1"/>
    <col min="13831" max="13832" width="15.7109375" style="1186" customWidth="1"/>
    <col min="13833" max="13833" width="13.42578125" style="1186" customWidth="1"/>
    <col min="13834" max="13834" width="14" style="1186" customWidth="1"/>
    <col min="13835" max="13835" width="15.42578125" style="1186" customWidth="1"/>
    <col min="13836" max="13836" width="13.42578125" style="1186" customWidth="1"/>
    <col min="13837" max="13838" width="14" style="1186" customWidth="1"/>
    <col min="13839" max="13839" width="13.42578125" style="1186" customWidth="1"/>
    <col min="13840" max="13841" width="15.7109375" style="1186" customWidth="1"/>
    <col min="13842" max="13842" width="13.42578125" style="1186" customWidth="1"/>
    <col min="13843" max="13844" width="12.28515625" style="1186" customWidth="1"/>
    <col min="13845" max="14081" width="9.140625" style="1186"/>
    <col min="14082" max="14082" width="54.140625" style="1186" bestFit="1" customWidth="1"/>
    <col min="14083" max="14083" width="0" style="1186" hidden="1" customWidth="1"/>
    <col min="14084" max="14084" width="16.5703125" style="1186" bestFit="1" customWidth="1"/>
    <col min="14085" max="14085" width="16.5703125" style="1186" customWidth="1"/>
    <col min="14086" max="14086" width="14" style="1186" customWidth="1"/>
    <col min="14087" max="14088" width="15.7109375" style="1186" customWidth="1"/>
    <col min="14089" max="14089" width="13.42578125" style="1186" customWidth="1"/>
    <col min="14090" max="14090" width="14" style="1186" customWidth="1"/>
    <col min="14091" max="14091" width="15.42578125" style="1186" customWidth="1"/>
    <col min="14092" max="14092" width="13.42578125" style="1186" customWidth="1"/>
    <col min="14093" max="14094" width="14" style="1186" customWidth="1"/>
    <col min="14095" max="14095" width="13.42578125" style="1186" customWidth="1"/>
    <col min="14096" max="14097" width="15.7109375" style="1186" customWidth="1"/>
    <col min="14098" max="14098" width="13.42578125" style="1186" customWidth="1"/>
    <col min="14099" max="14100" width="12.28515625" style="1186" customWidth="1"/>
    <col min="14101" max="14337" width="9.140625" style="1186"/>
    <col min="14338" max="14338" width="54.140625" style="1186" bestFit="1" customWidth="1"/>
    <col min="14339" max="14339" width="0" style="1186" hidden="1" customWidth="1"/>
    <col min="14340" max="14340" width="16.5703125" style="1186" bestFit="1" customWidth="1"/>
    <col min="14341" max="14341" width="16.5703125" style="1186" customWidth="1"/>
    <col min="14342" max="14342" width="14" style="1186" customWidth="1"/>
    <col min="14343" max="14344" width="15.7109375" style="1186" customWidth="1"/>
    <col min="14345" max="14345" width="13.42578125" style="1186" customWidth="1"/>
    <col min="14346" max="14346" width="14" style="1186" customWidth="1"/>
    <col min="14347" max="14347" width="15.42578125" style="1186" customWidth="1"/>
    <col min="14348" max="14348" width="13.42578125" style="1186" customWidth="1"/>
    <col min="14349" max="14350" width="14" style="1186" customWidth="1"/>
    <col min="14351" max="14351" width="13.42578125" style="1186" customWidth="1"/>
    <col min="14352" max="14353" width="15.7109375" style="1186" customWidth="1"/>
    <col min="14354" max="14354" width="13.42578125" style="1186" customWidth="1"/>
    <col min="14355" max="14356" width="12.28515625" style="1186" customWidth="1"/>
    <col min="14357" max="14593" width="9.140625" style="1186"/>
    <col min="14594" max="14594" width="54.140625" style="1186" bestFit="1" customWidth="1"/>
    <col min="14595" max="14595" width="0" style="1186" hidden="1" customWidth="1"/>
    <col min="14596" max="14596" width="16.5703125" style="1186" bestFit="1" customWidth="1"/>
    <col min="14597" max="14597" width="16.5703125" style="1186" customWidth="1"/>
    <col min="14598" max="14598" width="14" style="1186" customWidth="1"/>
    <col min="14599" max="14600" width="15.7109375" style="1186" customWidth="1"/>
    <col min="14601" max="14601" width="13.42578125" style="1186" customWidth="1"/>
    <col min="14602" max="14602" width="14" style="1186" customWidth="1"/>
    <col min="14603" max="14603" width="15.42578125" style="1186" customWidth="1"/>
    <col min="14604" max="14604" width="13.42578125" style="1186" customWidth="1"/>
    <col min="14605" max="14606" width="14" style="1186" customWidth="1"/>
    <col min="14607" max="14607" width="13.42578125" style="1186" customWidth="1"/>
    <col min="14608" max="14609" width="15.7109375" style="1186" customWidth="1"/>
    <col min="14610" max="14610" width="13.42578125" style="1186" customWidth="1"/>
    <col min="14611" max="14612" width="12.28515625" style="1186" customWidth="1"/>
    <col min="14613" max="14849" width="9.140625" style="1186"/>
    <col min="14850" max="14850" width="54.140625" style="1186" bestFit="1" customWidth="1"/>
    <col min="14851" max="14851" width="0" style="1186" hidden="1" customWidth="1"/>
    <col min="14852" max="14852" width="16.5703125" style="1186" bestFit="1" customWidth="1"/>
    <col min="14853" max="14853" width="16.5703125" style="1186" customWidth="1"/>
    <col min="14854" max="14854" width="14" style="1186" customWidth="1"/>
    <col min="14855" max="14856" width="15.7109375" style="1186" customWidth="1"/>
    <col min="14857" max="14857" width="13.42578125" style="1186" customWidth="1"/>
    <col min="14858" max="14858" width="14" style="1186" customWidth="1"/>
    <col min="14859" max="14859" width="15.42578125" style="1186" customWidth="1"/>
    <col min="14860" max="14860" width="13.42578125" style="1186" customWidth="1"/>
    <col min="14861" max="14862" width="14" style="1186" customWidth="1"/>
    <col min="14863" max="14863" width="13.42578125" style="1186" customWidth="1"/>
    <col min="14864" max="14865" width="15.7109375" style="1186" customWidth="1"/>
    <col min="14866" max="14866" width="13.42578125" style="1186" customWidth="1"/>
    <col min="14867" max="14868" width="12.28515625" style="1186" customWidth="1"/>
    <col min="14869" max="15105" width="9.140625" style="1186"/>
    <col min="15106" max="15106" width="54.140625" style="1186" bestFit="1" customWidth="1"/>
    <col min="15107" max="15107" width="0" style="1186" hidden="1" customWidth="1"/>
    <col min="15108" max="15108" width="16.5703125" style="1186" bestFit="1" customWidth="1"/>
    <col min="15109" max="15109" width="16.5703125" style="1186" customWidth="1"/>
    <col min="15110" max="15110" width="14" style="1186" customWidth="1"/>
    <col min="15111" max="15112" width="15.7109375" style="1186" customWidth="1"/>
    <col min="15113" max="15113" width="13.42578125" style="1186" customWidth="1"/>
    <col min="15114" max="15114" width="14" style="1186" customWidth="1"/>
    <col min="15115" max="15115" width="15.42578125" style="1186" customWidth="1"/>
    <col min="15116" max="15116" width="13.42578125" style="1186" customWidth="1"/>
    <col min="15117" max="15118" width="14" style="1186" customWidth="1"/>
    <col min="15119" max="15119" width="13.42578125" style="1186" customWidth="1"/>
    <col min="15120" max="15121" width="15.7109375" style="1186" customWidth="1"/>
    <col min="15122" max="15122" width="13.42578125" style="1186" customWidth="1"/>
    <col min="15123" max="15124" width="12.28515625" style="1186" customWidth="1"/>
    <col min="15125" max="15361" width="9.140625" style="1186"/>
    <col min="15362" max="15362" width="54.140625" style="1186" bestFit="1" customWidth="1"/>
    <col min="15363" max="15363" width="0" style="1186" hidden="1" customWidth="1"/>
    <col min="15364" max="15364" width="16.5703125" style="1186" bestFit="1" customWidth="1"/>
    <col min="15365" max="15365" width="16.5703125" style="1186" customWidth="1"/>
    <col min="15366" max="15366" width="14" style="1186" customWidth="1"/>
    <col min="15367" max="15368" width="15.7109375" style="1186" customWidth="1"/>
    <col min="15369" max="15369" width="13.42578125" style="1186" customWidth="1"/>
    <col min="15370" max="15370" width="14" style="1186" customWidth="1"/>
    <col min="15371" max="15371" width="15.42578125" style="1186" customWidth="1"/>
    <col min="15372" max="15372" width="13.42578125" style="1186" customWidth="1"/>
    <col min="15373" max="15374" width="14" style="1186" customWidth="1"/>
    <col min="15375" max="15375" width="13.42578125" style="1186" customWidth="1"/>
    <col min="15376" max="15377" width="15.7109375" style="1186" customWidth="1"/>
    <col min="15378" max="15378" width="13.42578125" style="1186" customWidth="1"/>
    <col min="15379" max="15380" width="12.28515625" style="1186" customWidth="1"/>
    <col min="15381" max="15617" width="9.140625" style="1186"/>
    <col min="15618" max="15618" width="54.140625" style="1186" bestFit="1" customWidth="1"/>
    <col min="15619" max="15619" width="0" style="1186" hidden="1" customWidth="1"/>
    <col min="15620" max="15620" width="16.5703125" style="1186" bestFit="1" customWidth="1"/>
    <col min="15621" max="15621" width="16.5703125" style="1186" customWidth="1"/>
    <col min="15622" max="15622" width="14" style="1186" customWidth="1"/>
    <col min="15623" max="15624" width="15.7109375" style="1186" customWidth="1"/>
    <col min="15625" max="15625" width="13.42578125" style="1186" customWidth="1"/>
    <col min="15626" max="15626" width="14" style="1186" customWidth="1"/>
    <col min="15627" max="15627" width="15.42578125" style="1186" customWidth="1"/>
    <col min="15628" max="15628" width="13.42578125" style="1186" customWidth="1"/>
    <col min="15629" max="15630" width="14" style="1186" customWidth="1"/>
    <col min="15631" max="15631" width="13.42578125" style="1186" customWidth="1"/>
    <col min="15632" max="15633" width="15.7109375" style="1186" customWidth="1"/>
    <col min="15634" max="15634" width="13.42578125" style="1186" customWidth="1"/>
    <col min="15635" max="15636" width="12.28515625" style="1186" customWidth="1"/>
    <col min="15637" max="15873" width="9.140625" style="1186"/>
    <col min="15874" max="15874" width="54.140625" style="1186" bestFit="1" customWidth="1"/>
    <col min="15875" max="15875" width="0" style="1186" hidden="1" customWidth="1"/>
    <col min="15876" max="15876" width="16.5703125" style="1186" bestFit="1" customWidth="1"/>
    <col min="15877" max="15877" width="16.5703125" style="1186" customWidth="1"/>
    <col min="15878" max="15878" width="14" style="1186" customWidth="1"/>
    <col min="15879" max="15880" width="15.7109375" style="1186" customWidth="1"/>
    <col min="15881" max="15881" width="13.42578125" style="1186" customWidth="1"/>
    <col min="15882" max="15882" width="14" style="1186" customWidth="1"/>
    <col min="15883" max="15883" width="15.42578125" style="1186" customWidth="1"/>
    <col min="15884" max="15884" width="13.42578125" style="1186" customWidth="1"/>
    <col min="15885" max="15886" width="14" style="1186" customWidth="1"/>
    <col min="15887" max="15887" width="13.42578125" style="1186" customWidth="1"/>
    <col min="15888" max="15889" width="15.7109375" style="1186" customWidth="1"/>
    <col min="15890" max="15890" width="13.42578125" style="1186" customWidth="1"/>
    <col min="15891" max="15892" width="12.28515625" style="1186" customWidth="1"/>
    <col min="15893" max="16129" width="9.140625" style="1186"/>
    <col min="16130" max="16130" width="54.140625" style="1186" bestFit="1" customWidth="1"/>
    <col min="16131" max="16131" width="0" style="1186" hidden="1" customWidth="1"/>
    <col min="16132" max="16132" width="16.5703125" style="1186" bestFit="1" customWidth="1"/>
    <col min="16133" max="16133" width="16.5703125" style="1186" customWidth="1"/>
    <col min="16134" max="16134" width="14" style="1186" customWidth="1"/>
    <col min="16135" max="16136" width="15.7109375" style="1186" customWidth="1"/>
    <col min="16137" max="16137" width="13.42578125" style="1186" customWidth="1"/>
    <col min="16138" max="16138" width="14" style="1186" customWidth="1"/>
    <col min="16139" max="16139" width="15.42578125" style="1186" customWidth="1"/>
    <col min="16140" max="16140" width="13.42578125" style="1186" customWidth="1"/>
    <col min="16141" max="16142" width="14" style="1186" customWidth="1"/>
    <col min="16143" max="16143" width="13.42578125" style="1186" customWidth="1"/>
    <col min="16144" max="16145" width="15.7109375" style="1186" customWidth="1"/>
    <col min="16146" max="16146" width="13.42578125" style="1186" customWidth="1"/>
    <col min="16147" max="16148" width="12.28515625" style="1186" customWidth="1"/>
    <col min="16149" max="16384" width="9.140625" style="1186"/>
  </cols>
  <sheetData>
    <row r="1" spans="1:20">
      <c r="A1" s="6260" t="s">
        <v>2338</v>
      </c>
      <c r="B1" s="6261"/>
      <c r="C1" s="6261"/>
      <c r="D1" s="6261"/>
      <c r="E1" s="6261"/>
      <c r="F1" s="6261"/>
      <c r="G1" s="6261"/>
      <c r="H1" s="6261"/>
      <c r="I1" s="6261"/>
      <c r="J1" s="6261"/>
      <c r="K1" s="6261"/>
      <c r="L1" s="6261"/>
      <c r="M1" s="6261"/>
      <c r="N1" s="6261"/>
      <c r="O1" s="6261"/>
      <c r="P1" s="6261"/>
      <c r="Q1" s="6261"/>
      <c r="R1" s="6261"/>
      <c r="S1" s="6261"/>
      <c r="T1" s="6261"/>
    </row>
    <row r="2" spans="1:20">
      <c r="A2" s="6262" t="s">
        <v>856</v>
      </c>
      <c r="B2" s="6263" t="s">
        <v>857</v>
      </c>
      <c r="C2" s="1909" t="s">
        <v>858</v>
      </c>
      <c r="D2" s="6264" t="s">
        <v>859</v>
      </c>
      <c r="E2" s="6264"/>
      <c r="F2" s="6265" t="s">
        <v>1007</v>
      </c>
      <c r="G2" s="6265"/>
      <c r="H2" s="6265"/>
      <c r="I2" s="6265" t="s">
        <v>861</v>
      </c>
      <c r="J2" s="6265"/>
      <c r="K2" s="6265"/>
      <c r="L2" s="6265" t="s">
        <v>862</v>
      </c>
      <c r="M2" s="6265"/>
      <c r="N2" s="6265"/>
      <c r="O2" s="6265" t="s">
        <v>863</v>
      </c>
      <c r="P2" s="6265"/>
      <c r="Q2" s="6265"/>
      <c r="R2" s="6266" t="s">
        <v>1012</v>
      </c>
      <c r="S2" s="6266"/>
      <c r="T2" s="6266"/>
    </row>
    <row r="3" spans="1:20">
      <c r="A3" s="6262"/>
      <c r="B3" s="6263"/>
      <c r="C3" s="1909" t="s">
        <v>865</v>
      </c>
      <c r="D3" s="1907" t="s">
        <v>866</v>
      </c>
      <c r="E3" s="1907" t="s">
        <v>867</v>
      </c>
      <c r="F3" s="1908" t="s">
        <v>868</v>
      </c>
      <c r="G3" s="1908" t="s">
        <v>869</v>
      </c>
      <c r="H3" s="1908" t="s">
        <v>499</v>
      </c>
      <c r="I3" s="1908" t="s">
        <v>868</v>
      </c>
      <c r="J3" s="1908" t="s">
        <v>869</v>
      </c>
      <c r="K3" s="1908" t="s">
        <v>499</v>
      </c>
      <c r="L3" s="1908" t="s">
        <v>868</v>
      </c>
      <c r="M3" s="1908" t="s">
        <v>869</v>
      </c>
      <c r="N3" s="1908" t="s">
        <v>499</v>
      </c>
      <c r="O3" s="1908" t="s">
        <v>868</v>
      </c>
      <c r="P3" s="1908" t="s">
        <v>869</v>
      </c>
      <c r="Q3" s="1908" t="s">
        <v>499</v>
      </c>
      <c r="R3" s="1760" t="s">
        <v>868</v>
      </c>
      <c r="S3" s="1760" t="s">
        <v>869</v>
      </c>
      <c r="T3" s="1760" t="s">
        <v>499</v>
      </c>
    </row>
    <row r="4" spans="1:20">
      <c r="A4" s="1903" t="s">
        <v>870</v>
      </c>
      <c r="B4" s="1761" t="s">
        <v>871</v>
      </c>
      <c r="C4" s="1379"/>
      <c r="D4" s="1762"/>
      <c r="E4" s="1762"/>
      <c r="F4" s="1763"/>
      <c r="G4" s="1763"/>
      <c r="H4" s="1764"/>
      <c r="I4" s="1763"/>
      <c r="J4" s="1763"/>
      <c r="K4" s="1763"/>
      <c r="L4" s="1763"/>
      <c r="M4" s="1763"/>
      <c r="N4" s="1763"/>
      <c r="O4" s="1763"/>
      <c r="P4" s="1763"/>
      <c r="Q4" s="1763"/>
      <c r="R4" s="1765"/>
      <c r="S4" s="1765"/>
      <c r="T4" s="1765"/>
    </row>
    <row r="5" spans="1:20">
      <c r="A5" s="6270">
        <v>1</v>
      </c>
      <c r="B5" s="6268" t="s">
        <v>872</v>
      </c>
      <c r="C5" s="1779">
        <v>0.1075</v>
      </c>
      <c r="D5" s="1917" t="s">
        <v>881</v>
      </c>
      <c r="E5" s="1317" t="s">
        <v>882</v>
      </c>
      <c r="F5" s="1319">
        <v>0</v>
      </c>
      <c r="G5" s="1319">
        <f>H5</f>
        <v>815</v>
      </c>
      <c r="H5" s="1319">
        <v>815</v>
      </c>
      <c r="I5" s="1319">
        <v>0</v>
      </c>
      <c r="J5" s="1319">
        <f>(K5)</f>
        <v>0</v>
      </c>
      <c r="K5" s="1319">
        <v>0</v>
      </c>
      <c r="L5" s="1319">
        <v>0</v>
      </c>
      <c r="M5" s="1319">
        <f>N5</f>
        <v>815</v>
      </c>
      <c r="N5" s="1319">
        <f>'[114]31.01.13'!$N$7</f>
        <v>815</v>
      </c>
      <c r="O5" s="1319">
        <v>0</v>
      </c>
      <c r="P5" s="1319">
        <f>Q5</f>
        <v>0</v>
      </c>
      <c r="Q5" s="1319">
        <f t="shared" ref="Q5:Q34" si="0">(H5+K5-N5)</f>
        <v>0</v>
      </c>
      <c r="R5" s="1319">
        <v>0.1</v>
      </c>
      <c r="S5" s="1319">
        <v>12.07</v>
      </c>
      <c r="T5" s="1319">
        <f>+'[116]31.01.13'!$T$7</f>
        <v>12.16868</v>
      </c>
    </row>
    <row r="6" spans="1:20">
      <c r="A6" s="6270"/>
      <c r="B6" s="6268"/>
      <c r="C6" s="1779">
        <v>0.1075</v>
      </c>
      <c r="D6" s="1317" t="s">
        <v>883</v>
      </c>
      <c r="E6" s="1317" t="s">
        <v>884</v>
      </c>
      <c r="F6" s="1319">
        <v>0</v>
      </c>
      <c r="G6" s="1319">
        <f>H6</f>
        <v>815</v>
      </c>
      <c r="H6" s="1319">
        <v>815</v>
      </c>
      <c r="I6" s="1319">
        <v>0</v>
      </c>
      <c r="J6" s="1319">
        <f>(K6)</f>
        <v>0</v>
      </c>
      <c r="K6" s="1319">
        <v>0</v>
      </c>
      <c r="L6" s="1319">
        <v>0</v>
      </c>
      <c r="M6" s="1319">
        <f>N6</f>
        <v>815</v>
      </c>
      <c r="N6" s="1319">
        <f>'[114]31.01.13'!$N$8</f>
        <v>815</v>
      </c>
      <c r="O6" s="1319">
        <v>0</v>
      </c>
      <c r="P6" s="1319">
        <f>Q6</f>
        <v>0</v>
      </c>
      <c r="Q6" s="1319">
        <f t="shared" si="0"/>
        <v>0</v>
      </c>
      <c r="R6" s="1319">
        <v>0</v>
      </c>
      <c r="S6" s="1319">
        <f>(T6)</f>
        <v>15.075759999999999</v>
      </c>
      <c r="T6" s="1319">
        <f>+'[116]31.01.13'!$T$8</f>
        <v>15.075759999999999</v>
      </c>
    </row>
    <row r="7" spans="1:20">
      <c r="A7" s="6270"/>
      <c r="B7" s="6268"/>
      <c r="C7" s="1779">
        <v>0.1075</v>
      </c>
      <c r="D7" s="1317" t="s">
        <v>885</v>
      </c>
      <c r="E7" s="1317" t="s">
        <v>886</v>
      </c>
      <c r="F7" s="1319">
        <v>0</v>
      </c>
      <c r="G7" s="1319">
        <f>H7</f>
        <v>1650</v>
      </c>
      <c r="H7" s="1319">
        <v>1650</v>
      </c>
      <c r="I7" s="1319">
        <v>0</v>
      </c>
      <c r="J7" s="1319">
        <f t="shared" ref="J7:J16" si="1">K7</f>
        <v>0</v>
      </c>
      <c r="K7" s="1319">
        <v>0</v>
      </c>
      <c r="L7" s="1319">
        <v>0</v>
      </c>
      <c r="M7" s="1319">
        <f>N7</f>
        <v>1650</v>
      </c>
      <c r="N7" s="1319">
        <f>'[114]31.01.13'!$N$9+'[114]28.02.13'!$N$7+'[114]31.03.13'!$N$7</f>
        <v>1650</v>
      </c>
      <c r="O7" s="1319">
        <v>0</v>
      </c>
      <c r="P7" s="1319">
        <f>Q7</f>
        <v>0</v>
      </c>
      <c r="Q7" s="1319">
        <f t="shared" si="0"/>
        <v>0</v>
      </c>
      <c r="R7" s="1319">
        <v>0</v>
      </c>
      <c r="S7" s="1319">
        <f t="shared" ref="S7:S14" si="2">T7</f>
        <v>54.152159999999995</v>
      </c>
      <c r="T7" s="1319">
        <f>+'[116]31.01.13'!$T$9+'[116]28.02.13'!$T$7+'[116]31.03.13'!$T$7</f>
        <v>54.152159999999995</v>
      </c>
    </row>
    <row r="8" spans="1:20">
      <c r="A8" s="6270"/>
      <c r="B8" s="6268"/>
      <c r="C8" s="1779">
        <v>0.1075</v>
      </c>
      <c r="D8" s="1317" t="s">
        <v>887</v>
      </c>
      <c r="E8" s="1317" t="s">
        <v>888</v>
      </c>
      <c r="F8" s="1319">
        <v>0</v>
      </c>
      <c r="G8" s="1319">
        <f>H8</f>
        <v>2485</v>
      </c>
      <c r="H8" s="1319">
        <v>2485</v>
      </c>
      <c r="I8" s="1319">
        <v>0</v>
      </c>
      <c r="J8" s="1319">
        <f t="shared" si="1"/>
        <v>0</v>
      </c>
      <c r="K8" s="1319">
        <v>0</v>
      </c>
      <c r="L8" s="1319">
        <v>0</v>
      </c>
      <c r="M8" s="1319">
        <f>N8</f>
        <v>2485</v>
      </c>
      <c r="N8" s="1319">
        <f>'[114]31.01.13'!$N$10+'[114]28.02.13'!$N$8+'[114]31.03.13'!$N$8</f>
        <v>2485</v>
      </c>
      <c r="O8" s="1319">
        <v>0</v>
      </c>
      <c r="P8" s="1319">
        <f>Q8</f>
        <v>0</v>
      </c>
      <c r="Q8" s="1319">
        <f t="shared" si="0"/>
        <v>0</v>
      </c>
      <c r="R8" s="1319">
        <v>0</v>
      </c>
      <c r="S8" s="1319">
        <f t="shared" si="2"/>
        <v>67.489740000000012</v>
      </c>
      <c r="T8" s="1319">
        <f>+'[116]31.01.13'!$T$10+'[116]28.02.13'!$T$8+'[116]31.03.13'!$T$8</f>
        <v>67.489740000000012</v>
      </c>
    </row>
    <row r="9" spans="1:20">
      <c r="A9" s="6270"/>
      <c r="B9" s="6268"/>
      <c r="C9" s="1779">
        <v>0.1075</v>
      </c>
      <c r="D9" s="1317" t="s">
        <v>889</v>
      </c>
      <c r="E9" s="1317" t="s">
        <v>890</v>
      </c>
      <c r="F9" s="1319">
        <v>0</v>
      </c>
      <c r="G9" s="1319">
        <f>H9</f>
        <v>3320</v>
      </c>
      <c r="H9" s="1319">
        <v>3320</v>
      </c>
      <c r="I9" s="1319">
        <v>0</v>
      </c>
      <c r="J9" s="1319">
        <f t="shared" si="1"/>
        <v>0</v>
      </c>
      <c r="K9" s="1319">
        <v>0</v>
      </c>
      <c r="L9" s="1319">
        <v>0</v>
      </c>
      <c r="M9" s="1319">
        <f>N9</f>
        <v>2505</v>
      </c>
      <c r="N9" s="1319">
        <f>'[114]31.03.13'!$N$9+'[114]28.02.13'!$N$9+'[114]31.01.13'!$N$11</f>
        <v>2505</v>
      </c>
      <c r="O9" s="1319">
        <v>0</v>
      </c>
      <c r="P9" s="1319">
        <f>Q9</f>
        <v>815</v>
      </c>
      <c r="Q9" s="1319">
        <f t="shared" si="0"/>
        <v>815</v>
      </c>
      <c r="R9" s="1319">
        <v>0</v>
      </c>
      <c r="S9" s="1319">
        <f t="shared" si="2"/>
        <v>88.041869999999989</v>
      </c>
      <c r="T9" s="1319">
        <f>+'[116]31.01.13'!$T$11+'[116]28.02.13'!$T$9+'[116]31.03.13'!$T$9</f>
        <v>88.041869999999989</v>
      </c>
    </row>
    <row r="10" spans="1:20">
      <c r="A10" s="6270"/>
      <c r="B10" s="6268"/>
      <c r="C10" s="1779">
        <v>0.105</v>
      </c>
      <c r="D10" s="1317" t="s">
        <v>891</v>
      </c>
      <c r="E10" s="1317" t="s">
        <v>892</v>
      </c>
      <c r="F10" s="1319">
        <v>0</v>
      </c>
      <c r="G10" s="1319">
        <f>(H10)</f>
        <v>4155</v>
      </c>
      <c r="H10" s="1319">
        <v>4155</v>
      </c>
      <c r="I10" s="1319">
        <v>0</v>
      </c>
      <c r="J10" s="1319">
        <f t="shared" si="1"/>
        <v>0</v>
      </c>
      <c r="K10" s="1319">
        <v>0</v>
      </c>
      <c r="L10" s="1319">
        <v>0</v>
      </c>
      <c r="M10" s="1319">
        <f>(N10)</f>
        <v>2505</v>
      </c>
      <c r="N10" s="1319">
        <f>'[114]31.01.13'!$N$12+'[114]28.02.13'!$N$10+'[114]31.03.13'!$N$10</f>
        <v>2505</v>
      </c>
      <c r="O10" s="1319">
        <v>0</v>
      </c>
      <c r="P10" s="1319">
        <f>(Q10)</f>
        <v>1650</v>
      </c>
      <c r="Q10" s="1319">
        <f t="shared" si="0"/>
        <v>1650</v>
      </c>
      <c r="R10" s="1319">
        <v>0</v>
      </c>
      <c r="S10" s="1319">
        <f t="shared" si="2"/>
        <v>99.164990000000003</v>
      </c>
      <c r="T10" s="1319">
        <f>+'[116]31.01.13'!$T$12+'[116]28.02.13'!$T$10+'[116]31.03.13'!$T$10</f>
        <v>99.164990000000003</v>
      </c>
    </row>
    <row r="11" spans="1:20">
      <c r="A11" s="6270"/>
      <c r="B11" s="6268"/>
      <c r="C11" s="1779">
        <v>0.105</v>
      </c>
      <c r="D11" s="1317" t="s">
        <v>893</v>
      </c>
      <c r="E11" s="1317" t="s">
        <v>894</v>
      </c>
      <c r="F11" s="1319">
        <v>0</v>
      </c>
      <c r="G11" s="1319">
        <f>(H11)</f>
        <v>4155</v>
      </c>
      <c r="H11" s="1319">
        <v>4155</v>
      </c>
      <c r="I11" s="1319">
        <v>0</v>
      </c>
      <c r="J11" s="1319">
        <f t="shared" si="1"/>
        <v>0</v>
      </c>
      <c r="K11" s="1319">
        <v>0</v>
      </c>
      <c r="L11" s="1319">
        <v>0</v>
      </c>
      <c r="M11" s="1319">
        <f>(N11)</f>
        <v>2505</v>
      </c>
      <c r="N11" s="1319">
        <f>'[114]31.01.13'!$N$13+'[114]28.02.13'!$N$11+'[114]31.03.13'!$N$11</f>
        <v>2505</v>
      </c>
      <c r="O11" s="1319">
        <v>0</v>
      </c>
      <c r="P11" s="1319">
        <f>(Q11)</f>
        <v>1650</v>
      </c>
      <c r="Q11" s="1319">
        <f t="shared" si="0"/>
        <v>1650</v>
      </c>
      <c r="R11" s="1319">
        <v>0</v>
      </c>
      <c r="S11" s="1319">
        <f t="shared" si="2"/>
        <v>105.57894999999999</v>
      </c>
      <c r="T11" s="1319">
        <f>+'[116]31.01.13'!$T$13+'[116]28.02.13'!$T$11+'[116]31.03.13'!$T$11</f>
        <v>105.57894999999999</v>
      </c>
    </row>
    <row r="12" spans="1:20">
      <c r="A12" s="6270"/>
      <c r="B12" s="6268"/>
      <c r="C12" s="1779">
        <v>0.105</v>
      </c>
      <c r="D12" s="1317" t="s">
        <v>895</v>
      </c>
      <c r="E12" s="1317" t="s">
        <v>896</v>
      </c>
      <c r="F12" s="1319">
        <v>0</v>
      </c>
      <c r="G12" s="1319">
        <f>H12</f>
        <v>4990</v>
      </c>
      <c r="H12" s="1319">
        <v>4990</v>
      </c>
      <c r="I12" s="1319">
        <v>0</v>
      </c>
      <c r="J12" s="1319">
        <f t="shared" si="1"/>
        <v>0</v>
      </c>
      <c r="K12" s="1319">
        <v>0</v>
      </c>
      <c r="L12" s="1319">
        <v>0</v>
      </c>
      <c r="M12" s="1319">
        <f>N12</f>
        <v>2505</v>
      </c>
      <c r="N12" s="1319">
        <f>'[114]31.01.13'!$N$14+'[114]28.02.13'!$N$12+'[114]31.03.13'!$N$12</f>
        <v>2505</v>
      </c>
      <c r="O12" s="1319">
        <v>0</v>
      </c>
      <c r="P12" s="1319">
        <f>Q12</f>
        <v>2485</v>
      </c>
      <c r="Q12" s="1319">
        <f t="shared" si="0"/>
        <v>2485</v>
      </c>
      <c r="R12" s="1319">
        <v>0</v>
      </c>
      <c r="S12" s="1319">
        <f t="shared" si="2"/>
        <v>131.32355999999999</v>
      </c>
      <c r="T12" s="1319">
        <f>+'[116]31.01.13'!$T$14+'[116]28.02.13'!$T$12+'[116]31.03.13'!$T$12</f>
        <v>131.32355999999999</v>
      </c>
    </row>
    <row r="13" spans="1:20">
      <c r="A13" s="6270"/>
      <c r="B13" s="6268"/>
      <c r="C13" s="1779">
        <v>0.105</v>
      </c>
      <c r="D13" s="1317" t="s">
        <v>897</v>
      </c>
      <c r="E13" s="1317" t="s">
        <v>898</v>
      </c>
      <c r="F13" s="1319">
        <v>0</v>
      </c>
      <c r="G13" s="1319">
        <f>H13</f>
        <v>5825</v>
      </c>
      <c r="H13" s="1319">
        <v>5825</v>
      </c>
      <c r="I13" s="1319">
        <v>0</v>
      </c>
      <c r="J13" s="1319">
        <f t="shared" si="1"/>
        <v>0</v>
      </c>
      <c r="K13" s="1319">
        <v>0</v>
      </c>
      <c r="L13" s="1319">
        <v>0</v>
      </c>
      <c r="M13" s="1319">
        <f>N13</f>
        <v>2505</v>
      </c>
      <c r="N13" s="1319">
        <f>'[114]31.01.13'!$N$15+'[114]28.02.13'!$N$13+'[114]31.03.13'!$N$13</f>
        <v>2505</v>
      </c>
      <c r="O13" s="1319">
        <v>0</v>
      </c>
      <c r="P13" s="1319">
        <f>Q13</f>
        <v>3320</v>
      </c>
      <c r="Q13" s="1319">
        <f>(H13+K13-N13)</f>
        <v>3320</v>
      </c>
      <c r="R13" s="1319">
        <v>0</v>
      </c>
      <c r="S13" s="1319">
        <f t="shared" si="2"/>
        <v>142.06896</v>
      </c>
      <c r="T13" s="1319">
        <f>+'[116]31.01.13'!$T$15+'[116]28.02.13'!$T$13+'[116]31.03.13'!$T$13</f>
        <v>142.06896</v>
      </c>
    </row>
    <row r="14" spans="1:20">
      <c r="A14" s="6270"/>
      <c r="B14" s="6268"/>
      <c r="C14" s="1779">
        <v>0.105</v>
      </c>
      <c r="D14" s="1317" t="s">
        <v>899</v>
      </c>
      <c r="E14" s="1317" t="s">
        <v>900</v>
      </c>
      <c r="F14" s="1319">
        <v>0</v>
      </c>
      <c r="G14" s="1319">
        <f>H14</f>
        <v>5825</v>
      </c>
      <c r="H14" s="1319">
        <v>5825</v>
      </c>
      <c r="I14" s="1319">
        <v>0</v>
      </c>
      <c r="J14" s="1319">
        <f t="shared" si="1"/>
        <v>0</v>
      </c>
      <c r="K14" s="1319">
        <v>0</v>
      </c>
      <c r="L14" s="1319">
        <v>0</v>
      </c>
      <c r="M14" s="1319">
        <f>N14</f>
        <v>2505</v>
      </c>
      <c r="N14" s="1319">
        <f>'[114]31.01.13'!$N$16+'[114]28.02.13'!$N$14+'[114]31.03.13'!$N$14</f>
        <v>2505</v>
      </c>
      <c r="O14" s="1319">
        <v>0</v>
      </c>
      <c r="P14" s="1319">
        <f>Q14</f>
        <v>3320</v>
      </c>
      <c r="Q14" s="1319">
        <f>(H14+K14-N14)</f>
        <v>3320</v>
      </c>
      <c r="R14" s="1319">
        <v>0</v>
      </c>
      <c r="S14" s="1319">
        <f t="shared" si="2"/>
        <v>152.84880999999999</v>
      </c>
      <c r="T14" s="1319">
        <f>+'[116]31.01.13'!$T$16+'[116]28.02.13'!$T$14+'[116]31.03.13'!$T$14</f>
        <v>152.84880999999999</v>
      </c>
    </row>
    <row r="15" spans="1:20">
      <c r="A15" s="6270"/>
      <c r="B15" s="6268"/>
      <c r="C15" s="1779">
        <v>0.105</v>
      </c>
      <c r="D15" s="1317" t="s">
        <v>901</v>
      </c>
      <c r="E15" s="1317" t="s">
        <v>902</v>
      </c>
      <c r="F15" s="1319">
        <v>0</v>
      </c>
      <c r="G15" s="1319">
        <f>H15</f>
        <v>7495</v>
      </c>
      <c r="H15" s="1319">
        <v>7495</v>
      </c>
      <c r="I15" s="1319">
        <v>0</v>
      </c>
      <c r="J15" s="1319">
        <f t="shared" si="1"/>
        <v>0</v>
      </c>
      <c r="K15" s="1319">
        <v>0</v>
      </c>
      <c r="L15" s="1319">
        <v>0</v>
      </c>
      <c r="M15" s="1319">
        <f>N15</f>
        <v>2505</v>
      </c>
      <c r="N15" s="1319">
        <f>'[114]31.01.13'!$N$17+'[114]28.02.13'!$N$15+'[114]31.03.13'!$N$15</f>
        <v>2505</v>
      </c>
      <c r="O15" s="1319">
        <v>0</v>
      </c>
      <c r="P15" s="1319">
        <f>Q15</f>
        <v>4990</v>
      </c>
      <c r="Q15" s="1319">
        <f>(H15+K15-N15)</f>
        <v>4990</v>
      </c>
      <c r="R15" s="1319">
        <v>0</v>
      </c>
      <c r="S15" s="1319">
        <f>+T15</f>
        <v>187.55676999999997</v>
      </c>
      <c r="T15" s="1319">
        <f>+'[116]31.01.13'!$T$17+'[116]28.02.13'!$T$15+'[116]31.03.13'!$T$15</f>
        <v>187.55676999999997</v>
      </c>
    </row>
    <row r="16" spans="1:20">
      <c r="A16" s="1906"/>
      <c r="B16" s="1904"/>
      <c r="C16" s="2559">
        <v>0.10249999999999999</v>
      </c>
      <c r="D16" s="1317" t="s">
        <v>903</v>
      </c>
      <c r="E16" s="1317" t="s">
        <v>904</v>
      </c>
      <c r="F16" s="1319"/>
      <c r="G16" s="1319">
        <f>H16</f>
        <v>0</v>
      </c>
      <c r="H16" s="1319">
        <v>0</v>
      </c>
      <c r="I16" s="1319"/>
      <c r="J16" s="1319">
        <f t="shared" si="1"/>
        <v>20000</v>
      </c>
      <c r="K16" s="1319">
        <v>20000</v>
      </c>
      <c r="L16" s="1319">
        <v>0</v>
      </c>
      <c r="M16" s="1319">
        <f>N16</f>
        <v>0</v>
      </c>
      <c r="N16" s="1319">
        <v>0</v>
      </c>
      <c r="O16" s="1319">
        <v>0</v>
      </c>
      <c r="P16" s="1319">
        <f>Q16</f>
        <v>20000</v>
      </c>
      <c r="Q16" s="1319">
        <f>(H16+K16-N16)</f>
        <v>20000</v>
      </c>
      <c r="R16" s="1319">
        <v>0</v>
      </c>
      <c r="S16" s="1319">
        <v>0</v>
      </c>
      <c r="T16" s="1319">
        <v>0</v>
      </c>
    </row>
    <row r="17" spans="1:28">
      <c r="A17" s="6270">
        <v>2</v>
      </c>
      <c r="B17" s="6268" t="s">
        <v>905</v>
      </c>
      <c r="C17" s="1779">
        <v>0.1065</v>
      </c>
      <c r="D17" s="1317" t="s">
        <v>908</v>
      </c>
      <c r="E17" s="1317" t="s">
        <v>909</v>
      </c>
      <c r="F17" s="1319">
        <f>H17*75%</f>
        <v>750</v>
      </c>
      <c r="G17" s="1319">
        <f>(H17)*25%</f>
        <v>250</v>
      </c>
      <c r="H17" s="1319">
        <v>1000</v>
      </c>
      <c r="I17" s="1319">
        <f>K17*75%</f>
        <v>0</v>
      </c>
      <c r="J17" s="1319">
        <f>(K17)*25%</f>
        <v>0</v>
      </c>
      <c r="K17" s="1319">
        <v>0</v>
      </c>
      <c r="L17" s="1319">
        <f>N17*75%</f>
        <v>750</v>
      </c>
      <c r="M17" s="1319">
        <f>(N17)*25%</f>
        <v>250</v>
      </c>
      <c r="N17" s="1319">
        <f>'[114]31.01.13'!$N$18</f>
        <v>1000</v>
      </c>
      <c r="O17" s="1319">
        <f>Q17*75%</f>
        <v>0</v>
      </c>
      <c r="P17" s="1319">
        <f>(Q17)*25%</f>
        <v>0</v>
      </c>
      <c r="Q17" s="1319">
        <f t="shared" si="0"/>
        <v>0</v>
      </c>
      <c r="R17" s="1319">
        <f>T17*75%</f>
        <v>4.1025000000000009</v>
      </c>
      <c r="S17" s="1319">
        <f>(T17)*25%</f>
        <v>1.3675000000000002</v>
      </c>
      <c r="T17" s="1319">
        <f>+'[116]31.01.13'!$T$18</f>
        <v>5.4700000000000006</v>
      </c>
    </row>
    <row r="18" spans="1:28">
      <c r="A18" s="6270"/>
      <c r="B18" s="6268"/>
      <c r="C18" s="1779">
        <v>0.1075</v>
      </c>
      <c r="D18" s="1317" t="s">
        <v>910</v>
      </c>
      <c r="E18" s="1317" t="s">
        <v>911</v>
      </c>
      <c r="F18" s="1319">
        <v>0</v>
      </c>
      <c r="G18" s="1319">
        <f>(H18)</f>
        <v>1000</v>
      </c>
      <c r="H18" s="1319">
        <v>1000</v>
      </c>
      <c r="I18" s="1319">
        <v>0</v>
      </c>
      <c r="J18" s="1319">
        <f>(K18)</f>
        <v>0</v>
      </c>
      <c r="K18" s="1319">
        <v>0</v>
      </c>
      <c r="L18" s="1319">
        <v>0</v>
      </c>
      <c r="M18" s="1319">
        <f>(N18)</f>
        <v>1000</v>
      </c>
      <c r="N18" s="1319">
        <f>'[114]31.01.13'!$N$19+'[114]28.02.13'!$N$16+'[114]31.03.13'!$N$17</f>
        <v>1000</v>
      </c>
      <c r="O18" s="1319">
        <v>0</v>
      </c>
      <c r="P18" s="1319">
        <f t="shared" ref="P18:P23" si="3">Q18</f>
        <v>0</v>
      </c>
      <c r="Q18" s="1319">
        <f t="shared" si="0"/>
        <v>0</v>
      </c>
      <c r="R18" s="1319">
        <v>0</v>
      </c>
      <c r="S18" s="1319">
        <f>(T18)</f>
        <v>10.573089999999999</v>
      </c>
      <c r="T18" s="1319">
        <f>+'[116]31.01.13'!$T$19+'[116]28.02.13'!$T$16+'[116]31.03.13'!$T$17</f>
        <v>10.573089999999999</v>
      </c>
    </row>
    <row r="19" spans="1:28">
      <c r="A19" s="6270"/>
      <c r="B19" s="6268"/>
      <c r="C19" s="1779">
        <v>0.1075</v>
      </c>
      <c r="D19" s="1317" t="s">
        <v>912</v>
      </c>
      <c r="E19" s="1317" t="s">
        <v>913</v>
      </c>
      <c r="F19" s="1319">
        <v>0</v>
      </c>
      <c r="G19" s="1319">
        <f>(H19)</f>
        <v>2000</v>
      </c>
      <c r="H19" s="1319">
        <v>2000</v>
      </c>
      <c r="I19" s="1319">
        <v>0</v>
      </c>
      <c r="J19" s="1319">
        <f>(K19)</f>
        <v>0</v>
      </c>
      <c r="K19" s="1319">
        <v>0</v>
      </c>
      <c r="L19" s="1319">
        <v>0</v>
      </c>
      <c r="M19" s="1319">
        <f>(N19)</f>
        <v>2000</v>
      </c>
      <c r="N19" s="1319">
        <f>'[114]31.01.13'!$N$20+'[114]28.02.13'!$N$17+'[114]31.03.13'!$N$18</f>
        <v>2000</v>
      </c>
      <c r="O19" s="1319">
        <v>0</v>
      </c>
      <c r="P19" s="1319">
        <f t="shared" si="3"/>
        <v>0</v>
      </c>
      <c r="Q19" s="1319">
        <f t="shared" si="0"/>
        <v>0</v>
      </c>
      <c r="R19" s="1319">
        <v>0</v>
      </c>
      <c r="S19" s="1319">
        <f>(T19)</f>
        <v>24.839000000000002</v>
      </c>
      <c r="T19" s="1319">
        <f>+'[116]31.01.13'!$T$20+'[116]28.02.13'!$T$17+'[116]31.03.13'!$T$18</f>
        <v>24.839000000000002</v>
      </c>
    </row>
    <row r="20" spans="1:28">
      <c r="A20" s="6270"/>
      <c r="B20" s="6268"/>
      <c r="C20" s="1779">
        <v>0.1075</v>
      </c>
      <c r="D20" s="1317" t="s">
        <v>914</v>
      </c>
      <c r="E20" s="1317" t="s">
        <v>915</v>
      </c>
      <c r="F20" s="1319">
        <v>0</v>
      </c>
      <c r="G20" s="1319">
        <f>H20</f>
        <v>3600</v>
      </c>
      <c r="H20" s="1319">
        <v>3600</v>
      </c>
      <c r="I20" s="1319">
        <v>0</v>
      </c>
      <c r="J20" s="1319">
        <f t="shared" ref="J20:J27" si="4">K20</f>
        <v>0</v>
      </c>
      <c r="K20" s="1319">
        <v>0</v>
      </c>
      <c r="L20" s="1319">
        <v>0</v>
      </c>
      <c r="M20" s="1319">
        <f t="shared" ref="M20:M25" si="5">N20</f>
        <v>2600</v>
      </c>
      <c r="N20" s="1319">
        <f>'[114]31.01.13'!$N$21+'[114]28.02.13'!$N$18+'[114]31.03.13'!$N$19</f>
        <v>2600</v>
      </c>
      <c r="O20" s="1319">
        <v>0</v>
      </c>
      <c r="P20" s="1319">
        <f t="shared" si="3"/>
        <v>1000</v>
      </c>
      <c r="Q20" s="1319">
        <f t="shared" si="0"/>
        <v>1000</v>
      </c>
      <c r="R20" s="1319">
        <v>0</v>
      </c>
      <c r="S20" s="1319">
        <f>T20</f>
        <v>70.424130000000005</v>
      </c>
      <c r="T20" s="1319">
        <f>+'[116]31.01.13'!$T$21+'[116]28.02.13'!$T$18+'[116]31.03.13'!$T$19</f>
        <v>70.424130000000005</v>
      </c>
    </row>
    <row r="21" spans="1:28">
      <c r="A21" s="6267">
        <v>3</v>
      </c>
      <c r="B21" s="6268" t="s">
        <v>916</v>
      </c>
      <c r="C21" s="1779">
        <v>0.105</v>
      </c>
      <c r="D21" s="1318" t="s">
        <v>917</v>
      </c>
      <c r="E21" s="1318" t="s">
        <v>918</v>
      </c>
      <c r="F21" s="1319">
        <v>0</v>
      </c>
      <c r="G21" s="1319">
        <f>H21</f>
        <v>3400</v>
      </c>
      <c r="H21" s="1319">
        <v>3400</v>
      </c>
      <c r="I21" s="1319">
        <v>0</v>
      </c>
      <c r="J21" s="1319">
        <f t="shared" si="4"/>
        <v>0</v>
      </c>
      <c r="K21" s="1319">
        <v>0</v>
      </c>
      <c r="L21" s="1319">
        <v>0</v>
      </c>
      <c r="M21" s="1319">
        <f t="shared" si="5"/>
        <v>3400</v>
      </c>
      <c r="N21" s="1319">
        <f>'[114]31.01.13'!$N$22+'[114]28.02.13'!$N$19+'[114]31.03.13'!$N$20</f>
        <v>3400</v>
      </c>
      <c r="O21" s="1319">
        <v>0</v>
      </c>
      <c r="P21" s="1319">
        <f t="shared" si="3"/>
        <v>0</v>
      </c>
      <c r="Q21" s="1319">
        <f t="shared" si="0"/>
        <v>0</v>
      </c>
      <c r="R21" s="1319">
        <v>0</v>
      </c>
      <c r="S21" s="1319">
        <f>+T21</f>
        <v>44.220289999999999</v>
      </c>
      <c r="T21" s="1319">
        <f>+'[116]31.01.13'!$T$22+'[116]28.02.13'!$T$19+'[116]31.03.13'!$T$20</f>
        <v>44.220289999999999</v>
      </c>
    </row>
    <row r="22" spans="1:28">
      <c r="A22" s="6267"/>
      <c r="B22" s="6268"/>
      <c r="C22" s="1779">
        <v>0.105</v>
      </c>
      <c r="D22" s="1318" t="s">
        <v>919</v>
      </c>
      <c r="E22" s="1318" t="s">
        <v>920</v>
      </c>
      <c r="F22" s="1319">
        <v>0</v>
      </c>
      <c r="G22" s="1319">
        <f>H22</f>
        <v>5050</v>
      </c>
      <c r="H22" s="1319">
        <v>5050</v>
      </c>
      <c r="I22" s="1319">
        <v>0</v>
      </c>
      <c r="J22" s="1319">
        <f t="shared" si="4"/>
        <v>0</v>
      </c>
      <c r="K22" s="1319">
        <v>0</v>
      </c>
      <c r="L22" s="1319">
        <v>0</v>
      </c>
      <c r="M22" s="1319">
        <f t="shared" si="5"/>
        <v>5050</v>
      </c>
      <c r="N22" s="1319">
        <f>'[114]31.01.13'!$N$23+'[114]28.02.13'!$N$20+'[114]31.03.13'!$N$21</f>
        <v>5050</v>
      </c>
      <c r="O22" s="1319">
        <v>0</v>
      </c>
      <c r="P22" s="1319">
        <f t="shared" si="3"/>
        <v>0</v>
      </c>
      <c r="Q22" s="1319">
        <f t="shared" si="0"/>
        <v>0</v>
      </c>
      <c r="R22" s="1319">
        <v>0</v>
      </c>
      <c r="S22" s="1319">
        <f>+T22</f>
        <v>89.203900000000004</v>
      </c>
      <c r="T22" s="1319">
        <f>+'[116]31.01.13'!$T$23+'[116]28.02.13'!$T$20+'[116]31.03.13'!$T$21</f>
        <v>89.203900000000004</v>
      </c>
    </row>
    <row r="23" spans="1:28">
      <c r="A23" s="6267"/>
      <c r="B23" s="6268"/>
      <c r="C23" s="1779">
        <v>0.105</v>
      </c>
      <c r="D23" s="1318" t="s">
        <v>921</v>
      </c>
      <c r="E23" s="1318" t="s">
        <v>922</v>
      </c>
      <c r="F23" s="1319">
        <v>0</v>
      </c>
      <c r="G23" s="1319">
        <f>(H23)</f>
        <v>10000</v>
      </c>
      <c r="H23" s="1319">
        <v>10000</v>
      </c>
      <c r="I23" s="1319">
        <v>0</v>
      </c>
      <c r="J23" s="1319">
        <f t="shared" si="4"/>
        <v>0</v>
      </c>
      <c r="K23" s="1319">
        <v>0</v>
      </c>
      <c r="L23" s="1319">
        <v>0</v>
      </c>
      <c r="M23" s="1319">
        <f t="shared" si="5"/>
        <v>4950</v>
      </c>
      <c r="N23" s="1319">
        <f>'[114]31.01.13'!$N$24+'[114]28.02.13'!$N$21+'[114]31.03.13'!$N$22</f>
        <v>4950</v>
      </c>
      <c r="O23" s="1319">
        <v>0</v>
      </c>
      <c r="P23" s="1319">
        <f t="shared" si="3"/>
        <v>5050</v>
      </c>
      <c r="Q23" s="1319">
        <f t="shared" si="0"/>
        <v>5050</v>
      </c>
      <c r="R23" s="1319">
        <v>0</v>
      </c>
      <c r="S23" s="1319">
        <f>T23</f>
        <v>214.72377</v>
      </c>
      <c r="T23" s="1319">
        <f>+'[116]31.01.13'!$T$24+'[116]28.02.13'!$T$21+'[116]31.03.13'!$T$22</f>
        <v>214.72377</v>
      </c>
    </row>
    <row r="24" spans="1:28">
      <c r="A24" s="6267"/>
      <c r="B24" s="6268"/>
      <c r="C24" s="1779">
        <v>0.1075</v>
      </c>
      <c r="D24" s="1318" t="s">
        <v>923</v>
      </c>
      <c r="E24" s="1318" t="s">
        <v>924</v>
      </c>
      <c r="F24" s="1319">
        <v>0</v>
      </c>
      <c r="G24" s="1319">
        <v>0</v>
      </c>
      <c r="H24" s="1319">
        <v>0</v>
      </c>
      <c r="I24" s="1319">
        <v>0</v>
      </c>
      <c r="J24" s="1319">
        <f t="shared" si="4"/>
        <v>2500</v>
      </c>
      <c r="K24" s="1319">
        <v>2500</v>
      </c>
      <c r="L24" s="1319">
        <v>0</v>
      </c>
      <c r="M24" s="1319">
        <f t="shared" si="5"/>
        <v>0</v>
      </c>
      <c r="N24" s="1319">
        <f>'[114]28.02.13'!$N$22+'[114]31.03.13'!$N$23</f>
        <v>0</v>
      </c>
      <c r="O24" s="1319">
        <v>0</v>
      </c>
      <c r="P24" s="1319">
        <f>Q24</f>
        <v>2500</v>
      </c>
      <c r="Q24" s="1319">
        <f>(H24+K24-N24)</f>
        <v>2500</v>
      </c>
      <c r="R24" s="1319">
        <v>0</v>
      </c>
      <c r="S24" s="1319">
        <f>T24</f>
        <v>24.299999999999997</v>
      </c>
      <c r="T24" s="1319">
        <f>+'[116]28.02.13'!$T$22+'[116]31.03.13'!$T$23</f>
        <v>24.299999999999997</v>
      </c>
      <c r="AB24" s="1235">
        <f>+AB23-AB22</f>
        <v>0</v>
      </c>
    </row>
    <row r="25" spans="1:28">
      <c r="A25" s="6267"/>
      <c r="B25" s="6268"/>
      <c r="C25" s="1779">
        <v>0.1075</v>
      </c>
      <c r="D25" s="1318" t="s">
        <v>888</v>
      </c>
      <c r="E25" s="1318" t="s">
        <v>925</v>
      </c>
      <c r="F25" s="1319">
        <v>0</v>
      </c>
      <c r="G25" s="1319">
        <f>H25</f>
        <v>0</v>
      </c>
      <c r="H25" s="1319">
        <v>0</v>
      </c>
      <c r="I25" s="1319">
        <v>0</v>
      </c>
      <c r="J25" s="1319">
        <f t="shared" si="4"/>
        <v>4000</v>
      </c>
      <c r="K25" s="1319">
        <v>4000</v>
      </c>
      <c r="L25" s="1319">
        <v>0</v>
      </c>
      <c r="M25" s="1319">
        <f t="shared" si="5"/>
        <v>0</v>
      </c>
      <c r="N25" s="1319">
        <f>'[114]31.03.13'!$N$24</f>
        <v>0</v>
      </c>
      <c r="O25" s="1319">
        <v>0</v>
      </c>
      <c r="P25" s="1319">
        <f>Q25</f>
        <v>4000</v>
      </c>
      <c r="Q25" s="1319">
        <f>(H25+K25-N25)</f>
        <v>4000</v>
      </c>
      <c r="R25" s="1319">
        <v>0</v>
      </c>
      <c r="S25" s="1319">
        <f>T25</f>
        <v>33.446579999999997</v>
      </c>
      <c r="T25" s="1319">
        <f>+'[116]31.03.13'!$T$24</f>
        <v>33.446579999999997</v>
      </c>
    </row>
    <row r="26" spans="1:28">
      <c r="A26" s="1903"/>
      <c r="B26" s="1904"/>
      <c r="C26" s="2559">
        <v>0.109</v>
      </c>
      <c r="D26" s="1318" t="s">
        <v>926</v>
      </c>
      <c r="E26" s="1318" t="s">
        <v>927</v>
      </c>
      <c r="F26" s="1319"/>
      <c r="G26" s="1319"/>
      <c r="H26" s="1319">
        <v>0</v>
      </c>
      <c r="I26" s="1319"/>
      <c r="J26" s="1319">
        <f t="shared" si="4"/>
        <v>5000</v>
      </c>
      <c r="K26" s="1319">
        <v>5000</v>
      </c>
      <c r="L26" s="1319">
        <v>0</v>
      </c>
      <c r="M26" s="1319">
        <f>N26</f>
        <v>0</v>
      </c>
      <c r="N26" s="1319">
        <v>0</v>
      </c>
      <c r="O26" s="1319">
        <v>0</v>
      </c>
      <c r="P26" s="1319">
        <f>Q26</f>
        <v>5000</v>
      </c>
      <c r="Q26" s="1319">
        <f>(H26+K26-N26)</f>
        <v>5000</v>
      </c>
      <c r="R26" s="1319">
        <v>0</v>
      </c>
      <c r="S26" s="1319">
        <f>T26</f>
        <v>14.931509999999999</v>
      </c>
      <c r="T26" s="1319">
        <f>+'[116]31.03.13'!$T$25</f>
        <v>14.931509999999999</v>
      </c>
    </row>
    <row r="27" spans="1:28">
      <c r="A27" s="1903"/>
      <c r="B27" s="1904"/>
      <c r="C27" s="2559">
        <v>0.109</v>
      </c>
      <c r="D27" s="1318" t="s">
        <v>928</v>
      </c>
      <c r="E27" s="1318" t="s">
        <v>929</v>
      </c>
      <c r="F27" s="1319"/>
      <c r="G27" s="1319"/>
      <c r="H27" s="1319">
        <v>0</v>
      </c>
      <c r="I27" s="1319"/>
      <c r="J27" s="1319">
        <f t="shared" si="4"/>
        <v>3300</v>
      </c>
      <c r="K27" s="1319">
        <v>3300</v>
      </c>
      <c r="L27" s="1319">
        <v>0</v>
      </c>
      <c r="M27" s="1319">
        <f>N27</f>
        <v>0</v>
      </c>
      <c r="N27" s="1319">
        <v>0</v>
      </c>
      <c r="O27" s="1319">
        <v>0</v>
      </c>
      <c r="P27" s="1319">
        <f>Q27</f>
        <v>3300</v>
      </c>
      <c r="Q27" s="1319">
        <f>(H27+K27-N27)</f>
        <v>3300</v>
      </c>
      <c r="R27" s="1319">
        <v>0</v>
      </c>
      <c r="S27" s="1319">
        <f>T27</f>
        <v>5.9128800000000004</v>
      </c>
      <c r="T27" s="1319">
        <f>+'[116]31.03.13'!$T$26</f>
        <v>5.9128800000000004</v>
      </c>
    </row>
    <row r="28" spans="1:28">
      <c r="A28" s="6267">
        <v>4</v>
      </c>
      <c r="B28" s="6268" t="s">
        <v>930</v>
      </c>
      <c r="C28" s="1905">
        <v>0.1075</v>
      </c>
      <c r="D28" s="1318" t="s">
        <v>933</v>
      </c>
      <c r="E28" s="1318" t="s">
        <v>928</v>
      </c>
      <c r="F28" s="1319">
        <v>0</v>
      </c>
      <c r="G28" s="1319">
        <f>(H28)</f>
        <v>3862.5</v>
      </c>
      <c r="H28" s="1319">
        <v>3862.5</v>
      </c>
      <c r="I28" s="1319">
        <v>0</v>
      </c>
      <c r="J28" s="1319">
        <f>(K28)</f>
        <v>0</v>
      </c>
      <c r="K28" s="1319">
        <v>0</v>
      </c>
      <c r="L28" s="1319">
        <v>0</v>
      </c>
      <c r="M28" s="1319">
        <f>(N28)</f>
        <v>3862.5</v>
      </c>
      <c r="N28" s="1319">
        <f>'[114]31.01.13'!$N$25+'[114]28.02.13'!$N$23+'[114]31.03.13'!$N$27</f>
        <v>3862.5</v>
      </c>
      <c r="O28" s="1319">
        <v>0</v>
      </c>
      <c r="P28" s="1319">
        <f>(Q28)</f>
        <v>0</v>
      </c>
      <c r="Q28" s="1319">
        <f t="shared" si="0"/>
        <v>0</v>
      </c>
      <c r="R28" s="1319">
        <v>0</v>
      </c>
      <c r="S28" s="1319">
        <f>+T28</f>
        <v>63.934310000000004</v>
      </c>
      <c r="T28" s="1319">
        <f>+'[116]31.01.13'!$T$25+'[116]28.02.13'!$T$23+'[116]31.03.13'!$T$27</f>
        <v>63.934310000000004</v>
      </c>
    </row>
    <row r="29" spans="1:28">
      <c r="A29" s="6267"/>
      <c r="B29" s="6268"/>
      <c r="C29" s="1905">
        <v>0.1075</v>
      </c>
      <c r="D29" s="1318" t="s">
        <v>934</v>
      </c>
      <c r="E29" s="1318" t="s">
        <v>935</v>
      </c>
      <c r="F29" s="1319">
        <v>0</v>
      </c>
      <c r="G29" s="1319">
        <f>(H29)</f>
        <v>1700</v>
      </c>
      <c r="H29" s="1319">
        <v>1700</v>
      </c>
      <c r="I29" s="1319">
        <v>0</v>
      </c>
      <c r="J29" s="1319">
        <f>K29</f>
        <v>0</v>
      </c>
      <c r="K29" s="1319">
        <v>0</v>
      </c>
      <c r="L29" s="1319">
        <v>0</v>
      </c>
      <c r="M29" s="1319">
        <f>(N29)</f>
        <v>1262.5</v>
      </c>
      <c r="N29" s="1319">
        <f>'[114]31.01.13'!$N$26+'[114]28.02.13'!$N$24+'[114]31.03.13'!$N$28</f>
        <v>1262.5</v>
      </c>
      <c r="O29" s="1319">
        <v>0</v>
      </c>
      <c r="P29" s="1319">
        <f>(Q29)</f>
        <v>437.5</v>
      </c>
      <c r="Q29" s="1319">
        <f t="shared" si="0"/>
        <v>437.5</v>
      </c>
      <c r="R29" s="1319">
        <v>0</v>
      </c>
      <c r="S29" s="1319">
        <f>(T29)</f>
        <v>28.37914</v>
      </c>
      <c r="T29" s="1319">
        <f>+'[116]31.01.13'!$T$26+'[116]28.02.13'!$T$24+'[116]31.03.13'!$T$28</f>
        <v>28.37914</v>
      </c>
    </row>
    <row r="30" spans="1:28">
      <c r="A30" s="6267"/>
      <c r="B30" s="6268"/>
      <c r="C30" s="1905">
        <v>0.11</v>
      </c>
      <c r="D30" s="1318" t="s">
        <v>936</v>
      </c>
      <c r="E30" s="1318" t="s">
        <v>937</v>
      </c>
      <c r="F30" s="1319">
        <v>0</v>
      </c>
      <c r="G30" s="1319">
        <f>H30</f>
        <v>11750</v>
      </c>
      <c r="H30" s="1319">
        <v>11750</v>
      </c>
      <c r="I30" s="1319">
        <v>0</v>
      </c>
      <c r="J30" s="1319">
        <f>K30</f>
        <v>0</v>
      </c>
      <c r="K30" s="1319">
        <v>0</v>
      </c>
      <c r="L30" s="1319">
        <v>0</v>
      </c>
      <c r="M30" s="1319">
        <f>N30</f>
        <v>3300</v>
      </c>
      <c r="N30" s="1319">
        <f>'[114]31.01.13'!$N$27+'[114]28.02.13'!$N$25+'[114]31.03.13'!$N$29</f>
        <v>3300</v>
      </c>
      <c r="O30" s="1319">
        <v>0</v>
      </c>
      <c r="P30" s="1319">
        <f>Q30</f>
        <v>8450</v>
      </c>
      <c r="Q30" s="1319">
        <f t="shared" si="0"/>
        <v>8450</v>
      </c>
      <c r="R30" s="1319">
        <v>0</v>
      </c>
      <c r="S30" s="1319">
        <f>+T30</f>
        <v>272.58652999999998</v>
      </c>
      <c r="T30" s="1319">
        <f>+'[116]31.01.13'!$T$27+'[116]28.02.13'!$T$25+'[116]31.03.13'!$T$29</f>
        <v>272.58652999999998</v>
      </c>
    </row>
    <row r="31" spans="1:28">
      <c r="A31" s="6267"/>
      <c r="B31" s="6268"/>
      <c r="C31" s="1779">
        <v>0.11</v>
      </c>
      <c r="D31" s="1318" t="s">
        <v>880</v>
      </c>
      <c r="E31" s="1318" t="s">
        <v>938</v>
      </c>
      <c r="F31" s="1319">
        <f>H31*45%</f>
        <v>9000</v>
      </c>
      <c r="G31" s="1319">
        <f>H31*55%</f>
        <v>11000</v>
      </c>
      <c r="H31" s="1319">
        <v>20000</v>
      </c>
      <c r="I31" s="1319">
        <v>0</v>
      </c>
      <c r="J31" s="1319">
        <f>K31</f>
        <v>0</v>
      </c>
      <c r="K31" s="1319">
        <v>0</v>
      </c>
      <c r="L31" s="1319">
        <f>N31*45%</f>
        <v>2254.5</v>
      </c>
      <c r="M31" s="1319">
        <f>N31*55%</f>
        <v>2755.5</v>
      </c>
      <c r="N31" s="1319">
        <f>'[114]31.01.13'!$N$28+'[114]28.02.13'!$N$26+'[114]31.03.13'!$N$30</f>
        <v>5010</v>
      </c>
      <c r="O31" s="1319">
        <f>Q31*45%</f>
        <v>6745.5</v>
      </c>
      <c r="P31" s="1319">
        <f>Q31*55%</f>
        <v>8244.5</v>
      </c>
      <c r="Q31" s="1319">
        <f>(H31+K31-N31)</f>
        <v>14990</v>
      </c>
      <c r="R31" s="1319">
        <f>T31*45%</f>
        <v>217.07393400000001</v>
      </c>
      <c r="S31" s="1319">
        <f>T31*55%</f>
        <v>265.31258600000001</v>
      </c>
      <c r="T31" s="1319">
        <f>+'[116]31.01.13'!$T$28+'[116]28.02.13'!$T$26+'[116]31.03.13'!$T$30</f>
        <v>482.38652000000002</v>
      </c>
    </row>
    <row r="32" spans="1:28">
      <c r="A32" s="1903"/>
      <c r="B32" s="1904"/>
      <c r="C32" s="2559">
        <v>0.1075</v>
      </c>
      <c r="D32" s="1318" t="s">
        <v>939</v>
      </c>
      <c r="E32" s="1318" t="s">
        <v>940</v>
      </c>
      <c r="F32" s="1319"/>
      <c r="G32" s="1319"/>
      <c r="H32" s="1319"/>
      <c r="I32" s="1319"/>
      <c r="J32" s="1319">
        <f>K32</f>
        <v>30000</v>
      </c>
      <c r="K32" s="1319">
        <v>30000</v>
      </c>
      <c r="L32" s="1319">
        <v>0</v>
      </c>
      <c r="M32" s="1319">
        <f>N32</f>
        <v>0</v>
      </c>
      <c r="N32" s="1319">
        <v>0</v>
      </c>
      <c r="O32" s="1319">
        <v>0</v>
      </c>
      <c r="P32" s="1319">
        <f>Q32</f>
        <v>30000</v>
      </c>
      <c r="Q32" s="1319">
        <f>(H32+K32-N32)</f>
        <v>30000</v>
      </c>
      <c r="R32" s="1319">
        <v>0</v>
      </c>
      <c r="S32" s="1319">
        <f>T32</f>
        <v>35.342469999999999</v>
      </c>
      <c r="T32" s="1319">
        <f>+'[116]31.03.13'!$T$31</f>
        <v>35.342469999999999</v>
      </c>
    </row>
    <row r="33" spans="1:20">
      <c r="A33" s="1903">
        <v>5</v>
      </c>
      <c r="B33" s="1905" t="s">
        <v>941</v>
      </c>
      <c r="C33" s="1779">
        <v>0.105</v>
      </c>
      <c r="D33" s="1318" t="s">
        <v>942</v>
      </c>
      <c r="E33" s="1318" t="s">
        <v>943</v>
      </c>
      <c r="F33" s="1319">
        <v>0</v>
      </c>
      <c r="G33" s="1319">
        <f>(H33)</f>
        <v>18350</v>
      </c>
      <c r="H33" s="1319">
        <v>18350</v>
      </c>
      <c r="I33" s="1319">
        <v>0</v>
      </c>
      <c r="J33" s="1319">
        <f>K33</f>
        <v>0</v>
      </c>
      <c r="K33" s="1319">
        <v>0</v>
      </c>
      <c r="L33" s="1319">
        <v>0</v>
      </c>
      <c r="M33" s="1319">
        <f>N33</f>
        <v>4950</v>
      </c>
      <c r="N33" s="1319">
        <f>'[114]31.01.13'!$N$29+'[114]28.02.13'!$N$27+'[114]31.03.13'!$N$32</f>
        <v>4950</v>
      </c>
      <c r="O33" s="1319">
        <v>0</v>
      </c>
      <c r="P33" s="1319">
        <f>Q33</f>
        <v>13400</v>
      </c>
      <c r="Q33" s="1319">
        <f t="shared" si="0"/>
        <v>13400</v>
      </c>
      <c r="R33" s="1319">
        <v>0</v>
      </c>
      <c r="S33" s="1319">
        <f>T33</f>
        <v>424.79311999999999</v>
      </c>
      <c r="T33" s="1319">
        <f>+'[116]31.01.13'!$T$29+'[116]28.02.13'!$T$27+'[116]31.03.13'!$T$32</f>
        <v>424.79311999999999</v>
      </c>
    </row>
    <row r="34" spans="1:20">
      <c r="A34" s="1903">
        <v>6</v>
      </c>
      <c r="B34" s="1905" t="s">
        <v>944</v>
      </c>
      <c r="C34" s="1781">
        <v>0.108</v>
      </c>
      <c r="D34" s="1318" t="s">
        <v>947</v>
      </c>
      <c r="E34" s="1318" t="s">
        <v>1013</v>
      </c>
      <c r="F34" s="1319">
        <v>0</v>
      </c>
      <c r="G34" s="1319">
        <f>H34</f>
        <v>20000</v>
      </c>
      <c r="H34" s="1319">
        <v>20000</v>
      </c>
      <c r="I34" s="1319">
        <v>0</v>
      </c>
      <c r="J34" s="1319">
        <f>(K34)</f>
        <v>0</v>
      </c>
      <c r="K34" s="1319">
        <v>0</v>
      </c>
      <c r="L34" s="1319">
        <v>0</v>
      </c>
      <c r="M34" s="1319">
        <f>(N34)</f>
        <v>4950</v>
      </c>
      <c r="N34" s="1319">
        <f>'[114]31.01.13'!$N$30+'[114]28.02.13'!$N$28+'[114]31.03.13'!$N$33</f>
        <v>4950</v>
      </c>
      <c r="O34" s="1319">
        <v>0</v>
      </c>
      <c r="P34" s="1319">
        <f>(Q34)</f>
        <v>15050</v>
      </c>
      <c r="Q34" s="1319">
        <f t="shared" si="0"/>
        <v>15050</v>
      </c>
      <c r="R34" s="1319">
        <v>0</v>
      </c>
      <c r="S34" s="1319">
        <f>(T34)</f>
        <v>466.23414000000002</v>
      </c>
      <c r="T34" s="1319">
        <f>+'[116]31.01.13'!$T$30+'[116]28.02.13'!$T$28+'[116]31.03.13'!$T$33</f>
        <v>466.23414000000002</v>
      </c>
    </row>
    <row r="35" spans="1:20">
      <c r="A35" s="1762"/>
      <c r="B35" s="1233" t="s">
        <v>949</v>
      </c>
      <c r="C35" s="1233"/>
      <c r="D35" s="1318"/>
      <c r="E35" s="1318"/>
      <c r="F35" s="1319">
        <f t="shared" ref="F35:T35" si="6">SUM(F5:F34)</f>
        <v>9750</v>
      </c>
      <c r="G35" s="1319">
        <f t="shared" si="6"/>
        <v>133492.5</v>
      </c>
      <c r="H35" s="1319">
        <f t="shared" si="6"/>
        <v>143242.5</v>
      </c>
      <c r="I35" s="1319">
        <f t="shared" si="6"/>
        <v>0</v>
      </c>
      <c r="J35" s="1319">
        <f t="shared" si="6"/>
        <v>64800</v>
      </c>
      <c r="K35" s="1319">
        <f t="shared" si="6"/>
        <v>64800</v>
      </c>
      <c r="L35" s="1319">
        <f t="shared" si="6"/>
        <v>3004.5</v>
      </c>
      <c r="M35" s="1319">
        <f t="shared" si="6"/>
        <v>63630.5</v>
      </c>
      <c r="N35" s="1319">
        <f t="shared" si="6"/>
        <v>66635</v>
      </c>
      <c r="O35" s="1319">
        <f t="shared" si="6"/>
        <v>6745.5</v>
      </c>
      <c r="P35" s="1319">
        <f t="shared" si="6"/>
        <v>134662</v>
      </c>
      <c r="Q35" s="1319">
        <f t="shared" si="6"/>
        <v>141407.5</v>
      </c>
      <c r="R35" s="1319">
        <f t="shared" si="6"/>
        <v>221.27643399999999</v>
      </c>
      <c r="S35" s="1319">
        <f t="shared" si="6"/>
        <v>3145.8965160000002</v>
      </c>
      <c r="T35" s="1319">
        <f t="shared" si="6"/>
        <v>3367.1716300000003</v>
      </c>
    </row>
    <row r="36" spans="1:20">
      <c r="A36" s="1762"/>
      <c r="B36" s="1233"/>
      <c r="C36" s="1233"/>
      <c r="D36" s="1318"/>
      <c r="E36" s="1318"/>
      <c r="F36" s="1319"/>
      <c r="G36" s="1319"/>
      <c r="H36" s="1319"/>
      <c r="I36" s="1319"/>
      <c r="J36" s="1319"/>
      <c r="K36" s="1319"/>
      <c r="L36" s="1319"/>
      <c r="M36" s="1319"/>
      <c r="N36" s="1319"/>
      <c r="O36" s="1319"/>
      <c r="P36" s="1319"/>
      <c r="Q36" s="1319"/>
      <c r="R36" s="1317"/>
      <c r="S36" s="1317"/>
      <c r="T36" s="1317"/>
    </row>
    <row r="37" spans="1:20">
      <c r="A37" s="1379" t="s">
        <v>950</v>
      </c>
      <c r="B37" s="1771" t="s">
        <v>951</v>
      </c>
      <c r="C37" s="1233"/>
      <c r="D37" s="1317"/>
      <c r="E37" s="1317"/>
      <c r="F37" s="1319"/>
      <c r="G37" s="1319"/>
      <c r="H37" s="1319"/>
      <c r="I37" s="1319"/>
      <c r="J37" s="1319"/>
      <c r="K37" s="1319"/>
      <c r="L37" s="1319"/>
      <c r="M37" s="1319"/>
      <c r="N37" s="1319"/>
      <c r="O37" s="1319"/>
      <c r="P37" s="1319"/>
      <c r="Q37" s="1319"/>
      <c r="R37" s="1317"/>
      <c r="S37" s="1317"/>
      <c r="T37" s="1317"/>
    </row>
    <row r="38" spans="1:20">
      <c r="A38" s="1906">
        <v>7</v>
      </c>
      <c r="B38" s="1904" t="s">
        <v>952</v>
      </c>
      <c r="C38" s="1780">
        <v>0.13500000000000001</v>
      </c>
      <c r="D38" s="1321" t="s">
        <v>953</v>
      </c>
      <c r="E38" s="1321" t="s">
        <v>954</v>
      </c>
      <c r="F38" s="1900">
        <f>(H38*46/100)</f>
        <v>4887.5</v>
      </c>
      <c r="G38" s="1900">
        <f>(H38*54/100)</f>
        <v>5737.5</v>
      </c>
      <c r="H38" s="1900">
        <v>10625</v>
      </c>
      <c r="I38" s="1900">
        <f>(K38*46/100)</f>
        <v>0</v>
      </c>
      <c r="J38" s="1900">
        <f>(K38*54/100)</f>
        <v>0</v>
      </c>
      <c r="K38" s="1900">
        <v>0</v>
      </c>
      <c r="L38" s="1900">
        <f>(N38*46/100)</f>
        <v>287.5</v>
      </c>
      <c r="M38" s="1900">
        <f>(N38*54/100)</f>
        <v>337.5</v>
      </c>
      <c r="N38" s="1900">
        <f>'[114]31.01.13'!$N$34+'[114]28.02.13'!$N$32+'[114]31.03.13'!$N$37</f>
        <v>625</v>
      </c>
      <c r="O38" s="1900">
        <f>(Q38*46/100)</f>
        <v>4600</v>
      </c>
      <c r="P38" s="1900">
        <f>(Q38*54/100)</f>
        <v>5400</v>
      </c>
      <c r="Q38" s="1900">
        <f>(H38+K38-N38)</f>
        <v>10000</v>
      </c>
      <c r="R38" s="1900">
        <f>T38*46/100</f>
        <v>153.2587106</v>
      </c>
      <c r="S38" s="1900">
        <f>T38*54/100</f>
        <v>179.9123994</v>
      </c>
      <c r="T38" s="1900">
        <f>+'[116]31.01.13'!$T$34+'[116]28.02.13'!$T$32+'[116]31.03.13'!$T$37</f>
        <v>333.17111</v>
      </c>
    </row>
    <row r="39" spans="1:20">
      <c r="A39" s="1776">
        <v>8</v>
      </c>
      <c r="B39" s="1776" t="s">
        <v>955</v>
      </c>
      <c r="C39" s="1782" t="s">
        <v>956</v>
      </c>
      <c r="D39" s="1317" t="s">
        <v>957</v>
      </c>
      <c r="E39" s="1317" t="s">
        <v>958</v>
      </c>
      <c r="F39" s="1319">
        <f>(H39)</f>
        <v>159.58004</v>
      </c>
      <c r="G39" s="1319">
        <v>0</v>
      </c>
      <c r="H39" s="1901">
        <v>159.58004</v>
      </c>
      <c r="I39" s="1319">
        <f>(K39)</f>
        <v>0</v>
      </c>
      <c r="J39" s="1319">
        <v>0</v>
      </c>
      <c r="K39" s="1319">
        <v>0</v>
      </c>
      <c r="L39" s="1319">
        <f>(N39)</f>
        <v>15.95833</v>
      </c>
      <c r="M39" s="1319">
        <v>0</v>
      </c>
      <c r="N39" s="1319">
        <f>'[114]31.03.13'!$N$38</f>
        <v>15.95833</v>
      </c>
      <c r="O39" s="1319">
        <f>(Q39)</f>
        <v>143.62171000000001</v>
      </c>
      <c r="P39" s="1319">
        <v>0</v>
      </c>
      <c r="Q39" s="1319">
        <f>(H39+K39-N39)</f>
        <v>143.62171000000001</v>
      </c>
      <c r="R39" s="1319">
        <f>+T39</f>
        <v>22.740629999999999</v>
      </c>
      <c r="S39" s="1319">
        <v>0</v>
      </c>
      <c r="T39" s="1319">
        <f>+'[116]31.03.13'!$T$38</f>
        <v>22.740629999999999</v>
      </c>
    </row>
    <row r="40" spans="1:20">
      <c r="A40" s="1776">
        <v>9</v>
      </c>
      <c r="B40" s="1776" t="s">
        <v>959</v>
      </c>
      <c r="C40" s="1233" t="s">
        <v>960</v>
      </c>
      <c r="D40" s="1317" t="s">
        <v>961</v>
      </c>
      <c r="E40" s="1317" t="s">
        <v>962</v>
      </c>
      <c r="F40" s="1319">
        <f>(H40)</f>
        <v>3798.5</v>
      </c>
      <c r="G40" s="1319">
        <v>0</v>
      </c>
      <c r="H40" s="1319">
        <v>3798.5</v>
      </c>
      <c r="I40" s="1319">
        <f>(K40)</f>
        <v>0</v>
      </c>
      <c r="J40" s="1319">
        <v>0</v>
      </c>
      <c r="K40" s="1319">
        <v>0</v>
      </c>
      <c r="L40" s="1319">
        <f>(N40)</f>
        <v>0</v>
      </c>
      <c r="M40" s="1319">
        <v>0</v>
      </c>
      <c r="N40" s="1319">
        <f>'[114]31.01.13'!$N$36</f>
        <v>0</v>
      </c>
      <c r="O40" s="1319">
        <f>(Q40)</f>
        <v>3798.5</v>
      </c>
      <c r="P40" s="1319">
        <v>0</v>
      </c>
      <c r="Q40" s="1319">
        <f>(H40+K40-N40)</f>
        <v>3798.5</v>
      </c>
      <c r="R40" s="1319">
        <f>(T40)</f>
        <v>288.01391000000001</v>
      </c>
      <c r="S40" s="1319">
        <v>0</v>
      </c>
      <c r="T40" s="1319">
        <f>+'[116]31.03.13'!$T$39</f>
        <v>288.01391000000001</v>
      </c>
    </row>
    <row r="41" spans="1:20">
      <c r="A41" s="1776">
        <v>10</v>
      </c>
      <c r="B41" s="1776" t="s">
        <v>963</v>
      </c>
      <c r="C41" s="1782" t="s">
        <v>964</v>
      </c>
      <c r="D41" s="1317" t="s">
        <v>965</v>
      </c>
      <c r="E41" s="1317" t="s">
        <v>966</v>
      </c>
      <c r="F41" s="1319">
        <v>0</v>
      </c>
      <c r="G41" s="1319">
        <f>(H41)</f>
        <v>7913.6984999999977</v>
      </c>
      <c r="H41" s="1319">
        <v>7913.6984999999977</v>
      </c>
      <c r="I41" s="1319">
        <v>0</v>
      </c>
      <c r="J41" s="1319">
        <f>(K41)</f>
        <v>0</v>
      </c>
      <c r="K41" s="1319">
        <v>0</v>
      </c>
      <c r="L41" s="1319">
        <v>0</v>
      </c>
      <c r="M41" s="1319">
        <f>(N41)</f>
        <v>226.1</v>
      </c>
      <c r="N41" s="1319">
        <f>'[114]31.03.13'!$N$40</f>
        <v>226.1</v>
      </c>
      <c r="O41" s="1319">
        <v>0</v>
      </c>
      <c r="P41" s="1319">
        <f>(Q41)</f>
        <v>7687.5984999999973</v>
      </c>
      <c r="Q41" s="1319">
        <f>(H41+K41-N41)</f>
        <v>7687.5984999999973</v>
      </c>
      <c r="R41" s="1319">
        <v>0</v>
      </c>
      <c r="S41" s="1319">
        <f>(T41)</f>
        <v>285.82535999999999</v>
      </c>
      <c r="T41" s="1319">
        <f>+'[116]31.03.13'!$T$40</f>
        <v>285.82535999999999</v>
      </c>
    </row>
    <row r="42" spans="1:20">
      <c r="A42" s="1776">
        <v>11</v>
      </c>
      <c r="B42" s="1902" t="s">
        <v>967</v>
      </c>
      <c r="C42" s="2560">
        <v>0.1</v>
      </c>
      <c r="D42" s="1317" t="s">
        <v>968</v>
      </c>
      <c r="E42" s="1317" t="s">
        <v>969</v>
      </c>
      <c r="F42" s="1319"/>
      <c r="G42" s="1319"/>
      <c r="H42" s="1319">
        <v>0</v>
      </c>
      <c r="I42" s="1319"/>
      <c r="J42" s="1319"/>
      <c r="K42" s="1319">
        <v>40000</v>
      </c>
      <c r="L42" s="1319"/>
      <c r="M42" s="1319"/>
      <c r="N42" s="1319">
        <v>0</v>
      </c>
      <c r="O42" s="1319">
        <v>0</v>
      </c>
      <c r="P42" s="1319">
        <f>(Q42)</f>
        <v>40000</v>
      </c>
      <c r="Q42" s="1319">
        <f>(H42+K42-N42)</f>
        <v>40000</v>
      </c>
      <c r="R42" s="1319">
        <f>+T42</f>
        <v>98.630139999999997</v>
      </c>
      <c r="S42" s="1319">
        <v>0</v>
      </c>
      <c r="T42" s="1319">
        <f>+'[116]31.03.13'!$T$41</f>
        <v>98.630139999999997</v>
      </c>
    </row>
    <row r="43" spans="1:20">
      <c r="A43" s="1233"/>
      <c r="B43" s="1328" t="s">
        <v>970</v>
      </c>
      <c r="C43" s="1233"/>
      <c r="D43" s="1317"/>
      <c r="E43" s="1317"/>
      <c r="F43" s="1319">
        <f>SUM(F38:F41)</f>
        <v>8845.5800400000007</v>
      </c>
      <c r="G43" s="1319">
        <f>SUM(G38:G41)</f>
        <v>13651.198499999999</v>
      </c>
      <c r="H43" s="1319">
        <f>SUM(H38:H41)</f>
        <v>22496.778539999999</v>
      </c>
      <c r="I43" s="1319">
        <f>SUM(I38:I41)</f>
        <v>0</v>
      </c>
      <c r="J43" s="1319">
        <f>SUM(J38:J41)</f>
        <v>0</v>
      </c>
      <c r="K43" s="1319">
        <f>SUM(K38:K42)</f>
        <v>40000</v>
      </c>
      <c r="L43" s="1319">
        <f t="shared" ref="L43:Q43" si="7">SUM(L38:L42)</f>
        <v>303.45832999999999</v>
      </c>
      <c r="M43" s="1319">
        <f t="shared" si="7"/>
        <v>563.6</v>
      </c>
      <c r="N43" s="1319">
        <f t="shared" si="7"/>
        <v>867.05833000000007</v>
      </c>
      <c r="O43" s="1319">
        <f t="shared" si="7"/>
        <v>8542.1217099999994</v>
      </c>
      <c r="P43" s="1319">
        <f t="shared" si="7"/>
        <v>53087.598499999993</v>
      </c>
      <c r="Q43" s="1319">
        <f t="shared" si="7"/>
        <v>61629.720209999999</v>
      </c>
      <c r="R43" s="1319">
        <f>SUM(R38:R42)</f>
        <v>562.64339059999998</v>
      </c>
      <c r="S43" s="1319">
        <f>SUM(S38:S42)</f>
        <v>465.73775939999996</v>
      </c>
      <c r="T43" s="1319">
        <f>SUM(T38:T42)</f>
        <v>1028.3811499999999</v>
      </c>
    </row>
    <row r="44" spans="1:20">
      <c r="A44" s="1233"/>
      <c r="B44" s="1328" t="s">
        <v>2335</v>
      </c>
      <c r="C44" s="1233"/>
      <c r="D44" s="1317"/>
      <c r="E44" s="1317"/>
      <c r="F44" s="1319">
        <f t="shared" ref="F44:S44" si="8">(F35+F43)</f>
        <v>18595.580040000001</v>
      </c>
      <c r="G44" s="1319">
        <f t="shared" si="8"/>
        <v>147143.6985</v>
      </c>
      <c r="H44" s="1319">
        <f t="shared" si="8"/>
        <v>165739.27854</v>
      </c>
      <c r="I44" s="1319">
        <f t="shared" si="8"/>
        <v>0</v>
      </c>
      <c r="J44" s="1319">
        <f t="shared" si="8"/>
        <v>64800</v>
      </c>
      <c r="K44" s="1319">
        <f t="shared" si="8"/>
        <v>104800</v>
      </c>
      <c r="L44" s="1319">
        <f t="shared" si="8"/>
        <v>3307.9583299999999</v>
      </c>
      <c r="M44" s="1319">
        <f t="shared" si="8"/>
        <v>64194.1</v>
      </c>
      <c r="N44" s="1319">
        <f t="shared" si="8"/>
        <v>67502.05833</v>
      </c>
      <c r="O44" s="1319">
        <f t="shared" si="8"/>
        <v>15287.621709999999</v>
      </c>
      <c r="P44" s="1319">
        <f t="shared" si="8"/>
        <v>187749.59849999999</v>
      </c>
      <c r="Q44" s="1319">
        <f t="shared" si="8"/>
        <v>203037.22021</v>
      </c>
      <c r="R44" s="1319">
        <f t="shared" si="8"/>
        <v>783.91982459999997</v>
      </c>
      <c r="S44" s="1319">
        <f t="shared" si="8"/>
        <v>3611.6342754000002</v>
      </c>
      <c r="T44" s="1319">
        <v>11</v>
      </c>
    </row>
  </sheetData>
  <mergeCells count="17">
    <mergeCell ref="A28:A31"/>
    <mergeCell ref="B28:B31"/>
    <mergeCell ref="A5:A15"/>
    <mergeCell ref="B5:B15"/>
    <mergeCell ref="A17:A20"/>
    <mergeCell ref="B17:B20"/>
    <mergeCell ref="A21:A25"/>
    <mergeCell ref="B21:B25"/>
    <mergeCell ref="A1:T1"/>
    <mergeCell ref="A2:A3"/>
    <mergeCell ref="B2:B3"/>
    <mergeCell ref="D2:E2"/>
    <mergeCell ref="F2:H2"/>
    <mergeCell ref="I2:K2"/>
    <mergeCell ref="L2:N2"/>
    <mergeCell ref="O2:Q2"/>
    <mergeCell ref="R2:T2"/>
  </mergeCells>
  <pageMargins left="0.7" right="0.7" top="0.75" bottom="0.75" header="0.3" footer="0.3"/>
  <pageSetup orientation="portrait" horizontalDpi="180" verticalDpi="180" r:id="rId1"/>
</worksheet>
</file>

<file path=xl/worksheets/sheet126.xml><?xml version="1.0" encoding="utf-8"?>
<worksheet xmlns="http://schemas.openxmlformats.org/spreadsheetml/2006/main" xmlns:r="http://schemas.openxmlformats.org/officeDocument/2006/relationships">
  <sheetPr codeName="Sheet105">
    <pageSetUpPr fitToPage="1"/>
  </sheetPr>
  <dimension ref="A1:AE76"/>
  <sheetViews>
    <sheetView showGridLines="0" zoomScale="66" zoomScaleNormal="66" workbookViewId="0">
      <selection activeCell="D21" sqref="D21"/>
    </sheetView>
  </sheetViews>
  <sheetFormatPr defaultRowHeight="15"/>
  <cols>
    <col min="1" max="1" width="7.140625" style="1186" customWidth="1"/>
    <col min="2" max="2" width="49.5703125" style="1186" customWidth="1"/>
    <col min="3" max="3" width="17.42578125" style="1186" customWidth="1"/>
    <col min="4" max="4" width="15" style="1239" customWidth="1"/>
    <col min="5" max="5" width="18.5703125" style="1240" customWidth="1"/>
    <col min="6" max="6" width="16.5703125" style="1240" customWidth="1"/>
    <col min="7" max="7" width="14" style="1186" hidden="1" customWidth="1"/>
    <col min="8" max="8" width="15.7109375" style="1186" hidden="1" customWidth="1"/>
    <col min="9" max="9" width="16.140625" style="1186" hidden="1" customWidth="1"/>
    <col min="10" max="10" width="12.28515625" style="1186" hidden="1" customWidth="1"/>
    <col min="11" max="11" width="7.42578125" style="1186" hidden="1" customWidth="1"/>
    <col min="12" max="12" width="18.5703125" style="1186" customWidth="1"/>
    <col min="13" max="13" width="14.85546875" style="1186" hidden="1" customWidth="1"/>
    <col min="14" max="14" width="15.28515625" style="1186" hidden="1" customWidth="1"/>
    <col min="15" max="15" width="18" style="1186" hidden="1" customWidth="1"/>
    <col min="16" max="16" width="19" style="1186" customWidth="1"/>
    <col min="17" max="17" width="17.7109375" style="1186" hidden="1" customWidth="1"/>
    <col min="18" max="18" width="15.7109375" style="1186" hidden="1" customWidth="1"/>
    <col min="19" max="19" width="17.5703125" style="1186" hidden="1" customWidth="1"/>
    <col min="20" max="20" width="18.28515625" style="1186" customWidth="1"/>
    <col min="21" max="21" width="17.7109375" style="1186" hidden="1" customWidth="1"/>
    <col min="22" max="22" width="21" style="1186" customWidth="1"/>
    <col min="23" max="23" width="10.5703125" style="1186" hidden="1" customWidth="1"/>
    <col min="24" max="25" width="10.85546875" style="1186" hidden="1" customWidth="1"/>
    <col min="26" max="26" width="5" style="1186" hidden="1" customWidth="1"/>
    <col min="27" max="27" width="2.28515625" style="1186" hidden="1" customWidth="1"/>
    <col min="28" max="28" width="5" style="1186" customWidth="1"/>
    <col min="29" max="29" width="2" style="1186" hidden="1" customWidth="1"/>
    <col min="30" max="31" width="0" style="1186" hidden="1" customWidth="1"/>
    <col min="32" max="256" width="9.140625" style="1186"/>
    <col min="257" max="257" width="7.140625" style="1186" customWidth="1"/>
    <col min="258" max="258" width="49.5703125" style="1186" customWidth="1"/>
    <col min="259" max="259" width="17.42578125" style="1186" customWidth="1"/>
    <col min="260" max="260" width="11.28515625" style="1186" customWidth="1"/>
    <col min="261" max="261" width="18.5703125" style="1186" customWidth="1"/>
    <col min="262" max="262" width="16.5703125" style="1186" customWidth="1"/>
    <col min="263" max="267" width="0" style="1186" hidden="1" customWidth="1"/>
    <col min="268" max="268" width="18.5703125" style="1186" customWidth="1"/>
    <col min="269" max="271" width="0" style="1186" hidden="1" customWidth="1"/>
    <col min="272" max="272" width="19" style="1186" customWidth="1"/>
    <col min="273" max="275" width="0" style="1186" hidden="1" customWidth="1"/>
    <col min="276" max="276" width="18.28515625" style="1186" customWidth="1"/>
    <col min="277" max="277" width="0" style="1186" hidden="1" customWidth="1"/>
    <col min="278" max="278" width="21" style="1186" customWidth="1"/>
    <col min="279" max="283" width="0" style="1186" hidden="1" customWidth="1"/>
    <col min="284" max="284" width="5" style="1186" customWidth="1"/>
    <col min="285" max="287" width="0" style="1186" hidden="1" customWidth="1"/>
    <col min="288" max="512" width="9.140625" style="1186"/>
    <col min="513" max="513" width="7.140625" style="1186" customWidth="1"/>
    <col min="514" max="514" width="49.5703125" style="1186" customWidth="1"/>
    <col min="515" max="515" width="17.42578125" style="1186" customWidth="1"/>
    <col min="516" max="516" width="11.28515625" style="1186" customWidth="1"/>
    <col min="517" max="517" width="18.5703125" style="1186" customWidth="1"/>
    <col min="518" max="518" width="16.5703125" style="1186" customWidth="1"/>
    <col min="519" max="523" width="0" style="1186" hidden="1" customWidth="1"/>
    <col min="524" max="524" width="18.5703125" style="1186" customWidth="1"/>
    <col min="525" max="527" width="0" style="1186" hidden="1" customWidth="1"/>
    <col min="528" max="528" width="19" style="1186" customWidth="1"/>
    <col min="529" max="531" width="0" style="1186" hidden="1" customWidth="1"/>
    <col min="532" max="532" width="18.28515625" style="1186" customWidth="1"/>
    <col min="533" max="533" width="0" style="1186" hidden="1" customWidth="1"/>
    <col min="534" max="534" width="21" style="1186" customWidth="1"/>
    <col min="535" max="539" width="0" style="1186" hidden="1" customWidth="1"/>
    <col min="540" max="540" width="5" style="1186" customWidth="1"/>
    <col min="541" max="543" width="0" style="1186" hidden="1" customWidth="1"/>
    <col min="544" max="768" width="9.140625" style="1186"/>
    <col min="769" max="769" width="7.140625" style="1186" customWidth="1"/>
    <col min="770" max="770" width="49.5703125" style="1186" customWidth="1"/>
    <col min="771" max="771" width="17.42578125" style="1186" customWidth="1"/>
    <col min="772" max="772" width="11.28515625" style="1186" customWidth="1"/>
    <col min="773" max="773" width="18.5703125" style="1186" customWidth="1"/>
    <col min="774" max="774" width="16.5703125" style="1186" customWidth="1"/>
    <col min="775" max="779" width="0" style="1186" hidden="1" customWidth="1"/>
    <col min="780" max="780" width="18.5703125" style="1186" customWidth="1"/>
    <col min="781" max="783" width="0" style="1186" hidden="1" customWidth="1"/>
    <col min="784" max="784" width="19" style="1186" customWidth="1"/>
    <col min="785" max="787" width="0" style="1186" hidden="1" customWidth="1"/>
    <col min="788" max="788" width="18.28515625" style="1186" customWidth="1"/>
    <col min="789" max="789" width="0" style="1186" hidden="1" customWidth="1"/>
    <col min="790" max="790" width="21" style="1186" customWidth="1"/>
    <col min="791" max="795" width="0" style="1186" hidden="1" customWidth="1"/>
    <col min="796" max="796" width="5" style="1186" customWidth="1"/>
    <col min="797" max="799" width="0" style="1186" hidden="1" customWidth="1"/>
    <col min="800" max="1024" width="9.140625" style="1186"/>
    <col min="1025" max="1025" width="7.140625" style="1186" customWidth="1"/>
    <col min="1026" max="1026" width="49.5703125" style="1186" customWidth="1"/>
    <col min="1027" max="1027" width="17.42578125" style="1186" customWidth="1"/>
    <col min="1028" max="1028" width="11.28515625" style="1186" customWidth="1"/>
    <col min="1029" max="1029" width="18.5703125" style="1186" customWidth="1"/>
    <col min="1030" max="1030" width="16.5703125" style="1186" customWidth="1"/>
    <col min="1031" max="1035" width="0" style="1186" hidden="1" customWidth="1"/>
    <col min="1036" max="1036" width="18.5703125" style="1186" customWidth="1"/>
    <col min="1037" max="1039" width="0" style="1186" hidden="1" customWidth="1"/>
    <col min="1040" max="1040" width="19" style="1186" customWidth="1"/>
    <col min="1041" max="1043" width="0" style="1186" hidden="1" customWidth="1"/>
    <col min="1044" max="1044" width="18.28515625" style="1186" customWidth="1"/>
    <col min="1045" max="1045" width="0" style="1186" hidden="1" customWidth="1"/>
    <col min="1046" max="1046" width="21" style="1186" customWidth="1"/>
    <col min="1047" max="1051" width="0" style="1186" hidden="1" customWidth="1"/>
    <col min="1052" max="1052" width="5" style="1186" customWidth="1"/>
    <col min="1053" max="1055" width="0" style="1186" hidden="1" customWidth="1"/>
    <col min="1056" max="1280" width="9.140625" style="1186"/>
    <col min="1281" max="1281" width="7.140625" style="1186" customWidth="1"/>
    <col min="1282" max="1282" width="49.5703125" style="1186" customWidth="1"/>
    <col min="1283" max="1283" width="17.42578125" style="1186" customWidth="1"/>
    <col min="1284" max="1284" width="11.28515625" style="1186" customWidth="1"/>
    <col min="1285" max="1285" width="18.5703125" style="1186" customWidth="1"/>
    <col min="1286" max="1286" width="16.5703125" style="1186" customWidth="1"/>
    <col min="1287" max="1291" width="0" style="1186" hidden="1" customWidth="1"/>
    <col min="1292" max="1292" width="18.5703125" style="1186" customWidth="1"/>
    <col min="1293" max="1295" width="0" style="1186" hidden="1" customWidth="1"/>
    <col min="1296" max="1296" width="19" style="1186" customWidth="1"/>
    <col min="1297" max="1299" width="0" style="1186" hidden="1" customWidth="1"/>
    <col min="1300" max="1300" width="18.28515625" style="1186" customWidth="1"/>
    <col min="1301" max="1301" width="0" style="1186" hidden="1" customWidth="1"/>
    <col min="1302" max="1302" width="21" style="1186" customWidth="1"/>
    <col min="1303" max="1307" width="0" style="1186" hidden="1" customWidth="1"/>
    <col min="1308" max="1308" width="5" style="1186" customWidth="1"/>
    <col min="1309" max="1311" width="0" style="1186" hidden="1" customWidth="1"/>
    <col min="1312" max="1536" width="9.140625" style="1186"/>
    <col min="1537" max="1537" width="7.140625" style="1186" customWidth="1"/>
    <col min="1538" max="1538" width="49.5703125" style="1186" customWidth="1"/>
    <col min="1539" max="1539" width="17.42578125" style="1186" customWidth="1"/>
    <col min="1540" max="1540" width="11.28515625" style="1186" customWidth="1"/>
    <col min="1541" max="1541" width="18.5703125" style="1186" customWidth="1"/>
    <col min="1542" max="1542" width="16.5703125" style="1186" customWidth="1"/>
    <col min="1543" max="1547" width="0" style="1186" hidden="1" customWidth="1"/>
    <col min="1548" max="1548" width="18.5703125" style="1186" customWidth="1"/>
    <col min="1549" max="1551" width="0" style="1186" hidden="1" customWidth="1"/>
    <col min="1552" max="1552" width="19" style="1186" customWidth="1"/>
    <col min="1553" max="1555" width="0" style="1186" hidden="1" customWidth="1"/>
    <col min="1556" max="1556" width="18.28515625" style="1186" customWidth="1"/>
    <col min="1557" max="1557" width="0" style="1186" hidden="1" customWidth="1"/>
    <col min="1558" max="1558" width="21" style="1186" customWidth="1"/>
    <col min="1559" max="1563" width="0" style="1186" hidden="1" customWidth="1"/>
    <col min="1564" max="1564" width="5" style="1186" customWidth="1"/>
    <col min="1565" max="1567" width="0" style="1186" hidden="1" customWidth="1"/>
    <col min="1568" max="1792" width="9.140625" style="1186"/>
    <col min="1793" max="1793" width="7.140625" style="1186" customWidth="1"/>
    <col min="1794" max="1794" width="49.5703125" style="1186" customWidth="1"/>
    <col min="1795" max="1795" width="17.42578125" style="1186" customWidth="1"/>
    <col min="1796" max="1796" width="11.28515625" style="1186" customWidth="1"/>
    <col min="1797" max="1797" width="18.5703125" style="1186" customWidth="1"/>
    <col min="1798" max="1798" width="16.5703125" style="1186" customWidth="1"/>
    <col min="1799" max="1803" width="0" style="1186" hidden="1" customWidth="1"/>
    <col min="1804" max="1804" width="18.5703125" style="1186" customWidth="1"/>
    <col min="1805" max="1807" width="0" style="1186" hidden="1" customWidth="1"/>
    <col min="1808" max="1808" width="19" style="1186" customWidth="1"/>
    <col min="1809" max="1811" width="0" style="1186" hidden="1" customWidth="1"/>
    <col min="1812" max="1812" width="18.28515625" style="1186" customWidth="1"/>
    <col min="1813" max="1813" width="0" style="1186" hidden="1" customWidth="1"/>
    <col min="1814" max="1814" width="21" style="1186" customWidth="1"/>
    <col min="1815" max="1819" width="0" style="1186" hidden="1" customWidth="1"/>
    <col min="1820" max="1820" width="5" style="1186" customWidth="1"/>
    <col min="1821" max="1823" width="0" style="1186" hidden="1" customWidth="1"/>
    <col min="1824" max="2048" width="9.140625" style="1186"/>
    <col min="2049" max="2049" width="7.140625" style="1186" customWidth="1"/>
    <col min="2050" max="2050" width="49.5703125" style="1186" customWidth="1"/>
    <col min="2051" max="2051" width="17.42578125" style="1186" customWidth="1"/>
    <col min="2052" max="2052" width="11.28515625" style="1186" customWidth="1"/>
    <col min="2053" max="2053" width="18.5703125" style="1186" customWidth="1"/>
    <col min="2054" max="2054" width="16.5703125" style="1186" customWidth="1"/>
    <col min="2055" max="2059" width="0" style="1186" hidden="1" customWidth="1"/>
    <col min="2060" max="2060" width="18.5703125" style="1186" customWidth="1"/>
    <col min="2061" max="2063" width="0" style="1186" hidden="1" customWidth="1"/>
    <col min="2064" max="2064" width="19" style="1186" customWidth="1"/>
    <col min="2065" max="2067" width="0" style="1186" hidden="1" customWidth="1"/>
    <col min="2068" max="2068" width="18.28515625" style="1186" customWidth="1"/>
    <col min="2069" max="2069" width="0" style="1186" hidden="1" customWidth="1"/>
    <col min="2070" max="2070" width="21" style="1186" customWidth="1"/>
    <col min="2071" max="2075" width="0" style="1186" hidden="1" customWidth="1"/>
    <col min="2076" max="2076" width="5" style="1186" customWidth="1"/>
    <col min="2077" max="2079" width="0" style="1186" hidden="1" customWidth="1"/>
    <col min="2080" max="2304" width="9.140625" style="1186"/>
    <col min="2305" max="2305" width="7.140625" style="1186" customWidth="1"/>
    <col min="2306" max="2306" width="49.5703125" style="1186" customWidth="1"/>
    <col min="2307" max="2307" width="17.42578125" style="1186" customWidth="1"/>
    <col min="2308" max="2308" width="11.28515625" style="1186" customWidth="1"/>
    <col min="2309" max="2309" width="18.5703125" style="1186" customWidth="1"/>
    <col min="2310" max="2310" width="16.5703125" style="1186" customWidth="1"/>
    <col min="2311" max="2315" width="0" style="1186" hidden="1" customWidth="1"/>
    <col min="2316" max="2316" width="18.5703125" style="1186" customWidth="1"/>
    <col min="2317" max="2319" width="0" style="1186" hidden="1" customWidth="1"/>
    <col min="2320" max="2320" width="19" style="1186" customWidth="1"/>
    <col min="2321" max="2323" width="0" style="1186" hidden="1" customWidth="1"/>
    <col min="2324" max="2324" width="18.28515625" style="1186" customWidth="1"/>
    <col min="2325" max="2325" width="0" style="1186" hidden="1" customWidth="1"/>
    <col min="2326" max="2326" width="21" style="1186" customWidth="1"/>
    <col min="2327" max="2331" width="0" style="1186" hidden="1" customWidth="1"/>
    <col min="2332" max="2332" width="5" style="1186" customWidth="1"/>
    <col min="2333" max="2335" width="0" style="1186" hidden="1" customWidth="1"/>
    <col min="2336" max="2560" width="9.140625" style="1186"/>
    <col min="2561" max="2561" width="7.140625" style="1186" customWidth="1"/>
    <col min="2562" max="2562" width="49.5703125" style="1186" customWidth="1"/>
    <col min="2563" max="2563" width="17.42578125" style="1186" customWidth="1"/>
    <col min="2564" max="2564" width="11.28515625" style="1186" customWidth="1"/>
    <col min="2565" max="2565" width="18.5703125" style="1186" customWidth="1"/>
    <col min="2566" max="2566" width="16.5703125" style="1186" customWidth="1"/>
    <col min="2567" max="2571" width="0" style="1186" hidden="1" customWidth="1"/>
    <col min="2572" max="2572" width="18.5703125" style="1186" customWidth="1"/>
    <col min="2573" max="2575" width="0" style="1186" hidden="1" customWidth="1"/>
    <col min="2576" max="2576" width="19" style="1186" customWidth="1"/>
    <col min="2577" max="2579" width="0" style="1186" hidden="1" customWidth="1"/>
    <col min="2580" max="2580" width="18.28515625" style="1186" customWidth="1"/>
    <col min="2581" max="2581" width="0" style="1186" hidden="1" customWidth="1"/>
    <col min="2582" max="2582" width="21" style="1186" customWidth="1"/>
    <col min="2583" max="2587" width="0" style="1186" hidden="1" customWidth="1"/>
    <col min="2588" max="2588" width="5" style="1186" customWidth="1"/>
    <col min="2589" max="2591" width="0" style="1186" hidden="1" customWidth="1"/>
    <col min="2592" max="2816" width="9.140625" style="1186"/>
    <col min="2817" max="2817" width="7.140625" style="1186" customWidth="1"/>
    <col min="2818" max="2818" width="49.5703125" style="1186" customWidth="1"/>
    <col min="2819" max="2819" width="17.42578125" style="1186" customWidth="1"/>
    <col min="2820" max="2820" width="11.28515625" style="1186" customWidth="1"/>
    <col min="2821" max="2821" width="18.5703125" style="1186" customWidth="1"/>
    <col min="2822" max="2822" width="16.5703125" style="1186" customWidth="1"/>
    <col min="2823" max="2827" width="0" style="1186" hidden="1" customWidth="1"/>
    <col min="2828" max="2828" width="18.5703125" style="1186" customWidth="1"/>
    <col min="2829" max="2831" width="0" style="1186" hidden="1" customWidth="1"/>
    <col min="2832" max="2832" width="19" style="1186" customWidth="1"/>
    <col min="2833" max="2835" width="0" style="1186" hidden="1" customWidth="1"/>
    <col min="2836" max="2836" width="18.28515625" style="1186" customWidth="1"/>
    <col min="2837" max="2837" width="0" style="1186" hidden="1" customWidth="1"/>
    <col min="2838" max="2838" width="21" style="1186" customWidth="1"/>
    <col min="2839" max="2843" width="0" style="1186" hidden="1" customWidth="1"/>
    <col min="2844" max="2844" width="5" style="1186" customWidth="1"/>
    <col min="2845" max="2847" width="0" style="1186" hidden="1" customWidth="1"/>
    <col min="2848" max="3072" width="9.140625" style="1186"/>
    <col min="3073" max="3073" width="7.140625" style="1186" customWidth="1"/>
    <col min="3074" max="3074" width="49.5703125" style="1186" customWidth="1"/>
    <col min="3075" max="3075" width="17.42578125" style="1186" customWidth="1"/>
    <col min="3076" max="3076" width="11.28515625" style="1186" customWidth="1"/>
    <col min="3077" max="3077" width="18.5703125" style="1186" customWidth="1"/>
    <col min="3078" max="3078" width="16.5703125" style="1186" customWidth="1"/>
    <col min="3079" max="3083" width="0" style="1186" hidden="1" customWidth="1"/>
    <col min="3084" max="3084" width="18.5703125" style="1186" customWidth="1"/>
    <col min="3085" max="3087" width="0" style="1186" hidden="1" customWidth="1"/>
    <col min="3088" max="3088" width="19" style="1186" customWidth="1"/>
    <col min="3089" max="3091" width="0" style="1186" hidden="1" customWidth="1"/>
    <col min="3092" max="3092" width="18.28515625" style="1186" customWidth="1"/>
    <col min="3093" max="3093" width="0" style="1186" hidden="1" customWidth="1"/>
    <col min="3094" max="3094" width="21" style="1186" customWidth="1"/>
    <col min="3095" max="3099" width="0" style="1186" hidden="1" customWidth="1"/>
    <col min="3100" max="3100" width="5" style="1186" customWidth="1"/>
    <col min="3101" max="3103" width="0" style="1186" hidden="1" customWidth="1"/>
    <col min="3104" max="3328" width="9.140625" style="1186"/>
    <col min="3329" max="3329" width="7.140625" style="1186" customWidth="1"/>
    <col min="3330" max="3330" width="49.5703125" style="1186" customWidth="1"/>
    <col min="3331" max="3331" width="17.42578125" style="1186" customWidth="1"/>
    <col min="3332" max="3332" width="11.28515625" style="1186" customWidth="1"/>
    <col min="3333" max="3333" width="18.5703125" style="1186" customWidth="1"/>
    <col min="3334" max="3334" width="16.5703125" style="1186" customWidth="1"/>
    <col min="3335" max="3339" width="0" style="1186" hidden="1" customWidth="1"/>
    <col min="3340" max="3340" width="18.5703125" style="1186" customWidth="1"/>
    <col min="3341" max="3343" width="0" style="1186" hidden="1" customWidth="1"/>
    <col min="3344" max="3344" width="19" style="1186" customWidth="1"/>
    <col min="3345" max="3347" width="0" style="1186" hidden="1" customWidth="1"/>
    <col min="3348" max="3348" width="18.28515625" style="1186" customWidth="1"/>
    <col min="3349" max="3349" width="0" style="1186" hidden="1" customWidth="1"/>
    <col min="3350" max="3350" width="21" style="1186" customWidth="1"/>
    <col min="3351" max="3355" width="0" style="1186" hidden="1" customWidth="1"/>
    <col min="3356" max="3356" width="5" style="1186" customWidth="1"/>
    <col min="3357" max="3359" width="0" style="1186" hidden="1" customWidth="1"/>
    <col min="3360" max="3584" width="9.140625" style="1186"/>
    <col min="3585" max="3585" width="7.140625" style="1186" customWidth="1"/>
    <col min="3586" max="3586" width="49.5703125" style="1186" customWidth="1"/>
    <col min="3587" max="3587" width="17.42578125" style="1186" customWidth="1"/>
    <col min="3588" max="3588" width="11.28515625" style="1186" customWidth="1"/>
    <col min="3589" max="3589" width="18.5703125" style="1186" customWidth="1"/>
    <col min="3590" max="3590" width="16.5703125" style="1186" customWidth="1"/>
    <col min="3591" max="3595" width="0" style="1186" hidden="1" customWidth="1"/>
    <col min="3596" max="3596" width="18.5703125" style="1186" customWidth="1"/>
    <col min="3597" max="3599" width="0" style="1186" hidden="1" customWidth="1"/>
    <col min="3600" max="3600" width="19" style="1186" customWidth="1"/>
    <col min="3601" max="3603" width="0" style="1186" hidden="1" customWidth="1"/>
    <col min="3604" max="3604" width="18.28515625" style="1186" customWidth="1"/>
    <col min="3605" max="3605" width="0" style="1186" hidden="1" customWidth="1"/>
    <col min="3606" max="3606" width="21" style="1186" customWidth="1"/>
    <col min="3607" max="3611" width="0" style="1186" hidden="1" customWidth="1"/>
    <col min="3612" max="3612" width="5" style="1186" customWidth="1"/>
    <col min="3613" max="3615" width="0" style="1186" hidden="1" customWidth="1"/>
    <col min="3616" max="3840" width="9.140625" style="1186"/>
    <col min="3841" max="3841" width="7.140625" style="1186" customWidth="1"/>
    <col min="3842" max="3842" width="49.5703125" style="1186" customWidth="1"/>
    <col min="3843" max="3843" width="17.42578125" style="1186" customWidth="1"/>
    <col min="3844" max="3844" width="11.28515625" style="1186" customWidth="1"/>
    <col min="3845" max="3845" width="18.5703125" style="1186" customWidth="1"/>
    <col min="3846" max="3846" width="16.5703125" style="1186" customWidth="1"/>
    <col min="3847" max="3851" width="0" style="1186" hidden="1" customWidth="1"/>
    <col min="3852" max="3852" width="18.5703125" style="1186" customWidth="1"/>
    <col min="3853" max="3855" width="0" style="1186" hidden="1" customWidth="1"/>
    <col min="3856" max="3856" width="19" style="1186" customWidth="1"/>
    <col min="3857" max="3859" width="0" style="1186" hidden="1" customWidth="1"/>
    <col min="3860" max="3860" width="18.28515625" style="1186" customWidth="1"/>
    <col min="3861" max="3861" width="0" style="1186" hidden="1" customWidth="1"/>
    <col min="3862" max="3862" width="21" style="1186" customWidth="1"/>
    <col min="3863" max="3867" width="0" style="1186" hidden="1" customWidth="1"/>
    <col min="3868" max="3868" width="5" style="1186" customWidth="1"/>
    <col min="3869" max="3871" width="0" style="1186" hidden="1" customWidth="1"/>
    <col min="3872" max="4096" width="9.140625" style="1186"/>
    <col min="4097" max="4097" width="7.140625" style="1186" customWidth="1"/>
    <col min="4098" max="4098" width="49.5703125" style="1186" customWidth="1"/>
    <col min="4099" max="4099" width="17.42578125" style="1186" customWidth="1"/>
    <col min="4100" max="4100" width="11.28515625" style="1186" customWidth="1"/>
    <col min="4101" max="4101" width="18.5703125" style="1186" customWidth="1"/>
    <col min="4102" max="4102" width="16.5703125" style="1186" customWidth="1"/>
    <col min="4103" max="4107" width="0" style="1186" hidden="1" customWidth="1"/>
    <col min="4108" max="4108" width="18.5703125" style="1186" customWidth="1"/>
    <col min="4109" max="4111" width="0" style="1186" hidden="1" customWidth="1"/>
    <col min="4112" max="4112" width="19" style="1186" customWidth="1"/>
    <col min="4113" max="4115" width="0" style="1186" hidden="1" customWidth="1"/>
    <col min="4116" max="4116" width="18.28515625" style="1186" customWidth="1"/>
    <col min="4117" max="4117" width="0" style="1186" hidden="1" customWidth="1"/>
    <col min="4118" max="4118" width="21" style="1186" customWidth="1"/>
    <col min="4119" max="4123" width="0" style="1186" hidden="1" customWidth="1"/>
    <col min="4124" max="4124" width="5" style="1186" customWidth="1"/>
    <col min="4125" max="4127" width="0" style="1186" hidden="1" customWidth="1"/>
    <col min="4128" max="4352" width="9.140625" style="1186"/>
    <col min="4353" max="4353" width="7.140625" style="1186" customWidth="1"/>
    <col min="4354" max="4354" width="49.5703125" style="1186" customWidth="1"/>
    <col min="4355" max="4355" width="17.42578125" style="1186" customWidth="1"/>
    <col min="4356" max="4356" width="11.28515625" style="1186" customWidth="1"/>
    <col min="4357" max="4357" width="18.5703125" style="1186" customWidth="1"/>
    <col min="4358" max="4358" width="16.5703125" style="1186" customWidth="1"/>
    <col min="4359" max="4363" width="0" style="1186" hidden="1" customWidth="1"/>
    <col min="4364" max="4364" width="18.5703125" style="1186" customWidth="1"/>
    <col min="4365" max="4367" width="0" style="1186" hidden="1" customWidth="1"/>
    <col min="4368" max="4368" width="19" style="1186" customWidth="1"/>
    <col min="4369" max="4371" width="0" style="1186" hidden="1" customWidth="1"/>
    <col min="4372" max="4372" width="18.28515625" style="1186" customWidth="1"/>
    <col min="4373" max="4373" width="0" style="1186" hidden="1" customWidth="1"/>
    <col min="4374" max="4374" width="21" style="1186" customWidth="1"/>
    <col min="4375" max="4379" width="0" style="1186" hidden="1" customWidth="1"/>
    <col min="4380" max="4380" width="5" style="1186" customWidth="1"/>
    <col min="4381" max="4383" width="0" style="1186" hidden="1" customWidth="1"/>
    <col min="4384" max="4608" width="9.140625" style="1186"/>
    <col min="4609" max="4609" width="7.140625" style="1186" customWidth="1"/>
    <col min="4610" max="4610" width="49.5703125" style="1186" customWidth="1"/>
    <col min="4611" max="4611" width="17.42578125" style="1186" customWidth="1"/>
    <col min="4612" max="4612" width="11.28515625" style="1186" customWidth="1"/>
    <col min="4613" max="4613" width="18.5703125" style="1186" customWidth="1"/>
    <col min="4614" max="4614" width="16.5703125" style="1186" customWidth="1"/>
    <col min="4615" max="4619" width="0" style="1186" hidden="1" customWidth="1"/>
    <col min="4620" max="4620" width="18.5703125" style="1186" customWidth="1"/>
    <col min="4621" max="4623" width="0" style="1186" hidden="1" customWidth="1"/>
    <col min="4624" max="4624" width="19" style="1186" customWidth="1"/>
    <col min="4625" max="4627" width="0" style="1186" hidden="1" customWidth="1"/>
    <col min="4628" max="4628" width="18.28515625" style="1186" customWidth="1"/>
    <col min="4629" max="4629" width="0" style="1186" hidden="1" customWidth="1"/>
    <col min="4630" max="4630" width="21" style="1186" customWidth="1"/>
    <col min="4631" max="4635" width="0" style="1186" hidden="1" customWidth="1"/>
    <col min="4636" max="4636" width="5" style="1186" customWidth="1"/>
    <col min="4637" max="4639" width="0" style="1186" hidden="1" customWidth="1"/>
    <col min="4640" max="4864" width="9.140625" style="1186"/>
    <col min="4865" max="4865" width="7.140625" style="1186" customWidth="1"/>
    <col min="4866" max="4866" width="49.5703125" style="1186" customWidth="1"/>
    <col min="4867" max="4867" width="17.42578125" style="1186" customWidth="1"/>
    <col min="4868" max="4868" width="11.28515625" style="1186" customWidth="1"/>
    <col min="4869" max="4869" width="18.5703125" style="1186" customWidth="1"/>
    <col min="4870" max="4870" width="16.5703125" style="1186" customWidth="1"/>
    <col min="4871" max="4875" width="0" style="1186" hidden="1" customWidth="1"/>
    <col min="4876" max="4876" width="18.5703125" style="1186" customWidth="1"/>
    <col min="4877" max="4879" width="0" style="1186" hidden="1" customWidth="1"/>
    <col min="4880" max="4880" width="19" style="1186" customWidth="1"/>
    <col min="4881" max="4883" width="0" style="1186" hidden="1" customWidth="1"/>
    <col min="4884" max="4884" width="18.28515625" style="1186" customWidth="1"/>
    <col min="4885" max="4885" width="0" style="1186" hidden="1" customWidth="1"/>
    <col min="4886" max="4886" width="21" style="1186" customWidth="1"/>
    <col min="4887" max="4891" width="0" style="1186" hidden="1" customWidth="1"/>
    <col min="4892" max="4892" width="5" style="1186" customWidth="1"/>
    <col min="4893" max="4895" width="0" style="1186" hidden="1" customWidth="1"/>
    <col min="4896" max="5120" width="9.140625" style="1186"/>
    <col min="5121" max="5121" width="7.140625" style="1186" customWidth="1"/>
    <col min="5122" max="5122" width="49.5703125" style="1186" customWidth="1"/>
    <col min="5123" max="5123" width="17.42578125" style="1186" customWidth="1"/>
    <col min="5124" max="5124" width="11.28515625" style="1186" customWidth="1"/>
    <col min="5125" max="5125" width="18.5703125" style="1186" customWidth="1"/>
    <col min="5126" max="5126" width="16.5703125" style="1186" customWidth="1"/>
    <col min="5127" max="5131" width="0" style="1186" hidden="1" customWidth="1"/>
    <col min="5132" max="5132" width="18.5703125" style="1186" customWidth="1"/>
    <col min="5133" max="5135" width="0" style="1186" hidden="1" customWidth="1"/>
    <col min="5136" max="5136" width="19" style="1186" customWidth="1"/>
    <col min="5137" max="5139" width="0" style="1186" hidden="1" customWidth="1"/>
    <col min="5140" max="5140" width="18.28515625" style="1186" customWidth="1"/>
    <col min="5141" max="5141" width="0" style="1186" hidden="1" customWidth="1"/>
    <col min="5142" max="5142" width="21" style="1186" customWidth="1"/>
    <col min="5143" max="5147" width="0" style="1186" hidden="1" customWidth="1"/>
    <col min="5148" max="5148" width="5" style="1186" customWidth="1"/>
    <col min="5149" max="5151" width="0" style="1186" hidden="1" customWidth="1"/>
    <col min="5152" max="5376" width="9.140625" style="1186"/>
    <col min="5377" max="5377" width="7.140625" style="1186" customWidth="1"/>
    <col min="5378" max="5378" width="49.5703125" style="1186" customWidth="1"/>
    <col min="5379" max="5379" width="17.42578125" style="1186" customWidth="1"/>
    <col min="5380" max="5380" width="11.28515625" style="1186" customWidth="1"/>
    <col min="5381" max="5381" width="18.5703125" style="1186" customWidth="1"/>
    <col min="5382" max="5382" width="16.5703125" style="1186" customWidth="1"/>
    <col min="5383" max="5387" width="0" style="1186" hidden="1" customWidth="1"/>
    <col min="5388" max="5388" width="18.5703125" style="1186" customWidth="1"/>
    <col min="5389" max="5391" width="0" style="1186" hidden="1" customWidth="1"/>
    <col min="5392" max="5392" width="19" style="1186" customWidth="1"/>
    <col min="5393" max="5395" width="0" style="1186" hidden="1" customWidth="1"/>
    <col min="5396" max="5396" width="18.28515625" style="1186" customWidth="1"/>
    <col min="5397" max="5397" width="0" style="1186" hidden="1" customWidth="1"/>
    <col min="5398" max="5398" width="21" style="1186" customWidth="1"/>
    <col min="5399" max="5403" width="0" style="1186" hidden="1" customWidth="1"/>
    <col min="5404" max="5404" width="5" style="1186" customWidth="1"/>
    <col min="5405" max="5407" width="0" style="1186" hidden="1" customWidth="1"/>
    <col min="5408" max="5632" width="9.140625" style="1186"/>
    <col min="5633" max="5633" width="7.140625" style="1186" customWidth="1"/>
    <col min="5634" max="5634" width="49.5703125" style="1186" customWidth="1"/>
    <col min="5635" max="5635" width="17.42578125" style="1186" customWidth="1"/>
    <col min="5636" max="5636" width="11.28515625" style="1186" customWidth="1"/>
    <col min="5637" max="5637" width="18.5703125" style="1186" customWidth="1"/>
    <col min="5638" max="5638" width="16.5703125" style="1186" customWidth="1"/>
    <col min="5639" max="5643" width="0" style="1186" hidden="1" customWidth="1"/>
    <col min="5644" max="5644" width="18.5703125" style="1186" customWidth="1"/>
    <col min="5645" max="5647" width="0" style="1186" hidden="1" customWidth="1"/>
    <col min="5648" max="5648" width="19" style="1186" customWidth="1"/>
    <col min="5649" max="5651" width="0" style="1186" hidden="1" customWidth="1"/>
    <col min="5652" max="5652" width="18.28515625" style="1186" customWidth="1"/>
    <col min="5653" max="5653" width="0" style="1186" hidden="1" customWidth="1"/>
    <col min="5654" max="5654" width="21" style="1186" customWidth="1"/>
    <col min="5655" max="5659" width="0" style="1186" hidden="1" customWidth="1"/>
    <col min="5660" max="5660" width="5" style="1186" customWidth="1"/>
    <col min="5661" max="5663" width="0" style="1186" hidden="1" customWidth="1"/>
    <col min="5664" max="5888" width="9.140625" style="1186"/>
    <col min="5889" max="5889" width="7.140625" style="1186" customWidth="1"/>
    <col min="5890" max="5890" width="49.5703125" style="1186" customWidth="1"/>
    <col min="5891" max="5891" width="17.42578125" style="1186" customWidth="1"/>
    <col min="5892" max="5892" width="11.28515625" style="1186" customWidth="1"/>
    <col min="5893" max="5893" width="18.5703125" style="1186" customWidth="1"/>
    <col min="5894" max="5894" width="16.5703125" style="1186" customWidth="1"/>
    <col min="5895" max="5899" width="0" style="1186" hidden="1" customWidth="1"/>
    <col min="5900" max="5900" width="18.5703125" style="1186" customWidth="1"/>
    <col min="5901" max="5903" width="0" style="1186" hidden="1" customWidth="1"/>
    <col min="5904" max="5904" width="19" style="1186" customWidth="1"/>
    <col min="5905" max="5907" width="0" style="1186" hidden="1" customWidth="1"/>
    <col min="5908" max="5908" width="18.28515625" style="1186" customWidth="1"/>
    <col min="5909" max="5909" width="0" style="1186" hidden="1" customWidth="1"/>
    <col min="5910" max="5910" width="21" style="1186" customWidth="1"/>
    <col min="5911" max="5915" width="0" style="1186" hidden="1" customWidth="1"/>
    <col min="5916" max="5916" width="5" style="1186" customWidth="1"/>
    <col min="5917" max="5919" width="0" style="1186" hidden="1" customWidth="1"/>
    <col min="5920" max="6144" width="9.140625" style="1186"/>
    <col min="6145" max="6145" width="7.140625" style="1186" customWidth="1"/>
    <col min="6146" max="6146" width="49.5703125" style="1186" customWidth="1"/>
    <col min="6147" max="6147" width="17.42578125" style="1186" customWidth="1"/>
    <col min="6148" max="6148" width="11.28515625" style="1186" customWidth="1"/>
    <col min="6149" max="6149" width="18.5703125" style="1186" customWidth="1"/>
    <col min="6150" max="6150" width="16.5703125" style="1186" customWidth="1"/>
    <col min="6151" max="6155" width="0" style="1186" hidden="1" customWidth="1"/>
    <col min="6156" max="6156" width="18.5703125" style="1186" customWidth="1"/>
    <col min="6157" max="6159" width="0" style="1186" hidden="1" customWidth="1"/>
    <col min="6160" max="6160" width="19" style="1186" customWidth="1"/>
    <col min="6161" max="6163" width="0" style="1186" hidden="1" customWidth="1"/>
    <col min="6164" max="6164" width="18.28515625" style="1186" customWidth="1"/>
    <col min="6165" max="6165" width="0" style="1186" hidden="1" customWidth="1"/>
    <col min="6166" max="6166" width="21" style="1186" customWidth="1"/>
    <col min="6167" max="6171" width="0" style="1186" hidden="1" customWidth="1"/>
    <col min="6172" max="6172" width="5" style="1186" customWidth="1"/>
    <col min="6173" max="6175" width="0" style="1186" hidden="1" customWidth="1"/>
    <col min="6176" max="6400" width="9.140625" style="1186"/>
    <col min="6401" max="6401" width="7.140625" style="1186" customWidth="1"/>
    <col min="6402" max="6402" width="49.5703125" style="1186" customWidth="1"/>
    <col min="6403" max="6403" width="17.42578125" style="1186" customWidth="1"/>
    <col min="6404" max="6404" width="11.28515625" style="1186" customWidth="1"/>
    <col min="6405" max="6405" width="18.5703125" style="1186" customWidth="1"/>
    <col min="6406" max="6406" width="16.5703125" style="1186" customWidth="1"/>
    <col min="6407" max="6411" width="0" style="1186" hidden="1" customWidth="1"/>
    <col min="6412" max="6412" width="18.5703125" style="1186" customWidth="1"/>
    <col min="6413" max="6415" width="0" style="1186" hidden="1" customWidth="1"/>
    <col min="6416" max="6416" width="19" style="1186" customWidth="1"/>
    <col min="6417" max="6419" width="0" style="1186" hidden="1" customWidth="1"/>
    <col min="6420" max="6420" width="18.28515625" style="1186" customWidth="1"/>
    <col min="6421" max="6421" width="0" style="1186" hidden="1" customWidth="1"/>
    <col min="6422" max="6422" width="21" style="1186" customWidth="1"/>
    <col min="6423" max="6427" width="0" style="1186" hidden="1" customWidth="1"/>
    <col min="6428" max="6428" width="5" style="1186" customWidth="1"/>
    <col min="6429" max="6431" width="0" style="1186" hidden="1" customWidth="1"/>
    <col min="6432" max="6656" width="9.140625" style="1186"/>
    <col min="6657" max="6657" width="7.140625" style="1186" customWidth="1"/>
    <col min="6658" max="6658" width="49.5703125" style="1186" customWidth="1"/>
    <col min="6659" max="6659" width="17.42578125" style="1186" customWidth="1"/>
    <col min="6660" max="6660" width="11.28515625" style="1186" customWidth="1"/>
    <col min="6661" max="6661" width="18.5703125" style="1186" customWidth="1"/>
    <col min="6662" max="6662" width="16.5703125" style="1186" customWidth="1"/>
    <col min="6663" max="6667" width="0" style="1186" hidden="1" customWidth="1"/>
    <col min="6668" max="6668" width="18.5703125" style="1186" customWidth="1"/>
    <col min="6669" max="6671" width="0" style="1186" hidden="1" customWidth="1"/>
    <col min="6672" max="6672" width="19" style="1186" customWidth="1"/>
    <col min="6673" max="6675" width="0" style="1186" hidden="1" customWidth="1"/>
    <col min="6676" max="6676" width="18.28515625" style="1186" customWidth="1"/>
    <col min="6677" max="6677" width="0" style="1186" hidden="1" customWidth="1"/>
    <col min="6678" max="6678" width="21" style="1186" customWidth="1"/>
    <col min="6679" max="6683" width="0" style="1186" hidden="1" customWidth="1"/>
    <col min="6684" max="6684" width="5" style="1186" customWidth="1"/>
    <col min="6685" max="6687" width="0" style="1186" hidden="1" customWidth="1"/>
    <col min="6688" max="6912" width="9.140625" style="1186"/>
    <col min="6913" max="6913" width="7.140625" style="1186" customWidth="1"/>
    <col min="6914" max="6914" width="49.5703125" style="1186" customWidth="1"/>
    <col min="6915" max="6915" width="17.42578125" style="1186" customWidth="1"/>
    <col min="6916" max="6916" width="11.28515625" style="1186" customWidth="1"/>
    <col min="6917" max="6917" width="18.5703125" style="1186" customWidth="1"/>
    <col min="6918" max="6918" width="16.5703125" style="1186" customWidth="1"/>
    <col min="6919" max="6923" width="0" style="1186" hidden="1" customWidth="1"/>
    <col min="6924" max="6924" width="18.5703125" style="1186" customWidth="1"/>
    <col min="6925" max="6927" width="0" style="1186" hidden="1" customWidth="1"/>
    <col min="6928" max="6928" width="19" style="1186" customWidth="1"/>
    <col min="6929" max="6931" width="0" style="1186" hidden="1" customWidth="1"/>
    <col min="6932" max="6932" width="18.28515625" style="1186" customWidth="1"/>
    <col min="6933" max="6933" width="0" style="1186" hidden="1" customWidth="1"/>
    <col min="6934" max="6934" width="21" style="1186" customWidth="1"/>
    <col min="6935" max="6939" width="0" style="1186" hidden="1" customWidth="1"/>
    <col min="6940" max="6940" width="5" style="1186" customWidth="1"/>
    <col min="6941" max="6943" width="0" style="1186" hidden="1" customWidth="1"/>
    <col min="6944" max="7168" width="9.140625" style="1186"/>
    <col min="7169" max="7169" width="7.140625" style="1186" customWidth="1"/>
    <col min="7170" max="7170" width="49.5703125" style="1186" customWidth="1"/>
    <col min="7171" max="7171" width="17.42578125" style="1186" customWidth="1"/>
    <col min="7172" max="7172" width="11.28515625" style="1186" customWidth="1"/>
    <col min="7173" max="7173" width="18.5703125" style="1186" customWidth="1"/>
    <col min="7174" max="7174" width="16.5703125" style="1186" customWidth="1"/>
    <col min="7175" max="7179" width="0" style="1186" hidden="1" customWidth="1"/>
    <col min="7180" max="7180" width="18.5703125" style="1186" customWidth="1"/>
    <col min="7181" max="7183" width="0" style="1186" hidden="1" customWidth="1"/>
    <col min="7184" max="7184" width="19" style="1186" customWidth="1"/>
    <col min="7185" max="7187" width="0" style="1186" hidden="1" customWidth="1"/>
    <col min="7188" max="7188" width="18.28515625" style="1186" customWidth="1"/>
    <col min="7189" max="7189" width="0" style="1186" hidden="1" customWidth="1"/>
    <col min="7190" max="7190" width="21" style="1186" customWidth="1"/>
    <col min="7191" max="7195" width="0" style="1186" hidden="1" customWidth="1"/>
    <col min="7196" max="7196" width="5" style="1186" customWidth="1"/>
    <col min="7197" max="7199" width="0" style="1186" hidden="1" customWidth="1"/>
    <col min="7200" max="7424" width="9.140625" style="1186"/>
    <col min="7425" max="7425" width="7.140625" style="1186" customWidth="1"/>
    <col min="7426" max="7426" width="49.5703125" style="1186" customWidth="1"/>
    <col min="7427" max="7427" width="17.42578125" style="1186" customWidth="1"/>
    <col min="7428" max="7428" width="11.28515625" style="1186" customWidth="1"/>
    <col min="7429" max="7429" width="18.5703125" style="1186" customWidth="1"/>
    <col min="7430" max="7430" width="16.5703125" style="1186" customWidth="1"/>
    <col min="7431" max="7435" width="0" style="1186" hidden="1" customWidth="1"/>
    <col min="7436" max="7436" width="18.5703125" style="1186" customWidth="1"/>
    <col min="7437" max="7439" width="0" style="1186" hidden="1" customWidth="1"/>
    <col min="7440" max="7440" width="19" style="1186" customWidth="1"/>
    <col min="7441" max="7443" width="0" style="1186" hidden="1" customWidth="1"/>
    <col min="7444" max="7444" width="18.28515625" style="1186" customWidth="1"/>
    <col min="7445" max="7445" width="0" style="1186" hidden="1" customWidth="1"/>
    <col min="7446" max="7446" width="21" style="1186" customWidth="1"/>
    <col min="7447" max="7451" width="0" style="1186" hidden="1" customWidth="1"/>
    <col min="7452" max="7452" width="5" style="1186" customWidth="1"/>
    <col min="7453" max="7455" width="0" style="1186" hidden="1" customWidth="1"/>
    <col min="7456" max="7680" width="9.140625" style="1186"/>
    <col min="7681" max="7681" width="7.140625" style="1186" customWidth="1"/>
    <col min="7682" max="7682" width="49.5703125" style="1186" customWidth="1"/>
    <col min="7683" max="7683" width="17.42578125" style="1186" customWidth="1"/>
    <col min="7684" max="7684" width="11.28515625" style="1186" customWidth="1"/>
    <col min="7685" max="7685" width="18.5703125" style="1186" customWidth="1"/>
    <col min="7686" max="7686" width="16.5703125" style="1186" customWidth="1"/>
    <col min="7687" max="7691" width="0" style="1186" hidden="1" customWidth="1"/>
    <col min="7692" max="7692" width="18.5703125" style="1186" customWidth="1"/>
    <col min="7693" max="7695" width="0" style="1186" hidden="1" customWidth="1"/>
    <col min="7696" max="7696" width="19" style="1186" customWidth="1"/>
    <col min="7697" max="7699" width="0" style="1186" hidden="1" customWidth="1"/>
    <col min="7700" max="7700" width="18.28515625" style="1186" customWidth="1"/>
    <col min="7701" max="7701" width="0" style="1186" hidden="1" customWidth="1"/>
    <col min="7702" max="7702" width="21" style="1186" customWidth="1"/>
    <col min="7703" max="7707" width="0" style="1186" hidden="1" customWidth="1"/>
    <col min="7708" max="7708" width="5" style="1186" customWidth="1"/>
    <col min="7709" max="7711" width="0" style="1186" hidden="1" customWidth="1"/>
    <col min="7712" max="7936" width="9.140625" style="1186"/>
    <col min="7937" max="7937" width="7.140625" style="1186" customWidth="1"/>
    <col min="7938" max="7938" width="49.5703125" style="1186" customWidth="1"/>
    <col min="7939" max="7939" width="17.42578125" style="1186" customWidth="1"/>
    <col min="7940" max="7940" width="11.28515625" style="1186" customWidth="1"/>
    <col min="7941" max="7941" width="18.5703125" style="1186" customWidth="1"/>
    <col min="7942" max="7942" width="16.5703125" style="1186" customWidth="1"/>
    <col min="7943" max="7947" width="0" style="1186" hidden="1" customWidth="1"/>
    <col min="7948" max="7948" width="18.5703125" style="1186" customWidth="1"/>
    <col min="7949" max="7951" width="0" style="1186" hidden="1" customWidth="1"/>
    <col min="7952" max="7952" width="19" style="1186" customWidth="1"/>
    <col min="7953" max="7955" width="0" style="1186" hidden="1" customWidth="1"/>
    <col min="7956" max="7956" width="18.28515625" style="1186" customWidth="1"/>
    <col min="7957" max="7957" width="0" style="1186" hidden="1" customWidth="1"/>
    <col min="7958" max="7958" width="21" style="1186" customWidth="1"/>
    <col min="7959" max="7963" width="0" style="1186" hidden="1" customWidth="1"/>
    <col min="7964" max="7964" width="5" style="1186" customWidth="1"/>
    <col min="7965" max="7967" width="0" style="1186" hidden="1" customWidth="1"/>
    <col min="7968" max="8192" width="9.140625" style="1186"/>
    <col min="8193" max="8193" width="7.140625" style="1186" customWidth="1"/>
    <col min="8194" max="8194" width="49.5703125" style="1186" customWidth="1"/>
    <col min="8195" max="8195" width="17.42578125" style="1186" customWidth="1"/>
    <col min="8196" max="8196" width="11.28515625" style="1186" customWidth="1"/>
    <col min="8197" max="8197" width="18.5703125" style="1186" customWidth="1"/>
    <col min="8198" max="8198" width="16.5703125" style="1186" customWidth="1"/>
    <col min="8199" max="8203" width="0" style="1186" hidden="1" customWidth="1"/>
    <col min="8204" max="8204" width="18.5703125" style="1186" customWidth="1"/>
    <col min="8205" max="8207" width="0" style="1186" hidden="1" customWidth="1"/>
    <col min="8208" max="8208" width="19" style="1186" customWidth="1"/>
    <col min="8209" max="8211" width="0" style="1186" hidden="1" customWidth="1"/>
    <col min="8212" max="8212" width="18.28515625" style="1186" customWidth="1"/>
    <col min="8213" max="8213" width="0" style="1186" hidden="1" customWidth="1"/>
    <col min="8214" max="8214" width="21" style="1186" customWidth="1"/>
    <col min="8215" max="8219" width="0" style="1186" hidden="1" customWidth="1"/>
    <col min="8220" max="8220" width="5" style="1186" customWidth="1"/>
    <col min="8221" max="8223" width="0" style="1186" hidden="1" customWidth="1"/>
    <col min="8224" max="8448" width="9.140625" style="1186"/>
    <col min="8449" max="8449" width="7.140625" style="1186" customWidth="1"/>
    <col min="8450" max="8450" width="49.5703125" style="1186" customWidth="1"/>
    <col min="8451" max="8451" width="17.42578125" style="1186" customWidth="1"/>
    <col min="8452" max="8452" width="11.28515625" style="1186" customWidth="1"/>
    <col min="8453" max="8453" width="18.5703125" style="1186" customWidth="1"/>
    <col min="8454" max="8454" width="16.5703125" style="1186" customWidth="1"/>
    <col min="8455" max="8459" width="0" style="1186" hidden="1" customWidth="1"/>
    <col min="8460" max="8460" width="18.5703125" style="1186" customWidth="1"/>
    <col min="8461" max="8463" width="0" style="1186" hidden="1" customWidth="1"/>
    <col min="8464" max="8464" width="19" style="1186" customWidth="1"/>
    <col min="8465" max="8467" width="0" style="1186" hidden="1" customWidth="1"/>
    <col min="8468" max="8468" width="18.28515625" style="1186" customWidth="1"/>
    <col min="8469" max="8469" width="0" style="1186" hidden="1" customWidth="1"/>
    <col min="8470" max="8470" width="21" style="1186" customWidth="1"/>
    <col min="8471" max="8475" width="0" style="1186" hidden="1" customWidth="1"/>
    <col min="8476" max="8476" width="5" style="1186" customWidth="1"/>
    <col min="8477" max="8479" width="0" style="1186" hidden="1" customWidth="1"/>
    <col min="8480" max="8704" width="9.140625" style="1186"/>
    <col min="8705" max="8705" width="7.140625" style="1186" customWidth="1"/>
    <col min="8706" max="8706" width="49.5703125" style="1186" customWidth="1"/>
    <col min="8707" max="8707" width="17.42578125" style="1186" customWidth="1"/>
    <col min="8708" max="8708" width="11.28515625" style="1186" customWidth="1"/>
    <col min="8709" max="8709" width="18.5703125" style="1186" customWidth="1"/>
    <col min="8710" max="8710" width="16.5703125" style="1186" customWidth="1"/>
    <col min="8711" max="8715" width="0" style="1186" hidden="1" customWidth="1"/>
    <col min="8716" max="8716" width="18.5703125" style="1186" customWidth="1"/>
    <col min="8717" max="8719" width="0" style="1186" hidden="1" customWidth="1"/>
    <col min="8720" max="8720" width="19" style="1186" customWidth="1"/>
    <col min="8721" max="8723" width="0" style="1186" hidden="1" customWidth="1"/>
    <col min="8724" max="8724" width="18.28515625" style="1186" customWidth="1"/>
    <col min="8725" max="8725" width="0" style="1186" hidden="1" customWidth="1"/>
    <col min="8726" max="8726" width="21" style="1186" customWidth="1"/>
    <col min="8727" max="8731" width="0" style="1186" hidden="1" customWidth="1"/>
    <col min="8732" max="8732" width="5" style="1186" customWidth="1"/>
    <col min="8733" max="8735" width="0" style="1186" hidden="1" customWidth="1"/>
    <col min="8736" max="8960" width="9.140625" style="1186"/>
    <col min="8961" max="8961" width="7.140625" style="1186" customWidth="1"/>
    <col min="8962" max="8962" width="49.5703125" style="1186" customWidth="1"/>
    <col min="8963" max="8963" width="17.42578125" style="1186" customWidth="1"/>
    <col min="8964" max="8964" width="11.28515625" style="1186" customWidth="1"/>
    <col min="8965" max="8965" width="18.5703125" style="1186" customWidth="1"/>
    <col min="8966" max="8966" width="16.5703125" style="1186" customWidth="1"/>
    <col min="8967" max="8971" width="0" style="1186" hidden="1" customWidth="1"/>
    <col min="8972" max="8972" width="18.5703125" style="1186" customWidth="1"/>
    <col min="8973" max="8975" width="0" style="1186" hidden="1" customWidth="1"/>
    <col min="8976" max="8976" width="19" style="1186" customWidth="1"/>
    <col min="8977" max="8979" width="0" style="1186" hidden="1" customWidth="1"/>
    <col min="8980" max="8980" width="18.28515625" style="1186" customWidth="1"/>
    <col min="8981" max="8981" width="0" style="1186" hidden="1" customWidth="1"/>
    <col min="8982" max="8982" width="21" style="1186" customWidth="1"/>
    <col min="8983" max="8987" width="0" style="1186" hidden="1" customWidth="1"/>
    <col min="8988" max="8988" width="5" style="1186" customWidth="1"/>
    <col min="8989" max="8991" width="0" style="1186" hidden="1" customWidth="1"/>
    <col min="8992" max="9216" width="9.140625" style="1186"/>
    <col min="9217" max="9217" width="7.140625" style="1186" customWidth="1"/>
    <col min="9218" max="9218" width="49.5703125" style="1186" customWidth="1"/>
    <col min="9219" max="9219" width="17.42578125" style="1186" customWidth="1"/>
    <col min="9220" max="9220" width="11.28515625" style="1186" customWidth="1"/>
    <col min="9221" max="9221" width="18.5703125" style="1186" customWidth="1"/>
    <col min="9222" max="9222" width="16.5703125" style="1186" customWidth="1"/>
    <col min="9223" max="9227" width="0" style="1186" hidden="1" customWidth="1"/>
    <col min="9228" max="9228" width="18.5703125" style="1186" customWidth="1"/>
    <col min="9229" max="9231" width="0" style="1186" hidden="1" customWidth="1"/>
    <col min="9232" max="9232" width="19" style="1186" customWidth="1"/>
    <col min="9233" max="9235" width="0" style="1186" hidden="1" customWidth="1"/>
    <col min="9236" max="9236" width="18.28515625" style="1186" customWidth="1"/>
    <col min="9237" max="9237" width="0" style="1186" hidden="1" customWidth="1"/>
    <col min="9238" max="9238" width="21" style="1186" customWidth="1"/>
    <col min="9239" max="9243" width="0" style="1186" hidden="1" customWidth="1"/>
    <col min="9244" max="9244" width="5" style="1186" customWidth="1"/>
    <col min="9245" max="9247" width="0" style="1186" hidden="1" customWidth="1"/>
    <col min="9248" max="9472" width="9.140625" style="1186"/>
    <col min="9473" max="9473" width="7.140625" style="1186" customWidth="1"/>
    <col min="9474" max="9474" width="49.5703125" style="1186" customWidth="1"/>
    <col min="9475" max="9475" width="17.42578125" style="1186" customWidth="1"/>
    <col min="9476" max="9476" width="11.28515625" style="1186" customWidth="1"/>
    <col min="9477" max="9477" width="18.5703125" style="1186" customWidth="1"/>
    <col min="9478" max="9478" width="16.5703125" style="1186" customWidth="1"/>
    <col min="9479" max="9483" width="0" style="1186" hidden="1" customWidth="1"/>
    <col min="9484" max="9484" width="18.5703125" style="1186" customWidth="1"/>
    <col min="9485" max="9487" width="0" style="1186" hidden="1" customWidth="1"/>
    <col min="9488" max="9488" width="19" style="1186" customWidth="1"/>
    <col min="9489" max="9491" width="0" style="1186" hidden="1" customWidth="1"/>
    <col min="9492" max="9492" width="18.28515625" style="1186" customWidth="1"/>
    <col min="9493" max="9493" width="0" style="1186" hidden="1" customWidth="1"/>
    <col min="9494" max="9494" width="21" style="1186" customWidth="1"/>
    <col min="9495" max="9499" width="0" style="1186" hidden="1" customWidth="1"/>
    <col min="9500" max="9500" width="5" style="1186" customWidth="1"/>
    <col min="9501" max="9503" width="0" style="1186" hidden="1" customWidth="1"/>
    <col min="9504" max="9728" width="9.140625" style="1186"/>
    <col min="9729" max="9729" width="7.140625" style="1186" customWidth="1"/>
    <col min="9730" max="9730" width="49.5703125" style="1186" customWidth="1"/>
    <col min="9731" max="9731" width="17.42578125" style="1186" customWidth="1"/>
    <col min="9732" max="9732" width="11.28515625" style="1186" customWidth="1"/>
    <col min="9733" max="9733" width="18.5703125" style="1186" customWidth="1"/>
    <col min="9734" max="9734" width="16.5703125" style="1186" customWidth="1"/>
    <col min="9735" max="9739" width="0" style="1186" hidden="1" customWidth="1"/>
    <col min="9740" max="9740" width="18.5703125" style="1186" customWidth="1"/>
    <col min="9741" max="9743" width="0" style="1186" hidden="1" customWidth="1"/>
    <col min="9744" max="9744" width="19" style="1186" customWidth="1"/>
    <col min="9745" max="9747" width="0" style="1186" hidden="1" customWidth="1"/>
    <col min="9748" max="9748" width="18.28515625" style="1186" customWidth="1"/>
    <col min="9749" max="9749" width="0" style="1186" hidden="1" customWidth="1"/>
    <col min="9750" max="9750" width="21" style="1186" customWidth="1"/>
    <col min="9751" max="9755" width="0" style="1186" hidden="1" customWidth="1"/>
    <col min="9756" max="9756" width="5" style="1186" customWidth="1"/>
    <col min="9757" max="9759" width="0" style="1186" hidden="1" customWidth="1"/>
    <col min="9760" max="9984" width="9.140625" style="1186"/>
    <col min="9985" max="9985" width="7.140625" style="1186" customWidth="1"/>
    <col min="9986" max="9986" width="49.5703125" style="1186" customWidth="1"/>
    <col min="9987" max="9987" width="17.42578125" style="1186" customWidth="1"/>
    <col min="9988" max="9988" width="11.28515625" style="1186" customWidth="1"/>
    <col min="9989" max="9989" width="18.5703125" style="1186" customWidth="1"/>
    <col min="9990" max="9990" width="16.5703125" style="1186" customWidth="1"/>
    <col min="9991" max="9995" width="0" style="1186" hidden="1" customWidth="1"/>
    <col min="9996" max="9996" width="18.5703125" style="1186" customWidth="1"/>
    <col min="9997" max="9999" width="0" style="1186" hidden="1" customWidth="1"/>
    <col min="10000" max="10000" width="19" style="1186" customWidth="1"/>
    <col min="10001" max="10003" width="0" style="1186" hidden="1" customWidth="1"/>
    <col min="10004" max="10004" width="18.28515625" style="1186" customWidth="1"/>
    <col min="10005" max="10005" width="0" style="1186" hidden="1" customWidth="1"/>
    <col min="10006" max="10006" width="21" style="1186" customWidth="1"/>
    <col min="10007" max="10011" width="0" style="1186" hidden="1" customWidth="1"/>
    <col min="10012" max="10012" width="5" style="1186" customWidth="1"/>
    <col min="10013" max="10015" width="0" style="1186" hidden="1" customWidth="1"/>
    <col min="10016" max="10240" width="9.140625" style="1186"/>
    <col min="10241" max="10241" width="7.140625" style="1186" customWidth="1"/>
    <col min="10242" max="10242" width="49.5703125" style="1186" customWidth="1"/>
    <col min="10243" max="10243" width="17.42578125" style="1186" customWidth="1"/>
    <col min="10244" max="10244" width="11.28515625" style="1186" customWidth="1"/>
    <col min="10245" max="10245" width="18.5703125" style="1186" customWidth="1"/>
    <col min="10246" max="10246" width="16.5703125" style="1186" customWidth="1"/>
    <col min="10247" max="10251" width="0" style="1186" hidden="1" customWidth="1"/>
    <col min="10252" max="10252" width="18.5703125" style="1186" customWidth="1"/>
    <col min="10253" max="10255" width="0" style="1186" hidden="1" customWidth="1"/>
    <col min="10256" max="10256" width="19" style="1186" customWidth="1"/>
    <col min="10257" max="10259" width="0" style="1186" hidden="1" customWidth="1"/>
    <col min="10260" max="10260" width="18.28515625" style="1186" customWidth="1"/>
    <col min="10261" max="10261" width="0" style="1186" hidden="1" customWidth="1"/>
    <col min="10262" max="10262" width="21" style="1186" customWidth="1"/>
    <col min="10263" max="10267" width="0" style="1186" hidden="1" customWidth="1"/>
    <col min="10268" max="10268" width="5" style="1186" customWidth="1"/>
    <col min="10269" max="10271" width="0" style="1186" hidden="1" customWidth="1"/>
    <col min="10272" max="10496" width="9.140625" style="1186"/>
    <col min="10497" max="10497" width="7.140625" style="1186" customWidth="1"/>
    <col min="10498" max="10498" width="49.5703125" style="1186" customWidth="1"/>
    <col min="10499" max="10499" width="17.42578125" style="1186" customWidth="1"/>
    <col min="10500" max="10500" width="11.28515625" style="1186" customWidth="1"/>
    <col min="10501" max="10501" width="18.5703125" style="1186" customWidth="1"/>
    <col min="10502" max="10502" width="16.5703125" style="1186" customWidth="1"/>
    <col min="10503" max="10507" width="0" style="1186" hidden="1" customWidth="1"/>
    <col min="10508" max="10508" width="18.5703125" style="1186" customWidth="1"/>
    <col min="10509" max="10511" width="0" style="1186" hidden="1" customWidth="1"/>
    <col min="10512" max="10512" width="19" style="1186" customWidth="1"/>
    <col min="10513" max="10515" width="0" style="1186" hidden="1" customWidth="1"/>
    <col min="10516" max="10516" width="18.28515625" style="1186" customWidth="1"/>
    <col min="10517" max="10517" width="0" style="1186" hidden="1" customWidth="1"/>
    <col min="10518" max="10518" width="21" style="1186" customWidth="1"/>
    <col min="10519" max="10523" width="0" style="1186" hidden="1" customWidth="1"/>
    <col min="10524" max="10524" width="5" style="1186" customWidth="1"/>
    <col min="10525" max="10527" width="0" style="1186" hidden="1" customWidth="1"/>
    <col min="10528" max="10752" width="9.140625" style="1186"/>
    <col min="10753" max="10753" width="7.140625" style="1186" customWidth="1"/>
    <col min="10754" max="10754" width="49.5703125" style="1186" customWidth="1"/>
    <col min="10755" max="10755" width="17.42578125" style="1186" customWidth="1"/>
    <col min="10756" max="10756" width="11.28515625" style="1186" customWidth="1"/>
    <col min="10757" max="10757" width="18.5703125" style="1186" customWidth="1"/>
    <col min="10758" max="10758" width="16.5703125" style="1186" customWidth="1"/>
    <col min="10759" max="10763" width="0" style="1186" hidden="1" customWidth="1"/>
    <col min="10764" max="10764" width="18.5703125" style="1186" customWidth="1"/>
    <col min="10765" max="10767" width="0" style="1186" hidden="1" customWidth="1"/>
    <col min="10768" max="10768" width="19" style="1186" customWidth="1"/>
    <col min="10769" max="10771" width="0" style="1186" hidden="1" customWidth="1"/>
    <col min="10772" max="10772" width="18.28515625" style="1186" customWidth="1"/>
    <col min="10773" max="10773" width="0" style="1186" hidden="1" customWidth="1"/>
    <col min="10774" max="10774" width="21" style="1186" customWidth="1"/>
    <col min="10775" max="10779" width="0" style="1186" hidden="1" customWidth="1"/>
    <col min="10780" max="10780" width="5" style="1186" customWidth="1"/>
    <col min="10781" max="10783" width="0" style="1186" hidden="1" customWidth="1"/>
    <col min="10784" max="11008" width="9.140625" style="1186"/>
    <col min="11009" max="11009" width="7.140625" style="1186" customWidth="1"/>
    <col min="11010" max="11010" width="49.5703125" style="1186" customWidth="1"/>
    <col min="11011" max="11011" width="17.42578125" style="1186" customWidth="1"/>
    <col min="11012" max="11012" width="11.28515625" style="1186" customWidth="1"/>
    <col min="11013" max="11013" width="18.5703125" style="1186" customWidth="1"/>
    <col min="11014" max="11014" width="16.5703125" style="1186" customWidth="1"/>
    <col min="11015" max="11019" width="0" style="1186" hidden="1" customWidth="1"/>
    <col min="11020" max="11020" width="18.5703125" style="1186" customWidth="1"/>
    <col min="11021" max="11023" width="0" style="1186" hidden="1" customWidth="1"/>
    <col min="11024" max="11024" width="19" style="1186" customWidth="1"/>
    <col min="11025" max="11027" width="0" style="1186" hidden="1" customWidth="1"/>
    <col min="11028" max="11028" width="18.28515625" style="1186" customWidth="1"/>
    <col min="11029" max="11029" width="0" style="1186" hidden="1" customWidth="1"/>
    <col min="11030" max="11030" width="21" style="1186" customWidth="1"/>
    <col min="11031" max="11035" width="0" style="1186" hidden="1" customWidth="1"/>
    <col min="11036" max="11036" width="5" style="1186" customWidth="1"/>
    <col min="11037" max="11039" width="0" style="1186" hidden="1" customWidth="1"/>
    <col min="11040" max="11264" width="9.140625" style="1186"/>
    <col min="11265" max="11265" width="7.140625" style="1186" customWidth="1"/>
    <col min="11266" max="11266" width="49.5703125" style="1186" customWidth="1"/>
    <col min="11267" max="11267" width="17.42578125" style="1186" customWidth="1"/>
    <col min="11268" max="11268" width="11.28515625" style="1186" customWidth="1"/>
    <col min="11269" max="11269" width="18.5703125" style="1186" customWidth="1"/>
    <col min="11270" max="11270" width="16.5703125" style="1186" customWidth="1"/>
    <col min="11271" max="11275" width="0" style="1186" hidden="1" customWidth="1"/>
    <col min="11276" max="11276" width="18.5703125" style="1186" customWidth="1"/>
    <col min="11277" max="11279" width="0" style="1186" hidden="1" customWidth="1"/>
    <col min="11280" max="11280" width="19" style="1186" customWidth="1"/>
    <col min="11281" max="11283" width="0" style="1186" hidden="1" customWidth="1"/>
    <col min="11284" max="11284" width="18.28515625" style="1186" customWidth="1"/>
    <col min="11285" max="11285" width="0" style="1186" hidden="1" customWidth="1"/>
    <col min="11286" max="11286" width="21" style="1186" customWidth="1"/>
    <col min="11287" max="11291" width="0" style="1186" hidden="1" customWidth="1"/>
    <col min="11292" max="11292" width="5" style="1186" customWidth="1"/>
    <col min="11293" max="11295" width="0" style="1186" hidden="1" customWidth="1"/>
    <col min="11296" max="11520" width="9.140625" style="1186"/>
    <col min="11521" max="11521" width="7.140625" style="1186" customWidth="1"/>
    <col min="11522" max="11522" width="49.5703125" style="1186" customWidth="1"/>
    <col min="11523" max="11523" width="17.42578125" style="1186" customWidth="1"/>
    <col min="11524" max="11524" width="11.28515625" style="1186" customWidth="1"/>
    <col min="11525" max="11525" width="18.5703125" style="1186" customWidth="1"/>
    <col min="11526" max="11526" width="16.5703125" style="1186" customWidth="1"/>
    <col min="11527" max="11531" width="0" style="1186" hidden="1" customWidth="1"/>
    <col min="11532" max="11532" width="18.5703125" style="1186" customWidth="1"/>
    <col min="11533" max="11535" width="0" style="1186" hidden="1" customWidth="1"/>
    <col min="11536" max="11536" width="19" style="1186" customWidth="1"/>
    <col min="11537" max="11539" width="0" style="1186" hidden="1" customWidth="1"/>
    <col min="11540" max="11540" width="18.28515625" style="1186" customWidth="1"/>
    <col min="11541" max="11541" width="0" style="1186" hidden="1" customWidth="1"/>
    <col min="11542" max="11542" width="21" style="1186" customWidth="1"/>
    <col min="11543" max="11547" width="0" style="1186" hidden="1" customWidth="1"/>
    <col min="11548" max="11548" width="5" style="1186" customWidth="1"/>
    <col min="11549" max="11551" width="0" style="1186" hidden="1" customWidth="1"/>
    <col min="11552" max="11776" width="9.140625" style="1186"/>
    <col min="11777" max="11777" width="7.140625" style="1186" customWidth="1"/>
    <col min="11778" max="11778" width="49.5703125" style="1186" customWidth="1"/>
    <col min="11779" max="11779" width="17.42578125" style="1186" customWidth="1"/>
    <col min="11780" max="11780" width="11.28515625" style="1186" customWidth="1"/>
    <col min="11781" max="11781" width="18.5703125" style="1186" customWidth="1"/>
    <col min="11782" max="11782" width="16.5703125" style="1186" customWidth="1"/>
    <col min="11783" max="11787" width="0" style="1186" hidden="1" customWidth="1"/>
    <col min="11788" max="11788" width="18.5703125" style="1186" customWidth="1"/>
    <col min="11789" max="11791" width="0" style="1186" hidden="1" customWidth="1"/>
    <col min="11792" max="11792" width="19" style="1186" customWidth="1"/>
    <col min="11793" max="11795" width="0" style="1186" hidden="1" customWidth="1"/>
    <col min="11796" max="11796" width="18.28515625" style="1186" customWidth="1"/>
    <col min="11797" max="11797" width="0" style="1186" hidden="1" customWidth="1"/>
    <col min="11798" max="11798" width="21" style="1186" customWidth="1"/>
    <col min="11799" max="11803" width="0" style="1186" hidden="1" customWidth="1"/>
    <col min="11804" max="11804" width="5" style="1186" customWidth="1"/>
    <col min="11805" max="11807" width="0" style="1186" hidden="1" customWidth="1"/>
    <col min="11808" max="12032" width="9.140625" style="1186"/>
    <col min="12033" max="12033" width="7.140625" style="1186" customWidth="1"/>
    <col min="12034" max="12034" width="49.5703125" style="1186" customWidth="1"/>
    <col min="12035" max="12035" width="17.42578125" style="1186" customWidth="1"/>
    <col min="12036" max="12036" width="11.28515625" style="1186" customWidth="1"/>
    <col min="12037" max="12037" width="18.5703125" style="1186" customWidth="1"/>
    <col min="12038" max="12038" width="16.5703125" style="1186" customWidth="1"/>
    <col min="12039" max="12043" width="0" style="1186" hidden="1" customWidth="1"/>
    <col min="12044" max="12044" width="18.5703125" style="1186" customWidth="1"/>
    <col min="12045" max="12047" width="0" style="1186" hidden="1" customWidth="1"/>
    <col min="12048" max="12048" width="19" style="1186" customWidth="1"/>
    <col min="12049" max="12051" width="0" style="1186" hidden="1" customWidth="1"/>
    <col min="12052" max="12052" width="18.28515625" style="1186" customWidth="1"/>
    <col min="12053" max="12053" width="0" style="1186" hidden="1" customWidth="1"/>
    <col min="12054" max="12054" width="21" style="1186" customWidth="1"/>
    <col min="12055" max="12059" width="0" style="1186" hidden="1" customWidth="1"/>
    <col min="12060" max="12060" width="5" style="1186" customWidth="1"/>
    <col min="12061" max="12063" width="0" style="1186" hidden="1" customWidth="1"/>
    <col min="12064" max="12288" width="9.140625" style="1186"/>
    <col min="12289" max="12289" width="7.140625" style="1186" customWidth="1"/>
    <col min="12290" max="12290" width="49.5703125" style="1186" customWidth="1"/>
    <col min="12291" max="12291" width="17.42578125" style="1186" customWidth="1"/>
    <col min="12292" max="12292" width="11.28515625" style="1186" customWidth="1"/>
    <col min="12293" max="12293" width="18.5703125" style="1186" customWidth="1"/>
    <col min="12294" max="12294" width="16.5703125" style="1186" customWidth="1"/>
    <col min="12295" max="12299" width="0" style="1186" hidden="1" customWidth="1"/>
    <col min="12300" max="12300" width="18.5703125" style="1186" customWidth="1"/>
    <col min="12301" max="12303" width="0" style="1186" hidden="1" customWidth="1"/>
    <col min="12304" max="12304" width="19" style="1186" customWidth="1"/>
    <col min="12305" max="12307" width="0" style="1186" hidden="1" customWidth="1"/>
    <col min="12308" max="12308" width="18.28515625" style="1186" customWidth="1"/>
    <col min="12309" max="12309" width="0" style="1186" hidden="1" customWidth="1"/>
    <col min="12310" max="12310" width="21" style="1186" customWidth="1"/>
    <col min="12311" max="12315" width="0" style="1186" hidden="1" customWidth="1"/>
    <col min="12316" max="12316" width="5" style="1186" customWidth="1"/>
    <col min="12317" max="12319" width="0" style="1186" hidden="1" customWidth="1"/>
    <col min="12320" max="12544" width="9.140625" style="1186"/>
    <col min="12545" max="12545" width="7.140625" style="1186" customWidth="1"/>
    <col min="12546" max="12546" width="49.5703125" style="1186" customWidth="1"/>
    <col min="12547" max="12547" width="17.42578125" style="1186" customWidth="1"/>
    <col min="12548" max="12548" width="11.28515625" style="1186" customWidth="1"/>
    <col min="12549" max="12549" width="18.5703125" style="1186" customWidth="1"/>
    <col min="12550" max="12550" width="16.5703125" style="1186" customWidth="1"/>
    <col min="12551" max="12555" width="0" style="1186" hidden="1" customWidth="1"/>
    <col min="12556" max="12556" width="18.5703125" style="1186" customWidth="1"/>
    <col min="12557" max="12559" width="0" style="1186" hidden="1" customWidth="1"/>
    <col min="12560" max="12560" width="19" style="1186" customWidth="1"/>
    <col min="12561" max="12563" width="0" style="1186" hidden="1" customWidth="1"/>
    <col min="12564" max="12564" width="18.28515625" style="1186" customWidth="1"/>
    <col min="12565" max="12565" width="0" style="1186" hidden="1" customWidth="1"/>
    <col min="12566" max="12566" width="21" style="1186" customWidth="1"/>
    <col min="12567" max="12571" width="0" style="1186" hidden="1" customWidth="1"/>
    <col min="12572" max="12572" width="5" style="1186" customWidth="1"/>
    <col min="12573" max="12575" width="0" style="1186" hidden="1" customWidth="1"/>
    <col min="12576" max="12800" width="9.140625" style="1186"/>
    <col min="12801" max="12801" width="7.140625" style="1186" customWidth="1"/>
    <col min="12802" max="12802" width="49.5703125" style="1186" customWidth="1"/>
    <col min="12803" max="12803" width="17.42578125" style="1186" customWidth="1"/>
    <col min="12804" max="12804" width="11.28515625" style="1186" customWidth="1"/>
    <col min="12805" max="12805" width="18.5703125" style="1186" customWidth="1"/>
    <col min="12806" max="12806" width="16.5703125" style="1186" customWidth="1"/>
    <col min="12807" max="12811" width="0" style="1186" hidden="1" customWidth="1"/>
    <col min="12812" max="12812" width="18.5703125" style="1186" customWidth="1"/>
    <col min="12813" max="12815" width="0" style="1186" hidden="1" customWidth="1"/>
    <col min="12816" max="12816" width="19" style="1186" customWidth="1"/>
    <col min="12817" max="12819" width="0" style="1186" hidden="1" customWidth="1"/>
    <col min="12820" max="12820" width="18.28515625" style="1186" customWidth="1"/>
    <col min="12821" max="12821" width="0" style="1186" hidden="1" customWidth="1"/>
    <col min="12822" max="12822" width="21" style="1186" customWidth="1"/>
    <col min="12823" max="12827" width="0" style="1186" hidden="1" customWidth="1"/>
    <col min="12828" max="12828" width="5" style="1186" customWidth="1"/>
    <col min="12829" max="12831" width="0" style="1186" hidden="1" customWidth="1"/>
    <col min="12832" max="13056" width="9.140625" style="1186"/>
    <col min="13057" max="13057" width="7.140625" style="1186" customWidth="1"/>
    <col min="13058" max="13058" width="49.5703125" style="1186" customWidth="1"/>
    <col min="13059" max="13059" width="17.42578125" style="1186" customWidth="1"/>
    <col min="13060" max="13060" width="11.28515625" style="1186" customWidth="1"/>
    <col min="13061" max="13061" width="18.5703125" style="1186" customWidth="1"/>
    <col min="13062" max="13062" width="16.5703125" style="1186" customWidth="1"/>
    <col min="13063" max="13067" width="0" style="1186" hidden="1" customWidth="1"/>
    <col min="13068" max="13068" width="18.5703125" style="1186" customWidth="1"/>
    <col min="13069" max="13071" width="0" style="1186" hidden="1" customWidth="1"/>
    <col min="13072" max="13072" width="19" style="1186" customWidth="1"/>
    <col min="13073" max="13075" width="0" style="1186" hidden="1" customWidth="1"/>
    <col min="13076" max="13076" width="18.28515625" style="1186" customWidth="1"/>
    <col min="13077" max="13077" width="0" style="1186" hidden="1" customWidth="1"/>
    <col min="13078" max="13078" width="21" style="1186" customWidth="1"/>
    <col min="13079" max="13083" width="0" style="1186" hidden="1" customWidth="1"/>
    <col min="13084" max="13084" width="5" style="1186" customWidth="1"/>
    <col min="13085" max="13087" width="0" style="1186" hidden="1" customWidth="1"/>
    <col min="13088" max="13312" width="9.140625" style="1186"/>
    <col min="13313" max="13313" width="7.140625" style="1186" customWidth="1"/>
    <col min="13314" max="13314" width="49.5703125" style="1186" customWidth="1"/>
    <col min="13315" max="13315" width="17.42578125" style="1186" customWidth="1"/>
    <col min="13316" max="13316" width="11.28515625" style="1186" customWidth="1"/>
    <col min="13317" max="13317" width="18.5703125" style="1186" customWidth="1"/>
    <col min="13318" max="13318" width="16.5703125" style="1186" customWidth="1"/>
    <col min="13319" max="13323" width="0" style="1186" hidden="1" customWidth="1"/>
    <col min="13324" max="13324" width="18.5703125" style="1186" customWidth="1"/>
    <col min="13325" max="13327" width="0" style="1186" hidden="1" customWidth="1"/>
    <col min="13328" max="13328" width="19" style="1186" customWidth="1"/>
    <col min="13329" max="13331" width="0" style="1186" hidden="1" customWidth="1"/>
    <col min="13332" max="13332" width="18.28515625" style="1186" customWidth="1"/>
    <col min="13333" max="13333" width="0" style="1186" hidden="1" customWidth="1"/>
    <col min="13334" max="13334" width="21" style="1186" customWidth="1"/>
    <col min="13335" max="13339" width="0" style="1186" hidden="1" customWidth="1"/>
    <col min="13340" max="13340" width="5" style="1186" customWidth="1"/>
    <col min="13341" max="13343" width="0" style="1186" hidden="1" customWidth="1"/>
    <col min="13344" max="13568" width="9.140625" style="1186"/>
    <col min="13569" max="13569" width="7.140625" style="1186" customWidth="1"/>
    <col min="13570" max="13570" width="49.5703125" style="1186" customWidth="1"/>
    <col min="13571" max="13571" width="17.42578125" style="1186" customWidth="1"/>
    <col min="13572" max="13572" width="11.28515625" style="1186" customWidth="1"/>
    <col min="13573" max="13573" width="18.5703125" style="1186" customWidth="1"/>
    <col min="13574" max="13574" width="16.5703125" style="1186" customWidth="1"/>
    <col min="13575" max="13579" width="0" style="1186" hidden="1" customWidth="1"/>
    <col min="13580" max="13580" width="18.5703125" style="1186" customWidth="1"/>
    <col min="13581" max="13583" width="0" style="1186" hidden="1" customWidth="1"/>
    <col min="13584" max="13584" width="19" style="1186" customWidth="1"/>
    <col min="13585" max="13587" width="0" style="1186" hidden="1" customWidth="1"/>
    <col min="13588" max="13588" width="18.28515625" style="1186" customWidth="1"/>
    <col min="13589" max="13589" width="0" style="1186" hidden="1" customWidth="1"/>
    <col min="13590" max="13590" width="21" style="1186" customWidth="1"/>
    <col min="13591" max="13595" width="0" style="1186" hidden="1" customWidth="1"/>
    <col min="13596" max="13596" width="5" style="1186" customWidth="1"/>
    <col min="13597" max="13599" width="0" style="1186" hidden="1" customWidth="1"/>
    <col min="13600" max="13824" width="9.140625" style="1186"/>
    <col min="13825" max="13825" width="7.140625" style="1186" customWidth="1"/>
    <col min="13826" max="13826" width="49.5703125" style="1186" customWidth="1"/>
    <col min="13827" max="13827" width="17.42578125" style="1186" customWidth="1"/>
    <col min="13828" max="13828" width="11.28515625" style="1186" customWidth="1"/>
    <col min="13829" max="13829" width="18.5703125" style="1186" customWidth="1"/>
    <col min="13830" max="13830" width="16.5703125" style="1186" customWidth="1"/>
    <col min="13831" max="13835" width="0" style="1186" hidden="1" customWidth="1"/>
    <col min="13836" max="13836" width="18.5703125" style="1186" customWidth="1"/>
    <col min="13837" max="13839" width="0" style="1186" hidden="1" customWidth="1"/>
    <col min="13840" max="13840" width="19" style="1186" customWidth="1"/>
    <col min="13841" max="13843" width="0" style="1186" hidden="1" customWidth="1"/>
    <col min="13844" max="13844" width="18.28515625" style="1186" customWidth="1"/>
    <col min="13845" max="13845" width="0" style="1186" hidden="1" customWidth="1"/>
    <col min="13846" max="13846" width="21" style="1186" customWidth="1"/>
    <col min="13847" max="13851" width="0" style="1186" hidden="1" customWidth="1"/>
    <col min="13852" max="13852" width="5" style="1186" customWidth="1"/>
    <col min="13853" max="13855" width="0" style="1186" hidden="1" customWidth="1"/>
    <col min="13856" max="14080" width="9.140625" style="1186"/>
    <col min="14081" max="14081" width="7.140625" style="1186" customWidth="1"/>
    <col min="14082" max="14082" width="49.5703125" style="1186" customWidth="1"/>
    <col min="14083" max="14083" width="17.42578125" style="1186" customWidth="1"/>
    <col min="14084" max="14084" width="11.28515625" style="1186" customWidth="1"/>
    <col min="14085" max="14085" width="18.5703125" style="1186" customWidth="1"/>
    <col min="14086" max="14086" width="16.5703125" style="1186" customWidth="1"/>
    <col min="14087" max="14091" width="0" style="1186" hidden="1" customWidth="1"/>
    <col min="14092" max="14092" width="18.5703125" style="1186" customWidth="1"/>
    <col min="14093" max="14095" width="0" style="1186" hidden="1" customWidth="1"/>
    <col min="14096" max="14096" width="19" style="1186" customWidth="1"/>
    <col min="14097" max="14099" width="0" style="1186" hidden="1" customWidth="1"/>
    <col min="14100" max="14100" width="18.28515625" style="1186" customWidth="1"/>
    <col min="14101" max="14101" width="0" style="1186" hidden="1" customWidth="1"/>
    <col min="14102" max="14102" width="21" style="1186" customWidth="1"/>
    <col min="14103" max="14107" width="0" style="1186" hidden="1" customWidth="1"/>
    <col min="14108" max="14108" width="5" style="1186" customWidth="1"/>
    <col min="14109" max="14111" width="0" style="1186" hidden="1" customWidth="1"/>
    <col min="14112" max="14336" width="9.140625" style="1186"/>
    <col min="14337" max="14337" width="7.140625" style="1186" customWidth="1"/>
    <col min="14338" max="14338" width="49.5703125" style="1186" customWidth="1"/>
    <col min="14339" max="14339" width="17.42578125" style="1186" customWidth="1"/>
    <col min="14340" max="14340" width="11.28515625" style="1186" customWidth="1"/>
    <col min="14341" max="14341" width="18.5703125" style="1186" customWidth="1"/>
    <col min="14342" max="14342" width="16.5703125" style="1186" customWidth="1"/>
    <col min="14343" max="14347" width="0" style="1186" hidden="1" customWidth="1"/>
    <col min="14348" max="14348" width="18.5703125" style="1186" customWidth="1"/>
    <col min="14349" max="14351" width="0" style="1186" hidden="1" customWidth="1"/>
    <col min="14352" max="14352" width="19" style="1186" customWidth="1"/>
    <col min="14353" max="14355" width="0" style="1186" hidden="1" customWidth="1"/>
    <col min="14356" max="14356" width="18.28515625" style="1186" customWidth="1"/>
    <col min="14357" max="14357" width="0" style="1186" hidden="1" customWidth="1"/>
    <col min="14358" max="14358" width="21" style="1186" customWidth="1"/>
    <col min="14359" max="14363" width="0" style="1186" hidden="1" customWidth="1"/>
    <col min="14364" max="14364" width="5" style="1186" customWidth="1"/>
    <col min="14365" max="14367" width="0" style="1186" hidden="1" customWidth="1"/>
    <col min="14368" max="14592" width="9.140625" style="1186"/>
    <col min="14593" max="14593" width="7.140625" style="1186" customWidth="1"/>
    <col min="14594" max="14594" width="49.5703125" style="1186" customWidth="1"/>
    <col min="14595" max="14595" width="17.42578125" style="1186" customWidth="1"/>
    <col min="14596" max="14596" width="11.28515625" style="1186" customWidth="1"/>
    <col min="14597" max="14597" width="18.5703125" style="1186" customWidth="1"/>
    <col min="14598" max="14598" width="16.5703125" style="1186" customWidth="1"/>
    <col min="14599" max="14603" width="0" style="1186" hidden="1" customWidth="1"/>
    <col min="14604" max="14604" width="18.5703125" style="1186" customWidth="1"/>
    <col min="14605" max="14607" width="0" style="1186" hidden="1" customWidth="1"/>
    <col min="14608" max="14608" width="19" style="1186" customWidth="1"/>
    <col min="14609" max="14611" width="0" style="1186" hidden="1" customWidth="1"/>
    <col min="14612" max="14612" width="18.28515625" style="1186" customWidth="1"/>
    <col min="14613" max="14613" width="0" style="1186" hidden="1" customWidth="1"/>
    <col min="14614" max="14614" width="21" style="1186" customWidth="1"/>
    <col min="14615" max="14619" width="0" style="1186" hidden="1" customWidth="1"/>
    <col min="14620" max="14620" width="5" style="1186" customWidth="1"/>
    <col min="14621" max="14623" width="0" style="1186" hidden="1" customWidth="1"/>
    <col min="14624" max="14848" width="9.140625" style="1186"/>
    <col min="14849" max="14849" width="7.140625" style="1186" customWidth="1"/>
    <col min="14850" max="14850" width="49.5703125" style="1186" customWidth="1"/>
    <col min="14851" max="14851" width="17.42578125" style="1186" customWidth="1"/>
    <col min="14852" max="14852" width="11.28515625" style="1186" customWidth="1"/>
    <col min="14853" max="14853" width="18.5703125" style="1186" customWidth="1"/>
    <col min="14854" max="14854" width="16.5703125" style="1186" customWidth="1"/>
    <col min="14855" max="14859" width="0" style="1186" hidden="1" customWidth="1"/>
    <col min="14860" max="14860" width="18.5703125" style="1186" customWidth="1"/>
    <col min="14861" max="14863" width="0" style="1186" hidden="1" customWidth="1"/>
    <col min="14864" max="14864" width="19" style="1186" customWidth="1"/>
    <col min="14865" max="14867" width="0" style="1186" hidden="1" customWidth="1"/>
    <col min="14868" max="14868" width="18.28515625" style="1186" customWidth="1"/>
    <col min="14869" max="14869" width="0" style="1186" hidden="1" customWidth="1"/>
    <col min="14870" max="14870" width="21" style="1186" customWidth="1"/>
    <col min="14871" max="14875" width="0" style="1186" hidden="1" customWidth="1"/>
    <col min="14876" max="14876" width="5" style="1186" customWidth="1"/>
    <col min="14877" max="14879" width="0" style="1186" hidden="1" customWidth="1"/>
    <col min="14880" max="15104" width="9.140625" style="1186"/>
    <col min="15105" max="15105" width="7.140625" style="1186" customWidth="1"/>
    <col min="15106" max="15106" width="49.5703125" style="1186" customWidth="1"/>
    <col min="15107" max="15107" width="17.42578125" style="1186" customWidth="1"/>
    <col min="15108" max="15108" width="11.28515625" style="1186" customWidth="1"/>
    <col min="15109" max="15109" width="18.5703125" style="1186" customWidth="1"/>
    <col min="15110" max="15110" width="16.5703125" style="1186" customWidth="1"/>
    <col min="15111" max="15115" width="0" style="1186" hidden="1" customWidth="1"/>
    <col min="15116" max="15116" width="18.5703125" style="1186" customWidth="1"/>
    <col min="15117" max="15119" width="0" style="1186" hidden="1" customWidth="1"/>
    <col min="15120" max="15120" width="19" style="1186" customWidth="1"/>
    <col min="15121" max="15123" width="0" style="1186" hidden="1" customWidth="1"/>
    <col min="15124" max="15124" width="18.28515625" style="1186" customWidth="1"/>
    <col min="15125" max="15125" width="0" style="1186" hidden="1" customWidth="1"/>
    <col min="15126" max="15126" width="21" style="1186" customWidth="1"/>
    <col min="15127" max="15131" width="0" style="1186" hidden="1" customWidth="1"/>
    <col min="15132" max="15132" width="5" style="1186" customWidth="1"/>
    <col min="15133" max="15135" width="0" style="1186" hidden="1" customWidth="1"/>
    <col min="15136" max="15360" width="9.140625" style="1186"/>
    <col min="15361" max="15361" width="7.140625" style="1186" customWidth="1"/>
    <col min="15362" max="15362" width="49.5703125" style="1186" customWidth="1"/>
    <col min="15363" max="15363" width="17.42578125" style="1186" customWidth="1"/>
    <col min="15364" max="15364" width="11.28515625" style="1186" customWidth="1"/>
    <col min="15365" max="15365" width="18.5703125" style="1186" customWidth="1"/>
    <col min="15366" max="15366" width="16.5703125" style="1186" customWidth="1"/>
    <col min="15367" max="15371" width="0" style="1186" hidden="1" customWidth="1"/>
    <col min="15372" max="15372" width="18.5703125" style="1186" customWidth="1"/>
    <col min="15373" max="15375" width="0" style="1186" hidden="1" customWidth="1"/>
    <col min="15376" max="15376" width="19" style="1186" customWidth="1"/>
    <col min="15377" max="15379" width="0" style="1186" hidden="1" customWidth="1"/>
    <col min="15380" max="15380" width="18.28515625" style="1186" customWidth="1"/>
    <col min="15381" max="15381" width="0" style="1186" hidden="1" customWidth="1"/>
    <col min="15382" max="15382" width="21" style="1186" customWidth="1"/>
    <col min="15383" max="15387" width="0" style="1186" hidden="1" customWidth="1"/>
    <col min="15388" max="15388" width="5" style="1186" customWidth="1"/>
    <col min="15389" max="15391" width="0" style="1186" hidden="1" customWidth="1"/>
    <col min="15392" max="15616" width="9.140625" style="1186"/>
    <col min="15617" max="15617" width="7.140625" style="1186" customWidth="1"/>
    <col min="15618" max="15618" width="49.5703125" style="1186" customWidth="1"/>
    <col min="15619" max="15619" width="17.42578125" style="1186" customWidth="1"/>
    <col min="15620" max="15620" width="11.28515625" style="1186" customWidth="1"/>
    <col min="15621" max="15621" width="18.5703125" style="1186" customWidth="1"/>
    <col min="15622" max="15622" width="16.5703125" style="1186" customWidth="1"/>
    <col min="15623" max="15627" width="0" style="1186" hidden="1" customWidth="1"/>
    <col min="15628" max="15628" width="18.5703125" style="1186" customWidth="1"/>
    <col min="15629" max="15631" width="0" style="1186" hidden="1" customWidth="1"/>
    <col min="15632" max="15632" width="19" style="1186" customWidth="1"/>
    <col min="15633" max="15635" width="0" style="1186" hidden="1" customWidth="1"/>
    <col min="15636" max="15636" width="18.28515625" style="1186" customWidth="1"/>
    <col min="15637" max="15637" width="0" style="1186" hidden="1" customWidth="1"/>
    <col min="15638" max="15638" width="21" style="1186" customWidth="1"/>
    <col min="15639" max="15643" width="0" style="1186" hidden="1" customWidth="1"/>
    <col min="15644" max="15644" width="5" style="1186" customWidth="1"/>
    <col min="15645" max="15647" width="0" style="1186" hidden="1" customWidth="1"/>
    <col min="15648" max="15872" width="9.140625" style="1186"/>
    <col min="15873" max="15873" width="7.140625" style="1186" customWidth="1"/>
    <col min="15874" max="15874" width="49.5703125" style="1186" customWidth="1"/>
    <col min="15875" max="15875" width="17.42578125" style="1186" customWidth="1"/>
    <col min="15876" max="15876" width="11.28515625" style="1186" customWidth="1"/>
    <col min="15877" max="15877" width="18.5703125" style="1186" customWidth="1"/>
    <col min="15878" max="15878" width="16.5703125" style="1186" customWidth="1"/>
    <col min="15879" max="15883" width="0" style="1186" hidden="1" customWidth="1"/>
    <col min="15884" max="15884" width="18.5703125" style="1186" customWidth="1"/>
    <col min="15885" max="15887" width="0" style="1186" hidden="1" customWidth="1"/>
    <col min="15888" max="15888" width="19" style="1186" customWidth="1"/>
    <col min="15889" max="15891" width="0" style="1186" hidden="1" customWidth="1"/>
    <col min="15892" max="15892" width="18.28515625" style="1186" customWidth="1"/>
    <col min="15893" max="15893" width="0" style="1186" hidden="1" customWidth="1"/>
    <col min="15894" max="15894" width="21" style="1186" customWidth="1"/>
    <col min="15895" max="15899" width="0" style="1186" hidden="1" customWidth="1"/>
    <col min="15900" max="15900" width="5" style="1186" customWidth="1"/>
    <col min="15901" max="15903" width="0" style="1186" hidden="1" customWidth="1"/>
    <col min="15904" max="16128" width="9.140625" style="1186"/>
    <col min="16129" max="16129" width="7.140625" style="1186" customWidth="1"/>
    <col min="16130" max="16130" width="49.5703125" style="1186" customWidth="1"/>
    <col min="16131" max="16131" width="17.42578125" style="1186" customWidth="1"/>
    <col min="16132" max="16132" width="11.28515625" style="1186" customWidth="1"/>
    <col min="16133" max="16133" width="18.5703125" style="1186" customWidth="1"/>
    <col min="16134" max="16134" width="16.5703125" style="1186" customWidth="1"/>
    <col min="16135" max="16139" width="0" style="1186" hidden="1" customWidth="1"/>
    <col min="16140" max="16140" width="18.5703125" style="1186" customWidth="1"/>
    <col min="16141" max="16143" width="0" style="1186" hidden="1" customWidth="1"/>
    <col min="16144" max="16144" width="19" style="1186" customWidth="1"/>
    <col min="16145" max="16147" width="0" style="1186" hidden="1" customWidth="1"/>
    <col min="16148" max="16148" width="18.28515625" style="1186" customWidth="1"/>
    <col min="16149" max="16149" width="0" style="1186" hidden="1" customWidth="1"/>
    <col min="16150" max="16150" width="21" style="1186" customWidth="1"/>
    <col min="16151" max="16155" width="0" style="1186" hidden="1" customWidth="1"/>
    <col min="16156" max="16156" width="5" style="1186" customWidth="1"/>
    <col min="16157" max="16159" width="0" style="1186" hidden="1" customWidth="1"/>
    <col min="16160" max="16384" width="9.140625" style="1186"/>
  </cols>
  <sheetData>
    <row r="1" spans="1:27" ht="26.45" customHeight="1">
      <c r="A1" s="6274" t="s">
        <v>1014</v>
      </c>
      <c r="B1" s="6274"/>
      <c r="C1" s="6274"/>
      <c r="D1" s="6274"/>
      <c r="E1" s="6274"/>
      <c r="F1" s="6274"/>
      <c r="G1" s="6274"/>
      <c r="H1" s="6274"/>
      <c r="I1" s="6274"/>
      <c r="J1" s="6274"/>
      <c r="K1" s="6274"/>
      <c r="L1" s="6274"/>
      <c r="M1" s="6274"/>
      <c r="N1" s="6274"/>
      <c r="O1" s="6274"/>
      <c r="P1" s="6274"/>
      <c r="Q1" s="6274"/>
      <c r="R1" s="6274"/>
      <c r="S1" s="6274"/>
      <c r="T1" s="6274"/>
      <c r="U1" s="6274"/>
      <c r="V1" s="6274"/>
      <c r="W1" s="1241"/>
      <c r="X1" s="1241"/>
      <c r="Y1" s="1241"/>
    </row>
    <row r="2" spans="1:27">
      <c r="A2" s="6275" t="s">
        <v>2339</v>
      </c>
      <c r="B2" s="6275"/>
      <c r="C2" s="6275"/>
      <c r="D2" s="6275"/>
      <c r="E2" s="6275"/>
      <c r="F2" s="6275"/>
      <c r="G2" s="6275"/>
      <c r="H2" s="6275"/>
      <c r="I2" s="6275"/>
      <c r="J2" s="6275"/>
      <c r="K2" s="6275"/>
      <c r="L2" s="6275"/>
      <c r="M2" s="6275"/>
      <c r="N2" s="6275"/>
      <c r="O2" s="6275"/>
      <c r="P2" s="6275"/>
      <c r="Q2" s="6275"/>
      <c r="R2" s="6275"/>
      <c r="S2" s="6275"/>
      <c r="T2" s="6275"/>
      <c r="U2" s="6275"/>
      <c r="V2" s="6275"/>
      <c r="W2" s="6275"/>
      <c r="X2" s="6275"/>
      <c r="Y2" s="6275"/>
    </row>
    <row r="3" spans="1:27" ht="15.75" thickBot="1">
      <c r="A3" s="6262" t="s">
        <v>856</v>
      </c>
      <c r="B3" s="6263" t="s">
        <v>857</v>
      </c>
      <c r="C3" s="1909" t="s">
        <v>858</v>
      </c>
      <c r="D3" s="1909" t="s">
        <v>1015</v>
      </c>
      <c r="E3" s="6264" t="s">
        <v>859</v>
      </c>
      <c r="F3" s="6264"/>
      <c r="G3" s="6265" t="s">
        <v>1016</v>
      </c>
      <c r="H3" s="6265"/>
      <c r="I3" s="6265"/>
      <c r="J3" s="1908" t="s">
        <v>1017</v>
      </c>
      <c r="K3" s="1908" t="s">
        <v>1017</v>
      </c>
      <c r="L3" s="1908" t="s">
        <v>1017</v>
      </c>
      <c r="M3" s="1908" t="s">
        <v>1017</v>
      </c>
      <c r="N3" s="1908" t="s">
        <v>1018</v>
      </c>
      <c r="O3" s="1908" t="s">
        <v>1018</v>
      </c>
      <c r="P3" s="1908" t="s">
        <v>1018</v>
      </c>
      <c r="Q3" s="1908" t="s">
        <v>1018</v>
      </c>
      <c r="R3" s="1908" t="s">
        <v>1018</v>
      </c>
      <c r="S3" s="1908" t="s">
        <v>1018</v>
      </c>
      <c r="T3" s="1908" t="s">
        <v>1018</v>
      </c>
      <c r="U3" s="1908" t="s">
        <v>1019</v>
      </c>
      <c r="V3" s="1908" t="s">
        <v>1020</v>
      </c>
      <c r="W3" s="6276" t="s">
        <v>1021</v>
      </c>
      <c r="X3" s="6276"/>
      <c r="Y3" s="6277"/>
    </row>
    <row r="4" spans="1:27" ht="15.75" thickBot="1">
      <c r="A4" s="6262"/>
      <c r="B4" s="6263"/>
      <c r="C4" s="1909" t="s">
        <v>865</v>
      </c>
      <c r="D4" s="1909" t="s">
        <v>1022</v>
      </c>
      <c r="E4" s="1907" t="s">
        <v>866</v>
      </c>
      <c r="F4" s="1907" t="s">
        <v>867</v>
      </c>
      <c r="G4" s="1908" t="s">
        <v>868</v>
      </c>
      <c r="H4" s="1908" t="s">
        <v>869</v>
      </c>
      <c r="I4" s="1908" t="s">
        <v>499</v>
      </c>
      <c r="J4" s="1908" t="s">
        <v>1023</v>
      </c>
      <c r="K4" s="1908" t="s">
        <v>1023</v>
      </c>
      <c r="L4" s="1908" t="s">
        <v>1024</v>
      </c>
      <c r="M4" s="1908" t="s">
        <v>1023</v>
      </c>
      <c r="N4" s="1908" t="s">
        <v>1025</v>
      </c>
      <c r="O4" s="1908" t="s">
        <v>1025</v>
      </c>
      <c r="P4" s="1908" t="s">
        <v>1025</v>
      </c>
      <c r="Q4" s="1908" t="s">
        <v>1025</v>
      </c>
      <c r="R4" s="1908" t="s">
        <v>1026</v>
      </c>
      <c r="S4" s="1908" t="s">
        <v>1026</v>
      </c>
      <c r="T4" s="1908" t="s">
        <v>1026</v>
      </c>
      <c r="U4" s="1908" t="s">
        <v>561</v>
      </c>
      <c r="V4" s="1908" t="s">
        <v>1027</v>
      </c>
      <c r="W4" s="1242" t="s">
        <v>868</v>
      </c>
      <c r="X4" s="1209" t="s">
        <v>869</v>
      </c>
      <c r="Y4" s="1209" t="s">
        <v>499</v>
      </c>
    </row>
    <row r="5" spans="1:27" ht="15.75" thickBot="1">
      <c r="A5" s="1903">
        <v>1</v>
      </c>
      <c r="B5" s="1904">
        <v>2</v>
      </c>
      <c r="C5" s="1379">
        <v>3</v>
      </c>
      <c r="D5" s="1379">
        <v>4</v>
      </c>
      <c r="E5" s="6278">
        <v>5</v>
      </c>
      <c r="F5" s="6278"/>
      <c r="G5" s="1763"/>
      <c r="H5" s="1763"/>
      <c r="I5" s="1764"/>
      <c r="J5" s="1776">
        <v>6</v>
      </c>
      <c r="K5" s="1776">
        <v>6</v>
      </c>
      <c r="L5" s="1776">
        <v>6</v>
      </c>
      <c r="M5" s="1776">
        <v>6</v>
      </c>
      <c r="N5" s="1776">
        <v>7</v>
      </c>
      <c r="O5" s="1776">
        <v>7</v>
      </c>
      <c r="P5" s="1776">
        <v>7</v>
      </c>
      <c r="Q5" s="1776">
        <v>7</v>
      </c>
      <c r="R5" s="1776">
        <v>8</v>
      </c>
      <c r="S5" s="1776">
        <v>8</v>
      </c>
      <c r="T5" s="1776">
        <v>8</v>
      </c>
      <c r="U5" s="1776"/>
      <c r="V5" s="1776">
        <v>9</v>
      </c>
      <c r="W5" s="2547"/>
      <c r="X5" s="1226"/>
      <c r="Y5" s="1226"/>
    </row>
    <row r="6" spans="1:27" ht="16.5" customHeight="1" thickBot="1">
      <c r="A6" s="6270">
        <v>1</v>
      </c>
      <c r="B6" s="6268" t="s">
        <v>872</v>
      </c>
      <c r="C6" s="1766">
        <v>0.1075</v>
      </c>
      <c r="D6" s="1319">
        <v>100</v>
      </c>
      <c r="E6" s="1317" t="s">
        <v>977</v>
      </c>
      <c r="F6" s="1317" t="s">
        <v>889</v>
      </c>
      <c r="G6" s="1319">
        <v>0</v>
      </c>
      <c r="H6" s="1319">
        <f t="shared" ref="H6:H11" si="0">(I6)</f>
        <v>815</v>
      </c>
      <c r="I6" s="1319">
        <v>815</v>
      </c>
      <c r="J6" s="1319">
        <v>0</v>
      </c>
      <c r="K6" s="1319">
        <f t="shared" ref="K6:K11" si="1">(M6)</f>
        <v>0</v>
      </c>
      <c r="L6" s="1319">
        <f>I6/100</f>
        <v>8.15</v>
      </c>
      <c r="M6" s="1319">
        <v>0</v>
      </c>
      <c r="N6" s="1319">
        <v>0</v>
      </c>
      <c r="O6" s="1319">
        <f t="shared" ref="O6:O11" si="2">(Q6)</f>
        <v>815</v>
      </c>
      <c r="P6" s="1319">
        <f t="shared" ref="P6:P65" si="3">M6/100</f>
        <v>0</v>
      </c>
      <c r="Q6" s="1319">
        <f>+'[117]H1-2012-13'!N5</f>
        <v>815</v>
      </c>
      <c r="R6" s="1319">
        <v>0</v>
      </c>
      <c r="S6" s="1319">
        <f t="shared" ref="S6:S11" si="4">(U6)</f>
        <v>0</v>
      </c>
      <c r="T6" s="1319">
        <f t="shared" ref="T6:T65" si="5">Q6/100</f>
        <v>8.15</v>
      </c>
      <c r="U6" s="1319">
        <f t="shared" ref="U6:U65" si="6">(I6+M6-Q6)</f>
        <v>0</v>
      </c>
      <c r="V6" s="1319">
        <f>U6/100</f>
        <v>0</v>
      </c>
      <c r="W6" s="1247">
        <v>0</v>
      </c>
      <c r="X6" s="1199">
        <f t="shared" ref="X6:X11" si="7">(Y6)</f>
        <v>7.2</v>
      </c>
      <c r="Y6" s="1197">
        <f>+'[117]H1-2012-13'!T5</f>
        <v>7.2</v>
      </c>
      <c r="AA6" s="1197">
        <f t="shared" ref="AA6:AA65" si="8">X6/100</f>
        <v>7.2000000000000008E-2</v>
      </c>
    </row>
    <row r="7" spans="1:27" ht="16.5" customHeight="1" thickBot="1">
      <c r="A7" s="6270"/>
      <c r="B7" s="6268"/>
      <c r="C7" s="1766">
        <v>0.1075</v>
      </c>
      <c r="D7" s="1319">
        <v>100</v>
      </c>
      <c r="E7" s="1317" t="s">
        <v>978</v>
      </c>
      <c r="F7" s="1317" t="s">
        <v>979</v>
      </c>
      <c r="G7" s="1319">
        <v>0</v>
      </c>
      <c r="H7" s="1319">
        <f t="shared" si="0"/>
        <v>1650</v>
      </c>
      <c r="I7" s="1319">
        <v>1650</v>
      </c>
      <c r="J7" s="1319">
        <v>0</v>
      </c>
      <c r="K7" s="1319">
        <f t="shared" si="1"/>
        <v>0</v>
      </c>
      <c r="L7" s="1319">
        <f t="shared" ref="L7:L65" si="9">I7/100</f>
        <v>16.5</v>
      </c>
      <c r="M7" s="1319">
        <v>0</v>
      </c>
      <c r="N7" s="1319">
        <v>0</v>
      </c>
      <c r="O7" s="1319">
        <f t="shared" si="2"/>
        <v>1650</v>
      </c>
      <c r="P7" s="1319">
        <f t="shared" si="3"/>
        <v>0</v>
      </c>
      <c r="Q7" s="1319">
        <f>+'[117]H1-2012-13'!N6</f>
        <v>1650</v>
      </c>
      <c r="R7" s="1319">
        <v>0</v>
      </c>
      <c r="S7" s="1319">
        <f t="shared" si="4"/>
        <v>0</v>
      </c>
      <c r="T7" s="1319">
        <f t="shared" si="5"/>
        <v>16.5</v>
      </c>
      <c r="U7" s="1319">
        <f t="shared" si="6"/>
        <v>0</v>
      </c>
      <c r="V7" s="1319">
        <f t="shared" ref="V7:V65" si="10">U7/100</f>
        <v>0</v>
      </c>
      <c r="W7" s="1247">
        <v>0</v>
      </c>
      <c r="X7" s="1199">
        <f t="shared" si="7"/>
        <v>22.03</v>
      </c>
      <c r="Y7" s="1227">
        <f>+'[117]H1-2012-13'!T6</f>
        <v>22.03</v>
      </c>
      <c r="AA7" s="1197">
        <f t="shared" si="8"/>
        <v>0.22030000000000002</v>
      </c>
    </row>
    <row r="8" spans="1:27" ht="16.5" customHeight="1" thickBot="1">
      <c r="A8" s="6270"/>
      <c r="B8" s="6268"/>
      <c r="C8" s="1766">
        <v>0.105</v>
      </c>
      <c r="D8" s="1319">
        <v>100</v>
      </c>
      <c r="E8" s="1317" t="s">
        <v>980</v>
      </c>
      <c r="F8" s="2554" t="s">
        <v>1028</v>
      </c>
      <c r="G8" s="1319">
        <v>0</v>
      </c>
      <c r="H8" s="1319">
        <f t="shared" si="0"/>
        <v>2485</v>
      </c>
      <c r="I8" s="1319">
        <v>2485</v>
      </c>
      <c r="J8" s="1319">
        <v>0</v>
      </c>
      <c r="K8" s="1319">
        <f t="shared" si="1"/>
        <v>0</v>
      </c>
      <c r="L8" s="1319">
        <f t="shared" si="9"/>
        <v>24.85</v>
      </c>
      <c r="M8" s="1319">
        <v>0</v>
      </c>
      <c r="N8" s="1319">
        <v>0</v>
      </c>
      <c r="O8" s="1319">
        <f t="shared" si="2"/>
        <v>2485</v>
      </c>
      <c r="P8" s="1319">
        <f t="shared" si="3"/>
        <v>0</v>
      </c>
      <c r="Q8" s="1319">
        <f>+'[117]H1-2012-13'!N7</f>
        <v>2485</v>
      </c>
      <c r="R8" s="1319">
        <v>0</v>
      </c>
      <c r="S8" s="1319">
        <f t="shared" si="4"/>
        <v>0</v>
      </c>
      <c r="T8" s="1319">
        <f t="shared" si="5"/>
        <v>24.85</v>
      </c>
      <c r="U8" s="1319">
        <f t="shared" si="6"/>
        <v>0</v>
      </c>
      <c r="V8" s="1319">
        <f t="shared" si="10"/>
        <v>0</v>
      </c>
      <c r="W8" s="1247">
        <v>0</v>
      </c>
      <c r="X8" s="1199">
        <f t="shared" si="7"/>
        <v>43.71</v>
      </c>
      <c r="Y8" s="1227">
        <f>+'[117]H1-2012-13'!T7</f>
        <v>43.71</v>
      </c>
      <c r="AA8" s="1197">
        <f t="shared" si="8"/>
        <v>0.43709999999999999</v>
      </c>
    </row>
    <row r="9" spans="1:27" ht="16.5" customHeight="1" thickBot="1">
      <c r="A9" s="6270"/>
      <c r="B9" s="6268"/>
      <c r="C9" s="1766">
        <v>0.105</v>
      </c>
      <c r="D9" s="1319">
        <v>100</v>
      </c>
      <c r="E9" s="1317" t="s">
        <v>982</v>
      </c>
      <c r="F9" s="1317" t="s">
        <v>983</v>
      </c>
      <c r="G9" s="1319">
        <v>0</v>
      </c>
      <c r="H9" s="1319">
        <f t="shared" si="0"/>
        <v>3320</v>
      </c>
      <c r="I9" s="1319">
        <v>3320</v>
      </c>
      <c r="J9" s="1319">
        <v>0</v>
      </c>
      <c r="K9" s="1319">
        <f t="shared" si="1"/>
        <v>0</v>
      </c>
      <c r="L9" s="1319">
        <f t="shared" si="9"/>
        <v>33.200000000000003</v>
      </c>
      <c r="M9" s="1319">
        <v>0</v>
      </c>
      <c r="N9" s="1319">
        <v>0</v>
      </c>
      <c r="O9" s="1319">
        <f t="shared" si="2"/>
        <v>3320</v>
      </c>
      <c r="P9" s="1319">
        <f t="shared" si="3"/>
        <v>0</v>
      </c>
      <c r="Q9" s="1319">
        <f>+'[117]H1-2012-13'!N8</f>
        <v>3320</v>
      </c>
      <c r="R9" s="1319">
        <v>0</v>
      </c>
      <c r="S9" s="1319">
        <f t="shared" si="4"/>
        <v>0</v>
      </c>
      <c r="T9" s="1319">
        <f t="shared" si="5"/>
        <v>33.200000000000003</v>
      </c>
      <c r="U9" s="1319">
        <f t="shared" si="6"/>
        <v>0</v>
      </c>
      <c r="V9" s="1319">
        <f t="shared" si="10"/>
        <v>0</v>
      </c>
      <c r="W9" s="1247">
        <v>0</v>
      </c>
      <c r="X9" s="1199">
        <f t="shared" si="7"/>
        <v>73.08</v>
      </c>
      <c r="Y9" s="1227">
        <f>+'[117]H1-2012-13'!T8</f>
        <v>73.08</v>
      </c>
      <c r="AA9" s="1197">
        <f t="shared" si="8"/>
        <v>0.73080000000000001</v>
      </c>
    </row>
    <row r="10" spans="1:27" ht="16.5" customHeight="1" thickBot="1">
      <c r="A10" s="6270"/>
      <c r="B10" s="6268"/>
      <c r="C10" s="1766">
        <v>0.105</v>
      </c>
      <c r="D10" s="1319">
        <v>100</v>
      </c>
      <c r="E10" s="1317" t="s">
        <v>984</v>
      </c>
      <c r="F10" s="2554" t="s">
        <v>917</v>
      </c>
      <c r="G10" s="1319">
        <v>0</v>
      </c>
      <c r="H10" s="1319">
        <f t="shared" si="0"/>
        <v>4155</v>
      </c>
      <c r="I10" s="1319">
        <v>4155</v>
      </c>
      <c r="J10" s="1319">
        <v>0</v>
      </c>
      <c r="K10" s="1319">
        <f t="shared" si="1"/>
        <v>0</v>
      </c>
      <c r="L10" s="1319">
        <f t="shared" si="9"/>
        <v>41.55</v>
      </c>
      <c r="M10" s="1319">
        <v>0</v>
      </c>
      <c r="N10" s="1319">
        <v>0</v>
      </c>
      <c r="O10" s="1319">
        <f t="shared" si="2"/>
        <v>4155</v>
      </c>
      <c r="P10" s="1319">
        <f t="shared" si="3"/>
        <v>0</v>
      </c>
      <c r="Q10" s="1319">
        <f>+'[117]H1-2012-13'!N9</f>
        <v>4155</v>
      </c>
      <c r="R10" s="1319">
        <v>0</v>
      </c>
      <c r="S10" s="1319">
        <f t="shared" si="4"/>
        <v>0</v>
      </c>
      <c r="T10" s="1319">
        <f t="shared" si="5"/>
        <v>41.55</v>
      </c>
      <c r="U10" s="1319">
        <f t="shared" si="6"/>
        <v>0</v>
      </c>
      <c r="V10" s="1319">
        <f t="shared" si="10"/>
        <v>0</v>
      </c>
      <c r="W10" s="1247">
        <v>0</v>
      </c>
      <c r="X10" s="1199">
        <f t="shared" si="7"/>
        <v>110.03</v>
      </c>
      <c r="Y10" s="1227">
        <f>+'[117]H1-2012-13'!T9</f>
        <v>110.03</v>
      </c>
      <c r="AA10" s="1197">
        <f t="shared" si="8"/>
        <v>1.1003000000000001</v>
      </c>
    </row>
    <row r="11" spans="1:27" ht="16.5" customHeight="1" thickBot="1">
      <c r="A11" s="6270"/>
      <c r="B11" s="6268"/>
      <c r="C11" s="1766">
        <v>0.105</v>
      </c>
      <c r="D11" s="1319">
        <v>100</v>
      </c>
      <c r="E11" s="1317" t="s">
        <v>986</v>
      </c>
      <c r="F11" s="1317" t="s">
        <v>987</v>
      </c>
      <c r="G11" s="1319">
        <v>0</v>
      </c>
      <c r="H11" s="1319">
        <f t="shared" si="0"/>
        <v>4990</v>
      </c>
      <c r="I11" s="1319">
        <v>4990</v>
      </c>
      <c r="J11" s="1319">
        <v>0</v>
      </c>
      <c r="K11" s="1319">
        <f t="shared" si="1"/>
        <v>0</v>
      </c>
      <c r="L11" s="1319">
        <f t="shared" si="9"/>
        <v>49.9</v>
      </c>
      <c r="M11" s="1319">
        <v>0</v>
      </c>
      <c r="N11" s="1319">
        <v>0</v>
      </c>
      <c r="O11" s="1319">
        <f t="shared" si="2"/>
        <v>4990</v>
      </c>
      <c r="P11" s="1319">
        <f t="shared" si="3"/>
        <v>0</v>
      </c>
      <c r="Q11" s="1319">
        <f>+'[117]H1-2012-13'!N10</f>
        <v>4990</v>
      </c>
      <c r="R11" s="1319">
        <v>0</v>
      </c>
      <c r="S11" s="1319">
        <f t="shared" si="4"/>
        <v>0</v>
      </c>
      <c r="T11" s="1319">
        <f t="shared" si="5"/>
        <v>49.9</v>
      </c>
      <c r="U11" s="1319">
        <f t="shared" si="6"/>
        <v>0</v>
      </c>
      <c r="V11" s="1319">
        <f t="shared" si="10"/>
        <v>0</v>
      </c>
      <c r="W11" s="1247">
        <v>0</v>
      </c>
      <c r="X11" s="1199">
        <f t="shared" si="7"/>
        <v>161.91000000000003</v>
      </c>
      <c r="Y11" s="1227">
        <f>+'[117]H1-2012-13'!T10</f>
        <v>161.91000000000003</v>
      </c>
      <c r="AA11" s="1197">
        <f t="shared" si="8"/>
        <v>1.6191000000000002</v>
      </c>
    </row>
    <row r="12" spans="1:27" ht="16.5" customHeight="1" thickBot="1">
      <c r="A12" s="6270"/>
      <c r="B12" s="6268"/>
      <c r="C12" s="1766">
        <v>0.105</v>
      </c>
      <c r="D12" s="1319">
        <v>100</v>
      </c>
      <c r="E12" s="1317" t="s">
        <v>873</v>
      </c>
      <c r="F12" s="1317" t="s">
        <v>874</v>
      </c>
      <c r="G12" s="1319">
        <v>0</v>
      </c>
      <c r="H12" s="1319">
        <f>I12</f>
        <v>5825</v>
      </c>
      <c r="I12" s="1319">
        <v>5825</v>
      </c>
      <c r="J12" s="1319">
        <v>0</v>
      </c>
      <c r="K12" s="1319">
        <f>M12</f>
        <v>0</v>
      </c>
      <c r="L12" s="1319">
        <f t="shared" si="9"/>
        <v>58.25</v>
      </c>
      <c r="M12" s="1319">
        <v>0</v>
      </c>
      <c r="N12" s="1319">
        <v>0</v>
      </c>
      <c r="O12" s="1319">
        <f>Q12</f>
        <v>5825</v>
      </c>
      <c r="P12" s="1319">
        <f t="shared" si="3"/>
        <v>0</v>
      </c>
      <c r="Q12" s="1319">
        <f>+'[117]H1-2012-13'!N11+'[117]H2-2012-13'!N5</f>
        <v>5825</v>
      </c>
      <c r="R12" s="1319">
        <v>0</v>
      </c>
      <c r="S12" s="1319">
        <f>U12</f>
        <v>0</v>
      </c>
      <c r="T12" s="1319">
        <f t="shared" si="5"/>
        <v>58.25</v>
      </c>
      <c r="U12" s="1319">
        <f t="shared" si="6"/>
        <v>0</v>
      </c>
      <c r="V12" s="1319">
        <f t="shared" si="10"/>
        <v>0</v>
      </c>
      <c r="W12" s="1247">
        <v>0</v>
      </c>
      <c r="X12" s="1197">
        <f>Y12</f>
        <v>216.86</v>
      </c>
      <c r="Y12" s="1196">
        <f>+'[117]H1-2012-13'!T11+'[117]H2-2012-13'!T5</f>
        <v>216.86</v>
      </c>
      <c r="AA12" s="1197">
        <f t="shared" si="8"/>
        <v>2.1686000000000001</v>
      </c>
    </row>
    <row r="13" spans="1:27" ht="16.5" customHeight="1" thickBot="1">
      <c r="A13" s="6270"/>
      <c r="B13" s="6268"/>
      <c r="C13" s="1766">
        <v>0.105</v>
      </c>
      <c r="D13" s="1319">
        <v>100</v>
      </c>
      <c r="E13" s="1317" t="s">
        <v>875</v>
      </c>
      <c r="F13" s="1317" t="s">
        <v>876</v>
      </c>
      <c r="G13" s="1319">
        <v>0</v>
      </c>
      <c r="H13" s="1319">
        <f>(I13)</f>
        <v>6660</v>
      </c>
      <c r="I13" s="1319">
        <v>6660</v>
      </c>
      <c r="J13" s="1319">
        <v>0</v>
      </c>
      <c r="K13" s="1319">
        <f>(M13)</f>
        <v>0</v>
      </c>
      <c r="L13" s="1319">
        <f t="shared" si="9"/>
        <v>66.599999999999994</v>
      </c>
      <c r="M13" s="1319">
        <v>0</v>
      </c>
      <c r="N13" s="1319">
        <v>0</v>
      </c>
      <c r="O13" s="1319">
        <f>(Q13)</f>
        <v>6660</v>
      </c>
      <c r="P13" s="1319">
        <f t="shared" si="3"/>
        <v>0</v>
      </c>
      <c r="Q13" s="1319">
        <f>+'[117]H1-2012-13'!N12+'[117]H2-2012-13'!N6</f>
        <v>6660</v>
      </c>
      <c r="R13" s="1319">
        <v>0</v>
      </c>
      <c r="S13" s="1319">
        <f>(U13)</f>
        <v>0</v>
      </c>
      <c r="T13" s="1319">
        <f t="shared" si="5"/>
        <v>66.599999999999994</v>
      </c>
      <c r="U13" s="1319">
        <f t="shared" si="6"/>
        <v>0</v>
      </c>
      <c r="V13" s="1319">
        <f t="shared" si="10"/>
        <v>0</v>
      </c>
      <c r="W13" s="1247">
        <v>0</v>
      </c>
      <c r="X13" s="1197">
        <f>(Y13)</f>
        <v>280</v>
      </c>
      <c r="Y13" s="1196">
        <f>+'[117]H1-2012-13'!T12+'[117]H2-2012-13'!T6</f>
        <v>280</v>
      </c>
      <c r="AA13" s="1197">
        <f t="shared" si="8"/>
        <v>2.8</v>
      </c>
    </row>
    <row r="14" spans="1:27" ht="16.5" customHeight="1" thickBot="1">
      <c r="A14" s="6270"/>
      <c r="B14" s="6268"/>
      <c r="C14" s="1766">
        <v>0.105</v>
      </c>
      <c r="D14" s="1319">
        <v>100</v>
      </c>
      <c r="E14" s="1317" t="s">
        <v>877</v>
      </c>
      <c r="F14" s="1317" t="s">
        <v>878</v>
      </c>
      <c r="G14" s="1319">
        <f>I14</f>
        <v>7495</v>
      </c>
      <c r="H14" s="1319">
        <v>0</v>
      </c>
      <c r="I14" s="1319">
        <v>7495</v>
      </c>
      <c r="J14" s="1319">
        <f>M14</f>
        <v>0</v>
      </c>
      <c r="K14" s="1319">
        <v>0</v>
      </c>
      <c r="L14" s="1319">
        <f t="shared" si="9"/>
        <v>74.95</v>
      </c>
      <c r="M14" s="1319">
        <v>0</v>
      </c>
      <c r="N14" s="1319">
        <f>Q14</f>
        <v>7495</v>
      </c>
      <c r="O14" s="1319">
        <v>0</v>
      </c>
      <c r="P14" s="1319">
        <f t="shared" si="3"/>
        <v>0</v>
      </c>
      <c r="Q14" s="1319">
        <f>+'[117]H1-2012-13'!N13+'[117]H2-2012-13'!N7</f>
        <v>7495</v>
      </c>
      <c r="R14" s="1319">
        <f>U14</f>
        <v>0</v>
      </c>
      <c r="S14" s="1319">
        <v>0</v>
      </c>
      <c r="T14" s="1319">
        <f t="shared" si="5"/>
        <v>74.95</v>
      </c>
      <c r="U14" s="1319">
        <f t="shared" si="6"/>
        <v>0</v>
      </c>
      <c r="V14" s="1319">
        <f t="shared" si="10"/>
        <v>0</v>
      </c>
      <c r="W14" s="2548">
        <f>+'[117]H1-2012-13'!R13+'[117]H2-2012-13'!R7</f>
        <v>273.59999999999997</v>
      </c>
      <c r="X14" s="1197">
        <v>0</v>
      </c>
      <c r="Y14" s="1196">
        <f>+'[117]H1-2012-13'!T13+'[117]H2-2012-13'!T7</f>
        <v>273.59999999999997</v>
      </c>
      <c r="AA14" s="1197">
        <f t="shared" si="8"/>
        <v>0</v>
      </c>
    </row>
    <row r="15" spans="1:27" ht="16.5" customHeight="1" thickBot="1">
      <c r="A15" s="6270"/>
      <c r="B15" s="6268"/>
      <c r="C15" s="1766">
        <v>0.105</v>
      </c>
      <c r="D15" s="1319">
        <v>100</v>
      </c>
      <c r="E15" s="1317" t="s">
        <v>879</v>
      </c>
      <c r="F15" s="1317" t="s">
        <v>880</v>
      </c>
      <c r="G15" s="1319">
        <f>I15</f>
        <v>7495</v>
      </c>
      <c r="H15" s="1319">
        <v>0</v>
      </c>
      <c r="I15" s="1319">
        <v>7495</v>
      </c>
      <c r="J15" s="1319">
        <f>M15</f>
        <v>0</v>
      </c>
      <c r="K15" s="1319">
        <v>0</v>
      </c>
      <c r="L15" s="1319">
        <f t="shared" si="9"/>
        <v>74.95</v>
      </c>
      <c r="M15" s="1319">
        <v>0</v>
      </c>
      <c r="N15" s="1319">
        <f>Q15</f>
        <v>7495</v>
      </c>
      <c r="O15" s="1319">
        <v>0</v>
      </c>
      <c r="P15" s="1319">
        <f t="shared" si="3"/>
        <v>0</v>
      </c>
      <c r="Q15" s="1319">
        <f>+'[117]H1-2012-13'!N14+'[117]H2-2012-13'!N8</f>
        <v>7495</v>
      </c>
      <c r="R15" s="1319">
        <f>U15</f>
        <v>0</v>
      </c>
      <c r="S15" s="1319">
        <v>0</v>
      </c>
      <c r="T15" s="1319">
        <f t="shared" si="5"/>
        <v>74.95</v>
      </c>
      <c r="U15" s="1319">
        <f t="shared" si="6"/>
        <v>0</v>
      </c>
      <c r="V15" s="1319">
        <f t="shared" si="10"/>
        <v>0</v>
      </c>
      <c r="W15" s="2548">
        <f>+'[117]H1-2012-13'!R14+'[117]H2-2012-13'!R8</f>
        <v>341.12</v>
      </c>
      <c r="X15" s="1197">
        <v>0</v>
      </c>
      <c r="Y15" s="1196">
        <f>+'[117]H1-2012-13'!T14+'[117]H2-2012-13'!T8</f>
        <v>341.12</v>
      </c>
      <c r="AA15" s="1197">
        <f t="shared" si="8"/>
        <v>0</v>
      </c>
    </row>
    <row r="16" spans="1:27" ht="16.5" customHeight="1" thickBot="1">
      <c r="A16" s="6270"/>
      <c r="B16" s="6268"/>
      <c r="C16" s="1766">
        <v>0.105</v>
      </c>
      <c r="D16" s="1319">
        <v>100</v>
      </c>
      <c r="E16" s="1317" t="s">
        <v>881</v>
      </c>
      <c r="F16" s="1317" t="s">
        <v>882</v>
      </c>
      <c r="G16" s="1319">
        <v>0</v>
      </c>
      <c r="H16" s="1319">
        <f>I16</f>
        <v>8330</v>
      </c>
      <c r="I16" s="1319">
        <v>8330</v>
      </c>
      <c r="J16" s="1319">
        <v>0</v>
      </c>
      <c r="K16" s="1319">
        <f>(M16)</f>
        <v>0</v>
      </c>
      <c r="L16" s="1319">
        <f t="shared" si="9"/>
        <v>83.3</v>
      </c>
      <c r="M16" s="1319">
        <v>0</v>
      </c>
      <c r="N16" s="1319">
        <v>0</v>
      </c>
      <c r="O16" s="1319">
        <f>Q16</f>
        <v>8330</v>
      </c>
      <c r="P16" s="1319">
        <f t="shared" si="3"/>
        <v>0</v>
      </c>
      <c r="Q16" s="1319">
        <f>+'[117]H1-2012-13'!N15+'[117]H2-2012-13'!N9</f>
        <v>8330</v>
      </c>
      <c r="R16" s="1319">
        <v>0</v>
      </c>
      <c r="S16" s="1319">
        <f>U16</f>
        <v>0</v>
      </c>
      <c r="T16" s="1319">
        <f t="shared" si="5"/>
        <v>83.3</v>
      </c>
      <c r="U16" s="1319">
        <f t="shared" si="6"/>
        <v>0</v>
      </c>
      <c r="V16" s="1319">
        <f t="shared" si="10"/>
        <v>0</v>
      </c>
      <c r="W16" s="1247">
        <v>0.1</v>
      </c>
      <c r="X16" s="1197">
        <v>424.3</v>
      </c>
      <c r="Y16" s="1196">
        <f>+'[117]H1-2012-13'!T15+'[117]H2-2012-13'!T9</f>
        <v>424.39868000000001</v>
      </c>
      <c r="AA16" s="1197">
        <f t="shared" si="8"/>
        <v>4.2430000000000003</v>
      </c>
    </row>
    <row r="17" spans="1:27" ht="16.5" customHeight="1" thickBot="1">
      <c r="A17" s="6270"/>
      <c r="B17" s="6268"/>
      <c r="C17" s="1766">
        <v>0.105</v>
      </c>
      <c r="D17" s="1319">
        <v>100</v>
      </c>
      <c r="E17" s="1317" t="s">
        <v>883</v>
      </c>
      <c r="F17" s="1317" t="s">
        <v>884</v>
      </c>
      <c r="G17" s="1319">
        <v>0</v>
      </c>
      <c r="H17" s="1319">
        <f>I17</f>
        <v>8330</v>
      </c>
      <c r="I17" s="1319">
        <v>8330</v>
      </c>
      <c r="J17" s="1319">
        <v>0</v>
      </c>
      <c r="K17" s="1319">
        <f>(M17)</f>
        <v>0</v>
      </c>
      <c r="L17" s="1319">
        <f t="shared" si="9"/>
        <v>83.3</v>
      </c>
      <c r="M17" s="1319">
        <v>0</v>
      </c>
      <c r="N17" s="1319">
        <v>0</v>
      </c>
      <c r="O17" s="1319">
        <f>Q17</f>
        <v>8330</v>
      </c>
      <c r="P17" s="1319">
        <f t="shared" si="3"/>
        <v>0</v>
      </c>
      <c r="Q17" s="1319">
        <f>+'[117]H1-2012-13'!N16+'[117]H2-2012-13'!N10</f>
        <v>8330</v>
      </c>
      <c r="R17" s="1319">
        <v>0</v>
      </c>
      <c r="S17" s="1319">
        <f>U17</f>
        <v>0</v>
      </c>
      <c r="T17" s="1319">
        <f t="shared" si="5"/>
        <v>83.3</v>
      </c>
      <c r="U17" s="1319">
        <f t="shared" si="6"/>
        <v>0</v>
      </c>
      <c r="V17" s="1319">
        <f t="shared" si="10"/>
        <v>0</v>
      </c>
      <c r="W17" s="1247">
        <v>0</v>
      </c>
      <c r="X17" s="1197">
        <f>(Y17)</f>
        <v>454.75575999999995</v>
      </c>
      <c r="Y17" s="1196">
        <f>+'[117]H1-2012-13'!T16+'[117]H2-2012-13'!T10</f>
        <v>454.75575999999995</v>
      </c>
      <c r="AA17" s="1197">
        <f t="shared" si="8"/>
        <v>4.5475575999999993</v>
      </c>
    </row>
    <row r="18" spans="1:27" ht="16.5" customHeight="1" thickBot="1">
      <c r="A18" s="6270"/>
      <c r="B18" s="6268"/>
      <c r="C18" s="1766">
        <v>0.10249999999999999</v>
      </c>
      <c r="D18" s="1319">
        <v>100</v>
      </c>
      <c r="E18" s="1317" t="s">
        <v>885</v>
      </c>
      <c r="F18" s="1317" t="s">
        <v>886</v>
      </c>
      <c r="G18" s="1319">
        <v>0</v>
      </c>
      <c r="H18" s="1319">
        <f>I18</f>
        <v>9165</v>
      </c>
      <c r="I18" s="1319">
        <v>9165</v>
      </c>
      <c r="J18" s="1319">
        <v>0</v>
      </c>
      <c r="K18" s="1319">
        <f t="shared" ref="K18:K23" si="11">M18</f>
        <v>0</v>
      </c>
      <c r="L18" s="1319">
        <f t="shared" si="9"/>
        <v>91.65</v>
      </c>
      <c r="M18" s="1319">
        <v>0</v>
      </c>
      <c r="N18" s="1319">
        <v>0</v>
      </c>
      <c r="O18" s="1319">
        <f>Q18</f>
        <v>9165</v>
      </c>
      <c r="P18" s="1319">
        <f t="shared" si="3"/>
        <v>0</v>
      </c>
      <c r="Q18" s="1319">
        <f>+'[117]H1-2012-13'!N17+'[117]H2-2012-13'!N11</f>
        <v>9165</v>
      </c>
      <c r="R18" s="1319">
        <v>0</v>
      </c>
      <c r="S18" s="1319">
        <f>U18</f>
        <v>0</v>
      </c>
      <c r="T18" s="1319">
        <f t="shared" si="5"/>
        <v>91.65</v>
      </c>
      <c r="U18" s="1319">
        <f t="shared" si="6"/>
        <v>0</v>
      </c>
      <c r="V18" s="1319">
        <f t="shared" si="10"/>
        <v>0</v>
      </c>
      <c r="W18" s="1247">
        <v>0</v>
      </c>
      <c r="X18" s="1197">
        <f t="shared" ref="X18:X27" si="12">Y18</f>
        <v>510.30215999999996</v>
      </c>
      <c r="Y18" s="1196">
        <f>+'[117]H1-2012-13'!T17+'[117]H2-2012-13'!T11</f>
        <v>510.30215999999996</v>
      </c>
      <c r="AA18" s="1197">
        <f t="shared" si="8"/>
        <v>5.1030215999999999</v>
      </c>
    </row>
    <row r="19" spans="1:27" ht="16.5" customHeight="1" thickBot="1">
      <c r="A19" s="6270"/>
      <c r="B19" s="6268"/>
      <c r="C19" s="1766">
        <v>0.10249999999999999</v>
      </c>
      <c r="D19" s="1319">
        <v>100</v>
      </c>
      <c r="E19" s="1317" t="s">
        <v>887</v>
      </c>
      <c r="F19" s="1317" t="s">
        <v>888</v>
      </c>
      <c r="G19" s="1319">
        <v>0</v>
      </c>
      <c r="H19" s="1319">
        <f>I19</f>
        <v>10000</v>
      </c>
      <c r="I19" s="1319">
        <v>10000</v>
      </c>
      <c r="J19" s="1319">
        <v>0</v>
      </c>
      <c r="K19" s="1319">
        <f t="shared" si="11"/>
        <v>0</v>
      </c>
      <c r="L19" s="1319">
        <f t="shared" si="9"/>
        <v>100</v>
      </c>
      <c r="M19" s="1319">
        <v>0</v>
      </c>
      <c r="N19" s="1319">
        <v>0</v>
      </c>
      <c r="O19" s="1319">
        <f>Q19</f>
        <v>10000</v>
      </c>
      <c r="P19" s="1319">
        <f t="shared" si="3"/>
        <v>0</v>
      </c>
      <c r="Q19" s="1319">
        <f>+'[117]H1-2012-13'!N18+'[117]H2-2012-13'!N12</f>
        <v>10000</v>
      </c>
      <c r="R19" s="1319">
        <v>0</v>
      </c>
      <c r="S19" s="1319">
        <f>U19</f>
        <v>0</v>
      </c>
      <c r="T19" s="1319">
        <f t="shared" si="5"/>
        <v>100</v>
      </c>
      <c r="U19" s="1319">
        <f t="shared" si="6"/>
        <v>0</v>
      </c>
      <c r="V19" s="1319">
        <f t="shared" si="10"/>
        <v>0</v>
      </c>
      <c r="W19" s="1247">
        <v>0</v>
      </c>
      <c r="X19" s="1197">
        <f t="shared" si="12"/>
        <v>612.80973999999992</v>
      </c>
      <c r="Y19" s="1196">
        <f>+'[117]H1-2012-13'!T18+'[117]H2-2012-13'!T12</f>
        <v>612.80973999999992</v>
      </c>
      <c r="AA19" s="1197">
        <f t="shared" si="8"/>
        <v>6.1280973999999988</v>
      </c>
    </row>
    <row r="20" spans="1:27" ht="16.5" customHeight="1" thickBot="1">
      <c r="A20" s="6270"/>
      <c r="B20" s="6268"/>
      <c r="C20" s="1766">
        <v>0.10249999999999999</v>
      </c>
      <c r="D20" s="1319">
        <v>100</v>
      </c>
      <c r="E20" s="1317" t="s">
        <v>889</v>
      </c>
      <c r="F20" s="1317" t="s">
        <v>890</v>
      </c>
      <c r="G20" s="1319">
        <v>0</v>
      </c>
      <c r="H20" s="1319">
        <f>I20</f>
        <v>0</v>
      </c>
      <c r="I20" s="1319">
        <v>0</v>
      </c>
      <c r="J20" s="1319">
        <v>0</v>
      </c>
      <c r="K20" s="1319">
        <f t="shared" si="11"/>
        <v>10000</v>
      </c>
      <c r="L20" s="1319">
        <f t="shared" si="9"/>
        <v>0</v>
      </c>
      <c r="M20" s="1319">
        <v>10000</v>
      </c>
      <c r="N20" s="1319">
        <v>0</v>
      </c>
      <c r="O20" s="1319">
        <f>Q20</f>
        <v>9185</v>
      </c>
      <c r="P20" s="1319">
        <f t="shared" si="3"/>
        <v>100</v>
      </c>
      <c r="Q20" s="1319">
        <f>+'[117]H1-2012-13'!N19+'[117]H2-2012-13'!N13</f>
        <v>9185</v>
      </c>
      <c r="R20" s="1319">
        <v>0</v>
      </c>
      <c r="S20" s="1319">
        <f>U20</f>
        <v>815</v>
      </c>
      <c r="T20" s="1319">
        <f t="shared" si="5"/>
        <v>91.85</v>
      </c>
      <c r="U20" s="1319">
        <f t="shared" si="6"/>
        <v>815</v>
      </c>
      <c r="V20" s="1319">
        <f t="shared" si="10"/>
        <v>8.15</v>
      </c>
      <c r="W20" s="1247">
        <v>0</v>
      </c>
      <c r="X20" s="1197">
        <f t="shared" si="12"/>
        <v>604.45186999999999</v>
      </c>
      <c r="Y20" s="1196">
        <f>+'[117]H1-2012-13'!T19+'[117]H2-2012-13'!T13</f>
        <v>604.45186999999999</v>
      </c>
      <c r="AA20" s="1197">
        <f t="shared" si="8"/>
        <v>6.0445187000000002</v>
      </c>
    </row>
    <row r="21" spans="1:27" ht="16.5" customHeight="1" thickBot="1">
      <c r="A21" s="6270"/>
      <c r="B21" s="6268"/>
      <c r="C21" s="1766">
        <v>0.10249999999999999</v>
      </c>
      <c r="D21" s="1319">
        <v>100</v>
      </c>
      <c r="E21" s="1317" t="s">
        <v>891</v>
      </c>
      <c r="F21" s="1317" t="s">
        <v>1029</v>
      </c>
      <c r="G21" s="1319">
        <v>0</v>
      </c>
      <c r="H21" s="1319">
        <f>(I21)</f>
        <v>0</v>
      </c>
      <c r="I21" s="1319">
        <v>0</v>
      </c>
      <c r="J21" s="1319">
        <v>0</v>
      </c>
      <c r="K21" s="1319">
        <f t="shared" si="11"/>
        <v>10000</v>
      </c>
      <c r="L21" s="1319">
        <f t="shared" si="9"/>
        <v>0</v>
      </c>
      <c r="M21" s="1319">
        <v>10000</v>
      </c>
      <c r="N21" s="1319">
        <v>0</v>
      </c>
      <c r="O21" s="1319">
        <f>(Q21)</f>
        <v>8350</v>
      </c>
      <c r="P21" s="1319">
        <f t="shared" si="3"/>
        <v>100</v>
      </c>
      <c r="Q21" s="1319">
        <f>+'[117]H1-2012-13'!N20+'[117]H2-2012-13'!N14</f>
        <v>8350</v>
      </c>
      <c r="R21" s="1319">
        <v>0</v>
      </c>
      <c r="S21" s="1319">
        <f>(U21)</f>
        <v>1650</v>
      </c>
      <c r="T21" s="1319">
        <f t="shared" si="5"/>
        <v>83.5</v>
      </c>
      <c r="U21" s="1319">
        <f t="shared" si="6"/>
        <v>1650</v>
      </c>
      <c r="V21" s="1319">
        <f t="shared" si="10"/>
        <v>16.5</v>
      </c>
      <c r="W21" s="1247">
        <v>0</v>
      </c>
      <c r="X21" s="1197">
        <f t="shared" si="12"/>
        <v>574.09499000000005</v>
      </c>
      <c r="Y21" s="1196">
        <f>+'[117]H1-2012-13'!T20+'[117]H2-2012-13'!T14</f>
        <v>574.09499000000005</v>
      </c>
      <c r="AA21" s="1197">
        <f t="shared" si="8"/>
        <v>5.7409499000000004</v>
      </c>
    </row>
    <row r="22" spans="1:27" ht="16.5" customHeight="1" thickBot="1">
      <c r="A22" s="6270"/>
      <c r="B22" s="6268"/>
      <c r="C22" s="1766">
        <v>0.10249999999999999</v>
      </c>
      <c r="D22" s="1319">
        <v>100</v>
      </c>
      <c r="E22" s="1317" t="s">
        <v>893</v>
      </c>
      <c r="F22" s="1317" t="s">
        <v>894</v>
      </c>
      <c r="G22" s="1319">
        <v>0</v>
      </c>
      <c r="H22" s="1319">
        <f>(I22)</f>
        <v>0</v>
      </c>
      <c r="I22" s="1319">
        <v>0</v>
      </c>
      <c r="J22" s="1319">
        <v>0</v>
      </c>
      <c r="K22" s="1319">
        <f t="shared" si="11"/>
        <v>10000</v>
      </c>
      <c r="L22" s="1319">
        <f t="shared" si="9"/>
        <v>0</v>
      </c>
      <c r="M22" s="1319">
        <v>10000</v>
      </c>
      <c r="N22" s="1319">
        <v>0</v>
      </c>
      <c r="O22" s="1319">
        <f>(Q22)</f>
        <v>8350</v>
      </c>
      <c r="P22" s="1319">
        <f t="shared" si="3"/>
        <v>100</v>
      </c>
      <c r="Q22" s="1319">
        <f>+'[117]H1-2012-13'!N21+'[117]H2-2012-13'!N15</f>
        <v>8350</v>
      </c>
      <c r="R22" s="1319">
        <v>0</v>
      </c>
      <c r="S22" s="1319">
        <f>(U22)</f>
        <v>1650</v>
      </c>
      <c r="T22" s="1319">
        <f t="shared" si="5"/>
        <v>83.5</v>
      </c>
      <c r="U22" s="1319">
        <f t="shared" si="6"/>
        <v>1650</v>
      </c>
      <c r="V22" s="1319">
        <f t="shared" si="10"/>
        <v>16.5</v>
      </c>
      <c r="W22" s="1247">
        <v>0</v>
      </c>
      <c r="X22" s="1197">
        <f t="shared" si="12"/>
        <v>573.80894999999998</v>
      </c>
      <c r="Y22" s="1196">
        <f>+'[117]H1-2012-13'!T21+'[117]H2-2012-13'!T15</f>
        <v>573.80894999999998</v>
      </c>
      <c r="AA22" s="1197">
        <f t="shared" si="8"/>
        <v>5.7380895000000001</v>
      </c>
    </row>
    <row r="23" spans="1:27" ht="16.5" customHeight="1" thickBot="1">
      <c r="A23" s="6270"/>
      <c r="B23" s="6268"/>
      <c r="C23" s="1766">
        <v>0.10249999999999999</v>
      </c>
      <c r="D23" s="1319">
        <v>100</v>
      </c>
      <c r="E23" s="1317" t="s">
        <v>895</v>
      </c>
      <c r="F23" s="1317" t="s">
        <v>896</v>
      </c>
      <c r="G23" s="1319">
        <v>0</v>
      </c>
      <c r="H23" s="1319">
        <f>I23</f>
        <v>0</v>
      </c>
      <c r="I23" s="1319">
        <v>0</v>
      </c>
      <c r="J23" s="1319">
        <v>0</v>
      </c>
      <c r="K23" s="1319">
        <f t="shared" si="11"/>
        <v>10000</v>
      </c>
      <c r="L23" s="1319">
        <f t="shared" si="9"/>
        <v>0</v>
      </c>
      <c r="M23" s="1319">
        <v>10000</v>
      </c>
      <c r="N23" s="1319">
        <v>0</v>
      </c>
      <c r="O23" s="1319">
        <f>Q23</f>
        <v>7515</v>
      </c>
      <c r="P23" s="1319">
        <f t="shared" si="3"/>
        <v>100</v>
      </c>
      <c r="Q23" s="1319">
        <f>+'[117]H1-2012-13'!N22+'[117]H2-2012-13'!N16</f>
        <v>7515</v>
      </c>
      <c r="R23" s="1319">
        <v>0</v>
      </c>
      <c r="S23" s="1319">
        <f>U23</f>
        <v>2485</v>
      </c>
      <c r="T23" s="1319">
        <f t="shared" si="5"/>
        <v>75.150000000000006</v>
      </c>
      <c r="U23" s="1319">
        <f t="shared" si="6"/>
        <v>2485</v>
      </c>
      <c r="V23" s="1319">
        <f t="shared" si="10"/>
        <v>24.85</v>
      </c>
      <c r="W23" s="1247">
        <v>0</v>
      </c>
      <c r="X23" s="1197">
        <f t="shared" si="12"/>
        <v>565.46356000000003</v>
      </c>
      <c r="Y23" s="1196">
        <f>+'[117]H1-2012-13'!T22+'[117]H2-2012-13'!T16</f>
        <v>565.46356000000003</v>
      </c>
      <c r="AA23" s="1197">
        <f t="shared" si="8"/>
        <v>5.6546356000000007</v>
      </c>
    </row>
    <row r="24" spans="1:27" ht="16.5" customHeight="1" thickBot="1">
      <c r="A24" s="6270"/>
      <c r="B24" s="6268"/>
      <c r="C24" s="1766">
        <v>0.10249999999999999</v>
      </c>
      <c r="D24" s="1319">
        <v>100</v>
      </c>
      <c r="E24" s="1317" t="s">
        <v>897</v>
      </c>
      <c r="F24" s="1317" t="s">
        <v>1030</v>
      </c>
      <c r="G24" s="1319">
        <v>0</v>
      </c>
      <c r="H24" s="1319">
        <v>0</v>
      </c>
      <c r="I24" s="1319">
        <v>0</v>
      </c>
      <c r="J24" s="1319">
        <v>0</v>
      </c>
      <c r="K24" s="1319">
        <v>10000</v>
      </c>
      <c r="L24" s="1319">
        <f t="shared" si="9"/>
        <v>0</v>
      </c>
      <c r="M24" s="1319">
        <v>10000</v>
      </c>
      <c r="N24" s="1319">
        <v>0</v>
      </c>
      <c r="O24" s="1319">
        <v>0</v>
      </c>
      <c r="P24" s="1319">
        <f t="shared" si="3"/>
        <v>100</v>
      </c>
      <c r="Q24" s="1319">
        <f>+'[117]H1-2012-13'!N23+'[117]H2-2012-13'!N17</f>
        <v>6680</v>
      </c>
      <c r="R24" s="1319">
        <v>0</v>
      </c>
      <c r="S24" s="1319">
        <f>U24</f>
        <v>3320</v>
      </c>
      <c r="T24" s="1319">
        <f t="shared" si="5"/>
        <v>66.8</v>
      </c>
      <c r="U24" s="1319">
        <f>(I24+M24-Q24)</f>
        <v>3320</v>
      </c>
      <c r="V24" s="1319">
        <f t="shared" si="10"/>
        <v>33.200000000000003</v>
      </c>
      <c r="W24" s="1247">
        <v>0</v>
      </c>
      <c r="X24" s="1197">
        <f t="shared" si="12"/>
        <v>523.80896000000007</v>
      </c>
      <c r="Y24" s="1196">
        <f>+'[117]H1-2012-13'!T23+'[117]H2-2012-13'!T17</f>
        <v>523.80896000000007</v>
      </c>
      <c r="AA24" s="1197">
        <f t="shared" si="8"/>
        <v>5.2380896000000003</v>
      </c>
    </row>
    <row r="25" spans="1:27" ht="16.5" customHeight="1" thickBot="1">
      <c r="A25" s="6270"/>
      <c r="B25" s="6268"/>
      <c r="C25" s="1766">
        <v>0.10249999999999999</v>
      </c>
      <c r="D25" s="1319">
        <v>100</v>
      </c>
      <c r="E25" s="1317" t="s">
        <v>899</v>
      </c>
      <c r="F25" s="1317" t="s">
        <v>900</v>
      </c>
      <c r="G25" s="1319">
        <v>0</v>
      </c>
      <c r="H25" s="1319">
        <v>0</v>
      </c>
      <c r="I25" s="1319">
        <v>0</v>
      </c>
      <c r="J25" s="1319">
        <v>0</v>
      </c>
      <c r="K25" s="1319">
        <v>10000</v>
      </c>
      <c r="L25" s="1319">
        <f t="shared" si="9"/>
        <v>0</v>
      </c>
      <c r="M25" s="1319">
        <v>10000</v>
      </c>
      <c r="N25" s="1319">
        <v>0</v>
      </c>
      <c r="O25" s="1319">
        <v>0</v>
      </c>
      <c r="P25" s="1319">
        <f t="shared" si="3"/>
        <v>100</v>
      </c>
      <c r="Q25" s="1319">
        <f>+'[117]H1-2012-13'!N24+'[117]H2-2012-13'!N18</f>
        <v>6680</v>
      </c>
      <c r="R25" s="1319">
        <v>0</v>
      </c>
      <c r="S25" s="1319">
        <f>U25</f>
        <v>3320</v>
      </c>
      <c r="T25" s="1319">
        <f t="shared" si="5"/>
        <v>66.8</v>
      </c>
      <c r="U25" s="1319">
        <f>(I25+M25-Q25)</f>
        <v>3320</v>
      </c>
      <c r="V25" s="1319">
        <f t="shared" si="10"/>
        <v>33.200000000000003</v>
      </c>
      <c r="W25" s="1247">
        <v>0</v>
      </c>
      <c r="X25" s="1197">
        <f t="shared" si="12"/>
        <v>535.22881000000007</v>
      </c>
      <c r="Y25" s="1196">
        <f>+'[117]H1-2012-13'!T24+'[117]H2-2012-13'!T18</f>
        <v>535.22881000000007</v>
      </c>
      <c r="AA25" s="1197">
        <f t="shared" si="8"/>
        <v>5.3522881000000009</v>
      </c>
    </row>
    <row r="26" spans="1:27" ht="16.5" customHeight="1" thickBot="1">
      <c r="A26" s="6270"/>
      <c r="B26" s="6268"/>
      <c r="C26" s="1766">
        <v>0.10249999999999999</v>
      </c>
      <c r="D26" s="1319">
        <v>100</v>
      </c>
      <c r="E26" s="1317" t="s">
        <v>901</v>
      </c>
      <c r="F26" s="1317" t="s">
        <v>902</v>
      </c>
      <c r="G26" s="1319">
        <v>0</v>
      </c>
      <c r="H26" s="1319">
        <v>0</v>
      </c>
      <c r="I26" s="1319">
        <v>0</v>
      </c>
      <c r="J26" s="1319">
        <v>0</v>
      </c>
      <c r="K26" s="1319">
        <v>10000</v>
      </c>
      <c r="L26" s="1319">
        <f t="shared" si="9"/>
        <v>0</v>
      </c>
      <c r="M26" s="1319">
        <v>10000</v>
      </c>
      <c r="N26" s="1319">
        <v>0</v>
      </c>
      <c r="O26" s="1319">
        <v>0</v>
      </c>
      <c r="P26" s="1319">
        <f t="shared" si="3"/>
        <v>100</v>
      </c>
      <c r="Q26" s="1319">
        <f>+'[117]H2-2012-13'!N19</f>
        <v>5010</v>
      </c>
      <c r="R26" s="1319">
        <v>0</v>
      </c>
      <c r="S26" s="1319">
        <f>U26</f>
        <v>4990</v>
      </c>
      <c r="T26" s="1319">
        <f t="shared" si="5"/>
        <v>50.1</v>
      </c>
      <c r="U26" s="1319">
        <f>(I26+M26-Q26)</f>
        <v>4990</v>
      </c>
      <c r="V26" s="1319">
        <f t="shared" si="10"/>
        <v>49.9</v>
      </c>
      <c r="W26" s="1247">
        <v>0</v>
      </c>
      <c r="X26" s="1197">
        <f t="shared" si="12"/>
        <v>430.28676999999993</v>
      </c>
      <c r="Y26" s="1196">
        <f>+'[117]H1-2012-13'!T25+'[117]H2-2012-13'!T19</f>
        <v>430.28676999999993</v>
      </c>
      <c r="AA26" s="1197">
        <f t="shared" si="8"/>
        <v>4.3028676999999993</v>
      </c>
    </row>
    <row r="27" spans="1:27" s="1246" customFormat="1" ht="16.5" customHeight="1" thickBot="1">
      <c r="A27" s="6270"/>
      <c r="B27" s="6268"/>
      <c r="C27" s="1320">
        <v>0.10249999999999999</v>
      </c>
      <c r="D27" s="1900">
        <v>200</v>
      </c>
      <c r="E27" s="1321" t="s">
        <v>903</v>
      </c>
      <c r="F27" s="1321" t="s">
        <v>904</v>
      </c>
      <c r="G27" s="1900">
        <v>0</v>
      </c>
      <c r="H27" s="1900">
        <f>I27</f>
        <v>0</v>
      </c>
      <c r="I27" s="1900">
        <v>0</v>
      </c>
      <c r="J27" s="1900">
        <v>0</v>
      </c>
      <c r="K27" s="1900">
        <f>M27</f>
        <v>20000</v>
      </c>
      <c r="L27" s="1900">
        <f t="shared" si="9"/>
        <v>0</v>
      </c>
      <c r="M27" s="1900">
        <v>20000</v>
      </c>
      <c r="N27" s="1900">
        <v>0</v>
      </c>
      <c r="O27" s="1900">
        <f>Q27</f>
        <v>0</v>
      </c>
      <c r="P27" s="1900">
        <f t="shared" si="3"/>
        <v>200</v>
      </c>
      <c r="Q27" s="1900">
        <f>+'[117]H2-2012-13'!N20</f>
        <v>0</v>
      </c>
      <c r="R27" s="1900">
        <v>0</v>
      </c>
      <c r="S27" s="1900">
        <f>U27</f>
        <v>20000</v>
      </c>
      <c r="T27" s="1900">
        <f t="shared" si="5"/>
        <v>0</v>
      </c>
      <c r="U27" s="1900">
        <f>(I27+M27-Q27)</f>
        <v>20000</v>
      </c>
      <c r="V27" s="1900">
        <f t="shared" si="10"/>
        <v>200</v>
      </c>
      <c r="W27" s="1245">
        <v>0</v>
      </c>
      <c r="X27" s="1243">
        <f t="shared" si="12"/>
        <v>0</v>
      </c>
      <c r="Y27" s="1244">
        <f>+'[117]Q4-2012-13'!T16</f>
        <v>0</v>
      </c>
      <c r="AA27" s="1243">
        <f t="shared" si="8"/>
        <v>0</v>
      </c>
    </row>
    <row r="28" spans="1:27" ht="16.5" customHeight="1" thickBot="1">
      <c r="A28" s="6270">
        <v>2</v>
      </c>
      <c r="B28" s="6268" t="s">
        <v>905</v>
      </c>
      <c r="C28" s="1766">
        <v>0.1065</v>
      </c>
      <c r="D28" s="1319">
        <v>50</v>
      </c>
      <c r="E28" s="1317" t="s">
        <v>988</v>
      </c>
      <c r="F28" s="2555">
        <v>41060</v>
      </c>
      <c r="G28" s="1319">
        <v>0</v>
      </c>
      <c r="H28" s="1319">
        <f>(I28)</f>
        <v>1000</v>
      </c>
      <c r="I28" s="1319">
        <v>1000</v>
      </c>
      <c r="J28" s="1319">
        <v>0</v>
      </c>
      <c r="K28" s="1319">
        <f t="shared" ref="K28:K33" si="13">(M28)</f>
        <v>0</v>
      </c>
      <c r="L28" s="1319">
        <f t="shared" si="9"/>
        <v>10</v>
      </c>
      <c r="M28" s="1319">
        <v>0</v>
      </c>
      <c r="N28" s="1319">
        <v>0</v>
      </c>
      <c r="O28" s="1319">
        <f>(Q28)</f>
        <v>1000</v>
      </c>
      <c r="P28" s="1319">
        <f t="shared" si="3"/>
        <v>0</v>
      </c>
      <c r="Q28" s="1319">
        <f>+'[117]H1-2012-13'!N26</f>
        <v>1000</v>
      </c>
      <c r="R28" s="1319">
        <v>0</v>
      </c>
      <c r="S28" s="1319">
        <f>(U28)</f>
        <v>0</v>
      </c>
      <c r="T28" s="1319">
        <f t="shared" si="5"/>
        <v>10</v>
      </c>
      <c r="U28" s="1319">
        <f t="shared" si="6"/>
        <v>0</v>
      </c>
      <c r="V28" s="1319">
        <f t="shared" si="10"/>
        <v>0</v>
      </c>
      <c r="W28" s="2548">
        <v>0</v>
      </c>
      <c r="X28" s="1207">
        <f t="shared" ref="X28:X33" si="14">(Y28)</f>
        <v>12.899999999999999</v>
      </c>
      <c r="Y28" s="1197">
        <f>+'[117]H1-2012-13'!T26</f>
        <v>12.899999999999999</v>
      </c>
      <c r="AA28" s="1197">
        <f t="shared" si="8"/>
        <v>0.12899999999999998</v>
      </c>
    </row>
    <row r="29" spans="1:27" ht="16.5" customHeight="1" thickBot="1">
      <c r="A29" s="6270"/>
      <c r="B29" s="6268"/>
      <c r="C29" s="1766">
        <v>0.1045</v>
      </c>
      <c r="D29" s="1319">
        <v>100</v>
      </c>
      <c r="E29" s="1317" t="s">
        <v>990</v>
      </c>
      <c r="F29" s="1317" t="s">
        <v>899</v>
      </c>
      <c r="G29" s="1319">
        <v>0</v>
      </c>
      <c r="H29" s="1319">
        <f>(I29)</f>
        <v>3400</v>
      </c>
      <c r="I29" s="1319">
        <v>3400</v>
      </c>
      <c r="J29" s="1319">
        <v>0</v>
      </c>
      <c r="K29" s="1319">
        <f t="shared" si="13"/>
        <v>0</v>
      </c>
      <c r="L29" s="1319">
        <f t="shared" si="9"/>
        <v>34</v>
      </c>
      <c r="M29" s="1319">
        <v>0</v>
      </c>
      <c r="N29" s="1319">
        <v>0</v>
      </c>
      <c r="O29" s="1319">
        <f>(Q29)</f>
        <v>3400</v>
      </c>
      <c r="P29" s="1319">
        <f t="shared" si="3"/>
        <v>0</v>
      </c>
      <c r="Q29" s="1319">
        <f>+'[117]H1-2012-13'!N27</f>
        <v>3400</v>
      </c>
      <c r="R29" s="1319">
        <v>0</v>
      </c>
      <c r="S29" s="1319">
        <f>(U29)</f>
        <v>0</v>
      </c>
      <c r="T29" s="1319">
        <f t="shared" si="5"/>
        <v>34</v>
      </c>
      <c r="U29" s="1319">
        <f t="shared" si="6"/>
        <v>0</v>
      </c>
      <c r="V29" s="1319">
        <f t="shared" si="10"/>
        <v>0</v>
      </c>
      <c r="W29" s="2548">
        <v>0</v>
      </c>
      <c r="X29" s="1208">
        <f t="shared" si="14"/>
        <v>49.88</v>
      </c>
      <c r="Y29" s="1197">
        <f>+'[117]H1-2012-13'!T27</f>
        <v>49.88</v>
      </c>
      <c r="AA29" s="1197">
        <f t="shared" si="8"/>
        <v>0.49880000000000002</v>
      </c>
    </row>
    <row r="30" spans="1:27" ht="16.5" customHeight="1" thickBot="1">
      <c r="A30" s="6270"/>
      <c r="B30" s="6268"/>
      <c r="C30" s="1766">
        <v>0.105</v>
      </c>
      <c r="D30" s="1319">
        <v>50</v>
      </c>
      <c r="E30" s="1317" t="s">
        <v>906</v>
      </c>
      <c r="F30" s="1317" t="s">
        <v>907</v>
      </c>
      <c r="G30" s="1319">
        <v>0</v>
      </c>
      <c r="H30" s="1319">
        <f>(I30)</f>
        <v>3800</v>
      </c>
      <c r="I30" s="1319">
        <v>3800</v>
      </c>
      <c r="J30" s="1319">
        <v>0</v>
      </c>
      <c r="K30" s="1319">
        <f t="shared" si="13"/>
        <v>0</v>
      </c>
      <c r="L30" s="1319">
        <f t="shared" si="9"/>
        <v>38</v>
      </c>
      <c r="M30" s="1319">
        <v>0</v>
      </c>
      <c r="N30" s="1319">
        <v>0</v>
      </c>
      <c r="O30" s="1319">
        <f>(Q30)</f>
        <v>3800</v>
      </c>
      <c r="P30" s="1319">
        <f t="shared" si="3"/>
        <v>0</v>
      </c>
      <c r="Q30" s="1319">
        <f>+'[117]H1-2012-13'!N28+'[117]H2-2012-13'!N21</f>
        <v>3800</v>
      </c>
      <c r="R30" s="1319">
        <v>0</v>
      </c>
      <c r="S30" s="1319">
        <f>(U30)</f>
        <v>0</v>
      </c>
      <c r="T30" s="1319">
        <f t="shared" si="5"/>
        <v>38</v>
      </c>
      <c r="U30" s="1319">
        <f t="shared" si="6"/>
        <v>0</v>
      </c>
      <c r="V30" s="1319">
        <f t="shared" si="10"/>
        <v>0</v>
      </c>
      <c r="W30" s="1228">
        <v>0</v>
      </c>
      <c r="X30" s="1201">
        <f t="shared" si="14"/>
        <v>150.91999999999999</v>
      </c>
      <c r="Y30" s="1197">
        <f>+'[117]H1-2012-13'!T28+'[117]H2-2012-13'!T21</f>
        <v>150.91999999999999</v>
      </c>
      <c r="AA30" s="1197">
        <f t="shared" si="8"/>
        <v>1.5091999999999999</v>
      </c>
    </row>
    <row r="31" spans="1:27" ht="16.5" customHeight="1" thickBot="1">
      <c r="A31" s="6270"/>
      <c r="B31" s="6268"/>
      <c r="C31" s="1766">
        <v>0.105</v>
      </c>
      <c r="D31" s="1319">
        <v>100</v>
      </c>
      <c r="E31" s="1317" t="s">
        <v>908</v>
      </c>
      <c r="F31" s="1317" t="s">
        <v>909</v>
      </c>
      <c r="G31" s="1319">
        <f>I31*75%</f>
        <v>6300</v>
      </c>
      <c r="H31" s="1319">
        <f>(I31)*25%</f>
        <v>2100</v>
      </c>
      <c r="I31" s="1319">
        <v>8400</v>
      </c>
      <c r="J31" s="1319">
        <f>M31*75%</f>
        <v>0</v>
      </c>
      <c r="K31" s="1319">
        <f>(M31)*25%</f>
        <v>0</v>
      </c>
      <c r="L31" s="1319">
        <f t="shared" si="9"/>
        <v>84</v>
      </c>
      <c r="M31" s="1319">
        <v>0</v>
      </c>
      <c r="N31" s="1319">
        <f>Q31*75%</f>
        <v>6300</v>
      </c>
      <c r="O31" s="1319">
        <f>(Q31)*25%</f>
        <v>2100</v>
      </c>
      <c r="P31" s="1319">
        <f t="shared" si="3"/>
        <v>0</v>
      </c>
      <c r="Q31" s="1319">
        <f>+'[117]H1-2012-13'!N29+'[117]H2-2012-13'!N22</f>
        <v>8400</v>
      </c>
      <c r="R31" s="1319">
        <f>U31*75%</f>
        <v>0</v>
      </c>
      <c r="S31" s="1319">
        <f>(U31)*25%</f>
        <v>0</v>
      </c>
      <c r="T31" s="1319">
        <f t="shared" si="5"/>
        <v>84</v>
      </c>
      <c r="U31" s="1319">
        <f t="shared" si="6"/>
        <v>0</v>
      </c>
      <c r="V31" s="1319">
        <f t="shared" si="10"/>
        <v>0</v>
      </c>
      <c r="W31" s="1247">
        <f>+'[117]H1-2012-13'!R29+'[117]H2-2012-13'!R22</f>
        <v>281.7525</v>
      </c>
      <c r="X31" s="1197">
        <f>+'[117]H1-2012-13'!S29+'[117]H2-2012-13'!S22</f>
        <v>93.917500000000004</v>
      </c>
      <c r="Y31" s="1197">
        <f>+'[117]H1-2012-13'!T29+'[117]H2-2012-13'!T22</f>
        <v>375.67</v>
      </c>
      <c r="AA31" s="1197">
        <f t="shared" si="8"/>
        <v>0.93917500000000009</v>
      </c>
    </row>
    <row r="32" spans="1:27" ht="16.5" customHeight="1" thickBot="1">
      <c r="A32" s="6270"/>
      <c r="B32" s="6268"/>
      <c r="C32" s="1766">
        <v>0.10249999999999999</v>
      </c>
      <c r="D32" s="1319">
        <v>50</v>
      </c>
      <c r="E32" s="1317" t="s">
        <v>910</v>
      </c>
      <c r="F32" s="1317" t="s">
        <v>911</v>
      </c>
      <c r="G32" s="1319">
        <v>0</v>
      </c>
      <c r="H32" s="1319">
        <f>(I32)</f>
        <v>4600</v>
      </c>
      <c r="I32" s="1319">
        <v>4600</v>
      </c>
      <c r="J32" s="1319">
        <v>0</v>
      </c>
      <c r="K32" s="1319">
        <f t="shared" si="13"/>
        <v>0</v>
      </c>
      <c r="L32" s="1319">
        <f t="shared" si="9"/>
        <v>46</v>
      </c>
      <c r="M32" s="1319">
        <v>0</v>
      </c>
      <c r="N32" s="1319">
        <v>0</v>
      </c>
      <c r="O32" s="1319">
        <f>(Q32)</f>
        <v>4600</v>
      </c>
      <c r="P32" s="1319">
        <f t="shared" si="3"/>
        <v>0</v>
      </c>
      <c r="Q32" s="1319">
        <f>+'[117]H1-2012-13'!N30+'[117]H2-2012-13'!N23</f>
        <v>4600</v>
      </c>
      <c r="R32" s="1319">
        <v>0</v>
      </c>
      <c r="S32" s="1319">
        <f>(U32)</f>
        <v>0</v>
      </c>
      <c r="T32" s="1319">
        <f t="shared" si="5"/>
        <v>46</v>
      </c>
      <c r="U32" s="1319">
        <f t="shared" si="6"/>
        <v>0</v>
      </c>
      <c r="V32" s="1319">
        <f t="shared" si="10"/>
        <v>0</v>
      </c>
      <c r="W32" s="1228">
        <v>0</v>
      </c>
      <c r="X32" s="1201">
        <f t="shared" si="14"/>
        <v>222.63308999999998</v>
      </c>
      <c r="Y32" s="1197">
        <f>+'[117]H1-2012-13'!T30+'[117]H2-2012-13'!T23</f>
        <v>222.63308999999998</v>
      </c>
      <c r="AA32" s="1197">
        <f t="shared" si="8"/>
        <v>2.2263308999999998</v>
      </c>
    </row>
    <row r="33" spans="1:27" ht="16.5" customHeight="1" thickBot="1">
      <c r="A33" s="6270"/>
      <c r="B33" s="6268"/>
      <c r="C33" s="1766">
        <v>0.10249999999999999</v>
      </c>
      <c r="D33" s="1319">
        <v>100</v>
      </c>
      <c r="E33" s="1317" t="s">
        <v>912</v>
      </c>
      <c r="F33" s="1317" t="s">
        <v>913</v>
      </c>
      <c r="G33" s="1319">
        <v>0</v>
      </c>
      <c r="H33" s="1319">
        <f>(I33)</f>
        <v>9200</v>
      </c>
      <c r="I33" s="1319">
        <v>9200</v>
      </c>
      <c r="J33" s="1319">
        <v>0</v>
      </c>
      <c r="K33" s="1319">
        <f t="shared" si="13"/>
        <v>0</v>
      </c>
      <c r="L33" s="1319">
        <f t="shared" si="9"/>
        <v>92</v>
      </c>
      <c r="M33" s="1319">
        <v>0</v>
      </c>
      <c r="N33" s="1319">
        <v>0</v>
      </c>
      <c r="O33" s="1319">
        <f>(Q33)</f>
        <v>9200</v>
      </c>
      <c r="P33" s="1319">
        <f t="shared" si="3"/>
        <v>0</v>
      </c>
      <c r="Q33" s="1319">
        <f>+'[117]H1-2012-13'!N31+'[117]H2-2012-13'!N24</f>
        <v>9200</v>
      </c>
      <c r="R33" s="1319">
        <v>0</v>
      </c>
      <c r="S33" s="1319">
        <f>(U33)</f>
        <v>0</v>
      </c>
      <c r="T33" s="1319">
        <f t="shared" si="5"/>
        <v>92</v>
      </c>
      <c r="U33" s="1319">
        <f t="shared" si="6"/>
        <v>0</v>
      </c>
      <c r="V33" s="1319">
        <f t="shared" si="10"/>
        <v>0</v>
      </c>
      <c r="W33" s="1228">
        <v>0</v>
      </c>
      <c r="X33" s="1201">
        <f t="shared" si="14"/>
        <v>466.05900000000003</v>
      </c>
      <c r="Y33" s="1197">
        <f>+'[117]H1-2012-13'!T31+'[117]H2-2012-13'!T24</f>
        <v>466.05900000000003</v>
      </c>
      <c r="AA33" s="1197">
        <f t="shared" si="8"/>
        <v>4.66059</v>
      </c>
    </row>
    <row r="34" spans="1:27" ht="16.5" customHeight="1" thickBot="1">
      <c r="A34" s="6270"/>
      <c r="B34" s="6268"/>
      <c r="C34" s="1766">
        <v>0.10249999999999999</v>
      </c>
      <c r="D34" s="1319">
        <v>100</v>
      </c>
      <c r="E34" s="1317" t="s">
        <v>914</v>
      </c>
      <c r="F34" s="1317" t="s">
        <v>915</v>
      </c>
      <c r="G34" s="1319">
        <v>0</v>
      </c>
      <c r="H34" s="1319">
        <f>I34</f>
        <v>0</v>
      </c>
      <c r="I34" s="1319">
        <v>0</v>
      </c>
      <c r="J34" s="1319">
        <v>0</v>
      </c>
      <c r="K34" s="1319">
        <f>M34</f>
        <v>10000</v>
      </c>
      <c r="L34" s="1319">
        <f t="shared" si="9"/>
        <v>0</v>
      </c>
      <c r="M34" s="1319">
        <v>10000</v>
      </c>
      <c r="N34" s="1319">
        <v>0</v>
      </c>
      <c r="O34" s="1319">
        <f>Q34</f>
        <v>9000</v>
      </c>
      <c r="P34" s="1319">
        <f t="shared" si="3"/>
        <v>100</v>
      </c>
      <c r="Q34" s="1319">
        <f>+'[117]H1-2012-13'!N32+'[117]H2-2012-13'!N25</f>
        <v>9000</v>
      </c>
      <c r="R34" s="1319">
        <v>0</v>
      </c>
      <c r="S34" s="1319">
        <f>U34</f>
        <v>1000</v>
      </c>
      <c r="T34" s="1319">
        <f t="shared" si="5"/>
        <v>90</v>
      </c>
      <c r="U34" s="1319">
        <f t="shared" si="6"/>
        <v>1000</v>
      </c>
      <c r="V34" s="1319">
        <f t="shared" si="10"/>
        <v>10</v>
      </c>
      <c r="W34" s="1247">
        <v>0</v>
      </c>
      <c r="X34" s="1197">
        <f>Y34</f>
        <v>585.9041299999999</v>
      </c>
      <c r="Y34" s="1197">
        <f>+'[117]H1-2012-13'!T32+'[117]H2-2012-13'!T25</f>
        <v>585.9041299999999</v>
      </c>
      <c r="AA34" s="1197">
        <f t="shared" si="8"/>
        <v>5.8590412999999986</v>
      </c>
    </row>
    <row r="35" spans="1:27" ht="16.5" customHeight="1" thickBot="1">
      <c r="A35" s="6270"/>
      <c r="B35" s="6268"/>
      <c r="C35" s="1766">
        <v>0.105</v>
      </c>
      <c r="D35" s="1319">
        <v>60</v>
      </c>
      <c r="E35" s="1317" t="s">
        <v>991</v>
      </c>
      <c r="F35" s="2554" t="s">
        <v>1031</v>
      </c>
      <c r="G35" s="1319">
        <v>0</v>
      </c>
      <c r="H35" s="1319">
        <f>(I35)</f>
        <v>0</v>
      </c>
      <c r="I35" s="1319">
        <v>0</v>
      </c>
      <c r="J35" s="1319">
        <v>0</v>
      </c>
      <c r="K35" s="1319">
        <f>M35</f>
        <v>6000</v>
      </c>
      <c r="L35" s="1319">
        <f t="shared" si="9"/>
        <v>0</v>
      </c>
      <c r="M35" s="1319">
        <v>6000</v>
      </c>
      <c r="N35" s="1319">
        <v>0</v>
      </c>
      <c r="O35" s="1319">
        <f>(Q35)</f>
        <v>6000</v>
      </c>
      <c r="P35" s="1319">
        <f t="shared" si="3"/>
        <v>60</v>
      </c>
      <c r="Q35" s="1319">
        <f>'[117]Q1-2012-13'!N30+'[117]Q2-2012-13'!N29</f>
        <v>6000</v>
      </c>
      <c r="R35" s="1319">
        <v>0</v>
      </c>
      <c r="S35" s="1319">
        <f>(U35)</f>
        <v>0</v>
      </c>
      <c r="T35" s="1319">
        <f t="shared" si="5"/>
        <v>60</v>
      </c>
      <c r="U35" s="1319">
        <f t="shared" si="6"/>
        <v>0</v>
      </c>
      <c r="V35" s="1319">
        <f t="shared" si="10"/>
        <v>0</v>
      </c>
      <c r="W35" s="1247">
        <v>0</v>
      </c>
      <c r="X35" s="1197">
        <f>Y35</f>
        <v>88.02</v>
      </c>
      <c r="Y35" s="1197">
        <f>+'[117]H1-2012-13'!T33</f>
        <v>88.02</v>
      </c>
      <c r="AA35" s="1197">
        <f t="shared" si="8"/>
        <v>0.88019999999999998</v>
      </c>
    </row>
    <row r="36" spans="1:27" ht="16.5" customHeight="1" thickBot="1">
      <c r="A36" s="6270"/>
      <c r="B36" s="6268"/>
      <c r="C36" s="1766">
        <v>0.105</v>
      </c>
      <c r="D36" s="1319">
        <v>50</v>
      </c>
      <c r="E36" s="1317" t="s">
        <v>993</v>
      </c>
      <c r="F36" s="1317" t="s">
        <v>994</v>
      </c>
      <c r="G36" s="1319">
        <v>0</v>
      </c>
      <c r="H36" s="1319">
        <f>I36</f>
        <v>0</v>
      </c>
      <c r="I36" s="1319">
        <v>0</v>
      </c>
      <c r="J36" s="1319">
        <v>0</v>
      </c>
      <c r="K36" s="1319">
        <f>M36</f>
        <v>5000</v>
      </c>
      <c r="L36" s="1319">
        <f t="shared" si="9"/>
        <v>0</v>
      </c>
      <c r="M36" s="1319">
        <v>5000</v>
      </c>
      <c r="N36" s="1319">
        <v>0</v>
      </c>
      <c r="O36" s="1319">
        <f>Q36</f>
        <v>5000</v>
      </c>
      <c r="P36" s="1319">
        <f t="shared" si="3"/>
        <v>50</v>
      </c>
      <c r="Q36" s="1319">
        <f>'[117]Q1-2012-13'!N31+'[117]Q2-2012-13'!N30</f>
        <v>5000</v>
      </c>
      <c r="R36" s="1319">
        <v>0</v>
      </c>
      <c r="S36" s="1319">
        <f>U36</f>
        <v>0</v>
      </c>
      <c r="T36" s="1319">
        <f t="shared" si="5"/>
        <v>50</v>
      </c>
      <c r="U36" s="1319">
        <f t="shared" si="6"/>
        <v>0</v>
      </c>
      <c r="V36" s="1319">
        <f t="shared" si="10"/>
        <v>0</v>
      </c>
      <c r="W36" s="1247">
        <v>0</v>
      </c>
      <c r="X36" s="1197">
        <f>Y36</f>
        <v>64.72</v>
      </c>
      <c r="Y36" s="1197">
        <f>+'[117]H1-2012-13'!T34</f>
        <v>64.72</v>
      </c>
      <c r="AA36" s="1197">
        <f t="shared" si="8"/>
        <v>0.6472</v>
      </c>
    </row>
    <row r="37" spans="1:27" ht="16.5" customHeight="1" thickBot="1">
      <c r="A37" s="1906"/>
      <c r="B37" s="1904" t="s">
        <v>1032</v>
      </c>
      <c r="C37" s="1766"/>
      <c r="D37" s="2556"/>
      <c r="E37" s="1317"/>
      <c r="F37" s="1317"/>
      <c r="G37" s="1319"/>
      <c r="H37" s="1319"/>
      <c r="I37" s="1319"/>
      <c r="J37" s="1319"/>
      <c r="K37" s="1319"/>
      <c r="L37" s="1319">
        <f>SUM(L6:L36)</f>
        <v>1111.1499999999999</v>
      </c>
      <c r="M37" s="1319"/>
      <c r="N37" s="1319"/>
      <c r="O37" s="1319"/>
      <c r="P37" s="1319">
        <f t="shared" ref="P37:V37" si="15">SUM(P6:P36)</f>
        <v>1110</v>
      </c>
      <c r="Q37" s="1319">
        <f t="shared" si="15"/>
        <v>182885</v>
      </c>
      <c r="R37" s="1319">
        <f t="shared" si="15"/>
        <v>0</v>
      </c>
      <c r="S37" s="1319">
        <f t="shared" si="15"/>
        <v>39230</v>
      </c>
      <c r="T37" s="1319">
        <f t="shared" si="15"/>
        <v>1828.85</v>
      </c>
      <c r="U37" s="1319">
        <f t="shared" si="15"/>
        <v>39230</v>
      </c>
      <c r="V37" s="1319">
        <f t="shared" si="15"/>
        <v>392.3</v>
      </c>
      <c r="W37" s="1247"/>
      <c r="X37" s="1197"/>
      <c r="Y37" s="1197"/>
      <c r="AA37" s="1197"/>
    </row>
    <row r="38" spans="1:27" ht="16.5" customHeight="1" thickBot="1">
      <c r="A38" s="1906"/>
      <c r="B38" s="1904"/>
      <c r="C38" s="1779"/>
      <c r="D38" s="1776"/>
      <c r="E38" s="1379"/>
      <c r="F38" s="1379"/>
      <c r="G38" s="1234"/>
      <c r="H38" s="1234"/>
      <c r="I38" s="1764"/>
      <c r="J38" s="1234"/>
      <c r="K38" s="1234"/>
      <c r="L38" s="1234"/>
      <c r="M38" s="1764"/>
      <c r="N38" s="1234"/>
      <c r="O38" s="1234"/>
      <c r="P38" s="1234"/>
      <c r="Q38" s="1234"/>
      <c r="R38" s="1234"/>
      <c r="S38" s="1234"/>
      <c r="T38" s="1234"/>
      <c r="U38" s="1234"/>
      <c r="V38" s="1764" t="s">
        <v>1033</v>
      </c>
      <c r="W38" s="1247"/>
      <c r="X38" s="1197"/>
      <c r="Y38" s="1197"/>
      <c r="AA38" s="1197"/>
    </row>
    <row r="39" spans="1:27" ht="16.5" customHeight="1" thickBot="1">
      <c r="A39" s="6268" t="s">
        <v>1034</v>
      </c>
      <c r="B39" s="6268"/>
      <c r="C39" s="6268"/>
      <c r="D39" s="6268"/>
      <c r="E39" s="6268"/>
      <c r="F39" s="6268"/>
      <c r="G39" s="6268"/>
      <c r="H39" s="6268"/>
      <c r="I39" s="6268"/>
      <c r="J39" s="6268"/>
      <c r="K39" s="6268"/>
      <c r="L39" s="6268"/>
      <c r="M39" s="6268"/>
      <c r="N39" s="6268"/>
      <c r="O39" s="6268"/>
      <c r="P39" s="6268"/>
      <c r="Q39" s="6268"/>
      <c r="R39" s="6268"/>
      <c r="S39" s="6268"/>
      <c r="T39" s="6268"/>
      <c r="U39" s="6268"/>
      <c r="V39" s="6268"/>
      <c r="W39" s="1247"/>
      <c r="X39" s="1197"/>
      <c r="Y39" s="1197"/>
      <c r="AA39" s="1197"/>
    </row>
    <row r="40" spans="1:27" ht="16.5" customHeight="1" thickBot="1">
      <c r="A40" s="6262" t="s">
        <v>856</v>
      </c>
      <c r="B40" s="6263" t="s">
        <v>857</v>
      </c>
      <c r="C40" s="1909" t="s">
        <v>858</v>
      </c>
      <c r="D40" s="1909" t="s">
        <v>1015</v>
      </c>
      <c r="E40" s="6264" t="s">
        <v>859</v>
      </c>
      <c r="F40" s="6264"/>
      <c r="G40" s="6265" t="s">
        <v>1016</v>
      </c>
      <c r="H40" s="6265"/>
      <c r="I40" s="6265"/>
      <c r="J40" s="1908" t="s">
        <v>1017</v>
      </c>
      <c r="K40" s="1908" t="s">
        <v>1017</v>
      </c>
      <c r="L40" s="1908" t="s">
        <v>1017</v>
      </c>
      <c r="M40" s="1908" t="s">
        <v>1017</v>
      </c>
      <c r="N40" s="1908" t="s">
        <v>1018</v>
      </c>
      <c r="O40" s="1908" t="s">
        <v>1018</v>
      </c>
      <c r="P40" s="1908" t="s">
        <v>1018</v>
      </c>
      <c r="Q40" s="1908" t="s">
        <v>1018</v>
      </c>
      <c r="R40" s="1908" t="s">
        <v>1018</v>
      </c>
      <c r="S40" s="1908" t="s">
        <v>1018</v>
      </c>
      <c r="T40" s="1908" t="s">
        <v>1018</v>
      </c>
      <c r="U40" s="1908" t="s">
        <v>1019</v>
      </c>
      <c r="V40" s="1908" t="s">
        <v>1020</v>
      </c>
      <c r="W40" s="1247"/>
      <c r="X40" s="1197"/>
      <c r="Y40" s="1197"/>
      <c r="AA40" s="1197"/>
    </row>
    <row r="41" spans="1:27" ht="16.5" customHeight="1" thickBot="1">
      <c r="A41" s="6262"/>
      <c r="B41" s="6263"/>
      <c r="C41" s="1909" t="s">
        <v>865</v>
      </c>
      <c r="D41" s="1909" t="s">
        <v>1022</v>
      </c>
      <c r="E41" s="1907" t="s">
        <v>866</v>
      </c>
      <c r="F41" s="1907" t="s">
        <v>867</v>
      </c>
      <c r="G41" s="1908" t="s">
        <v>868</v>
      </c>
      <c r="H41" s="1908" t="s">
        <v>869</v>
      </c>
      <c r="I41" s="1908" t="s">
        <v>499</v>
      </c>
      <c r="J41" s="1908" t="s">
        <v>1023</v>
      </c>
      <c r="K41" s="1908" t="s">
        <v>1023</v>
      </c>
      <c r="L41" s="1908" t="s">
        <v>1024</v>
      </c>
      <c r="M41" s="1908" t="s">
        <v>1023</v>
      </c>
      <c r="N41" s="1908" t="s">
        <v>1025</v>
      </c>
      <c r="O41" s="1908" t="s">
        <v>1025</v>
      </c>
      <c r="P41" s="1908" t="s">
        <v>1025</v>
      </c>
      <c r="Q41" s="1908" t="s">
        <v>1025</v>
      </c>
      <c r="R41" s="1908" t="s">
        <v>1026</v>
      </c>
      <c r="S41" s="1908" t="s">
        <v>1026</v>
      </c>
      <c r="T41" s="1908" t="s">
        <v>1026</v>
      </c>
      <c r="U41" s="1908" t="s">
        <v>561</v>
      </c>
      <c r="V41" s="1908" t="s">
        <v>1027</v>
      </c>
      <c r="W41" s="1247"/>
      <c r="X41" s="1197"/>
      <c r="Y41" s="1197"/>
      <c r="AA41" s="1197"/>
    </row>
    <row r="42" spans="1:27" ht="16.5" customHeight="1" thickBot="1">
      <c r="A42" s="1903">
        <v>1</v>
      </c>
      <c r="B42" s="1904">
        <v>2</v>
      </c>
      <c r="C42" s="1379">
        <v>3</v>
      </c>
      <c r="D42" s="1379">
        <v>4</v>
      </c>
      <c r="E42" s="6278">
        <v>5</v>
      </c>
      <c r="F42" s="6278"/>
      <c r="G42" s="1763"/>
      <c r="H42" s="1763"/>
      <c r="I42" s="1764"/>
      <c r="J42" s="1776">
        <v>6</v>
      </c>
      <c r="K42" s="1776">
        <v>6</v>
      </c>
      <c r="L42" s="1776">
        <v>6</v>
      </c>
      <c r="M42" s="1776">
        <v>6</v>
      </c>
      <c r="N42" s="1776">
        <v>7</v>
      </c>
      <c r="O42" s="1776">
        <v>7</v>
      </c>
      <c r="P42" s="1776">
        <v>7</v>
      </c>
      <c r="Q42" s="1776">
        <v>7</v>
      </c>
      <c r="R42" s="1776">
        <v>8</v>
      </c>
      <c r="S42" s="1776">
        <v>8</v>
      </c>
      <c r="T42" s="1776">
        <v>8</v>
      </c>
      <c r="U42" s="1776"/>
      <c r="V42" s="1776">
        <v>9</v>
      </c>
      <c r="W42" s="1247"/>
      <c r="X42" s="1197"/>
      <c r="Y42" s="1197"/>
      <c r="AA42" s="1197"/>
    </row>
    <row r="43" spans="1:27" ht="16.5" customHeight="1" thickBot="1">
      <c r="A43" s="1906"/>
      <c r="B43" s="1904" t="s">
        <v>1035</v>
      </c>
      <c r="C43" s="1766"/>
      <c r="D43" s="2556"/>
      <c r="E43" s="1317"/>
      <c r="F43" s="1317"/>
      <c r="G43" s="1319"/>
      <c r="H43" s="1319"/>
      <c r="I43" s="1319"/>
      <c r="J43" s="1319"/>
      <c r="K43" s="1319"/>
      <c r="L43" s="1319">
        <f>L37</f>
        <v>1111.1499999999999</v>
      </c>
      <c r="M43" s="1319"/>
      <c r="N43" s="1319"/>
      <c r="O43" s="1319"/>
      <c r="P43" s="1319">
        <f t="shared" ref="P43:V43" si="16">P37</f>
        <v>1110</v>
      </c>
      <c r="Q43" s="1319">
        <f t="shared" si="16"/>
        <v>182885</v>
      </c>
      <c r="R43" s="1319">
        <f t="shared" si="16"/>
        <v>0</v>
      </c>
      <c r="S43" s="1319">
        <f t="shared" si="16"/>
        <v>39230</v>
      </c>
      <c r="T43" s="1319">
        <f t="shared" si="16"/>
        <v>1828.85</v>
      </c>
      <c r="U43" s="1319">
        <f t="shared" si="16"/>
        <v>39230</v>
      </c>
      <c r="V43" s="1319">
        <f t="shared" si="16"/>
        <v>392.3</v>
      </c>
      <c r="W43" s="1247"/>
      <c r="X43" s="1197"/>
      <c r="Y43" s="1197"/>
      <c r="AA43" s="1197"/>
    </row>
    <row r="44" spans="1:27" ht="16.5" customHeight="1" thickBot="1">
      <c r="A44" s="6267">
        <v>3</v>
      </c>
      <c r="B44" s="6268" t="s">
        <v>916</v>
      </c>
      <c r="C44" s="1320">
        <v>0.105</v>
      </c>
      <c r="D44" s="1900">
        <v>100</v>
      </c>
      <c r="E44" s="1318" t="s">
        <v>910</v>
      </c>
      <c r="F44" s="1318" t="s">
        <v>1036</v>
      </c>
      <c r="G44" s="1319">
        <v>0</v>
      </c>
      <c r="H44" s="1319">
        <f>(I44)</f>
        <v>8350</v>
      </c>
      <c r="I44" s="1319">
        <v>8350</v>
      </c>
      <c r="J44" s="1319">
        <v>0</v>
      </c>
      <c r="K44" s="1319">
        <f>(M44)</f>
        <v>0</v>
      </c>
      <c r="L44" s="1319">
        <f t="shared" si="9"/>
        <v>83.5</v>
      </c>
      <c r="M44" s="1319">
        <v>0</v>
      </c>
      <c r="N44" s="1319">
        <v>0</v>
      </c>
      <c r="O44" s="1319">
        <f>(Q44)</f>
        <v>8350</v>
      </c>
      <c r="P44" s="1319">
        <f t="shared" si="3"/>
        <v>0</v>
      </c>
      <c r="Q44" s="1319">
        <f>+'[117]H1-2012-13'!N35</f>
        <v>8350</v>
      </c>
      <c r="R44" s="1319">
        <v>0</v>
      </c>
      <c r="S44" s="1319">
        <f>(U44)</f>
        <v>0</v>
      </c>
      <c r="T44" s="1319">
        <f t="shared" si="5"/>
        <v>83.5</v>
      </c>
      <c r="U44" s="1319">
        <f t="shared" si="6"/>
        <v>0</v>
      </c>
      <c r="V44" s="1319">
        <f t="shared" si="10"/>
        <v>0</v>
      </c>
      <c r="W44" s="1228">
        <v>0</v>
      </c>
      <c r="X44" s="1197">
        <f>(Y44)</f>
        <v>159.13</v>
      </c>
      <c r="Y44" s="1209">
        <f>+'[117]H1-2012-13'!T35</f>
        <v>159.13</v>
      </c>
      <c r="AA44" s="1197">
        <f t="shared" si="8"/>
        <v>1.5912999999999999</v>
      </c>
    </row>
    <row r="45" spans="1:27" ht="16.5" customHeight="1" thickBot="1">
      <c r="A45" s="6267"/>
      <c r="B45" s="6268"/>
      <c r="C45" s="1320">
        <v>0.105</v>
      </c>
      <c r="D45" s="1900">
        <v>100</v>
      </c>
      <c r="E45" s="1318" t="s">
        <v>996</v>
      </c>
      <c r="F45" s="1318" t="s">
        <v>997</v>
      </c>
      <c r="G45" s="1319">
        <v>0</v>
      </c>
      <c r="H45" s="1319">
        <f>(I45)</f>
        <v>10000</v>
      </c>
      <c r="I45" s="1319">
        <v>10000</v>
      </c>
      <c r="J45" s="1319">
        <v>0</v>
      </c>
      <c r="K45" s="1319">
        <f>(M45)</f>
        <v>0</v>
      </c>
      <c r="L45" s="1319">
        <f t="shared" si="9"/>
        <v>100</v>
      </c>
      <c r="M45" s="1319">
        <v>0</v>
      </c>
      <c r="N45" s="1319">
        <v>0</v>
      </c>
      <c r="O45" s="1319">
        <f>(Q45)</f>
        <v>10000</v>
      </c>
      <c r="P45" s="1319">
        <f t="shared" si="3"/>
        <v>0</v>
      </c>
      <c r="Q45" s="1319">
        <f>+'[117]H1-2012-13'!N36</f>
        <v>10000</v>
      </c>
      <c r="R45" s="1319">
        <v>0</v>
      </c>
      <c r="S45" s="1319">
        <f>(U45)</f>
        <v>0</v>
      </c>
      <c r="T45" s="1319">
        <f t="shared" si="5"/>
        <v>100</v>
      </c>
      <c r="U45" s="1319">
        <f t="shared" si="6"/>
        <v>0</v>
      </c>
      <c r="V45" s="1319">
        <f t="shared" si="10"/>
        <v>0</v>
      </c>
      <c r="W45" s="1228">
        <v>0</v>
      </c>
      <c r="X45" s="1197">
        <f>(Y45)</f>
        <v>245.42</v>
      </c>
      <c r="Y45" s="1209">
        <f>+'[117]H1-2012-13'!T36</f>
        <v>245.42</v>
      </c>
      <c r="AA45" s="1197">
        <f t="shared" si="8"/>
        <v>2.4541999999999997</v>
      </c>
    </row>
    <row r="46" spans="1:27" ht="16.5" customHeight="1" thickBot="1">
      <c r="A46" s="6267"/>
      <c r="B46" s="6268"/>
      <c r="C46" s="1766">
        <v>0.105</v>
      </c>
      <c r="D46" s="1319">
        <v>100</v>
      </c>
      <c r="E46" s="1318" t="s">
        <v>998</v>
      </c>
      <c r="F46" s="1318" t="s">
        <v>999</v>
      </c>
      <c r="G46" s="1319">
        <v>0</v>
      </c>
      <c r="H46" s="1319">
        <f>(I46)</f>
        <v>0</v>
      </c>
      <c r="I46" s="1319">
        <v>0</v>
      </c>
      <c r="J46" s="1319">
        <v>0</v>
      </c>
      <c r="K46" s="1319">
        <f>M46</f>
        <v>10000</v>
      </c>
      <c r="L46" s="1319">
        <f t="shared" si="9"/>
        <v>0</v>
      </c>
      <c r="M46" s="1319">
        <v>10000</v>
      </c>
      <c r="N46" s="1319">
        <v>0</v>
      </c>
      <c r="O46" s="1319">
        <f>(Q46)</f>
        <v>10000</v>
      </c>
      <c r="P46" s="1319">
        <f t="shared" si="3"/>
        <v>100</v>
      </c>
      <c r="Q46" s="1319">
        <f>+'[117]H1-2012-13'!N37</f>
        <v>10000</v>
      </c>
      <c r="R46" s="1319">
        <v>0</v>
      </c>
      <c r="S46" s="1319">
        <f>(U46)</f>
        <v>0</v>
      </c>
      <c r="T46" s="1319">
        <f t="shared" si="5"/>
        <v>100</v>
      </c>
      <c r="U46" s="1319">
        <f t="shared" si="6"/>
        <v>0</v>
      </c>
      <c r="V46" s="1319">
        <f t="shared" si="10"/>
        <v>0</v>
      </c>
      <c r="W46" s="1247">
        <v>0</v>
      </c>
      <c r="X46" s="1197">
        <f>Y46</f>
        <v>184.23</v>
      </c>
      <c r="Y46" s="1209">
        <f>+'[117]H1-2012-13'!T37</f>
        <v>184.23</v>
      </c>
      <c r="AA46" s="1197">
        <f t="shared" si="8"/>
        <v>1.8422999999999998</v>
      </c>
    </row>
    <row r="47" spans="1:27" ht="16.5" customHeight="1" thickBot="1">
      <c r="A47" s="6267"/>
      <c r="B47" s="6268"/>
      <c r="C47" s="1766">
        <v>0.10299999999999999</v>
      </c>
      <c r="D47" s="1319">
        <v>100</v>
      </c>
      <c r="E47" s="1318" t="s">
        <v>917</v>
      </c>
      <c r="F47" s="1318" t="s">
        <v>918</v>
      </c>
      <c r="G47" s="1319">
        <v>0</v>
      </c>
      <c r="H47" s="1319">
        <v>0</v>
      </c>
      <c r="I47" s="1319">
        <v>0</v>
      </c>
      <c r="J47" s="1319">
        <v>0</v>
      </c>
      <c r="K47" s="1319">
        <v>10000</v>
      </c>
      <c r="L47" s="1319">
        <f t="shared" si="9"/>
        <v>0</v>
      </c>
      <c r="M47" s="1319">
        <v>10000</v>
      </c>
      <c r="N47" s="1319">
        <v>0</v>
      </c>
      <c r="O47" s="1319">
        <v>0</v>
      </c>
      <c r="P47" s="1319">
        <f t="shared" si="3"/>
        <v>100</v>
      </c>
      <c r="Q47" s="1319">
        <f>+'[117]H1-2012-13'!N38+'[117]H2-2012-13'!N26</f>
        <v>10000</v>
      </c>
      <c r="R47" s="1319">
        <v>0</v>
      </c>
      <c r="S47" s="1319">
        <f t="shared" ref="S47:S54" si="17">U47</f>
        <v>0</v>
      </c>
      <c r="T47" s="1319">
        <f t="shared" si="5"/>
        <v>100</v>
      </c>
      <c r="U47" s="1319">
        <f t="shared" si="6"/>
        <v>0</v>
      </c>
      <c r="V47" s="1319">
        <f t="shared" si="10"/>
        <v>0</v>
      </c>
      <c r="W47" s="1247">
        <v>0</v>
      </c>
      <c r="X47" s="1199">
        <f>+Y47</f>
        <v>346.02029000000005</v>
      </c>
      <c r="Y47" s="1228">
        <f>+'[117]H1-2012-13'!T38+'[117]H2-2012-13'!T26</f>
        <v>346.02029000000005</v>
      </c>
      <c r="AA47" s="1197">
        <f t="shared" si="8"/>
        <v>3.4602029000000005</v>
      </c>
    </row>
    <row r="48" spans="1:27" ht="16.5" customHeight="1" thickBot="1">
      <c r="A48" s="6267"/>
      <c r="B48" s="6268"/>
      <c r="C48" s="1766">
        <v>0.10299999999999999</v>
      </c>
      <c r="D48" s="1319">
        <v>100</v>
      </c>
      <c r="E48" s="1318" t="s">
        <v>919</v>
      </c>
      <c r="F48" s="1318" t="s">
        <v>920</v>
      </c>
      <c r="G48" s="1319">
        <v>0</v>
      </c>
      <c r="H48" s="1319">
        <v>0</v>
      </c>
      <c r="I48" s="1319">
        <v>0</v>
      </c>
      <c r="J48" s="1319">
        <v>0</v>
      </c>
      <c r="K48" s="1319">
        <v>10000</v>
      </c>
      <c r="L48" s="1319">
        <f t="shared" si="9"/>
        <v>0</v>
      </c>
      <c r="M48" s="1319">
        <v>10000</v>
      </c>
      <c r="N48" s="1319">
        <v>0</v>
      </c>
      <c r="O48" s="1319">
        <v>0</v>
      </c>
      <c r="P48" s="1319">
        <f t="shared" si="3"/>
        <v>100</v>
      </c>
      <c r="Q48" s="1319">
        <f>+'[117]H1-2012-13'!N39+'[117]H2-2012-13'!N27</f>
        <v>10000</v>
      </c>
      <c r="R48" s="1319">
        <v>0</v>
      </c>
      <c r="S48" s="1319">
        <f t="shared" si="17"/>
        <v>0</v>
      </c>
      <c r="T48" s="1319">
        <f t="shared" si="5"/>
        <v>100</v>
      </c>
      <c r="U48" s="1319">
        <f t="shared" si="6"/>
        <v>0</v>
      </c>
      <c r="V48" s="1319">
        <f t="shared" si="10"/>
        <v>0</v>
      </c>
      <c r="W48" s="1247">
        <v>0</v>
      </c>
      <c r="X48" s="1199">
        <f>+Y48</f>
        <v>326.12389999999999</v>
      </c>
      <c r="Y48" s="1228">
        <f>+'[117]H1-2012-13'!T39+'[117]H2-2012-13'!T27</f>
        <v>326.12389999999999</v>
      </c>
      <c r="AA48" s="1197">
        <f t="shared" si="8"/>
        <v>3.2612389999999998</v>
      </c>
    </row>
    <row r="49" spans="1:31" ht="16.5" customHeight="1" thickBot="1">
      <c r="A49" s="6267"/>
      <c r="B49" s="6268"/>
      <c r="C49" s="1766">
        <v>0.10299999999999999</v>
      </c>
      <c r="D49" s="1319">
        <v>100</v>
      </c>
      <c r="E49" s="1318" t="s">
        <v>921</v>
      </c>
      <c r="F49" s="1318" t="s">
        <v>1037</v>
      </c>
      <c r="G49" s="1319">
        <v>0</v>
      </c>
      <c r="H49" s="1319">
        <f>(I49)</f>
        <v>0</v>
      </c>
      <c r="I49" s="1319">
        <v>0</v>
      </c>
      <c r="J49" s="1319">
        <v>0</v>
      </c>
      <c r="K49" s="1319">
        <f t="shared" ref="K49:K54" si="18">M49</f>
        <v>10000</v>
      </c>
      <c r="L49" s="1319">
        <f t="shared" si="9"/>
        <v>0</v>
      </c>
      <c r="M49" s="1319">
        <v>10000</v>
      </c>
      <c r="N49" s="1319">
        <v>0</v>
      </c>
      <c r="O49" s="1319">
        <f t="shared" ref="O49:O54" si="19">Q49</f>
        <v>4950</v>
      </c>
      <c r="P49" s="1319">
        <f t="shared" si="3"/>
        <v>100</v>
      </c>
      <c r="Q49" s="1319">
        <f>+'[117]H2-2012-13'!N28</f>
        <v>4950</v>
      </c>
      <c r="R49" s="1319">
        <v>0</v>
      </c>
      <c r="S49" s="1319">
        <f t="shared" si="17"/>
        <v>5050</v>
      </c>
      <c r="T49" s="1319">
        <f t="shared" si="5"/>
        <v>49.5</v>
      </c>
      <c r="U49" s="1319">
        <f t="shared" si="6"/>
        <v>5050</v>
      </c>
      <c r="V49" s="1319">
        <f t="shared" si="10"/>
        <v>50.5</v>
      </c>
      <c r="W49" s="1230">
        <v>0</v>
      </c>
      <c r="X49" s="1229">
        <f>Y49</f>
        <v>237.73376999999999</v>
      </c>
      <c r="Y49" s="1230">
        <f>+'[117]H2-2012-13'!T28</f>
        <v>237.73376999999999</v>
      </c>
      <c r="AA49" s="1197">
        <f t="shared" si="8"/>
        <v>2.3773377</v>
      </c>
    </row>
    <row r="50" spans="1:31" ht="16.5" customHeight="1" thickBot="1">
      <c r="A50" s="6267"/>
      <c r="B50" s="6268"/>
      <c r="C50" s="1766">
        <v>0.1075</v>
      </c>
      <c r="D50" s="1319">
        <v>25</v>
      </c>
      <c r="E50" s="1318" t="s">
        <v>923</v>
      </c>
      <c r="F50" s="1318" t="s">
        <v>924</v>
      </c>
      <c r="G50" s="1319">
        <v>0</v>
      </c>
      <c r="H50" s="1319">
        <v>0</v>
      </c>
      <c r="I50" s="1319">
        <v>0</v>
      </c>
      <c r="J50" s="1319">
        <v>0</v>
      </c>
      <c r="K50" s="1319">
        <f t="shared" si="18"/>
        <v>2500</v>
      </c>
      <c r="L50" s="1319">
        <f t="shared" si="9"/>
        <v>0</v>
      </c>
      <c r="M50" s="1319">
        <v>2500</v>
      </c>
      <c r="N50" s="1319">
        <v>0</v>
      </c>
      <c r="O50" s="1319">
        <f t="shared" si="19"/>
        <v>0</v>
      </c>
      <c r="P50" s="1319">
        <f t="shared" si="3"/>
        <v>25</v>
      </c>
      <c r="Q50" s="1319">
        <f>+'[117]H2-2012-13'!N29</f>
        <v>0</v>
      </c>
      <c r="R50" s="1319">
        <v>0</v>
      </c>
      <c r="S50" s="1319">
        <f t="shared" si="17"/>
        <v>2500</v>
      </c>
      <c r="T50" s="1319">
        <f t="shared" si="5"/>
        <v>0</v>
      </c>
      <c r="U50" s="1319">
        <f>(I50+M50-Q50)</f>
        <v>2500</v>
      </c>
      <c r="V50" s="1319">
        <f t="shared" si="10"/>
        <v>25</v>
      </c>
      <c r="W50" s="1230">
        <v>0</v>
      </c>
      <c r="X50" s="1197">
        <f>Y50</f>
        <v>24.299999999999997</v>
      </c>
      <c r="Y50" s="1230">
        <f>+'[117]H2-2012-13'!T29</f>
        <v>24.299999999999997</v>
      </c>
      <c r="AA50" s="1197">
        <f t="shared" si="8"/>
        <v>0.24299999999999997</v>
      </c>
      <c r="AE50" s="1235">
        <f>+AE49-AE48</f>
        <v>0</v>
      </c>
    </row>
    <row r="51" spans="1:31" ht="16.5" customHeight="1" thickBot="1">
      <c r="A51" s="6267"/>
      <c r="B51" s="6268"/>
      <c r="C51" s="1766">
        <v>0.109</v>
      </c>
      <c r="D51" s="1319">
        <v>40</v>
      </c>
      <c r="E51" s="1318" t="s">
        <v>888</v>
      </c>
      <c r="F51" s="1318" t="s">
        <v>925</v>
      </c>
      <c r="G51" s="1319">
        <v>0</v>
      </c>
      <c r="H51" s="1319">
        <f>I51</f>
        <v>0</v>
      </c>
      <c r="I51" s="1319">
        <v>0</v>
      </c>
      <c r="J51" s="1319">
        <v>0</v>
      </c>
      <c r="K51" s="1319">
        <f t="shared" si="18"/>
        <v>4000</v>
      </c>
      <c r="L51" s="1319">
        <f t="shared" si="9"/>
        <v>0</v>
      </c>
      <c r="M51" s="1319">
        <v>4000</v>
      </c>
      <c r="N51" s="1319">
        <v>0</v>
      </c>
      <c r="O51" s="1319">
        <f t="shared" si="19"/>
        <v>0</v>
      </c>
      <c r="P51" s="1319">
        <f t="shared" si="3"/>
        <v>40</v>
      </c>
      <c r="Q51" s="1319">
        <f>+'[117]H2-2012-13'!N30</f>
        <v>0</v>
      </c>
      <c r="R51" s="1319">
        <v>0</v>
      </c>
      <c r="S51" s="1319">
        <f t="shared" si="17"/>
        <v>4000</v>
      </c>
      <c r="T51" s="1319">
        <f t="shared" si="5"/>
        <v>0</v>
      </c>
      <c r="U51" s="1319">
        <f>(I51+M51-Q51)</f>
        <v>4000</v>
      </c>
      <c r="V51" s="1319">
        <f t="shared" si="10"/>
        <v>40</v>
      </c>
      <c r="W51" s="1230">
        <v>0</v>
      </c>
      <c r="X51" s="1197">
        <f>Y51</f>
        <v>33.446579999999997</v>
      </c>
      <c r="Y51" s="1230">
        <f>+'[117]H2-2012-13'!T30</f>
        <v>33.446579999999997</v>
      </c>
      <c r="AA51" s="1197">
        <f t="shared" si="8"/>
        <v>0.33446579999999998</v>
      </c>
    </row>
    <row r="52" spans="1:31" s="1246" customFormat="1" ht="16.5" customHeight="1" thickBot="1">
      <c r="A52" s="6267"/>
      <c r="B52" s="6268"/>
      <c r="C52" s="1320">
        <v>0.109</v>
      </c>
      <c r="D52" s="1900">
        <v>50</v>
      </c>
      <c r="E52" s="1316" t="s">
        <v>926</v>
      </c>
      <c r="F52" s="1316" t="s">
        <v>927</v>
      </c>
      <c r="G52" s="1900">
        <v>0</v>
      </c>
      <c r="H52" s="1900">
        <f>I52</f>
        <v>0</v>
      </c>
      <c r="I52" s="1900">
        <v>0</v>
      </c>
      <c r="J52" s="1900">
        <v>0</v>
      </c>
      <c r="K52" s="1900">
        <f t="shared" si="18"/>
        <v>5000</v>
      </c>
      <c r="L52" s="1900">
        <f t="shared" si="9"/>
        <v>0</v>
      </c>
      <c r="M52" s="1900">
        <v>5000</v>
      </c>
      <c r="N52" s="1900">
        <v>0</v>
      </c>
      <c r="O52" s="1900">
        <f t="shared" si="19"/>
        <v>0</v>
      </c>
      <c r="P52" s="1900">
        <f t="shared" si="3"/>
        <v>50</v>
      </c>
      <c r="Q52" s="1900">
        <f>+'[117]H2-2012-13'!N31</f>
        <v>0</v>
      </c>
      <c r="R52" s="1900">
        <v>0</v>
      </c>
      <c r="S52" s="1900">
        <f t="shared" si="17"/>
        <v>5000</v>
      </c>
      <c r="T52" s="1900">
        <f t="shared" si="5"/>
        <v>0</v>
      </c>
      <c r="U52" s="1900">
        <f>(I52+M52-Q52)</f>
        <v>5000</v>
      </c>
      <c r="V52" s="1900">
        <f t="shared" si="10"/>
        <v>50</v>
      </c>
      <c r="W52" s="1245">
        <v>0</v>
      </c>
      <c r="X52" s="1243">
        <f>Y52</f>
        <v>14.931509999999999</v>
      </c>
      <c r="Y52" s="1245">
        <f>+'[117]H2-2012-13'!T31</f>
        <v>14.931509999999999</v>
      </c>
      <c r="AA52" s="1243">
        <f t="shared" si="8"/>
        <v>0.14931510000000001</v>
      </c>
    </row>
    <row r="53" spans="1:31" s="1246" customFormat="1" ht="16.5" customHeight="1" thickBot="1">
      <c r="A53" s="6267"/>
      <c r="B53" s="6268"/>
      <c r="C53" s="1320">
        <v>0.109</v>
      </c>
      <c r="D53" s="1900">
        <v>33</v>
      </c>
      <c r="E53" s="1316" t="s">
        <v>928</v>
      </c>
      <c r="F53" s="1316" t="s">
        <v>929</v>
      </c>
      <c r="G53" s="1900">
        <v>0</v>
      </c>
      <c r="H53" s="1900">
        <f>I53</f>
        <v>0</v>
      </c>
      <c r="I53" s="1900">
        <v>0</v>
      </c>
      <c r="J53" s="1900">
        <v>0</v>
      </c>
      <c r="K53" s="1900">
        <f t="shared" si="18"/>
        <v>3300</v>
      </c>
      <c r="L53" s="1900">
        <f t="shared" si="9"/>
        <v>0</v>
      </c>
      <c r="M53" s="1900">
        <v>3300</v>
      </c>
      <c r="N53" s="1900">
        <v>0</v>
      </c>
      <c r="O53" s="1900">
        <f t="shared" si="19"/>
        <v>0</v>
      </c>
      <c r="P53" s="1900">
        <f t="shared" si="3"/>
        <v>33</v>
      </c>
      <c r="Q53" s="1900">
        <f>+'[117]H2-2012-13'!N32</f>
        <v>0</v>
      </c>
      <c r="R53" s="1900">
        <v>0</v>
      </c>
      <c r="S53" s="1900">
        <f t="shared" si="17"/>
        <v>3300</v>
      </c>
      <c r="T53" s="1900">
        <f t="shared" si="5"/>
        <v>0</v>
      </c>
      <c r="U53" s="1900">
        <f>(I53+M53-Q53)</f>
        <v>3300</v>
      </c>
      <c r="V53" s="1900">
        <f t="shared" si="10"/>
        <v>33</v>
      </c>
      <c r="W53" s="1245">
        <v>0</v>
      </c>
      <c r="X53" s="1243">
        <f>Y53</f>
        <v>5.9128800000000004</v>
      </c>
      <c r="Y53" s="1245">
        <f>+'[117]H2-2012-13'!T32</f>
        <v>5.9128800000000004</v>
      </c>
      <c r="AA53" s="1243">
        <f t="shared" si="8"/>
        <v>5.9128800000000002E-2</v>
      </c>
    </row>
    <row r="54" spans="1:31" ht="16.5" customHeight="1" thickBot="1">
      <c r="A54" s="6267">
        <v>4</v>
      </c>
      <c r="B54" s="6268" t="s">
        <v>930</v>
      </c>
      <c r="C54" s="1320">
        <v>0.105</v>
      </c>
      <c r="D54" s="1900">
        <v>100</v>
      </c>
      <c r="E54" s="1318" t="s">
        <v>1000</v>
      </c>
      <c r="F54" s="1318" t="s">
        <v>1001</v>
      </c>
      <c r="G54" s="1319">
        <v>0</v>
      </c>
      <c r="H54" s="1319">
        <f>I54</f>
        <v>2575</v>
      </c>
      <c r="I54" s="1319">
        <v>2575</v>
      </c>
      <c r="J54" s="1319">
        <v>0</v>
      </c>
      <c r="K54" s="1319">
        <f t="shared" si="18"/>
        <v>0</v>
      </c>
      <c r="L54" s="1319">
        <f t="shared" si="9"/>
        <v>25.75</v>
      </c>
      <c r="M54" s="1319">
        <v>0</v>
      </c>
      <c r="N54" s="1319">
        <v>0</v>
      </c>
      <c r="O54" s="1319">
        <f t="shared" si="19"/>
        <v>2575</v>
      </c>
      <c r="P54" s="1319">
        <f t="shared" si="3"/>
        <v>0</v>
      </c>
      <c r="Q54" s="1319">
        <f>+'[117]H1-2012-13'!N40</f>
        <v>2575</v>
      </c>
      <c r="R54" s="1319">
        <v>0</v>
      </c>
      <c r="S54" s="1319">
        <f t="shared" si="17"/>
        <v>0</v>
      </c>
      <c r="T54" s="1319">
        <f t="shared" si="5"/>
        <v>25.75</v>
      </c>
      <c r="U54" s="1319">
        <f t="shared" si="6"/>
        <v>0</v>
      </c>
      <c r="V54" s="1319">
        <f t="shared" si="10"/>
        <v>0</v>
      </c>
      <c r="W54" s="2548">
        <v>0</v>
      </c>
      <c r="X54" s="1207">
        <f>(Y54)</f>
        <v>31.91</v>
      </c>
      <c r="Y54" s="1196">
        <f>+'[117]H1-2012-13'!T40</f>
        <v>31.91</v>
      </c>
      <c r="AA54" s="1197">
        <f t="shared" si="8"/>
        <v>0.31909999999999999</v>
      </c>
    </row>
    <row r="55" spans="1:31" ht="16.5" customHeight="1" thickBot="1">
      <c r="A55" s="6267"/>
      <c r="B55" s="6268"/>
      <c r="C55" s="1320">
        <v>0.105</v>
      </c>
      <c r="D55" s="1900">
        <v>100</v>
      </c>
      <c r="E55" s="1318" t="s">
        <v>931</v>
      </c>
      <c r="F55" s="1318" t="s">
        <v>932</v>
      </c>
      <c r="G55" s="1319">
        <f>I55</f>
        <v>5875</v>
      </c>
      <c r="H55" s="1319">
        <v>0</v>
      </c>
      <c r="I55" s="1319">
        <v>5875</v>
      </c>
      <c r="J55" s="1319">
        <f>M55</f>
        <v>0</v>
      </c>
      <c r="K55" s="1319">
        <v>0</v>
      </c>
      <c r="L55" s="1319">
        <f t="shared" si="9"/>
        <v>58.75</v>
      </c>
      <c r="M55" s="1319">
        <v>0</v>
      </c>
      <c r="N55" s="1319">
        <f>Q55</f>
        <v>5875</v>
      </c>
      <c r="O55" s="1319">
        <v>0</v>
      </c>
      <c r="P55" s="1319">
        <f t="shared" si="3"/>
        <v>0</v>
      </c>
      <c r="Q55" s="1319">
        <f>+'[117]H1-2012-13'!N41+'[117]H2-2012-13'!N33</f>
        <v>5875</v>
      </c>
      <c r="R55" s="1319">
        <f>U55</f>
        <v>0</v>
      </c>
      <c r="S55" s="1319">
        <v>0</v>
      </c>
      <c r="T55" s="1319">
        <f t="shared" si="5"/>
        <v>58.75</v>
      </c>
      <c r="U55" s="1319">
        <f t="shared" si="6"/>
        <v>0</v>
      </c>
      <c r="V55" s="1319">
        <f t="shared" si="10"/>
        <v>0</v>
      </c>
      <c r="W55" s="2548">
        <f>+'[117]H1-2012-13'!R41+'[117]H2-2012-13'!R33</f>
        <v>169.67000000000002</v>
      </c>
      <c r="X55" s="1197">
        <v>0</v>
      </c>
      <c r="Y55" s="1196">
        <f>+'[117]H1-2012-13'!T41+'[117]H2-2012-13'!T33</f>
        <v>169.67000000000002</v>
      </c>
      <c r="AA55" s="1197">
        <f t="shared" si="8"/>
        <v>0</v>
      </c>
    </row>
    <row r="56" spans="1:31" ht="16.5" customHeight="1" thickBot="1">
      <c r="A56" s="6267"/>
      <c r="B56" s="6268"/>
      <c r="C56" s="1320">
        <v>0.10249999999999999</v>
      </c>
      <c r="D56" s="1900">
        <v>150</v>
      </c>
      <c r="E56" s="1318" t="s">
        <v>933</v>
      </c>
      <c r="F56" s="1318" t="s">
        <v>928</v>
      </c>
      <c r="G56" s="1319">
        <v>0</v>
      </c>
      <c r="H56" s="1319">
        <f>(I56)</f>
        <v>15000</v>
      </c>
      <c r="I56" s="1319">
        <v>15000</v>
      </c>
      <c r="J56" s="1319">
        <v>0</v>
      </c>
      <c r="K56" s="1319">
        <f>(M56)</f>
        <v>0</v>
      </c>
      <c r="L56" s="1319">
        <f t="shared" si="9"/>
        <v>150</v>
      </c>
      <c r="M56" s="1319">
        <v>0</v>
      </c>
      <c r="N56" s="1319">
        <v>0</v>
      </c>
      <c r="O56" s="1319">
        <f>(Q56)</f>
        <v>15000</v>
      </c>
      <c r="P56" s="1319">
        <f t="shared" si="3"/>
        <v>0</v>
      </c>
      <c r="Q56" s="1319">
        <f>+'[117]H1-2012-13'!N42+'[117]H2-2012-13'!N34</f>
        <v>15000</v>
      </c>
      <c r="R56" s="1319">
        <v>0</v>
      </c>
      <c r="S56" s="1319">
        <f>(U56)</f>
        <v>0</v>
      </c>
      <c r="T56" s="1319">
        <f t="shared" si="5"/>
        <v>150</v>
      </c>
      <c r="U56" s="1319">
        <f t="shared" si="6"/>
        <v>0</v>
      </c>
      <c r="V56" s="1319">
        <f t="shared" si="10"/>
        <v>0</v>
      </c>
      <c r="W56" s="1242">
        <f>+'[117]H1-2012-13'!R42+'[117]H2-2012-13'!R34</f>
        <v>0.75</v>
      </c>
      <c r="X56" s="1209">
        <f>+'[117]H1-2012-13'!S42+'[117]H2-2012-13'!S34</f>
        <v>845.38430999999991</v>
      </c>
      <c r="Y56" s="1209">
        <f>+'[117]H1-2012-13'!T42+'[117]H2-2012-13'!T34</f>
        <v>846.13430999999991</v>
      </c>
      <c r="AA56" s="1197">
        <f t="shared" si="8"/>
        <v>8.4538430999999985</v>
      </c>
    </row>
    <row r="57" spans="1:31" ht="16.5" customHeight="1" thickBot="1">
      <c r="A57" s="6267"/>
      <c r="B57" s="6268"/>
      <c r="C57" s="1320">
        <v>0.10249999999999999</v>
      </c>
      <c r="D57" s="1900">
        <v>50</v>
      </c>
      <c r="E57" s="1318" t="s">
        <v>934</v>
      </c>
      <c r="F57" s="1318" t="s">
        <v>1038</v>
      </c>
      <c r="G57" s="1319">
        <v>0</v>
      </c>
      <c r="H57" s="1319">
        <f>(I57)</f>
        <v>0</v>
      </c>
      <c r="I57" s="1319">
        <v>0</v>
      </c>
      <c r="J57" s="1319">
        <v>0</v>
      </c>
      <c r="K57" s="1319">
        <f>M57</f>
        <v>5000</v>
      </c>
      <c r="L57" s="1319">
        <f t="shared" si="9"/>
        <v>0</v>
      </c>
      <c r="M57" s="1319">
        <v>5000</v>
      </c>
      <c r="N57" s="1319">
        <v>0</v>
      </c>
      <c r="O57" s="1319">
        <f>(Q57)</f>
        <v>4562.5</v>
      </c>
      <c r="P57" s="1319">
        <f t="shared" si="3"/>
        <v>50</v>
      </c>
      <c r="Q57" s="1319">
        <f>+'[117]H1-2012-13'!N43+'[117]H2-2012-13'!N35</f>
        <v>4562.5</v>
      </c>
      <c r="R57" s="1319">
        <v>0</v>
      </c>
      <c r="S57" s="1319">
        <f>(U57)</f>
        <v>437.5</v>
      </c>
      <c r="T57" s="1319">
        <v>45.62</v>
      </c>
      <c r="U57" s="1319">
        <f t="shared" si="6"/>
        <v>437.5</v>
      </c>
      <c r="V57" s="1319">
        <v>4.38</v>
      </c>
      <c r="W57" s="1228">
        <v>0</v>
      </c>
      <c r="X57" s="1197">
        <f>(Y57)</f>
        <v>294.48914000000002</v>
      </c>
      <c r="Y57" s="1209">
        <f>+'[117]H1-2012-13'!T43+'[117]H2-2012-13'!T35</f>
        <v>294.48914000000002</v>
      </c>
      <c r="AA57" s="1197">
        <f t="shared" si="8"/>
        <v>2.9448914000000004</v>
      </c>
    </row>
    <row r="58" spans="1:31" ht="16.5" customHeight="1" thickBot="1">
      <c r="A58" s="6267"/>
      <c r="B58" s="6268"/>
      <c r="C58" s="1320">
        <v>0.1075</v>
      </c>
      <c r="D58" s="1900">
        <v>200</v>
      </c>
      <c r="E58" s="1318" t="s">
        <v>936</v>
      </c>
      <c r="F58" s="1318" t="s">
        <v>937</v>
      </c>
      <c r="G58" s="1319">
        <v>0</v>
      </c>
      <c r="H58" s="1319">
        <v>0</v>
      </c>
      <c r="I58" s="1319">
        <v>0</v>
      </c>
      <c r="J58" s="1319">
        <v>0</v>
      </c>
      <c r="K58" s="1319">
        <v>20000</v>
      </c>
      <c r="L58" s="1319">
        <f t="shared" si="9"/>
        <v>0</v>
      </c>
      <c r="M58" s="1319">
        <v>20000</v>
      </c>
      <c r="N58" s="1319">
        <v>0</v>
      </c>
      <c r="O58" s="1319">
        <v>1650</v>
      </c>
      <c r="P58" s="1319">
        <f t="shared" si="3"/>
        <v>200</v>
      </c>
      <c r="Q58" s="1319">
        <f>+'[117]H1-2012-13'!N44+'[117]H2-2012-13'!N36</f>
        <v>11550</v>
      </c>
      <c r="R58" s="1319">
        <v>0</v>
      </c>
      <c r="S58" s="1319">
        <f>U58</f>
        <v>8450</v>
      </c>
      <c r="T58" s="1319">
        <f t="shared" si="5"/>
        <v>115.5</v>
      </c>
      <c r="U58" s="1319">
        <f>(I58+M58-Q58)</f>
        <v>8450</v>
      </c>
      <c r="V58" s="1319">
        <f t="shared" si="10"/>
        <v>84.5</v>
      </c>
      <c r="W58" s="1228">
        <v>0</v>
      </c>
      <c r="X58" s="1199">
        <f>+Y58</f>
        <v>1039.37653</v>
      </c>
      <c r="Y58" s="1228">
        <f>+'[117]H1-2012-13'!T44+'[117]H2-2012-13'!T36</f>
        <v>1039.37653</v>
      </c>
      <c r="AA58" s="1197">
        <f t="shared" si="8"/>
        <v>10.3937653</v>
      </c>
    </row>
    <row r="59" spans="1:31" ht="16.5" customHeight="1" thickBot="1">
      <c r="A59" s="6267"/>
      <c r="B59" s="6268"/>
      <c r="C59" s="1766">
        <v>0.1075</v>
      </c>
      <c r="D59" s="1319">
        <v>200</v>
      </c>
      <c r="E59" s="1318" t="s">
        <v>880</v>
      </c>
      <c r="F59" s="1318" t="s">
        <v>938</v>
      </c>
      <c r="G59" s="1319">
        <v>0</v>
      </c>
      <c r="H59" s="1319">
        <f>I59</f>
        <v>0</v>
      </c>
      <c r="I59" s="1319">
        <v>0</v>
      </c>
      <c r="J59" s="1319">
        <f>M59*45%</f>
        <v>9000</v>
      </c>
      <c r="K59" s="1319">
        <f>M59*55%</f>
        <v>11000</v>
      </c>
      <c r="L59" s="1319">
        <f t="shared" si="9"/>
        <v>0</v>
      </c>
      <c r="M59" s="1319">
        <v>20000</v>
      </c>
      <c r="N59" s="1319">
        <f>Q59*45%</f>
        <v>2254.5</v>
      </c>
      <c r="O59" s="1319">
        <f>Q59*55%</f>
        <v>2755.5</v>
      </c>
      <c r="P59" s="1319">
        <f t="shared" si="3"/>
        <v>200</v>
      </c>
      <c r="Q59" s="1319">
        <f>+'[117]H2-2012-13'!N37</f>
        <v>5010</v>
      </c>
      <c r="R59" s="1319">
        <f>U59*45%</f>
        <v>6745.5</v>
      </c>
      <c r="S59" s="1319">
        <f>U59*55%</f>
        <v>8244.5</v>
      </c>
      <c r="T59" s="1319">
        <f t="shared" si="5"/>
        <v>50.1</v>
      </c>
      <c r="U59" s="1319">
        <f>(I59+M59-Q59)</f>
        <v>14990</v>
      </c>
      <c r="V59" s="1319">
        <f t="shared" si="10"/>
        <v>149.9</v>
      </c>
      <c r="W59" s="1230">
        <v>249.63</v>
      </c>
      <c r="X59" s="1229">
        <v>305.08999999999997</v>
      </c>
      <c r="Y59" s="1230">
        <f>+'[117]H2-2012-13'!T37</f>
        <v>554.71652000000006</v>
      </c>
      <c r="AA59" s="1197">
        <f t="shared" si="8"/>
        <v>3.0508999999999999</v>
      </c>
    </row>
    <row r="60" spans="1:31" s="1246" customFormat="1" ht="16.5" customHeight="1" thickBot="1">
      <c r="A60" s="6267"/>
      <c r="B60" s="6268"/>
      <c r="C60" s="1320">
        <v>0.105</v>
      </c>
      <c r="D60" s="1900">
        <v>300</v>
      </c>
      <c r="E60" s="1316" t="s">
        <v>939</v>
      </c>
      <c r="F60" s="1316" t="s">
        <v>940</v>
      </c>
      <c r="G60" s="1900">
        <v>0</v>
      </c>
      <c r="H60" s="1900">
        <f>I60</f>
        <v>0</v>
      </c>
      <c r="I60" s="1900">
        <v>0</v>
      </c>
      <c r="J60" s="1900">
        <v>0</v>
      </c>
      <c r="K60" s="1900">
        <f>M60</f>
        <v>30000</v>
      </c>
      <c r="L60" s="1900">
        <f t="shared" si="9"/>
        <v>0</v>
      </c>
      <c r="M60" s="1900">
        <v>30000</v>
      </c>
      <c r="N60" s="1900">
        <v>0</v>
      </c>
      <c r="O60" s="1900">
        <f>Q60</f>
        <v>0</v>
      </c>
      <c r="P60" s="1900">
        <f t="shared" si="3"/>
        <v>300</v>
      </c>
      <c r="Q60" s="1900">
        <f>+'[117]H2-2012-13'!N38</f>
        <v>0</v>
      </c>
      <c r="R60" s="1900">
        <v>0</v>
      </c>
      <c r="S60" s="1900">
        <f>U60</f>
        <v>30000</v>
      </c>
      <c r="T60" s="1900">
        <f t="shared" si="5"/>
        <v>0</v>
      </c>
      <c r="U60" s="1900">
        <f>(I60+M60-Q60)</f>
        <v>30000</v>
      </c>
      <c r="V60" s="1900">
        <f t="shared" si="10"/>
        <v>300</v>
      </c>
      <c r="W60" s="1245">
        <v>0</v>
      </c>
      <c r="X60" s="1243">
        <f>Y60</f>
        <v>35.342469999999999</v>
      </c>
      <c r="Y60" s="1244">
        <f>+'[117]H2-2012-13'!T38</f>
        <v>35.342469999999999</v>
      </c>
      <c r="AA60" s="1243">
        <f t="shared" si="8"/>
        <v>0.35342469999999998</v>
      </c>
    </row>
    <row r="61" spans="1:31" ht="16.5" customHeight="1" thickBot="1">
      <c r="A61" s="6267">
        <v>5</v>
      </c>
      <c r="B61" s="6269" t="s">
        <v>941</v>
      </c>
      <c r="C61" s="1769">
        <v>0.108</v>
      </c>
      <c r="D61" s="2557">
        <v>100</v>
      </c>
      <c r="E61" s="1318" t="s">
        <v>1002</v>
      </c>
      <c r="F61" s="1318" t="s">
        <v>1003</v>
      </c>
      <c r="G61" s="1319">
        <v>0</v>
      </c>
      <c r="H61" s="1319">
        <f>(I61)</f>
        <v>4225</v>
      </c>
      <c r="I61" s="1319">
        <v>4225</v>
      </c>
      <c r="J61" s="1319">
        <v>0</v>
      </c>
      <c r="K61" s="1319">
        <f>(M61)</f>
        <v>0</v>
      </c>
      <c r="L61" s="1319">
        <f t="shared" si="9"/>
        <v>42.25</v>
      </c>
      <c r="M61" s="1319">
        <v>0</v>
      </c>
      <c r="N61" s="1319">
        <v>0</v>
      </c>
      <c r="O61" s="1319">
        <f>(Q61)</f>
        <v>4225</v>
      </c>
      <c r="P61" s="1319">
        <f t="shared" si="3"/>
        <v>0</v>
      </c>
      <c r="Q61" s="1319">
        <f>+'[117]H1-2012-13'!N45</f>
        <v>4225</v>
      </c>
      <c r="R61" s="1319">
        <v>0</v>
      </c>
      <c r="S61" s="1319">
        <f>(U61)</f>
        <v>0</v>
      </c>
      <c r="T61" s="1319">
        <f t="shared" si="5"/>
        <v>42.25</v>
      </c>
      <c r="U61" s="1319">
        <f t="shared" si="6"/>
        <v>0</v>
      </c>
      <c r="V61" s="1319">
        <f t="shared" si="10"/>
        <v>0</v>
      </c>
      <c r="W61" s="1247">
        <v>0</v>
      </c>
      <c r="X61" s="1199">
        <f>(Y61)</f>
        <v>114.85000000000001</v>
      </c>
      <c r="Y61" s="1209">
        <f>+'[117]H1-2012-13'!T45</f>
        <v>114.85000000000001</v>
      </c>
      <c r="AA61" s="1197">
        <f t="shared" si="8"/>
        <v>1.1485000000000001</v>
      </c>
    </row>
    <row r="62" spans="1:31" ht="16.5" customHeight="1" thickBot="1">
      <c r="A62" s="6267"/>
      <c r="B62" s="6269"/>
      <c r="C62" s="1769">
        <v>0.108</v>
      </c>
      <c r="D62" s="2557">
        <v>100</v>
      </c>
      <c r="E62" s="1318" t="s">
        <v>1004</v>
      </c>
      <c r="F62" s="1318" t="s">
        <v>999</v>
      </c>
      <c r="G62" s="1319">
        <v>0</v>
      </c>
      <c r="H62" s="1319">
        <f>(I62)</f>
        <v>5050</v>
      </c>
      <c r="I62" s="1319">
        <v>5050</v>
      </c>
      <c r="J62" s="1319">
        <v>0</v>
      </c>
      <c r="K62" s="1319">
        <f>(M62)</f>
        <v>0</v>
      </c>
      <c r="L62" s="1319">
        <f t="shared" si="9"/>
        <v>50.5</v>
      </c>
      <c r="M62" s="1319">
        <v>0</v>
      </c>
      <c r="N62" s="1319">
        <v>0</v>
      </c>
      <c r="O62" s="1319">
        <f>(Q62)</f>
        <v>5050</v>
      </c>
      <c r="P62" s="1319">
        <f t="shared" si="3"/>
        <v>0</v>
      </c>
      <c r="Q62" s="1319">
        <f>+'[117]H1-2012-13'!N46</f>
        <v>5050</v>
      </c>
      <c r="R62" s="1319">
        <v>0</v>
      </c>
      <c r="S62" s="1319">
        <f>(U62)</f>
        <v>0</v>
      </c>
      <c r="T62" s="1319">
        <f t="shared" si="5"/>
        <v>50.5</v>
      </c>
      <c r="U62" s="1319">
        <f t="shared" si="6"/>
        <v>0</v>
      </c>
      <c r="V62" s="1319">
        <f t="shared" si="10"/>
        <v>0</v>
      </c>
      <c r="W62" s="1247">
        <v>0</v>
      </c>
      <c r="X62" s="1199">
        <f>(Y62)</f>
        <v>128.64999999999998</v>
      </c>
      <c r="Y62" s="1209">
        <f>+'[117]H1-2012-13'!T46</f>
        <v>128.64999999999998</v>
      </c>
      <c r="AA62" s="1197">
        <f t="shared" si="8"/>
        <v>1.2864999999999998</v>
      </c>
    </row>
    <row r="63" spans="1:31" ht="16.5" customHeight="1" thickBot="1">
      <c r="A63" s="6267"/>
      <c r="B63" s="6269"/>
      <c r="C63" s="1766">
        <v>0.10249999999999999</v>
      </c>
      <c r="D63" s="1319">
        <v>200</v>
      </c>
      <c r="E63" s="1318" t="s">
        <v>942</v>
      </c>
      <c r="F63" s="1318" t="s">
        <v>943</v>
      </c>
      <c r="G63" s="1319">
        <v>0</v>
      </c>
      <c r="H63" s="1319">
        <f>(I63)</f>
        <v>0</v>
      </c>
      <c r="I63" s="1319">
        <v>0</v>
      </c>
      <c r="J63" s="1319">
        <v>0</v>
      </c>
      <c r="K63" s="1319">
        <f>M63</f>
        <v>20000</v>
      </c>
      <c r="L63" s="1319">
        <f t="shared" si="9"/>
        <v>0</v>
      </c>
      <c r="M63" s="1319">
        <v>20000</v>
      </c>
      <c r="N63" s="1319">
        <v>0</v>
      </c>
      <c r="O63" s="1319">
        <f>Q63</f>
        <v>6600</v>
      </c>
      <c r="P63" s="1319">
        <f t="shared" si="3"/>
        <v>200</v>
      </c>
      <c r="Q63" s="1319">
        <f>+'[117]H2-2012-13'!N39</f>
        <v>6600</v>
      </c>
      <c r="R63" s="1319">
        <v>0</v>
      </c>
      <c r="S63" s="1319">
        <f>U63</f>
        <v>13400</v>
      </c>
      <c r="T63" s="1319">
        <f t="shared" si="5"/>
        <v>66</v>
      </c>
      <c r="U63" s="1319">
        <f t="shared" si="6"/>
        <v>13400</v>
      </c>
      <c r="V63" s="1319">
        <f t="shared" si="10"/>
        <v>134</v>
      </c>
      <c r="W63" s="1230">
        <v>0</v>
      </c>
      <c r="X63" s="1229">
        <f>Y63</f>
        <v>702.50311999999997</v>
      </c>
      <c r="Y63" s="1230">
        <f>+'[117]H2-2012-13'!T39</f>
        <v>702.50311999999997</v>
      </c>
      <c r="AA63" s="1197">
        <f t="shared" si="8"/>
        <v>7.0250311999999999</v>
      </c>
    </row>
    <row r="64" spans="1:31" ht="16.5" customHeight="1" thickBot="1">
      <c r="A64" s="6267">
        <v>6</v>
      </c>
      <c r="B64" s="6269" t="s">
        <v>944</v>
      </c>
      <c r="C64" s="1769">
        <v>0.105</v>
      </c>
      <c r="D64" s="2557">
        <v>100</v>
      </c>
      <c r="E64" s="1318" t="s">
        <v>945</v>
      </c>
      <c r="F64" s="1318" t="s">
        <v>1039</v>
      </c>
      <c r="G64" s="1319">
        <v>0</v>
      </c>
      <c r="H64" s="1319">
        <f>I64</f>
        <v>6666.67</v>
      </c>
      <c r="I64" s="1319">
        <v>6666.67</v>
      </c>
      <c r="J64" s="1319">
        <v>0</v>
      </c>
      <c r="K64" s="1319">
        <f>(M64)</f>
        <v>0</v>
      </c>
      <c r="L64" s="1319">
        <f t="shared" si="9"/>
        <v>66.666700000000006</v>
      </c>
      <c r="M64" s="1319">
        <v>0</v>
      </c>
      <c r="N64" s="1319">
        <v>0</v>
      </c>
      <c r="O64" s="1319">
        <f>Q64</f>
        <v>6666.67</v>
      </c>
      <c r="P64" s="1319">
        <f t="shared" si="3"/>
        <v>0</v>
      </c>
      <c r="Q64" s="1319">
        <f>+'[117]H1-2012-13'!N47+'[117]H2-2012-13'!N40</f>
        <v>6666.67</v>
      </c>
      <c r="R64" s="1319">
        <v>0</v>
      </c>
      <c r="S64" s="1319">
        <f>U64</f>
        <v>0</v>
      </c>
      <c r="T64" s="1319">
        <f t="shared" si="5"/>
        <v>66.666700000000006</v>
      </c>
      <c r="U64" s="1319">
        <f t="shared" si="6"/>
        <v>0</v>
      </c>
      <c r="V64" s="1319">
        <f t="shared" si="10"/>
        <v>0</v>
      </c>
      <c r="W64" s="1247">
        <v>0</v>
      </c>
      <c r="X64" s="1197">
        <f>(Y64)</f>
        <v>219.14000000000001</v>
      </c>
      <c r="Y64" s="1209">
        <f>+'[117]H1-2012-13'!T47+'[117]H2-2012-13'!T40</f>
        <v>219.14000000000001</v>
      </c>
      <c r="AA64" s="1197">
        <f t="shared" si="8"/>
        <v>2.1914000000000002</v>
      </c>
    </row>
    <row r="65" spans="1:28" ht="16.5" customHeight="1" thickBot="1">
      <c r="A65" s="6267"/>
      <c r="B65" s="6269"/>
      <c r="C65" s="1769">
        <v>0.1055</v>
      </c>
      <c r="D65" s="2557">
        <v>200</v>
      </c>
      <c r="E65" s="1318" t="s">
        <v>947</v>
      </c>
      <c r="F65" s="1318" t="s">
        <v>948</v>
      </c>
      <c r="G65" s="1319">
        <v>0</v>
      </c>
      <c r="H65" s="1319">
        <f>I65</f>
        <v>0</v>
      </c>
      <c r="I65" s="1319">
        <v>0</v>
      </c>
      <c r="J65" s="1319">
        <v>0</v>
      </c>
      <c r="K65" s="1319">
        <f>(M65)</f>
        <v>20000</v>
      </c>
      <c r="L65" s="1319">
        <f t="shared" si="9"/>
        <v>0</v>
      </c>
      <c r="M65" s="1319">
        <v>20000</v>
      </c>
      <c r="N65" s="1319">
        <v>0</v>
      </c>
      <c r="O65" s="1319">
        <f>(Q65)</f>
        <v>4950</v>
      </c>
      <c r="P65" s="1319">
        <f t="shared" si="3"/>
        <v>200</v>
      </c>
      <c r="Q65" s="1319">
        <f>+'[117]H2-2012-13'!N41</f>
        <v>4950</v>
      </c>
      <c r="R65" s="1319">
        <v>0</v>
      </c>
      <c r="S65" s="1319">
        <f>(U65)</f>
        <v>15050</v>
      </c>
      <c r="T65" s="1319">
        <f t="shared" si="5"/>
        <v>49.5</v>
      </c>
      <c r="U65" s="1319">
        <f t="shared" si="6"/>
        <v>15050</v>
      </c>
      <c r="V65" s="1319">
        <f t="shared" si="10"/>
        <v>150.5</v>
      </c>
      <c r="W65" s="1230">
        <v>0</v>
      </c>
      <c r="X65" s="1229">
        <f>(Y65)</f>
        <v>572.75414000000001</v>
      </c>
      <c r="Y65" s="1237">
        <f>+'[117]H2-2012-13'!T41</f>
        <v>572.75414000000001</v>
      </c>
      <c r="AA65" s="1199">
        <f t="shared" si="8"/>
        <v>5.7275413999999998</v>
      </c>
      <c r="AB65" s="1205"/>
    </row>
    <row r="66" spans="1:28" ht="25.5" customHeight="1" thickBot="1">
      <c r="A66" s="2558" t="s">
        <v>1040</v>
      </c>
      <c r="B66" s="2558"/>
      <c r="C66" s="1317"/>
      <c r="D66" s="1319"/>
      <c r="E66" s="1318"/>
      <c r="F66" s="1318"/>
      <c r="G66" s="1319" t="e">
        <f>SUM(#REF!)</f>
        <v>#REF!</v>
      </c>
      <c r="H66" s="1319" t="e">
        <f>SUM(#REF!)</f>
        <v>#REF!</v>
      </c>
      <c r="I66" s="1319" t="e">
        <f>SUM(#REF!)</f>
        <v>#REF!</v>
      </c>
      <c r="J66" s="1319">
        <f>SUM(J33:J65)</f>
        <v>9006</v>
      </c>
      <c r="K66" s="1319">
        <f>SUM(K33:K65)</f>
        <v>181806</v>
      </c>
      <c r="L66" s="1319">
        <f>SUM(L43:L65)</f>
        <v>1688.5666999999999</v>
      </c>
      <c r="M66" s="1319">
        <f>SUM(M54:M65)</f>
        <v>115000</v>
      </c>
      <c r="N66" s="1319">
        <f>SUM(N54:N65)</f>
        <v>8129.5</v>
      </c>
      <c r="O66" s="1319">
        <f>SUM(O54:O65)</f>
        <v>54034.67</v>
      </c>
      <c r="P66" s="1319">
        <f t="shared" ref="P66:V66" si="20">SUM(P43:P65)</f>
        <v>2808</v>
      </c>
      <c r="Q66" s="1319">
        <f t="shared" si="20"/>
        <v>308249.17</v>
      </c>
      <c r="R66" s="1319">
        <f t="shared" si="20"/>
        <v>6745.5</v>
      </c>
      <c r="S66" s="1319">
        <f t="shared" si="20"/>
        <v>134662</v>
      </c>
      <c r="T66" s="1319">
        <f t="shared" si="20"/>
        <v>3082.4866999999999</v>
      </c>
      <c r="U66" s="1319">
        <f t="shared" si="20"/>
        <v>141407.5</v>
      </c>
      <c r="V66" s="1319">
        <f t="shared" si="20"/>
        <v>1414.08</v>
      </c>
      <c r="W66" s="2548" t="e">
        <f>SUM(#REF!)</f>
        <v>#REF!</v>
      </c>
      <c r="X66" s="1196" t="e">
        <f>SUM(#REF!)</f>
        <v>#REF!</v>
      </c>
      <c r="Y66" s="1196" t="e">
        <f>SUM(#REF!)</f>
        <v>#REF!</v>
      </c>
      <c r="AA66" s="1187"/>
      <c r="AB66" s="1187"/>
    </row>
    <row r="67" spans="1:28" ht="26.25" customHeight="1">
      <c r="A67" s="6279" t="s">
        <v>1041</v>
      </c>
      <c r="B67" s="6279"/>
      <c r="C67" s="6279"/>
      <c r="D67" s="6279"/>
      <c r="E67" s="6279"/>
      <c r="F67" s="6279"/>
      <c r="G67" s="6279"/>
      <c r="H67" s="6279"/>
      <c r="I67" s="6279"/>
      <c r="J67" s="6279"/>
      <c r="K67" s="6279"/>
      <c r="L67" s="6279"/>
      <c r="M67" s="6279"/>
      <c r="N67" s="6279"/>
      <c r="O67" s="6279"/>
      <c r="P67" s="6279"/>
      <c r="Q67" s="6279"/>
      <c r="R67" s="6279"/>
      <c r="S67" s="6279"/>
      <c r="T67" s="6279"/>
      <c r="U67" s="6279"/>
      <c r="V67" s="6279"/>
      <c r="W67" s="2549"/>
      <c r="X67" s="1192"/>
      <c r="Y67" s="1191"/>
    </row>
    <row r="68" spans="1:28" ht="16.5" hidden="1" customHeight="1" thickBot="1">
      <c r="A68" s="1203" t="s">
        <v>950</v>
      </c>
      <c r="B68" s="2550" t="s">
        <v>951</v>
      </c>
      <c r="C68" s="2551"/>
      <c r="D68" s="2552"/>
      <c r="E68" s="1202"/>
      <c r="F68" s="1914"/>
      <c r="G68" s="1201"/>
      <c r="H68" s="1201"/>
      <c r="I68" s="1201"/>
      <c r="J68" s="1201"/>
      <c r="K68" s="1201"/>
      <c r="L68" s="1201"/>
      <c r="M68" s="1201"/>
      <c r="N68" s="1201"/>
      <c r="O68" s="1201"/>
      <c r="P68" s="2553"/>
      <c r="Q68" s="2553"/>
      <c r="R68" s="1208"/>
      <c r="S68" s="1201"/>
      <c r="T68" s="1201"/>
      <c r="U68" s="1201"/>
      <c r="V68" s="1201"/>
      <c r="W68" s="1188"/>
      <c r="X68" s="1189"/>
      <c r="Y68" s="1188"/>
    </row>
    <row r="69" spans="1:28" ht="16.5" hidden="1" customHeight="1" thickBot="1">
      <c r="A69" s="1211">
        <v>7</v>
      </c>
      <c r="B69" s="1212" t="s">
        <v>952</v>
      </c>
      <c r="C69" s="1238">
        <v>0.13500000000000001</v>
      </c>
      <c r="D69" s="1211">
        <v>200</v>
      </c>
      <c r="E69" s="1249" t="s">
        <v>953</v>
      </c>
      <c r="F69" s="1249" t="s">
        <v>954</v>
      </c>
      <c r="G69" s="1213">
        <f>(I69*46/100)</f>
        <v>5750</v>
      </c>
      <c r="H69" s="1213">
        <f>(I69*54/100)</f>
        <v>6750</v>
      </c>
      <c r="I69" s="1213">
        <v>12500</v>
      </c>
      <c r="J69" s="1213">
        <f>(M69*46/100)</f>
        <v>0</v>
      </c>
      <c r="K69" s="1213">
        <f>(M69*54/100)</f>
        <v>0</v>
      </c>
      <c r="L69" s="1213"/>
      <c r="M69" s="1213">
        <v>0</v>
      </c>
      <c r="N69" s="1213">
        <f>(Q69*46/100)</f>
        <v>1150</v>
      </c>
      <c r="O69" s="1213">
        <f>(Q69*54/100)</f>
        <v>1350</v>
      </c>
      <c r="P69" s="1213"/>
      <c r="Q69" s="1213">
        <f>+'[115]H1-2012-13'!N51+'[115]H2-2012-13'!N45</f>
        <v>2500</v>
      </c>
      <c r="R69" s="1213">
        <f>(U69*46/100)</f>
        <v>4600</v>
      </c>
      <c r="S69" s="1213">
        <f>(U69*54/100)</f>
        <v>5400</v>
      </c>
      <c r="T69" s="1213"/>
      <c r="U69" s="1213">
        <f>(I69+M69-Q69)</f>
        <v>10000</v>
      </c>
      <c r="V69" s="1213"/>
      <c r="W69" s="1213">
        <f>Y69*46/100</f>
        <v>689.94531060000008</v>
      </c>
      <c r="X69" s="1214">
        <f>Y69*54/100</f>
        <v>809.93579939999995</v>
      </c>
      <c r="Y69" s="1213">
        <f>+'[115]H1-2012-13'!T51+'[115]H2-2012-13'!T45</f>
        <v>1499.88111</v>
      </c>
    </row>
    <row r="70" spans="1:28" ht="16.5" hidden="1" customHeight="1" thickBot="1">
      <c r="A70" s="1215">
        <v>8</v>
      </c>
      <c r="B70" s="1215" t="s">
        <v>955</v>
      </c>
      <c r="C70" s="1216" t="s">
        <v>956</v>
      </c>
      <c r="D70" s="1250"/>
      <c r="E70" s="1193" t="s">
        <v>957</v>
      </c>
      <c r="F70" s="1210" t="s">
        <v>958</v>
      </c>
      <c r="G70" s="1209">
        <f>(I70)</f>
        <v>159.58004</v>
      </c>
      <c r="H70" s="1209">
        <v>0</v>
      </c>
      <c r="I70" s="1217">
        <v>159.58004</v>
      </c>
      <c r="J70" s="1209">
        <f>(M70)</f>
        <v>0</v>
      </c>
      <c r="K70" s="1209">
        <v>0</v>
      </c>
      <c r="L70" s="1209"/>
      <c r="M70" s="1196">
        <v>0</v>
      </c>
      <c r="N70" s="1209">
        <f>(Q70)</f>
        <v>15.95833</v>
      </c>
      <c r="O70" s="1209">
        <v>0</v>
      </c>
      <c r="P70" s="1200"/>
      <c r="Q70" s="1213">
        <f>+'[115]H1-2012-13'!N52+'[115]H2-2012-13'!N46</f>
        <v>15.95833</v>
      </c>
      <c r="R70" s="1209">
        <f>(U70)</f>
        <v>143.62171000000001</v>
      </c>
      <c r="S70" s="1209">
        <v>0</v>
      </c>
      <c r="T70" s="1209"/>
      <c r="U70" s="1196">
        <f>(I70+M70-Q70)</f>
        <v>143.62171000000001</v>
      </c>
      <c r="V70" s="1196"/>
      <c r="W70" s="1209">
        <f>+Y70</f>
        <v>22.740629999999999</v>
      </c>
      <c r="X70" s="1218">
        <v>0</v>
      </c>
      <c r="Y70" s="1213">
        <f>+'[115]H1-2012-13'!T52+'[115]H2-2012-13'!T46</f>
        <v>22.740629999999999</v>
      </c>
    </row>
    <row r="71" spans="1:28" ht="16.5" hidden="1" customHeight="1" thickBot="1">
      <c r="A71" s="1215">
        <v>9</v>
      </c>
      <c r="B71" s="1215" t="s">
        <v>959</v>
      </c>
      <c r="C71" s="1194" t="s">
        <v>960</v>
      </c>
      <c r="D71" s="1248"/>
      <c r="E71" s="1193" t="s">
        <v>961</v>
      </c>
      <c r="F71" s="1210" t="s">
        <v>962</v>
      </c>
      <c r="G71" s="1209">
        <f>(I71)</f>
        <v>3798.5</v>
      </c>
      <c r="H71" s="1209">
        <v>0</v>
      </c>
      <c r="I71" s="1219">
        <v>3798.5</v>
      </c>
      <c r="J71" s="1209">
        <f>(M71)</f>
        <v>0</v>
      </c>
      <c r="K71" s="1209">
        <v>0</v>
      </c>
      <c r="L71" s="1209"/>
      <c r="M71" s="1196">
        <v>0</v>
      </c>
      <c r="N71" s="1209">
        <f>(Q71)</f>
        <v>0</v>
      </c>
      <c r="O71" s="1209">
        <v>0</v>
      </c>
      <c r="P71" s="1219"/>
      <c r="Q71" s="1198">
        <f>+'[115]H1-2012-13'!N53+'[115]H2-2012-13'!N47</f>
        <v>0</v>
      </c>
      <c r="R71" s="1209">
        <f>(U71)</f>
        <v>3798.5</v>
      </c>
      <c r="S71" s="1209">
        <v>0</v>
      </c>
      <c r="T71" s="1209"/>
      <c r="U71" s="1196">
        <f>(I71+M71-Q71)</f>
        <v>3798.5</v>
      </c>
      <c r="V71" s="1196"/>
      <c r="W71" s="1209">
        <f>(Y71)</f>
        <v>288.01391000000001</v>
      </c>
      <c r="X71" s="1218">
        <v>0</v>
      </c>
      <c r="Y71" s="1213">
        <f>+'[115]H1-2012-13'!T53+'[115]H2-2012-13'!T47</f>
        <v>288.01391000000001</v>
      </c>
    </row>
    <row r="72" spans="1:28" ht="16.5" hidden="1" customHeight="1" thickBot="1">
      <c r="A72" s="1215">
        <v>10</v>
      </c>
      <c r="B72" s="1215" t="s">
        <v>963</v>
      </c>
      <c r="C72" s="1216" t="s">
        <v>964</v>
      </c>
      <c r="D72" s="1251"/>
      <c r="E72" s="1220" t="s">
        <v>965</v>
      </c>
      <c r="F72" s="1221" t="s">
        <v>966</v>
      </c>
      <c r="G72" s="1209">
        <v>0</v>
      </c>
      <c r="H72" s="1209">
        <f>(I72)</f>
        <v>8139.8084999999974</v>
      </c>
      <c r="I72" s="1219">
        <v>8139.8084999999974</v>
      </c>
      <c r="J72" s="1209">
        <v>0</v>
      </c>
      <c r="K72" s="1209">
        <f>(M72)</f>
        <v>0</v>
      </c>
      <c r="L72" s="1209"/>
      <c r="M72" s="1196">
        <v>0</v>
      </c>
      <c r="N72" s="1209">
        <v>0</v>
      </c>
      <c r="O72" s="1209">
        <f>Q72</f>
        <v>452.21000000000004</v>
      </c>
      <c r="P72" s="1219"/>
      <c r="Q72" s="1198">
        <f>+'[115]H1-2012-13'!N54+'[115]H2-2012-13'!N48</f>
        <v>452.21000000000004</v>
      </c>
      <c r="R72" s="1209">
        <v>0</v>
      </c>
      <c r="S72" s="1209">
        <f>(U72)</f>
        <v>7687.5984999999973</v>
      </c>
      <c r="T72" s="1209"/>
      <c r="U72" s="1196">
        <f>(I72+M72-Q72)</f>
        <v>7687.5984999999973</v>
      </c>
      <c r="V72" s="1196"/>
      <c r="W72" s="1209">
        <v>0</v>
      </c>
      <c r="X72" s="1218">
        <f>(Y72)</f>
        <v>571.65535999999997</v>
      </c>
      <c r="Y72" s="1213">
        <f>+'[115]H1-2012-13'!T54+'[115]H2-2012-13'!T48</f>
        <v>571.65535999999997</v>
      </c>
    </row>
    <row r="73" spans="1:28" ht="16.5" hidden="1" customHeight="1" thickBot="1">
      <c r="A73" s="1215">
        <v>11</v>
      </c>
      <c r="B73" s="1215" t="s">
        <v>967</v>
      </c>
      <c r="C73" s="1236">
        <v>0.1</v>
      </c>
      <c r="D73" s="1252">
        <v>1600</v>
      </c>
      <c r="E73" s="1220" t="s">
        <v>968</v>
      </c>
      <c r="F73" s="1221" t="s">
        <v>969</v>
      </c>
      <c r="G73" s="1209">
        <v>0</v>
      </c>
      <c r="H73" s="1209">
        <f>(I73)</f>
        <v>0</v>
      </c>
      <c r="I73" s="1231">
        <v>0</v>
      </c>
      <c r="J73" s="1209">
        <v>0</v>
      </c>
      <c r="K73" s="1209">
        <f>(M73)</f>
        <v>40000</v>
      </c>
      <c r="L73" s="1209"/>
      <c r="M73" s="1231">
        <v>40000</v>
      </c>
      <c r="N73" s="1209">
        <v>0</v>
      </c>
      <c r="O73" s="1209">
        <f>(Q73)</f>
        <v>0</v>
      </c>
      <c r="P73" s="1219"/>
      <c r="Q73" s="1232">
        <v>0</v>
      </c>
      <c r="R73" s="1231">
        <v>0</v>
      </c>
      <c r="S73" s="1231">
        <f>(U73)</f>
        <v>40000</v>
      </c>
      <c r="T73" s="1231"/>
      <c r="U73" s="1231">
        <f>(I73+M73-Q73)</f>
        <v>40000</v>
      </c>
      <c r="V73" s="1231"/>
      <c r="W73" s="1209">
        <f>+Y73</f>
        <v>98.630139999999997</v>
      </c>
      <c r="X73" s="1209">
        <v>0</v>
      </c>
      <c r="Y73" s="1213">
        <f>+'[115]H2-2012-13'!T49</f>
        <v>98.630139999999997</v>
      </c>
    </row>
    <row r="74" spans="1:28" ht="16.5" hidden="1" customHeight="1" thickBot="1">
      <c r="A74" s="1195"/>
      <c r="B74" s="1222" t="s">
        <v>970</v>
      </c>
      <c r="C74" s="1195"/>
      <c r="D74" s="1253"/>
      <c r="E74" s="1193"/>
      <c r="F74" s="1223"/>
      <c r="G74" s="1209">
        <f>SUM(G69:G72)</f>
        <v>9708.0800400000007</v>
      </c>
      <c r="H74" s="1209">
        <f>SUM(H69:H72)</f>
        <v>14889.808499999997</v>
      </c>
      <c r="I74" s="1209">
        <f>SUM(I69:I72)</f>
        <v>24597.88854</v>
      </c>
      <c r="J74" s="1209">
        <f>SUM(J69:J72)</f>
        <v>0</v>
      </c>
      <c r="K74" s="1209">
        <f>SUM(K69:K73)</f>
        <v>40000</v>
      </c>
      <c r="L74" s="1209"/>
      <c r="M74" s="1209">
        <f>SUM(M69:M73)</f>
        <v>40000</v>
      </c>
      <c r="N74" s="1209">
        <f t="shared" ref="N74:Y74" si="21">SUM(N69:N73)</f>
        <v>1165.9583299999999</v>
      </c>
      <c r="O74" s="1209">
        <f t="shared" si="21"/>
        <v>1802.21</v>
      </c>
      <c r="P74" s="1209"/>
      <c r="Q74" s="1209">
        <f t="shared" si="21"/>
        <v>2968.16833</v>
      </c>
      <c r="R74" s="1209">
        <f t="shared" si="21"/>
        <v>8542.1217099999994</v>
      </c>
      <c r="S74" s="1209">
        <f t="shared" si="21"/>
        <v>53087.598499999993</v>
      </c>
      <c r="T74" s="1209"/>
      <c r="U74" s="1209">
        <f t="shared" si="21"/>
        <v>61629.720209999999</v>
      </c>
      <c r="V74" s="1209"/>
      <c r="W74" s="1209">
        <f t="shared" si="21"/>
        <v>1099.3299906000002</v>
      </c>
      <c r="X74" s="1209">
        <f t="shared" si="21"/>
        <v>1381.5911593999999</v>
      </c>
      <c r="Y74" s="1209">
        <f t="shared" si="21"/>
        <v>2480.9211500000001</v>
      </c>
    </row>
    <row r="75" spans="1:28" ht="16.5" hidden="1" customHeight="1" thickBot="1">
      <c r="A75" s="1195"/>
      <c r="B75" s="1224" t="s">
        <v>2335</v>
      </c>
      <c r="C75" s="1195"/>
      <c r="D75" s="1253"/>
      <c r="E75" s="1193"/>
      <c r="F75" s="1223"/>
      <c r="G75" s="1209" t="e">
        <f t="shared" ref="G75:Y75" si="22">(G66+G74)</f>
        <v>#REF!</v>
      </c>
      <c r="H75" s="1209" t="e">
        <f t="shared" si="22"/>
        <v>#REF!</v>
      </c>
      <c r="I75" s="1209" t="e">
        <f t="shared" si="22"/>
        <v>#REF!</v>
      </c>
      <c r="J75" s="1209">
        <f t="shared" si="22"/>
        <v>9006</v>
      </c>
      <c r="K75" s="1209">
        <f t="shared" si="22"/>
        <v>221806</v>
      </c>
      <c r="L75" s="1209"/>
      <c r="M75" s="1209">
        <f t="shared" si="22"/>
        <v>155000</v>
      </c>
      <c r="N75" s="1209">
        <f t="shared" si="22"/>
        <v>9295.4583299999995</v>
      </c>
      <c r="O75" s="1209">
        <f t="shared" si="22"/>
        <v>55836.88</v>
      </c>
      <c r="P75" s="1209"/>
      <c r="Q75" s="1209">
        <f t="shared" si="22"/>
        <v>311217.33833</v>
      </c>
      <c r="R75" s="1209">
        <f t="shared" si="22"/>
        <v>15287.621709999999</v>
      </c>
      <c r="S75" s="1209">
        <f t="shared" si="22"/>
        <v>187749.59849999999</v>
      </c>
      <c r="T75" s="1209"/>
      <c r="U75" s="1209">
        <f t="shared" si="22"/>
        <v>203037.22021</v>
      </c>
      <c r="V75" s="1209"/>
      <c r="W75" s="1209" t="e">
        <f t="shared" si="22"/>
        <v>#REF!</v>
      </c>
      <c r="X75" s="1218" t="e">
        <f t="shared" si="22"/>
        <v>#REF!</v>
      </c>
      <c r="Y75" s="1209" t="e">
        <f t="shared" si="22"/>
        <v>#REF!</v>
      </c>
    </row>
    <row r="76" spans="1:28" ht="16.5" hidden="1" customHeight="1" thickBot="1">
      <c r="A76" s="1254"/>
      <c r="B76" s="1255"/>
      <c r="C76" s="1255"/>
      <c r="D76" s="1256"/>
      <c r="E76" s="1225"/>
      <c r="F76" s="1225"/>
      <c r="G76" s="1255"/>
      <c r="H76" s="1255"/>
      <c r="I76" s="1255"/>
      <c r="J76" s="1255"/>
      <c r="K76" s="1255"/>
      <c r="L76" s="1255"/>
      <c r="M76" s="1255"/>
      <c r="N76" s="1255"/>
      <c r="O76" s="1255"/>
      <c r="P76" s="1255"/>
      <c r="Q76" s="1255"/>
      <c r="R76" s="1255"/>
      <c r="S76" s="1255"/>
      <c r="T76" s="1255"/>
      <c r="U76" s="1255"/>
      <c r="V76" s="1255"/>
      <c r="W76" s="1255"/>
      <c r="X76" s="1255"/>
      <c r="Y76" s="1257"/>
    </row>
  </sheetData>
  <mergeCells count="27">
    <mergeCell ref="A67:V67"/>
    <mergeCell ref="A54:A60"/>
    <mergeCell ref="B54:B60"/>
    <mergeCell ref="A61:A63"/>
    <mergeCell ref="B61:B63"/>
    <mergeCell ref="A64:A65"/>
    <mergeCell ref="B64:B65"/>
    <mergeCell ref="A44:A53"/>
    <mergeCell ref="B44:B53"/>
    <mergeCell ref="E5:F5"/>
    <mergeCell ref="A6:A27"/>
    <mergeCell ref="B6:B27"/>
    <mergeCell ref="A28:A36"/>
    <mergeCell ref="B28:B36"/>
    <mergeCell ref="A39:V39"/>
    <mergeCell ref="A40:A41"/>
    <mergeCell ref="B40:B41"/>
    <mergeCell ref="E40:F40"/>
    <mergeCell ref="G40:I40"/>
    <mergeCell ref="E42:F42"/>
    <mergeCell ref="A1:V1"/>
    <mergeCell ref="A2:Y2"/>
    <mergeCell ref="A3:A4"/>
    <mergeCell ref="B3:B4"/>
    <mergeCell ref="E3:F3"/>
    <mergeCell ref="G3:I3"/>
    <mergeCell ref="W3:Y3"/>
  </mergeCells>
  <pageMargins left="0.37" right="0.2" top="0.51" bottom="0.36" header="0.41" footer="0.17"/>
  <pageSetup paperSize="5" scale="86" orientation="landscape" horizontalDpi="180" verticalDpi="180" r:id="rId1"/>
</worksheet>
</file>

<file path=xl/worksheets/sheet127.xml><?xml version="1.0" encoding="utf-8"?>
<worksheet xmlns="http://schemas.openxmlformats.org/spreadsheetml/2006/main" xmlns:r="http://schemas.openxmlformats.org/officeDocument/2006/relationships">
  <sheetPr codeName="Sheet106"/>
  <dimension ref="A1:IP586"/>
  <sheetViews>
    <sheetView showGridLines="0" showOutlineSymbols="0" topLeftCell="A3" zoomScale="68" zoomScaleNormal="68" zoomScaleSheetLayoutView="50" workbookViewId="0">
      <selection activeCell="B23" activeCellId="1" sqref="B57 B23"/>
    </sheetView>
  </sheetViews>
  <sheetFormatPr defaultColWidth="8.85546875" defaultRowHeight="15" outlineLevelRow="1" outlineLevelCol="2"/>
  <cols>
    <col min="1" max="1" width="4.85546875" style="2302" customWidth="1"/>
    <col min="2" max="2" width="42" style="2302" customWidth="1"/>
    <col min="3" max="3" width="12.42578125" style="1943" customWidth="1"/>
    <col min="4" max="4" width="13.42578125" style="2330" customWidth="1" outlineLevel="2"/>
    <col min="5" max="5" width="22" style="2330" customWidth="1" outlineLevel="1"/>
    <col min="6" max="6" width="3.140625" style="2330" customWidth="1" outlineLevel="1"/>
    <col min="7" max="7" width="31" style="2342" customWidth="1" outlineLevel="2"/>
    <col min="8" max="8" width="17.42578125" style="2330" customWidth="1" outlineLevel="2"/>
    <col min="9" max="9" width="17.7109375" style="2330" customWidth="1" outlineLevel="2"/>
    <col min="10" max="10" width="17.42578125" style="2330" customWidth="1" outlineLevel="1"/>
    <col min="11" max="11" width="24.28515625" style="2330" customWidth="1" collapsed="1"/>
    <col min="12" max="12" width="1.28515625" style="2330" hidden="1" customWidth="1" outlineLevel="1"/>
    <col min="13" max="13" width="21" style="2330" customWidth="1"/>
    <col min="14" max="14" width="49.5703125" style="1943" customWidth="1"/>
    <col min="15" max="15" width="16.5703125" style="1943" customWidth="1"/>
    <col min="16" max="16" width="13.7109375" style="1943" customWidth="1"/>
    <col min="17" max="17" width="29.5703125" style="1943" customWidth="1"/>
    <col min="18" max="18" width="18.28515625" style="1943" customWidth="1"/>
    <col min="19" max="19" width="14.28515625" style="1943" customWidth="1"/>
    <col min="20" max="20" width="17.28515625" style="1943" customWidth="1"/>
    <col min="21" max="21" width="17.5703125" style="1943" customWidth="1"/>
    <col min="22" max="22" width="17.28515625" style="1943" customWidth="1"/>
    <col min="23" max="23" width="16.42578125" style="1943" customWidth="1"/>
    <col min="24" max="24" width="17" style="1943" customWidth="1"/>
    <col min="25" max="25" width="18.28515625" style="1943" customWidth="1"/>
    <col min="26" max="26" width="17.5703125" style="1943" customWidth="1"/>
    <col min="27" max="27" width="5.28515625" style="1943" customWidth="1"/>
    <col min="28" max="28" width="15.140625" style="1943" bestFit="1" customWidth="1"/>
    <col min="29" max="30" width="8" style="1943" customWidth="1"/>
    <col min="31" max="31" width="2.85546875" style="1943" customWidth="1"/>
    <col min="32" max="60" width="8" style="1943" customWidth="1"/>
    <col min="61" max="61" width="15.85546875" style="1943" bestFit="1" customWidth="1"/>
    <col min="62" max="62" width="17" style="1943" bestFit="1" customWidth="1"/>
    <col min="63" max="249" width="8" style="1943" customWidth="1"/>
    <col min="250" max="250" width="8.85546875" style="1943" bestFit="1" customWidth="1"/>
    <col min="251" max="256" width="8.85546875" style="1943"/>
    <col min="257" max="257" width="4.85546875" style="1943" customWidth="1"/>
    <col min="258" max="258" width="42" style="1943" customWidth="1"/>
    <col min="259" max="259" width="12.42578125" style="1943" customWidth="1"/>
    <col min="260" max="260" width="13.42578125" style="1943" customWidth="1"/>
    <col min="261" max="261" width="22" style="1943" customWidth="1"/>
    <col min="262" max="262" width="3.140625" style="1943" customWidth="1"/>
    <col min="263" max="263" width="22.85546875" style="1943" customWidth="1"/>
    <col min="264" max="266" width="0" style="1943" hidden="1" customWidth="1"/>
    <col min="267" max="267" width="0.5703125" style="1943" customWidth="1"/>
    <col min="268" max="269" width="0" style="1943" hidden="1" customWidth="1"/>
    <col min="270" max="270" width="49.5703125" style="1943" customWidth="1"/>
    <col min="271" max="271" width="16.5703125" style="1943" customWidth="1"/>
    <col min="272" max="272" width="13.7109375" style="1943" customWidth="1"/>
    <col min="273" max="273" width="29.5703125" style="1943" customWidth="1"/>
    <col min="274" max="274" width="18.28515625" style="1943" customWidth="1"/>
    <col min="275" max="275" width="14.28515625" style="1943" customWidth="1"/>
    <col min="276" max="276" width="17.28515625" style="1943" customWidth="1"/>
    <col min="277" max="277" width="17.5703125" style="1943" customWidth="1"/>
    <col min="278" max="278" width="17.28515625" style="1943" customWidth="1"/>
    <col min="279" max="279" width="16.42578125" style="1943" customWidth="1"/>
    <col min="280" max="280" width="17" style="1943" customWidth="1"/>
    <col min="281" max="281" width="18.28515625" style="1943" customWidth="1"/>
    <col min="282" max="282" width="17.5703125" style="1943" customWidth="1"/>
    <col min="283" max="283" width="5.28515625" style="1943" customWidth="1"/>
    <col min="284" max="284" width="15.140625" style="1943" bestFit="1" customWidth="1"/>
    <col min="285" max="286" width="8" style="1943" customWidth="1"/>
    <col min="287" max="287" width="2.85546875" style="1943" customWidth="1"/>
    <col min="288" max="316" width="8" style="1943" customWidth="1"/>
    <col min="317" max="317" width="15.85546875" style="1943" bestFit="1" customWidth="1"/>
    <col min="318" max="318" width="17" style="1943" bestFit="1" customWidth="1"/>
    <col min="319" max="505" width="8" style="1943" customWidth="1"/>
    <col min="506" max="506" width="8.85546875" style="1943" bestFit="1" customWidth="1"/>
    <col min="507" max="512" width="8.85546875" style="1943"/>
    <col min="513" max="513" width="4.85546875" style="1943" customWidth="1"/>
    <col min="514" max="514" width="42" style="1943" customWidth="1"/>
    <col min="515" max="515" width="12.42578125" style="1943" customWidth="1"/>
    <col min="516" max="516" width="13.42578125" style="1943" customWidth="1"/>
    <col min="517" max="517" width="22" style="1943" customWidth="1"/>
    <col min="518" max="518" width="3.140625" style="1943" customWidth="1"/>
    <col min="519" max="519" width="22.85546875" style="1943" customWidth="1"/>
    <col min="520" max="522" width="0" style="1943" hidden="1" customWidth="1"/>
    <col min="523" max="523" width="0.5703125" style="1943" customWidth="1"/>
    <col min="524" max="525" width="0" style="1943" hidden="1" customWidth="1"/>
    <col min="526" max="526" width="49.5703125" style="1943" customWidth="1"/>
    <col min="527" max="527" width="16.5703125" style="1943" customWidth="1"/>
    <col min="528" max="528" width="13.7109375" style="1943" customWidth="1"/>
    <col min="529" max="529" width="29.5703125" style="1943" customWidth="1"/>
    <col min="530" max="530" width="18.28515625" style="1943" customWidth="1"/>
    <col min="531" max="531" width="14.28515625" style="1943" customWidth="1"/>
    <col min="532" max="532" width="17.28515625" style="1943" customWidth="1"/>
    <col min="533" max="533" width="17.5703125" style="1943" customWidth="1"/>
    <col min="534" max="534" width="17.28515625" style="1943" customWidth="1"/>
    <col min="535" max="535" width="16.42578125" style="1943" customWidth="1"/>
    <col min="536" max="536" width="17" style="1943" customWidth="1"/>
    <col min="537" max="537" width="18.28515625" style="1943" customWidth="1"/>
    <col min="538" max="538" width="17.5703125" style="1943" customWidth="1"/>
    <col min="539" max="539" width="5.28515625" style="1943" customWidth="1"/>
    <col min="540" max="540" width="15.140625" style="1943" bestFit="1" customWidth="1"/>
    <col min="541" max="542" width="8" style="1943" customWidth="1"/>
    <col min="543" max="543" width="2.85546875" style="1943" customWidth="1"/>
    <col min="544" max="572" width="8" style="1943" customWidth="1"/>
    <col min="573" max="573" width="15.85546875" style="1943" bestFit="1" customWidth="1"/>
    <col min="574" max="574" width="17" style="1943" bestFit="1" customWidth="1"/>
    <col min="575" max="761" width="8" style="1943" customWidth="1"/>
    <col min="762" max="762" width="8.85546875" style="1943" bestFit="1" customWidth="1"/>
    <col min="763" max="768" width="8.85546875" style="1943"/>
    <col min="769" max="769" width="4.85546875" style="1943" customWidth="1"/>
    <col min="770" max="770" width="42" style="1943" customWidth="1"/>
    <col min="771" max="771" width="12.42578125" style="1943" customWidth="1"/>
    <col min="772" max="772" width="13.42578125" style="1943" customWidth="1"/>
    <col min="773" max="773" width="22" style="1943" customWidth="1"/>
    <col min="774" max="774" width="3.140625" style="1943" customWidth="1"/>
    <col min="775" max="775" width="22.85546875" style="1943" customWidth="1"/>
    <col min="776" max="778" width="0" style="1943" hidden="1" customWidth="1"/>
    <col min="779" max="779" width="0.5703125" style="1943" customWidth="1"/>
    <col min="780" max="781" width="0" style="1943" hidden="1" customWidth="1"/>
    <col min="782" max="782" width="49.5703125" style="1943" customWidth="1"/>
    <col min="783" max="783" width="16.5703125" style="1943" customWidth="1"/>
    <col min="784" max="784" width="13.7109375" style="1943" customWidth="1"/>
    <col min="785" max="785" width="29.5703125" style="1943" customWidth="1"/>
    <col min="786" max="786" width="18.28515625" style="1943" customWidth="1"/>
    <col min="787" max="787" width="14.28515625" style="1943" customWidth="1"/>
    <col min="788" max="788" width="17.28515625" style="1943" customWidth="1"/>
    <col min="789" max="789" width="17.5703125" style="1943" customWidth="1"/>
    <col min="790" max="790" width="17.28515625" style="1943" customWidth="1"/>
    <col min="791" max="791" width="16.42578125" style="1943" customWidth="1"/>
    <col min="792" max="792" width="17" style="1943" customWidth="1"/>
    <col min="793" max="793" width="18.28515625" style="1943" customWidth="1"/>
    <col min="794" max="794" width="17.5703125" style="1943" customWidth="1"/>
    <col min="795" max="795" width="5.28515625" style="1943" customWidth="1"/>
    <col min="796" max="796" width="15.140625" style="1943" bestFit="1" customWidth="1"/>
    <col min="797" max="798" width="8" style="1943" customWidth="1"/>
    <col min="799" max="799" width="2.85546875" style="1943" customWidth="1"/>
    <col min="800" max="828" width="8" style="1943" customWidth="1"/>
    <col min="829" max="829" width="15.85546875" style="1943" bestFit="1" customWidth="1"/>
    <col min="830" max="830" width="17" style="1943" bestFit="1" customWidth="1"/>
    <col min="831" max="1017" width="8" style="1943" customWidth="1"/>
    <col min="1018" max="1018" width="8.85546875" style="1943" bestFit="1" customWidth="1"/>
    <col min="1019" max="1024" width="8.85546875" style="1943"/>
    <col min="1025" max="1025" width="4.85546875" style="1943" customWidth="1"/>
    <col min="1026" max="1026" width="42" style="1943" customWidth="1"/>
    <col min="1027" max="1027" width="12.42578125" style="1943" customWidth="1"/>
    <col min="1028" max="1028" width="13.42578125" style="1943" customWidth="1"/>
    <col min="1029" max="1029" width="22" style="1943" customWidth="1"/>
    <col min="1030" max="1030" width="3.140625" style="1943" customWidth="1"/>
    <col min="1031" max="1031" width="22.85546875" style="1943" customWidth="1"/>
    <col min="1032" max="1034" width="0" style="1943" hidden="1" customWidth="1"/>
    <col min="1035" max="1035" width="0.5703125" style="1943" customWidth="1"/>
    <col min="1036" max="1037" width="0" style="1943" hidden="1" customWidth="1"/>
    <col min="1038" max="1038" width="49.5703125" style="1943" customWidth="1"/>
    <col min="1039" max="1039" width="16.5703125" style="1943" customWidth="1"/>
    <col min="1040" max="1040" width="13.7109375" style="1943" customWidth="1"/>
    <col min="1041" max="1041" width="29.5703125" style="1943" customWidth="1"/>
    <col min="1042" max="1042" width="18.28515625" style="1943" customWidth="1"/>
    <col min="1043" max="1043" width="14.28515625" style="1943" customWidth="1"/>
    <col min="1044" max="1044" width="17.28515625" style="1943" customWidth="1"/>
    <col min="1045" max="1045" width="17.5703125" style="1943" customWidth="1"/>
    <col min="1046" max="1046" width="17.28515625" style="1943" customWidth="1"/>
    <col min="1047" max="1047" width="16.42578125" style="1943" customWidth="1"/>
    <col min="1048" max="1048" width="17" style="1943" customWidth="1"/>
    <col min="1049" max="1049" width="18.28515625" style="1943" customWidth="1"/>
    <col min="1050" max="1050" width="17.5703125" style="1943" customWidth="1"/>
    <col min="1051" max="1051" width="5.28515625" style="1943" customWidth="1"/>
    <col min="1052" max="1052" width="15.140625" style="1943" bestFit="1" customWidth="1"/>
    <col min="1053" max="1054" width="8" style="1943" customWidth="1"/>
    <col min="1055" max="1055" width="2.85546875" style="1943" customWidth="1"/>
    <col min="1056" max="1084" width="8" style="1943" customWidth="1"/>
    <col min="1085" max="1085" width="15.85546875" style="1943" bestFit="1" customWidth="1"/>
    <col min="1086" max="1086" width="17" style="1943" bestFit="1" customWidth="1"/>
    <col min="1087" max="1273" width="8" style="1943" customWidth="1"/>
    <col min="1274" max="1274" width="8.85546875" style="1943" bestFit="1" customWidth="1"/>
    <col min="1275" max="1280" width="8.85546875" style="1943"/>
    <col min="1281" max="1281" width="4.85546875" style="1943" customWidth="1"/>
    <col min="1282" max="1282" width="42" style="1943" customWidth="1"/>
    <col min="1283" max="1283" width="12.42578125" style="1943" customWidth="1"/>
    <col min="1284" max="1284" width="13.42578125" style="1943" customWidth="1"/>
    <col min="1285" max="1285" width="22" style="1943" customWidth="1"/>
    <col min="1286" max="1286" width="3.140625" style="1943" customWidth="1"/>
    <col min="1287" max="1287" width="22.85546875" style="1943" customWidth="1"/>
    <col min="1288" max="1290" width="0" style="1943" hidden="1" customWidth="1"/>
    <col min="1291" max="1291" width="0.5703125" style="1943" customWidth="1"/>
    <col min="1292" max="1293" width="0" style="1943" hidden="1" customWidth="1"/>
    <col min="1294" max="1294" width="49.5703125" style="1943" customWidth="1"/>
    <col min="1295" max="1295" width="16.5703125" style="1943" customWidth="1"/>
    <col min="1296" max="1296" width="13.7109375" style="1943" customWidth="1"/>
    <col min="1297" max="1297" width="29.5703125" style="1943" customWidth="1"/>
    <col min="1298" max="1298" width="18.28515625" style="1943" customWidth="1"/>
    <col min="1299" max="1299" width="14.28515625" style="1943" customWidth="1"/>
    <col min="1300" max="1300" width="17.28515625" style="1943" customWidth="1"/>
    <col min="1301" max="1301" width="17.5703125" style="1943" customWidth="1"/>
    <col min="1302" max="1302" width="17.28515625" style="1943" customWidth="1"/>
    <col min="1303" max="1303" width="16.42578125" style="1943" customWidth="1"/>
    <col min="1304" max="1304" width="17" style="1943" customWidth="1"/>
    <col min="1305" max="1305" width="18.28515625" style="1943" customWidth="1"/>
    <col min="1306" max="1306" width="17.5703125" style="1943" customWidth="1"/>
    <col min="1307" max="1307" width="5.28515625" style="1943" customWidth="1"/>
    <col min="1308" max="1308" width="15.140625" style="1943" bestFit="1" customWidth="1"/>
    <col min="1309" max="1310" width="8" style="1943" customWidth="1"/>
    <col min="1311" max="1311" width="2.85546875" style="1943" customWidth="1"/>
    <col min="1312" max="1340" width="8" style="1943" customWidth="1"/>
    <col min="1341" max="1341" width="15.85546875" style="1943" bestFit="1" customWidth="1"/>
    <col min="1342" max="1342" width="17" style="1943" bestFit="1" customWidth="1"/>
    <col min="1343" max="1529" width="8" style="1943" customWidth="1"/>
    <col min="1530" max="1530" width="8.85546875" style="1943" bestFit="1" customWidth="1"/>
    <col min="1531" max="1536" width="8.85546875" style="1943"/>
    <col min="1537" max="1537" width="4.85546875" style="1943" customWidth="1"/>
    <col min="1538" max="1538" width="42" style="1943" customWidth="1"/>
    <col min="1539" max="1539" width="12.42578125" style="1943" customWidth="1"/>
    <col min="1540" max="1540" width="13.42578125" style="1943" customWidth="1"/>
    <col min="1541" max="1541" width="22" style="1943" customWidth="1"/>
    <col min="1542" max="1542" width="3.140625" style="1943" customWidth="1"/>
    <col min="1543" max="1543" width="22.85546875" style="1943" customWidth="1"/>
    <col min="1544" max="1546" width="0" style="1943" hidden="1" customWidth="1"/>
    <col min="1547" max="1547" width="0.5703125" style="1943" customWidth="1"/>
    <col min="1548" max="1549" width="0" style="1943" hidden="1" customWidth="1"/>
    <col min="1550" max="1550" width="49.5703125" style="1943" customWidth="1"/>
    <col min="1551" max="1551" width="16.5703125" style="1943" customWidth="1"/>
    <col min="1552" max="1552" width="13.7109375" style="1943" customWidth="1"/>
    <col min="1553" max="1553" width="29.5703125" style="1943" customWidth="1"/>
    <col min="1554" max="1554" width="18.28515625" style="1943" customWidth="1"/>
    <col min="1555" max="1555" width="14.28515625" style="1943" customWidth="1"/>
    <col min="1556" max="1556" width="17.28515625" style="1943" customWidth="1"/>
    <col min="1557" max="1557" width="17.5703125" style="1943" customWidth="1"/>
    <col min="1558" max="1558" width="17.28515625" style="1943" customWidth="1"/>
    <col min="1559" max="1559" width="16.42578125" style="1943" customWidth="1"/>
    <col min="1560" max="1560" width="17" style="1943" customWidth="1"/>
    <col min="1561" max="1561" width="18.28515625" style="1943" customWidth="1"/>
    <col min="1562" max="1562" width="17.5703125" style="1943" customWidth="1"/>
    <col min="1563" max="1563" width="5.28515625" style="1943" customWidth="1"/>
    <col min="1564" max="1564" width="15.140625" style="1943" bestFit="1" customWidth="1"/>
    <col min="1565" max="1566" width="8" style="1943" customWidth="1"/>
    <col min="1567" max="1567" width="2.85546875" style="1943" customWidth="1"/>
    <col min="1568" max="1596" width="8" style="1943" customWidth="1"/>
    <col min="1597" max="1597" width="15.85546875" style="1943" bestFit="1" customWidth="1"/>
    <col min="1598" max="1598" width="17" style="1943" bestFit="1" customWidth="1"/>
    <col min="1599" max="1785" width="8" style="1943" customWidth="1"/>
    <col min="1786" max="1786" width="8.85546875" style="1943" bestFit="1" customWidth="1"/>
    <col min="1787" max="1792" width="8.85546875" style="1943"/>
    <col min="1793" max="1793" width="4.85546875" style="1943" customWidth="1"/>
    <col min="1794" max="1794" width="42" style="1943" customWidth="1"/>
    <col min="1795" max="1795" width="12.42578125" style="1943" customWidth="1"/>
    <col min="1796" max="1796" width="13.42578125" style="1943" customWidth="1"/>
    <col min="1797" max="1797" width="22" style="1943" customWidth="1"/>
    <col min="1798" max="1798" width="3.140625" style="1943" customWidth="1"/>
    <col min="1799" max="1799" width="22.85546875" style="1943" customWidth="1"/>
    <col min="1800" max="1802" width="0" style="1943" hidden="1" customWidth="1"/>
    <col min="1803" max="1803" width="0.5703125" style="1943" customWidth="1"/>
    <col min="1804" max="1805" width="0" style="1943" hidden="1" customWidth="1"/>
    <col min="1806" max="1806" width="49.5703125" style="1943" customWidth="1"/>
    <col min="1807" max="1807" width="16.5703125" style="1943" customWidth="1"/>
    <col min="1808" max="1808" width="13.7109375" style="1943" customWidth="1"/>
    <col min="1809" max="1809" width="29.5703125" style="1943" customWidth="1"/>
    <col min="1810" max="1810" width="18.28515625" style="1943" customWidth="1"/>
    <col min="1811" max="1811" width="14.28515625" style="1943" customWidth="1"/>
    <col min="1812" max="1812" width="17.28515625" style="1943" customWidth="1"/>
    <col min="1813" max="1813" width="17.5703125" style="1943" customWidth="1"/>
    <col min="1814" max="1814" width="17.28515625" style="1943" customWidth="1"/>
    <col min="1815" max="1815" width="16.42578125" style="1943" customWidth="1"/>
    <col min="1816" max="1816" width="17" style="1943" customWidth="1"/>
    <col min="1817" max="1817" width="18.28515625" style="1943" customWidth="1"/>
    <col min="1818" max="1818" width="17.5703125" style="1943" customWidth="1"/>
    <col min="1819" max="1819" width="5.28515625" style="1943" customWidth="1"/>
    <col min="1820" max="1820" width="15.140625" style="1943" bestFit="1" customWidth="1"/>
    <col min="1821" max="1822" width="8" style="1943" customWidth="1"/>
    <col min="1823" max="1823" width="2.85546875" style="1943" customWidth="1"/>
    <col min="1824" max="1852" width="8" style="1943" customWidth="1"/>
    <col min="1853" max="1853" width="15.85546875" style="1943" bestFit="1" customWidth="1"/>
    <col min="1854" max="1854" width="17" style="1943" bestFit="1" customWidth="1"/>
    <col min="1855" max="2041" width="8" style="1943" customWidth="1"/>
    <col min="2042" max="2042" width="8.85546875" style="1943" bestFit="1" customWidth="1"/>
    <col min="2043" max="2048" width="8.85546875" style="1943"/>
    <col min="2049" max="2049" width="4.85546875" style="1943" customWidth="1"/>
    <col min="2050" max="2050" width="42" style="1943" customWidth="1"/>
    <col min="2051" max="2051" width="12.42578125" style="1943" customWidth="1"/>
    <col min="2052" max="2052" width="13.42578125" style="1943" customWidth="1"/>
    <col min="2053" max="2053" width="22" style="1943" customWidth="1"/>
    <col min="2054" max="2054" width="3.140625" style="1943" customWidth="1"/>
    <col min="2055" max="2055" width="22.85546875" style="1943" customWidth="1"/>
    <col min="2056" max="2058" width="0" style="1943" hidden="1" customWidth="1"/>
    <col min="2059" max="2059" width="0.5703125" style="1943" customWidth="1"/>
    <col min="2060" max="2061" width="0" style="1943" hidden="1" customWidth="1"/>
    <col min="2062" max="2062" width="49.5703125" style="1943" customWidth="1"/>
    <col min="2063" max="2063" width="16.5703125" style="1943" customWidth="1"/>
    <col min="2064" max="2064" width="13.7109375" style="1943" customWidth="1"/>
    <col min="2065" max="2065" width="29.5703125" style="1943" customWidth="1"/>
    <col min="2066" max="2066" width="18.28515625" style="1943" customWidth="1"/>
    <col min="2067" max="2067" width="14.28515625" style="1943" customWidth="1"/>
    <col min="2068" max="2068" width="17.28515625" style="1943" customWidth="1"/>
    <col min="2069" max="2069" width="17.5703125" style="1943" customWidth="1"/>
    <col min="2070" max="2070" width="17.28515625" style="1943" customWidth="1"/>
    <col min="2071" max="2071" width="16.42578125" style="1943" customWidth="1"/>
    <col min="2072" max="2072" width="17" style="1943" customWidth="1"/>
    <col min="2073" max="2073" width="18.28515625" style="1943" customWidth="1"/>
    <col min="2074" max="2074" width="17.5703125" style="1943" customWidth="1"/>
    <col min="2075" max="2075" width="5.28515625" style="1943" customWidth="1"/>
    <col min="2076" max="2076" width="15.140625" style="1943" bestFit="1" customWidth="1"/>
    <col min="2077" max="2078" width="8" style="1943" customWidth="1"/>
    <col min="2079" max="2079" width="2.85546875" style="1943" customWidth="1"/>
    <col min="2080" max="2108" width="8" style="1943" customWidth="1"/>
    <col min="2109" max="2109" width="15.85546875" style="1943" bestFit="1" customWidth="1"/>
    <col min="2110" max="2110" width="17" style="1943" bestFit="1" customWidth="1"/>
    <col min="2111" max="2297" width="8" style="1943" customWidth="1"/>
    <col min="2298" max="2298" width="8.85546875" style="1943" bestFit="1" customWidth="1"/>
    <col min="2299" max="2304" width="8.85546875" style="1943"/>
    <col min="2305" max="2305" width="4.85546875" style="1943" customWidth="1"/>
    <col min="2306" max="2306" width="42" style="1943" customWidth="1"/>
    <col min="2307" max="2307" width="12.42578125" style="1943" customWidth="1"/>
    <col min="2308" max="2308" width="13.42578125" style="1943" customWidth="1"/>
    <col min="2309" max="2309" width="22" style="1943" customWidth="1"/>
    <col min="2310" max="2310" width="3.140625" style="1943" customWidth="1"/>
    <col min="2311" max="2311" width="22.85546875" style="1943" customWidth="1"/>
    <col min="2312" max="2314" width="0" style="1943" hidden="1" customWidth="1"/>
    <col min="2315" max="2315" width="0.5703125" style="1943" customWidth="1"/>
    <col min="2316" max="2317" width="0" style="1943" hidden="1" customWidth="1"/>
    <col min="2318" max="2318" width="49.5703125" style="1943" customWidth="1"/>
    <col min="2319" max="2319" width="16.5703125" style="1943" customWidth="1"/>
    <col min="2320" max="2320" width="13.7109375" style="1943" customWidth="1"/>
    <col min="2321" max="2321" width="29.5703125" style="1943" customWidth="1"/>
    <col min="2322" max="2322" width="18.28515625" style="1943" customWidth="1"/>
    <col min="2323" max="2323" width="14.28515625" style="1943" customWidth="1"/>
    <col min="2324" max="2324" width="17.28515625" style="1943" customWidth="1"/>
    <col min="2325" max="2325" width="17.5703125" style="1943" customWidth="1"/>
    <col min="2326" max="2326" width="17.28515625" style="1943" customWidth="1"/>
    <col min="2327" max="2327" width="16.42578125" style="1943" customWidth="1"/>
    <col min="2328" max="2328" width="17" style="1943" customWidth="1"/>
    <col min="2329" max="2329" width="18.28515625" style="1943" customWidth="1"/>
    <col min="2330" max="2330" width="17.5703125" style="1943" customWidth="1"/>
    <col min="2331" max="2331" width="5.28515625" style="1943" customWidth="1"/>
    <col min="2332" max="2332" width="15.140625" style="1943" bestFit="1" customWidth="1"/>
    <col min="2333" max="2334" width="8" style="1943" customWidth="1"/>
    <col min="2335" max="2335" width="2.85546875" style="1943" customWidth="1"/>
    <col min="2336" max="2364" width="8" style="1943" customWidth="1"/>
    <col min="2365" max="2365" width="15.85546875" style="1943" bestFit="1" customWidth="1"/>
    <col min="2366" max="2366" width="17" style="1943" bestFit="1" customWidth="1"/>
    <col min="2367" max="2553" width="8" style="1943" customWidth="1"/>
    <col min="2554" max="2554" width="8.85546875" style="1943" bestFit="1" customWidth="1"/>
    <col min="2555" max="2560" width="8.85546875" style="1943"/>
    <col min="2561" max="2561" width="4.85546875" style="1943" customWidth="1"/>
    <col min="2562" max="2562" width="42" style="1943" customWidth="1"/>
    <col min="2563" max="2563" width="12.42578125" style="1943" customWidth="1"/>
    <col min="2564" max="2564" width="13.42578125" style="1943" customWidth="1"/>
    <col min="2565" max="2565" width="22" style="1943" customWidth="1"/>
    <col min="2566" max="2566" width="3.140625" style="1943" customWidth="1"/>
    <col min="2567" max="2567" width="22.85546875" style="1943" customWidth="1"/>
    <col min="2568" max="2570" width="0" style="1943" hidden="1" customWidth="1"/>
    <col min="2571" max="2571" width="0.5703125" style="1943" customWidth="1"/>
    <col min="2572" max="2573" width="0" style="1943" hidden="1" customWidth="1"/>
    <col min="2574" max="2574" width="49.5703125" style="1943" customWidth="1"/>
    <col min="2575" max="2575" width="16.5703125" style="1943" customWidth="1"/>
    <col min="2576" max="2576" width="13.7109375" style="1943" customWidth="1"/>
    <col min="2577" max="2577" width="29.5703125" style="1943" customWidth="1"/>
    <col min="2578" max="2578" width="18.28515625" style="1943" customWidth="1"/>
    <col min="2579" max="2579" width="14.28515625" style="1943" customWidth="1"/>
    <col min="2580" max="2580" width="17.28515625" style="1943" customWidth="1"/>
    <col min="2581" max="2581" width="17.5703125" style="1943" customWidth="1"/>
    <col min="2582" max="2582" width="17.28515625" style="1943" customWidth="1"/>
    <col min="2583" max="2583" width="16.42578125" style="1943" customWidth="1"/>
    <col min="2584" max="2584" width="17" style="1943" customWidth="1"/>
    <col min="2585" max="2585" width="18.28515625" style="1943" customWidth="1"/>
    <col min="2586" max="2586" width="17.5703125" style="1943" customWidth="1"/>
    <col min="2587" max="2587" width="5.28515625" style="1943" customWidth="1"/>
    <col min="2588" max="2588" width="15.140625" style="1943" bestFit="1" customWidth="1"/>
    <col min="2589" max="2590" width="8" style="1943" customWidth="1"/>
    <col min="2591" max="2591" width="2.85546875" style="1943" customWidth="1"/>
    <col min="2592" max="2620" width="8" style="1943" customWidth="1"/>
    <col min="2621" max="2621" width="15.85546875" style="1943" bestFit="1" customWidth="1"/>
    <col min="2622" max="2622" width="17" style="1943" bestFit="1" customWidth="1"/>
    <col min="2623" max="2809" width="8" style="1943" customWidth="1"/>
    <col min="2810" max="2810" width="8.85546875" style="1943" bestFit="1" customWidth="1"/>
    <col min="2811" max="2816" width="8.85546875" style="1943"/>
    <col min="2817" max="2817" width="4.85546875" style="1943" customWidth="1"/>
    <col min="2818" max="2818" width="42" style="1943" customWidth="1"/>
    <col min="2819" max="2819" width="12.42578125" style="1943" customWidth="1"/>
    <col min="2820" max="2820" width="13.42578125" style="1943" customWidth="1"/>
    <col min="2821" max="2821" width="22" style="1943" customWidth="1"/>
    <col min="2822" max="2822" width="3.140625" style="1943" customWidth="1"/>
    <col min="2823" max="2823" width="22.85546875" style="1943" customWidth="1"/>
    <col min="2824" max="2826" width="0" style="1943" hidden="1" customWidth="1"/>
    <col min="2827" max="2827" width="0.5703125" style="1943" customWidth="1"/>
    <col min="2828" max="2829" width="0" style="1943" hidden="1" customWidth="1"/>
    <col min="2830" max="2830" width="49.5703125" style="1943" customWidth="1"/>
    <col min="2831" max="2831" width="16.5703125" style="1943" customWidth="1"/>
    <col min="2832" max="2832" width="13.7109375" style="1943" customWidth="1"/>
    <col min="2833" max="2833" width="29.5703125" style="1943" customWidth="1"/>
    <col min="2834" max="2834" width="18.28515625" style="1943" customWidth="1"/>
    <col min="2835" max="2835" width="14.28515625" style="1943" customWidth="1"/>
    <col min="2836" max="2836" width="17.28515625" style="1943" customWidth="1"/>
    <col min="2837" max="2837" width="17.5703125" style="1943" customWidth="1"/>
    <col min="2838" max="2838" width="17.28515625" style="1943" customWidth="1"/>
    <col min="2839" max="2839" width="16.42578125" style="1943" customWidth="1"/>
    <col min="2840" max="2840" width="17" style="1943" customWidth="1"/>
    <col min="2841" max="2841" width="18.28515625" style="1943" customWidth="1"/>
    <col min="2842" max="2842" width="17.5703125" style="1943" customWidth="1"/>
    <col min="2843" max="2843" width="5.28515625" style="1943" customWidth="1"/>
    <col min="2844" max="2844" width="15.140625" style="1943" bestFit="1" customWidth="1"/>
    <col min="2845" max="2846" width="8" style="1943" customWidth="1"/>
    <col min="2847" max="2847" width="2.85546875" style="1943" customWidth="1"/>
    <col min="2848" max="2876" width="8" style="1943" customWidth="1"/>
    <col min="2877" max="2877" width="15.85546875" style="1943" bestFit="1" customWidth="1"/>
    <col min="2878" max="2878" width="17" style="1943" bestFit="1" customWidth="1"/>
    <col min="2879" max="3065" width="8" style="1943" customWidth="1"/>
    <col min="3066" max="3066" width="8.85546875" style="1943" bestFit="1" customWidth="1"/>
    <col min="3067" max="3072" width="8.85546875" style="1943"/>
    <col min="3073" max="3073" width="4.85546875" style="1943" customWidth="1"/>
    <col min="3074" max="3074" width="42" style="1943" customWidth="1"/>
    <col min="3075" max="3075" width="12.42578125" style="1943" customWidth="1"/>
    <col min="3076" max="3076" width="13.42578125" style="1943" customWidth="1"/>
    <col min="3077" max="3077" width="22" style="1943" customWidth="1"/>
    <col min="3078" max="3078" width="3.140625" style="1943" customWidth="1"/>
    <col min="3079" max="3079" width="22.85546875" style="1943" customWidth="1"/>
    <col min="3080" max="3082" width="0" style="1943" hidden="1" customWidth="1"/>
    <col min="3083" max="3083" width="0.5703125" style="1943" customWidth="1"/>
    <col min="3084" max="3085" width="0" style="1943" hidden="1" customWidth="1"/>
    <col min="3086" max="3086" width="49.5703125" style="1943" customWidth="1"/>
    <col min="3087" max="3087" width="16.5703125" style="1943" customWidth="1"/>
    <col min="3088" max="3088" width="13.7109375" style="1943" customWidth="1"/>
    <col min="3089" max="3089" width="29.5703125" style="1943" customWidth="1"/>
    <col min="3090" max="3090" width="18.28515625" style="1943" customWidth="1"/>
    <col min="3091" max="3091" width="14.28515625" style="1943" customWidth="1"/>
    <col min="3092" max="3092" width="17.28515625" style="1943" customWidth="1"/>
    <col min="3093" max="3093" width="17.5703125" style="1943" customWidth="1"/>
    <col min="3094" max="3094" width="17.28515625" style="1943" customWidth="1"/>
    <col min="3095" max="3095" width="16.42578125" style="1943" customWidth="1"/>
    <col min="3096" max="3096" width="17" style="1943" customWidth="1"/>
    <col min="3097" max="3097" width="18.28515625" style="1943" customWidth="1"/>
    <col min="3098" max="3098" width="17.5703125" style="1943" customWidth="1"/>
    <col min="3099" max="3099" width="5.28515625" style="1943" customWidth="1"/>
    <col min="3100" max="3100" width="15.140625" style="1943" bestFit="1" customWidth="1"/>
    <col min="3101" max="3102" width="8" style="1943" customWidth="1"/>
    <col min="3103" max="3103" width="2.85546875" style="1943" customWidth="1"/>
    <col min="3104" max="3132" width="8" style="1943" customWidth="1"/>
    <col min="3133" max="3133" width="15.85546875" style="1943" bestFit="1" customWidth="1"/>
    <col min="3134" max="3134" width="17" style="1943" bestFit="1" customWidth="1"/>
    <col min="3135" max="3321" width="8" style="1943" customWidth="1"/>
    <col min="3322" max="3322" width="8.85546875" style="1943" bestFit="1" customWidth="1"/>
    <col min="3323" max="3328" width="8.85546875" style="1943"/>
    <col min="3329" max="3329" width="4.85546875" style="1943" customWidth="1"/>
    <col min="3330" max="3330" width="42" style="1943" customWidth="1"/>
    <col min="3331" max="3331" width="12.42578125" style="1943" customWidth="1"/>
    <col min="3332" max="3332" width="13.42578125" style="1943" customWidth="1"/>
    <col min="3333" max="3333" width="22" style="1943" customWidth="1"/>
    <col min="3334" max="3334" width="3.140625" style="1943" customWidth="1"/>
    <col min="3335" max="3335" width="22.85546875" style="1943" customWidth="1"/>
    <col min="3336" max="3338" width="0" style="1943" hidden="1" customWidth="1"/>
    <col min="3339" max="3339" width="0.5703125" style="1943" customWidth="1"/>
    <col min="3340" max="3341" width="0" style="1943" hidden="1" customWidth="1"/>
    <col min="3342" max="3342" width="49.5703125" style="1943" customWidth="1"/>
    <col min="3343" max="3343" width="16.5703125" style="1943" customWidth="1"/>
    <col min="3344" max="3344" width="13.7109375" style="1943" customWidth="1"/>
    <col min="3345" max="3345" width="29.5703125" style="1943" customWidth="1"/>
    <col min="3346" max="3346" width="18.28515625" style="1943" customWidth="1"/>
    <col min="3347" max="3347" width="14.28515625" style="1943" customWidth="1"/>
    <col min="3348" max="3348" width="17.28515625" style="1943" customWidth="1"/>
    <col min="3349" max="3349" width="17.5703125" style="1943" customWidth="1"/>
    <col min="3350" max="3350" width="17.28515625" style="1943" customWidth="1"/>
    <col min="3351" max="3351" width="16.42578125" style="1943" customWidth="1"/>
    <col min="3352" max="3352" width="17" style="1943" customWidth="1"/>
    <col min="3353" max="3353" width="18.28515625" style="1943" customWidth="1"/>
    <col min="3354" max="3354" width="17.5703125" style="1943" customWidth="1"/>
    <col min="3355" max="3355" width="5.28515625" style="1943" customWidth="1"/>
    <col min="3356" max="3356" width="15.140625" style="1943" bestFit="1" customWidth="1"/>
    <col min="3357" max="3358" width="8" style="1943" customWidth="1"/>
    <col min="3359" max="3359" width="2.85546875" style="1943" customWidth="1"/>
    <col min="3360" max="3388" width="8" style="1943" customWidth="1"/>
    <col min="3389" max="3389" width="15.85546875" style="1943" bestFit="1" customWidth="1"/>
    <col min="3390" max="3390" width="17" style="1943" bestFit="1" customWidth="1"/>
    <col min="3391" max="3577" width="8" style="1943" customWidth="1"/>
    <col min="3578" max="3578" width="8.85546875" style="1943" bestFit="1" customWidth="1"/>
    <col min="3579" max="3584" width="8.85546875" style="1943"/>
    <col min="3585" max="3585" width="4.85546875" style="1943" customWidth="1"/>
    <col min="3586" max="3586" width="42" style="1943" customWidth="1"/>
    <col min="3587" max="3587" width="12.42578125" style="1943" customWidth="1"/>
    <col min="3588" max="3588" width="13.42578125" style="1943" customWidth="1"/>
    <col min="3589" max="3589" width="22" style="1943" customWidth="1"/>
    <col min="3590" max="3590" width="3.140625" style="1943" customWidth="1"/>
    <col min="3591" max="3591" width="22.85546875" style="1943" customWidth="1"/>
    <col min="3592" max="3594" width="0" style="1943" hidden="1" customWidth="1"/>
    <col min="3595" max="3595" width="0.5703125" style="1943" customWidth="1"/>
    <col min="3596" max="3597" width="0" style="1943" hidden="1" customWidth="1"/>
    <col min="3598" max="3598" width="49.5703125" style="1943" customWidth="1"/>
    <col min="3599" max="3599" width="16.5703125" style="1943" customWidth="1"/>
    <col min="3600" max="3600" width="13.7109375" style="1943" customWidth="1"/>
    <col min="3601" max="3601" width="29.5703125" style="1943" customWidth="1"/>
    <col min="3602" max="3602" width="18.28515625" style="1943" customWidth="1"/>
    <col min="3603" max="3603" width="14.28515625" style="1943" customWidth="1"/>
    <col min="3604" max="3604" width="17.28515625" style="1943" customWidth="1"/>
    <col min="3605" max="3605" width="17.5703125" style="1943" customWidth="1"/>
    <col min="3606" max="3606" width="17.28515625" style="1943" customWidth="1"/>
    <col min="3607" max="3607" width="16.42578125" style="1943" customWidth="1"/>
    <col min="3608" max="3608" width="17" style="1943" customWidth="1"/>
    <col min="3609" max="3609" width="18.28515625" style="1943" customWidth="1"/>
    <col min="3610" max="3610" width="17.5703125" style="1943" customWidth="1"/>
    <col min="3611" max="3611" width="5.28515625" style="1943" customWidth="1"/>
    <col min="3612" max="3612" width="15.140625" style="1943" bestFit="1" customWidth="1"/>
    <col min="3613" max="3614" width="8" style="1943" customWidth="1"/>
    <col min="3615" max="3615" width="2.85546875" style="1943" customWidth="1"/>
    <col min="3616" max="3644" width="8" style="1943" customWidth="1"/>
    <col min="3645" max="3645" width="15.85546875" style="1943" bestFit="1" customWidth="1"/>
    <col min="3646" max="3646" width="17" style="1943" bestFit="1" customWidth="1"/>
    <col min="3647" max="3833" width="8" style="1943" customWidth="1"/>
    <col min="3834" max="3834" width="8.85546875" style="1943" bestFit="1" customWidth="1"/>
    <col min="3835" max="3840" width="8.85546875" style="1943"/>
    <col min="3841" max="3841" width="4.85546875" style="1943" customWidth="1"/>
    <col min="3842" max="3842" width="42" style="1943" customWidth="1"/>
    <col min="3843" max="3843" width="12.42578125" style="1943" customWidth="1"/>
    <col min="3844" max="3844" width="13.42578125" style="1943" customWidth="1"/>
    <col min="3845" max="3845" width="22" style="1943" customWidth="1"/>
    <col min="3846" max="3846" width="3.140625" style="1943" customWidth="1"/>
    <col min="3847" max="3847" width="22.85546875" style="1943" customWidth="1"/>
    <col min="3848" max="3850" width="0" style="1943" hidden="1" customWidth="1"/>
    <col min="3851" max="3851" width="0.5703125" style="1943" customWidth="1"/>
    <col min="3852" max="3853" width="0" style="1943" hidden="1" customWidth="1"/>
    <col min="3854" max="3854" width="49.5703125" style="1943" customWidth="1"/>
    <col min="3855" max="3855" width="16.5703125" style="1943" customWidth="1"/>
    <col min="3856" max="3856" width="13.7109375" style="1943" customWidth="1"/>
    <col min="3857" max="3857" width="29.5703125" style="1943" customWidth="1"/>
    <col min="3858" max="3858" width="18.28515625" style="1943" customWidth="1"/>
    <col min="3859" max="3859" width="14.28515625" style="1943" customWidth="1"/>
    <col min="3860" max="3860" width="17.28515625" style="1943" customWidth="1"/>
    <col min="3861" max="3861" width="17.5703125" style="1943" customWidth="1"/>
    <col min="3862" max="3862" width="17.28515625" style="1943" customWidth="1"/>
    <col min="3863" max="3863" width="16.42578125" style="1943" customWidth="1"/>
    <col min="3864" max="3864" width="17" style="1943" customWidth="1"/>
    <col min="3865" max="3865" width="18.28515625" style="1943" customWidth="1"/>
    <col min="3866" max="3866" width="17.5703125" style="1943" customWidth="1"/>
    <col min="3867" max="3867" width="5.28515625" style="1943" customWidth="1"/>
    <col min="3868" max="3868" width="15.140625" style="1943" bestFit="1" customWidth="1"/>
    <col min="3869" max="3870" width="8" style="1943" customWidth="1"/>
    <col min="3871" max="3871" width="2.85546875" style="1943" customWidth="1"/>
    <col min="3872" max="3900" width="8" style="1943" customWidth="1"/>
    <col min="3901" max="3901" width="15.85546875" style="1943" bestFit="1" customWidth="1"/>
    <col min="3902" max="3902" width="17" style="1943" bestFit="1" customWidth="1"/>
    <col min="3903" max="4089" width="8" style="1943" customWidth="1"/>
    <col min="4090" max="4090" width="8.85546875" style="1943" bestFit="1" customWidth="1"/>
    <col min="4091" max="4096" width="8.85546875" style="1943"/>
    <col min="4097" max="4097" width="4.85546875" style="1943" customWidth="1"/>
    <col min="4098" max="4098" width="42" style="1943" customWidth="1"/>
    <col min="4099" max="4099" width="12.42578125" style="1943" customWidth="1"/>
    <col min="4100" max="4100" width="13.42578125" style="1943" customWidth="1"/>
    <col min="4101" max="4101" width="22" style="1943" customWidth="1"/>
    <col min="4102" max="4102" width="3.140625" style="1943" customWidth="1"/>
    <col min="4103" max="4103" width="22.85546875" style="1943" customWidth="1"/>
    <col min="4104" max="4106" width="0" style="1943" hidden="1" customWidth="1"/>
    <col min="4107" max="4107" width="0.5703125" style="1943" customWidth="1"/>
    <col min="4108" max="4109" width="0" style="1943" hidden="1" customWidth="1"/>
    <col min="4110" max="4110" width="49.5703125" style="1943" customWidth="1"/>
    <col min="4111" max="4111" width="16.5703125" style="1943" customWidth="1"/>
    <col min="4112" max="4112" width="13.7109375" style="1943" customWidth="1"/>
    <col min="4113" max="4113" width="29.5703125" style="1943" customWidth="1"/>
    <col min="4114" max="4114" width="18.28515625" style="1943" customWidth="1"/>
    <col min="4115" max="4115" width="14.28515625" style="1943" customWidth="1"/>
    <col min="4116" max="4116" width="17.28515625" style="1943" customWidth="1"/>
    <col min="4117" max="4117" width="17.5703125" style="1943" customWidth="1"/>
    <col min="4118" max="4118" width="17.28515625" style="1943" customWidth="1"/>
    <col min="4119" max="4119" width="16.42578125" style="1943" customWidth="1"/>
    <col min="4120" max="4120" width="17" style="1943" customWidth="1"/>
    <col min="4121" max="4121" width="18.28515625" style="1943" customWidth="1"/>
    <col min="4122" max="4122" width="17.5703125" style="1943" customWidth="1"/>
    <col min="4123" max="4123" width="5.28515625" style="1943" customWidth="1"/>
    <col min="4124" max="4124" width="15.140625" style="1943" bestFit="1" customWidth="1"/>
    <col min="4125" max="4126" width="8" style="1943" customWidth="1"/>
    <col min="4127" max="4127" width="2.85546875" style="1943" customWidth="1"/>
    <col min="4128" max="4156" width="8" style="1943" customWidth="1"/>
    <col min="4157" max="4157" width="15.85546875" style="1943" bestFit="1" customWidth="1"/>
    <col min="4158" max="4158" width="17" style="1943" bestFit="1" customWidth="1"/>
    <col min="4159" max="4345" width="8" style="1943" customWidth="1"/>
    <col min="4346" max="4346" width="8.85546875" style="1943" bestFit="1" customWidth="1"/>
    <col min="4347" max="4352" width="8.85546875" style="1943"/>
    <col min="4353" max="4353" width="4.85546875" style="1943" customWidth="1"/>
    <col min="4354" max="4354" width="42" style="1943" customWidth="1"/>
    <col min="4355" max="4355" width="12.42578125" style="1943" customWidth="1"/>
    <col min="4356" max="4356" width="13.42578125" style="1943" customWidth="1"/>
    <col min="4357" max="4357" width="22" style="1943" customWidth="1"/>
    <col min="4358" max="4358" width="3.140625" style="1943" customWidth="1"/>
    <col min="4359" max="4359" width="22.85546875" style="1943" customWidth="1"/>
    <col min="4360" max="4362" width="0" style="1943" hidden="1" customWidth="1"/>
    <col min="4363" max="4363" width="0.5703125" style="1943" customWidth="1"/>
    <col min="4364" max="4365" width="0" style="1943" hidden="1" customWidth="1"/>
    <col min="4366" max="4366" width="49.5703125" style="1943" customWidth="1"/>
    <col min="4367" max="4367" width="16.5703125" style="1943" customWidth="1"/>
    <col min="4368" max="4368" width="13.7109375" style="1943" customWidth="1"/>
    <col min="4369" max="4369" width="29.5703125" style="1943" customWidth="1"/>
    <col min="4370" max="4370" width="18.28515625" style="1943" customWidth="1"/>
    <col min="4371" max="4371" width="14.28515625" style="1943" customWidth="1"/>
    <col min="4372" max="4372" width="17.28515625" style="1943" customWidth="1"/>
    <col min="4373" max="4373" width="17.5703125" style="1943" customWidth="1"/>
    <col min="4374" max="4374" width="17.28515625" style="1943" customWidth="1"/>
    <col min="4375" max="4375" width="16.42578125" style="1943" customWidth="1"/>
    <col min="4376" max="4376" width="17" style="1943" customWidth="1"/>
    <col min="4377" max="4377" width="18.28515625" style="1943" customWidth="1"/>
    <col min="4378" max="4378" width="17.5703125" style="1943" customWidth="1"/>
    <col min="4379" max="4379" width="5.28515625" style="1943" customWidth="1"/>
    <col min="4380" max="4380" width="15.140625" style="1943" bestFit="1" customWidth="1"/>
    <col min="4381" max="4382" width="8" style="1943" customWidth="1"/>
    <col min="4383" max="4383" width="2.85546875" style="1943" customWidth="1"/>
    <col min="4384" max="4412" width="8" style="1943" customWidth="1"/>
    <col min="4413" max="4413" width="15.85546875" style="1943" bestFit="1" customWidth="1"/>
    <col min="4414" max="4414" width="17" style="1943" bestFit="1" customWidth="1"/>
    <col min="4415" max="4601" width="8" style="1943" customWidth="1"/>
    <col min="4602" max="4602" width="8.85546875" style="1943" bestFit="1" customWidth="1"/>
    <col min="4603" max="4608" width="8.85546875" style="1943"/>
    <col min="4609" max="4609" width="4.85546875" style="1943" customWidth="1"/>
    <col min="4610" max="4610" width="42" style="1943" customWidth="1"/>
    <col min="4611" max="4611" width="12.42578125" style="1943" customWidth="1"/>
    <col min="4612" max="4612" width="13.42578125" style="1943" customWidth="1"/>
    <col min="4613" max="4613" width="22" style="1943" customWidth="1"/>
    <col min="4614" max="4614" width="3.140625" style="1943" customWidth="1"/>
    <col min="4615" max="4615" width="22.85546875" style="1943" customWidth="1"/>
    <col min="4616" max="4618" width="0" style="1943" hidden="1" customWidth="1"/>
    <col min="4619" max="4619" width="0.5703125" style="1943" customWidth="1"/>
    <col min="4620" max="4621" width="0" style="1943" hidden="1" customWidth="1"/>
    <col min="4622" max="4622" width="49.5703125" style="1943" customWidth="1"/>
    <col min="4623" max="4623" width="16.5703125" style="1943" customWidth="1"/>
    <col min="4624" max="4624" width="13.7109375" style="1943" customWidth="1"/>
    <col min="4625" max="4625" width="29.5703125" style="1943" customWidth="1"/>
    <col min="4626" max="4626" width="18.28515625" style="1943" customWidth="1"/>
    <col min="4627" max="4627" width="14.28515625" style="1943" customWidth="1"/>
    <col min="4628" max="4628" width="17.28515625" style="1943" customWidth="1"/>
    <col min="4629" max="4629" width="17.5703125" style="1943" customWidth="1"/>
    <col min="4630" max="4630" width="17.28515625" style="1943" customWidth="1"/>
    <col min="4631" max="4631" width="16.42578125" style="1943" customWidth="1"/>
    <col min="4632" max="4632" width="17" style="1943" customWidth="1"/>
    <col min="4633" max="4633" width="18.28515625" style="1943" customWidth="1"/>
    <col min="4634" max="4634" width="17.5703125" style="1943" customWidth="1"/>
    <col min="4635" max="4635" width="5.28515625" style="1943" customWidth="1"/>
    <col min="4636" max="4636" width="15.140625" style="1943" bestFit="1" customWidth="1"/>
    <col min="4637" max="4638" width="8" style="1943" customWidth="1"/>
    <col min="4639" max="4639" width="2.85546875" style="1943" customWidth="1"/>
    <col min="4640" max="4668" width="8" style="1943" customWidth="1"/>
    <col min="4669" max="4669" width="15.85546875" style="1943" bestFit="1" customWidth="1"/>
    <col min="4670" max="4670" width="17" style="1943" bestFit="1" customWidth="1"/>
    <col min="4671" max="4857" width="8" style="1943" customWidth="1"/>
    <col min="4858" max="4858" width="8.85546875" style="1943" bestFit="1" customWidth="1"/>
    <col min="4859" max="4864" width="8.85546875" style="1943"/>
    <col min="4865" max="4865" width="4.85546875" style="1943" customWidth="1"/>
    <col min="4866" max="4866" width="42" style="1943" customWidth="1"/>
    <col min="4867" max="4867" width="12.42578125" style="1943" customWidth="1"/>
    <col min="4868" max="4868" width="13.42578125" style="1943" customWidth="1"/>
    <col min="4869" max="4869" width="22" style="1943" customWidth="1"/>
    <col min="4870" max="4870" width="3.140625" style="1943" customWidth="1"/>
    <col min="4871" max="4871" width="22.85546875" style="1943" customWidth="1"/>
    <col min="4872" max="4874" width="0" style="1943" hidden="1" customWidth="1"/>
    <col min="4875" max="4875" width="0.5703125" style="1943" customWidth="1"/>
    <col min="4876" max="4877" width="0" style="1943" hidden="1" customWidth="1"/>
    <col min="4878" max="4878" width="49.5703125" style="1943" customWidth="1"/>
    <col min="4879" max="4879" width="16.5703125" style="1943" customWidth="1"/>
    <col min="4880" max="4880" width="13.7109375" style="1943" customWidth="1"/>
    <col min="4881" max="4881" width="29.5703125" style="1943" customWidth="1"/>
    <col min="4882" max="4882" width="18.28515625" style="1943" customWidth="1"/>
    <col min="4883" max="4883" width="14.28515625" style="1943" customWidth="1"/>
    <col min="4884" max="4884" width="17.28515625" style="1943" customWidth="1"/>
    <col min="4885" max="4885" width="17.5703125" style="1943" customWidth="1"/>
    <col min="4886" max="4886" width="17.28515625" style="1943" customWidth="1"/>
    <col min="4887" max="4887" width="16.42578125" style="1943" customWidth="1"/>
    <col min="4888" max="4888" width="17" style="1943" customWidth="1"/>
    <col min="4889" max="4889" width="18.28515625" style="1943" customWidth="1"/>
    <col min="4890" max="4890" width="17.5703125" style="1943" customWidth="1"/>
    <col min="4891" max="4891" width="5.28515625" style="1943" customWidth="1"/>
    <col min="4892" max="4892" width="15.140625" style="1943" bestFit="1" customWidth="1"/>
    <col min="4893" max="4894" width="8" style="1943" customWidth="1"/>
    <col min="4895" max="4895" width="2.85546875" style="1943" customWidth="1"/>
    <col min="4896" max="4924" width="8" style="1943" customWidth="1"/>
    <col min="4925" max="4925" width="15.85546875" style="1943" bestFit="1" customWidth="1"/>
    <col min="4926" max="4926" width="17" style="1943" bestFit="1" customWidth="1"/>
    <col min="4927" max="5113" width="8" style="1943" customWidth="1"/>
    <col min="5114" max="5114" width="8.85546875" style="1943" bestFit="1" customWidth="1"/>
    <col min="5115" max="5120" width="8.85546875" style="1943"/>
    <col min="5121" max="5121" width="4.85546875" style="1943" customWidth="1"/>
    <col min="5122" max="5122" width="42" style="1943" customWidth="1"/>
    <col min="5123" max="5123" width="12.42578125" style="1943" customWidth="1"/>
    <col min="5124" max="5124" width="13.42578125" style="1943" customWidth="1"/>
    <col min="5125" max="5125" width="22" style="1943" customWidth="1"/>
    <col min="5126" max="5126" width="3.140625" style="1943" customWidth="1"/>
    <col min="5127" max="5127" width="22.85546875" style="1943" customWidth="1"/>
    <col min="5128" max="5130" width="0" style="1943" hidden="1" customWidth="1"/>
    <col min="5131" max="5131" width="0.5703125" style="1943" customWidth="1"/>
    <col min="5132" max="5133" width="0" style="1943" hidden="1" customWidth="1"/>
    <col min="5134" max="5134" width="49.5703125" style="1943" customWidth="1"/>
    <col min="5135" max="5135" width="16.5703125" style="1943" customWidth="1"/>
    <col min="5136" max="5136" width="13.7109375" style="1943" customWidth="1"/>
    <col min="5137" max="5137" width="29.5703125" style="1943" customWidth="1"/>
    <col min="5138" max="5138" width="18.28515625" style="1943" customWidth="1"/>
    <col min="5139" max="5139" width="14.28515625" style="1943" customWidth="1"/>
    <col min="5140" max="5140" width="17.28515625" style="1943" customWidth="1"/>
    <col min="5141" max="5141" width="17.5703125" style="1943" customWidth="1"/>
    <col min="5142" max="5142" width="17.28515625" style="1943" customWidth="1"/>
    <col min="5143" max="5143" width="16.42578125" style="1943" customWidth="1"/>
    <col min="5144" max="5144" width="17" style="1943" customWidth="1"/>
    <col min="5145" max="5145" width="18.28515625" style="1943" customWidth="1"/>
    <col min="5146" max="5146" width="17.5703125" style="1943" customWidth="1"/>
    <col min="5147" max="5147" width="5.28515625" style="1943" customWidth="1"/>
    <col min="5148" max="5148" width="15.140625" style="1943" bestFit="1" customWidth="1"/>
    <col min="5149" max="5150" width="8" style="1943" customWidth="1"/>
    <col min="5151" max="5151" width="2.85546875" style="1943" customWidth="1"/>
    <col min="5152" max="5180" width="8" style="1943" customWidth="1"/>
    <col min="5181" max="5181" width="15.85546875" style="1943" bestFit="1" customWidth="1"/>
    <col min="5182" max="5182" width="17" style="1943" bestFit="1" customWidth="1"/>
    <col min="5183" max="5369" width="8" style="1943" customWidth="1"/>
    <col min="5370" max="5370" width="8.85546875" style="1943" bestFit="1" customWidth="1"/>
    <col min="5371" max="5376" width="8.85546875" style="1943"/>
    <col min="5377" max="5377" width="4.85546875" style="1943" customWidth="1"/>
    <col min="5378" max="5378" width="42" style="1943" customWidth="1"/>
    <col min="5379" max="5379" width="12.42578125" style="1943" customWidth="1"/>
    <col min="5380" max="5380" width="13.42578125" style="1943" customWidth="1"/>
    <col min="5381" max="5381" width="22" style="1943" customWidth="1"/>
    <col min="5382" max="5382" width="3.140625" style="1943" customWidth="1"/>
    <col min="5383" max="5383" width="22.85546875" style="1943" customWidth="1"/>
    <col min="5384" max="5386" width="0" style="1943" hidden="1" customWidth="1"/>
    <col min="5387" max="5387" width="0.5703125" style="1943" customWidth="1"/>
    <col min="5388" max="5389" width="0" style="1943" hidden="1" customWidth="1"/>
    <col min="5390" max="5390" width="49.5703125" style="1943" customWidth="1"/>
    <col min="5391" max="5391" width="16.5703125" style="1943" customWidth="1"/>
    <col min="5392" max="5392" width="13.7109375" style="1943" customWidth="1"/>
    <col min="5393" max="5393" width="29.5703125" style="1943" customWidth="1"/>
    <col min="5394" max="5394" width="18.28515625" style="1943" customWidth="1"/>
    <col min="5395" max="5395" width="14.28515625" style="1943" customWidth="1"/>
    <col min="5396" max="5396" width="17.28515625" style="1943" customWidth="1"/>
    <col min="5397" max="5397" width="17.5703125" style="1943" customWidth="1"/>
    <col min="5398" max="5398" width="17.28515625" style="1943" customWidth="1"/>
    <col min="5399" max="5399" width="16.42578125" style="1943" customWidth="1"/>
    <col min="5400" max="5400" width="17" style="1943" customWidth="1"/>
    <col min="5401" max="5401" width="18.28515625" style="1943" customWidth="1"/>
    <col min="5402" max="5402" width="17.5703125" style="1943" customWidth="1"/>
    <col min="5403" max="5403" width="5.28515625" style="1943" customWidth="1"/>
    <col min="5404" max="5404" width="15.140625" style="1943" bestFit="1" customWidth="1"/>
    <col min="5405" max="5406" width="8" style="1943" customWidth="1"/>
    <col min="5407" max="5407" width="2.85546875" style="1943" customWidth="1"/>
    <col min="5408" max="5436" width="8" style="1943" customWidth="1"/>
    <col min="5437" max="5437" width="15.85546875" style="1943" bestFit="1" customWidth="1"/>
    <col min="5438" max="5438" width="17" style="1943" bestFit="1" customWidth="1"/>
    <col min="5439" max="5625" width="8" style="1943" customWidth="1"/>
    <col min="5626" max="5626" width="8.85546875" style="1943" bestFit="1" customWidth="1"/>
    <col min="5627" max="5632" width="8.85546875" style="1943"/>
    <col min="5633" max="5633" width="4.85546875" style="1943" customWidth="1"/>
    <col min="5634" max="5634" width="42" style="1943" customWidth="1"/>
    <col min="5635" max="5635" width="12.42578125" style="1943" customWidth="1"/>
    <col min="5636" max="5636" width="13.42578125" style="1943" customWidth="1"/>
    <col min="5637" max="5637" width="22" style="1943" customWidth="1"/>
    <col min="5638" max="5638" width="3.140625" style="1943" customWidth="1"/>
    <col min="5639" max="5639" width="22.85546875" style="1943" customWidth="1"/>
    <col min="5640" max="5642" width="0" style="1943" hidden="1" customWidth="1"/>
    <col min="5643" max="5643" width="0.5703125" style="1943" customWidth="1"/>
    <col min="5644" max="5645" width="0" style="1943" hidden="1" customWidth="1"/>
    <col min="5646" max="5646" width="49.5703125" style="1943" customWidth="1"/>
    <col min="5647" max="5647" width="16.5703125" style="1943" customWidth="1"/>
    <col min="5648" max="5648" width="13.7109375" style="1943" customWidth="1"/>
    <col min="5649" max="5649" width="29.5703125" style="1943" customWidth="1"/>
    <col min="5650" max="5650" width="18.28515625" style="1943" customWidth="1"/>
    <col min="5651" max="5651" width="14.28515625" style="1943" customWidth="1"/>
    <col min="5652" max="5652" width="17.28515625" style="1943" customWidth="1"/>
    <col min="5653" max="5653" width="17.5703125" style="1943" customWidth="1"/>
    <col min="5654" max="5654" width="17.28515625" style="1943" customWidth="1"/>
    <col min="5655" max="5655" width="16.42578125" style="1943" customWidth="1"/>
    <col min="5656" max="5656" width="17" style="1943" customWidth="1"/>
    <col min="5657" max="5657" width="18.28515625" style="1943" customWidth="1"/>
    <col min="5658" max="5658" width="17.5703125" style="1943" customWidth="1"/>
    <col min="5659" max="5659" width="5.28515625" style="1943" customWidth="1"/>
    <col min="5660" max="5660" width="15.140625" style="1943" bestFit="1" customWidth="1"/>
    <col min="5661" max="5662" width="8" style="1943" customWidth="1"/>
    <col min="5663" max="5663" width="2.85546875" style="1943" customWidth="1"/>
    <col min="5664" max="5692" width="8" style="1943" customWidth="1"/>
    <col min="5693" max="5693" width="15.85546875" style="1943" bestFit="1" customWidth="1"/>
    <col min="5694" max="5694" width="17" style="1943" bestFit="1" customWidth="1"/>
    <col min="5695" max="5881" width="8" style="1943" customWidth="1"/>
    <col min="5882" max="5882" width="8.85546875" style="1943" bestFit="1" customWidth="1"/>
    <col min="5883" max="5888" width="8.85546875" style="1943"/>
    <col min="5889" max="5889" width="4.85546875" style="1943" customWidth="1"/>
    <col min="5890" max="5890" width="42" style="1943" customWidth="1"/>
    <col min="5891" max="5891" width="12.42578125" style="1943" customWidth="1"/>
    <col min="5892" max="5892" width="13.42578125" style="1943" customWidth="1"/>
    <col min="5893" max="5893" width="22" style="1943" customWidth="1"/>
    <col min="5894" max="5894" width="3.140625" style="1943" customWidth="1"/>
    <col min="5895" max="5895" width="22.85546875" style="1943" customWidth="1"/>
    <col min="5896" max="5898" width="0" style="1943" hidden="1" customWidth="1"/>
    <col min="5899" max="5899" width="0.5703125" style="1943" customWidth="1"/>
    <col min="5900" max="5901" width="0" style="1943" hidden="1" customWidth="1"/>
    <col min="5902" max="5902" width="49.5703125" style="1943" customWidth="1"/>
    <col min="5903" max="5903" width="16.5703125" style="1943" customWidth="1"/>
    <col min="5904" max="5904" width="13.7109375" style="1943" customWidth="1"/>
    <col min="5905" max="5905" width="29.5703125" style="1943" customWidth="1"/>
    <col min="5906" max="5906" width="18.28515625" style="1943" customWidth="1"/>
    <col min="5907" max="5907" width="14.28515625" style="1943" customWidth="1"/>
    <col min="5908" max="5908" width="17.28515625" style="1943" customWidth="1"/>
    <col min="5909" max="5909" width="17.5703125" style="1943" customWidth="1"/>
    <col min="5910" max="5910" width="17.28515625" style="1943" customWidth="1"/>
    <col min="5911" max="5911" width="16.42578125" style="1943" customWidth="1"/>
    <col min="5912" max="5912" width="17" style="1943" customWidth="1"/>
    <col min="5913" max="5913" width="18.28515625" style="1943" customWidth="1"/>
    <col min="5914" max="5914" width="17.5703125" style="1943" customWidth="1"/>
    <col min="5915" max="5915" width="5.28515625" style="1943" customWidth="1"/>
    <col min="5916" max="5916" width="15.140625" style="1943" bestFit="1" customWidth="1"/>
    <col min="5917" max="5918" width="8" style="1943" customWidth="1"/>
    <col min="5919" max="5919" width="2.85546875" style="1943" customWidth="1"/>
    <col min="5920" max="5948" width="8" style="1943" customWidth="1"/>
    <col min="5949" max="5949" width="15.85546875" style="1943" bestFit="1" customWidth="1"/>
    <col min="5950" max="5950" width="17" style="1943" bestFit="1" customWidth="1"/>
    <col min="5951" max="6137" width="8" style="1943" customWidth="1"/>
    <col min="6138" max="6138" width="8.85546875" style="1943" bestFit="1" customWidth="1"/>
    <col min="6139" max="6144" width="8.85546875" style="1943"/>
    <col min="6145" max="6145" width="4.85546875" style="1943" customWidth="1"/>
    <col min="6146" max="6146" width="42" style="1943" customWidth="1"/>
    <col min="6147" max="6147" width="12.42578125" style="1943" customWidth="1"/>
    <col min="6148" max="6148" width="13.42578125" style="1943" customWidth="1"/>
    <col min="6149" max="6149" width="22" style="1943" customWidth="1"/>
    <col min="6150" max="6150" width="3.140625" style="1943" customWidth="1"/>
    <col min="6151" max="6151" width="22.85546875" style="1943" customWidth="1"/>
    <col min="6152" max="6154" width="0" style="1943" hidden="1" customWidth="1"/>
    <col min="6155" max="6155" width="0.5703125" style="1943" customWidth="1"/>
    <col min="6156" max="6157" width="0" style="1943" hidden="1" customWidth="1"/>
    <col min="6158" max="6158" width="49.5703125" style="1943" customWidth="1"/>
    <col min="6159" max="6159" width="16.5703125" style="1943" customWidth="1"/>
    <col min="6160" max="6160" width="13.7109375" style="1943" customWidth="1"/>
    <col min="6161" max="6161" width="29.5703125" style="1943" customWidth="1"/>
    <col min="6162" max="6162" width="18.28515625" style="1943" customWidth="1"/>
    <col min="6163" max="6163" width="14.28515625" style="1943" customWidth="1"/>
    <col min="6164" max="6164" width="17.28515625" style="1943" customWidth="1"/>
    <col min="6165" max="6165" width="17.5703125" style="1943" customWidth="1"/>
    <col min="6166" max="6166" width="17.28515625" style="1943" customWidth="1"/>
    <col min="6167" max="6167" width="16.42578125" style="1943" customWidth="1"/>
    <col min="6168" max="6168" width="17" style="1943" customWidth="1"/>
    <col min="6169" max="6169" width="18.28515625" style="1943" customWidth="1"/>
    <col min="6170" max="6170" width="17.5703125" style="1943" customWidth="1"/>
    <col min="6171" max="6171" width="5.28515625" style="1943" customWidth="1"/>
    <col min="6172" max="6172" width="15.140625" style="1943" bestFit="1" customWidth="1"/>
    <col min="6173" max="6174" width="8" style="1943" customWidth="1"/>
    <col min="6175" max="6175" width="2.85546875" style="1943" customWidth="1"/>
    <col min="6176" max="6204" width="8" style="1943" customWidth="1"/>
    <col min="6205" max="6205" width="15.85546875" style="1943" bestFit="1" customWidth="1"/>
    <col min="6206" max="6206" width="17" style="1943" bestFit="1" customWidth="1"/>
    <col min="6207" max="6393" width="8" style="1943" customWidth="1"/>
    <col min="6394" max="6394" width="8.85546875" style="1943" bestFit="1" customWidth="1"/>
    <col min="6395" max="6400" width="8.85546875" style="1943"/>
    <col min="6401" max="6401" width="4.85546875" style="1943" customWidth="1"/>
    <col min="6402" max="6402" width="42" style="1943" customWidth="1"/>
    <col min="6403" max="6403" width="12.42578125" style="1943" customWidth="1"/>
    <col min="6404" max="6404" width="13.42578125" style="1943" customWidth="1"/>
    <col min="6405" max="6405" width="22" style="1943" customWidth="1"/>
    <col min="6406" max="6406" width="3.140625" style="1943" customWidth="1"/>
    <col min="6407" max="6407" width="22.85546875" style="1943" customWidth="1"/>
    <col min="6408" max="6410" width="0" style="1943" hidden="1" customWidth="1"/>
    <col min="6411" max="6411" width="0.5703125" style="1943" customWidth="1"/>
    <col min="6412" max="6413" width="0" style="1943" hidden="1" customWidth="1"/>
    <col min="6414" max="6414" width="49.5703125" style="1943" customWidth="1"/>
    <col min="6415" max="6415" width="16.5703125" style="1943" customWidth="1"/>
    <col min="6416" max="6416" width="13.7109375" style="1943" customWidth="1"/>
    <col min="6417" max="6417" width="29.5703125" style="1943" customWidth="1"/>
    <col min="6418" max="6418" width="18.28515625" style="1943" customWidth="1"/>
    <col min="6419" max="6419" width="14.28515625" style="1943" customWidth="1"/>
    <col min="6420" max="6420" width="17.28515625" style="1943" customWidth="1"/>
    <col min="6421" max="6421" width="17.5703125" style="1943" customWidth="1"/>
    <col min="6422" max="6422" width="17.28515625" style="1943" customWidth="1"/>
    <col min="6423" max="6423" width="16.42578125" style="1943" customWidth="1"/>
    <col min="6424" max="6424" width="17" style="1943" customWidth="1"/>
    <col min="6425" max="6425" width="18.28515625" style="1943" customWidth="1"/>
    <col min="6426" max="6426" width="17.5703125" style="1943" customWidth="1"/>
    <col min="6427" max="6427" width="5.28515625" style="1943" customWidth="1"/>
    <col min="6428" max="6428" width="15.140625" style="1943" bestFit="1" customWidth="1"/>
    <col min="6429" max="6430" width="8" style="1943" customWidth="1"/>
    <col min="6431" max="6431" width="2.85546875" style="1943" customWidth="1"/>
    <col min="6432" max="6460" width="8" style="1943" customWidth="1"/>
    <col min="6461" max="6461" width="15.85546875" style="1943" bestFit="1" customWidth="1"/>
    <col min="6462" max="6462" width="17" style="1943" bestFit="1" customWidth="1"/>
    <col min="6463" max="6649" width="8" style="1943" customWidth="1"/>
    <col min="6650" max="6650" width="8.85546875" style="1943" bestFit="1" customWidth="1"/>
    <col min="6651" max="6656" width="8.85546875" style="1943"/>
    <col min="6657" max="6657" width="4.85546875" style="1943" customWidth="1"/>
    <col min="6658" max="6658" width="42" style="1943" customWidth="1"/>
    <col min="6659" max="6659" width="12.42578125" style="1943" customWidth="1"/>
    <col min="6660" max="6660" width="13.42578125" style="1943" customWidth="1"/>
    <col min="6661" max="6661" width="22" style="1943" customWidth="1"/>
    <col min="6662" max="6662" width="3.140625" style="1943" customWidth="1"/>
    <col min="6663" max="6663" width="22.85546875" style="1943" customWidth="1"/>
    <col min="6664" max="6666" width="0" style="1943" hidden="1" customWidth="1"/>
    <col min="6667" max="6667" width="0.5703125" style="1943" customWidth="1"/>
    <col min="6668" max="6669" width="0" style="1943" hidden="1" customWidth="1"/>
    <col min="6670" max="6670" width="49.5703125" style="1943" customWidth="1"/>
    <col min="6671" max="6671" width="16.5703125" style="1943" customWidth="1"/>
    <col min="6672" max="6672" width="13.7109375" style="1943" customWidth="1"/>
    <col min="6673" max="6673" width="29.5703125" style="1943" customWidth="1"/>
    <col min="6674" max="6674" width="18.28515625" style="1943" customWidth="1"/>
    <col min="6675" max="6675" width="14.28515625" style="1943" customWidth="1"/>
    <col min="6676" max="6676" width="17.28515625" style="1943" customWidth="1"/>
    <col min="6677" max="6677" width="17.5703125" style="1943" customWidth="1"/>
    <col min="6678" max="6678" width="17.28515625" style="1943" customWidth="1"/>
    <col min="6679" max="6679" width="16.42578125" style="1943" customWidth="1"/>
    <col min="6680" max="6680" width="17" style="1943" customWidth="1"/>
    <col min="6681" max="6681" width="18.28515625" style="1943" customWidth="1"/>
    <col min="6682" max="6682" width="17.5703125" style="1943" customWidth="1"/>
    <col min="6683" max="6683" width="5.28515625" style="1943" customWidth="1"/>
    <col min="6684" max="6684" width="15.140625" style="1943" bestFit="1" customWidth="1"/>
    <col min="6685" max="6686" width="8" style="1943" customWidth="1"/>
    <col min="6687" max="6687" width="2.85546875" style="1943" customWidth="1"/>
    <col min="6688" max="6716" width="8" style="1943" customWidth="1"/>
    <col min="6717" max="6717" width="15.85546875" style="1943" bestFit="1" customWidth="1"/>
    <col min="6718" max="6718" width="17" style="1943" bestFit="1" customWidth="1"/>
    <col min="6719" max="6905" width="8" style="1943" customWidth="1"/>
    <col min="6906" max="6906" width="8.85546875" style="1943" bestFit="1" customWidth="1"/>
    <col min="6907" max="6912" width="8.85546875" style="1943"/>
    <col min="6913" max="6913" width="4.85546875" style="1943" customWidth="1"/>
    <col min="6914" max="6914" width="42" style="1943" customWidth="1"/>
    <col min="6915" max="6915" width="12.42578125" style="1943" customWidth="1"/>
    <col min="6916" max="6916" width="13.42578125" style="1943" customWidth="1"/>
    <col min="6917" max="6917" width="22" style="1943" customWidth="1"/>
    <col min="6918" max="6918" width="3.140625" style="1943" customWidth="1"/>
    <col min="6919" max="6919" width="22.85546875" style="1943" customWidth="1"/>
    <col min="6920" max="6922" width="0" style="1943" hidden="1" customWidth="1"/>
    <col min="6923" max="6923" width="0.5703125" style="1943" customWidth="1"/>
    <col min="6924" max="6925" width="0" style="1943" hidden="1" customWidth="1"/>
    <col min="6926" max="6926" width="49.5703125" style="1943" customWidth="1"/>
    <col min="6927" max="6927" width="16.5703125" style="1943" customWidth="1"/>
    <col min="6928" max="6928" width="13.7109375" style="1943" customWidth="1"/>
    <col min="6929" max="6929" width="29.5703125" style="1943" customWidth="1"/>
    <col min="6930" max="6930" width="18.28515625" style="1943" customWidth="1"/>
    <col min="6931" max="6931" width="14.28515625" style="1943" customWidth="1"/>
    <col min="6932" max="6932" width="17.28515625" style="1943" customWidth="1"/>
    <col min="6933" max="6933" width="17.5703125" style="1943" customWidth="1"/>
    <col min="6934" max="6934" width="17.28515625" style="1943" customWidth="1"/>
    <col min="6935" max="6935" width="16.42578125" style="1943" customWidth="1"/>
    <col min="6936" max="6936" width="17" style="1943" customWidth="1"/>
    <col min="6937" max="6937" width="18.28515625" style="1943" customWidth="1"/>
    <col min="6938" max="6938" width="17.5703125" style="1943" customWidth="1"/>
    <col min="6939" max="6939" width="5.28515625" style="1943" customWidth="1"/>
    <col min="6940" max="6940" width="15.140625" style="1943" bestFit="1" customWidth="1"/>
    <col min="6941" max="6942" width="8" style="1943" customWidth="1"/>
    <col min="6943" max="6943" width="2.85546875" style="1943" customWidth="1"/>
    <col min="6944" max="6972" width="8" style="1943" customWidth="1"/>
    <col min="6973" max="6973" width="15.85546875" style="1943" bestFit="1" customWidth="1"/>
    <col min="6974" max="6974" width="17" style="1943" bestFit="1" customWidth="1"/>
    <col min="6975" max="7161" width="8" style="1943" customWidth="1"/>
    <col min="7162" max="7162" width="8.85546875" style="1943" bestFit="1" customWidth="1"/>
    <col min="7163" max="7168" width="8.85546875" style="1943"/>
    <col min="7169" max="7169" width="4.85546875" style="1943" customWidth="1"/>
    <col min="7170" max="7170" width="42" style="1943" customWidth="1"/>
    <col min="7171" max="7171" width="12.42578125" style="1943" customWidth="1"/>
    <col min="7172" max="7172" width="13.42578125" style="1943" customWidth="1"/>
    <col min="7173" max="7173" width="22" style="1943" customWidth="1"/>
    <col min="7174" max="7174" width="3.140625" style="1943" customWidth="1"/>
    <col min="7175" max="7175" width="22.85546875" style="1943" customWidth="1"/>
    <col min="7176" max="7178" width="0" style="1943" hidden="1" customWidth="1"/>
    <col min="7179" max="7179" width="0.5703125" style="1943" customWidth="1"/>
    <col min="7180" max="7181" width="0" style="1943" hidden="1" customWidth="1"/>
    <col min="7182" max="7182" width="49.5703125" style="1943" customWidth="1"/>
    <col min="7183" max="7183" width="16.5703125" style="1943" customWidth="1"/>
    <col min="7184" max="7184" width="13.7109375" style="1943" customWidth="1"/>
    <col min="7185" max="7185" width="29.5703125" style="1943" customWidth="1"/>
    <col min="7186" max="7186" width="18.28515625" style="1943" customWidth="1"/>
    <col min="7187" max="7187" width="14.28515625" style="1943" customWidth="1"/>
    <col min="7188" max="7188" width="17.28515625" style="1943" customWidth="1"/>
    <col min="7189" max="7189" width="17.5703125" style="1943" customWidth="1"/>
    <col min="7190" max="7190" width="17.28515625" style="1943" customWidth="1"/>
    <col min="7191" max="7191" width="16.42578125" style="1943" customWidth="1"/>
    <col min="7192" max="7192" width="17" style="1943" customWidth="1"/>
    <col min="7193" max="7193" width="18.28515625" style="1943" customWidth="1"/>
    <col min="7194" max="7194" width="17.5703125" style="1943" customWidth="1"/>
    <col min="7195" max="7195" width="5.28515625" style="1943" customWidth="1"/>
    <col min="7196" max="7196" width="15.140625" style="1943" bestFit="1" customWidth="1"/>
    <col min="7197" max="7198" width="8" style="1943" customWidth="1"/>
    <col min="7199" max="7199" width="2.85546875" style="1943" customWidth="1"/>
    <col min="7200" max="7228" width="8" style="1943" customWidth="1"/>
    <col min="7229" max="7229" width="15.85546875" style="1943" bestFit="1" customWidth="1"/>
    <col min="7230" max="7230" width="17" style="1943" bestFit="1" customWidth="1"/>
    <col min="7231" max="7417" width="8" style="1943" customWidth="1"/>
    <col min="7418" max="7418" width="8.85546875" style="1943" bestFit="1" customWidth="1"/>
    <col min="7419" max="7424" width="8.85546875" style="1943"/>
    <col min="7425" max="7425" width="4.85546875" style="1943" customWidth="1"/>
    <col min="7426" max="7426" width="42" style="1943" customWidth="1"/>
    <col min="7427" max="7427" width="12.42578125" style="1943" customWidth="1"/>
    <col min="7428" max="7428" width="13.42578125" style="1943" customWidth="1"/>
    <col min="7429" max="7429" width="22" style="1943" customWidth="1"/>
    <col min="7430" max="7430" width="3.140625" style="1943" customWidth="1"/>
    <col min="7431" max="7431" width="22.85546875" style="1943" customWidth="1"/>
    <col min="7432" max="7434" width="0" style="1943" hidden="1" customWidth="1"/>
    <col min="7435" max="7435" width="0.5703125" style="1943" customWidth="1"/>
    <col min="7436" max="7437" width="0" style="1943" hidden="1" customWidth="1"/>
    <col min="7438" max="7438" width="49.5703125" style="1943" customWidth="1"/>
    <col min="7439" max="7439" width="16.5703125" style="1943" customWidth="1"/>
    <col min="7440" max="7440" width="13.7109375" style="1943" customWidth="1"/>
    <col min="7441" max="7441" width="29.5703125" style="1943" customWidth="1"/>
    <col min="7442" max="7442" width="18.28515625" style="1943" customWidth="1"/>
    <col min="7443" max="7443" width="14.28515625" style="1943" customWidth="1"/>
    <col min="7444" max="7444" width="17.28515625" style="1943" customWidth="1"/>
    <col min="7445" max="7445" width="17.5703125" style="1943" customWidth="1"/>
    <col min="7446" max="7446" width="17.28515625" style="1943" customWidth="1"/>
    <col min="7447" max="7447" width="16.42578125" style="1943" customWidth="1"/>
    <col min="7448" max="7448" width="17" style="1943" customWidth="1"/>
    <col min="7449" max="7449" width="18.28515625" style="1943" customWidth="1"/>
    <col min="7450" max="7450" width="17.5703125" style="1943" customWidth="1"/>
    <col min="7451" max="7451" width="5.28515625" style="1943" customWidth="1"/>
    <col min="7452" max="7452" width="15.140625" style="1943" bestFit="1" customWidth="1"/>
    <col min="7453" max="7454" width="8" style="1943" customWidth="1"/>
    <col min="7455" max="7455" width="2.85546875" style="1943" customWidth="1"/>
    <col min="7456" max="7484" width="8" style="1943" customWidth="1"/>
    <col min="7485" max="7485" width="15.85546875" style="1943" bestFit="1" customWidth="1"/>
    <col min="7486" max="7486" width="17" style="1943" bestFit="1" customWidth="1"/>
    <col min="7487" max="7673" width="8" style="1943" customWidth="1"/>
    <col min="7674" max="7674" width="8.85546875" style="1943" bestFit="1" customWidth="1"/>
    <col min="7675" max="7680" width="8.85546875" style="1943"/>
    <col min="7681" max="7681" width="4.85546875" style="1943" customWidth="1"/>
    <col min="7682" max="7682" width="42" style="1943" customWidth="1"/>
    <col min="7683" max="7683" width="12.42578125" style="1943" customWidth="1"/>
    <col min="7684" max="7684" width="13.42578125" style="1943" customWidth="1"/>
    <col min="7685" max="7685" width="22" style="1943" customWidth="1"/>
    <col min="7686" max="7686" width="3.140625" style="1943" customWidth="1"/>
    <col min="7687" max="7687" width="22.85546875" style="1943" customWidth="1"/>
    <col min="7688" max="7690" width="0" style="1943" hidden="1" customWidth="1"/>
    <col min="7691" max="7691" width="0.5703125" style="1943" customWidth="1"/>
    <col min="7692" max="7693" width="0" style="1943" hidden="1" customWidth="1"/>
    <col min="7694" max="7694" width="49.5703125" style="1943" customWidth="1"/>
    <col min="7695" max="7695" width="16.5703125" style="1943" customWidth="1"/>
    <col min="7696" max="7696" width="13.7109375" style="1943" customWidth="1"/>
    <col min="7697" max="7697" width="29.5703125" style="1943" customWidth="1"/>
    <col min="7698" max="7698" width="18.28515625" style="1943" customWidth="1"/>
    <col min="7699" max="7699" width="14.28515625" style="1943" customWidth="1"/>
    <col min="7700" max="7700" width="17.28515625" style="1943" customWidth="1"/>
    <col min="7701" max="7701" width="17.5703125" style="1943" customWidth="1"/>
    <col min="7702" max="7702" width="17.28515625" style="1943" customWidth="1"/>
    <col min="7703" max="7703" width="16.42578125" style="1943" customWidth="1"/>
    <col min="7704" max="7704" width="17" style="1943" customWidth="1"/>
    <col min="7705" max="7705" width="18.28515625" style="1943" customWidth="1"/>
    <col min="7706" max="7706" width="17.5703125" style="1943" customWidth="1"/>
    <col min="7707" max="7707" width="5.28515625" style="1943" customWidth="1"/>
    <col min="7708" max="7708" width="15.140625" style="1943" bestFit="1" customWidth="1"/>
    <col min="7709" max="7710" width="8" style="1943" customWidth="1"/>
    <col min="7711" max="7711" width="2.85546875" style="1943" customWidth="1"/>
    <col min="7712" max="7740" width="8" style="1943" customWidth="1"/>
    <col min="7741" max="7741" width="15.85546875" style="1943" bestFit="1" customWidth="1"/>
    <col min="7742" max="7742" width="17" style="1943" bestFit="1" customWidth="1"/>
    <col min="7743" max="7929" width="8" style="1943" customWidth="1"/>
    <col min="7930" max="7930" width="8.85546875" style="1943" bestFit="1" customWidth="1"/>
    <col min="7931" max="7936" width="8.85546875" style="1943"/>
    <col min="7937" max="7937" width="4.85546875" style="1943" customWidth="1"/>
    <col min="7938" max="7938" width="42" style="1943" customWidth="1"/>
    <col min="7939" max="7939" width="12.42578125" style="1943" customWidth="1"/>
    <col min="7940" max="7940" width="13.42578125" style="1943" customWidth="1"/>
    <col min="7941" max="7941" width="22" style="1943" customWidth="1"/>
    <col min="7942" max="7942" width="3.140625" style="1943" customWidth="1"/>
    <col min="7943" max="7943" width="22.85546875" style="1943" customWidth="1"/>
    <col min="7944" max="7946" width="0" style="1943" hidden="1" customWidth="1"/>
    <col min="7947" max="7947" width="0.5703125" style="1943" customWidth="1"/>
    <col min="7948" max="7949" width="0" style="1943" hidden="1" customWidth="1"/>
    <col min="7950" max="7950" width="49.5703125" style="1943" customWidth="1"/>
    <col min="7951" max="7951" width="16.5703125" style="1943" customWidth="1"/>
    <col min="7952" max="7952" width="13.7109375" style="1943" customWidth="1"/>
    <col min="7953" max="7953" width="29.5703125" style="1943" customWidth="1"/>
    <col min="7954" max="7954" width="18.28515625" style="1943" customWidth="1"/>
    <col min="7955" max="7955" width="14.28515625" style="1943" customWidth="1"/>
    <col min="7956" max="7956" width="17.28515625" style="1943" customWidth="1"/>
    <col min="7957" max="7957" width="17.5703125" style="1943" customWidth="1"/>
    <col min="7958" max="7958" width="17.28515625" style="1943" customWidth="1"/>
    <col min="7959" max="7959" width="16.42578125" style="1943" customWidth="1"/>
    <col min="7960" max="7960" width="17" style="1943" customWidth="1"/>
    <col min="7961" max="7961" width="18.28515625" style="1943" customWidth="1"/>
    <col min="7962" max="7962" width="17.5703125" style="1943" customWidth="1"/>
    <col min="7963" max="7963" width="5.28515625" style="1943" customWidth="1"/>
    <col min="7964" max="7964" width="15.140625" style="1943" bestFit="1" customWidth="1"/>
    <col min="7965" max="7966" width="8" style="1943" customWidth="1"/>
    <col min="7967" max="7967" width="2.85546875" style="1943" customWidth="1"/>
    <col min="7968" max="7996" width="8" style="1943" customWidth="1"/>
    <col min="7997" max="7997" width="15.85546875" style="1943" bestFit="1" customWidth="1"/>
    <col min="7998" max="7998" width="17" style="1943" bestFit="1" customWidth="1"/>
    <col min="7999" max="8185" width="8" style="1943" customWidth="1"/>
    <col min="8186" max="8186" width="8.85546875" style="1943" bestFit="1" customWidth="1"/>
    <col min="8187" max="8192" width="8.85546875" style="1943"/>
    <col min="8193" max="8193" width="4.85546875" style="1943" customWidth="1"/>
    <col min="8194" max="8194" width="42" style="1943" customWidth="1"/>
    <col min="8195" max="8195" width="12.42578125" style="1943" customWidth="1"/>
    <col min="8196" max="8196" width="13.42578125" style="1943" customWidth="1"/>
    <col min="8197" max="8197" width="22" style="1943" customWidth="1"/>
    <col min="8198" max="8198" width="3.140625" style="1943" customWidth="1"/>
    <col min="8199" max="8199" width="22.85546875" style="1943" customWidth="1"/>
    <col min="8200" max="8202" width="0" style="1943" hidden="1" customWidth="1"/>
    <col min="8203" max="8203" width="0.5703125" style="1943" customWidth="1"/>
    <col min="8204" max="8205" width="0" style="1943" hidden="1" customWidth="1"/>
    <col min="8206" max="8206" width="49.5703125" style="1943" customWidth="1"/>
    <col min="8207" max="8207" width="16.5703125" style="1943" customWidth="1"/>
    <col min="8208" max="8208" width="13.7109375" style="1943" customWidth="1"/>
    <col min="8209" max="8209" width="29.5703125" style="1943" customWidth="1"/>
    <col min="8210" max="8210" width="18.28515625" style="1943" customWidth="1"/>
    <col min="8211" max="8211" width="14.28515625" style="1943" customWidth="1"/>
    <col min="8212" max="8212" width="17.28515625" style="1943" customWidth="1"/>
    <col min="8213" max="8213" width="17.5703125" style="1943" customWidth="1"/>
    <col min="8214" max="8214" width="17.28515625" style="1943" customWidth="1"/>
    <col min="8215" max="8215" width="16.42578125" style="1943" customWidth="1"/>
    <col min="8216" max="8216" width="17" style="1943" customWidth="1"/>
    <col min="8217" max="8217" width="18.28515625" style="1943" customWidth="1"/>
    <col min="8218" max="8218" width="17.5703125" style="1943" customWidth="1"/>
    <col min="8219" max="8219" width="5.28515625" style="1943" customWidth="1"/>
    <col min="8220" max="8220" width="15.140625" style="1943" bestFit="1" customWidth="1"/>
    <col min="8221" max="8222" width="8" style="1943" customWidth="1"/>
    <col min="8223" max="8223" width="2.85546875" style="1943" customWidth="1"/>
    <col min="8224" max="8252" width="8" style="1943" customWidth="1"/>
    <col min="8253" max="8253" width="15.85546875" style="1943" bestFit="1" customWidth="1"/>
    <col min="8254" max="8254" width="17" style="1943" bestFit="1" customWidth="1"/>
    <col min="8255" max="8441" width="8" style="1943" customWidth="1"/>
    <col min="8442" max="8442" width="8.85546875" style="1943" bestFit="1" customWidth="1"/>
    <col min="8443" max="8448" width="8.85546875" style="1943"/>
    <col min="8449" max="8449" width="4.85546875" style="1943" customWidth="1"/>
    <col min="8450" max="8450" width="42" style="1943" customWidth="1"/>
    <col min="8451" max="8451" width="12.42578125" style="1943" customWidth="1"/>
    <col min="8452" max="8452" width="13.42578125" style="1943" customWidth="1"/>
    <col min="8453" max="8453" width="22" style="1943" customWidth="1"/>
    <col min="8454" max="8454" width="3.140625" style="1943" customWidth="1"/>
    <col min="8455" max="8455" width="22.85546875" style="1943" customWidth="1"/>
    <col min="8456" max="8458" width="0" style="1943" hidden="1" customWidth="1"/>
    <col min="8459" max="8459" width="0.5703125" style="1943" customWidth="1"/>
    <col min="8460" max="8461" width="0" style="1943" hidden="1" customWidth="1"/>
    <col min="8462" max="8462" width="49.5703125" style="1943" customWidth="1"/>
    <col min="8463" max="8463" width="16.5703125" style="1943" customWidth="1"/>
    <col min="8464" max="8464" width="13.7109375" style="1943" customWidth="1"/>
    <col min="8465" max="8465" width="29.5703125" style="1943" customWidth="1"/>
    <col min="8466" max="8466" width="18.28515625" style="1943" customWidth="1"/>
    <col min="8467" max="8467" width="14.28515625" style="1943" customWidth="1"/>
    <col min="8468" max="8468" width="17.28515625" style="1943" customWidth="1"/>
    <col min="8469" max="8469" width="17.5703125" style="1943" customWidth="1"/>
    <col min="8470" max="8470" width="17.28515625" style="1943" customWidth="1"/>
    <col min="8471" max="8471" width="16.42578125" style="1943" customWidth="1"/>
    <col min="8472" max="8472" width="17" style="1943" customWidth="1"/>
    <col min="8473" max="8473" width="18.28515625" style="1943" customWidth="1"/>
    <col min="8474" max="8474" width="17.5703125" style="1943" customWidth="1"/>
    <col min="8475" max="8475" width="5.28515625" style="1943" customWidth="1"/>
    <col min="8476" max="8476" width="15.140625" style="1943" bestFit="1" customWidth="1"/>
    <col min="8477" max="8478" width="8" style="1943" customWidth="1"/>
    <col min="8479" max="8479" width="2.85546875" style="1943" customWidth="1"/>
    <col min="8480" max="8508" width="8" style="1943" customWidth="1"/>
    <col min="8509" max="8509" width="15.85546875" style="1943" bestFit="1" customWidth="1"/>
    <col min="8510" max="8510" width="17" style="1943" bestFit="1" customWidth="1"/>
    <col min="8511" max="8697" width="8" style="1943" customWidth="1"/>
    <col min="8698" max="8698" width="8.85546875" style="1943" bestFit="1" customWidth="1"/>
    <col min="8699" max="8704" width="8.85546875" style="1943"/>
    <col min="8705" max="8705" width="4.85546875" style="1943" customWidth="1"/>
    <col min="8706" max="8706" width="42" style="1943" customWidth="1"/>
    <col min="8707" max="8707" width="12.42578125" style="1943" customWidth="1"/>
    <col min="8708" max="8708" width="13.42578125" style="1943" customWidth="1"/>
    <col min="8709" max="8709" width="22" style="1943" customWidth="1"/>
    <col min="8710" max="8710" width="3.140625" style="1943" customWidth="1"/>
    <col min="8711" max="8711" width="22.85546875" style="1943" customWidth="1"/>
    <col min="8712" max="8714" width="0" style="1943" hidden="1" customWidth="1"/>
    <col min="8715" max="8715" width="0.5703125" style="1943" customWidth="1"/>
    <col min="8716" max="8717" width="0" style="1943" hidden="1" customWidth="1"/>
    <col min="8718" max="8718" width="49.5703125" style="1943" customWidth="1"/>
    <col min="8719" max="8719" width="16.5703125" style="1943" customWidth="1"/>
    <col min="8720" max="8720" width="13.7109375" style="1943" customWidth="1"/>
    <col min="8721" max="8721" width="29.5703125" style="1943" customWidth="1"/>
    <col min="8722" max="8722" width="18.28515625" style="1943" customWidth="1"/>
    <col min="8723" max="8723" width="14.28515625" style="1943" customWidth="1"/>
    <col min="8724" max="8724" width="17.28515625" style="1943" customWidth="1"/>
    <col min="8725" max="8725" width="17.5703125" style="1943" customWidth="1"/>
    <col min="8726" max="8726" width="17.28515625" style="1943" customWidth="1"/>
    <col min="8727" max="8727" width="16.42578125" style="1943" customWidth="1"/>
    <col min="8728" max="8728" width="17" style="1943" customWidth="1"/>
    <col min="8729" max="8729" width="18.28515625" style="1943" customWidth="1"/>
    <col min="8730" max="8730" width="17.5703125" style="1943" customWidth="1"/>
    <col min="8731" max="8731" width="5.28515625" style="1943" customWidth="1"/>
    <col min="8732" max="8732" width="15.140625" style="1943" bestFit="1" customWidth="1"/>
    <col min="8733" max="8734" width="8" style="1943" customWidth="1"/>
    <col min="8735" max="8735" width="2.85546875" style="1943" customWidth="1"/>
    <col min="8736" max="8764" width="8" style="1943" customWidth="1"/>
    <col min="8765" max="8765" width="15.85546875" style="1943" bestFit="1" customWidth="1"/>
    <col min="8766" max="8766" width="17" style="1943" bestFit="1" customWidth="1"/>
    <col min="8767" max="8953" width="8" style="1943" customWidth="1"/>
    <col min="8954" max="8954" width="8.85546875" style="1943" bestFit="1" customWidth="1"/>
    <col min="8955" max="8960" width="8.85546875" style="1943"/>
    <col min="8961" max="8961" width="4.85546875" style="1943" customWidth="1"/>
    <col min="8962" max="8962" width="42" style="1943" customWidth="1"/>
    <col min="8963" max="8963" width="12.42578125" style="1943" customWidth="1"/>
    <col min="8964" max="8964" width="13.42578125" style="1943" customWidth="1"/>
    <col min="8965" max="8965" width="22" style="1943" customWidth="1"/>
    <col min="8966" max="8966" width="3.140625" style="1943" customWidth="1"/>
    <col min="8967" max="8967" width="22.85546875" style="1943" customWidth="1"/>
    <col min="8968" max="8970" width="0" style="1943" hidden="1" customWidth="1"/>
    <col min="8971" max="8971" width="0.5703125" style="1943" customWidth="1"/>
    <col min="8972" max="8973" width="0" style="1943" hidden="1" customWidth="1"/>
    <col min="8974" max="8974" width="49.5703125" style="1943" customWidth="1"/>
    <col min="8975" max="8975" width="16.5703125" style="1943" customWidth="1"/>
    <col min="8976" max="8976" width="13.7109375" style="1943" customWidth="1"/>
    <col min="8977" max="8977" width="29.5703125" style="1943" customWidth="1"/>
    <col min="8978" max="8978" width="18.28515625" style="1943" customWidth="1"/>
    <col min="8979" max="8979" width="14.28515625" style="1943" customWidth="1"/>
    <col min="8980" max="8980" width="17.28515625" style="1943" customWidth="1"/>
    <col min="8981" max="8981" width="17.5703125" style="1943" customWidth="1"/>
    <col min="8982" max="8982" width="17.28515625" style="1943" customWidth="1"/>
    <col min="8983" max="8983" width="16.42578125" style="1943" customWidth="1"/>
    <col min="8984" max="8984" width="17" style="1943" customWidth="1"/>
    <col min="8985" max="8985" width="18.28515625" style="1943" customWidth="1"/>
    <col min="8986" max="8986" width="17.5703125" style="1943" customWidth="1"/>
    <col min="8987" max="8987" width="5.28515625" style="1943" customWidth="1"/>
    <col min="8988" max="8988" width="15.140625" style="1943" bestFit="1" customWidth="1"/>
    <col min="8989" max="8990" width="8" style="1943" customWidth="1"/>
    <col min="8991" max="8991" width="2.85546875" style="1943" customWidth="1"/>
    <col min="8992" max="9020" width="8" style="1943" customWidth="1"/>
    <col min="9021" max="9021" width="15.85546875" style="1943" bestFit="1" customWidth="1"/>
    <col min="9022" max="9022" width="17" style="1943" bestFit="1" customWidth="1"/>
    <col min="9023" max="9209" width="8" style="1943" customWidth="1"/>
    <col min="9210" max="9210" width="8.85546875" style="1943" bestFit="1" customWidth="1"/>
    <col min="9211" max="9216" width="8.85546875" style="1943"/>
    <col min="9217" max="9217" width="4.85546875" style="1943" customWidth="1"/>
    <col min="9218" max="9218" width="42" style="1943" customWidth="1"/>
    <col min="9219" max="9219" width="12.42578125" style="1943" customWidth="1"/>
    <col min="9220" max="9220" width="13.42578125" style="1943" customWidth="1"/>
    <col min="9221" max="9221" width="22" style="1943" customWidth="1"/>
    <col min="9222" max="9222" width="3.140625" style="1943" customWidth="1"/>
    <col min="9223" max="9223" width="22.85546875" style="1943" customWidth="1"/>
    <col min="9224" max="9226" width="0" style="1943" hidden="1" customWidth="1"/>
    <col min="9227" max="9227" width="0.5703125" style="1943" customWidth="1"/>
    <col min="9228" max="9229" width="0" style="1943" hidden="1" customWidth="1"/>
    <col min="9230" max="9230" width="49.5703125" style="1943" customWidth="1"/>
    <col min="9231" max="9231" width="16.5703125" style="1943" customWidth="1"/>
    <col min="9232" max="9232" width="13.7109375" style="1943" customWidth="1"/>
    <col min="9233" max="9233" width="29.5703125" style="1943" customWidth="1"/>
    <col min="9234" max="9234" width="18.28515625" style="1943" customWidth="1"/>
    <col min="9235" max="9235" width="14.28515625" style="1943" customWidth="1"/>
    <col min="9236" max="9236" width="17.28515625" style="1943" customWidth="1"/>
    <col min="9237" max="9237" width="17.5703125" style="1943" customWidth="1"/>
    <col min="9238" max="9238" width="17.28515625" style="1943" customWidth="1"/>
    <col min="9239" max="9239" width="16.42578125" style="1943" customWidth="1"/>
    <col min="9240" max="9240" width="17" style="1943" customWidth="1"/>
    <col min="9241" max="9241" width="18.28515625" style="1943" customWidth="1"/>
    <col min="9242" max="9242" width="17.5703125" style="1943" customWidth="1"/>
    <col min="9243" max="9243" width="5.28515625" style="1943" customWidth="1"/>
    <col min="9244" max="9244" width="15.140625" style="1943" bestFit="1" customWidth="1"/>
    <col min="9245" max="9246" width="8" style="1943" customWidth="1"/>
    <col min="9247" max="9247" width="2.85546875" style="1943" customWidth="1"/>
    <col min="9248" max="9276" width="8" style="1943" customWidth="1"/>
    <col min="9277" max="9277" width="15.85546875" style="1943" bestFit="1" customWidth="1"/>
    <col min="9278" max="9278" width="17" style="1943" bestFit="1" customWidth="1"/>
    <col min="9279" max="9465" width="8" style="1943" customWidth="1"/>
    <col min="9466" max="9466" width="8.85546875" style="1943" bestFit="1" customWidth="1"/>
    <col min="9467" max="9472" width="8.85546875" style="1943"/>
    <col min="9473" max="9473" width="4.85546875" style="1943" customWidth="1"/>
    <col min="9474" max="9474" width="42" style="1943" customWidth="1"/>
    <col min="9475" max="9475" width="12.42578125" style="1943" customWidth="1"/>
    <col min="9476" max="9476" width="13.42578125" style="1943" customWidth="1"/>
    <col min="9477" max="9477" width="22" style="1943" customWidth="1"/>
    <col min="9478" max="9478" width="3.140625" style="1943" customWidth="1"/>
    <col min="9479" max="9479" width="22.85546875" style="1943" customWidth="1"/>
    <col min="9480" max="9482" width="0" style="1943" hidden="1" customWidth="1"/>
    <col min="9483" max="9483" width="0.5703125" style="1943" customWidth="1"/>
    <col min="9484" max="9485" width="0" style="1943" hidden="1" customWidth="1"/>
    <col min="9486" max="9486" width="49.5703125" style="1943" customWidth="1"/>
    <col min="9487" max="9487" width="16.5703125" style="1943" customWidth="1"/>
    <col min="9488" max="9488" width="13.7109375" style="1943" customWidth="1"/>
    <col min="9489" max="9489" width="29.5703125" style="1943" customWidth="1"/>
    <col min="9490" max="9490" width="18.28515625" style="1943" customWidth="1"/>
    <col min="9491" max="9491" width="14.28515625" style="1943" customWidth="1"/>
    <col min="9492" max="9492" width="17.28515625" style="1943" customWidth="1"/>
    <col min="9493" max="9493" width="17.5703125" style="1943" customWidth="1"/>
    <col min="9494" max="9494" width="17.28515625" style="1943" customWidth="1"/>
    <col min="9495" max="9495" width="16.42578125" style="1943" customWidth="1"/>
    <col min="9496" max="9496" width="17" style="1943" customWidth="1"/>
    <col min="9497" max="9497" width="18.28515625" style="1943" customWidth="1"/>
    <col min="9498" max="9498" width="17.5703125" style="1943" customWidth="1"/>
    <col min="9499" max="9499" width="5.28515625" style="1943" customWidth="1"/>
    <col min="9500" max="9500" width="15.140625" style="1943" bestFit="1" customWidth="1"/>
    <col min="9501" max="9502" width="8" style="1943" customWidth="1"/>
    <col min="9503" max="9503" width="2.85546875" style="1943" customWidth="1"/>
    <col min="9504" max="9532" width="8" style="1943" customWidth="1"/>
    <col min="9533" max="9533" width="15.85546875" style="1943" bestFit="1" customWidth="1"/>
    <col min="9534" max="9534" width="17" style="1943" bestFit="1" customWidth="1"/>
    <col min="9535" max="9721" width="8" style="1943" customWidth="1"/>
    <col min="9722" max="9722" width="8.85546875" style="1943" bestFit="1" customWidth="1"/>
    <col min="9723" max="9728" width="8.85546875" style="1943"/>
    <col min="9729" max="9729" width="4.85546875" style="1943" customWidth="1"/>
    <col min="9730" max="9730" width="42" style="1943" customWidth="1"/>
    <col min="9731" max="9731" width="12.42578125" style="1943" customWidth="1"/>
    <col min="9732" max="9732" width="13.42578125" style="1943" customWidth="1"/>
    <col min="9733" max="9733" width="22" style="1943" customWidth="1"/>
    <col min="9734" max="9734" width="3.140625" style="1943" customWidth="1"/>
    <col min="9735" max="9735" width="22.85546875" style="1943" customWidth="1"/>
    <col min="9736" max="9738" width="0" style="1943" hidden="1" customWidth="1"/>
    <col min="9739" max="9739" width="0.5703125" style="1943" customWidth="1"/>
    <col min="9740" max="9741" width="0" style="1943" hidden="1" customWidth="1"/>
    <col min="9742" max="9742" width="49.5703125" style="1943" customWidth="1"/>
    <col min="9743" max="9743" width="16.5703125" style="1943" customWidth="1"/>
    <col min="9744" max="9744" width="13.7109375" style="1943" customWidth="1"/>
    <col min="9745" max="9745" width="29.5703125" style="1943" customWidth="1"/>
    <col min="9746" max="9746" width="18.28515625" style="1943" customWidth="1"/>
    <col min="9747" max="9747" width="14.28515625" style="1943" customWidth="1"/>
    <col min="9748" max="9748" width="17.28515625" style="1943" customWidth="1"/>
    <col min="9749" max="9749" width="17.5703125" style="1943" customWidth="1"/>
    <col min="9750" max="9750" width="17.28515625" style="1943" customWidth="1"/>
    <col min="9751" max="9751" width="16.42578125" style="1943" customWidth="1"/>
    <col min="9752" max="9752" width="17" style="1943" customWidth="1"/>
    <col min="9753" max="9753" width="18.28515625" style="1943" customWidth="1"/>
    <col min="9754" max="9754" width="17.5703125" style="1943" customWidth="1"/>
    <col min="9755" max="9755" width="5.28515625" style="1943" customWidth="1"/>
    <col min="9756" max="9756" width="15.140625" style="1943" bestFit="1" customWidth="1"/>
    <col min="9757" max="9758" width="8" style="1943" customWidth="1"/>
    <col min="9759" max="9759" width="2.85546875" style="1943" customWidth="1"/>
    <col min="9760" max="9788" width="8" style="1943" customWidth="1"/>
    <col min="9789" max="9789" width="15.85546875" style="1943" bestFit="1" customWidth="1"/>
    <col min="9790" max="9790" width="17" style="1943" bestFit="1" customWidth="1"/>
    <col min="9791" max="9977" width="8" style="1943" customWidth="1"/>
    <col min="9978" max="9978" width="8.85546875" style="1943" bestFit="1" customWidth="1"/>
    <col min="9979" max="9984" width="8.85546875" style="1943"/>
    <col min="9985" max="9985" width="4.85546875" style="1943" customWidth="1"/>
    <col min="9986" max="9986" width="42" style="1943" customWidth="1"/>
    <col min="9987" max="9987" width="12.42578125" style="1943" customWidth="1"/>
    <col min="9988" max="9988" width="13.42578125" style="1943" customWidth="1"/>
    <col min="9989" max="9989" width="22" style="1943" customWidth="1"/>
    <col min="9990" max="9990" width="3.140625" style="1943" customWidth="1"/>
    <col min="9991" max="9991" width="22.85546875" style="1943" customWidth="1"/>
    <col min="9992" max="9994" width="0" style="1943" hidden="1" customWidth="1"/>
    <col min="9995" max="9995" width="0.5703125" style="1943" customWidth="1"/>
    <col min="9996" max="9997" width="0" style="1943" hidden="1" customWidth="1"/>
    <col min="9998" max="9998" width="49.5703125" style="1943" customWidth="1"/>
    <col min="9999" max="9999" width="16.5703125" style="1943" customWidth="1"/>
    <col min="10000" max="10000" width="13.7109375" style="1943" customWidth="1"/>
    <col min="10001" max="10001" width="29.5703125" style="1943" customWidth="1"/>
    <col min="10002" max="10002" width="18.28515625" style="1943" customWidth="1"/>
    <col min="10003" max="10003" width="14.28515625" style="1943" customWidth="1"/>
    <col min="10004" max="10004" width="17.28515625" style="1943" customWidth="1"/>
    <col min="10005" max="10005" width="17.5703125" style="1943" customWidth="1"/>
    <col min="10006" max="10006" width="17.28515625" style="1943" customWidth="1"/>
    <col min="10007" max="10007" width="16.42578125" style="1943" customWidth="1"/>
    <col min="10008" max="10008" width="17" style="1943" customWidth="1"/>
    <col min="10009" max="10009" width="18.28515625" style="1943" customWidth="1"/>
    <col min="10010" max="10010" width="17.5703125" style="1943" customWidth="1"/>
    <col min="10011" max="10011" width="5.28515625" style="1943" customWidth="1"/>
    <col min="10012" max="10012" width="15.140625" style="1943" bestFit="1" customWidth="1"/>
    <col min="10013" max="10014" width="8" style="1943" customWidth="1"/>
    <col min="10015" max="10015" width="2.85546875" style="1943" customWidth="1"/>
    <col min="10016" max="10044" width="8" style="1943" customWidth="1"/>
    <col min="10045" max="10045" width="15.85546875" style="1943" bestFit="1" customWidth="1"/>
    <col min="10046" max="10046" width="17" style="1943" bestFit="1" customWidth="1"/>
    <col min="10047" max="10233" width="8" style="1943" customWidth="1"/>
    <col min="10234" max="10234" width="8.85546875" style="1943" bestFit="1" customWidth="1"/>
    <col min="10235" max="10240" width="8.85546875" style="1943"/>
    <col min="10241" max="10241" width="4.85546875" style="1943" customWidth="1"/>
    <col min="10242" max="10242" width="42" style="1943" customWidth="1"/>
    <col min="10243" max="10243" width="12.42578125" style="1943" customWidth="1"/>
    <col min="10244" max="10244" width="13.42578125" style="1943" customWidth="1"/>
    <col min="10245" max="10245" width="22" style="1943" customWidth="1"/>
    <col min="10246" max="10246" width="3.140625" style="1943" customWidth="1"/>
    <col min="10247" max="10247" width="22.85546875" style="1943" customWidth="1"/>
    <col min="10248" max="10250" width="0" style="1943" hidden="1" customWidth="1"/>
    <col min="10251" max="10251" width="0.5703125" style="1943" customWidth="1"/>
    <col min="10252" max="10253" width="0" style="1943" hidden="1" customWidth="1"/>
    <col min="10254" max="10254" width="49.5703125" style="1943" customWidth="1"/>
    <col min="10255" max="10255" width="16.5703125" style="1943" customWidth="1"/>
    <col min="10256" max="10256" width="13.7109375" style="1943" customWidth="1"/>
    <col min="10257" max="10257" width="29.5703125" style="1943" customWidth="1"/>
    <col min="10258" max="10258" width="18.28515625" style="1943" customWidth="1"/>
    <col min="10259" max="10259" width="14.28515625" style="1943" customWidth="1"/>
    <col min="10260" max="10260" width="17.28515625" style="1943" customWidth="1"/>
    <col min="10261" max="10261" width="17.5703125" style="1943" customWidth="1"/>
    <col min="10262" max="10262" width="17.28515625" style="1943" customWidth="1"/>
    <col min="10263" max="10263" width="16.42578125" style="1943" customWidth="1"/>
    <col min="10264" max="10264" width="17" style="1943" customWidth="1"/>
    <col min="10265" max="10265" width="18.28515625" style="1943" customWidth="1"/>
    <col min="10266" max="10266" width="17.5703125" style="1943" customWidth="1"/>
    <col min="10267" max="10267" width="5.28515625" style="1943" customWidth="1"/>
    <col min="10268" max="10268" width="15.140625" style="1943" bestFit="1" customWidth="1"/>
    <col min="10269" max="10270" width="8" style="1943" customWidth="1"/>
    <col min="10271" max="10271" width="2.85546875" style="1943" customWidth="1"/>
    <col min="10272" max="10300" width="8" style="1943" customWidth="1"/>
    <col min="10301" max="10301" width="15.85546875" style="1943" bestFit="1" customWidth="1"/>
    <col min="10302" max="10302" width="17" style="1943" bestFit="1" customWidth="1"/>
    <col min="10303" max="10489" width="8" style="1943" customWidth="1"/>
    <col min="10490" max="10490" width="8.85546875" style="1943" bestFit="1" customWidth="1"/>
    <col min="10491" max="10496" width="8.85546875" style="1943"/>
    <col min="10497" max="10497" width="4.85546875" style="1943" customWidth="1"/>
    <col min="10498" max="10498" width="42" style="1943" customWidth="1"/>
    <col min="10499" max="10499" width="12.42578125" style="1943" customWidth="1"/>
    <col min="10500" max="10500" width="13.42578125" style="1943" customWidth="1"/>
    <col min="10501" max="10501" width="22" style="1943" customWidth="1"/>
    <col min="10502" max="10502" width="3.140625" style="1943" customWidth="1"/>
    <col min="10503" max="10503" width="22.85546875" style="1943" customWidth="1"/>
    <col min="10504" max="10506" width="0" style="1943" hidden="1" customWidth="1"/>
    <col min="10507" max="10507" width="0.5703125" style="1943" customWidth="1"/>
    <col min="10508" max="10509" width="0" style="1943" hidden="1" customWidth="1"/>
    <col min="10510" max="10510" width="49.5703125" style="1943" customWidth="1"/>
    <col min="10511" max="10511" width="16.5703125" style="1943" customWidth="1"/>
    <col min="10512" max="10512" width="13.7109375" style="1943" customWidth="1"/>
    <col min="10513" max="10513" width="29.5703125" style="1943" customWidth="1"/>
    <col min="10514" max="10514" width="18.28515625" style="1943" customWidth="1"/>
    <col min="10515" max="10515" width="14.28515625" style="1943" customWidth="1"/>
    <col min="10516" max="10516" width="17.28515625" style="1943" customWidth="1"/>
    <col min="10517" max="10517" width="17.5703125" style="1943" customWidth="1"/>
    <col min="10518" max="10518" width="17.28515625" style="1943" customWidth="1"/>
    <col min="10519" max="10519" width="16.42578125" style="1943" customWidth="1"/>
    <col min="10520" max="10520" width="17" style="1943" customWidth="1"/>
    <col min="10521" max="10521" width="18.28515625" style="1943" customWidth="1"/>
    <col min="10522" max="10522" width="17.5703125" style="1943" customWidth="1"/>
    <col min="10523" max="10523" width="5.28515625" style="1943" customWidth="1"/>
    <col min="10524" max="10524" width="15.140625" style="1943" bestFit="1" customWidth="1"/>
    <col min="10525" max="10526" width="8" style="1943" customWidth="1"/>
    <col min="10527" max="10527" width="2.85546875" style="1943" customWidth="1"/>
    <col min="10528" max="10556" width="8" style="1943" customWidth="1"/>
    <col min="10557" max="10557" width="15.85546875" style="1943" bestFit="1" customWidth="1"/>
    <col min="10558" max="10558" width="17" style="1943" bestFit="1" customWidth="1"/>
    <col min="10559" max="10745" width="8" style="1943" customWidth="1"/>
    <col min="10746" max="10746" width="8.85546875" style="1943" bestFit="1" customWidth="1"/>
    <col min="10747" max="10752" width="8.85546875" style="1943"/>
    <col min="10753" max="10753" width="4.85546875" style="1943" customWidth="1"/>
    <col min="10754" max="10754" width="42" style="1943" customWidth="1"/>
    <col min="10755" max="10755" width="12.42578125" style="1943" customWidth="1"/>
    <col min="10756" max="10756" width="13.42578125" style="1943" customWidth="1"/>
    <col min="10757" max="10757" width="22" style="1943" customWidth="1"/>
    <col min="10758" max="10758" width="3.140625" style="1943" customWidth="1"/>
    <col min="10759" max="10759" width="22.85546875" style="1943" customWidth="1"/>
    <col min="10760" max="10762" width="0" style="1943" hidden="1" customWidth="1"/>
    <col min="10763" max="10763" width="0.5703125" style="1943" customWidth="1"/>
    <col min="10764" max="10765" width="0" style="1943" hidden="1" customWidth="1"/>
    <col min="10766" max="10766" width="49.5703125" style="1943" customWidth="1"/>
    <col min="10767" max="10767" width="16.5703125" style="1943" customWidth="1"/>
    <col min="10768" max="10768" width="13.7109375" style="1943" customWidth="1"/>
    <col min="10769" max="10769" width="29.5703125" style="1943" customWidth="1"/>
    <col min="10770" max="10770" width="18.28515625" style="1943" customWidth="1"/>
    <col min="10771" max="10771" width="14.28515625" style="1943" customWidth="1"/>
    <col min="10772" max="10772" width="17.28515625" style="1943" customWidth="1"/>
    <col min="10773" max="10773" width="17.5703125" style="1943" customWidth="1"/>
    <col min="10774" max="10774" width="17.28515625" style="1943" customWidth="1"/>
    <col min="10775" max="10775" width="16.42578125" style="1943" customWidth="1"/>
    <col min="10776" max="10776" width="17" style="1943" customWidth="1"/>
    <col min="10777" max="10777" width="18.28515625" style="1943" customWidth="1"/>
    <col min="10778" max="10778" width="17.5703125" style="1943" customWidth="1"/>
    <col min="10779" max="10779" width="5.28515625" style="1943" customWidth="1"/>
    <col min="10780" max="10780" width="15.140625" style="1943" bestFit="1" customWidth="1"/>
    <col min="10781" max="10782" width="8" style="1943" customWidth="1"/>
    <col min="10783" max="10783" width="2.85546875" style="1943" customWidth="1"/>
    <col min="10784" max="10812" width="8" style="1943" customWidth="1"/>
    <col min="10813" max="10813" width="15.85546875" style="1943" bestFit="1" customWidth="1"/>
    <col min="10814" max="10814" width="17" style="1943" bestFit="1" customWidth="1"/>
    <col min="10815" max="11001" width="8" style="1943" customWidth="1"/>
    <col min="11002" max="11002" width="8.85546875" style="1943" bestFit="1" customWidth="1"/>
    <col min="11003" max="11008" width="8.85546875" style="1943"/>
    <col min="11009" max="11009" width="4.85546875" style="1943" customWidth="1"/>
    <col min="11010" max="11010" width="42" style="1943" customWidth="1"/>
    <col min="11011" max="11011" width="12.42578125" style="1943" customWidth="1"/>
    <col min="11012" max="11012" width="13.42578125" style="1943" customWidth="1"/>
    <col min="11013" max="11013" width="22" style="1943" customWidth="1"/>
    <col min="11014" max="11014" width="3.140625" style="1943" customWidth="1"/>
    <col min="11015" max="11015" width="22.85546875" style="1943" customWidth="1"/>
    <col min="11016" max="11018" width="0" style="1943" hidden="1" customWidth="1"/>
    <col min="11019" max="11019" width="0.5703125" style="1943" customWidth="1"/>
    <col min="11020" max="11021" width="0" style="1943" hidden="1" customWidth="1"/>
    <col min="11022" max="11022" width="49.5703125" style="1943" customWidth="1"/>
    <col min="11023" max="11023" width="16.5703125" style="1943" customWidth="1"/>
    <col min="11024" max="11024" width="13.7109375" style="1943" customWidth="1"/>
    <col min="11025" max="11025" width="29.5703125" style="1943" customWidth="1"/>
    <col min="11026" max="11026" width="18.28515625" style="1943" customWidth="1"/>
    <col min="11027" max="11027" width="14.28515625" style="1943" customWidth="1"/>
    <col min="11028" max="11028" width="17.28515625" style="1943" customWidth="1"/>
    <col min="11029" max="11029" width="17.5703125" style="1943" customWidth="1"/>
    <col min="11030" max="11030" width="17.28515625" style="1943" customWidth="1"/>
    <col min="11031" max="11031" width="16.42578125" style="1943" customWidth="1"/>
    <col min="11032" max="11032" width="17" style="1943" customWidth="1"/>
    <col min="11033" max="11033" width="18.28515625" style="1943" customWidth="1"/>
    <col min="11034" max="11034" width="17.5703125" style="1943" customWidth="1"/>
    <col min="11035" max="11035" width="5.28515625" style="1943" customWidth="1"/>
    <col min="11036" max="11036" width="15.140625" style="1943" bestFit="1" customWidth="1"/>
    <col min="11037" max="11038" width="8" style="1943" customWidth="1"/>
    <col min="11039" max="11039" width="2.85546875" style="1943" customWidth="1"/>
    <col min="11040" max="11068" width="8" style="1943" customWidth="1"/>
    <col min="11069" max="11069" width="15.85546875" style="1943" bestFit="1" customWidth="1"/>
    <col min="11070" max="11070" width="17" style="1943" bestFit="1" customWidth="1"/>
    <col min="11071" max="11257" width="8" style="1943" customWidth="1"/>
    <col min="11258" max="11258" width="8.85546875" style="1943" bestFit="1" customWidth="1"/>
    <col min="11259" max="11264" width="8.85546875" style="1943"/>
    <col min="11265" max="11265" width="4.85546875" style="1943" customWidth="1"/>
    <col min="11266" max="11266" width="42" style="1943" customWidth="1"/>
    <col min="11267" max="11267" width="12.42578125" style="1943" customWidth="1"/>
    <col min="11268" max="11268" width="13.42578125" style="1943" customWidth="1"/>
    <col min="11269" max="11269" width="22" style="1943" customWidth="1"/>
    <col min="11270" max="11270" width="3.140625" style="1943" customWidth="1"/>
    <col min="11271" max="11271" width="22.85546875" style="1943" customWidth="1"/>
    <col min="11272" max="11274" width="0" style="1943" hidden="1" customWidth="1"/>
    <col min="11275" max="11275" width="0.5703125" style="1943" customWidth="1"/>
    <col min="11276" max="11277" width="0" style="1943" hidden="1" customWidth="1"/>
    <col min="11278" max="11278" width="49.5703125" style="1943" customWidth="1"/>
    <col min="11279" max="11279" width="16.5703125" style="1943" customWidth="1"/>
    <col min="11280" max="11280" width="13.7109375" style="1943" customWidth="1"/>
    <col min="11281" max="11281" width="29.5703125" style="1943" customWidth="1"/>
    <col min="11282" max="11282" width="18.28515625" style="1943" customWidth="1"/>
    <col min="11283" max="11283" width="14.28515625" style="1943" customWidth="1"/>
    <col min="11284" max="11284" width="17.28515625" style="1943" customWidth="1"/>
    <col min="11285" max="11285" width="17.5703125" style="1943" customWidth="1"/>
    <col min="11286" max="11286" width="17.28515625" style="1943" customWidth="1"/>
    <col min="11287" max="11287" width="16.42578125" style="1943" customWidth="1"/>
    <col min="11288" max="11288" width="17" style="1943" customWidth="1"/>
    <col min="11289" max="11289" width="18.28515625" style="1943" customWidth="1"/>
    <col min="11290" max="11290" width="17.5703125" style="1943" customWidth="1"/>
    <col min="11291" max="11291" width="5.28515625" style="1943" customWidth="1"/>
    <col min="11292" max="11292" width="15.140625" style="1943" bestFit="1" customWidth="1"/>
    <col min="11293" max="11294" width="8" style="1943" customWidth="1"/>
    <col min="11295" max="11295" width="2.85546875" style="1943" customWidth="1"/>
    <col min="11296" max="11324" width="8" style="1943" customWidth="1"/>
    <col min="11325" max="11325" width="15.85546875" style="1943" bestFit="1" customWidth="1"/>
    <col min="11326" max="11326" width="17" style="1943" bestFit="1" customWidth="1"/>
    <col min="11327" max="11513" width="8" style="1943" customWidth="1"/>
    <col min="11514" max="11514" width="8.85546875" style="1943" bestFit="1" customWidth="1"/>
    <col min="11515" max="11520" width="8.85546875" style="1943"/>
    <col min="11521" max="11521" width="4.85546875" style="1943" customWidth="1"/>
    <col min="11522" max="11522" width="42" style="1943" customWidth="1"/>
    <col min="11523" max="11523" width="12.42578125" style="1943" customWidth="1"/>
    <col min="11524" max="11524" width="13.42578125" style="1943" customWidth="1"/>
    <col min="11525" max="11525" width="22" style="1943" customWidth="1"/>
    <col min="11526" max="11526" width="3.140625" style="1943" customWidth="1"/>
    <col min="11527" max="11527" width="22.85546875" style="1943" customWidth="1"/>
    <col min="11528" max="11530" width="0" style="1943" hidden="1" customWidth="1"/>
    <col min="11531" max="11531" width="0.5703125" style="1943" customWidth="1"/>
    <col min="11532" max="11533" width="0" style="1943" hidden="1" customWidth="1"/>
    <col min="11534" max="11534" width="49.5703125" style="1943" customWidth="1"/>
    <col min="11535" max="11535" width="16.5703125" style="1943" customWidth="1"/>
    <col min="11536" max="11536" width="13.7109375" style="1943" customWidth="1"/>
    <col min="11537" max="11537" width="29.5703125" style="1943" customWidth="1"/>
    <col min="11538" max="11538" width="18.28515625" style="1943" customWidth="1"/>
    <col min="11539" max="11539" width="14.28515625" style="1943" customWidth="1"/>
    <col min="11540" max="11540" width="17.28515625" style="1943" customWidth="1"/>
    <col min="11541" max="11541" width="17.5703125" style="1943" customWidth="1"/>
    <col min="11542" max="11542" width="17.28515625" style="1943" customWidth="1"/>
    <col min="11543" max="11543" width="16.42578125" style="1943" customWidth="1"/>
    <col min="11544" max="11544" width="17" style="1943" customWidth="1"/>
    <col min="11545" max="11545" width="18.28515625" style="1943" customWidth="1"/>
    <col min="11546" max="11546" width="17.5703125" style="1943" customWidth="1"/>
    <col min="11547" max="11547" width="5.28515625" style="1943" customWidth="1"/>
    <col min="11548" max="11548" width="15.140625" style="1943" bestFit="1" customWidth="1"/>
    <col min="11549" max="11550" width="8" style="1943" customWidth="1"/>
    <col min="11551" max="11551" width="2.85546875" style="1943" customWidth="1"/>
    <col min="11552" max="11580" width="8" style="1943" customWidth="1"/>
    <col min="11581" max="11581" width="15.85546875" style="1943" bestFit="1" customWidth="1"/>
    <col min="11582" max="11582" width="17" style="1943" bestFit="1" customWidth="1"/>
    <col min="11583" max="11769" width="8" style="1943" customWidth="1"/>
    <col min="11770" max="11770" width="8.85546875" style="1943" bestFit="1" customWidth="1"/>
    <col min="11771" max="11776" width="8.85546875" style="1943"/>
    <col min="11777" max="11777" width="4.85546875" style="1943" customWidth="1"/>
    <col min="11778" max="11778" width="42" style="1943" customWidth="1"/>
    <col min="11779" max="11779" width="12.42578125" style="1943" customWidth="1"/>
    <col min="11780" max="11780" width="13.42578125" style="1943" customWidth="1"/>
    <col min="11781" max="11781" width="22" style="1943" customWidth="1"/>
    <col min="11782" max="11782" width="3.140625" style="1943" customWidth="1"/>
    <col min="11783" max="11783" width="22.85546875" style="1943" customWidth="1"/>
    <col min="11784" max="11786" width="0" style="1943" hidden="1" customWidth="1"/>
    <col min="11787" max="11787" width="0.5703125" style="1943" customWidth="1"/>
    <col min="11788" max="11789" width="0" style="1943" hidden="1" customWidth="1"/>
    <col min="11790" max="11790" width="49.5703125" style="1943" customWidth="1"/>
    <col min="11791" max="11791" width="16.5703125" style="1943" customWidth="1"/>
    <col min="11792" max="11792" width="13.7109375" style="1943" customWidth="1"/>
    <col min="11793" max="11793" width="29.5703125" style="1943" customWidth="1"/>
    <col min="11794" max="11794" width="18.28515625" style="1943" customWidth="1"/>
    <col min="11795" max="11795" width="14.28515625" style="1943" customWidth="1"/>
    <col min="11796" max="11796" width="17.28515625" style="1943" customWidth="1"/>
    <col min="11797" max="11797" width="17.5703125" style="1943" customWidth="1"/>
    <col min="11798" max="11798" width="17.28515625" style="1943" customWidth="1"/>
    <col min="11799" max="11799" width="16.42578125" style="1943" customWidth="1"/>
    <col min="11800" max="11800" width="17" style="1943" customWidth="1"/>
    <col min="11801" max="11801" width="18.28515625" style="1943" customWidth="1"/>
    <col min="11802" max="11802" width="17.5703125" style="1943" customWidth="1"/>
    <col min="11803" max="11803" width="5.28515625" style="1943" customWidth="1"/>
    <col min="11804" max="11804" width="15.140625" style="1943" bestFit="1" customWidth="1"/>
    <col min="11805" max="11806" width="8" style="1943" customWidth="1"/>
    <col min="11807" max="11807" width="2.85546875" style="1943" customWidth="1"/>
    <col min="11808" max="11836" width="8" style="1943" customWidth="1"/>
    <col min="11837" max="11837" width="15.85546875" style="1943" bestFit="1" customWidth="1"/>
    <col min="11838" max="11838" width="17" style="1943" bestFit="1" customWidth="1"/>
    <col min="11839" max="12025" width="8" style="1943" customWidth="1"/>
    <col min="12026" max="12026" width="8.85546875" style="1943" bestFit="1" customWidth="1"/>
    <col min="12027" max="12032" width="8.85546875" style="1943"/>
    <col min="12033" max="12033" width="4.85546875" style="1943" customWidth="1"/>
    <col min="12034" max="12034" width="42" style="1943" customWidth="1"/>
    <col min="12035" max="12035" width="12.42578125" style="1943" customWidth="1"/>
    <col min="12036" max="12036" width="13.42578125" style="1943" customWidth="1"/>
    <col min="12037" max="12037" width="22" style="1943" customWidth="1"/>
    <col min="12038" max="12038" width="3.140625" style="1943" customWidth="1"/>
    <col min="12039" max="12039" width="22.85546875" style="1943" customWidth="1"/>
    <col min="12040" max="12042" width="0" style="1943" hidden="1" customWidth="1"/>
    <col min="12043" max="12043" width="0.5703125" style="1943" customWidth="1"/>
    <col min="12044" max="12045" width="0" style="1943" hidden="1" customWidth="1"/>
    <col min="12046" max="12046" width="49.5703125" style="1943" customWidth="1"/>
    <col min="12047" max="12047" width="16.5703125" style="1943" customWidth="1"/>
    <col min="12048" max="12048" width="13.7109375" style="1943" customWidth="1"/>
    <col min="12049" max="12049" width="29.5703125" style="1943" customWidth="1"/>
    <col min="12050" max="12050" width="18.28515625" style="1943" customWidth="1"/>
    <col min="12051" max="12051" width="14.28515625" style="1943" customWidth="1"/>
    <col min="12052" max="12052" width="17.28515625" style="1943" customWidth="1"/>
    <col min="12053" max="12053" width="17.5703125" style="1943" customWidth="1"/>
    <col min="12054" max="12054" width="17.28515625" style="1943" customWidth="1"/>
    <col min="12055" max="12055" width="16.42578125" style="1943" customWidth="1"/>
    <col min="12056" max="12056" width="17" style="1943" customWidth="1"/>
    <col min="12057" max="12057" width="18.28515625" style="1943" customWidth="1"/>
    <col min="12058" max="12058" width="17.5703125" style="1943" customWidth="1"/>
    <col min="12059" max="12059" width="5.28515625" style="1943" customWidth="1"/>
    <col min="12060" max="12060" width="15.140625" style="1943" bestFit="1" customWidth="1"/>
    <col min="12061" max="12062" width="8" style="1943" customWidth="1"/>
    <col min="12063" max="12063" width="2.85546875" style="1943" customWidth="1"/>
    <col min="12064" max="12092" width="8" style="1943" customWidth="1"/>
    <col min="12093" max="12093" width="15.85546875" style="1943" bestFit="1" customWidth="1"/>
    <col min="12094" max="12094" width="17" style="1943" bestFit="1" customWidth="1"/>
    <col min="12095" max="12281" width="8" style="1943" customWidth="1"/>
    <col min="12282" max="12282" width="8.85546875" style="1943" bestFit="1" customWidth="1"/>
    <col min="12283" max="12288" width="8.85546875" style="1943"/>
    <col min="12289" max="12289" width="4.85546875" style="1943" customWidth="1"/>
    <col min="12290" max="12290" width="42" style="1943" customWidth="1"/>
    <col min="12291" max="12291" width="12.42578125" style="1943" customWidth="1"/>
    <col min="12292" max="12292" width="13.42578125" style="1943" customWidth="1"/>
    <col min="12293" max="12293" width="22" style="1943" customWidth="1"/>
    <col min="12294" max="12294" width="3.140625" style="1943" customWidth="1"/>
    <col min="12295" max="12295" width="22.85546875" style="1943" customWidth="1"/>
    <col min="12296" max="12298" width="0" style="1943" hidden="1" customWidth="1"/>
    <col min="12299" max="12299" width="0.5703125" style="1943" customWidth="1"/>
    <col min="12300" max="12301" width="0" style="1943" hidden="1" customWidth="1"/>
    <col min="12302" max="12302" width="49.5703125" style="1943" customWidth="1"/>
    <col min="12303" max="12303" width="16.5703125" style="1943" customWidth="1"/>
    <col min="12304" max="12304" width="13.7109375" style="1943" customWidth="1"/>
    <col min="12305" max="12305" width="29.5703125" style="1943" customWidth="1"/>
    <col min="12306" max="12306" width="18.28515625" style="1943" customWidth="1"/>
    <col min="12307" max="12307" width="14.28515625" style="1943" customWidth="1"/>
    <col min="12308" max="12308" width="17.28515625" style="1943" customWidth="1"/>
    <col min="12309" max="12309" width="17.5703125" style="1943" customWidth="1"/>
    <col min="12310" max="12310" width="17.28515625" style="1943" customWidth="1"/>
    <col min="12311" max="12311" width="16.42578125" style="1943" customWidth="1"/>
    <col min="12312" max="12312" width="17" style="1943" customWidth="1"/>
    <col min="12313" max="12313" width="18.28515625" style="1943" customWidth="1"/>
    <col min="12314" max="12314" width="17.5703125" style="1943" customWidth="1"/>
    <col min="12315" max="12315" width="5.28515625" style="1943" customWidth="1"/>
    <col min="12316" max="12316" width="15.140625" style="1943" bestFit="1" customWidth="1"/>
    <col min="12317" max="12318" width="8" style="1943" customWidth="1"/>
    <col min="12319" max="12319" width="2.85546875" style="1943" customWidth="1"/>
    <col min="12320" max="12348" width="8" style="1943" customWidth="1"/>
    <col min="12349" max="12349" width="15.85546875" style="1943" bestFit="1" customWidth="1"/>
    <col min="12350" max="12350" width="17" style="1943" bestFit="1" customWidth="1"/>
    <col min="12351" max="12537" width="8" style="1943" customWidth="1"/>
    <col min="12538" max="12538" width="8.85546875" style="1943" bestFit="1" customWidth="1"/>
    <col min="12539" max="12544" width="8.85546875" style="1943"/>
    <col min="12545" max="12545" width="4.85546875" style="1943" customWidth="1"/>
    <col min="12546" max="12546" width="42" style="1943" customWidth="1"/>
    <col min="12547" max="12547" width="12.42578125" style="1943" customWidth="1"/>
    <col min="12548" max="12548" width="13.42578125" style="1943" customWidth="1"/>
    <col min="12549" max="12549" width="22" style="1943" customWidth="1"/>
    <col min="12550" max="12550" width="3.140625" style="1943" customWidth="1"/>
    <col min="12551" max="12551" width="22.85546875" style="1943" customWidth="1"/>
    <col min="12552" max="12554" width="0" style="1943" hidden="1" customWidth="1"/>
    <col min="12555" max="12555" width="0.5703125" style="1943" customWidth="1"/>
    <col min="12556" max="12557" width="0" style="1943" hidden="1" customWidth="1"/>
    <col min="12558" max="12558" width="49.5703125" style="1943" customWidth="1"/>
    <col min="12559" max="12559" width="16.5703125" style="1943" customWidth="1"/>
    <col min="12560" max="12560" width="13.7109375" style="1943" customWidth="1"/>
    <col min="12561" max="12561" width="29.5703125" style="1943" customWidth="1"/>
    <col min="12562" max="12562" width="18.28515625" style="1943" customWidth="1"/>
    <col min="12563" max="12563" width="14.28515625" style="1943" customWidth="1"/>
    <col min="12564" max="12564" width="17.28515625" style="1943" customWidth="1"/>
    <col min="12565" max="12565" width="17.5703125" style="1943" customWidth="1"/>
    <col min="12566" max="12566" width="17.28515625" style="1943" customWidth="1"/>
    <col min="12567" max="12567" width="16.42578125" style="1943" customWidth="1"/>
    <col min="12568" max="12568" width="17" style="1943" customWidth="1"/>
    <col min="12569" max="12569" width="18.28515625" style="1943" customWidth="1"/>
    <col min="12570" max="12570" width="17.5703125" style="1943" customWidth="1"/>
    <col min="12571" max="12571" width="5.28515625" style="1943" customWidth="1"/>
    <col min="12572" max="12572" width="15.140625" style="1943" bestFit="1" customWidth="1"/>
    <col min="12573" max="12574" width="8" style="1943" customWidth="1"/>
    <col min="12575" max="12575" width="2.85546875" style="1943" customWidth="1"/>
    <col min="12576" max="12604" width="8" style="1943" customWidth="1"/>
    <col min="12605" max="12605" width="15.85546875" style="1943" bestFit="1" customWidth="1"/>
    <col min="12606" max="12606" width="17" style="1943" bestFit="1" customWidth="1"/>
    <col min="12607" max="12793" width="8" style="1943" customWidth="1"/>
    <col min="12794" max="12794" width="8.85546875" style="1943" bestFit="1" customWidth="1"/>
    <col min="12795" max="12800" width="8.85546875" style="1943"/>
    <col min="12801" max="12801" width="4.85546875" style="1943" customWidth="1"/>
    <col min="12802" max="12802" width="42" style="1943" customWidth="1"/>
    <col min="12803" max="12803" width="12.42578125" style="1943" customWidth="1"/>
    <col min="12804" max="12804" width="13.42578125" style="1943" customWidth="1"/>
    <col min="12805" max="12805" width="22" style="1943" customWidth="1"/>
    <col min="12806" max="12806" width="3.140625" style="1943" customWidth="1"/>
    <col min="12807" max="12807" width="22.85546875" style="1943" customWidth="1"/>
    <col min="12808" max="12810" width="0" style="1943" hidden="1" customWidth="1"/>
    <col min="12811" max="12811" width="0.5703125" style="1943" customWidth="1"/>
    <col min="12812" max="12813" width="0" style="1943" hidden="1" customWidth="1"/>
    <col min="12814" max="12814" width="49.5703125" style="1943" customWidth="1"/>
    <col min="12815" max="12815" width="16.5703125" style="1943" customWidth="1"/>
    <col min="12816" max="12816" width="13.7109375" style="1943" customWidth="1"/>
    <col min="12817" max="12817" width="29.5703125" style="1943" customWidth="1"/>
    <col min="12818" max="12818" width="18.28515625" style="1943" customWidth="1"/>
    <col min="12819" max="12819" width="14.28515625" style="1943" customWidth="1"/>
    <col min="12820" max="12820" width="17.28515625" style="1943" customWidth="1"/>
    <col min="12821" max="12821" width="17.5703125" style="1943" customWidth="1"/>
    <col min="12822" max="12822" width="17.28515625" style="1943" customWidth="1"/>
    <col min="12823" max="12823" width="16.42578125" style="1943" customWidth="1"/>
    <col min="12824" max="12824" width="17" style="1943" customWidth="1"/>
    <col min="12825" max="12825" width="18.28515625" style="1943" customWidth="1"/>
    <col min="12826" max="12826" width="17.5703125" style="1943" customWidth="1"/>
    <col min="12827" max="12827" width="5.28515625" style="1943" customWidth="1"/>
    <col min="12828" max="12828" width="15.140625" style="1943" bestFit="1" customWidth="1"/>
    <col min="12829" max="12830" width="8" style="1943" customWidth="1"/>
    <col min="12831" max="12831" width="2.85546875" style="1943" customWidth="1"/>
    <col min="12832" max="12860" width="8" style="1943" customWidth="1"/>
    <col min="12861" max="12861" width="15.85546875" style="1943" bestFit="1" customWidth="1"/>
    <col min="12862" max="12862" width="17" style="1943" bestFit="1" customWidth="1"/>
    <col min="12863" max="13049" width="8" style="1943" customWidth="1"/>
    <col min="13050" max="13050" width="8.85546875" style="1943" bestFit="1" customWidth="1"/>
    <col min="13051" max="13056" width="8.85546875" style="1943"/>
    <col min="13057" max="13057" width="4.85546875" style="1943" customWidth="1"/>
    <col min="13058" max="13058" width="42" style="1943" customWidth="1"/>
    <col min="13059" max="13059" width="12.42578125" style="1943" customWidth="1"/>
    <col min="13060" max="13060" width="13.42578125" style="1943" customWidth="1"/>
    <col min="13061" max="13061" width="22" style="1943" customWidth="1"/>
    <col min="13062" max="13062" width="3.140625" style="1943" customWidth="1"/>
    <col min="13063" max="13063" width="22.85546875" style="1943" customWidth="1"/>
    <col min="13064" max="13066" width="0" style="1943" hidden="1" customWidth="1"/>
    <col min="13067" max="13067" width="0.5703125" style="1943" customWidth="1"/>
    <col min="13068" max="13069" width="0" style="1943" hidden="1" customWidth="1"/>
    <col min="13070" max="13070" width="49.5703125" style="1943" customWidth="1"/>
    <col min="13071" max="13071" width="16.5703125" style="1943" customWidth="1"/>
    <col min="13072" max="13072" width="13.7109375" style="1943" customWidth="1"/>
    <col min="13073" max="13073" width="29.5703125" style="1943" customWidth="1"/>
    <col min="13074" max="13074" width="18.28515625" style="1943" customWidth="1"/>
    <col min="13075" max="13075" width="14.28515625" style="1943" customWidth="1"/>
    <col min="13076" max="13076" width="17.28515625" style="1943" customWidth="1"/>
    <col min="13077" max="13077" width="17.5703125" style="1943" customWidth="1"/>
    <col min="13078" max="13078" width="17.28515625" style="1943" customWidth="1"/>
    <col min="13079" max="13079" width="16.42578125" style="1943" customWidth="1"/>
    <col min="13080" max="13080" width="17" style="1943" customWidth="1"/>
    <col min="13081" max="13081" width="18.28515625" style="1943" customWidth="1"/>
    <col min="13082" max="13082" width="17.5703125" style="1943" customWidth="1"/>
    <col min="13083" max="13083" width="5.28515625" style="1943" customWidth="1"/>
    <col min="13084" max="13084" width="15.140625" style="1943" bestFit="1" customWidth="1"/>
    <col min="13085" max="13086" width="8" style="1943" customWidth="1"/>
    <col min="13087" max="13087" width="2.85546875" style="1943" customWidth="1"/>
    <col min="13088" max="13116" width="8" style="1943" customWidth="1"/>
    <col min="13117" max="13117" width="15.85546875" style="1943" bestFit="1" customWidth="1"/>
    <col min="13118" max="13118" width="17" style="1943" bestFit="1" customWidth="1"/>
    <col min="13119" max="13305" width="8" style="1943" customWidth="1"/>
    <col min="13306" max="13306" width="8.85546875" style="1943" bestFit="1" customWidth="1"/>
    <col min="13307" max="13312" width="8.85546875" style="1943"/>
    <col min="13313" max="13313" width="4.85546875" style="1943" customWidth="1"/>
    <col min="13314" max="13314" width="42" style="1943" customWidth="1"/>
    <col min="13315" max="13315" width="12.42578125" style="1943" customWidth="1"/>
    <col min="13316" max="13316" width="13.42578125" style="1943" customWidth="1"/>
    <col min="13317" max="13317" width="22" style="1943" customWidth="1"/>
    <col min="13318" max="13318" width="3.140625" style="1943" customWidth="1"/>
    <col min="13319" max="13319" width="22.85546875" style="1943" customWidth="1"/>
    <col min="13320" max="13322" width="0" style="1943" hidden="1" customWidth="1"/>
    <col min="13323" max="13323" width="0.5703125" style="1943" customWidth="1"/>
    <col min="13324" max="13325" width="0" style="1943" hidden="1" customWidth="1"/>
    <col min="13326" max="13326" width="49.5703125" style="1943" customWidth="1"/>
    <col min="13327" max="13327" width="16.5703125" style="1943" customWidth="1"/>
    <col min="13328" max="13328" width="13.7109375" style="1943" customWidth="1"/>
    <col min="13329" max="13329" width="29.5703125" style="1943" customWidth="1"/>
    <col min="13330" max="13330" width="18.28515625" style="1943" customWidth="1"/>
    <col min="13331" max="13331" width="14.28515625" style="1943" customWidth="1"/>
    <col min="13332" max="13332" width="17.28515625" style="1943" customWidth="1"/>
    <col min="13333" max="13333" width="17.5703125" style="1943" customWidth="1"/>
    <col min="13334" max="13334" width="17.28515625" style="1943" customWidth="1"/>
    <col min="13335" max="13335" width="16.42578125" style="1943" customWidth="1"/>
    <col min="13336" max="13336" width="17" style="1943" customWidth="1"/>
    <col min="13337" max="13337" width="18.28515625" style="1943" customWidth="1"/>
    <col min="13338" max="13338" width="17.5703125" style="1943" customWidth="1"/>
    <col min="13339" max="13339" width="5.28515625" style="1943" customWidth="1"/>
    <col min="13340" max="13340" width="15.140625" style="1943" bestFit="1" customWidth="1"/>
    <col min="13341" max="13342" width="8" style="1943" customWidth="1"/>
    <col min="13343" max="13343" width="2.85546875" style="1943" customWidth="1"/>
    <col min="13344" max="13372" width="8" style="1943" customWidth="1"/>
    <col min="13373" max="13373" width="15.85546875" style="1943" bestFit="1" customWidth="1"/>
    <col min="13374" max="13374" width="17" style="1943" bestFit="1" customWidth="1"/>
    <col min="13375" max="13561" width="8" style="1943" customWidth="1"/>
    <col min="13562" max="13562" width="8.85546875" style="1943" bestFit="1" customWidth="1"/>
    <col min="13563" max="13568" width="8.85546875" style="1943"/>
    <col min="13569" max="13569" width="4.85546875" style="1943" customWidth="1"/>
    <col min="13570" max="13570" width="42" style="1943" customWidth="1"/>
    <col min="13571" max="13571" width="12.42578125" style="1943" customWidth="1"/>
    <col min="13572" max="13572" width="13.42578125" style="1943" customWidth="1"/>
    <col min="13573" max="13573" width="22" style="1943" customWidth="1"/>
    <col min="13574" max="13574" width="3.140625" style="1943" customWidth="1"/>
    <col min="13575" max="13575" width="22.85546875" style="1943" customWidth="1"/>
    <col min="13576" max="13578" width="0" style="1943" hidden="1" customWidth="1"/>
    <col min="13579" max="13579" width="0.5703125" style="1943" customWidth="1"/>
    <col min="13580" max="13581" width="0" style="1943" hidden="1" customWidth="1"/>
    <col min="13582" max="13582" width="49.5703125" style="1943" customWidth="1"/>
    <col min="13583" max="13583" width="16.5703125" style="1943" customWidth="1"/>
    <col min="13584" max="13584" width="13.7109375" style="1943" customWidth="1"/>
    <col min="13585" max="13585" width="29.5703125" style="1943" customWidth="1"/>
    <col min="13586" max="13586" width="18.28515625" style="1943" customWidth="1"/>
    <col min="13587" max="13587" width="14.28515625" style="1943" customWidth="1"/>
    <col min="13588" max="13588" width="17.28515625" style="1943" customWidth="1"/>
    <col min="13589" max="13589" width="17.5703125" style="1943" customWidth="1"/>
    <col min="13590" max="13590" width="17.28515625" style="1943" customWidth="1"/>
    <col min="13591" max="13591" width="16.42578125" style="1943" customWidth="1"/>
    <col min="13592" max="13592" width="17" style="1943" customWidth="1"/>
    <col min="13593" max="13593" width="18.28515625" style="1943" customWidth="1"/>
    <col min="13594" max="13594" width="17.5703125" style="1943" customWidth="1"/>
    <col min="13595" max="13595" width="5.28515625" style="1943" customWidth="1"/>
    <col min="13596" max="13596" width="15.140625" style="1943" bestFit="1" customWidth="1"/>
    <col min="13597" max="13598" width="8" style="1943" customWidth="1"/>
    <col min="13599" max="13599" width="2.85546875" style="1943" customWidth="1"/>
    <col min="13600" max="13628" width="8" style="1943" customWidth="1"/>
    <col min="13629" max="13629" width="15.85546875" style="1943" bestFit="1" customWidth="1"/>
    <col min="13630" max="13630" width="17" style="1943" bestFit="1" customWidth="1"/>
    <col min="13631" max="13817" width="8" style="1943" customWidth="1"/>
    <col min="13818" max="13818" width="8.85546875" style="1943" bestFit="1" customWidth="1"/>
    <col min="13819" max="13824" width="8.85546875" style="1943"/>
    <col min="13825" max="13825" width="4.85546875" style="1943" customWidth="1"/>
    <col min="13826" max="13826" width="42" style="1943" customWidth="1"/>
    <col min="13827" max="13827" width="12.42578125" style="1943" customWidth="1"/>
    <col min="13828" max="13828" width="13.42578125" style="1943" customWidth="1"/>
    <col min="13829" max="13829" width="22" style="1943" customWidth="1"/>
    <col min="13830" max="13830" width="3.140625" style="1943" customWidth="1"/>
    <col min="13831" max="13831" width="22.85546875" style="1943" customWidth="1"/>
    <col min="13832" max="13834" width="0" style="1943" hidden="1" customWidth="1"/>
    <col min="13835" max="13835" width="0.5703125" style="1943" customWidth="1"/>
    <col min="13836" max="13837" width="0" style="1943" hidden="1" customWidth="1"/>
    <col min="13838" max="13838" width="49.5703125" style="1943" customWidth="1"/>
    <col min="13839" max="13839" width="16.5703125" style="1943" customWidth="1"/>
    <col min="13840" max="13840" width="13.7109375" style="1943" customWidth="1"/>
    <col min="13841" max="13841" width="29.5703125" style="1943" customWidth="1"/>
    <col min="13842" max="13842" width="18.28515625" style="1943" customWidth="1"/>
    <col min="13843" max="13843" width="14.28515625" style="1943" customWidth="1"/>
    <col min="13844" max="13844" width="17.28515625" style="1943" customWidth="1"/>
    <col min="13845" max="13845" width="17.5703125" style="1943" customWidth="1"/>
    <col min="13846" max="13846" width="17.28515625" style="1943" customWidth="1"/>
    <col min="13847" max="13847" width="16.42578125" style="1943" customWidth="1"/>
    <col min="13848" max="13848" width="17" style="1943" customWidth="1"/>
    <col min="13849" max="13849" width="18.28515625" style="1943" customWidth="1"/>
    <col min="13850" max="13850" width="17.5703125" style="1943" customWidth="1"/>
    <col min="13851" max="13851" width="5.28515625" style="1943" customWidth="1"/>
    <col min="13852" max="13852" width="15.140625" style="1943" bestFit="1" customWidth="1"/>
    <col min="13853" max="13854" width="8" style="1943" customWidth="1"/>
    <col min="13855" max="13855" width="2.85546875" style="1943" customWidth="1"/>
    <col min="13856" max="13884" width="8" style="1943" customWidth="1"/>
    <col min="13885" max="13885" width="15.85546875" style="1943" bestFit="1" customWidth="1"/>
    <col min="13886" max="13886" width="17" style="1943" bestFit="1" customWidth="1"/>
    <col min="13887" max="14073" width="8" style="1943" customWidth="1"/>
    <col min="14074" max="14074" width="8.85546875" style="1943" bestFit="1" customWidth="1"/>
    <col min="14075" max="14080" width="8.85546875" style="1943"/>
    <col min="14081" max="14081" width="4.85546875" style="1943" customWidth="1"/>
    <col min="14082" max="14082" width="42" style="1943" customWidth="1"/>
    <col min="14083" max="14083" width="12.42578125" style="1943" customWidth="1"/>
    <col min="14084" max="14084" width="13.42578125" style="1943" customWidth="1"/>
    <col min="14085" max="14085" width="22" style="1943" customWidth="1"/>
    <col min="14086" max="14086" width="3.140625" style="1943" customWidth="1"/>
    <col min="14087" max="14087" width="22.85546875" style="1943" customWidth="1"/>
    <col min="14088" max="14090" width="0" style="1943" hidden="1" customWidth="1"/>
    <col min="14091" max="14091" width="0.5703125" style="1943" customWidth="1"/>
    <col min="14092" max="14093" width="0" style="1943" hidden="1" customWidth="1"/>
    <col min="14094" max="14094" width="49.5703125" style="1943" customWidth="1"/>
    <col min="14095" max="14095" width="16.5703125" style="1943" customWidth="1"/>
    <col min="14096" max="14096" width="13.7109375" style="1943" customWidth="1"/>
    <col min="14097" max="14097" width="29.5703125" style="1943" customWidth="1"/>
    <col min="14098" max="14098" width="18.28515625" style="1943" customWidth="1"/>
    <col min="14099" max="14099" width="14.28515625" style="1943" customWidth="1"/>
    <col min="14100" max="14100" width="17.28515625" style="1943" customWidth="1"/>
    <col min="14101" max="14101" width="17.5703125" style="1943" customWidth="1"/>
    <col min="14102" max="14102" width="17.28515625" style="1943" customWidth="1"/>
    <col min="14103" max="14103" width="16.42578125" style="1943" customWidth="1"/>
    <col min="14104" max="14104" width="17" style="1943" customWidth="1"/>
    <col min="14105" max="14105" width="18.28515625" style="1943" customWidth="1"/>
    <col min="14106" max="14106" width="17.5703125" style="1943" customWidth="1"/>
    <col min="14107" max="14107" width="5.28515625" style="1943" customWidth="1"/>
    <col min="14108" max="14108" width="15.140625" style="1943" bestFit="1" customWidth="1"/>
    <col min="14109" max="14110" width="8" style="1943" customWidth="1"/>
    <col min="14111" max="14111" width="2.85546875" style="1943" customWidth="1"/>
    <col min="14112" max="14140" width="8" style="1943" customWidth="1"/>
    <col min="14141" max="14141" width="15.85546875" style="1943" bestFit="1" customWidth="1"/>
    <col min="14142" max="14142" width="17" style="1943" bestFit="1" customWidth="1"/>
    <col min="14143" max="14329" width="8" style="1943" customWidth="1"/>
    <col min="14330" max="14330" width="8.85546875" style="1943" bestFit="1" customWidth="1"/>
    <col min="14331" max="14336" width="8.85546875" style="1943"/>
    <col min="14337" max="14337" width="4.85546875" style="1943" customWidth="1"/>
    <col min="14338" max="14338" width="42" style="1943" customWidth="1"/>
    <col min="14339" max="14339" width="12.42578125" style="1943" customWidth="1"/>
    <col min="14340" max="14340" width="13.42578125" style="1943" customWidth="1"/>
    <col min="14341" max="14341" width="22" style="1943" customWidth="1"/>
    <col min="14342" max="14342" width="3.140625" style="1943" customWidth="1"/>
    <col min="14343" max="14343" width="22.85546875" style="1943" customWidth="1"/>
    <col min="14344" max="14346" width="0" style="1943" hidden="1" customWidth="1"/>
    <col min="14347" max="14347" width="0.5703125" style="1943" customWidth="1"/>
    <col min="14348" max="14349" width="0" style="1943" hidden="1" customWidth="1"/>
    <col min="14350" max="14350" width="49.5703125" style="1943" customWidth="1"/>
    <col min="14351" max="14351" width="16.5703125" style="1943" customWidth="1"/>
    <col min="14352" max="14352" width="13.7109375" style="1943" customWidth="1"/>
    <col min="14353" max="14353" width="29.5703125" style="1943" customWidth="1"/>
    <col min="14354" max="14354" width="18.28515625" style="1943" customWidth="1"/>
    <col min="14355" max="14355" width="14.28515625" style="1943" customWidth="1"/>
    <col min="14356" max="14356" width="17.28515625" style="1943" customWidth="1"/>
    <col min="14357" max="14357" width="17.5703125" style="1943" customWidth="1"/>
    <col min="14358" max="14358" width="17.28515625" style="1943" customWidth="1"/>
    <col min="14359" max="14359" width="16.42578125" style="1943" customWidth="1"/>
    <col min="14360" max="14360" width="17" style="1943" customWidth="1"/>
    <col min="14361" max="14361" width="18.28515625" style="1943" customWidth="1"/>
    <col min="14362" max="14362" width="17.5703125" style="1943" customWidth="1"/>
    <col min="14363" max="14363" width="5.28515625" style="1943" customWidth="1"/>
    <col min="14364" max="14364" width="15.140625" style="1943" bestFit="1" customWidth="1"/>
    <col min="14365" max="14366" width="8" style="1943" customWidth="1"/>
    <col min="14367" max="14367" width="2.85546875" style="1943" customWidth="1"/>
    <col min="14368" max="14396" width="8" style="1943" customWidth="1"/>
    <col min="14397" max="14397" width="15.85546875" style="1943" bestFit="1" customWidth="1"/>
    <col min="14398" max="14398" width="17" style="1943" bestFit="1" customWidth="1"/>
    <col min="14399" max="14585" width="8" style="1943" customWidth="1"/>
    <col min="14586" max="14586" width="8.85546875" style="1943" bestFit="1" customWidth="1"/>
    <col min="14587" max="14592" width="8.85546875" style="1943"/>
    <col min="14593" max="14593" width="4.85546875" style="1943" customWidth="1"/>
    <col min="14594" max="14594" width="42" style="1943" customWidth="1"/>
    <col min="14595" max="14595" width="12.42578125" style="1943" customWidth="1"/>
    <col min="14596" max="14596" width="13.42578125" style="1943" customWidth="1"/>
    <col min="14597" max="14597" width="22" style="1943" customWidth="1"/>
    <col min="14598" max="14598" width="3.140625" style="1943" customWidth="1"/>
    <col min="14599" max="14599" width="22.85546875" style="1943" customWidth="1"/>
    <col min="14600" max="14602" width="0" style="1943" hidden="1" customWidth="1"/>
    <col min="14603" max="14603" width="0.5703125" style="1943" customWidth="1"/>
    <col min="14604" max="14605" width="0" style="1943" hidden="1" customWidth="1"/>
    <col min="14606" max="14606" width="49.5703125" style="1943" customWidth="1"/>
    <col min="14607" max="14607" width="16.5703125" style="1943" customWidth="1"/>
    <col min="14608" max="14608" width="13.7109375" style="1943" customWidth="1"/>
    <col min="14609" max="14609" width="29.5703125" style="1943" customWidth="1"/>
    <col min="14610" max="14610" width="18.28515625" style="1943" customWidth="1"/>
    <col min="14611" max="14611" width="14.28515625" style="1943" customWidth="1"/>
    <col min="14612" max="14612" width="17.28515625" style="1943" customWidth="1"/>
    <col min="14613" max="14613" width="17.5703125" style="1943" customWidth="1"/>
    <col min="14614" max="14614" width="17.28515625" style="1943" customWidth="1"/>
    <col min="14615" max="14615" width="16.42578125" style="1943" customWidth="1"/>
    <col min="14616" max="14616" width="17" style="1943" customWidth="1"/>
    <col min="14617" max="14617" width="18.28515625" style="1943" customWidth="1"/>
    <col min="14618" max="14618" width="17.5703125" style="1943" customWidth="1"/>
    <col min="14619" max="14619" width="5.28515625" style="1943" customWidth="1"/>
    <col min="14620" max="14620" width="15.140625" style="1943" bestFit="1" customWidth="1"/>
    <col min="14621" max="14622" width="8" style="1943" customWidth="1"/>
    <col min="14623" max="14623" width="2.85546875" style="1943" customWidth="1"/>
    <col min="14624" max="14652" width="8" style="1943" customWidth="1"/>
    <col min="14653" max="14653" width="15.85546875" style="1943" bestFit="1" customWidth="1"/>
    <col min="14654" max="14654" width="17" style="1943" bestFit="1" customWidth="1"/>
    <col min="14655" max="14841" width="8" style="1943" customWidth="1"/>
    <col min="14842" max="14842" width="8.85546875" style="1943" bestFit="1" customWidth="1"/>
    <col min="14843" max="14848" width="8.85546875" style="1943"/>
    <col min="14849" max="14849" width="4.85546875" style="1943" customWidth="1"/>
    <col min="14850" max="14850" width="42" style="1943" customWidth="1"/>
    <col min="14851" max="14851" width="12.42578125" style="1943" customWidth="1"/>
    <col min="14852" max="14852" width="13.42578125" style="1943" customWidth="1"/>
    <col min="14853" max="14853" width="22" style="1943" customWidth="1"/>
    <col min="14854" max="14854" width="3.140625" style="1943" customWidth="1"/>
    <col min="14855" max="14855" width="22.85546875" style="1943" customWidth="1"/>
    <col min="14856" max="14858" width="0" style="1943" hidden="1" customWidth="1"/>
    <col min="14859" max="14859" width="0.5703125" style="1943" customWidth="1"/>
    <col min="14860" max="14861" width="0" style="1943" hidden="1" customWidth="1"/>
    <col min="14862" max="14862" width="49.5703125" style="1943" customWidth="1"/>
    <col min="14863" max="14863" width="16.5703125" style="1943" customWidth="1"/>
    <col min="14864" max="14864" width="13.7109375" style="1943" customWidth="1"/>
    <col min="14865" max="14865" width="29.5703125" style="1943" customWidth="1"/>
    <col min="14866" max="14866" width="18.28515625" style="1943" customWidth="1"/>
    <col min="14867" max="14867" width="14.28515625" style="1943" customWidth="1"/>
    <col min="14868" max="14868" width="17.28515625" style="1943" customWidth="1"/>
    <col min="14869" max="14869" width="17.5703125" style="1943" customWidth="1"/>
    <col min="14870" max="14870" width="17.28515625" style="1943" customWidth="1"/>
    <col min="14871" max="14871" width="16.42578125" style="1943" customWidth="1"/>
    <col min="14872" max="14872" width="17" style="1943" customWidth="1"/>
    <col min="14873" max="14873" width="18.28515625" style="1943" customWidth="1"/>
    <col min="14874" max="14874" width="17.5703125" style="1943" customWidth="1"/>
    <col min="14875" max="14875" width="5.28515625" style="1943" customWidth="1"/>
    <col min="14876" max="14876" width="15.140625" style="1943" bestFit="1" customWidth="1"/>
    <col min="14877" max="14878" width="8" style="1943" customWidth="1"/>
    <col min="14879" max="14879" width="2.85546875" style="1943" customWidth="1"/>
    <col min="14880" max="14908" width="8" style="1943" customWidth="1"/>
    <col min="14909" max="14909" width="15.85546875" style="1943" bestFit="1" customWidth="1"/>
    <col min="14910" max="14910" width="17" style="1943" bestFit="1" customWidth="1"/>
    <col min="14911" max="15097" width="8" style="1943" customWidth="1"/>
    <col min="15098" max="15098" width="8.85546875" style="1943" bestFit="1" customWidth="1"/>
    <col min="15099" max="15104" width="8.85546875" style="1943"/>
    <col min="15105" max="15105" width="4.85546875" style="1943" customWidth="1"/>
    <col min="15106" max="15106" width="42" style="1943" customWidth="1"/>
    <col min="15107" max="15107" width="12.42578125" style="1943" customWidth="1"/>
    <col min="15108" max="15108" width="13.42578125" style="1943" customWidth="1"/>
    <col min="15109" max="15109" width="22" style="1943" customWidth="1"/>
    <col min="15110" max="15110" width="3.140625" style="1943" customWidth="1"/>
    <col min="15111" max="15111" width="22.85546875" style="1943" customWidth="1"/>
    <col min="15112" max="15114" width="0" style="1943" hidden="1" customWidth="1"/>
    <col min="15115" max="15115" width="0.5703125" style="1943" customWidth="1"/>
    <col min="15116" max="15117" width="0" style="1943" hidden="1" customWidth="1"/>
    <col min="15118" max="15118" width="49.5703125" style="1943" customWidth="1"/>
    <col min="15119" max="15119" width="16.5703125" style="1943" customWidth="1"/>
    <col min="15120" max="15120" width="13.7109375" style="1943" customWidth="1"/>
    <col min="15121" max="15121" width="29.5703125" style="1943" customWidth="1"/>
    <col min="15122" max="15122" width="18.28515625" style="1943" customWidth="1"/>
    <col min="15123" max="15123" width="14.28515625" style="1943" customWidth="1"/>
    <col min="15124" max="15124" width="17.28515625" style="1943" customWidth="1"/>
    <col min="15125" max="15125" width="17.5703125" style="1943" customWidth="1"/>
    <col min="15126" max="15126" width="17.28515625" style="1943" customWidth="1"/>
    <col min="15127" max="15127" width="16.42578125" style="1943" customWidth="1"/>
    <col min="15128" max="15128" width="17" style="1943" customWidth="1"/>
    <col min="15129" max="15129" width="18.28515625" style="1943" customWidth="1"/>
    <col min="15130" max="15130" width="17.5703125" style="1943" customWidth="1"/>
    <col min="15131" max="15131" width="5.28515625" style="1943" customWidth="1"/>
    <col min="15132" max="15132" width="15.140625" style="1943" bestFit="1" customWidth="1"/>
    <col min="15133" max="15134" width="8" style="1943" customWidth="1"/>
    <col min="15135" max="15135" width="2.85546875" style="1943" customWidth="1"/>
    <col min="15136" max="15164" width="8" style="1943" customWidth="1"/>
    <col min="15165" max="15165" width="15.85546875" style="1943" bestFit="1" customWidth="1"/>
    <col min="15166" max="15166" width="17" style="1943" bestFit="1" customWidth="1"/>
    <col min="15167" max="15353" width="8" style="1943" customWidth="1"/>
    <col min="15354" max="15354" width="8.85546875" style="1943" bestFit="1" customWidth="1"/>
    <col min="15355" max="15360" width="8.85546875" style="1943"/>
    <col min="15361" max="15361" width="4.85546875" style="1943" customWidth="1"/>
    <col min="15362" max="15362" width="42" style="1943" customWidth="1"/>
    <col min="15363" max="15363" width="12.42578125" style="1943" customWidth="1"/>
    <col min="15364" max="15364" width="13.42578125" style="1943" customWidth="1"/>
    <col min="15365" max="15365" width="22" style="1943" customWidth="1"/>
    <col min="15366" max="15366" width="3.140625" style="1943" customWidth="1"/>
    <col min="15367" max="15367" width="22.85546875" style="1943" customWidth="1"/>
    <col min="15368" max="15370" width="0" style="1943" hidden="1" customWidth="1"/>
    <col min="15371" max="15371" width="0.5703125" style="1943" customWidth="1"/>
    <col min="15372" max="15373" width="0" style="1943" hidden="1" customWidth="1"/>
    <col min="15374" max="15374" width="49.5703125" style="1943" customWidth="1"/>
    <col min="15375" max="15375" width="16.5703125" style="1943" customWidth="1"/>
    <col min="15376" max="15376" width="13.7109375" style="1943" customWidth="1"/>
    <col min="15377" max="15377" width="29.5703125" style="1943" customWidth="1"/>
    <col min="15378" max="15378" width="18.28515625" style="1943" customWidth="1"/>
    <col min="15379" max="15379" width="14.28515625" style="1943" customWidth="1"/>
    <col min="15380" max="15380" width="17.28515625" style="1943" customWidth="1"/>
    <col min="15381" max="15381" width="17.5703125" style="1943" customWidth="1"/>
    <col min="15382" max="15382" width="17.28515625" style="1943" customWidth="1"/>
    <col min="15383" max="15383" width="16.42578125" style="1943" customWidth="1"/>
    <col min="15384" max="15384" width="17" style="1943" customWidth="1"/>
    <col min="15385" max="15385" width="18.28515625" style="1943" customWidth="1"/>
    <col min="15386" max="15386" width="17.5703125" style="1943" customWidth="1"/>
    <col min="15387" max="15387" width="5.28515625" style="1943" customWidth="1"/>
    <col min="15388" max="15388" width="15.140625" style="1943" bestFit="1" customWidth="1"/>
    <col min="15389" max="15390" width="8" style="1943" customWidth="1"/>
    <col min="15391" max="15391" width="2.85546875" style="1943" customWidth="1"/>
    <col min="15392" max="15420" width="8" style="1943" customWidth="1"/>
    <col min="15421" max="15421" width="15.85546875" style="1943" bestFit="1" customWidth="1"/>
    <col min="15422" max="15422" width="17" style="1943" bestFit="1" customWidth="1"/>
    <col min="15423" max="15609" width="8" style="1943" customWidth="1"/>
    <col min="15610" max="15610" width="8.85546875" style="1943" bestFit="1" customWidth="1"/>
    <col min="15611" max="15616" width="8.85546875" style="1943"/>
    <col min="15617" max="15617" width="4.85546875" style="1943" customWidth="1"/>
    <col min="15618" max="15618" width="42" style="1943" customWidth="1"/>
    <col min="15619" max="15619" width="12.42578125" style="1943" customWidth="1"/>
    <col min="15620" max="15620" width="13.42578125" style="1943" customWidth="1"/>
    <col min="15621" max="15621" width="22" style="1943" customWidth="1"/>
    <col min="15622" max="15622" width="3.140625" style="1943" customWidth="1"/>
    <col min="15623" max="15623" width="22.85546875" style="1943" customWidth="1"/>
    <col min="15624" max="15626" width="0" style="1943" hidden="1" customWidth="1"/>
    <col min="15627" max="15627" width="0.5703125" style="1943" customWidth="1"/>
    <col min="15628" max="15629" width="0" style="1943" hidden="1" customWidth="1"/>
    <col min="15630" max="15630" width="49.5703125" style="1943" customWidth="1"/>
    <col min="15631" max="15631" width="16.5703125" style="1943" customWidth="1"/>
    <col min="15632" max="15632" width="13.7109375" style="1943" customWidth="1"/>
    <col min="15633" max="15633" width="29.5703125" style="1943" customWidth="1"/>
    <col min="15634" max="15634" width="18.28515625" style="1943" customWidth="1"/>
    <col min="15635" max="15635" width="14.28515625" style="1943" customWidth="1"/>
    <col min="15636" max="15636" width="17.28515625" style="1943" customWidth="1"/>
    <col min="15637" max="15637" width="17.5703125" style="1943" customWidth="1"/>
    <col min="15638" max="15638" width="17.28515625" style="1943" customWidth="1"/>
    <col min="15639" max="15639" width="16.42578125" style="1943" customWidth="1"/>
    <col min="15640" max="15640" width="17" style="1943" customWidth="1"/>
    <col min="15641" max="15641" width="18.28515625" style="1943" customWidth="1"/>
    <col min="15642" max="15642" width="17.5703125" style="1943" customWidth="1"/>
    <col min="15643" max="15643" width="5.28515625" style="1943" customWidth="1"/>
    <col min="15644" max="15644" width="15.140625" style="1943" bestFit="1" customWidth="1"/>
    <col min="15645" max="15646" width="8" style="1943" customWidth="1"/>
    <col min="15647" max="15647" width="2.85546875" style="1943" customWidth="1"/>
    <col min="15648" max="15676" width="8" style="1943" customWidth="1"/>
    <col min="15677" max="15677" width="15.85546875" style="1943" bestFit="1" customWidth="1"/>
    <col min="15678" max="15678" width="17" style="1943" bestFit="1" customWidth="1"/>
    <col min="15679" max="15865" width="8" style="1943" customWidth="1"/>
    <col min="15866" max="15866" width="8.85546875" style="1943" bestFit="1" customWidth="1"/>
    <col min="15867" max="15872" width="8.85546875" style="1943"/>
    <col min="15873" max="15873" width="4.85546875" style="1943" customWidth="1"/>
    <col min="15874" max="15874" width="42" style="1943" customWidth="1"/>
    <col min="15875" max="15875" width="12.42578125" style="1943" customWidth="1"/>
    <col min="15876" max="15876" width="13.42578125" style="1943" customWidth="1"/>
    <col min="15877" max="15877" width="22" style="1943" customWidth="1"/>
    <col min="15878" max="15878" width="3.140625" style="1943" customWidth="1"/>
    <col min="15879" max="15879" width="22.85546875" style="1943" customWidth="1"/>
    <col min="15880" max="15882" width="0" style="1943" hidden="1" customWidth="1"/>
    <col min="15883" max="15883" width="0.5703125" style="1943" customWidth="1"/>
    <col min="15884" max="15885" width="0" style="1943" hidden="1" customWidth="1"/>
    <col min="15886" max="15886" width="49.5703125" style="1943" customWidth="1"/>
    <col min="15887" max="15887" width="16.5703125" style="1943" customWidth="1"/>
    <col min="15888" max="15888" width="13.7109375" style="1943" customWidth="1"/>
    <col min="15889" max="15889" width="29.5703125" style="1943" customWidth="1"/>
    <col min="15890" max="15890" width="18.28515625" style="1943" customWidth="1"/>
    <col min="15891" max="15891" width="14.28515625" style="1943" customWidth="1"/>
    <col min="15892" max="15892" width="17.28515625" style="1943" customWidth="1"/>
    <col min="15893" max="15893" width="17.5703125" style="1943" customWidth="1"/>
    <col min="15894" max="15894" width="17.28515625" style="1943" customWidth="1"/>
    <col min="15895" max="15895" width="16.42578125" style="1943" customWidth="1"/>
    <col min="15896" max="15896" width="17" style="1943" customWidth="1"/>
    <col min="15897" max="15897" width="18.28515625" style="1943" customWidth="1"/>
    <col min="15898" max="15898" width="17.5703125" style="1943" customWidth="1"/>
    <col min="15899" max="15899" width="5.28515625" style="1943" customWidth="1"/>
    <col min="15900" max="15900" width="15.140625" style="1943" bestFit="1" customWidth="1"/>
    <col min="15901" max="15902" width="8" style="1943" customWidth="1"/>
    <col min="15903" max="15903" width="2.85546875" style="1943" customWidth="1"/>
    <col min="15904" max="15932" width="8" style="1943" customWidth="1"/>
    <col min="15933" max="15933" width="15.85546875" style="1943" bestFit="1" customWidth="1"/>
    <col min="15934" max="15934" width="17" style="1943" bestFit="1" customWidth="1"/>
    <col min="15935" max="16121" width="8" style="1943" customWidth="1"/>
    <col min="16122" max="16122" width="8.85546875" style="1943" bestFit="1" customWidth="1"/>
    <col min="16123" max="16128" width="8.85546875" style="1943"/>
    <col min="16129" max="16129" width="4.85546875" style="1943" customWidth="1"/>
    <col min="16130" max="16130" width="42" style="1943" customWidth="1"/>
    <col min="16131" max="16131" width="12.42578125" style="1943" customWidth="1"/>
    <col min="16132" max="16132" width="13.42578125" style="1943" customWidth="1"/>
    <col min="16133" max="16133" width="22" style="1943" customWidth="1"/>
    <col min="16134" max="16134" width="3.140625" style="1943" customWidth="1"/>
    <col min="16135" max="16135" width="22.85546875" style="1943" customWidth="1"/>
    <col min="16136" max="16138" width="0" style="1943" hidden="1" customWidth="1"/>
    <col min="16139" max="16139" width="0.5703125" style="1943" customWidth="1"/>
    <col min="16140" max="16141" width="0" style="1943" hidden="1" customWidth="1"/>
    <col min="16142" max="16142" width="49.5703125" style="1943" customWidth="1"/>
    <col min="16143" max="16143" width="16.5703125" style="1943" customWidth="1"/>
    <col min="16144" max="16144" width="13.7109375" style="1943" customWidth="1"/>
    <col min="16145" max="16145" width="29.5703125" style="1943" customWidth="1"/>
    <col min="16146" max="16146" width="18.28515625" style="1943" customWidth="1"/>
    <col min="16147" max="16147" width="14.28515625" style="1943" customWidth="1"/>
    <col min="16148" max="16148" width="17.28515625" style="1943" customWidth="1"/>
    <col min="16149" max="16149" width="17.5703125" style="1943" customWidth="1"/>
    <col min="16150" max="16150" width="17.28515625" style="1943" customWidth="1"/>
    <col min="16151" max="16151" width="16.42578125" style="1943" customWidth="1"/>
    <col min="16152" max="16152" width="17" style="1943" customWidth="1"/>
    <col min="16153" max="16153" width="18.28515625" style="1943" customWidth="1"/>
    <col min="16154" max="16154" width="17.5703125" style="1943" customWidth="1"/>
    <col min="16155" max="16155" width="5.28515625" style="1943" customWidth="1"/>
    <col min="16156" max="16156" width="15.140625" style="1943" bestFit="1" customWidth="1"/>
    <col min="16157" max="16158" width="8" style="1943" customWidth="1"/>
    <col min="16159" max="16159" width="2.85546875" style="1943" customWidth="1"/>
    <col min="16160" max="16188" width="8" style="1943" customWidth="1"/>
    <col min="16189" max="16189" width="15.85546875" style="1943" bestFit="1" customWidth="1"/>
    <col min="16190" max="16190" width="17" style="1943" bestFit="1" customWidth="1"/>
    <col min="16191" max="16377" width="8" style="1943" customWidth="1"/>
    <col min="16378" max="16378" width="8.85546875" style="1943" bestFit="1" customWidth="1"/>
    <col min="16379" max="16384" width="8.85546875" style="1943"/>
  </cols>
  <sheetData>
    <row r="1" spans="1:31" ht="15.75" hidden="1" thickBot="1">
      <c r="A1" s="2291"/>
      <c r="B1" s="2292"/>
      <c r="C1" s="2293"/>
      <c r="D1" s="2294" t="s">
        <v>689</v>
      </c>
      <c r="E1" s="2295" t="s">
        <v>689</v>
      </c>
      <c r="F1" s="2295"/>
      <c r="G1" s="2296"/>
      <c r="H1" s="2297" t="s">
        <v>814</v>
      </c>
      <c r="I1" s="2298"/>
      <c r="J1" s="2297" t="s">
        <v>47</v>
      </c>
      <c r="K1" s="2297"/>
      <c r="L1" s="2299" t="s">
        <v>814</v>
      </c>
      <c r="M1" s="2300" t="s">
        <v>47</v>
      </c>
    </row>
    <row r="2" spans="1:31" ht="9.75" hidden="1" customHeight="1" thickBot="1">
      <c r="A2" s="2301"/>
      <c r="D2" s="2303">
        <v>2006</v>
      </c>
      <c r="E2" s="2304">
        <v>2005</v>
      </c>
      <c r="F2" s="2304"/>
      <c r="G2" s="2305"/>
      <c r="H2" s="2306">
        <v>2006</v>
      </c>
      <c r="I2" s="2306">
        <v>2006</v>
      </c>
      <c r="J2" s="2306">
        <v>2006</v>
      </c>
      <c r="K2" s="2299"/>
      <c r="L2" s="2306">
        <v>2005</v>
      </c>
      <c r="M2" s="2307">
        <v>2005</v>
      </c>
      <c r="N2" s="2308"/>
    </row>
    <row r="3" spans="1:31" ht="22.5" customHeight="1">
      <c r="A3" s="6282" t="s">
        <v>1125</v>
      </c>
      <c r="B3" s="6283"/>
      <c r="C3" s="6283"/>
      <c r="D3" s="6283"/>
      <c r="E3" s="6283"/>
      <c r="F3" s="6283"/>
      <c r="G3" s="6283"/>
      <c r="H3" s="2309"/>
      <c r="I3" s="2299"/>
      <c r="J3" s="2299"/>
      <c r="K3" s="2299"/>
      <c r="L3" s="2299"/>
      <c r="M3" s="2299"/>
      <c r="N3" s="2310"/>
      <c r="AE3" s="2311"/>
    </row>
    <row r="4" spans="1:31" ht="6.75" hidden="1" customHeight="1" thickBot="1">
      <c r="A4" s="2312"/>
      <c r="B4" s="2313"/>
      <c r="C4" s="2313"/>
      <c r="D4" s="2314"/>
      <c r="E4" s="2314"/>
      <c r="F4" s="2314"/>
      <c r="G4" s="2315"/>
      <c r="H4" s="2316"/>
      <c r="I4" s="2317"/>
      <c r="J4" s="2317"/>
      <c r="K4" s="2317"/>
      <c r="L4" s="2317"/>
      <c r="M4" s="2317"/>
      <c r="N4" s="2302"/>
      <c r="AE4" s="2318"/>
    </row>
    <row r="5" spans="1:31" ht="23.25" customHeight="1">
      <c r="A5" s="6284" t="s">
        <v>1126</v>
      </c>
      <c r="B5" s="6285"/>
      <c r="C5" s="6285"/>
      <c r="D5" s="6285"/>
      <c r="E5" s="6285"/>
      <c r="F5" s="6285"/>
      <c r="G5" s="6285"/>
      <c r="H5" s="2319"/>
      <c r="I5" s="2320"/>
      <c r="J5" s="2320"/>
      <c r="K5" s="2320"/>
      <c r="L5" s="2321"/>
      <c r="M5" s="2321"/>
      <c r="N5" s="2308"/>
      <c r="AE5" s="2318"/>
    </row>
    <row r="6" spans="1:31">
      <c r="A6" s="2322"/>
      <c r="B6" s="2323"/>
      <c r="C6" s="2323"/>
      <c r="D6" s="2324"/>
      <c r="E6" s="2325"/>
      <c r="F6" s="2324"/>
      <c r="G6" s="2326"/>
      <c r="H6" s="2327"/>
      <c r="I6" s="2328"/>
      <c r="J6" s="2328"/>
      <c r="K6" s="2328"/>
      <c r="L6" s="2328"/>
      <c r="M6" s="2328"/>
      <c r="N6" s="2329"/>
      <c r="AE6" s="2318"/>
    </row>
    <row r="7" spans="1:31" ht="29.25">
      <c r="A7" s="2301"/>
      <c r="E7" s="2331" t="s">
        <v>1127</v>
      </c>
      <c r="F7" s="2331"/>
      <c r="G7" s="2331" t="s">
        <v>1128</v>
      </c>
      <c r="H7" s="2332"/>
      <c r="I7" s="2333"/>
      <c r="K7" s="2333"/>
      <c r="L7" s="2334"/>
      <c r="M7" s="2334"/>
      <c r="N7" s="2335"/>
      <c r="AE7" s="2318"/>
    </row>
    <row r="8" spans="1:31">
      <c r="A8" s="2301"/>
      <c r="C8" s="2336" t="s">
        <v>1130</v>
      </c>
      <c r="D8" s="2337"/>
      <c r="E8" s="2337" t="s">
        <v>1131</v>
      </c>
      <c r="F8" s="2337"/>
      <c r="G8" s="2337" t="s">
        <v>1131</v>
      </c>
      <c r="H8" s="2338"/>
      <c r="I8" s="2337"/>
      <c r="J8" s="2337"/>
      <c r="K8" s="2337"/>
      <c r="L8" s="2334"/>
      <c r="M8" s="2334"/>
      <c r="N8" s="2339"/>
      <c r="AE8" s="2318"/>
    </row>
    <row r="9" spans="1:31">
      <c r="A9" s="2301"/>
      <c r="C9" s="2336" t="s">
        <v>452</v>
      </c>
      <c r="D9" s="2337"/>
      <c r="E9" s="2337" t="s">
        <v>1133</v>
      </c>
      <c r="F9" s="2337"/>
      <c r="G9" s="2337" t="s">
        <v>1133</v>
      </c>
      <c r="H9" s="2338"/>
      <c r="I9" s="2337"/>
      <c r="J9" s="2337"/>
      <c r="K9" s="2337"/>
      <c r="L9" s="2334"/>
      <c r="M9" s="2334"/>
      <c r="N9" s="2339"/>
      <c r="AE9" s="2318"/>
    </row>
    <row r="10" spans="1:31">
      <c r="A10" s="2340"/>
      <c r="B10" s="2341" t="s">
        <v>1135</v>
      </c>
      <c r="H10" s="2332"/>
      <c r="AE10" s="2318"/>
    </row>
    <row r="11" spans="1:31">
      <c r="A11" s="2301"/>
      <c r="E11" s="2343"/>
      <c r="F11" s="2343"/>
      <c r="G11" s="2343"/>
      <c r="H11" s="2344"/>
      <c r="I11" s="2343"/>
      <c r="J11" s="2343"/>
      <c r="K11" s="2343"/>
      <c r="AE11" s="2318"/>
    </row>
    <row r="12" spans="1:31" ht="34.5" customHeight="1">
      <c r="A12" s="2340"/>
      <c r="B12" s="2341" t="s">
        <v>1146</v>
      </c>
      <c r="H12" s="2332"/>
      <c r="AE12" s="2318"/>
    </row>
    <row r="13" spans="1:31">
      <c r="A13" s="2301"/>
      <c r="B13" s="2302" t="s">
        <v>1147</v>
      </c>
      <c r="C13" s="2345">
        <v>1</v>
      </c>
      <c r="D13" s="2342"/>
      <c r="E13" s="2330">
        <f>'[62]Schedule 1'!D103</f>
        <v>203253.31</v>
      </c>
      <c r="G13" s="2330">
        <f>'[62]Schedule 1'!F103</f>
        <v>169129.5</v>
      </c>
      <c r="H13" s="2346"/>
      <c r="I13" s="2342"/>
      <c r="J13" s="2342"/>
      <c r="K13" s="2342"/>
      <c r="L13" s="2342"/>
      <c r="M13" s="2342"/>
      <c r="O13" s="2347"/>
      <c r="AE13" s="2318"/>
    </row>
    <row r="14" spans="1:31">
      <c r="A14" s="2301"/>
      <c r="B14" s="2302" t="s">
        <v>1148</v>
      </c>
      <c r="C14" s="2345"/>
      <c r="D14" s="2342"/>
      <c r="E14" s="2330">
        <f>'[62]Schedule 1'!D28</f>
        <v>392.07000000000005</v>
      </c>
      <c r="G14" s="2330">
        <f>'[62]Schedule 1'!F28</f>
        <v>351.48</v>
      </c>
      <c r="H14" s="2346"/>
      <c r="I14" s="2342"/>
      <c r="J14" s="2342"/>
      <c r="K14" s="2342"/>
      <c r="L14" s="2342"/>
      <c r="M14" s="2342"/>
      <c r="N14" s="2348"/>
      <c r="AB14" s="2347"/>
      <c r="AE14" s="2318"/>
    </row>
    <row r="15" spans="1:31">
      <c r="A15" s="2301"/>
      <c r="B15" s="2341" t="s">
        <v>1149</v>
      </c>
      <c r="C15" s="2345"/>
      <c r="D15" s="2342"/>
      <c r="G15" s="2330"/>
      <c r="H15" s="2346"/>
      <c r="I15" s="2342"/>
      <c r="J15" s="2342"/>
      <c r="K15" s="2342"/>
      <c r="L15" s="2342"/>
      <c r="M15" s="2342"/>
      <c r="N15" s="2348"/>
      <c r="AB15" s="2347"/>
      <c r="AE15" s="2318"/>
    </row>
    <row r="16" spans="1:31">
      <c r="A16" s="2301"/>
      <c r="B16" s="2302" t="s">
        <v>1150</v>
      </c>
      <c r="C16" s="2345"/>
      <c r="D16" s="2342"/>
      <c r="E16" s="2330">
        <v>4600</v>
      </c>
      <c r="G16" s="2330">
        <v>5750</v>
      </c>
      <c r="H16" s="2346"/>
      <c r="I16" s="2342"/>
      <c r="J16" s="2342"/>
      <c r="K16" s="2342"/>
      <c r="L16" s="2342"/>
      <c r="M16" s="2342"/>
      <c r="N16" s="2349"/>
      <c r="AB16" s="2347"/>
      <c r="AE16" s="2318"/>
    </row>
    <row r="17" spans="1:31" ht="30">
      <c r="A17" s="2301"/>
      <c r="B17" s="2350" t="s">
        <v>1151</v>
      </c>
      <c r="C17" s="2345"/>
      <c r="D17" s="2342"/>
      <c r="G17" s="2330"/>
      <c r="H17" s="2346"/>
      <c r="I17" s="2342"/>
      <c r="J17" s="2342"/>
      <c r="K17" s="2342"/>
      <c r="L17" s="2342"/>
      <c r="M17" s="2342"/>
      <c r="N17" s="2349"/>
      <c r="O17" s="2351"/>
      <c r="AB17" s="2347"/>
      <c r="AE17" s="2318"/>
    </row>
    <row r="18" spans="1:31">
      <c r="A18" s="2352"/>
      <c r="B18" s="2302" t="s">
        <v>1153</v>
      </c>
      <c r="C18" s="2345">
        <v>2</v>
      </c>
      <c r="E18" s="2330">
        <f>E135</f>
        <v>50687.12</v>
      </c>
      <c r="G18" s="2330">
        <f>G135</f>
        <v>10258.08</v>
      </c>
      <c r="H18" s="2332"/>
      <c r="I18" s="2342"/>
      <c r="J18" s="2342"/>
      <c r="K18" s="2342"/>
      <c r="L18" s="2342"/>
      <c r="M18" s="2342"/>
      <c r="O18" s="2347"/>
      <c r="AB18" s="2347"/>
      <c r="AE18" s="2318"/>
    </row>
    <row r="19" spans="1:31">
      <c r="A19" s="2301"/>
      <c r="C19" s="2345"/>
      <c r="G19" s="2353"/>
      <c r="H19" s="2332"/>
      <c r="J19" s="2342"/>
      <c r="K19" s="2342"/>
      <c r="L19" s="2342"/>
      <c r="M19" s="2342"/>
      <c r="O19" s="2351"/>
      <c r="AB19" s="2347"/>
      <c r="AE19" s="2318"/>
    </row>
    <row r="20" spans="1:31" ht="15.75" thickBot="1">
      <c r="A20" s="2301"/>
      <c r="B20" s="2354" t="s">
        <v>499</v>
      </c>
      <c r="E20" s="2355">
        <f>E13+E16+E18+E14</f>
        <v>258932.5</v>
      </c>
      <c r="F20" s="2342"/>
      <c r="G20" s="2355">
        <f>G13+G16+G18+G14</f>
        <v>185489.06</v>
      </c>
      <c r="H20" s="2332"/>
      <c r="I20" s="2342"/>
      <c r="J20" s="2342"/>
      <c r="K20" s="2342"/>
      <c r="L20" s="2342"/>
      <c r="M20" s="2342"/>
      <c r="N20" s="2356"/>
      <c r="O20" s="2351"/>
      <c r="AB20" s="2347"/>
      <c r="AE20" s="2318"/>
    </row>
    <row r="21" spans="1:31" ht="15.75" thickTop="1">
      <c r="A21" s="2357"/>
      <c r="B21" s="2341" t="s">
        <v>1154</v>
      </c>
      <c r="H21" s="2332"/>
      <c r="J21" s="2342"/>
      <c r="K21" s="2342"/>
      <c r="L21" s="2342"/>
      <c r="M21" s="2342"/>
      <c r="O21" s="2356"/>
      <c r="AB21" s="2347"/>
      <c r="AE21" s="2318"/>
    </row>
    <row r="22" spans="1:31">
      <c r="A22" s="2301"/>
      <c r="H22" s="2332"/>
      <c r="J22" s="2342"/>
      <c r="K22" s="2342"/>
      <c r="L22" s="2342"/>
      <c r="M22" s="2342"/>
      <c r="AB22" s="2347"/>
      <c r="AE22" s="2318"/>
    </row>
    <row r="23" spans="1:31">
      <c r="A23" s="2301"/>
      <c r="B23" s="2341" t="s">
        <v>1155</v>
      </c>
      <c r="C23" s="2358">
        <v>3</v>
      </c>
      <c r="H23" s="2332"/>
      <c r="J23" s="2342"/>
      <c r="K23" s="2342"/>
      <c r="L23" s="2342"/>
      <c r="M23" s="2342"/>
      <c r="AB23" s="2347"/>
      <c r="AE23" s="2318"/>
    </row>
    <row r="24" spans="1:31">
      <c r="A24" s="2301"/>
      <c r="B24" s="2302" t="s">
        <v>1156</v>
      </c>
      <c r="E24" s="2330">
        <v>196151.02</v>
      </c>
      <c r="G24" s="2359">
        <v>185137.58</v>
      </c>
      <c r="H24" s="2346"/>
      <c r="J24" s="2342"/>
      <c r="K24" s="2342"/>
      <c r="O24" s="2347"/>
      <c r="AB24" s="2347"/>
      <c r="AE24" s="2318"/>
    </row>
    <row r="25" spans="1:31">
      <c r="A25" s="2301"/>
      <c r="B25" s="2302" t="s">
        <v>1157</v>
      </c>
      <c r="E25" s="2330">
        <v>71838.33</v>
      </c>
      <c r="G25" s="2330">
        <v>65315.4</v>
      </c>
      <c r="H25" s="2346"/>
      <c r="J25" s="2342"/>
      <c r="K25" s="2342"/>
      <c r="O25" s="2347"/>
      <c r="AB25" s="2347"/>
      <c r="AE25" s="2318"/>
    </row>
    <row r="26" spans="1:31">
      <c r="A26" s="2301"/>
      <c r="B26" s="2360" t="s">
        <v>1158</v>
      </c>
      <c r="E26" s="2330">
        <f>E24-E25</f>
        <v>124312.68999999999</v>
      </c>
      <c r="G26" s="2330">
        <f>+G24-G25</f>
        <v>119822.18</v>
      </c>
      <c r="H26" s="2346"/>
      <c r="I26" s="2342"/>
      <c r="J26" s="2342"/>
      <c r="K26" s="2342"/>
      <c r="O26" s="2347"/>
      <c r="AE26" s="2318"/>
    </row>
    <row r="27" spans="1:31" ht="15.75" thickBot="1">
      <c r="A27" s="2301"/>
      <c r="B27" s="2360" t="s">
        <v>1160</v>
      </c>
      <c r="E27" s="2361">
        <v>6922.03</v>
      </c>
      <c r="G27" s="2353">
        <v>5255.74</v>
      </c>
      <c r="H27" s="2346"/>
      <c r="I27" s="2342"/>
      <c r="J27" s="2342"/>
      <c r="K27" s="2342"/>
      <c r="N27" s="2347"/>
      <c r="O27" s="2347"/>
      <c r="AE27" s="2318"/>
    </row>
    <row r="28" spans="1:31">
      <c r="A28" s="2301"/>
      <c r="B28" s="2360"/>
      <c r="E28" s="2342">
        <f>+E27+E26</f>
        <v>131234.72</v>
      </c>
      <c r="F28" s="2342"/>
      <c r="G28" s="2342">
        <f>+G27+G26</f>
        <v>125077.92</v>
      </c>
      <c r="H28" s="2346"/>
      <c r="I28" s="2342"/>
      <c r="J28" s="2342"/>
      <c r="K28" s="2342"/>
      <c r="AE28" s="2318"/>
    </row>
    <row r="29" spans="1:31" hidden="1">
      <c r="A29" s="2301"/>
      <c r="B29" s="2360"/>
      <c r="G29" s="2330"/>
      <c r="H29" s="2346"/>
      <c r="I29" s="2342"/>
      <c r="J29" s="2342"/>
      <c r="K29" s="2342"/>
      <c r="AE29" s="2318"/>
    </row>
    <row r="30" spans="1:31" ht="22.5" customHeight="1">
      <c r="A30" s="2352"/>
      <c r="B30" s="2362" t="s">
        <v>1161</v>
      </c>
      <c r="C30" s="2345">
        <v>4</v>
      </c>
      <c r="E30" s="2330">
        <f>E175</f>
        <v>2858.01</v>
      </c>
      <c r="G30" s="2330">
        <v>2668.01</v>
      </c>
      <c r="H30" s="2346"/>
      <c r="I30" s="2342"/>
      <c r="J30" s="2342"/>
      <c r="K30" s="2342"/>
      <c r="N30" s="2347"/>
      <c r="O30" s="2347"/>
      <c r="AE30" s="2318"/>
    </row>
    <row r="31" spans="1:31">
      <c r="A31" s="2301"/>
      <c r="H31" s="2332"/>
      <c r="J31" s="2342"/>
      <c r="K31" s="2342"/>
      <c r="N31" s="2356"/>
      <c r="AB31" s="2347"/>
      <c r="AE31" s="2318"/>
    </row>
    <row r="32" spans="1:31">
      <c r="A32" s="2363"/>
      <c r="B32" s="2341" t="s">
        <v>1163</v>
      </c>
      <c r="H32" s="2332"/>
      <c r="J32" s="2342"/>
      <c r="K32" s="2342"/>
      <c r="AB32" s="2364"/>
      <c r="AE32" s="2318"/>
    </row>
    <row r="33" spans="1:31">
      <c r="A33" s="2363"/>
      <c r="B33" s="2341" t="s">
        <v>1164</v>
      </c>
      <c r="H33" s="2332"/>
      <c r="J33" s="2342"/>
      <c r="K33" s="2342"/>
      <c r="AB33" s="2364"/>
      <c r="AE33" s="2318"/>
    </row>
    <row r="34" spans="1:31">
      <c r="A34" s="2301"/>
      <c r="B34" s="2302" t="s">
        <v>1165</v>
      </c>
      <c r="C34" s="2345"/>
      <c r="E34" s="2330">
        <v>865.71</v>
      </c>
      <c r="G34" s="2330">
        <v>514.08000000000004</v>
      </c>
      <c r="H34" s="2332"/>
      <c r="I34" s="2342"/>
      <c r="J34" s="2342"/>
      <c r="K34" s="2342"/>
      <c r="N34" s="2347"/>
      <c r="O34" s="2347"/>
      <c r="AE34" s="2318"/>
    </row>
    <row r="35" spans="1:31">
      <c r="A35" s="2301"/>
      <c r="B35" s="2302" t="s">
        <v>1166</v>
      </c>
      <c r="C35" s="2345">
        <v>5</v>
      </c>
      <c r="E35" s="2330">
        <f>E200</f>
        <v>52694.2</v>
      </c>
      <c r="G35" s="2330">
        <f>G200</f>
        <v>47789.36</v>
      </c>
      <c r="H35" s="2346"/>
      <c r="I35" s="2342"/>
      <c r="J35" s="2342"/>
      <c r="K35" s="2342"/>
      <c r="N35" s="2347"/>
      <c r="O35" s="2347"/>
      <c r="AE35" s="2318"/>
    </row>
    <row r="36" spans="1:31">
      <c r="A36" s="2301"/>
      <c r="B36" s="2302" t="s">
        <v>1167</v>
      </c>
      <c r="C36" s="2345">
        <v>6</v>
      </c>
      <c r="E36" s="2330">
        <f>E227</f>
        <v>10783.970000000001</v>
      </c>
      <c r="G36" s="2330">
        <f>G227</f>
        <v>10198.92</v>
      </c>
      <c r="H36" s="2346"/>
      <c r="I36" s="2342"/>
      <c r="J36" s="2342"/>
      <c r="K36" s="2342"/>
      <c r="N36" s="2347"/>
      <c r="O36" s="2347"/>
      <c r="AE36" s="2318"/>
    </row>
    <row r="37" spans="1:31">
      <c r="A37" s="2301"/>
      <c r="B37" s="2302" t="s">
        <v>1168</v>
      </c>
      <c r="C37" s="2345">
        <v>7</v>
      </c>
      <c r="E37" s="2330">
        <f>E252</f>
        <v>164728.35</v>
      </c>
      <c r="G37" s="2330">
        <f>G252</f>
        <v>74561.88</v>
      </c>
      <c r="H37" s="2346"/>
      <c r="I37" s="2342"/>
      <c r="J37" s="2342"/>
      <c r="K37" s="2342"/>
      <c r="N37" s="2347"/>
      <c r="O37" s="2347"/>
      <c r="AE37" s="2318"/>
    </row>
    <row r="38" spans="1:31" ht="15.75" thickBot="1">
      <c r="A38" s="2301"/>
      <c r="B38" s="2341" t="s">
        <v>1169</v>
      </c>
      <c r="C38" s="2345">
        <v>8</v>
      </c>
      <c r="E38" s="2361">
        <f>E303</f>
        <v>9182.5399999999991</v>
      </c>
      <c r="G38" s="2353">
        <f>G303</f>
        <v>9671.0300000000007</v>
      </c>
      <c r="H38" s="2346"/>
      <c r="I38" s="2342"/>
      <c r="J38" s="2342"/>
      <c r="K38" s="2342"/>
      <c r="N38" s="2365"/>
      <c r="O38" s="2347"/>
      <c r="AE38" s="2318"/>
    </row>
    <row r="39" spans="1:31">
      <c r="A39" s="2301"/>
      <c r="E39" s="2330">
        <f>SUM(E34:E38)</f>
        <v>238254.77000000002</v>
      </c>
      <c r="G39" s="2330">
        <f>SUM(G34:G38)</f>
        <v>142735.26999999999</v>
      </c>
      <c r="H39" s="2346"/>
      <c r="I39" s="2342"/>
      <c r="J39" s="2342"/>
      <c r="K39" s="2342"/>
      <c r="AE39" s="2318"/>
    </row>
    <row r="40" spans="1:31">
      <c r="A40" s="2301"/>
      <c r="B40" s="2341" t="s">
        <v>1170</v>
      </c>
      <c r="G40" s="2330"/>
      <c r="H40" s="2346"/>
      <c r="I40" s="2342"/>
      <c r="J40" s="2342"/>
      <c r="K40" s="2342"/>
      <c r="AE40" s="2318"/>
    </row>
    <row r="41" spans="1:31" ht="15.75" thickBot="1">
      <c r="A41" s="2301"/>
      <c r="B41" s="2302" t="s">
        <v>1171</v>
      </c>
      <c r="C41" s="2345">
        <v>9</v>
      </c>
      <c r="E41" s="2361">
        <f>E367</f>
        <v>138096.81</v>
      </c>
      <c r="G41" s="2353">
        <f>G367</f>
        <v>121850.85</v>
      </c>
      <c r="H41" s="2346"/>
      <c r="I41" s="2342"/>
      <c r="J41" s="2342"/>
      <c r="K41" s="2342"/>
      <c r="N41" s="2347">
        <f>G41-E41</f>
        <v>-16245.959999999992</v>
      </c>
      <c r="O41" s="2347"/>
      <c r="AE41" s="2318"/>
    </row>
    <row r="42" spans="1:31" hidden="1">
      <c r="A42" s="2301"/>
      <c r="B42" s="2302" t="s">
        <v>1172</v>
      </c>
      <c r="C42" s="2345">
        <v>10</v>
      </c>
      <c r="G42" s="2330">
        <f>+E373</f>
        <v>0</v>
      </c>
      <c r="H42" s="2346"/>
      <c r="I42" s="2342"/>
      <c r="J42" s="2342"/>
      <c r="K42" s="2342"/>
      <c r="O42" s="2347"/>
      <c r="AE42" s="2318"/>
    </row>
    <row r="43" spans="1:31">
      <c r="A43" s="2301"/>
      <c r="C43" s="2345"/>
      <c r="E43" s="2342">
        <f>SUM(E41:E42)</f>
        <v>138096.81</v>
      </c>
      <c r="F43" s="2342"/>
      <c r="G43" s="2342">
        <f>SUM(G41:G42)</f>
        <v>121850.85</v>
      </c>
      <c r="H43" s="2346"/>
      <c r="I43" s="2342"/>
      <c r="J43" s="2342"/>
      <c r="K43" s="2342"/>
      <c r="O43" s="2347"/>
      <c r="AE43" s="2318"/>
    </row>
    <row r="44" spans="1:31">
      <c r="A44" s="2301"/>
      <c r="B44" s="2341" t="s">
        <v>1173</v>
      </c>
      <c r="E44" s="2330">
        <f>+E39-E43</f>
        <v>100157.96000000002</v>
      </c>
      <c r="F44" s="2342">
        <f>+F39-F43</f>
        <v>0</v>
      </c>
      <c r="G44" s="2330">
        <f>+G39-G43</f>
        <v>20884.419999999984</v>
      </c>
      <c r="H44" s="2332"/>
      <c r="J44" s="2342"/>
      <c r="K44" s="2342"/>
      <c r="L44" s="2342"/>
      <c r="M44" s="2342"/>
      <c r="O44" s="2347"/>
      <c r="AE44" s="2318"/>
    </row>
    <row r="45" spans="1:31">
      <c r="A45" s="2301"/>
      <c r="G45" s="2330"/>
      <c r="H45" s="2332"/>
      <c r="J45" s="2342"/>
      <c r="K45" s="2342"/>
      <c r="L45" s="2342"/>
      <c r="M45" s="2342"/>
      <c r="AE45" s="2318"/>
    </row>
    <row r="46" spans="1:31">
      <c r="A46" s="2363"/>
      <c r="B46" s="2341" t="s">
        <v>1174</v>
      </c>
      <c r="C46" s="2345">
        <v>10</v>
      </c>
      <c r="D46" s="2366"/>
      <c r="E46" s="2342">
        <f>E384</f>
        <v>5.47</v>
      </c>
      <c r="F46" s="2342"/>
      <c r="G46" s="2342">
        <v>5.47</v>
      </c>
      <c r="H46" s="2332"/>
      <c r="I46" s="2342"/>
      <c r="J46" s="2342"/>
      <c r="K46" s="2342"/>
      <c r="O46" s="2367"/>
      <c r="AE46" s="2318"/>
    </row>
    <row r="47" spans="1:31">
      <c r="A47" s="2301"/>
      <c r="B47" s="2302" t="s">
        <v>1175</v>
      </c>
      <c r="C47" s="2368"/>
      <c r="D47" s="2366"/>
      <c r="E47" s="2366"/>
      <c r="F47" s="2366"/>
      <c r="G47" s="2369"/>
      <c r="H47" s="2370"/>
      <c r="I47" s="2366"/>
      <c r="J47" s="2369"/>
      <c r="K47" s="2369"/>
      <c r="L47" s="2366"/>
      <c r="M47" s="2369"/>
      <c r="N47" s="2367"/>
      <c r="O47" s="2368"/>
      <c r="AE47" s="2318"/>
    </row>
    <row r="48" spans="1:31" hidden="1">
      <c r="A48" s="2301"/>
      <c r="C48" s="2368"/>
      <c r="D48" s="2366"/>
      <c r="E48" s="2366"/>
      <c r="F48" s="2366"/>
      <c r="G48" s="2369"/>
      <c r="H48" s="2370"/>
      <c r="I48" s="2366"/>
      <c r="J48" s="2369"/>
      <c r="K48" s="2369"/>
      <c r="L48" s="2366"/>
      <c r="M48" s="2369"/>
      <c r="N48" s="2368"/>
      <c r="O48" s="2368"/>
      <c r="AE48" s="2318"/>
    </row>
    <row r="49" spans="1:31" hidden="1">
      <c r="A49" s="2301"/>
      <c r="C49" s="2368"/>
      <c r="D49" s="2366"/>
      <c r="E49" s="2366"/>
      <c r="F49" s="2366"/>
      <c r="G49" s="2369"/>
      <c r="H49" s="2370"/>
      <c r="I49" s="2366"/>
      <c r="J49" s="2369"/>
      <c r="K49" s="2369"/>
      <c r="L49" s="2366"/>
      <c r="M49" s="2369"/>
      <c r="N49" s="2368"/>
      <c r="O49" s="2368"/>
      <c r="AE49" s="2318"/>
    </row>
    <row r="50" spans="1:31">
      <c r="A50" s="2301"/>
      <c r="C50" s="2368"/>
      <c r="D50" s="2366"/>
      <c r="E50" s="2366"/>
      <c r="F50" s="2366"/>
      <c r="G50" s="2369"/>
      <c r="H50" s="2370"/>
      <c r="I50" s="2366"/>
      <c r="J50" s="2369"/>
      <c r="K50" s="2369"/>
      <c r="L50" s="2366"/>
      <c r="M50" s="2369"/>
      <c r="N50" s="2368"/>
      <c r="O50" s="2368"/>
      <c r="AE50" s="2318"/>
    </row>
    <row r="51" spans="1:31">
      <c r="A51" s="2357"/>
      <c r="B51" s="2341" t="s">
        <v>1176</v>
      </c>
      <c r="E51" s="2330">
        <f>-E97</f>
        <v>24676.339999999967</v>
      </c>
      <c r="G51" s="2330">
        <v>36853.24</v>
      </c>
      <c r="H51" s="2332"/>
      <c r="J51" s="2342"/>
      <c r="K51" s="2342"/>
      <c r="N51" s="2356"/>
      <c r="O51" s="2356"/>
      <c r="AE51" s="2318"/>
    </row>
    <row r="52" spans="1:31" ht="15.75" thickBot="1">
      <c r="A52" s="2301"/>
      <c r="B52" s="2354" t="s">
        <v>499</v>
      </c>
      <c r="E52" s="2355">
        <f>+E28+E30+E44+E46+E51</f>
        <v>258932.5</v>
      </c>
      <c r="F52" s="2371"/>
      <c r="G52" s="2355">
        <f>+G28+G30+G44+G46+G51</f>
        <v>185489.05999999997</v>
      </c>
      <c r="H52" s="2332"/>
      <c r="I52" s="2342"/>
      <c r="J52" s="2342"/>
      <c r="K52" s="2342"/>
      <c r="P52" s="2347" t="s">
        <v>94</v>
      </c>
      <c r="AE52" s="2318"/>
    </row>
    <row r="53" spans="1:31" ht="16.5" hidden="1" thickTop="1" thickBot="1">
      <c r="A53" s="2301"/>
      <c r="B53" s="2354"/>
      <c r="E53" s="2372">
        <f>+G52-G20</f>
        <v>0</v>
      </c>
      <c r="G53" s="2373" t="s">
        <v>94</v>
      </c>
      <c r="H53" s="2332"/>
      <c r="J53" s="2342"/>
      <c r="K53" s="2342"/>
      <c r="N53" s="2356"/>
      <c r="AE53" s="2318"/>
    </row>
    <row r="54" spans="1:31" ht="30.75" customHeight="1" thickTop="1">
      <c r="A54" s="6280" t="s">
        <v>1177</v>
      </c>
      <c r="B54" s="6281"/>
      <c r="C54" s="2374">
        <v>16</v>
      </c>
      <c r="D54" s="2375"/>
      <c r="E54" s="2359">
        <f>E20-E52</f>
        <v>0</v>
      </c>
      <c r="F54" s="2359"/>
      <c r="G54" s="2376" t="s">
        <v>94</v>
      </c>
      <c r="H54" s="2377"/>
      <c r="I54" s="2378"/>
      <c r="J54" s="2376"/>
      <c r="K54" s="2376"/>
      <c r="L54" s="2379"/>
      <c r="M54" s="2379"/>
      <c r="N54" s="2375"/>
      <c r="AE54" s="2318"/>
    </row>
    <row r="55" spans="1:31">
      <c r="A55" s="2380"/>
      <c r="B55" s="1943"/>
      <c r="E55" s="2381"/>
      <c r="F55" s="2381"/>
      <c r="G55" s="2381" t="e">
        <f>+#REF!-#REF!</f>
        <v>#REF!</v>
      </c>
      <c r="H55" s="2382"/>
      <c r="I55" s="2383"/>
      <c r="J55" s="2384"/>
      <c r="K55" s="2384"/>
      <c r="L55" s="2379"/>
      <c r="M55" s="2379"/>
      <c r="N55" s="2375"/>
      <c r="AE55" s="2318"/>
    </row>
    <row r="56" spans="1:31">
      <c r="A56" s="2380" t="s">
        <v>1178</v>
      </c>
      <c r="B56" s="1943"/>
      <c r="H56" s="2332"/>
      <c r="J56" s="2342"/>
      <c r="K56" s="2342"/>
      <c r="L56" s="2379"/>
      <c r="M56" s="2379"/>
      <c r="N56" s="2375"/>
      <c r="AE56" s="2318"/>
    </row>
    <row r="57" spans="1:31">
      <c r="A57" s="2380"/>
      <c r="B57" s="1943"/>
      <c r="E57" s="2378"/>
      <c r="F57" s="2378"/>
      <c r="G57" s="2376"/>
      <c r="H57" s="2377"/>
      <c r="I57" s="2378"/>
      <c r="J57" s="2376"/>
      <c r="K57" s="2376"/>
      <c r="L57" s="2385"/>
      <c r="M57" s="2385"/>
      <c r="N57" s="2386"/>
      <c r="AE57" s="2318"/>
    </row>
    <row r="58" spans="1:31" ht="30" customHeight="1">
      <c r="A58" s="2387" t="s">
        <v>1179</v>
      </c>
      <c r="B58" s="1943"/>
      <c r="E58" s="6288" t="s">
        <v>1180</v>
      </c>
      <c r="F58" s="6288"/>
      <c r="G58" s="6289"/>
      <c r="H58" s="2377"/>
      <c r="I58" s="2378"/>
      <c r="J58" s="2376"/>
      <c r="K58" s="2376"/>
      <c r="L58" s="2385"/>
      <c r="M58" s="2385"/>
      <c r="N58" s="2386"/>
      <c r="AE58" s="2318"/>
    </row>
    <row r="59" spans="1:31">
      <c r="A59" s="2388" t="s">
        <v>1181</v>
      </c>
      <c r="B59" s="1943"/>
      <c r="G59" s="2376"/>
      <c r="H59" s="2377"/>
      <c r="I59" s="2378"/>
      <c r="J59" s="2376"/>
      <c r="K59" s="2376"/>
      <c r="L59" s="2342"/>
      <c r="M59" s="2342"/>
      <c r="N59" s="2356"/>
      <c r="AE59" s="2318"/>
    </row>
    <row r="60" spans="1:31">
      <c r="A60" s="2380"/>
      <c r="B60" s="1943"/>
      <c r="G60" s="2376"/>
      <c r="H60" s="2377"/>
      <c r="I60" s="2378"/>
      <c r="J60" s="2376"/>
      <c r="K60" s="2376"/>
      <c r="L60" s="2342"/>
      <c r="M60" s="2342"/>
      <c r="N60" s="2356"/>
      <c r="AE60" s="2318"/>
    </row>
    <row r="61" spans="1:31">
      <c r="A61" s="2388" t="s">
        <v>1182</v>
      </c>
      <c r="B61" s="1943"/>
      <c r="G61" s="2376"/>
      <c r="H61" s="2377"/>
      <c r="I61" s="2378"/>
      <c r="J61" s="2376"/>
      <c r="K61" s="2376"/>
      <c r="L61" s="2342"/>
      <c r="M61" s="2342"/>
      <c r="N61" s="2356"/>
      <c r="AE61" s="2318"/>
    </row>
    <row r="62" spans="1:31">
      <c r="A62" s="2389"/>
      <c r="B62" s="1943"/>
      <c r="E62" s="2362" t="s">
        <v>1183</v>
      </c>
      <c r="F62" s="2362"/>
      <c r="H62" s="2332"/>
      <c r="J62" s="2342"/>
      <c r="K62" s="2342"/>
      <c r="L62" s="2342"/>
      <c r="M62" s="2342"/>
      <c r="N62" s="2356"/>
      <c r="AE62" s="2318"/>
    </row>
    <row r="63" spans="1:31">
      <c r="A63" s="2388"/>
      <c r="B63" s="1943"/>
      <c r="E63" s="2390" t="s">
        <v>855</v>
      </c>
      <c r="F63" s="2390"/>
      <c r="H63" s="2332"/>
      <c r="J63" s="2342"/>
      <c r="K63" s="2342"/>
      <c r="L63" s="2342"/>
      <c r="M63" s="2342"/>
      <c r="N63" s="2356"/>
      <c r="AE63" s="2318"/>
    </row>
    <row r="64" spans="1:31">
      <c r="A64" s="2388"/>
      <c r="B64" s="1943"/>
      <c r="H64" s="2332"/>
      <c r="J64" s="2342"/>
      <c r="K64" s="2342"/>
      <c r="L64" s="2342"/>
      <c r="M64" s="2342"/>
      <c r="N64" s="2356"/>
      <c r="AE64" s="2318"/>
    </row>
    <row r="65" spans="1:31">
      <c r="A65" s="2388"/>
      <c r="B65" s="1943"/>
      <c r="H65" s="2332"/>
      <c r="J65" s="2342"/>
      <c r="K65" s="2342"/>
      <c r="L65" s="2342"/>
      <c r="M65" s="2342"/>
      <c r="N65" s="2356"/>
      <c r="AE65" s="2318"/>
    </row>
    <row r="66" spans="1:31">
      <c r="A66" s="2388"/>
      <c r="B66" s="1943"/>
      <c r="H66" s="2332"/>
      <c r="J66" s="2342"/>
      <c r="K66" s="2342"/>
      <c r="L66" s="2342"/>
      <c r="M66" s="2342"/>
      <c r="N66" s="2356"/>
      <c r="AE66" s="2318"/>
    </row>
    <row r="67" spans="1:31" hidden="1">
      <c r="A67" s="2380"/>
      <c r="B67" s="1943"/>
      <c r="H67" s="2332"/>
      <c r="J67" s="2342"/>
      <c r="K67" s="2342"/>
      <c r="L67" s="2342"/>
      <c r="M67" s="2342"/>
      <c r="N67" s="2356"/>
      <c r="AE67" s="2318"/>
    </row>
    <row r="68" spans="1:31">
      <c r="A68" s="2380" t="s">
        <v>1184</v>
      </c>
      <c r="B68" s="1943"/>
      <c r="H68" s="2332"/>
      <c r="J68" s="2342"/>
      <c r="K68" s="2342"/>
      <c r="L68" s="2342"/>
      <c r="M68" s="2342"/>
      <c r="N68" s="2356"/>
      <c r="AE68" s="2318"/>
    </row>
    <row r="69" spans="1:31" ht="15.75" thickBot="1">
      <c r="A69" s="2391" t="s">
        <v>1185</v>
      </c>
      <c r="B69" s="2392"/>
      <c r="C69" s="2392"/>
      <c r="D69" s="2361"/>
      <c r="E69" s="2361"/>
      <c r="F69" s="2361"/>
      <c r="G69" s="2371"/>
      <c r="H69" s="2332"/>
      <c r="J69" s="2342"/>
      <c r="K69" s="2342"/>
      <c r="L69" s="2342"/>
      <c r="M69" s="2342"/>
      <c r="N69" s="2356"/>
      <c r="AE69" s="2318"/>
    </row>
    <row r="70" spans="1:31">
      <c r="A70" s="2293"/>
      <c r="B70" s="1943"/>
      <c r="G70" s="2393"/>
      <c r="H70" s="2332"/>
      <c r="J70" s="2342"/>
      <c r="K70" s="2342"/>
      <c r="L70" s="2342"/>
      <c r="M70" s="2342"/>
      <c r="N70" s="2356"/>
      <c r="AE70" s="2318"/>
    </row>
    <row r="71" spans="1:31" ht="15.75" thickBot="1">
      <c r="A71" s="2394"/>
      <c r="B71" s="2394"/>
      <c r="C71" s="2392"/>
      <c r="D71" s="2361"/>
      <c r="E71" s="2361"/>
      <c r="F71" s="2361"/>
      <c r="G71" s="2371"/>
      <c r="H71" s="2332"/>
      <c r="AE71" s="2318"/>
    </row>
    <row r="72" spans="1:31" ht="16.5">
      <c r="A72" s="6290" t="s">
        <v>1125</v>
      </c>
      <c r="B72" s="6291"/>
      <c r="C72" s="6291"/>
      <c r="D72" s="6291"/>
      <c r="E72" s="6291"/>
      <c r="F72" s="6291"/>
      <c r="G72" s="6291"/>
      <c r="H72" s="2309"/>
      <c r="I72" s="2299"/>
      <c r="J72" s="2299"/>
      <c r="K72" s="2299"/>
      <c r="L72" s="2299"/>
      <c r="M72" s="2299"/>
      <c r="N72" s="2310"/>
      <c r="AE72" s="2318"/>
    </row>
    <row r="73" spans="1:31" hidden="1">
      <c r="A73" s="2395"/>
      <c r="C73" s="2302"/>
      <c r="D73" s="2317"/>
      <c r="E73" s="2317"/>
      <c r="F73" s="2317"/>
      <c r="G73" s="2396"/>
      <c r="H73" s="2316"/>
      <c r="I73" s="2317"/>
      <c r="J73" s="2317"/>
      <c r="K73" s="2317"/>
      <c r="L73" s="2317"/>
      <c r="M73" s="2317"/>
      <c r="N73" s="2302"/>
      <c r="AE73" s="2318"/>
    </row>
    <row r="74" spans="1:31" ht="16.5">
      <c r="A74" s="6292" t="s">
        <v>1186</v>
      </c>
      <c r="B74" s="6293"/>
      <c r="C74" s="6293"/>
      <c r="D74" s="6293"/>
      <c r="E74" s="6293"/>
      <c r="F74" s="6293"/>
      <c r="G74" s="6293"/>
      <c r="H74" s="2319"/>
      <c r="I74" s="2320"/>
      <c r="J74" s="2320"/>
      <c r="K74" s="2320"/>
      <c r="L74" s="2321"/>
      <c r="M74" s="2321"/>
      <c r="N74" s="2308"/>
      <c r="AE74" s="2318"/>
    </row>
    <row r="75" spans="1:31">
      <c r="A75" s="2397"/>
      <c r="H75" s="2332"/>
      <c r="AE75" s="2318"/>
    </row>
    <row r="76" spans="1:31">
      <c r="A76" s="2397"/>
      <c r="D76" s="2342"/>
      <c r="E76" s="2337" t="s">
        <v>1187</v>
      </c>
      <c r="F76" s="2337"/>
      <c r="G76" s="2337" t="s">
        <v>1187</v>
      </c>
      <c r="H76" s="2346"/>
      <c r="I76" s="2342"/>
      <c r="K76" s="2337"/>
      <c r="L76" s="2337"/>
      <c r="M76" s="2337"/>
      <c r="N76" s="2339"/>
      <c r="AE76" s="2318"/>
    </row>
    <row r="77" spans="1:31">
      <c r="A77" s="2397"/>
      <c r="D77" s="2342"/>
      <c r="E77" s="2337" t="s">
        <v>1188</v>
      </c>
      <c r="F77" s="2337"/>
      <c r="G77" s="2337" t="s">
        <v>1189</v>
      </c>
      <c r="H77" s="2346"/>
      <c r="I77" s="2342"/>
      <c r="K77" s="2337"/>
      <c r="L77" s="2337"/>
      <c r="M77" s="2337"/>
      <c r="N77" s="2339"/>
      <c r="AE77" s="2318"/>
    </row>
    <row r="78" spans="1:31">
      <c r="A78" s="2397"/>
      <c r="D78" s="2337"/>
      <c r="E78" s="2337" t="s">
        <v>1131</v>
      </c>
      <c r="F78" s="2337"/>
      <c r="G78" s="2337" t="s">
        <v>1131</v>
      </c>
      <c r="H78" s="2338"/>
      <c r="I78" s="2337"/>
      <c r="J78" s="2337"/>
      <c r="K78" s="2337"/>
      <c r="L78" s="2337"/>
      <c r="M78" s="2337"/>
      <c r="N78" s="2339"/>
      <c r="AE78" s="2318"/>
    </row>
    <row r="79" spans="1:31">
      <c r="A79" s="2397"/>
      <c r="C79" s="2336" t="s">
        <v>1130</v>
      </c>
      <c r="D79" s="2337"/>
      <c r="E79" s="2337" t="s">
        <v>1133</v>
      </c>
      <c r="F79" s="2337"/>
      <c r="G79" s="2337" t="s">
        <v>1190</v>
      </c>
      <c r="H79" s="2338"/>
      <c r="I79" s="2337"/>
      <c r="J79" s="2337"/>
      <c r="K79" s="2337"/>
      <c r="L79" s="2337"/>
      <c r="M79" s="2337"/>
      <c r="N79" s="2339"/>
      <c r="AE79" s="2318"/>
    </row>
    <row r="80" spans="1:31">
      <c r="A80" s="2395" t="s">
        <v>1191</v>
      </c>
      <c r="C80" s="2390"/>
      <c r="D80" s="2342"/>
      <c r="H80" s="2346"/>
      <c r="I80" s="2342"/>
      <c r="J80" s="2342"/>
      <c r="K80" s="2342"/>
      <c r="L80" s="2342"/>
      <c r="M80" s="2342"/>
      <c r="AE80" s="2318"/>
    </row>
    <row r="81" spans="1:31">
      <c r="A81" s="2397" t="s">
        <v>1192</v>
      </c>
      <c r="B81" s="2398"/>
      <c r="C81" s="2345">
        <v>11</v>
      </c>
      <c r="E81" s="2330">
        <f>E402</f>
        <v>367226.49000000005</v>
      </c>
      <c r="G81" s="2330">
        <v>259279.66</v>
      </c>
      <c r="H81" s="2346"/>
      <c r="I81" s="2342"/>
      <c r="J81" s="2342"/>
      <c r="K81" s="2342"/>
      <c r="L81" s="2342"/>
      <c r="M81" s="2342"/>
      <c r="N81" s="2356"/>
      <c r="AE81" s="2318"/>
    </row>
    <row r="82" spans="1:31">
      <c r="A82" s="2397" t="s">
        <v>1193</v>
      </c>
      <c r="C82" s="2345">
        <v>12</v>
      </c>
      <c r="E82" s="2353">
        <f>E421</f>
        <v>4461.4800000000005</v>
      </c>
      <c r="G82" s="2353">
        <v>3654.01</v>
      </c>
      <c r="H82" s="2346"/>
      <c r="I82" s="2342"/>
      <c r="J82" s="2342"/>
      <c r="K82" s="2342"/>
      <c r="L82" s="2342"/>
      <c r="M82" s="2342"/>
      <c r="N82" s="2356"/>
      <c r="AE82" s="2318"/>
    </row>
    <row r="83" spans="1:31">
      <c r="A83" s="2397"/>
      <c r="C83" s="2336"/>
      <c r="D83" s="2342"/>
      <c r="E83" s="2342">
        <f>+E82+E81</f>
        <v>371687.97000000003</v>
      </c>
      <c r="F83" s="2342"/>
      <c r="G83" s="2399">
        <f>+G82+G81</f>
        <v>262933.67</v>
      </c>
      <c r="H83" s="2346"/>
      <c r="I83" s="2342"/>
      <c r="J83" s="2342"/>
      <c r="K83" s="2342"/>
      <c r="M83" s="2342"/>
      <c r="N83" s="2356"/>
      <c r="P83" s="2347" t="s">
        <v>94</v>
      </c>
      <c r="AE83" s="2318"/>
    </row>
    <row r="84" spans="1:31">
      <c r="A84" s="2395" t="s">
        <v>767</v>
      </c>
      <c r="C84" s="2400"/>
      <c r="D84" s="2342"/>
      <c r="H84" s="2346"/>
      <c r="I84" s="2342"/>
      <c r="J84" s="2342"/>
      <c r="K84" s="2342"/>
      <c r="L84" s="2342"/>
      <c r="M84" s="2342"/>
      <c r="N84" s="2356"/>
      <c r="P84" s="1943" t="s">
        <v>94</v>
      </c>
      <c r="AE84" s="2318"/>
    </row>
    <row r="85" spans="1:31">
      <c r="A85" s="2397" t="s">
        <v>1194</v>
      </c>
      <c r="C85" s="2358"/>
      <c r="E85" s="2330">
        <v>292829.46000000002</v>
      </c>
      <c r="G85" s="2330">
        <v>242566.61</v>
      </c>
      <c r="H85" s="2346"/>
      <c r="I85" s="2342"/>
      <c r="J85" s="2342"/>
      <c r="K85" s="2342"/>
      <c r="M85" s="2342"/>
      <c r="N85" s="2356"/>
      <c r="AE85" s="2318"/>
    </row>
    <row r="86" spans="1:31">
      <c r="A86" s="2397" t="s">
        <v>1195</v>
      </c>
      <c r="C86" s="2345">
        <v>13</v>
      </c>
      <c r="E86" s="2330">
        <f>E501</f>
        <v>52252.650000000009</v>
      </c>
      <c r="G86" s="2330">
        <v>42199.05</v>
      </c>
      <c r="H86" s="2346"/>
      <c r="I86" s="2342"/>
      <c r="J86" s="2342"/>
      <c r="K86" s="2342"/>
      <c r="N86" s="2356"/>
      <c r="AE86" s="2318"/>
    </row>
    <row r="87" spans="1:31" outlineLevel="1">
      <c r="A87" s="2397" t="s">
        <v>1196</v>
      </c>
      <c r="C87" s="2345"/>
      <c r="E87" s="2330">
        <v>3258.18</v>
      </c>
      <c r="G87" s="2330">
        <v>3355.7</v>
      </c>
      <c r="H87" s="2346"/>
      <c r="I87" s="2342"/>
      <c r="J87" s="2342"/>
      <c r="K87" s="2342"/>
      <c r="N87" s="2356"/>
      <c r="O87" s="2390"/>
      <c r="P87" s="2390"/>
      <c r="AE87" s="2318"/>
    </row>
    <row r="88" spans="1:31" hidden="1">
      <c r="A88" s="2397" t="s">
        <v>1197</v>
      </c>
      <c r="C88" s="2345"/>
      <c r="G88" s="2330">
        <v>0</v>
      </c>
      <c r="H88" s="2332"/>
      <c r="I88" s="2342"/>
      <c r="J88" s="2342"/>
      <c r="K88" s="2342"/>
      <c r="M88" s="2342"/>
      <c r="N88" s="2356"/>
      <c r="AE88" s="2318"/>
    </row>
    <row r="89" spans="1:31" ht="15.75" thickBot="1">
      <c r="A89" s="2397" t="s">
        <v>240</v>
      </c>
      <c r="C89" s="2401"/>
      <c r="E89" s="2361">
        <v>9116.0400000000009</v>
      </c>
      <c r="G89" s="2353">
        <v>6046.1</v>
      </c>
      <c r="H89" s="2332"/>
      <c r="I89" s="2342"/>
      <c r="J89" s="2342"/>
      <c r="K89" s="2342"/>
      <c r="N89" s="2356"/>
      <c r="AE89" s="2318"/>
    </row>
    <row r="90" spans="1:31">
      <c r="A90" s="2402"/>
      <c r="B90" s="2403"/>
      <c r="C90" s="2369"/>
      <c r="D90" s="2342"/>
      <c r="E90" s="2342">
        <f>SUM(E85:E89)</f>
        <v>357456.33</v>
      </c>
      <c r="F90" s="2342"/>
      <c r="G90" s="2342">
        <f>SUM(G85:G89)</f>
        <v>294167.45999999996</v>
      </c>
      <c r="H90" s="2346"/>
      <c r="I90" s="2342"/>
      <c r="J90" s="2342"/>
      <c r="K90" s="2342"/>
      <c r="N90" s="2356"/>
      <c r="AE90" s="2318"/>
    </row>
    <row r="91" spans="1:31">
      <c r="A91" s="2404"/>
      <c r="B91" s="2403"/>
      <c r="C91" s="2369"/>
      <c r="D91" s="2342"/>
      <c r="H91" s="2346"/>
      <c r="I91" s="2342"/>
      <c r="J91" s="2342"/>
      <c r="N91" s="2356"/>
      <c r="AE91" s="2318"/>
    </row>
    <row r="92" spans="1:31">
      <c r="A92" s="2395" t="s">
        <v>1198</v>
      </c>
      <c r="C92" s="2390"/>
      <c r="D92" s="2342"/>
      <c r="E92" s="2330">
        <f>+E83-E90</f>
        <v>14231.640000000014</v>
      </c>
      <c r="G92" s="2330">
        <f>+G83-G90</f>
        <v>-31233.789999999979</v>
      </c>
      <c r="H92" s="2346"/>
      <c r="I92" s="2342"/>
      <c r="J92" s="2342"/>
      <c r="K92" s="2342"/>
      <c r="N92" s="2356"/>
      <c r="O92" s="2347"/>
      <c r="P92" s="2356"/>
      <c r="AE92" s="2318"/>
    </row>
    <row r="93" spans="1:31">
      <c r="A93" s="2397" t="s">
        <v>1199</v>
      </c>
      <c r="C93" s="2390"/>
      <c r="D93" s="2342"/>
      <c r="E93" s="2330">
        <f>G97</f>
        <v>-36853.239999999983</v>
      </c>
      <c r="G93" s="2330">
        <v>17861.259999999998</v>
      </c>
      <c r="H93" s="2346"/>
      <c r="I93" s="2342"/>
      <c r="J93" s="2342"/>
      <c r="K93" s="2342"/>
      <c r="N93" s="2356"/>
      <c r="O93" s="2347"/>
      <c r="P93" s="2356"/>
      <c r="AE93" s="2318"/>
    </row>
    <row r="94" spans="1:31">
      <c r="A94" s="2397" t="s">
        <v>1200</v>
      </c>
      <c r="C94" s="2345">
        <v>14</v>
      </c>
      <c r="D94" s="2342"/>
      <c r="E94" s="2330">
        <f>E532</f>
        <v>-364.94000000000005</v>
      </c>
      <c r="G94" s="2330">
        <v>4180.95</v>
      </c>
      <c r="H94" s="2346"/>
      <c r="I94" s="2342"/>
      <c r="J94" s="2342"/>
      <c r="K94" s="2342"/>
      <c r="L94" s="2342"/>
      <c r="M94" s="2342"/>
      <c r="N94" s="2356" t="s">
        <v>732</v>
      </c>
      <c r="AE94" s="2318"/>
    </row>
    <row r="95" spans="1:31">
      <c r="A95" s="2397" t="s">
        <v>1201</v>
      </c>
      <c r="C95" s="2345">
        <v>15</v>
      </c>
      <c r="D95" s="2342"/>
      <c r="E95" s="2330">
        <f>(-E551)</f>
        <v>-1689.8</v>
      </c>
      <c r="G95" s="2330">
        <v>-14369.01</v>
      </c>
      <c r="H95" s="2346"/>
      <c r="I95" s="2342"/>
      <c r="J95" s="2342"/>
      <c r="K95" s="2342"/>
      <c r="N95" s="2356"/>
      <c r="AE95" s="2318"/>
    </row>
    <row r="96" spans="1:31">
      <c r="A96" s="2405" t="s">
        <v>1202</v>
      </c>
      <c r="B96" s="1943"/>
      <c r="D96" s="1943"/>
      <c r="E96" s="2406">
        <v>0</v>
      </c>
      <c r="F96" s="1943"/>
      <c r="G96" s="2330">
        <v>-13292.65</v>
      </c>
      <c r="H96" s="2346"/>
      <c r="I96" s="2342"/>
      <c r="J96" s="2342"/>
      <c r="K96" s="2342"/>
      <c r="L96" s="2342"/>
      <c r="M96" s="2342"/>
      <c r="N96" s="2356"/>
      <c r="AE96" s="2318"/>
    </row>
    <row r="97" spans="1:250" ht="15.75" thickBot="1">
      <c r="A97" s="2395" t="s">
        <v>1203</v>
      </c>
      <c r="C97" s="2390"/>
      <c r="D97" s="2342"/>
      <c r="E97" s="2355">
        <f>+E92+E94+E95+E93+E96</f>
        <v>-24676.339999999967</v>
      </c>
      <c r="G97" s="2355">
        <f>+G92+G93+G94+G95+G96</f>
        <v>-36853.239999999983</v>
      </c>
      <c r="H97" s="2346"/>
      <c r="I97" s="2342"/>
      <c r="J97" s="2342"/>
      <c r="K97" s="2342"/>
      <c r="N97" s="2356"/>
      <c r="O97" s="2406"/>
      <c r="Q97" s="2386"/>
      <c r="R97" s="2492"/>
      <c r="S97" s="2493"/>
      <c r="T97" s="2386"/>
      <c r="U97" s="2494"/>
      <c r="V97" s="2492"/>
      <c r="W97" s="2386"/>
      <c r="X97" s="2492"/>
      <c r="Y97" s="2493"/>
      <c r="Z97" s="2386"/>
      <c r="AA97" s="2494"/>
      <c r="AE97" s="2318"/>
      <c r="IP97" s="2342">
        <f>+IP92-IP94-IP95</f>
        <v>0</v>
      </c>
    </row>
    <row r="98" spans="1:250" ht="15.75" thickTop="1">
      <c r="A98" s="2395"/>
      <c r="C98" s="2390"/>
      <c r="D98" s="2342"/>
      <c r="G98" s="2342" t="s">
        <v>94</v>
      </c>
      <c r="H98" s="2346"/>
      <c r="I98" s="2342"/>
      <c r="J98" s="2342"/>
      <c r="K98" s="2342"/>
      <c r="L98" s="2342"/>
      <c r="M98" s="2342"/>
      <c r="N98" s="2330"/>
      <c r="O98" s="2406"/>
      <c r="Q98" s="2386"/>
      <c r="R98" s="2492"/>
      <c r="S98" s="2492"/>
      <c r="T98" s="2386"/>
      <c r="U98" s="2492"/>
      <c r="V98" s="2492"/>
      <c r="W98" s="2386"/>
      <c r="X98" s="2492"/>
      <c r="Y98" s="2492"/>
      <c r="Z98" s="2386"/>
      <c r="AA98" s="2492"/>
      <c r="AE98" s="2318"/>
    </row>
    <row r="99" spans="1:250">
      <c r="A99" s="2407" t="s">
        <v>1204</v>
      </c>
      <c r="B99" s="1943"/>
      <c r="C99" s="2408">
        <v>16</v>
      </c>
      <c r="E99" s="2330" t="s">
        <v>94</v>
      </c>
      <c r="H99" s="2332"/>
      <c r="I99" s="2333"/>
      <c r="K99" s="2342"/>
      <c r="L99" s="2336"/>
      <c r="M99" s="2386"/>
      <c r="N99" s="2494"/>
      <c r="O99" s="2492"/>
      <c r="P99" s="2493"/>
      <c r="Q99" s="2386"/>
      <c r="R99" s="2492"/>
      <c r="S99" s="2492"/>
      <c r="T99" s="2386"/>
      <c r="U99" s="2492"/>
      <c r="V99" s="2492"/>
      <c r="W99" s="2386"/>
      <c r="X99" s="2492"/>
      <c r="Y99" s="2492"/>
      <c r="Z99" s="2386"/>
      <c r="AA99" s="2492"/>
      <c r="AB99" s="2492"/>
      <c r="AC99" s="2493"/>
      <c r="AD99" s="2386"/>
      <c r="AE99" s="2495"/>
      <c r="AF99" s="2492"/>
      <c r="AG99" s="2493"/>
      <c r="AH99" s="2386"/>
      <c r="AI99" s="2494"/>
      <c r="AJ99" s="2492"/>
      <c r="AK99" s="2493"/>
      <c r="AL99" s="2386"/>
      <c r="AM99" s="2494"/>
      <c r="AN99" s="2492"/>
      <c r="AO99" s="2493"/>
      <c r="AP99" s="2386"/>
      <c r="AQ99" s="2494"/>
      <c r="AR99" s="2492"/>
      <c r="AS99" s="2493"/>
      <c r="AT99" s="2386"/>
      <c r="AU99" s="2494"/>
      <c r="AV99" s="2492"/>
      <c r="AW99" s="2493"/>
      <c r="AX99" s="2386"/>
      <c r="AY99" s="2494"/>
      <c r="AZ99" s="2492"/>
      <c r="BA99" s="2493"/>
      <c r="BB99" s="2386"/>
      <c r="BC99" s="2494"/>
      <c r="BD99" s="2492"/>
      <c r="BE99" s="2493"/>
      <c r="BF99" s="2386"/>
      <c r="BG99" s="2494"/>
      <c r="BH99" s="2492"/>
      <c r="BI99" s="2493"/>
      <c r="BJ99" s="2386"/>
      <c r="BK99" s="2494"/>
      <c r="BL99" s="2492"/>
      <c r="BM99" s="2493"/>
      <c r="BN99" s="2386"/>
      <c r="BO99" s="2494"/>
      <c r="BP99" s="2492"/>
      <c r="BQ99" s="2493"/>
      <c r="BR99" s="2386"/>
      <c r="BS99" s="2494"/>
      <c r="BT99" s="2492"/>
      <c r="BU99" s="2493"/>
      <c r="BV99" s="2386"/>
      <c r="BW99" s="2494"/>
      <c r="BX99" s="2492"/>
      <c r="BY99" s="2493"/>
      <c r="BZ99" s="2386"/>
      <c r="CA99" s="2494"/>
      <c r="CB99" s="2492"/>
      <c r="CC99" s="2493"/>
      <c r="CD99" s="2386"/>
      <c r="CE99" s="2494"/>
      <c r="CF99" s="2492"/>
      <c r="CG99" s="2493"/>
      <c r="CH99" s="2386"/>
      <c r="CI99" s="2494"/>
      <c r="CJ99" s="2492"/>
      <c r="CK99" s="2493"/>
      <c r="CL99" s="2386"/>
      <c r="CM99" s="2494"/>
      <c r="CN99" s="2492"/>
      <c r="CO99" s="2493"/>
      <c r="CP99" s="2386"/>
      <c r="CQ99" s="2494"/>
      <c r="CR99" s="2492"/>
      <c r="CS99" s="2493"/>
      <c r="CT99" s="2386"/>
      <c r="CU99" s="2494"/>
      <c r="CV99" s="2492"/>
      <c r="CW99" s="2493"/>
      <c r="CX99" s="2386"/>
      <c r="CY99" s="2494"/>
      <c r="CZ99" s="2492"/>
      <c r="DA99" s="2493"/>
      <c r="DB99" s="2386"/>
      <c r="DC99" s="2494"/>
      <c r="DD99" s="2492"/>
      <c r="DE99" s="2493"/>
      <c r="DF99" s="2386"/>
      <c r="DG99" s="2494"/>
      <c r="DH99" s="2492"/>
      <c r="DI99" s="2493"/>
      <c r="DJ99" s="2386"/>
      <c r="DK99" s="2494"/>
      <c r="DL99" s="2492"/>
      <c r="DM99" s="2493"/>
      <c r="DN99" s="2386"/>
      <c r="DO99" s="2494"/>
      <c r="DP99" s="2492"/>
      <c r="DQ99" s="2493"/>
      <c r="DR99" s="2386"/>
      <c r="DS99" s="2494"/>
      <c r="DT99" s="2492"/>
      <c r="DU99" s="2493"/>
      <c r="DV99" s="2386"/>
      <c r="DW99" s="2494"/>
      <c r="DX99" s="2492"/>
      <c r="DY99" s="2493"/>
      <c r="DZ99" s="2386"/>
      <c r="EA99" s="2494"/>
      <c r="EB99" s="2492"/>
      <c r="EC99" s="2493"/>
      <c r="ED99" s="2386"/>
      <c r="EE99" s="2494"/>
      <c r="EF99" s="2492"/>
      <c r="EG99" s="2493"/>
      <c r="EH99" s="2386"/>
      <c r="EI99" s="2494"/>
      <c r="EJ99" s="2492"/>
      <c r="EK99" s="2493"/>
      <c r="EL99" s="2386"/>
      <c r="EM99" s="2494"/>
      <c r="EN99" s="2492"/>
      <c r="EO99" s="2493"/>
      <c r="EP99" s="2386"/>
      <c r="EQ99" s="2494"/>
      <c r="ER99" s="2492"/>
      <c r="ES99" s="2493"/>
      <c r="ET99" s="2386"/>
      <c r="EU99" s="2494"/>
      <c r="EV99" s="2492"/>
      <c r="EW99" s="2493"/>
      <c r="EX99" s="2386"/>
      <c r="EY99" s="2494"/>
      <c r="EZ99" s="2492"/>
      <c r="FA99" s="2493"/>
      <c r="FB99" s="2386"/>
      <c r="FC99" s="2494"/>
      <c r="FD99" s="2492"/>
      <c r="FE99" s="2493"/>
      <c r="FF99" s="2386"/>
      <c r="FG99" s="2494"/>
      <c r="FH99" s="2492"/>
      <c r="FI99" s="2493"/>
      <c r="FJ99" s="2386"/>
      <c r="FK99" s="2494"/>
      <c r="FL99" s="2492"/>
      <c r="FM99" s="2493"/>
      <c r="FN99" s="2386"/>
      <c r="FO99" s="2494"/>
      <c r="FP99" s="2492"/>
      <c r="FQ99" s="2493"/>
      <c r="FR99" s="2386"/>
      <c r="FS99" s="2494"/>
      <c r="FT99" s="2492"/>
      <c r="FU99" s="2493"/>
      <c r="FV99" s="2386"/>
      <c r="FW99" s="2494"/>
      <c r="FX99" s="2492"/>
      <c r="FY99" s="2493"/>
      <c r="FZ99" s="2386"/>
      <c r="GA99" s="2494"/>
      <c r="GB99" s="2492"/>
      <c r="GC99" s="2493"/>
      <c r="GD99" s="2386"/>
      <c r="GE99" s="2494"/>
      <c r="GF99" s="2492"/>
      <c r="GG99" s="2493"/>
      <c r="GH99" s="2386"/>
      <c r="GI99" s="2494"/>
      <c r="GJ99" s="2492"/>
      <c r="GK99" s="2493"/>
      <c r="GL99" s="2386"/>
      <c r="GM99" s="2494"/>
      <c r="GN99" s="2492"/>
      <c r="GO99" s="2493"/>
      <c r="GP99" s="2386"/>
      <c r="GQ99" s="2494"/>
      <c r="GR99" s="2492"/>
      <c r="GS99" s="2493"/>
      <c r="GT99" s="2386"/>
      <c r="GU99" s="2494"/>
      <c r="GV99" s="2492"/>
      <c r="GW99" s="2493"/>
      <c r="GX99" s="2386"/>
      <c r="GY99" s="2494"/>
      <c r="GZ99" s="2492"/>
      <c r="HA99" s="2493"/>
      <c r="HB99" s="2386"/>
      <c r="HC99" s="2494"/>
      <c r="HD99" s="2492"/>
      <c r="HE99" s="2493"/>
      <c r="HF99" s="2386"/>
      <c r="HG99" s="2494"/>
      <c r="HH99" s="2492"/>
      <c r="HI99" s="2493"/>
      <c r="HJ99" s="2386"/>
      <c r="HK99" s="2494"/>
      <c r="HL99" s="2492"/>
      <c r="HM99" s="2493"/>
      <c r="HN99" s="2386"/>
      <c r="HO99" s="2494"/>
      <c r="HP99" s="2492"/>
      <c r="HQ99" s="2493"/>
      <c r="HR99" s="2386"/>
      <c r="HS99" s="2494"/>
      <c r="HT99" s="2492"/>
      <c r="HU99" s="2493"/>
      <c r="HV99" s="2386"/>
      <c r="HW99" s="2494"/>
      <c r="HX99" s="2492"/>
      <c r="HY99" s="2493"/>
      <c r="HZ99" s="2386"/>
      <c r="IA99" s="2494"/>
      <c r="IB99" s="2492"/>
      <c r="IC99" s="2493"/>
      <c r="ID99" s="2386"/>
      <c r="IE99" s="2494"/>
      <c r="IF99" s="2492"/>
      <c r="IG99" s="2493"/>
      <c r="IH99" s="2386"/>
      <c r="II99" s="2494"/>
      <c r="IJ99" s="2492"/>
      <c r="IK99" s="2493"/>
      <c r="IL99" s="2386"/>
      <c r="IM99" s="2494"/>
      <c r="IN99" s="2492"/>
      <c r="IO99" s="2493"/>
      <c r="IP99" s="2386"/>
    </row>
    <row r="100" spans="1:250">
      <c r="A100" s="2407" t="s">
        <v>1205</v>
      </c>
      <c r="B100" s="1943"/>
      <c r="G100" s="2330"/>
      <c r="H100" s="2332"/>
      <c r="L100" s="1943"/>
      <c r="M100" s="2386"/>
      <c r="N100" s="2492"/>
      <c r="O100" s="2492"/>
      <c r="P100" s="2492"/>
      <c r="Q100" s="2386"/>
      <c r="R100" s="2492"/>
      <c r="S100" s="2492"/>
      <c r="T100" s="2386"/>
      <c r="U100" s="2492"/>
      <c r="V100" s="2492"/>
      <c r="W100" s="2386"/>
      <c r="X100" s="2492"/>
      <c r="Y100" s="2492"/>
      <c r="Z100" s="2386"/>
      <c r="AA100" s="2492"/>
      <c r="AB100" s="2492"/>
      <c r="AC100" s="2492"/>
      <c r="AD100" s="2386"/>
      <c r="AE100" s="2318"/>
      <c r="AF100" s="2492"/>
      <c r="AG100" s="2492"/>
      <c r="AH100" s="2386"/>
      <c r="AI100" s="2492"/>
      <c r="AJ100" s="2492"/>
      <c r="AK100" s="2492"/>
      <c r="AL100" s="2386"/>
      <c r="AM100" s="2492"/>
      <c r="AN100" s="2492"/>
      <c r="AO100" s="2492"/>
      <c r="AP100" s="2386"/>
      <c r="AQ100" s="2492"/>
      <c r="AR100" s="2492"/>
      <c r="AS100" s="2492"/>
      <c r="AT100" s="2386"/>
      <c r="AU100" s="2492"/>
      <c r="AV100" s="2492"/>
      <c r="AW100" s="2492"/>
      <c r="AX100" s="2386"/>
      <c r="AY100" s="2492"/>
      <c r="AZ100" s="2492"/>
      <c r="BA100" s="2492"/>
      <c r="BB100" s="2386"/>
      <c r="BC100" s="2492"/>
      <c r="BD100" s="2492"/>
      <c r="BE100" s="2492"/>
      <c r="BF100" s="2386"/>
      <c r="BG100" s="2492"/>
      <c r="BH100" s="2492"/>
      <c r="BI100" s="2492"/>
      <c r="BJ100" s="2386"/>
      <c r="BK100" s="2492"/>
      <c r="BL100" s="2492"/>
      <c r="BM100" s="2492"/>
      <c r="BN100" s="2386"/>
      <c r="BO100" s="2492"/>
      <c r="BP100" s="2492"/>
      <c r="BQ100" s="2492"/>
      <c r="BR100" s="2386"/>
      <c r="BS100" s="2492"/>
      <c r="BT100" s="2492"/>
      <c r="BU100" s="2492"/>
      <c r="BV100" s="2386"/>
      <c r="BW100" s="2492"/>
      <c r="BX100" s="2492"/>
      <c r="BY100" s="2492"/>
      <c r="BZ100" s="2386"/>
      <c r="CA100" s="2492"/>
      <c r="CB100" s="2492"/>
      <c r="CC100" s="2492"/>
      <c r="CD100" s="2386"/>
      <c r="CE100" s="2492"/>
      <c r="CF100" s="2492"/>
      <c r="CG100" s="2492"/>
      <c r="CH100" s="2386"/>
      <c r="CI100" s="2492"/>
      <c r="CJ100" s="2492"/>
      <c r="CK100" s="2492"/>
      <c r="CL100" s="2386"/>
      <c r="CM100" s="2492"/>
      <c r="CN100" s="2492"/>
      <c r="CO100" s="2492"/>
      <c r="CP100" s="2386"/>
      <c r="CQ100" s="2492"/>
      <c r="CR100" s="2492"/>
      <c r="CS100" s="2492"/>
      <c r="CT100" s="2386"/>
      <c r="CU100" s="2492"/>
      <c r="CV100" s="2492"/>
      <c r="CW100" s="2492"/>
      <c r="CX100" s="2386"/>
      <c r="CY100" s="2492"/>
      <c r="CZ100" s="2492"/>
      <c r="DA100" s="2492"/>
      <c r="DB100" s="2386"/>
      <c r="DC100" s="2492"/>
      <c r="DD100" s="2492"/>
      <c r="DE100" s="2492"/>
      <c r="DF100" s="2386"/>
      <c r="DG100" s="2492"/>
      <c r="DH100" s="2492"/>
      <c r="DI100" s="2492"/>
      <c r="DJ100" s="2386"/>
      <c r="DK100" s="2492"/>
      <c r="DL100" s="2492"/>
      <c r="DM100" s="2492"/>
      <c r="DN100" s="2386"/>
      <c r="DO100" s="2492"/>
      <c r="DP100" s="2492"/>
      <c r="DQ100" s="2492"/>
      <c r="DR100" s="2386"/>
      <c r="DS100" s="2492"/>
      <c r="DT100" s="2492"/>
      <c r="DU100" s="2492"/>
      <c r="DV100" s="2386"/>
      <c r="DW100" s="2492"/>
      <c r="DX100" s="2492"/>
      <c r="DY100" s="2492"/>
      <c r="DZ100" s="2386"/>
      <c r="EA100" s="2492"/>
      <c r="EB100" s="2492"/>
      <c r="EC100" s="2492"/>
      <c r="ED100" s="2386"/>
      <c r="EE100" s="2492"/>
      <c r="EF100" s="2492"/>
      <c r="EG100" s="2492"/>
      <c r="EH100" s="2386"/>
      <c r="EI100" s="2492"/>
      <c r="EJ100" s="2492"/>
      <c r="EK100" s="2492"/>
      <c r="EL100" s="2386"/>
      <c r="EM100" s="2492"/>
      <c r="EN100" s="2492"/>
      <c r="EO100" s="2492"/>
      <c r="EP100" s="2386"/>
      <c r="EQ100" s="2492"/>
      <c r="ER100" s="2492"/>
      <c r="ES100" s="2492"/>
      <c r="ET100" s="2386"/>
      <c r="EU100" s="2492"/>
      <c r="EV100" s="2492"/>
      <c r="EW100" s="2492"/>
      <c r="EX100" s="2386"/>
      <c r="EY100" s="2492"/>
      <c r="EZ100" s="2492"/>
      <c r="FA100" s="2492"/>
      <c r="FB100" s="2386"/>
      <c r="FC100" s="2492"/>
      <c r="FD100" s="2492"/>
      <c r="FE100" s="2492"/>
      <c r="FF100" s="2386"/>
      <c r="FG100" s="2492"/>
      <c r="FH100" s="2492"/>
      <c r="FI100" s="2492"/>
      <c r="FJ100" s="2386"/>
      <c r="FK100" s="2492"/>
      <c r="FL100" s="2492"/>
      <c r="FM100" s="2492"/>
      <c r="FN100" s="2386"/>
      <c r="FO100" s="2492"/>
      <c r="FP100" s="2492"/>
      <c r="FQ100" s="2492"/>
      <c r="FR100" s="2386"/>
      <c r="FS100" s="2492"/>
      <c r="FT100" s="2492"/>
      <c r="FU100" s="2492"/>
      <c r="FV100" s="2386"/>
      <c r="FW100" s="2492"/>
      <c r="FX100" s="2492"/>
      <c r="FY100" s="2492"/>
      <c r="FZ100" s="2386"/>
      <c r="GA100" s="2492"/>
      <c r="GB100" s="2492"/>
      <c r="GC100" s="2492"/>
      <c r="GD100" s="2386"/>
      <c r="GE100" s="2492"/>
      <c r="GF100" s="2492"/>
      <c r="GG100" s="2492"/>
      <c r="GH100" s="2386"/>
      <c r="GI100" s="2492"/>
      <c r="GJ100" s="2492"/>
      <c r="GK100" s="2492"/>
      <c r="GL100" s="2386"/>
      <c r="GM100" s="2492"/>
      <c r="GN100" s="2492"/>
      <c r="GO100" s="2492"/>
      <c r="GP100" s="2386"/>
      <c r="GQ100" s="2492"/>
      <c r="GR100" s="2492"/>
      <c r="GS100" s="2492"/>
      <c r="GT100" s="2386"/>
      <c r="GU100" s="2492"/>
      <c r="GV100" s="2492"/>
      <c r="GW100" s="2492"/>
      <c r="GX100" s="2386"/>
      <c r="GY100" s="2492"/>
      <c r="GZ100" s="2492"/>
      <c r="HA100" s="2492"/>
      <c r="HB100" s="2386"/>
      <c r="HC100" s="2492"/>
      <c r="HD100" s="2492"/>
      <c r="HE100" s="2492"/>
      <c r="HF100" s="2386"/>
      <c r="HG100" s="2492"/>
      <c r="HH100" s="2492"/>
      <c r="HI100" s="2492"/>
      <c r="HJ100" s="2386"/>
      <c r="HK100" s="2492"/>
      <c r="HL100" s="2492"/>
      <c r="HM100" s="2492"/>
      <c r="HN100" s="2386"/>
      <c r="HO100" s="2492"/>
      <c r="HP100" s="2492"/>
      <c r="HQ100" s="2492"/>
      <c r="HR100" s="2386"/>
      <c r="HS100" s="2492"/>
      <c r="HT100" s="2492"/>
      <c r="HU100" s="2492"/>
      <c r="HV100" s="2386"/>
      <c r="HW100" s="2492"/>
      <c r="HX100" s="2492"/>
      <c r="HY100" s="2492"/>
      <c r="HZ100" s="2386"/>
      <c r="IA100" s="2492"/>
      <c r="IB100" s="2492"/>
      <c r="IC100" s="2492"/>
      <c r="ID100" s="2386"/>
      <c r="IE100" s="2492"/>
      <c r="IF100" s="2492"/>
      <c r="IG100" s="2492"/>
      <c r="IH100" s="2386"/>
      <c r="II100" s="2492"/>
      <c r="IJ100" s="2492"/>
      <c r="IK100" s="2492"/>
      <c r="IL100" s="2386"/>
      <c r="IM100" s="2492"/>
      <c r="IN100" s="2492"/>
      <c r="IO100" s="2492"/>
      <c r="IP100" s="2386"/>
    </row>
    <row r="101" spans="1:250">
      <c r="A101" s="2407"/>
      <c r="B101" s="1943"/>
      <c r="G101" s="2330"/>
      <c r="H101" s="2332"/>
      <c r="L101" s="1943"/>
      <c r="M101" s="2386"/>
      <c r="N101" s="2492"/>
      <c r="O101" s="2492"/>
      <c r="P101" s="2492"/>
      <c r="Q101" s="2386"/>
      <c r="R101" s="2492"/>
      <c r="S101" s="2492"/>
      <c r="T101" s="2386"/>
      <c r="U101" s="2492"/>
      <c r="V101" s="2492"/>
      <c r="W101" s="2386"/>
      <c r="X101" s="2492"/>
      <c r="Y101" s="2492"/>
      <c r="Z101" s="2386"/>
      <c r="AA101" s="2492"/>
      <c r="AB101" s="2492"/>
      <c r="AC101" s="2492"/>
      <c r="AD101" s="2386"/>
      <c r="AE101" s="2318"/>
      <c r="AF101" s="2492"/>
      <c r="AG101" s="2492"/>
      <c r="AH101" s="2386"/>
      <c r="AI101" s="2492"/>
      <c r="AJ101" s="2492"/>
      <c r="AK101" s="2492"/>
      <c r="AL101" s="2386"/>
      <c r="AM101" s="2492"/>
      <c r="AN101" s="2492"/>
      <c r="AO101" s="2492"/>
      <c r="AP101" s="2386"/>
      <c r="AQ101" s="2492"/>
      <c r="AR101" s="2492"/>
      <c r="AS101" s="2492"/>
      <c r="AT101" s="2386"/>
      <c r="AU101" s="2492"/>
      <c r="AV101" s="2492"/>
      <c r="AW101" s="2492"/>
      <c r="AX101" s="2386"/>
      <c r="AY101" s="2492"/>
      <c r="AZ101" s="2492"/>
      <c r="BA101" s="2492"/>
      <c r="BB101" s="2386"/>
      <c r="BC101" s="2492"/>
      <c r="BD101" s="2492"/>
      <c r="BE101" s="2492"/>
      <c r="BF101" s="2386"/>
      <c r="BG101" s="2492"/>
      <c r="BH101" s="2492"/>
      <c r="BI101" s="2492"/>
      <c r="BJ101" s="2386"/>
      <c r="BK101" s="2492"/>
      <c r="BL101" s="2492"/>
      <c r="BM101" s="2492"/>
      <c r="BN101" s="2386"/>
      <c r="BO101" s="2492"/>
      <c r="BP101" s="2492"/>
      <c r="BQ101" s="2492"/>
      <c r="BR101" s="2386"/>
      <c r="BS101" s="2492"/>
      <c r="BT101" s="2492"/>
      <c r="BU101" s="2492"/>
      <c r="BV101" s="2386"/>
      <c r="BW101" s="2492"/>
      <c r="BX101" s="2492"/>
      <c r="BY101" s="2492"/>
      <c r="BZ101" s="2386"/>
      <c r="CA101" s="2492"/>
      <c r="CB101" s="2492"/>
      <c r="CC101" s="2492"/>
      <c r="CD101" s="2386"/>
      <c r="CE101" s="2492"/>
      <c r="CF101" s="2492"/>
      <c r="CG101" s="2492"/>
      <c r="CH101" s="2386"/>
      <c r="CI101" s="2492"/>
      <c r="CJ101" s="2492"/>
      <c r="CK101" s="2492"/>
      <c r="CL101" s="2386"/>
      <c r="CM101" s="2492"/>
      <c r="CN101" s="2492"/>
      <c r="CO101" s="2492"/>
      <c r="CP101" s="2386"/>
      <c r="CQ101" s="2492"/>
      <c r="CR101" s="2492"/>
      <c r="CS101" s="2492"/>
      <c r="CT101" s="2386"/>
      <c r="CU101" s="2492"/>
      <c r="CV101" s="2492"/>
      <c r="CW101" s="2492"/>
      <c r="CX101" s="2386"/>
      <c r="CY101" s="2492"/>
      <c r="CZ101" s="2492"/>
      <c r="DA101" s="2492"/>
      <c r="DB101" s="2386"/>
      <c r="DC101" s="2492"/>
      <c r="DD101" s="2492"/>
      <c r="DE101" s="2492"/>
      <c r="DF101" s="2386"/>
      <c r="DG101" s="2492"/>
      <c r="DH101" s="2492"/>
      <c r="DI101" s="2492"/>
      <c r="DJ101" s="2386"/>
      <c r="DK101" s="2492"/>
      <c r="DL101" s="2492"/>
      <c r="DM101" s="2492"/>
      <c r="DN101" s="2386"/>
      <c r="DO101" s="2492"/>
      <c r="DP101" s="2492"/>
      <c r="DQ101" s="2492"/>
      <c r="DR101" s="2386"/>
      <c r="DS101" s="2492"/>
      <c r="DT101" s="2492"/>
      <c r="DU101" s="2492"/>
      <c r="DV101" s="2386"/>
      <c r="DW101" s="2492"/>
      <c r="DX101" s="2492"/>
      <c r="DY101" s="2492"/>
      <c r="DZ101" s="2386"/>
      <c r="EA101" s="2492"/>
      <c r="EB101" s="2492"/>
      <c r="EC101" s="2492"/>
      <c r="ED101" s="2386"/>
      <c r="EE101" s="2492"/>
      <c r="EF101" s="2492"/>
      <c r="EG101" s="2492"/>
      <c r="EH101" s="2386"/>
      <c r="EI101" s="2492"/>
      <c r="EJ101" s="2492"/>
      <c r="EK101" s="2492"/>
      <c r="EL101" s="2386"/>
      <c r="EM101" s="2492"/>
      <c r="EN101" s="2492"/>
      <c r="EO101" s="2492"/>
      <c r="EP101" s="2386"/>
      <c r="EQ101" s="2492"/>
      <c r="ER101" s="2492"/>
      <c r="ES101" s="2492"/>
      <c r="ET101" s="2386"/>
      <c r="EU101" s="2492"/>
      <c r="EV101" s="2492"/>
      <c r="EW101" s="2492"/>
      <c r="EX101" s="2386"/>
      <c r="EY101" s="2492"/>
      <c r="EZ101" s="2492"/>
      <c r="FA101" s="2492"/>
      <c r="FB101" s="2386"/>
      <c r="FC101" s="2492"/>
      <c r="FD101" s="2492"/>
      <c r="FE101" s="2492"/>
      <c r="FF101" s="2386"/>
      <c r="FG101" s="2492"/>
      <c r="FH101" s="2492"/>
      <c r="FI101" s="2492"/>
      <c r="FJ101" s="2386"/>
      <c r="FK101" s="2492"/>
      <c r="FL101" s="2492"/>
      <c r="FM101" s="2492"/>
      <c r="FN101" s="2386"/>
      <c r="FO101" s="2492"/>
      <c r="FP101" s="2492"/>
      <c r="FQ101" s="2492"/>
      <c r="FR101" s="2386"/>
      <c r="FS101" s="2492"/>
      <c r="FT101" s="2492"/>
      <c r="FU101" s="2492"/>
      <c r="FV101" s="2386"/>
      <c r="FW101" s="2492"/>
      <c r="FX101" s="2492"/>
      <c r="FY101" s="2492"/>
      <c r="FZ101" s="2386"/>
      <c r="GA101" s="2492"/>
      <c r="GB101" s="2492"/>
      <c r="GC101" s="2492"/>
      <c r="GD101" s="2386"/>
      <c r="GE101" s="2492"/>
      <c r="GF101" s="2492"/>
      <c r="GG101" s="2492"/>
      <c r="GH101" s="2386"/>
      <c r="GI101" s="2492"/>
      <c r="GJ101" s="2492"/>
      <c r="GK101" s="2492"/>
      <c r="GL101" s="2386"/>
      <c r="GM101" s="2492"/>
      <c r="GN101" s="2492"/>
      <c r="GO101" s="2492"/>
      <c r="GP101" s="2386"/>
      <c r="GQ101" s="2492"/>
      <c r="GR101" s="2492"/>
      <c r="GS101" s="2492"/>
      <c r="GT101" s="2386"/>
      <c r="GU101" s="2492"/>
      <c r="GV101" s="2492"/>
      <c r="GW101" s="2492"/>
      <c r="GX101" s="2386"/>
      <c r="GY101" s="2492"/>
      <c r="GZ101" s="2492"/>
      <c r="HA101" s="2492"/>
      <c r="HB101" s="2386"/>
      <c r="HC101" s="2492"/>
      <c r="HD101" s="2492"/>
      <c r="HE101" s="2492"/>
      <c r="HF101" s="2386"/>
      <c r="HG101" s="2492"/>
      <c r="HH101" s="2492"/>
      <c r="HI101" s="2492"/>
      <c r="HJ101" s="2386"/>
      <c r="HK101" s="2492"/>
      <c r="HL101" s="2492"/>
      <c r="HM101" s="2492"/>
      <c r="HN101" s="2386"/>
      <c r="HO101" s="2492"/>
      <c r="HP101" s="2492"/>
      <c r="HQ101" s="2492"/>
      <c r="HR101" s="2386"/>
      <c r="HS101" s="2492"/>
      <c r="HT101" s="2492"/>
      <c r="HU101" s="2492"/>
      <c r="HV101" s="2386"/>
      <c r="HW101" s="2492"/>
      <c r="HX101" s="2492"/>
      <c r="HY101" s="2492"/>
      <c r="HZ101" s="2386"/>
      <c r="IA101" s="2492"/>
      <c r="IB101" s="2492"/>
      <c r="IC101" s="2492"/>
      <c r="ID101" s="2386"/>
      <c r="IE101" s="2492"/>
      <c r="IF101" s="2492"/>
      <c r="IG101" s="2492"/>
      <c r="IH101" s="2386"/>
      <c r="II101" s="2492"/>
      <c r="IJ101" s="2492"/>
      <c r="IK101" s="2492"/>
      <c r="IL101" s="2386"/>
      <c r="IM101" s="2492"/>
      <c r="IN101" s="2492"/>
      <c r="IO101" s="2492"/>
      <c r="IP101" s="2386"/>
    </row>
    <row r="102" spans="1:250">
      <c r="A102" s="2407" t="s">
        <v>1178</v>
      </c>
      <c r="B102" s="1943"/>
      <c r="G102" s="2330"/>
      <c r="H102" s="2332"/>
      <c r="L102" s="1943"/>
      <c r="M102" s="2386"/>
      <c r="N102" s="2492"/>
      <c r="O102" s="2492"/>
      <c r="P102" s="2492"/>
      <c r="Q102" s="2386"/>
      <c r="R102" s="2492"/>
      <c r="S102" s="2492"/>
      <c r="T102" s="2386"/>
      <c r="U102" s="2496"/>
      <c r="V102" s="2492"/>
      <c r="W102" s="2386"/>
      <c r="X102" s="2492"/>
      <c r="Y102" s="2492"/>
      <c r="Z102" s="2386"/>
      <c r="AA102" s="2496"/>
      <c r="AB102" s="2492"/>
      <c r="AC102" s="2492"/>
      <c r="AD102" s="2386"/>
      <c r="AE102" s="2318"/>
      <c r="AF102" s="2492"/>
      <c r="AG102" s="2492"/>
      <c r="AH102" s="2386"/>
      <c r="AI102" s="2492"/>
      <c r="AJ102" s="2492"/>
      <c r="AK102" s="2492"/>
      <c r="AL102" s="2386"/>
      <c r="AM102" s="2492"/>
      <c r="AN102" s="2492"/>
      <c r="AO102" s="2492"/>
      <c r="AP102" s="2386"/>
      <c r="AQ102" s="2492"/>
      <c r="AR102" s="2492"/>
      <c r="AS102" s="2492"/>
      <c r="AT102" s="2386"/>
      <c r="AU102" s="2492"/>
      <c r="AV102" s="2492"/>
      <c r="AW102" s="2492"/>
      <c r="AX102" s="2386"/>
      <c r="AY102" s="2492"/>
      <c r="AZ102" s="2492"/>
      <c r="BA102" s="2492"/>
      <c r="BB102" s="2386"/>
      <c r="BC102" s="2492"/>
      <c r="BD102" s="2492"/>
      <c r="BE102" s="2492"/>
      <c r="BF102" s="2386"/>
      <c r="BG102" s="2492"/>
      <c r="BH102" s="2492"/>
      <c r="BI102" s="2492"/>
      <c r="BJ102" s="2386"/>
      <c r="BK102" s="2492"/>
      <c r="BL102" s="2492"/>
      <c r="BM102" s="2492"/>
      <c r="BN102" s="2386"/>
      <c r="BO102" s="2492"/>
      <c r="BP102" s="2492"/>
      <c r="BQ102" s="2492"/>
      <c r="BR102" s="2386"/>
      <c r="BS102" s="2492"/>
      <c r="BT102" s="2492"/>
      <c r="BU102" s="2492"/>
      <c r="BV102" s="2386"/>
      <c r="BW102" s="2492"/>
      <c r="BX102" s="2492"/>
      <c r="BY102" s="2492"/>
      <c r="BZ102" s="2386"/>
      <c r="CA102" s="2492"/>
      <c r="CB102" s="2492"/>
      <c r="CC102" s="2492"/>
      <c r="CD102" s="2386"/>
      <c r="CE102" s="2492"/>
      <c r="CF102" s="2492"/>
      <c r="CG102" s="2492"/>
      <c r="CH102" s="2386"/>
      <c r="CI102" s="2492"/>
      <c r="CJ102" s="2492"/>
      <c r="CK102" s="2492"/>
      <c r="CL102" s="2386"/>
      <c r="CM102" s="2492"/>
      <c r="CN102" s="2492"/>
      <c r="CO102" s="2492"/>
      <c r="CP102" s="2386"/>
      <c r="CQ102" s="2492"/>
      <c r="CR102" s="2492"/>
      <c r="CS102" s="2492"/>
      <c r="CT102" s="2386"/>
      <c r="CU102" s="2492"/>
      <c r="CV102" s="2492"/>
      <c r="CW102" s="2492"/>
      <c r="CX102" s="2386"/>
      <c r="CY102" s="2492"/>
      <c r="CZ102" s="2492"/>
      <c r="DA102" s="2492"/>
      <c r="DB102" s="2386"/>
      <c r="DC102" s="2492"/>
      <c r="DD102" s="2492"/>
      <c r="DE102" s="2492"/>
      <c r="DF102" s="2386"/>
      <c r="DG102" s="2492"/>
      <c r="DH102" s="2492"/>
      <c r="DI102" s="2492"/>
      <c r="DJ102" s="2386"/>
      <c r="DK102" s="2492"/>
      <c r="DL102" s="2492"/>
      <c r="DM102" s="2492"/>
      <c r="DN102" s="2386"/>
      <c r="DO102" s="2492"/>
      <c r="DP102" s="2492"/>
      <c r="DQ102" s="2492"/>
      <c r="DR102" s="2386"/>
      <c r="DS102" s="2492"/>
      <c r="DT102" s="2492"/>
      <c r="DU102" s="2492"/>
      <c r="DV102" s="2386"/>
      <c r="DW102" s="2492"/>
      <c r="DX102" s="2492"/>
      <c r="DY102" s="2492"/>
      <c r="DZ102" s="2386"/>
      <c r="EA102" s="2492"/>
      <c r="EB102" s="2492"/>
      <c r="EC102" s="2492"/>
      <c r="ED102" s="2386"/>
      <c r="EE102" s="2492"/>
      <c r="EF102" s="2492"/>
      <c r="EG102" s="2492"/>
      <c r="EH102" s="2386"/>
      <c r="EI102" s="2492"/>
      <c r="EJ102" s="2492"/>
      <c r="EK102" s="2492"/>
      <c r="EL102" s="2386"/>
      <c r="EM102" s="2492"/>
      <c r="EN102" s="2492"/>
      <c r="EO102" s="2492"/>
      <c r="EP102" s="2386"/>
      <c r="EQ102" s="2492"/>
      <c r="ER102" s="2492"/>
      <c r="ES102" s="2492"/>
      <c r="ET102" s="2386"/>
      <c r="EU102" s="2492"/>
      <c r="EV102" s="2492"/>
      <c r="EW102" s="2492"/>
      <c r="EX102" s="2386"/>
      <c r="EY102" s="2492"/>
      <c r="EZ102" s="2492"/>
      <c r="FA102" s="2492"/>
      <c r="FB102" s="2386"/>
      <c r="FC102" s="2492"/>
      <c r="FD102" s="2492"/>
      <c r="FE102" s="2492"/>
      <c r="FF102" s="2386"/>
      <c r="FG102" s="2492"/>
      <c r="FH102" s="2492"/>
      <c r="FI102" s="2492"/>
      <c r="FJ102" s="2386"/>
      <c r="FK102" s="2492"/>
      <c r="FL102" s="2492"/>
      <c r="FM102" s="2492"/>
      <c r="FN102" s="2386"/>
      <c r="FO102" s="2492"/>
      <c r="FP102" s="2492"/>
      <c r="FQ102" s="2492"/>
      <c r="FR102" s="2386"/>
      <c r="FS102" s="2492"/>
      <c r="FT102" s="2492"/>
      <c r="FU102" s="2492"/>
      <c r="FV102" s="2386"/>
      <c r="FW102" s="2492"/>
      <c r="FX102" s="2492"/>
      <c r="FY102" s="2492"/>
      <c r="FZ102" s="2386"/>
      <c r="GA102" s="2492"/>
      <c r="GB102" s="2492"/>
      <c r="GC102" s="2492"/>
      <c r="GD102" s="2386"/>
      <c r="GE102" s="2492"/>
      <c r="GF102" s="2492"/>
      <c r="GG102" s="2492"/>
      <c r="GH102" s="2386"/>
      <c r="GI102" s="2492"/>
      <c r="GJ102" s="2492"/>
      <c r="GK102" s="2492"/>
      <c r="GL102" s="2386"/>
      <c r="GM102" s="2492"/>
      <c r="GN102" s="2492"/>
      <c r="GO102" s="2492"/>
      <c r="GP102" s="2386"/>
      <c r="GQ102" s="2492"/>
      <c r="GR102" s="2492"/>
      <c r="GS102" s="2492"/>
      <c r="GT102" s="2386"/>
      <c r="GU102" s="2492"/>
      <c r="GV102" s="2492"/>
      <c r="GW102" s="2492"/>
      <c r="GX102" s="2386"/>
      <c r="GY102" s="2492"/>
      <c r="GZ102" s="2492"/>
      <c r="HA102" s="2492"/>
      <c r="HB102" s="2386"/>
      <c r="HC102" s="2492"/>
      <c r="HD102" s="2492"/>
      <c r="HE102" s="2492"/>
      <c r="HF102" s="2386"/>
      <c r="HG102" s="2492"/>
      <c r="HH102" s="2492"/>
      <c r="HI102" s="2492"/>
      <c r="HJ102" s="2386"/>
      <c r="HK102" s="2492"/>
      <c r="HL102" s="2492"/>
      <c r="HM102" s="2492"/>
      <c r="HN102" s="2386"/>
      <c r="HO102" s="2492"/>
      <c r="HP102" s="2492"/>
      <c r="HQ102" s="2492"/>
      <c r="HR102" s="2386"/>
      <c r="HS102" s="2492"/>
      <c r="HT102" s="2492"/>
      <c r="HU102" s="2492"/>
      <c r="HV102" s="2386"/>
      <c r="HW102" s="2492"/>
      <c r="HX102" s="2492"/>
      <c r="HY102" s="2492"/>
      <c r="HZ102" s="2386"/>
      <c r="IA102" s="2492"/>
      <c r="IB102" s="2492"/>
      <c r="IC102" s="2492"/>
      <c r="ID102" s="2386"/>
      <c r="IE102" s="2492"/>
      <c r="IF102" s="2492"/>
      <c r="IG102" s="2492"/>
      <c r="IH102" s="2386"/>
      <c r="II102" s="2492"/>
      <c r="IJ102" s="2492"/>
      <c r="IK102" s="2492"/>
      <c r="IL102" s="2386"/>
      <c r="IM102" s="2492"/>
      <c r="IN102" s="2492"/>
      <c r="IO102" s="2492"/>
      <c r="IP102" s="2386"/>
    </row>
    <row r="103" spans="1:250">
      <c r="A103" s="2405"/>
      <c r="B103" s="1943"/>
      <c r="G103" s="2330"/>
      <c r="H103" s="2332"/>
      <c r="L103" s="1943"/>
      <c r="M103" s="2386"/>
      <c r="N103" s="2492"/>
      <c r="O103" s="2492"/>
      <c r="P103" s="2492"/>
      <c r="Q103" s="2386"/>
      <c r="R103" s="2492"/>
      <c r="S103" s="2492"/>
      <c r="T103" s="2386"/>
      <c r="U103" s="2492"/>
      <c r="V103" s="2492"/>
      <c r="W103" s="2386"/>
      <c r="X103" s="2492"/>
      <c r="Y103" s="2492"/>
      <c r="Z103" s="2386"/>
      <c r="AA103" s="2492"/>
      <c r="AB103" s="2492"/>
      <c r="AC103" s="2492"/>
      <c r="AD103" s="2386"/>
      <c r="AE103" s="2318"/>
      <c r="AF103" s="2492"/>
      <c r="AG103" s="2492"/>
      <c r="AH103" s="2386"/>
      <c r="AI103" s="2492"/>
      <c r="AJ103" s="2492"/>
      <c r="AK103" s="2492"/>
      <c r="AL103" s="2386"/>
      <c r="AM103" s="2492"/>
      <c r="AN103" s="2492"/>
      <c r="AO103" s="2492"/>
      <c r="AP103" s="2386"/>
      <c r="AQ103" s="2492"/>
      <c r="AR103" s="2492"/>
      <c r="AS103" s="2492"/>
      <c r="AT103" s="2386"/>
      <c r="AU103" s="2492"/>
      <c r="AV103" s="2492"/>
      <c r="AW103" s="2492"/>
      <c r="AX103" s="2386"/>
      <c r="AY103" s="2492"/>
      <c r="AZ103" s="2492"/>
      <c r="BA103" s="2492"/>
      <c r="BB103" s="2386"/>
      <c r="BC103" s="2492"/>
      <c r="BD103" s="2492"/>
      <c r="BE103" s="2492"/>
      <c r="BF103" s="2386"/>
      <c r="BG103" s="2492"/>
      <c r="BH103" s="2492"/>
      <c r="BI103" s="2492"/>
      <c r="BJ103" s="2386"/>
      <c r="BK103" s="2492"/>
      <c r="BL103" s="2492"/>
      <c r="BM103" s="2492"/>
      <c r="BN103" s="2386"/>
      <c r="BO103" s="2492"/>
      <c r="BP103" s="2492"/>
      <c r="BQ103" s="2492"/>
      <c r="BR103" s="2386"/>
      <c r="BS103" s="2492"/>
      <c r="BT103" s="2492"/>
      <c r="BU103" s="2492"/>
      <c r="BV103" s="2386"/>
      <c r="BW103" s="2492"/>
      <c r="BX103" s="2492"/>
      <c r="BY103" s="2492"/>
      <c r="BZ103" s="2386"/>
      <c r="CA103" s="2492"/>
      <c r="CB103" s="2492"/>
      <c r="CC103" s="2492"/>
      <c r="CD103" s="2386"/>
      <c r="CE103" s="2492"/>
      <c r="CF103" s="2492"/>
      <c r="CG103" s="2492"/>
      <c r="CH103" s="2386"/>
      <c r="CI103" s="2492"/>
      <c r="CJ103" s="2492"/>
      <c r="CK103" s="2492"/>
      <c r="CL103" s="2386"/>
      <c r="CM103" s="2492"/>
      <c r="CN103" s="2492"/>
      <c r="CO103" s="2492"/>
      <c r="CP103" s="2386"/>
      <c r="CQ103" s="2492"/>
      <c r="CR103" s="2492"/>
      <c r="CS103" s="2492"/>
      <c r="CT103" s="2386"/>
      <c r="CU103" s="2492"/>
      <c r="CV103" s="2492"/>
      <c r="CW103" s="2492"/>
      <c r="CX103" s="2386"/>
      <c r="CY103" s="2492"/>
      <c r="CZ103" s="2492"/>
      <c r="DA103" s="2492"/>
      <c r="DB103" s="2386"/>
      <c r="DC103" s="2492"/>
      <c r="DD103" s="2492"/>
      <c r="DE103" s="2492"/>
      <c r="DF103" s="2386"/>
      <c r="DG103" s="2492"/>
      <c r="DH103" s="2492"/>
      <c r="DI103" s="2492"/>
      <c r="DJ103" s="2386"/>
      <c r="DK103" s="2492"/>
      <c r="DL103" s="2492"/>
      <c r="DM103" s="2492"/>
      <c r="DN103" s="2386"/>
      <c r="DO103" s="2492"/>
      <c r="DP103" s="2492"/>
      <c r="DQ103" s="2492"/>
      <c r="DR103" s="2386"/>
      <c r="DS103" s="2492"/>
      <c r="DT103" s="2492"/>
      <c r="DU103" s="2492"/>
      <c r="DV103" s="2386"/>
      <c r="DW103" s="2492"/>
      <c r="DX103" s="2492"/>
      <c r="DY103" s="2492"/>
      <c r="DZ103" s="2386"/>
      <c r="EA103" s="2492"/>
      <c r="EB103" s="2492"/>
      <c r="EC103" s="2492"/>
      <c r="ED103" s="2386"/>
      <c r="EE103" s="2492"/>
      <c r="EF103" s="2492"/>
      <c r="EG103" s="2492"/>
      <c r="EH103" s="2386"/>
      <c r="EI103" s="2492"/>
      <c r="EJ103" s="2492"/>
      <c r="EK103" s="2492"/>
      <c r="EL103" s="2386"/>
      <c r="EM103" s="2492"/>
      <c r="EN103" s="2492"/>
      <c r="EO103" s="2492"/>
      <c r="EP103" s="2386"/>
      <c r="EQ103" s="2492"/>
      <c r="ER103" s="2492"/>
      <c r="ES103" s="2492"/>
      <c r="ET103" s="2386"/>
      <c r="EU103" s="2492"/>
      <c r="EV103" s="2492"/>
      <c r="EW103" s="2492"/>
      <c r="EX103" s="2386"/>
      <c r="EY103" s="2492"/>
      <c r="EZ103" s="2492"/>
      <c r="FA103" s="2492"/>
      <c r="FB103" s="2386"/>
      <c r="FC103" s="2492"/>
      <c r="FD103" s="2492"/>
      <c r="FE103" s="2492"/>
      <c r="FF103" s="2386"/>
      <c r="FG103" s="2492"/>
      <c r="FH103" s="2492"/>
      <c r="FI103" s="2492"/>
      <c r="FJ103" s="2386"/>
      <c r="FK103" s="2492"/>
      <c r="FL103" s="2492"/>
      <c r="FM103" s="2492"/>
      <c r="FN103" s="2386"/>
      <c r="FO103" s="2492"/>
      <c r="FP103" s="2492"/>
      <c r="FQ103" s="2492"/>
      <c r="FR103" s="2386"/>
      <c r="FS103" s="2492"/>
      <c r="FT103" s="2492"/>
      <c r="FU103" s="2492"/>
      <c r="FV103" s="2386"/>
      <c r="FW103" s="2492"/>
      <c r="FX103" s="2492"/>
      <c r="FY103" s="2492"/>
      <c r="FZ103" s="2386"/>
      <c r="GA103" s="2492"/>
      <c r="GB103" s="2492"/>
      <c r="GC103" s="2492"/>
      <c r="GD103" s="2386"/>
      <c r="GE103" s="2492"/>
      <c r="GF103" s="2492"/>
      <c r="GG103" s="2492"/>
      <c r="GH103" s="2386"/>
      <c r="GI103" s="2492"/>
      <c r="GJ103" s="2492"/>
      <c r="GK103" s="2492"/>
      <c r="GL103" s="2386"/>
      <c r="GM103" s="2492"/>
      <c r="GN103" s="2492"/>
      <c r="GO103" s="2492"/>
      <c r="GP103" s="2386"/>
      <c r="GQ103" s="2492"/>
      <c r="GR103" s="2492"/>
      <c r="GS103" s="2492"/>
      <c r="GT103" s="2386"/>
      <c r="GU103" s="2492"/>
      <c r="GV103" s="2492"/>
      <c r="GW103" s="2492"/>
      <c r="GX103" s="2386"/>
      <c r="GY103" s="2492"/>
      <c r="GZ103" s="2492"/>
      <c r="HA103" s="2492"/>
      <c r="HB103" s="2386"/>
      <c r="HC103" s="2492"/>
      <c r="HD103" s="2492"/>
      <c r="HE103" s="2492"/>
      <c r="HF103" s="2386"/>
      <c r="HG103" s="2492"/>
      <c r="HH103" s="2492"/>
      <c r="HI103" s="2492"/>
      <c r="HJ103" s="2386"/>
      <c r="HK103" s="2492"/>
      <c r="HL103" s="2492"/>
      <c r="HM103" s="2492"/>
      <c r="HN103" s="2386"/>
      <c r="HO103" s="2492"/>
      <c r="HP103" s="2492"/>
      <c r="HQ103" s="2492"/>
      <c r="HR103" s="2386"/>
      <c r="HS103" s="2492"/>
      <c r="HT103" s="2492"/>
      <c r="HU103" s="2492"/>
      <c r="HV103" s="2386"/>
      <c r="HW103" s="2492"/>
      <c r="HX103" s="2492"/>
      <c r="HY103" s="2492"/>
      <c r="HZ103" s="2386"/>
      <c r="IA103" s="2492"/>
      <c r="IB103" s="2492"/>
      <c r="IC103" s="2492"/>
      <c r="ID103" s="2386"/>
      <c r="IE103" s="2492"/>
      <c r="IF103" s="2492"/>
      <c r="IG103" s="2492"/>
      <c r="IH103" s="2386"/>
      <c r="II103" s="2492"/>
      <c r="IJ103" s="2492"/>
      <c r="IK103" s="2492"/>
      <c r="IL103" s="2386"/>
      <c r="IM103" s="2492"/>
      <c r="IN103" s="2492"/>
      <c r="IO103" s="2492"/>
      <c r="IP103" s="2386"/>
    </row>
    <row r="104" spans="1:250" ht="33" customHeight="1">
      <c r="A104" s="2409" t="s">
        <v>1179</v>
      </c>
      <c r="B104" s="1943"/>
      <c r="E104" s="6288" t="s">
        <v>1180</v>
      </c>
      <c r="F104" s="6288"/>
      <c r="G104" s="6294"/>
      <c r="H104" s="2332"/>
      <c r="K104" s="2497"/>
      <c r="L104" s="1943"/>
      <c r="M104" s="2386"/>
      <c r="N104" s="2496"/>
      <c r="O104" s="2492"/>
      <c r="P104" s="2492"/>
      <c r="Q104" s="2386"/>
      <c r="R104" s="2492"/>
      <c r="S104" s="2492"/>
      <c r="T104" s="2386"/>
      <c r="U104" s="2492"/>
      <c r="V104" s="2492"/>
      <c r="W104" s="2386"/>
      <c r="X104" s="2492"/>
      <c r="Y104" s="2492"/>
      <c r="Z104" s="2386"/>
      <c r="AA104" s="2492"/>
      <c r="AB104" s="2492"/>
      <c r="AC104" s="2492"/>
      <c r="AD104" s="2386"/>
      <c r="AE104" s="2498"/>
      <c r="AF104" s="2492"/>
      <c r="AG104" s="2492"/>
      <c r="AH104" s="2386"/>
      <c r="AI104" s="2496"/>
      <c r="AJ104" s="2492"/>
      <c r="AK104" s="2492"/>
      <c r="AL104" s="2386"/>
      <c r="AM104" s="2496"/>
      <c r="AN104" s="2492"/>
      <c r="AO104" s="2492"/>
      <c r="AP104" s="2386"/>
      <c r="AQ104" s="2496"/>
      <c r="AR104" s="2492"/>
      <c r="AS104" s="2492"/>
      <c r="AT104" s="2386"/>
      <c r="AU104" s="2496"/>
      <c r="AV104" s="2492"/>
      <c r="AW104" s="2492"/>
      <c r="AX104" s="2386"/>
      <c r="AY104" s="2496"/>
      <c r="AZ104" s="2492"/>
      <c r="BA104" s="2492"/>
      <c r="BB104" s="2386"/>
      <c r="BC104" s="2496"/>
      <c r="BD104" s="2492"/>
      <c r="BE104" s="2492"/>
      <c r="BF104" s="2386"/>
      <c r="BG104" s="2496"/>
      <c r="BH104" s="2492"/>
      <c r="BI104" s="2492"/>
      <c r="BJ104" s="2386"/>
      <c r="BK104" s="2496"/>
      <c r="BL104" s="2492"/>
      <c r="BM104" s="2492"/>
      <c r="BN104" s="2386"/>
      <c r="BO104" s="2496"/>
      <c r="BP104" s="2492"/>
      <c r="BQ104" s="2492"/>
      <c r="BR104" s="2386"/>
      <c r="BS104" s="2496"/>
      <c r="BT104" s="2492"/>
      <c r="BU104" s="2492"/>
      <c r="BV104" s="2386"/>
      <c r="BW104" s="2496"/>
      <c r="BX104" s="2492"/>
      <c r="BY104" s="2492"/>
      <c r="BZ104" s="2386"/>
      <c r="CA104" s="2496"/>
      <c r="CB104" s="2492"/>
      <c r="CC104" s="2492"/>
      <c r="CD104" s="2386"/>
      <c r="CE104" s="2496"/>
      <c r="CF104" s="2492"/>
      <c r="CG104" s="2492"/>
      <c r="CH104" s="2386"/>
      <c r="CI104" s="2496"/>
      <c r="CJ104" s="2492"/>
      <c r="CK104" s="2492"/>
      <c r="CL104" s="2386"/>
      <c r="CM104" s="2496"/>
      <c r="CN104" s="2492"/>
      <c r="CO104" s="2492"/>
      <c r="CP104" s="2386"/>
      <c r="CQ104" s="2496"/>
      <c r="CR104" s="2492"/>
      <c r="CS104" s="2492"/>
      <c r="CT104" s="2386"/>
      <c r="CU104" s="2496"/>
      <c r="CV104" s="2492"/>
      <c r="CW104" s="2492"/>
      <c r="CX104" s="2386"/>
      <c r="CY104" s="2496"/>
      <c r="CZ104" s="2492"/>
      <c r="DA104" s="2492"/>
      <c r="DB104" s="2386"/>
      <c r="DC104" s="2496"/>
      <c r="DD104" s="2492"/>
      <c r="DE104" s="2492"/>
      <c r="DF104" s="2386"/>
      <c r="DG104" s="2496"/>
      <c r="DH104" s="2492"/>
      <c r="DI104" s="2492"/>
      <c r="DJ104" s="2386"/>
      <c r="DK104" s="2496"/>
      <c r="DL104" s="2492"/>
      <c r="DM104" s="2492"/>
      <c r="DN104" s="2386"/>
      <c r="DO104" s="2496"/>
      <c r="DP104" s="2492"/>
      <c r="DQ104" s="2492"/>
      <c r="DR104" s="2386"/>
      <c r="DS104" s="2496"/>
      <c r="DT104" s="2492"/>
      <c r="DU104" s="2492"/>
      <c r="DV104" s="2386"/>
      <c r="DW104" s="2496"/>
      <c r="DX104" s="2492"/>
      <c r="DY104" s="2492"/>
      <c r="DZ104" s="2386"/>
      <c r="EA104" s="2496"/>
      <c r="EB104" s="2492"/>
      <c r="EC104" s="2492"/>
      <c r="ED104" s="2386"/>
      <c r="EE104" s="2496"/>
      <c r="EF104" s="2492"/>
      <c r="EG104" s="2492"/>
      <c r="EH104" s="2386"/>
      <c r="EI104" s="2496"/>
      <c r="EJ104" s="2492"/>
      <c r="EK104" s="2492"/>
      <c r="EL104" s="2386"/>
      <c r="EM104" s="2496"/>
      <c r="EN104" s="2492"/>
      <c r="EO104" s="2492"/>
      <c r="EP104" s="2386"/>
      <c r="EQ104" s="2496"/>
      <c r="ER104" s="2492"/>
      <c r="ES104" s="2492"/>
      <c r="ET104" s="2386"/>
      <c r="EU104" s="2496"/>
      <c r="EV104" s="2492"/>
      <c r="EW104" s="2492"/>
      <c r="EX104" s="2386"/>
      <c r="EY104" s="2496"/>
      <c r="EZ104" s="2492"/>
      <c r="FA104" s="2492"/>
      <c r="FB104" s="2386"/>
      <c r="FC104" s="2496"/>
      <c r="FD104" s="2492"/>
      <c r="FE104" s="2492"/>
      <c r="FF104" s="2386"/>
      <c r="FG104" s="2496"/>
      <c r="FH104" s="2492"/>
      <c r="FI104" s="2492"/>
      <c r="FJ104" s="2386"/>
      <c r="FK104" s="2496"/>
      <c r="FL104" s="2492"/>
      <c r="FM104" s="2492"/>
      <c r="FN104" s="2386"/>
      <c r="FO104" s="2496"/>
      <c r="FP104" s="2492"/>
      <c r="FQ104" s="2492"/>
      <c r="FR104" s="2386"/>
      <c r="FS104" s="2496"/>
      <c r="FT104" s="2492"/>
      <c r="FU104" s="2492"/>
      <c r="FV104" s="2386"/>
      <c r="FW104" s="2496"/>
      <c r="FX104" s="2492"/>
      <c r="FY104" s="2492"/>
      <c r="FZ104" s="2386"/>
      <c r="GA104" s="2496"/>
      <c r="GB104" s="2492"/>
      <c r="GC104" s="2492"/>
      <c r="GD104" s="2386"/>
      <c r="GE104" s="2496"/>
      <c r="GF104" s="2492"/>
      <c r="GG104" s="2492"/>
      <c r="GH104" s="2386"/>
      <c r="GI104" s="2496"/>
      <c r="GJ104" s="2492"/>
      <c r="GK104" s="2492"/>
      <c r="GL104" s="2386"/>
      <c r="GM104" s="2496"/>
      <c r="GN104" s="2492"/>
      <c r="GO104" s="2492"/>
      <c r="GP104" s="2386"/>
      <c r="GQ104" s="2496"/>
      <c r="GR104" s="2492"/>
      <c r="GS104" s="2492"/>
      <c r="GT104" s="2386"/>
      <c r="GU104" s="2496"/>
      <c r="GV104" s="2492"/>
      <c r="GW104" s="2492"/>
      <c r="GX104" s="2386"/>
      <c r="GY104" s="2496"/>
      <c r="GZ104" s="2492"/>
      <c r="HA104" s="2492"/>
      <c r="HB104" s="2386"/>
      <c r="HC104" s="2496"/>
      <c r="HD104" s="2492"/>
      <c r="HE104" s="2492"/>
      <c r="HF104" s="2386"/>
      <c r="HG104" s="2496"/>
      <c r="HH104" s="2492"/>
      <c r="HI104" s="2492"/>
      <c r="HJ104" s="2386"/>
      <c r="HK104" s="2496"/>
      <c r="HL104" s="2492"/>
      <c r="HM104" s="2492"/>
      <c r="HN104" s="2386"/>
      <c r="HO104" s="2496"/>
      <c r="HP104" s="2492"/>
      <c r="HQ104" s="2492"/>
      <c r="HR104" s="2386"/>
      <c r="HS104" s="2496"/>
      <c r="HT104" s="2492"/>
      <c r="HU104" s="2492"/>
      <c r="HV104" s="2386"/>
      <c r="HW104" s="2496"/>
      <c r="HX104" s="2492"/>
      <c r="HY104" s="2492"/>
      <c r="HZ104" s="2386"/>
      <c r="IA104" s="2496"/>
      <c r="IB104" s="2492"/>
      <c r="IC104" s="2492"/>
      <c r="ID104" s="2386"/>
      <c r="IE104" s="2496"/>
      <c r="IF104" s="2492"/>
      <c r="IG104" s="2492"/>
      <c r="IH104" s="2386"/>
      <c r="II104" s="2496"/>
      <c r="IJ104" s="2492"/>
      <c r="IK104" s="2492"/>
      <c r="IL104" s="2386"/>
      <c r="IM104" s="2496"/>
      <c r="IN104" s="2492"/>
      <c r="IO104" s="2492"/>
      <c r="IP104" s="2386"/>
    </row>
    <row r="105" spans="1:250">
      <c r="A105" s="2407" t="s">
        <v>1181</v>
      </c>
      <c r="B105" s="1943"/>
      <c r="G105" s="2330"/>
      <c r="H105" s="2332"/>
      <c r="L105" s="1943"/>
      <c r="M105" s="2386"/>
      <c r="N105" s="2492"/>
      <c r="O105" s="2492"/>
      <c r="P105" s="2492"/>
      <c r="Q105" s="2386"/>
      <c r="R105" s="2492"/>
      <c r="S105" s="2492"/>
      <c r="T105" s="2386"/>
      <c r="U105" s="2492"/>
      <c r="V105" s="2492"/>
      <c r="W105" s="2386"/>
      <c r="X105" s="2492"/>
      <c r="Y105" s="2492"/>
      <c r="Z105" s="2386"/>
      <c r="AA105" s="2492"/>
      <c r="AB105" s="2492"/>
      <c r="AC105" s="2492"/>
      <c r="AD105" s="2386"/>
      <c r="AE105" s="2318"/>
      <c r="AF105" s="2492"/>
      <c r="AG105" s="2492"/>
      <c r="AH105" s="2386"/>
      <c r="AI105" s="2492"/>
      <c r="AJ105" s="2492"/>
      <c r="AK105" s="2492"/>
      <c r="AL105" s="2386"/>
      <c r="AM105" s="2492"/>
      <c r="AN105" s="2492"/>
      <c r="AO105" s="2492"/>
      <c r="AP105" s="2386"/>
      <c r="AQ105" s="2492"/>
      <c r="AR105" s="2492"/>
      <c r="AS105" s="2492"/>
      <c r="AT105" s="2386"/>
      <c r="AU105" s="2492"/>
      <c r="AV105" s="2492"/>
      <c r="AW105" s="2492"/>
      <c r="AX105" s="2386"/>
      <c r="AY105" s="2492"/>
      <c r="AZ105" s="2492"/>
      <c r="BA105" s="2492"/>
      <c r="BB105" s="2386"/>
      <c r="BC105" s="2492"/>
      <c r="BD105" s="2492"/>
      <c r="BE105" s="2492"/>
      <c r="BF105" s="2386"/>
      <c r="BG105" s="2492"/>
      <c r="BH105" s="2492"/>
      <c r="BI105" s="2492"/>
      <c r="BJ105" s="2386"/>
      <c r="BK105" s="2492"/>
      <c r="BL105" s="2492"/>
      <c r="BM105" s="2492"/>
      <c r="BN105" s="2386"/>
      <c r="BO105" s="2492"/>
      <c r="BP105" s="2492"/>
      <c r="BQ105" s="2492"/>
      <c r="BR105" s="2386"/>
      <c r="BS105" s="2492"/>
      <c r="BT105" s="2492"/>
      <c r="BU105" s="2492"/>
      <c r="BV105" s="2386"/>
      <c r="BW105" s="2492"/>
      <c r="BX105" s="2492"/>
      <c r="BY105" s="2492"/>
      <c r="BZ105" s="2386"/>
      <c r="CA105" s="2492"/>
      <c r="CB105" s="2492"/>
      <c r="CC105" s="2492"/>
      <c r="CD105" s="2386"/>
      <c r="CE105" s="2492"/>
      <c r="CF105" s="2492"/>
      <c r="CG105" s="2492"/>
      <c r="CH105" s="2386"/>
      <c r="CI105" s="2492"/>
      <c r="CJ105" s="2492"/>
      <c r="CK105" s="2492"/>
      <c r="CL105" s="2386"/>
      <c r="CM105" s="2492"/>
      <c r="CN105" s="2492"/>
      <c r="CO105" s="2492"/>
      <c r="CP105" s="2386"/>
      <c r="CQ105" s="2492"/>
      <c r="CR105" s="2492"/>
      <c r="CS105" s="2492"/>
      <c r="CT105" s="2386"/>
      <c r="CU105" s="2492"/>
      <c r="CV105" s="2492"/>
      <c r="CW105" s="2492"/>
      <c r="CX105" s="2386"/>
      <c r="CY105" s="2492"/>
      <c r="CZ105" s="2492"/>
      <c r="DA105" s="2492"/>
      <c r="DB105" s="2386"/>
      <c r="DC105" s="2492"/>
      <c r="DD105" s="2492"/>
      <c r="DE105" s="2492"/>
      <c r="DF105" s="2386"/>
      <c r="DG105" s="2492"/>
      <c r="DH105" s="2492"/>
      <c r="DI105" s="2492"/>
      <c r="DJ105" s="2386"/>
      <c r="DK105" s="2492"/>
      <c r="DL105" s="2492"/>
      <c r="DM105" s="2492"/>
      <c r="DN105" s="2386"/>
      <c r="DO105" s="2492"/>
      <c r="DP105" s="2492"/>
      <c r="DQ105" s="2492"/>
      <c r="DR105" s="2386"/>
      <c r="DS105" s="2492"/>
      <c r="DT105" s="2492"/>
      <c r="DU105" s="2492"/>
      <c r="DV105" s="2386"/>
      <c r="DW105" s="2492"/>
      <c r="DX105" s="2492"/>
      <c r="DY105" s="2492"/>
      <c r="DZ105" s="2386"/>
      <c r="EA105" s="2492"/>
      <c r="EB105" s="2492"/>
      <c r="EC105" s="2492"/>
      <c r="ED105" s="2386"/>
      <c r="EE105" s="2492"/>
      <c r="EF105" s="2492"/>
      <c r="EG105" s="2492"/>
      <c r="EH105" s="2386"/>
      <c r="EI105" s="2492"/>
      <c r="EJ105" s="2492"/>
      <c r="EK105" s="2492"/>
      <c r="EL105" s="2386"/>
      <c r="EM105" s="2492"/>
      <c r="EN105" s="2492"/>
      <c r="EO105" s="2492"/>
      <c r="EP105" s="2386"/>
      <c r="EQ105" s="2492"/>
      <c r="ER105" s="2492"/>
      <c r="ES105" s="2492"/>
      <c r="ET105" s="2386"/>
      <c r="EU105" s="2492"/>
      <c r="EV105" s="2492"/>
      <c r="EW105" s="2492"/>
      <c r="EX105" s="2386"/>
      <c r="EY105" s="2492"/>
      <c r="EZ105" s="2492"/>
      <c r="FA105" s="2492"/>
      <c r="FB105" s="2386"/>
      <c r="FC105" s="2492"/>
      <c r="FD105" s="2492"/>
      <c r="FE105" s="2492"/>
      <c r="FF105" s="2386"/>
      <c r="FG105" s="2492"/>
      <c r="FH105" s="2492"/>
      <c r="FI105" s="2492"/>
      <c r="FJ105" s="2386"/>
      <c r="FK105" s="2492"/>
      <c r="FL105" s="2492"/>
      <c r="FM105" s="2492"/>
      <c r="FN105" s="2386"/>
      <c r="FO105" s="2492"/>
      <c r="FP105" s="2492"/>
      <c r="FQ105" s="2492"/>
      <c r="FR105" s="2386"/>
      <c r="FS105" s="2492"/>
      <c r="FT105" s="2492"/>
      <c r="FU105" s="2492"/>
      <c r="FV105" s="2386"/>
      <c r="FW105" s="2492"/>
      <c r="FX105" s="2492"/>
      <c r="FY105" s="2492"/>
      <c r="FZ105" s="2386"/>
      <c r="GA105" s="2492"/>
      <c r="GB105" s="2492"/>
      <c r="GC105" s="2492"/>
      <c r="GD105" s="2386"/>
      <c r="GE105" s="2492"/>
      <c r="GF105" s="2492"/>
      <c r="GG105" s="2492"/>
      <c r="GH105" s="2386"/>
      <c r="GI105" s="2492"/>
      <c r="GJ105" s="2492"/>
      <c r="GK105" s="2492"/>
      <c r="GL105" s="2386"/>
      <c r="GM105" s="2492"/>
      <c r="GN105" s="2492"/>
      <c r="GO105" s="2492"/>
      <c r="GP105" s="2386"/>
      <c r="GQ105" s="2492"/>
      <c r="GR105" s="2492"/>
      <c r="GS105" s="2492"/>
      <c r="GT105" s="2386"/>
      <c r="GU105" s="2492"/>
      <c r="GV105" s="2492"/>
      <c r="GW105" s="2492"/>
      <c r="GX105" s="2386"/>
      <c r="GY105" s="2492"/>
      <c r="GZ105" s="2492"/>
      <c r="HA105" s="2492"/>
      <c r="HB105" s="2386"/>
      <c r="HC105" s="2492"/>
      <c r="HD105" s="2492"/>
      <c r="HE105" s="2492"/>
      <c r="HF105" s="2386"/>
      <c r="HG105" s="2492"/>
      <c r="HH105" s="2492"/>
      <c r="HI105" s="2492"/>
      <c r="HJ105" s="2386"/>
      <c r="HK105" s="2492"/>
      <c r="HL105" s="2492"/>
      <c r="HM105" s="2492"/>
      <c r="HN105" s="2386"/>
      <c r="HO105" s="2492"/>
      <c r="HP105" s="2492"/>
      <c r="HQ105" s="2492"/>
      <c r="HR105" s="2386"/>
      <c r="HS105" s="2492"/>
      <c r="HT105" s="2492"/>
      <c r="HU105" s="2492"/>
      <c r="HV105" s="2386"/>
      <c r="HW105" s="2492"/>
      <c r="HX105" s="2492"/>
      <c r="HY105" s="2492"/>
      <c r="HZ105" s="2386"/>
      <c r="IA105" s="2492"/>
      <c r="IB105" s="2492"/>
      <c r="IC105" s="2492"/>
      <c r="ID105" s="2386"/>
      <c r="IE105" s="2492"/>
      <c r="IF105" s="2492"/>
      <c r="IG105" s="2492"/>
      <c r="IH105" s="2386"/>
      <c r="II105" s="2492"/>
      <c r="IJ105" s="2492"/>
      <c r="IK105" s="2492"/>
      <c r="IL105" s="2386"/>
      <c r="IM105" s="2492"/>
      <c r="IN105" s="2492"/>
      <c r="IO105" s="2492"/>
      <c r="IP105" s="2386"/>
    </row>
    <row r="106" spans="1:250">
      <c r="A106" s="2405"/>
      <c r="B106" s="1943"/>
      <c r="G106" s="2330"/>
      <c r="H106" s="2332"/>
      <c r="L106" s="1943"/>
      <c r="M106" s="2386"/>
      <c r="N106" s="2492"/>
      <c r="O106" s="2492"/>
      <c r="P106" s="2492"/>
      <c r="Q106" s="2386"/>
      <c r="R106" s="2492"/>
      <c r="S106" s="2492"/>
      <c r="T106" s="2386"/>
      <c r="U106" s="2499"/>
      <c r="V106" s="2492"/>
      <c r="W106" s="2386"/>
      <c r="X106" s="2492"/>
      <c r="Y106" s="2492"/>
      <c r="Z106" s="2386"/>
      <c r="AA106" s="2499"/>
      <c r="AB106" s="2492"/>
      <c r="AC106" s="2492"/>
      <c r="AD106" s="2386"/>
      <c r="AE106" s="2318"/>
      <c r="AF106" s="2492"/>
      <c r="AG106" s="2492"/>
      <c r="AH106" s="2386"/>
      <c r="AI106" s="2492"/>
      <c r="AJ106" s="2492"/>
      <c r="AK106" s="2492"/>
      <c r="AL106" s="2386"/>
      <c r="AM106" s="2492"/>
      <c r="AN106" s="2492"/>
      <c r="AO106" s="2492"/>
      <c r="AP106" s="2386"/>
      <c r="AQ106" s="2492"/>
      <c r="AR106" s="2492"/>
      <c r="AS106" s="2492"/>
      <c r="AT106" s="2386"/>
      <c r="AU106" s="2492"/>
      <c r="AV106" s="2492"/>
      <c r="AW106" s="2492"/>
      <c r="AX106" s="2386"/>
      <c r="AY106" s="2492"/>
      <c r="AZ106" s="2492"/>
      <c r="BA106" s="2492"/>
      <c r="BB106" s="2386"/>
      <c r="BC106" s="2492"/>
      <c r="BD106" s="2492"/>
      <c r="BE106" s="2492"/>
      <c r="BF106" s="2386"/>
      <c r="BG106" s="2492"/>
      <c r="BH106" s="2492"/>
      <c r="BI106" s="2492"/>
      <c r="BJ106" s="2386"/>
      <c r="BK106" s="2492"/>
      <c r="BL106" s="2492"/>
      <c r="BM106" s="2492"/>
      <c r="BN106" s="2386"/>
      <c r="BO106" s="2492"/>
      <c r="BP106" s="2492"/>
      <c r="BQ106" s="2492"/>
      <c r="BR106" s="2386"/>
      <c r="BS106" s="2492"/>
      <c r="BT106" s="2492"/>
      <c r="BU106" s="2492"/>
      <c r="BV106" s="2386"/>
      <c r="BW106" s="2492"/>
      <c r="BX106" s="2492"/>
      <c r="BY106" s="2492"/>
      <c r="BZ106" s="2386"/>
      <c r="CA106" s="2492"/>
      <c r="CB106" s="2492"/>
      <c r="CC106" s="2492"/>
      <c r="CD106" s="2386"/>
      <c r="CE106" s="2492"/>
      <c r="CF106" s="2492"/>
      <c r="CG106" s="2492"/>
      <c r="CH106" s="2386"/>
      <c r="CI106" s="2492"/>
      <c r="CJ106" s="2492"/>
      <c r="CK106" s="2492"/>
      <c r="CL106" s="2386"/>
      <c r="CM106" s="2492"/>
      <c r="CN106" s="2492"/>
      <c r="CO106" s="2492"/>
      <c r="CP106" s="2386"/>
      <c r="CQ106" s="2492"/>
      <c r="CR106" s="2492"/>
      <c r="CS106" s="2492"/>
      <c r="CT106" s="2386"/>
      <c r="CU106" s="2492"/>
      <c r="CV106" s="2492"/>
      <c r="CW106" s="2492"/>
      <c r="CX106" s="2386"/>
      <c r="CY106" s="2492"/>
      <c r="CZ106" s="2492"/>
      <c r="DA106" s="2492"/>
      <c r="DB106" s="2386"/>
      <c r="DC106" s="2492"/>
      <c r="DD106" s="2492"/>
      <c r="DE106" s="2492"/>
      <c r="DF106" s="2386"/>
      <c r="DG106" s="2492"/>
      <c r="DH106" s="2492"/>
      <c r="DI106" s="2492"/>
      <c r="DJ106" s="2386"/>
      <c r="DK106" s="2492"/>
      <c r="DL106" s="2492"/>
      <c r="DM106" s="2492"/>
      <c r="DN106" s="2386"/>
      <c r="DO106" s="2492"/>
      <c r="DP106" s="2492"/>
      <c r="DQ106" s="2492"/>
      <c r="DR106" s="2386"/>
      <c r="DS106" s="2492"/>
      <c r="DT106" s="2492"/>
      <c r="DU106" s="2492"/>
      <c r="DV106" s="2386"/>
      <c r="DW106" s="2492"/>
      <c r="DX106" s="2492"/>
      <c r="DY106" s="2492"/>
      <c r="DZ106" s="2386"/>
      <c r="EA106" s="2492"/>
      <c r="EB106" s="2492"/>
      <c r="EC106" s="2492"/>
      <c r="ED106" s="2386"/>
      <c r="EE106" s="2492"/>
      <c r="EF106" s="2492"/>
      <c r="EG106" s="2492"/>
      <c r="EH106" s="2386"/>
      <c r="EI106" s="2492"/>
      <c r="EJ106" s="2492"/>
      <c r="EK106" s="2492"/>
      <c r="EL106" s="2386"/>
      <c r="EM106" s="2492"/>
      <c r="EN106" s="2492"/>
      <c r="EO106" s="2492"/>
      <c r="EP106" s="2386"/>
      <c r="EQ106" s="2492"/>
      <c r="ER106" s="2492"/>
      <c r="ES106" s="2492"/>
      <c r="ET106" s="2386"/>
      <c r="EU106" s="2492"/>
      <c r="EV106" s="2492"/>
      <c r="EW106" s="2492"/>
      <c r="EX106" s="2386"/>
      <c r="EY106" s="2492"/>
      <c r="EZ106" s="2492"/>
      <c r="FA106" s="2492"/>
      <c r="FB106" s="2386"/>
      <c r="FC106" s="2492"/>
      <c r="FD106" s="2492"/>
      <c r="FE106" s="2492"/>
      <c r="FF106" s="2386"/>
      <c r="FG106" s="2492"/>
      <c r="FH106" s="2492"/>
      <c r="FI106" s="2492"/>
      <c r="FJ106" s="2386"/>
      <c r="FK106" s="2492"/>
      <c r="FL106" s="2492"/>
      <c r="FM106" s="2492"/>
      <c r="FN106" s="2386"/>
      <c r="FO106" s="2492"/>
      <c r="FP106" s="2492"/>
      <c r="FQ106" s="2492"/>
      <c r="FR106" s="2386"/>
      <c r="FS106" s="2492"/>
      <c r="FT106" s="2492"/>
      <c r="FU106" s="2492"/>
      <c r="FV106" s="2386"/>
      <c r="FW106" s="2492"/>
      <c r="FX106" s="2492"/>
      <c r="FY106" s="2492"/>
      <c r="FZ106" s="2386"/>
      <c r="GA106" s="2492"/>
      <c r="GB106" s="2492"/>
      <c r="GC106" s="2492"/>
      <c r="GD106" s="2386"/>
      <c r="GE106" s="2492"/>
      <c r="GF106" s="2492"/>
      <c r="GG106" s="2492"/>
      <c r="GH106" s="2386"/>
      <c r="GI106" s="2492"/>
      <c r="GJ106" s="2492"/>
      <c r="GK106" s="2492"/>
      <c r="GL106" s="2386"/>
      <c r="GM106" s="2492"/>
      <c r="GN106" s="2492"/>
      <c r="GO106" s="2492"/>
      <c r="GP106" s="2386"/>
      <c r="GQ106" s="2492"/>
      <c r="GR106" s="2492"/>
      <c r="GS106" s="2492"/>
      <c r="GT106" s="2386"/>
      <c r="GU106" s="2492"/>
      <c r="GV106" s="2492"/>
      <c r="GW106" s="2492"/>
      <c r="GX106" s="2386"/>
      <c r="GY106" s="2492"/>
      <c r="GZ106" s="2492"/>
      <c r="HA106" s="2492"/>
      <c r="HB106" s="2386"/>
      <c r="HC106" s="2492"/>
      <c r="HD106" s="2492"/>
      <c r="HE106" s="2492"/>
      <c r="HF106" s="2386"/>
      <c r="HG106" s="2492"/>
      <c r="HH106" s="2492"/>
      <c r="HI106" s="2492"/>
      <c r="HJ106" s="2386"/>
      <c r="HK106" s="2492"/>
      <c r="HL106" s="2492"/>
      <c r="HM106" s="2492"/>
      <c r="HN106" s="2386"/>
      <c r="HO106" s="2492"/>
      <c r="HP106" s="2492"/>
      <c r="HQ106" s="2492"/>
      <c r="HR106" s="2386"/>
      <c r="HS106" s="2492"/>
      <c r="HT106" s="2492"/>
      <c r="HU106" s="2492"/>
      <c r="HV106" s="2386"/>
      <c r="HW106" s="2492"/>
      <c r="HX106" s="2492"/>
      <c r="HY106" s="2492"/>
      <c r="HZ106" s="2386"/>
      <c r="IA106" s="2492"/>
      <c r="IB106" s="2492"/>
      <c r="IC106" s="2492"/>
      <c r="ID106" s="2386"/>
      <c r="IE106" s="2492"/>
      <c r="IF106" s="2492"/>
      <c r="IG106" s="2492"/>
      <c r="IH106" s="2386"/>
      <c r="II106" s="2492"/>
      <c r="IJ106" s="2492"/>
      <c r="IK106" s="2492"/>
      <c r="IL106" s="2386"/>
      <c r="IM106" s="2492"/>
      <c r="IN106" s="2492"/>
      <c r="IO106" s="2492"/>
      <c r="IP106" s="2386"/>
    </row>
    <row r="107" spans="1:250">
      <c r="A107" s="2407" t="s">
        <v>1182</v>
      </c>
      <c r="B107" s="1943"/>
      <c r="G107" s="2330"/>
      <c r="H107" s="2332"/>
      <c r="L107" s="1943"/>
      <c r="M107" s="2386"/>
      <c r="N107" s="2492"/>
      <c r="O107" s="2492"/>
      <c r="P107" s="2492"/>
      <c r="Q107" s="2386"/>
      <c r="R107" s="2492"/>
      <c r="S107" s="2492"/>
      <c r="T107" s="2386"/>
      <c r="U107" s="2492"/>
      <c r="V107" s="2492"/>
      <c r="W107" s="2386"/>
      <c r="X107" s="2492"/>
      <c r="Y107" s="2492"/>
      <c r="Z107" s="2386"/>
      <c r="AA107" s="2492"/>
      <c r="AB107" s="2492"/>
      <c r="AC107" s="2492"/>
      <c r="AD107" s="2386"/>
      <c r="AE107" s="2318"/>
      <c r="AF107" s="2492"/>
      <c r="AG107" s="2492"/>
      <c r="AH107" s="2386"/>
      <c r="AI107" s="2492"/>
      <c r="AJ107" s="2492"/>
      <c r="AK107" s="2492"/>
      <c r="AL107" s="2386"/>
      <c r="AM107" s="2492"/>
      <c r="AN107" s="2492"/>
      <c r="AO107" s="2492"/>
      <c r="AP107" s="2386"/>
      <c r="AQ107" s="2492"/>
      <c r="AR107" s="2492"/>
      <c r="AS107" s="2492"/>
      <c r="AT107" s="2386"/>
      <c r="AU107" s="2492"/>
      <c r="AV107" s="2492"/>
      <c r="AW107" s="2492"/>
      <c r="AX107" s="2386"/>
      <c r="AY107" s="2492"/>
      <c r="AZ107" s="2492"/>
      <c r="BA107" s="2492"/>
      <c r="BB107" s="2386"/>
      <c r="BC107" s="2492"/>
      <c r="BD107" s="2492"/>
      <c r="BE107" s="2492"/>
      <c r="BF107" s="2386"/>
      <c r="BG107" s="2492"/>
      <c r="BH107" s="2492"/>
      <c r="BI107" s="2492"/>
      <c r="BJ107" s="2386"/>
      <c r="BK107" s="2492"/>
      <c r="BL107" s="2492"/>
      <c r="BM107" s="2492"/>
      <c r="BN107" s="2386"/>
      <c r="BO107" s="2492"/>
      <c r="BP107" s="2492"/>
      <c r="BQ107" s="2492"/>
      <c r="BR107" s="2386"/>
      <c r="BS107" s="2492"/>
      <c r="BT107" s="2492"/>
      <c r="BU107" s="2492"/>
      <c r="BV107" s="2386"/>
      <c r="BW107" s="2492"/>
      <c r="BX107" s="2492"/>
      <c r="BY107" s="2492"/>
      <c r="BZ107" s="2386"/>
      <c r="CA107" s="2492"/>
      <c r="CB107" s="2492"/>
      <c r="CC107" s="2492"/>
      <c r="CD107" s="2386"/>
      <c r="CE107" s="2492"/>
      <c r="CF107" s="2492"/>
      <c r="CG107" s="2492"/>
      <c r="CH107" s="2386"/>
      <c r="CI107" s="2492"/>
      <c r="CJ107" s="2492"/>
      <c r="CK107" s="2492"/>
      <c r="CL107" s="2386"/>
      <c r="CM107" s="2492"/>
      <c r="CN107" s="2492"/>
      <c r="CO107" s="2492"/>
      <c r="CP107" s="2386"/>
      <c r="CQ107" s="2492"/>
      <c r="CR107" s="2492"/>
      <c r="CS107" s="2492"/>
      <c r="CT107" s="2386"/>
      <c r="CU107" s="2492"/>
      <c r="CV107" s="2492"/>
      <c r="CW107" s="2492"/>
      <c r="CX107" s="2386"/>
      <c r="CY107" s="2492"/>
      <c r="CZ107" s="2492"/>
      <c r="DA107" s="2492"/>
      <c r="DB107" s="2386"/>
      <c r="DC107" s="2492"/>
      <c r="DD107" s="2492"/>
      <c r="DE107" s="2492"/>
      <c r="DF107" s="2386"/>
      <c r="DG107" s="2492"/>
      <c r="DH107" s="2492"/>
      <c r="DI107" s="2492"/>
      <c r="DJ107" s="2386"/>
      <c r="DK107" s="2492"/>
      <c r="DL107" s="2492"/>
      <c r="DM107" s="2492"/>
      <c r="DN107" s="2386"/>
      <c r="DO107" s="2492"/>
      <c r="DP107" s="2492"/>
      <c r="DQ107" s="2492"/>
      <c r="DR107" s="2386"/>
      <c r="DS107" s="2492"/>
      <c r="DT107" s="2492"/>
      <c r="DU107" s="2492"/>
      <c r="DV107" s="2386"/>
      <c r="DW107" s="2492"/>
      <c r="DX107" s="2492"/>
      <c r="DY107" s="2492"/>
      <c r="DZ107" s="2386"/>
      <c r="EA107" s="2492"/>
      <c r="EB107" s="2492"/>
      <c r="EC107" s="2492"/>
      <c r="ED107" s="2386"/>
      <c r="EE107" s="2492"/>
      <c r="EF107" s="2492"/>
      <c r="EG107" s="2492"/>
      <c r="EH107" s="2386"/>
      <c r="EI107" s="2492"/>
      <c r="EJ107" s="2492"/>
      <c r="EK107" s="2492"/>
      <c r="EL107" s="2386"/>
      <c r="EM107" s="2492"/>
      <c r="EN107" s="2492"/>
      <c r="EO107" s="2492"/>
      <c r="EP107" s="2386"/>
      <c r="EQ107" s="2492"/>
      <c r="ER107" s="2492"/>
      <c r="ES107" s="2492"/>
      <c r="ET107" s="2386"/>
      <c r="EU107" s="2492"/>
      <c r="EV107" s="2492"/>
      <c r="EW107" s="2492"/>
      <c r="EX107" s="2386"/>
      <c r="EY107" s="2492"/>
      <c r="EZ107" s="2492"/>
      <c r="FA107" s="2492"/>
      <c r="FB107" s="2386"/>
      <c r="FC107" s="2492"/>
      <c r="FD107" s="2492"/>
      <c r="FE107" s="2492"/>
      <c r="FF107" s="2386"/>
      <c r="FG107" s="2492"/>
      <c r="FH107" s="2492"/>
      <c r="FI107" s="2492"/>
      <c r="FJ107" s="2386"/>
      <c r="FK107" s="2492"/>
      <c r="FL107" s="2492"/>
      <c r="FM107" s="2492"/>
      <c r="FN107" s="2386"/>
      <c r="FO107" s="2492"/>
      <c r="FP107" s="2492"/>
      <c r="FQ107" s="2492"/>
      <c r="FR107" s="2386"/>
      <c r="FS107" s="2492"/>
      <c r="FT107" s="2492"/>
      <c r="FU107" s="2492"/>
      <c r="FV107" s="2386"/>
      <c r="FW107" s="2492"/>
      <c r="FX107" s="2492"/>
      <c r="FY107" s="2492"/>
      <c r="FZ107" s="2386"/>
      <c r="GA107" s="2492"/>
      <c r="GB107" s="2492"/>
      <c r="GC107" s="2492"/>
      <c r="GD107" s="2386"/>
      <c r="GE107" s="2492"/>
      <c r="GF107" s="2492"/>
      <c r="GG107" s="2492"/>
      <c r="GH107" s="2386"/>
      <c r="GI107" s="2492"/>
      <c r="GJ107" s="2492"/>
      <c r="GK107" s="2492"/>
      <c r="GL107" s="2386"/>
      <c r="GM107" s="2492"/>
      <c r="GN107" s="2492"/>
      <c r="GO107" s="2492"/>
      <c r="GP107" s="2386"/>
      <c r="GQ107" s="2492"/>
      <c r="GR107" s="2492"/>
      <c r="GS107" s="2492"/>
      <c r="GT107" s="2386"/>
      <c r="GU107" s="2492"/>
      <c r="GV107" s="2492"/>
      <c r="GW107" s="2492"/>
      <c r="GX107" s="2386"/>
      <c r="GY107" s="2492"/>
      <c r="GZ107" s="2492"/>
      <c r="HA107" s="2492"/>
      <c r="HB107" s="2386"/>
      <c r="HC107" s="2492"/>
      <c r="HD107" s="2492"/>
      <c r="HE107" s="2492"/>
      <c r="HF107" s="2386"/>
      <c r="HG107" s="2492"/>
      <c r="HH107" s="2492"/>
      <c r="HI107" s="2492"/>
      <c r="HJ107" s="2386"/>
      <c r="HK107" s="2492"/>
      <c r="HL107" s="2492"/>
      <c r="HM107" s="2492"/>
      <c r="HN107" s="2386"/>
      <c r="HO107" s="2492"/>
      <c r="HP107" s="2492"/>
      <c r="HQ107" s="2492"/>
      <c r="HR107" s="2386"/>
      <c r="HS107" s="2492"/>
      <c r="HT107" s="2492"/>
      <c r="HU107" s="2492"/>
      <c r="HV107" s="2386"/>
      <c r="HW107" s="2492"/>
      <c r="HX107" s="2492"/>
      <c r="HY107" s="2492"/>
      <c r="HZ107" s="2386"/>
      <c r="IA107" s="2492"/>
      <c r="IB107" s="2492"/>
      <c r="IC107" s="2492"/>
      <c r="ID107" s="2386"/>
      <c r="IE107" s="2492"/>
      <c r="IF107" s="2492"/>
      <c r="IG107" s="2492"/>
      <c r="IH107" s="2386"/>
      <c r="II107" s="2492"/>
      <c r="IJ107" s="2492"/>
      <c r="IK107" s="2492"/>
      <c r="IL107" s="2386"/>
      <c r="IM107" s="2492"/>
      <c r="IN107" s="2492"/>
      <c r="IO107" s="2492"/>
      <c r="IP107" s="2386"/>
    </row>
    <row r="108" spans="1:250">
      <c r="A108" s="2410"/>
      <c r="B108" s="1943"/>
      <c r="E108" s="2362" t="s">
        <v>1206</v>
      </c>
      <c r="F108" s="2362"/>
      <c r="G108" s="2500"/>
      <c r="H108" s="2332"/>
      <c r="K108" s="2500"/>
      <c r="L108" s="1943"/>
      <c r="M108" s="2386"/>
      <c r="N108" s="2499"/>
      <c r="O108" s="2492"/>
      <c r="P108" s="2492"/>
      <c r="Q108" s="2386"/>
      <c r="R108" s="2492"/>
      <c r="S108" s="2492"/>
      <c r="T108" s="2386"/>
      <c r="U108" s="2492"/>
      <c r="V108" s="2492"/>
      <c r="W108" s="2386"/>
      <c r="X108" s="2492"/>
      <c r="Y108" s="2492"/>
      <c r="Z108" s="2386"/>
      <c r="AA108" s="2492"/>
      <c r="AB108" s="2492"/>
      <c r="AC108" s="2492"/>
      <c r="AD108" s="2386"/>
      <c r="AE108" s="2501"/>
      <c r="AF108" s="2492"/>
      <c r="AG108" s="2492"/>
      <c r="AH108" s="2386"/>
      <c r="AI108" s="2499"/>
      <c r="AJ108" s="2492"/>
      <c r="AK108" s="2492"/>
      <c r="AL108" s="2386"/>
      <c r="AM108" s="2499"/>
      <c r="AN108" s="2492"/>
      <c r="AO108" s="2492"/>
      <c r="AP108" s="2386"/>
      <c r="AQ108" s="2499"/>
      <c r="AR108" s="2492"/>
      <c r="AS108" s="2492"/>
      <c r="AT108" s="2386"/>
      <c r="AU108" s="2499"/>
      <c r="AV108" s="2492"/>
      <c r="AW108" s="2492"/>
      <c r="AX108" s="2386"/>
      <c r="AY108" s="2499"/>
      <c r="AZ108" s="2492"/>
      <c r="BA108" s="2492"/>
      <c r="BB108" s="2386"/>
      <c r="BC108" s="2499"/>
      <c r="BD108" s="2492"/>
      <c r="BE108" s="2492"/>
      <c r="BF108" s="2386"/>
      <c r="BG108" s="2499"/>
      <c r="BH108" s="2492"/>
      <c r="BI108" s="2492"/>
      <c r="BJ108" s="2386"/>
      <c r="BK108" s="2499"/>
      <c r="BL108" s="2492"/>
      <c r="BM108" s="2492"/>
      <c r="BN108" s="2386"/>
      <c r="BO108" s="2499"/>
      <c r="BP108" s="2492"/>
      <c r="BQ108" s="2492"/>
      <c r="BR108" s="2386"/>
      <c r="BS108" s="2499"/>
      <c r="BT108" s="2492"/>
      <c r="BU108" s="2492"/>
      <c r="BV108" s="2386"/>
      <c r="BW108" s="2499"/>
      <c r="BX108" s="2492"/>
      <c r="BY108" s="2492"/>
      <c r="BZ108" s="2386"/>
      <c r="CA108" s="2499"/>
      <c r="CB108" s="2492"/>
      <c r="CC108" s="2492"/>
      <c r="CD108" s="2386"/>
      <c r="CE108" s="2499"/>
      <c r="CF108" s="2492"/>
      <c r="CG108" s="2492"/>
      <c r="CH108" s="2386"/>
      <c r="CI108" s="2499"/>
      <c r="CJ108" s="2492"/>
      <c r="CK108" s="2492"/>
      <c r="CL108" s="2386"/>
      <c r="CM108" s="2499"/>
      <c r="CN108" s="2492"/>
      <c r="CO108" s="2492"/>
      <c r="CP108" s="2386"/>
      <c r="CQ108" s="2499"/>
      <c r="CR108" s="2492"/>
      <c r="CS108" s="2492"/>
      <c r="CT108" s="2386"/>
      <c r="CU108" s="2499"/>
      <c r="CV108" s="2492"/>
      <c r="CW108" s="2492"/>
      <c r="CX108" s="2386"/>
      <c r="CY108" s="2499"/>
      <c r="CZ108" s="2492"/>
      <c r="DA108" s="2492"/>
      <c r="DB108" s="2386"/>
      <c r="DC108" s="2499"/>
      <c r="DD108" s="2492"/>
      <c r="DE108" s="2492"/>
      <c r="DF108" s="2386"/>
      <c r="DG108" s="2499"/>
      <c r="DH108" s="2492"/>
      <c r="DI108" s="2492"/>
      <c r="DJ108" s="2386"/>
      <c r="DK108" s="2499"/>
      <c r="DL108" s="2492"/>
      <c r="DM108" s="2492"/>
      <c r="DN108" s="2386"/>
      <c r="DO108" s="2499"/>
      <c r="DP108" s="2492"/>
      <c r="DQ108" s="2492"/>
      <c r="DR108" s="2386"/>
      <c r="DS108" s="2499"/>
      <c r="DT108" s="2492"/>
      <c r="DU108" s="2492"/>
      <c r="DV108" s="2386"/>
      <c r="DW108" s="2499"/>
      <c r="DX108" s="2492"/>
      <c r="DY108" s="2492"/>
      <c r="DZ108" s="2386"/>
      <c r="EA108" s="2499"/>
      <c r="EB108" s="2492"/>
      <c r="EC108" s="2492"/>
      <c r="ED108" s="2386"/>
      <c r="EE108" s="2499"/>
      <c r="EF108" s="2492"/>
      <c r="EG108" s="2492"/>
      <c r="EH108" s="2386"/>
      <c r="EI108" s="2499"/>
      <c r="EJ108" s="2492"/>
      <c r="EK108" s="2492"/>
      <c r="EL108" s="2386"/>
      <c r="EM108" s="2499"/>
      <c r="EN108" s="2492"/>
      <c r="EO108" s="2492"/>
      <c r="EP108" s="2386"/>
      <c r="EQ108" s="2499"/>
      <c r="ER108" s="2492"/>
      <c r="ES108" s="2492"/>
      <c r="ET108" s="2386"/>
      <c r="EU108" s="2499"/>
      <c r="EV108" s="2492"/>
      <c r="EW108" s="2492"/>
      <c r="EX108" s="2386"/>
      <c r="EY108" s="2499"/>
      <c r="EZ108" s="2492"/>
      <c r="FA108" s="2492"/>
      <c r="FB108" s="2386"/>
      <c r="FC108" s="2499"/>
      <c r="FD108" s="2492"/>
      <c r="FE108" s="2492"/>
      <c r="FF108" s="2386"/>
      <c r="FG108" s="2499"/>
      <c r="FH108" s="2492"/>
      <c r="FI108" s="2492"/>
      <c r="FJ108" s="2386"/>
      <c r="FK108" s="2499"/>
      <c r="FL108" s="2492"/>
      <c r="FM108" s="2492"/>
      <c r="FN108" s="2386"/>
      <c r="FO108" s="2499"/>
      <c r="FP108" s="2492"/>
      <c r="FQ108" s="2492"/>
      <c r="FR108" s="2386"/>
      <c r="FS108" s="2499"/>
      <c r="FT108" s="2492"/>
      <c r="FU108" s="2492"/>
      <c r="FV108" s="2386"/>
      <c r="FW108" s="2499"/>
      <c r="FX108" s="2492"/>
      <c r="FY108" s="2492"/>
      <c r="FZ108" s="2386"/>
      <c r="GA108" s="2499"/>
      <c r="GB108" s="2492"/>
      <c r="GC108" s="2492"/>
      <c r="GD108" s="2386"/>
      <c r="GE108" s="2499"/>
      <c r="GF108" s="2492"/>
      <c r="GG108" s="2492"/>
      <c r="GH108" s="2386"/>
      <c r="GI108" s="2499"/>
      <c r="GJ108" s="2492"/>
      <c r="GK108" s="2492"/>
      <c r="GL108" s="2386"/>
      <c r="GM108" s="2499"/>
      <c r="GN108" s="2492"/>
      <c r="GO108" s="2492"/>
      <c r="GP108" s="2386"/>
      <c r="GQ108" s="2499"/>
      <c r="GR108" s="2492"/>
      <c r="GS108" s="2492"/>
      <c r="GT108" s="2386"/>
      <c r="GU108" s="2499"/>
      <c r="GV108" s="2492"/>
      <c r="GW108" s="2492"/>
      <c r="GX108" s="2386"/>
      <c r="GY108" s="2499"/>
      <c r="GZ108" s="2492"/>
      <c r="HA108" s="2492"/>
      <c r="HB108" s="2386"/>
      <c r="HC108" s="2499"/>
      <c r="HD108" s="2492"/>
      <c r="HE108" s="2492"/>
      <c r="HF108" s="2386"/>
      <c r="HG108" s="2499"/>
      <c r="HH108" s="2492"/>
      <c r="HI108" s="2492"/>
      <c r="HJ108" s="2386"/>
      <c r="HK108" s="2499"/>
      <c r="HL108" s="2492"/>
      <c r="HM108" s="2492"/>
      <c r="HN108" s="2386"/>
      <c r="HO108" s="2499"/>
      <c r="HP108" s="2492"/>
      <c r="HQ108" s="2492"/>
      <c r="HR108" s="2386"/>
      <c r="HS108" s="2499"/>
      <c r="HT108" s="2492"/>
      <c r="HU108" s="2492"/>
      <c r="HV108" s="2386"/>
      <c r="HW108" s="2499"/>
      <c r="HX108" s="2492"/>
      <c r="HY108" s="2492"/>
      <c r="HZ108" s="2386"/>
      <c r="IA108" s="2499"/>
      <c r="IB108" s="2492"/>
      <c r="IC108" s="2492"/>
      <c r="ID108" s="2386"/>
      <c r="IE108" s="2499"/>
      <c r="IF108" s="2492"/>
      <c r="IG108" s="2492"/>
      <c r="IH108" s="2386"/>
      <c r="II108" s="2499"/>
      <c r="IJ108" s="2492"/>
      <c r="IK108" s="2492"/>
      <c r="IL108" s="2386"/>
      <c r="IM108" s="2499"/>
      <c r="IN108" s="2492"/>
      <c r="IO108" s="2492"/>
      <c r="IP108" s="2386"/>
    </row>
    <row r="109" spans="1:250">
      <c r="A109" s="2407"/>
      <c r="B109" s="1943"/>
      <c r="E109" s="2390" t="s">
        <v>855</v>
      </c>
      <c r="F109" s="2390"/>
      <c r="G109" s="2330"/>
      <c r="H109" s="2332"/>
      <c r="L109" s="1943"/>
      <c r="M109" s="2386"/>
      <c r="N109" s="2492"/>
      <c r="O109" s="2492"/>
      <c r="P109" s="2492"/>
      <c r="Q109" s="2386"/>
      <c r="R109" s="2492"/>
      <c r="S109" s="2492"/>
      <c r="T109" s="2386"/>
      <c r="U109" s="2492"/>
      <c r="V109" s="2492"/>
      <c r="W109" s="2386"/>
      <c r="X109" s="2492"/>
      <c r="Y109" s="2492"/>
      <c r="Z109" s="2386"/>
      <c r="AA109" s="2492"/>
      <c r="AB109" s="2492"/>
      <c r="AC109" s="2492"/>
      <c r="AD109" s="2386"/>
      <c r="AE109" s="2318"/>
      <c r="AF109" s="2492"/>
      <c r="AG109" s="2492"/>
      <c r="AH109" s="2386"/>
      <c r="AI109" s="2492"/>
      <c r="AJ109" s="2492"/>
      <c r="AK109" s="2492"/>
      <c r="AL109" s="2386"/>
      <c r="AM109" s="2492"/>
      <c r="AN109" s="2492"/>
      <c r="AO109" s="2492"/>
      <c r="AP109" s="2386"/>
      <c r="AQ109" s="2492"/>
      <c r="AR109" s="2492"/>
      <c r="AS109" s="2492"/>
      <c r="AT109" s="2386"/>
      <c r="AU109" s="2492"/>
      <c r="AV109" s="2492"/>
      <c r="AW109" s="2492"/>
      <c r="AX109" s="2386"/>
      <c r="AY109" s="2492"/>
      <c r="AZ109" s="2492"/>
      <c r="BA109" s="2492"/>
      <c r="BB109" s="2386"/>
      <c r="BC109" s="2492"/>
      <c r="BD109" s="2492"/>
      <c r="BE109" s="2492"/>
      <c r="BF109" s="2386"/>
      <c r="BG109" s="2492"/>
      <c r="BH109" s="2492"/>
      <c r="BI109" s="2492"/>
      <c r="BJ109" s="2386"/>
      <c r="BK109" s="2492"/>
      <c r="BL109" s="2492"/>
      <c r="BM109" s="2492"/>
      <c r="BN109" s="2386"/>
      <c r="BO109" s="2492"/>
      <c r="BP109" s="2492"/>
      <c r="BQ109" s="2492"/>
      <c r="BR109" s="2386"/>
      <c r="BS109" s="2492"/>
      <c r="BT109" s="2492"/>
      <c r="BU109" s="2492"/>
      <c r="BV109" s="2386"/>
      <c r="BW109" s="2492"/>
      <c r="BX109" s="2492"/>
      <c r="BY109" s="2492"/>
      <c r="BZ109" s="2386"/>
      <c r="CA109" s="2492"/>
      <c r="CB109" s="2492"/>
      <c r="CC109" s="2492"/>
      <c r="CD109" s="2386"/>
      <c r="CE109" s="2492"/>
      <c r="CF109" s="2492"/>
      <c r="CG109" s="2492"/>
      <c r="CH109" s="2386"/>
      <c r="CI109" s="2492"/>
      <c r="CJ109" s="2492"/>
      <c r="CK109" s="2492"/>
      <c r="CL109" s="2386"/>
      <c r="CM109" s="2492"/>
      <c r="CN109" s="2492"/>
      <c r="CO109" s="2492"/>
      <c r="CP109" s="2386"/>
      <c r="CQ109" s="2492"/>
      <c r="CR109" s="2492"/>
      <c r="CS109" s="2492"/>
      <c r="CT109" s="2386"/>
      <c r="CU109" s="2492"/>
      <c r="CV109" s="2492"/>
      <c r="CW109" s="2492"/>
      <c r="CX109" s="2386"/>
      <c r="CY109" s="2492"/>
      <c r="CZ109" s="2492"/>
      <c r="DA109" s="2492"/>
      <c r="DB109" s="2386"/>
      <c r="DC109" s="2492"/>
      <c r="DD109" s="2492"/>
      <c r="DE109" s="2492"/>
      <c r="DF109" s="2386"/>
      <c r="DG109" s="2492"/>
      <c r="DH109" s="2492"/>
      <c r="DI109" s="2492"/>
      <c r="DJ109" s="2386"/>
      <c r="DK109" s="2492"/>
      <c r="DL109" s="2492"/>
      <c r="DM109" s="2492"/>
      <c r="DN109" s="2386"/>
      <c r="DO109" s="2492"/>
      <c r="DP109" s="2492"/>
      <c r="DQ109" s="2492"/>
      <c r="DR109" s="2386"/>
      <c r="DS109" s="2492"/>
      <c r="DT109" s="2492"/>
      <c r="DU109" s="2492"/>
      <c r="DV109" s="2386"/>
      <c r="DW109" s="2492"/>
      <c r="DX109" s="2492"/>
      <c r="DY109" s="2492"/>
      <c r="DZ109" s="2386"/>
      <c r="EA109" s="2492"/>
      <c r="EB109" s="2492"/>
      <c r="EC109" s="2492"/>
      <c r="ED109" s="2386"/>
      <c r="EE109" s="2492"/>
      <c r="EF109" s="2492"/>
      <c r="EG109" s="2492"/>
      <c r="EH109" s="2386"/>
      <c r="EI109" s="2492"/>
      <c r="EJ109" s="2492"/>
      <c r="EK109" s="2492"/>
      <c r="EL109" s="2386"/>
      <c r="EM109" s="2492"/>
      <c r="EN109" s="2492"/>
      <c r="EO109" s="2492"/>
      <c r="EP109" s="2386"/>
      <c r="EQ109" s="2492"/>
      <c r="ER109" s="2492"/>
      <c r="ES109" s="2492"/>
      <c r="ET109" s="2386"/>
      <c r="EU109" s="2492"/>
      <c r="EV109" s="2492"/>
      <c r="EW109" s="2492"/>
      <c r="EX109" s="2386"/>
      <c r="EY109" s="2492"/>
      <c r="EZ109" s="2492"/>
      <c r="FA109" s="2492"/>
      <c r="FB109" s="2386"/>
      <c r="FC109" s="2492"/>
      <c r="FD109" s="2492"/>
      <c r="FE109" s="2492"/>
      <c r="FF109" s="2386"/>
      <c r="FG109" s="2492"/>
      <c r="FH109" s="2492"/>
      <c r="FI109" s="2492"/>
      <c r="FJ109" s="2386"/>
      <c r="FK109" s="2492"/>
      <c r="FL109" s="2492"/>
      <c r="FM109" s="2492"/>
      <c r="FN109" s="2386"/>
      <c r="FO109" s="2492"/>
      <c r="FP109" s="2492"/>
      <c r="FQ109" s="2492"/>
      <c r="FR109" s="2386"/>
      <c r="FS109" s="2492"/>
      <c r="FT109" s="2492"/>
      <c r="FU109" s="2492"/>
      <c r="FV109" s="2386"/>
      <c r="FW109" s="2492"/>
      <c r="FX109" s="2492"/>
      <c r="FY109" s="2492"/>
      <c r="FZ109" s="2386"/>
      <c r="GA109" s="2492"/>
      <c r="GB109" s="2492"/>
      <c r="GC109" s="2492"/>
      <c r="GD109" s="2386"/>
      <c r="GE109" s="2492"/>
      <c r="GF109" s="2492"/>
      <c r="GG109" s="2492"/>
      <c r="GH109" s="2386"/>
      <c r="GI109" s="2492"/>
      <c r="GJ109" s="2492"/>
      <c r="GK109" s="2492"/>
      <c r="GL109" s="2386"/>
      <c r="GM109" s="2492"/>
      <c r="GN109" s="2492"/>
      <c r="GO109" s="2492"/>
      <c r="GP109" s="2386"/>
      <c r="GQ109" s="2492"/>
      <c r="GR109" s="2492"/>
      <c r="GS109" s="2492"/>
      <c r="GT109" s="2386"/>
      <c r="GU109" s="2492"/>
      <c r="GV109" s="2492"/>
      <c r="GW109" s="2492"/>
      <c r="GX109" s="2386"/>
      <c r="GY109" s="2492"/>
      <c r="GZ109" s="2492"/>
      <c r="HA109" s="2492"/>
      <c r="HB109" s="2386"/>
      <c r="HC109" s="2492"/>
      <c r="HD109" s="2492"/>
      <c r="HE109" s="2492"/>
      <c r="HF109" s="2386"/>
      <c r="HG109" s="2492"/>
      <c r="HH109" s="2492"/>
      <c r="HI109" s="2492"/>
      <c r="HJ109" s="2386"/>
      <c r="HK109" s="2492"/>
      <c r="HL109" s="2492"/>
      <c r="HM109" s="2492"/>
      <c r="HN109" s="2386"/>
      <c r="HO109" s="2492"/>
      <c r="HP109" s="2492"/>
      <c r="HQ109" s="2492"/>
      <c r="HR109" s="2386"/>
      <c r="HS109" s="2492"/>
      <c r="HT109" s="2492"/>
      <c r="HU109" s="2492"/>
      <c r="HV109" s="2386"/>
      <c r="HW109" s="2492"/>
      <c r="HX109" s="2492"/>
      <c r="HY109" s="2492"/>
      <c r="HZ109" s="2386"/>
      <c r="IA109" s="2492"/>
      <c r="IB109" s="2492"/>
      <c r="IC109" s="2492"/>
      <c r="ID109" s="2386"/>
      <c r="IE109" s="2492"/>
      <c r="IF109" s="2492"/>
      <c r="IG109" s="2492"/>
      <c r="IH109" s="2386"/>
      <c r="II109" s="2492"/>
      <c r="IJ109" s="2492"/>
      <c r="IK109" s="2492"/>
      <c r="IL109" s="2386"/>
      <c r="IM109" s="2492"/>
      <c r="IN109" s="2492"/>
      <c r="IO109" s="2492"/>
      <c r="IP109" s="2386"/>
    </row>
    <row r="110" spans="1:250">
      <c r="A110" s="2397"/>
      <c r="B110" s="1943"/>
      <c r="G110" s="2330"/>
      <c r="H110" s="2332"/>
      <c r="L110" s="1943"/>
      <c r="M110" s="2386"/>
      <c r="N110" s="2492"/>
      <c r="O110" s="2492"/>
      <c r="P110" s="2492"/>
      <c r="Q110" s="2386"/>
      <c r="R110" s="2492"/>
      <c r="S110" s="2492"/>
      <c r="T110" s="2386"/>
      <c r="U110" s="2492"/>
      <c r="V110" s="2492"/>
      <c r="W110" s="2386"/>
      <c r="X110" s="2492"/>
      <c r="Y110" s="2492"/>
      <c r="Z110" s="2386"/>
      <c r="AA110" s="2492"/>
      <c r="AB110" s="2492"/>
      <c r="AC110" s="2492"/>
      <c r="AD110" s="2386"/>
      <c r="AE110" s="2318"/>
      <c r="AF110" s="2492"/>
      <c r="AG110" s="2492"/>
      <c r="AH110" s="2386"/>
      <c r="AI110" s="2492"/>
      <c r="AJ110" s="2492"/>
      <c r="AK110" s="2492"/>
      <c r="AL110" s="2386"/>
      <c r="AM110" s="2492"/>
      <c r="AN110" s="2492"/>
      <c r="AO110" s="2492"/>
      <c r="AP110" s="2386"/>
      <c r="AQ110" s="2492"/>
      <c r="AR110" s="2492"/>
      <c r="AS110" s="2492"/>
      <c r="AT110" s="2386"/>
      <c r="AU110" s="2492"/>
      <c r="AV110" s="2492"/>
      <c r="AW110" s="2492"/>
      <c r="AX110" s="2386"/>
      <c r="AY110" s="2492"/>
      <c r="AZ110" s="2492"/>
      <c r="BA110" s="2492"/>
      <c r="BB110" s="2386"/>
      <c r="BC110" s="2492"/>
      <c r="BD110" s="2492"/>
      <c r="BE110" s="2492"/>
      <c r="BF110" s="2386"/>
      <c r="BG110" s="2492"/>
      <c r="BH110" s="2492"/>
      <c r="BI110" s="2492"/>
      <c r="BJ110" s="2386"/>
      <c r="BK110" s="2492"/>
      <c r="BL110" s="2492"/>
      <c r="BM110" s="2492"/>
      <c r="BN110" s="2386"/>
      <c r="BO110" s="2492"/>
      <c r="BP110" s="2492"/>
      <c r="BQ110" s="2492"/>
      <c r="BR110" s="2386"/>
      <c r="BS110" s="2492"/>
      <c r="BT110" s="2492"/>
      <c r="BU110" s="2492"/>
      <c r="BV110" s="2386"/>
      <c r="BW110" s="2492"/>
      <c r="BX110" s="2492"/>
      <c r="BY110" s="2492"/>
      <c r="BZ110" s="2386"/>
      <c r="CA110" s="2492"/>
      <c r="CB110" s="2492"/>
      <c r="CC110" s="2492"/>
      <c r="CD110" s="2386"/>
      <c r="CE110" s="2492"/>
      <c r="CF110" s="2492"/>
      <c r="CG110" s="2492"/>
      <c r="CH110" s="2386"/>
      <c r="CI110" s="2492"/>
      <c r="CJ110" s="2492"/>
      <c r="CK110" s="2492"/>
      <c r="CL110" s="2386"/>
      <c r="CM110" s="2492"/>
      <c r="CN110" s="2492"/>
      <c r="CO110" s="2492"/>
      <c r="CP110" s="2386"/>
      <c r="CQ110" s="2492"/>
      <c r="CR110" s="2492"/>
      <c r="CS110" s="2492"/>
      <c r="CT110" s="2386"/>
      <c r="CU110" s="2492"/>
      <c r="CV110" s="2492"/>
      <c r="CW110" s="2492"/>
      <c r="CX110" s="2386"/>
      <c r="CY110" s="2492"/>
      <c r="CZ110" s="2492"/>
      <c r="DA110" s="2492"/>
      <c r="DB110" s="2386"/>
      <c r="DC110" s="2492"/>
      <c r="DD110" s="2492"/>
      <c r="DE110" s="2492"/>
      <c r="DF110" s="2386"/>
      <c r="DG110" s="2492"/>
      <c r="DH110" s="2492"/>
      <c r="DI110" s="2492"/>
      <c r="DJ110" s="2386"/>
      <c r="DK110" s="2492"/>
      <c r="DL110" s="2492"/>
      <c r="DM110" s="2492"/>
      <c r="DN110" s="2386"/>
      <c r="DO110" s="2492"/>
      <c r="DP110" s="2492"/>
      <c r="DQ110" s="2492"/>
      <c r="DR110" s="2386"/>
      <c r="DS110" s="2492"/>
      <c r="DT110" s="2492"/>
      <c r="DU110" s="2492"/>
      <c r="DV110" s="2386"/>
      <c r="DW110" s="2492"/>
      <c r="DX110" s="2492"/>
      <c r="DY110" s="2492"/>
      <c r="DZ110" s="2386"/>
      <c r="EA110" s="2492"/>
      <c r="EB110" s="2492"/>
      <c r="EC110" s="2492"/>
      <c r="ED110" s="2386"/>
      <c r="EE110" s="2492"/>
      <c r="EF110" s="2492"/>
      <c r="EG110" s="2492"/>
      <c r="EH110" s="2386"/>
      <c r="EI110" s="2492"/>
      <c r="EJ110" s="2492"/>
      <c r="EK110" s="2492"/>
      <c r="EL110" s="2386"/>
      <c r="EM110" s="2492"/>
      <c r="EN110" s="2492"/>
      <c r="EO110" s="2492"/>
      <c r="EP110" s="2386"/>
      <c r="EQ110" s="2492"/>
      <c r="ER110" s="2492"/>
      <c r="ES110" s="2492"/>
      <c r="ET110" s="2386"/>
      <c r="EU110" s="2492"/>
      <c r="EV110" s="2492"/>
      <c r="EW110" s="2492"/>
      <c r="EX110" s="2386"/>
      <c r="EY110" s="2492"/>
      <c r="EZ110" s="2492"/>
      <c r="FA110" s="2492"/>
      <c r="FB110" s="2386"/>
      <c r="FC110" s="2492"/>
      <c r="FD110" s="2492"/>
      <c r="FE110" s="2492"/>
      <c r="FF110" s="2386"/>
      <c r="FG110" s="2492"/>
      <c r="FH110" s="2492"/>
      <c r="FI110" s="2492"/>
      <c r="FJ110" s="2386"/>
      <c r="FK110" s="2492"/>
      <c r="FL110" s="2492"/>
      <c r="FM110" s="2492"/>
      <c r="FN110" s="2386"/>
      <c r="FO110" s="2492"/>
      <c r="FP110" s="2492"/>
      <c r="FQ110" s="2492"/>
      <c r="FR110" s="2386"/>
      <c r="FS110" s="2492"/>
      <c r="FT110" s="2492"/>
      <c r="FU110" s="2492"/>
      <c r="FV110" s="2386"/>
      <c r="FW110" s="2492"/>
      <c r="FX110" s="2492"/>
      <c r="FY110" s="2492"/>
      <c r="FZ110" s="2386"/>
      <c r="GA110" s="2492"/>
      <c r="GB110" s="2492"/>
      <c r="GC110" s="2492"/>
      <c r="GD110" s="2386"/>
      <c r="GE110" s="2492"/>
      <c r="GF110" s="2492"/>
      <c r="GG110" s="2492"/>
      <c r="GH110" s="2386"/>
      <c r="GI110" s="2492"/>
      <c r="GJ110" s="2492"/>
      <c r="GK110" s="2492"/>
      <c r="GL110" s="2386"/>
      <c r="GM110" s="2492"/>
      <c r="GN110" s="2492"/>
      <c r="GO110" s="2492"/>
      <c r="GP110" s="2386"/>
      <c r="GQ110" s="2492"/>
      <c r="GR110" s="2492"/>
      <c r="GS110" s="2492"/>
      <c r="GT110" s="2386"/>
      <c r="GU110" s="2492"/>
      <c r="GV110" s="2492"/>
      <c r="GW110" s="2492"/>
      <c r="GX110" s="2386"/>
      <c r="GY110" s="2492"/>
      <c r="GZ110" s="2492"/>
      <c r="HA110" s="2492"/>
      <c r="HB110" s="2386"/>
      <c r="HC110" s="2492"/>
      <c r="HD110" s="2492"/>
      <c r="HE110" s="2492"/>
      <c r="HF110" s="2386"/>
      <c r="HG110" s="2492"/>
      <c r="HH110" s="2492"/>
      <c r="HI110" s="2492"/>
      <c r="HJ110" s="2386"/>
      <c r="HK110" s="2492"/>
      <c r="HL110" s="2492"/>
      <c r="HM110" s="2492"/>
      <c r="HN110" s="2386"/>
      <c r="HO110" s="2492"/>
      <c r="HP110" s="2492"/>
      <c r="HQ110" s="2492"/>
      <c r="HR110" s="2386"/>
      <c r="HS110" s="2492"/>
      <c r="HT110" s="2492"/>
      <c r="HU110" s="2492"/>
      <c r="HV110" s="2386"/>
      <c r="HW110" s="2492"/>
      <c r="HX110" s="2492"/>
      <c r="HY110" s="2492"/>
      <c r="HZ110" s="2386"/>
      <c r="IA110" s="2492"/>
      <c r="IB110" s="2492"/>
      <c r="IC110" s="2492"/>
      <c r="ID110" s="2386"/>
      <c r="IE110" s="2492"/>
      <c r="IF110" s="2492"/>
      <c r="IG110" s="2492"/>
      <c r="IH110" s="2386"/>
      <c r="II110" s="2492"/>
      <c r="IJ110" s="2492"/>
      <c r="IK110" s="2492"/>
      <c r="IL110" s="2386"/>
      <c r="IM110" s="2492"/>
      <c r="IN110" s="2492"/>
      <c r="IO110" s="2492"/>
      <c r="IP110" s="2386"/>
    </row>
    <row r="111" spans="1:250" hidden="1">
      <c r="A111" s="2405"/>
      <c r="B111" s="1943"/>
      <c r="G111" s="2330"/>
      <c r="H111" s="2332"/>
      <c r="L111" s="1943"/>
      <c r="M111" s="2386"/>
      <c r="N111" s="2492"/>
      <c r="O111" s="2492"/>
      <c r="P111" s="2492"/>
      <c r="Q111" s="2386"/>
      <c r="R111" s="2492"/>
      <c r="S111" s="2492"/>
      <c r="T111" s="2386"/>
      <c r="U111" s="2492"/>
      <c r="V111" s="2492"/>
      <c r="W111" s="2386"/>
      <c r="X111" s="2492"/>
      <c r="Y111" s="2492"/>
      <c r="Z111" s="2386"/>
      <c r="AA111" s="2492"/>
      <c r="AB111" s="2492"/>
      <c r="AC111" s="2492"/>
      <c r="AD111" s="2386"/>
      <c r="AE111" s="2318"/>
      <c r="AF111" s="2492"/>
      <c r="AG111" s="2492"/>
      <c r="AH111" s="2386"/>
      <c r="AI111" s="2492"/>
      <c r="AJ111" s="2492"/>
      <c r="AK111" s="2492"/>
      <c r="AL111" s="2386"/>
      <c r="AM111" s="2492"/>
      <c r="AN111" s="2492"/>
      <c r="AO111" s="2492"/>
      <c r="AP111" s="2386"/>
      <c r="AQ111" s="2492"/>
      <c r="AR111" s="2492"/>
      <c r="AS111" s="2492"/>
      <c r="AT111" s="2386"/>
      <c r="AU111" s="2492"/>
      <c r="AV111" s="2492"/>
      <c r="AW111" s="2492"/>
      <c r="AX111" s="2386"/>
      <c r="AY111" s="2492"/>
      <c r="AZ111" s="2492"/>
      <c r="BA111" s="2492"/>
      <c r="BB111" s="2386"/>
      <c r="BC111" s="2492"/>
      <c r="BD111" s="2492"/>
      <c r="BE111" s="2492"/>
      <c r="BF111" s="2386"/>
      <c r="BG111" s="2492"/>
      <c r="BH111" s="2492"/>
      <c r="BI111" s="2492"/>
      <c r="BJ111" s="2386"/>
      <c r="BK111" s="2492"/>
      <c r="BL111" s="2492"/>
      <c r="BM111" s="2492"/>
      <c r="BN111" s="2386"/>
      <c r="BO111" s="2492"/>
      <c r="BP111" s="2492"/>
      <c r="BQ111" s="2492"/>
      <c r="BR111" s="2386"/>
      <c r="BS111" s="2492"/>
      <c r="BT111" s="2492"/>
      <c r="BU111" s="2492"/>
      <c r="BV111" s="2386"/>
      <c r="BW111" s="2492"/>
      <c r="BX111" s="2492"/>
      <c r="BY111" s="2492"/>
      <c r="BZ111" s="2386"/>
      <c r="CA111" s="2492"/>
      <c r="CB111" s="2492"/>
      <c r="CC111" s="2492"/>
      <c r="CD111" s="2386"/>
      <c r="CE111" s="2492"/>
      <c r="CF111" s="2492"/>
      <c r="CG111" s="2492"/>
      <c r="CH111" s="2386"/>
      <c r="CI111" s="2492"/>
      <c r="CJ111" s="2492"/>
      <c r="CK111" s="2492"/>
      <c r="CL111" s="2386"/>
      <c r="CM111" s="2492"/>
      <c r="CN111" s="2492"/>
      <c r="CO111" s="2492"/>
      <c r="CP111" s="2386"/>
      <c r="CQ111" s="2492"/>
      <c r="CR111" s="2492"/>
      <c r="CS111" s="2492"/>
      <c r="CT111" s="2386"/>
      <c r="CU111" s="2492"/>
      <c r="CV111" s="2492"/>
      <c r="CW111" s="2492"/>
      <c r="CX111" s="2386"/>
      <c r="CY111" s="2492"/>
      <c r="CZ111" s="2492"/>
      <c r="DA111" s="2492"/>
      <c r="DB111" s="2386"/>
      <c r="DC111" s="2492"/>
      <c r="DD111" s="2492"/>
      <c r="DE111" s="2492"/>
      <c r="DF111" s="2386"/>
      <c r="DG111" s="2492"/>
      <c r="DH111" s="2492"/>
      <c r="DI111" s="2492"/>
      <c r="DJ111" s="2386"/>
      <c r="DK111" s="2492"/>
      <c r="DL111" s="2492"/>
      <c r="DM111" s="2492"/>
      <c r="DN111" s="2386"/>
      <c r="DO111" s="2492"/>
      <c r="DP111" s="2492"/>
      <c r="DQ111" s="2492"/>
      <c r="DR111" s="2386"/>
      <c r="DS111" s="2492"/>
      <c r="DT111" s="2492"/>
      <c r="DU111" s="2492"/>
      <c r="DV111" s="2386"/>
      <c r="DW111" s="2492"/>
      <c r="DX111" s="2492"/>
      <c r="DY111" s="2492"/>
      <c r="DZ111" s="2386"/>
      <c r="EA111" s="2492"/>
      <c r="EB111" s="2492"/>
      <c r="EC111" s="2492"/>
      <c r="ED111" s="2386"/>
      <c r="EE111" s="2492"/>
      <c r="EF111" s="2492"/>
      <c r="EG111" s="2492"/>
      <c r="EH111" s="2386"/>
      <c r="EI111" s="2492"/>
      <c r="EJ111" s="2492"/>
      <c r="EK111" s="2492"/>
      <c r="EL111" s="2386"/>
      <c r="EM111" s="2492"/>
      <c r="EN111" s="2492"/>
      <c r="EO111" s="2492"/>
      <c r="EP111" s="2386"/>
      <c r="EQ111" s="2492"/>
      <c r="ER111" s="2492"/>
      <c r="ES111" s="2492"/>
      <c r="ET111" s="2386"/>
      <c r="EU111" s="2492"/>
      <c r="EV111" s="2492"/>
      <c r="EW111" s="2492"/>
      <c r="EX111" s="2386"/>
      <c r="EY111" s="2492"/>
      <c r="EZ111" s="2492"/>
      <c r="FA111" s="2492"/>
      <c r="FB111" s="2386"/>
      <c r="FC111" s="2492"/>
      <c r="FD111" s="2492"/>
      <c r="FE111" s="2492"/>
      <c r="FF111" s="2386"/>
      <c r="FG111" s="2492"/>
      <c r="FH111" s="2492"/>
      <c r="FI111" s="2492"/>
      <c r="FJ111" s="2386"/>
      <c r="FK111" s="2492"/>
      <c r="FL111" s="2492"/>
      <c r="FM111" s="2492"/>
      <c r="FN111" s="2386"/>
      <c r="FO111" s="2492"/>
      <c r="FP111" s="2492"/>
      <c r="FQ111" s="2492"/>
      <c r="FR111" s="2386"/>
      <c r="FS111" s="2492"/>
      <c r="FT111" s="2492"/>
      <c r="FU111" s="2492"/>
      <c r="FV111" s="2386"/>
      <c r="FW111" s="2492"/>
      <c r="FX111" s="2492"/>
      <c r="FY111" s="2492"/>
      <c r="FZ111" s="2386"/>
      <c r="GA111" s="2492"/>
      <c r="GB111" s="2492"/>
      <c r="GC111" s="2492"/>
      <c r="GD111" s="2386"/>
      <c r="GE111" s="2492"/>
      <c r="GF111" s="2492"/>
      <c r="GG111" s="2492"/>
      <c r="GH111" s="2386"/>
      <c r="GI111" s="2492"/>
      <c r="GJ111" s="2492"/>
      <c r="GK111" s="2492"/>
      <c r="GL111" s="2386"/>
      <c r="GM111" s="2492"/>
      <c r="GN111" s="2492"/>
      <c r="GO111" s="2492"/>
      <c r="GP111" s="2386"/>
      <c r="GQ111" s="2492"/>
      <c r="GR111" s="2492"/>
      <c r="GS111" s="2492"/>
      <c r="GT111" s="2386"/>
      <c r="GU111" s="2492"/>
      <c r="GV111" s="2492"/>
      <c r="GW111" s="2492"/>
      <c r="GX111" s="2386"/>
      <c r="GY111" s="2492"/>
      <c r="GZ111" s="2492"/>
      <c r="HA111" s="2492"/>
      <c r="HB111" s="2386"/>
      <c r="HC111" s="2492"/>
      <c r="HD111" s="2492"/>
      <c r="HE111" s="2492"/>
      <c r="HF111" s="2386"/>
      <c r="HG111" s="2492"/>
      <c r="HH111" s="2492"/>
      <c r="HI111" s="2492"/>
      <c r="HJ111" s="2386"/>
      <c r="HK111" s="2492"/>
      <c r="HL111" s="2492"/>
      <c r="HM111" s="2492"/>
      <c r="HN111" s="2386"/>
      <c r="HO111" s="2492"/>
      <c r="HP111" s="2492"/>
      <c r="HQ111" s="2492"/>
      <c r="HR111" s="2386"/>
      <c r="HS111" s="2492"/>
      <c r="HT111" s="2492"/>
      <c r="HU111" s="2492"/>
      <c r="HV111" s="2386"/>
      <c r="HW111" s="2492"/>
      <c r="HX111" s="2492"/>
      <c r="HY111" s="2492"/>
      <c r="HZ111" s="2386"/>
      <c r="IA111" s="2492"/>
      <c r="IB111" s="2492"/>
      <c r="IC111" s="2492"/>
      <c r="ID111" s="2386"/>
      <c r="IE111" s="2492"/>
      <c r="IF111" s="2492"/>
      <c r="IG111" s="2492"/>
      <c r="IH111" s="2386"/>
      <c r="II111" s="2492"/>
      <c r="IJ111" s="2492"/>
      <c r="IK111" s="2492"/>
      <c r="IL111" s="2386"/>
      <c r="IM111" s="2492"/>
      <c r="IN111" s="2492"/>
      <c r="IO111" s="2492"/>
      <c r="IP111" s="2386"/>
    </row>
    <row r="112" spans="1:250">
      <c r="A112" s="2405"/>
      <c r="B112" s="1943"/>
      <c r="G112" s="2330"/>
      <c r="H112" s="2332"/>
      <c r="L112" s="1943"/>
      <c r="M112" s="2386"/>
      <c r="N112" s="2492"/>
      <c r="O112" s="2492"/>
      <c r="P112" s="2492"/>
      <c r="Q112" s="2386"/>
      <c r="R112" s="2492"/>
      <c r="S112" s="2492"/>
      <c r="T112" s="2386"/>
      <c r="U112" s="2492"/>
      <c r="V112" s="2492"/>
      <c r="W112" s="2386"/>
      <c r="X112" s="2492"/>
      <c r="Y112" s="2492"/>
      <c r="Z112" s="2386"/>
      <c r="AA112" s="2492"/>
      <c r="AB112" s="2492"/>
      <c r="AC112" s="2492"/>
      <c r="AD112" s="2386"/>
      <c r="AE112" s="2318"/>
      <c r="AF112" s="2492"/>
      <c r="AG112" s="2492"/>
      <c r="AH112" s="2386"/>
      <c r="AI112" s="2492"/>
      <c r="AJ112" s="2492"/>
      <c r="AK112" s="2492"/>
      <c r="AL112" s="2386"/>
      <c r="AM112" s="2492"/>
      <c r="AN112" s="2492"/>
      <c r="AO112" s="2492"/>
      <c r="AP112" s="2386"/>
      <c r="AQ112" s="2492"/>
      <c r="AR112" s="2492"/>
      <c r="AS112" s="2492"/>
      <c r="AT112" s="2386"/>
      <c r="AU112" s="2492"/>
      <c r="AV112" s="2492"/>
      <c r="AW112" s="2492"/>
      <c r="AX112" s="2386"/>
      <c r="AY112" s="2492"/>
      <c r="AZ112" s="2492"/>
      <c r="BA112" s="2492"/>
      <c r="BB112" s="2386"/>
      <c r="BC112" s="2492"/>
      <c r="BD112" s="2492"/>
      <c r="BE112" s="2492"/>
      <c r="BF112" s="2386"/>
      <c r="BG112" s="2492"/>
      <c r="BH112" s="2492"/>
      <c r="BI112" s="2492"/>
      <c r="BJ112" s="2386"/>
      <c r="BK112" s="2492"/>
      <c r="BL112" s="2492"/>
      <c r="BM112" s="2492"/>
      <c r="BN112" s="2386"/>
      <c r="BO112" s="2492"/>
      <c r="BP112" s="2492"/>
      <c r="BQ112" s="2492"/>
      <c r="BR112" s="2386"/>
      <c r="BS112" s="2492"/>
      <c r="BT112" s="2492"/>
      <c r="BU112" s="2492"/>
      <c r="BV112" s="2386"/>
      <c r="BW112" s="2492"/>
      <c r="BX112" s="2492"/>
      <c r="BY112" s="2492"/>
      <c r="BZ112" s="2386"/>
      <c r="CA112" s="2492"/>
      <c r="CB112" s="2492"/>
      <c r="CC112" s="2492"/>
      <c r="CD112" s="2386"/>
      <c r="CE112" s="2492"/>
      <c r="CF112" s="2492"/>
      <c r="CG112" s="2492"/>
      <c r="CH112" s="2386"/>
      <c r="CI112" s="2492"/>
      <c r="CJ112" s="2492"/>
      <c r="CK112" s="2492"/>
      <c r="CL112" s="2386"/>
      <c r="CM112" s="2492"/>
      <c r="CN112" s="2492"/>
      <c r="CO112" s="2492"/>
      <c r="CP112" s="2386"/>
      <c r="CQ112" s="2492"/>
      <c r="CR112" s="2492"/>
      <c r="CS112" s="2492"/>
      <c r="CT112" s="2386"/>
      <c r="CU112" s="2492"/>
      <c r="CV112" s="2492"/>
      <c r="CW112" s="2492"/>
      <c r="CX112" s="2386"/>
      <c r="CY112" s="2492"/>
      <c r="CZ112" s="2492"/>
      <c r="DA112" s="2492"/>
      <c r="DB112" s="2386"/>
      <c r="DC112" s="2492"/>
      <c r="DD112" s="2492"/>
      <c r="DE112" s="2492"/>
      <c r="DF112" s="2386"/>
      <c r="DG112" s="2492"/>
      <c r="DH112" s="2492"/>
      <c r="DI112" s="2492"/>
      <c r="DJ112" s="2386"/>
      <c r="DK112" s="2492"/>
      <c r="DL112" s="2492"/>
      <c r="DM112" s="2492"/>
      <c r="DN112" s="2386"/>
      <c r="DO112" s="2492"/>
      <c r="DP112" s="2492"/>
      <c r="DQ112" s="2492"/>
      <c r="DR112" s="2386"/>
      <c r="DS112" s="2492"/>
      <c r="DT112" s="2492"/>
      <c r="DU112" s="2492"/>
      <c r="DV112" s="2386"/>
      <c r="DW112" s="2492"/>
      <c r="DX112" s="2492"/>
      <c r="DY112" s="2492"/>
      <c r="DZ112" s="2386"/>
      <c r="EA112" s="2492"/>
      <c r="EB112" s="2492"/>
      <c r="EC112" s="2492"/>
      <c r="ED112" s="2386"/>
      <c r="EE112" s="2492"/>
      <c r="EF112" s="2492"/>
      <c r="EG112" s="2492"/>
      <c r="EH112" s="2386"/>
      <c r="EI112" s="2492"/>
      <c r="EJ112" s="2492"/>
      <c r="EK112" s="2492"/>
      <c r="EL112" s="2386"/>
      <c r="EM112" s="2492"/>
      <c r="EN112" s="2492"/>
      <c r="EO112" s="2492"/>
      <c r="EP112" s="2386"/>
      <c r="EQ112" s="2492"/>
      <c r="ER112" s="2492"/>
      <c r="ES112" s="2492"/>
      <c r="ET112" s="2386"/>
      <c r="EU112" s="2492"/>
      <c r="EV112" s="2492"/>
      <c r="EW112" s="2492"/>
      <c r="EX112" s="2386"/>
      <c r="EY112" s="2492"/>
      <c r="EZ112" s="2492"/>
      <c r="FA112" s="2492"/>
      <c r="FB112" s="2386"/>
      <c r="FC112" s="2492"/>
      <c r="FD112" s="2492"/>
      <c r="FE112" s="2492"/>
      <c r="FF112" s="2386"/>
      <c r="FG112" s="2492"/>
      <c r="FH112" s="2492"/>
      <c r="FI112" s="2492"/>
      <c r="FJ112" s="2386"/>
      <c r="FK112" s="2492"/>
      <c r="FL112" s="2492"/>
      <c r="FM112" s="2492"/>
      <c r="FN112" s="2386"/>
      <c r="FO112" s="2492"/>
      <c r="FP112" s="2492"/>
      <c r="FQ112" s="2492"/>
      <c r="FR112" s="2386"/>
      <c r="FS112" s="2492"/>
      <c r="FT112" s="2492"/>
      <c r="FU112" s="2492"/>
      <c r="FV112" s="2386"/>
      <c r="FW112" s="2492"/>
      <c r="FX112" s="2492"/>
      <c r="FY112" s="2492"/>
      <c r="FZ112" s="2386"/>
      <c r="GA112" s="2492"/>
      <c r="GB112" s="2492"/>
      <c r="GC112" s="2492"/>
      <c r="GD112" s="2386"/>
      <c r="GE112" s="2492"/>
      <c r="GF112" s="2492"/>
      <c r="GG112" s="2492"/>
      <c r="GH112" s="2386"/>
      <c r="GI112" s="2492"/>
      <c r="GJ112" s="2492"/>
      <c r="GK112" s="2492"/>
      <c r="GL112" s="2386"/>
      <c r="GM112" s="2492"/>
      <c r="GN112" s="2492"/>
      <c r="GO112" s="2492"/>
      <c r="GP112" s="2386"/>
      <c r="GQ112" s="2492"/>
      <c r="GR112" s="2492"/>
      <c r="GS112" s="2492"/>
      <c r="GT112" s="2386"/>
      <c r="GU112" s="2492"/>
      <c r="GV112" s="2492"/>
      <c r="GW112" s="2492"/>
      <c r="GX112" s="2386"/>
      <c r="GY112" s="2492"/>
      <c r="GZ112" s="2492"/>
      <c r="HA112" s="2492"/>
      <c r="HB112" s="2386"/>
      <c r="HC112" s="2492"/>
      <c r="HD112" s="2492"/>
      <c r="HE112" s="2492"/>
      <c r="HF112" s="2386"/>
      <c r="HG112" s="2492"/>
      <c r="HH112" s="2492"/>
      <c r="HI112" s="2492"/>
      <c r="HJ112" s="2386"/>
      <c r="HK112" s="2492"/>
      <c r="HL112" s="2492"/>
      <c r="HM112" s="2492"/>
      <c r="HN112" s="2386"/>
      <c r="HO112" s="2492"/>
      <c r="HP112" s="2492"/>
      <c r="HQ112" s="2492"/>
      <c r="HR112" s="2386"/>
      <c r="HS112" s="2492"/>
      <c r="HT112" s="2492"/>
      <c r="HU112" s="2492"/>
      <c r="HV112" s="2386"/>
      <c r="HW112" s="2492"/>
      <c r="HX112" s="2492"/>
      <c r="HY112" s="2492"/>
      <c r="HZ112" s="2386"/>
      <c r="IA112" s="2492"/>
      <c r="IB112" s="2492"/>
      <c r="IC112" s="2492"/>
      <c r="ID112" s="2386"/>
      <c r="IE112" s="2492"/>
      <c r="IF112" s="2492"/>
      <c r="IG112" s="2492"/>
      <c r="IH112" s="2386"/>
      <c r="II112" s="2492"/>
      <c r="IJ112" s="2492"/>
      <c r="IK112" s="2492"/>
      <c r="IL112" s="2386"/>
      <c r="IM112" s="2492"/>
      <c r="IN112" s="2492"/>
      <c r="IO112" s="2492"/>
      <c r="IP112" s="2386"/>
    </row>
    <row r="113" spans="1:250">
      <c r="A113" s="2405"/>
      <c r="B113" s="1943"/>
      <c r="G113" s="2330"/>
      <c r="H113" s="2332"/>
      <c r="L113" s="1943"/>
      <c r="M113" s="2386"/>
      <c r="N113" s="2492"/>
      <c r="O113" s="2492"/>
      <c r="P113" s="2492"/>
      <c r="Q113" s="2386"/>
      <c r="R113" s="2492"/>
      <c r="S113" s="2492"/>
      <c r="T113" s="2386"/>
      <c r="U113" s="2492"/>
      <c r="V113" s="2492"/>
      <c r="W113" s="2386"/>
      <c r="X113" s="2492"/>
      <c r="Y113" s="2492"/>
      <c r="Z113" s="2386"/>
      <c r="AA113" s="2492"/>
      <c r="AB113" s="2492"/>
      <c r="AC113" s="2492"/>
      <c r="AD113" s="2386"/>
      <c r="AE113" s="2318"/>
      <c r="AF113" s="2492"/>
      <c r="AG113" s="2492"/>
      <c r="AH113" s="2386"/>
      <c r="AI113" s="2492"/>
      <c r="AJ113" s="2492"/>
      <c r="AK113" s="2492"/>
      <c r="AL113" s="2386"/>
      <c r="AM113" s="2492"/>
      <c r="AN113" s="2492"/>
      <c r="AO113" s="2492"/>
      <c r="AP113" s="2386"/>
      <c r="AQ113" s="2492"/>
      <c r="AR113" s="2492"/>
      <c r="AS113" s="2492"/>
      <c r="AT113" s="2386"/>
      <c r="AU113" s="2492"/>
      <c r="AV113" s="2492"/>
      <c r="AW113" s="2492"/>
      <c r="AX113" s="2386"/>
      <c r="AY113" s="2492"/>
      <c r="AZ113" s="2492"/>
      <c r="BA113" s="2492"/>
      <c r="BB113" s="2386"/>
      <c r="BC113" s="2492"/>
      <c r="BD113" s="2492"/>
      <c r="BE113" s="2492"/>
      <c r="BF113" s="2386"/>
      <c r="BG113" s="2492"/>
      <c r="BH113" s="2492"/>
      <c r="BI113" s="2492"/>
      <c r="BJ113" s="2386"/>
      <c r="BK113" s="2492"/>
      <c r="BL113" s="2492"/>
      <c r="BM113" s="2492"/>
      <c r="BN113" s="2386"/>
      <c r="BO113" s="2492"/>
      <c r="BP113" s="2492"/>
      <c r="BQ113" s="2492"/>
      <c r="BR113" s="2386"/>
      <c r="BS113" s="2492"/>
      <c r="BT113" s="2492"/>
      <c r="BU113" s="2492"/>
      <c r="BV113" s="2386"/>
      <c r="BW113" s="2492"/>
      <c r="BX113" s="2492"/>
      <c r="BY113" s="2492"/>
      <c r="BZ113" s="2386"/>
      <c r="CA113" s="2492"/>
      <c r="CB113" s="2492"/>
      <c r="CC113" s="2492"/>
      <c r="CD113" s="2386"/>
      <c r="CE113" s="2492"/>
      <c r="CF113" s="2492"/>
      <c r="CG113" s="2492"/>
      <c r="CH113" s="2386"/>
      <c r="CI113" s="2492"/>
      <c r="CJ113" s="2492"/>
      <c r="CK113" s="2492"/>
      <c r="CL113" s="2386"/>
      <c r="CM113" s="2492"/>
      <c r="CN113" s="2492"/>
      <c r="CO113" s="2492"/>
      <c r="CP113" s="2386"/>
      <c r="CQ113" s="2492"/>
      <c r="CR113" s="2492"/>
      <c r="CS113" s="2492"/>
      <c r="CT113" s="2386"/>
      <c r="CU113" s="2492"/>
      <c r="CV113" s="2492"/>
      <c r="CW113" s="2492"/>
      <c r="CX113" s="2386"/>
      <c r="CY113" s="2492"/>
      <c r="CZ113" s="2492"/>
      <c r="DA113" s="2492"/>
      <c r="DB113" s="2386"/>
      <c r="DC113" s="2492"/>
      <c r="DD113" s="2492"/>
      <c r="DE113" s="2492"/>
      <c r="DF113" s="2386"/>
      <c r="DG113" s="2492"/>
      <c r="DH113" s="2492"/>
      <c r="DI113" s="2492"/>
      <c r="DJ113" s="2386"/>
      <c r="DK113" s="2492"/>
      <c r="DL113" s="2492"/>
      <c r="DM113" s="2492"/>
      <c r="DN113" s="2386"/>
      <c r="DO113" s="2492"/>
      <c r="DP113" s="2492"/>
      <c r="DQ113" s="2492"/>
      <c r="DR113" s="2386"/>
      <c r="DS113" s="2492"/>
      <c r="DT113" s="2492"/>
      <c r="DU113" s="2492"/>
      <c r="DV113" s="2386"/>
      <c r="DW113" s="2492"/>
      <c r="DX113" s="2492"/>
      <c r="DY113" s="2492"/>
      <c r="DZ113" s="2386"/>
      <c r="EA113" s="2492"/>
      <c r="EB113" s="2492"/>
      <c r="EC113" s="2492"/>
      <c r="ED113" s="2386"/>
      <c r="EE113" s="2492"/>
      <c r="EF113" s="2492"/>
      <c r="EG113" s="2492"/>
      <c r="EH113" s="2386"/>
      <c r="EI113" s="2492"/>
      <c r="EJ113" s="2492"/>
      <c r="EK113" s="2492"/>
      <c r="EL113" s="2386"/>
      <c r="EM113" s="2492"/>
      <c r="EN113" s="2492"/>
      <c r="EO113" s="2492"/>
      <c r="EP113" s="2386"/>
      <c r="EQ113" s="2492"/>
      <c r="ER113" s="2492"/>
      <c r="ES113" s="2492"/>
      <c r="ET113" s="2386"/>
      <c r="EU113" s="2492"/>
      <c r="EV113" s="2492"/>
      <c r="EW113" s="2492"/>
      <c r="EX113" s="2386"/>
      <c r="EY113" s="2492"/>
      <c r="EZ113" s="2492"/>
      <c r="FA113" s="2492"/>
      <c r="FB113" s="2386"/>
      <c r="FC113" s="2492"/>
      <c r="FD113" s="2492"/>
      <c r="FE113" s="2492"/>
      <c r="FF113" s="2386"/>
      <c r="FG113" s="2492"/>
      <c r="FH113" s="2492"/>
      <c r="FI113" s="2492"/>
      <c r="FJ113" s="2386"/>
      <c r="FK113" s="2492"/>
      <c r="FL113" s="2492"/>
      <c r="FM113" s="2492"/>
      <c r="FN113" s="2386"/>
      <c r="FO113" s="2492"/>
      <c r="FP113" s="2492"/>
      <c r="FQ113" s="2492"/>
      <c r="FR113" s="2386"/>
      <c r="FS113" s="2492"/>
      <c r="FT113" s="2492"/>
      <c r="FU113" s="2492"/>
      <c r="FV113" s="2386"/>
      <c r="FW113" s="2492"/>
      <c r="FX113" s="2492"/>
      <c r="FY113" s="2492"/>
      <c r="FZ113" s="2386"/>
      <c r="GA113" s="2492"/>
      <c r="GB113" s="2492"/>
      <c r="GC113" s="2492"/>
      <c r="GD113" s="2386"/>
      <c r="GE113" s="2492"/>
      <c r="GF113" s="2492"/>
      <c r="GG113" s="2492"/>
      <c r="GH113" s="2386"/>
      <c r="GI113" s="2492"/>
      <c r="GJ113" s="2492"/>
      <c r="GK113" s="2492"/>
      <c r="GL113" s="2386"/>
      <c r="GM113" s="2492"/>
      <c r="GN113" s="2492"/>
      <c r="GO113" s="2492"/>
      <c r="GP113" s="2386"/>
      <c r="GQ113" s="2492"/>
      <c r="GR113" s="2492"/>
      <c r="GS113" s="2492"/>
      <c r="GT113" s="2386"/>
      <c r="GU113" s="2492"/>
      <c r="GV113" s="2492"/>
      <c r="GW113" s="2492"/>
      <c r="GX113" s="2386"/>
      <c r="GY113" s="2492"/>
      <c r="GZ113" s="2492"/>
      <c r="HA113" s="2492"/>
      <c r="HB113" s="2386"/>
      <c r="HC113" s="2492"/>
      <c r="HD113" s="2492"/>
      <c r="HE113" s="2492"/>
      <c r="HF113" s="2386"/>
      <c r="HG113" s="2492"/>
      <c r="HH113" s="2492"/>
      <c r="HI113" s="2492"/>
      <c r="HJ113" s="2386"/>
      <c r="HK113" s="2492"/>
      <c r="HL113" s="2492"/>
      <c r="HM113" s="2492"/>
      <c r="HN113" s="2386"/>
      <c r="HO113" s="2492"/>
      <c r="HP113" s="2492"/>
      <c r="HQ113" s="2492"/>
      <c r="HR113" s="2386"/>
      <c r="HS113" s="2492"/>
      <c r="HT113" s="2492"/>
      <c r="HU113" s="2492"/>
      <c r="HV113" s="2386"/>
      <c r="HW113" s="2492"/>
      <c r="HX113" s="2492"/>
      <c r="HY113" s="2492"/>
      <c r="HZ113" s="2386"/>
      <c r="IA113" s="2492"/>
      <c r="IB113" s="2492"/>
      <c r="IC113" s="2492"/>
      <c r="ID113" s="2386"/>
      <c r="IE113" s="2492"/>
      <c r="IF113" s="2492"/>
      <c r="IG113" s="2492"/>
      <c r="IH113" s="2386"/>
      <c r="II113" s="2492"/>
      <c r="IJ113" s="2492"/>
      <c r="IK113" s="2492"/>
      <c r="IL113" s="2386"/>
      <c r="IM113" s="2492"/>
      <c r="IN113" s="2492"/>
      <c r="IO113" s="2492"/>
      <c r="IP113" s="2386"/>
    </row>
    <row r="114" spans="1:250">
      <c r="A114" s="2405" t="s">
        <v>1207</v>
      </c>
      <c r="B114" s="1943"/>
      <c r="G114" s="2330"/>
      <c r="H114" s="2332"/>
      <c r="L114" s="1943"/>
      <c r="M114" s="2386"/>
      <c r="N114" s="2492"/>
      <c r="O114" s="2492"/>
      <c r="P114" s="2492"/>
      <c r="AB114" s="2492"/>
      <c r="AC114" s="2492"/>
      <c r="AD114" s="2386"/>
      <c r="AE114" s="2318"/>
      <c r="AF114" s="2492"/>
      <c r="AG114" s="2492"/>
      <c r="AH114" s="2386"/>
      <c r="AI114" s="2492"/>
      <c r="AJ114" s="2492"/>
      <c r="AK114" s="2492"/>
      <c r="AL114" s="2386"/>
      <c r="AM114" s="2492"/>
      <c r="AN114" s="2492"/>
      <c r="AO114" s="2492"/>
      <c r="AP114" s="2386"/>
      <c r="AQ114" s="2492"/>
      <c r="AR114" s="2492"/>
      <c r="AS114" s="2492"/>
      <c r="AT114" s="2386"/>
      <c r="AU114" s="2492"/>
      <c r="AV114" s="2492"/>
      <c r="AW114" s="2492"/>
      <c r="AX114" s="2386"/>
      <c r="AY114" s="2492"/>
      <c r="AZ114" s="2492"/>
      <c r="BA114" s="2492"/>
      <c r="BB114" s="2386"/>
      <c r="BC114" s="2492"/>
      <c r="BD114" s="2492"/>
      <c r="BE114" s="2492"/>
      <c r="BF114" s="2386"/>
      <c r="BG114" s="2492"/>
      <c r="BH114" s="2492"/>
      <c r="BI114" s="2492"/>
      <c r="BJ114" s="2386"/>
      <c r="BK114" s="2492"/>
      <c r="BL114" s="2492"/>
      <c r="BM114" s="2492"/>
      <c r="BN114" s="2386"/>
      <c r="BO114" s="2492"/>
      <c r="BP114" s="2492"/>
      <c r="BQ114" s="2492"/>
      <c r="BR114" s="2386"/>
      <c r="BS114" s="2492"/>
      <c r="BT114" s="2492"/>
      <c r="BU114" s="2492"/>
      <c r="BV114" s="2386"/>
      <c r="BW114" s="2492"/>
      <c r="BX114" s="2492"/>
      <c r="BY114" s="2492"/>
      <c r="BZ114" s="2386"/>
      <c r="CA114" s="2492"/>
      <c r="CB114" s="2492"/>
      <c r="CC114" s="2492"/>
      <c r="CD114" s="2386"/>
      <c r="CE114" s="2492"/>
      <c r="CF114" s="2492"/>
      <c r="CG114" s="2492"/>
      <c r="CH114" s="2386"/>
      <c r="CI114" s="2492"/>
      <c r="CJ114" s="2492"/>
      <c r="CK114" s="2492"/>
      <c r="CL114" s="2386"/>
      <c r="CM114" s="2492"/>
      <c r="CN114" s="2492"/>
      <c r="CO114" s="2492"/>
      <c r="CP114" s="2386"/>
      <c r="CQ114" s="2492"/>
      <c r="CR114" s="2492"/>
      <c r="CS114" s="2492"/>
      <c r="CT114" s="2386"/>
      <c r="CU114" s="2492"/>
      <c r="CV114" s="2492"/>
      <c r="CW114" s="2492"/>
      <c r="CX114" s="2386"/>
      <c r="CY114" s="2492"/>
      <c r="CZ114" s="2492"/>
      <c r="DA114" s="2492"/>
      <c r="DB114" s="2386"/>
      <c r="DC114" s="2492"/>
      <c r="DD114" s="2492"/>
      <c r="DE114" s="2492"/>
      <c r="DF114" s="2386"/>
      <c r="DG114" s="2492"/>
      <c r="DH114" s="2492"/>
      <c r="DI114" s="2492"/>
      <c r="DJ114" s="2386"/>
      <c r="DK114" s="2492"/>
      <c r="DL114" s="2492"/>
      <c r="DM114" s="2492"/>
      <c r="DN114" s="2386"/>
      <c r="DO114" s="2492"/>
      <c r="DP114" s="2492"/>
      <c r="DQ114" s="2492"/>
      <c r="DR114" s="2386"/>
      <c r="DS114" s="2492"/>
      <c r="DT114" s="2492"/>
      <c r="DU114" s="2492"/>
      <c r="DV114" s="2386"/>
      <c r="DW114" s="2492"/>
      <c r="DX114" s="2492"/>
      <c r="DY114" s="2492"/>
      <c r="DZ114" s="2386"/>
      <c r="EA114" s="2492"/>
      <c r="EB114" s="2492"/>
      <c r="EC114" s="2492"/>
      <c r="ED114" s="2386"/>
      <c r="EE114" s="2492"/>
      <c r="EF114" s="2492"/>
      <c r="EG114" s="2492"/>
      <c r="EH114" s="2386"/>
      <c r="EI114" s="2492"/>
      <c r="EJ114" s="2492"/>
      <c r="EK114" s="2492"/>
      <c r="EL114" s="2386"/>
      <c r="EM114" s="2492"/>
      <c r="EN114" s="2492"/>
      <c r="EO114" s="2492"/>
      <c r="EP114" s="2386"/>
      <c r="EQ114" s="2492"/>
      <c r="ER114" s="2492"/>
      <c r="ES114" s="2492"/>
      <c r="ET114" s="2386"/>
      <c r="EU114" s="2492"/>
      <c r="EV114" s="2492"/>
      <c r="EW114" s="2492"/>
      <c r="EX114" s="2386"/>
      <c r="EY114" s="2492"/>
      <c r="EZ114" s="2492"/>
      <c r="FA114" s="2492"/>
      <c r="FB114" s="2386"/>
      <c r="FC114" s="2492"/>
      <c r="FD114" s="2492"/>
      <c r="FE114" s="2492"/>
      <c r="FF114" s="2386"/>
      <c r="FG114" s="2492"/>
      <c r="FH114" s="2492"/>
      <c r="FI114" s="2492"/>
      <c r="FJ114" s="2386"/>
      <c r="FK114" s="2492"/>
      <c r="FL114" s="2492"/>
      <c r="FM114" s="2492"/>
      <c r="FN114" s="2386"/>
      <c r="FO114" s="2492"/>
      <c r="FP114" s="2492"/>
      <c r="FQ114" s="2492"/>
      <c r="FR114" s="2386"/>
      <c r="FS114" s="2492"/>
      <c r="FT114" s="2492"/>
      <c r="FU114" s="2492"/>
      <c r="FV114" s="2386"/>
      <c r="FW114" s="2492"/>
      <c r="FX114" s="2492"/>
      <c r="FY114" s="2492"/>
      <c r="FZ114" s="2386"/>
      <c r="GA114" s="2492"/>
      <c r="GB114" s="2492"/>
      <c r="GC114" s="2492"/>
      <c r="GD114" s="2386"/>
      <c r="GE114" s="2492"/>
      <c r="GF114" s="2492"/>
      <c r="GG114" s="2492"/>
      <c r="GH114" s="2386"/>
      <c r="GI114" s="2492"/>
      <c r="GJ114" s="2492"/>
      <c r="GK114" s="2492"/>
      <c r="GL114" s="2386"/>
      <c r="GM114" s="2492"/>
      <c r="GN114" s="2492"/>
      <c r="GO114" s="2492"/>
      <c r="GP114" s="2386"/>
      <c r="GQ114" s="2492"/>
      <c r="GR114" s="2492"/>
      <c r="GS114" s="2492"/>
      <c r="GT114" s="2386"/>
      <c r="GU114" s="2492"/>
      <c r="GV114" s="2492"/>
      <c r="GW114" s="2492"/>
      <c r="GX114" s="2386"/>
      <c r="GY114" s="2492"/>
      <c r="GZ114" s="2492"/>
      <c r="HA114" s="2492"/>
      <c r="HB114" s="2386"/>
      <c r="HC114" s="2492"/>
      <c r="HD114" s="2492"/>
      <c r="HE114" s="2492"/>
      <c r="HF114" s="2386"/>
      <c r="HG114" s="2492"/>
      <c r="HH114" s="2492"/>
      <c r="HI114" s="2492"/>
      <c r="HJ114" s="2386"/>
      <c r="HK114" s="2492"/>
      <c r="HL114" s="2492"/>
      <c r="HM114" s="2492"/>
      <c r="HN114" s="2386"/>
      <c r="HO114" s="2492"/>
      <c r="HP114" s="2492"/>
      <c r="HQ114" s="2492"/>
      <c r="HR114" s="2386"/>
      <c r="HS114" s="2492"/>
      <c r="HT114" s="2492"/>
      <c r="HU114" s="2492"/>
      <c r="HV114" s="2386"/>
      <c r="HW114" s="2492"/>
      <c r="HX114" s="2492"/>
      <c r="HY114" s="2492"/>
      <c r="HZ114" s="2386"/>
      <c r="IA114" s="2492"/>
      <c r="IB114" s="2492"/>
      <c r="IC114" s="2492"/>
      <c r="ID114" s="2386"/>
      <c r="IE114" s="2492"/>
      <c r="IF114" s="2492"/>
      <c r="IG114" s="2492"/>
      <c r="IH114" s="2386"/>
      <c r="II114" s="2492"/>
      <c r="IJ114" s="2492"/>
      <c r="IK114" s="2492"/>
      <c r="IL114" s="2386"/>
      <c r="IM114" s="2492"/>
      <c r="IN114" s="2492"/>
      <c r="IO114" s="2492"/>
      <c r="IP114" s="2386"/>
    </row>
    <row r="115" spans="1:250" ht="15.75" thickBot="1">
      <c r="A115" s="2411" t="s">
        <v>1208</v>
      </c>
      <c r="B115" s="2392"/>
      <c r="C115" s="2392"/>
      <c r="D115" s="2361"/>
      <c r="E115" s="2361"/>
      <c r="F115" s="2361"/>
      <c r="G115" s="2361"/>
      <c r="H115" s="2332"/>
      <c r="L115" s="1943"/>
      <c r="M115" s="2386"/>
      <c r="N115" s="2492"/>
      <c r="O115" s="2492"/>
      <c r="P115" s="2492"/>
      <c r="AB115" s="2492"/>
      <c r="AC115" s="2492"/>
      <c r="AD115" s="2386"/>
      <c r="AE115" s="2318"/>
      <c r="AF115" s="2492"/>
      <c r="AG115" s="2492"/>
      <c r="AH115" s="2386"/>
      <c r="AI115" s="2492"/>
      <c r="AJ115" s="2492"/>
      <c r="AK115" s="2492"/>
      <c r="AL115" s="2386"/>
      <c r="AM115" s="2492"/>
      <c r="AN115" s="2492"/>
      <c r="AO115" s="2492"/>
      <c r="AP115" s="2386"/>
      <c r="AQ115" s="2492"/>
      <c r="AR115" s="2492"/>
      <c r="AS115" s="2492"/>
      <c r="AT115" s="2386"/>
      <c r="AU115" s="2492"/>
      <c r="AV115" s="2492"/>
      <c r="AW115" s="2492"/>
      <c r="AX115" s="2386"/>
      <c r="AY115" s="2492"/>
      <c r="AZ115" s="2492"/>
      <c r="BA115" s="2492"/>
      <c r="BB115" s="2386"/>
      <c r="BC115" s="2492"/>
      <c r="BD115" s="2492"/>
      <c r="BE115" s="2492"/>
      <c r="BF115" s="2386"/>
      <c r="BG115" s="2492"/>
      <c r="BH115" s="2492"/>
      <c r="BI115" s="2492"/>
      <c r="BJ115" s="2386"/>
      <c r="BK115" s="2492"/>
      <c r="BL115" s="2492"/>
      <c r="BM115" s="2492"/>
      <c r="BN115" s="2386"/>
      <c r="BO115" s="2492"/>
      <c r="BP115" s="2492"/>
      <c r="BQ115" s="2492"/>
      <c r="BR115" s="2386"/>
      <c r="BS115" s="2492"/>
      <c r="BT115" s="2492"/>
      <c r="BU115" s="2492"/>
      <c r="BV115" s="2386"/>
      <c r="BW115" s="2492"/>
      <c r="BX115" s="2492"/>
      <c r="BY115" s="2492"/>
      <c r="BZ115" s="2386"/>
      <c r="CA115" s="2492"/>
      <c r="CB115" s="2492"/>
      <c r="CC115" s="2492"/>
      <c r="CD115" s="2386"/>
      <c r="CE115" s="2492"/>
      <c r="CF115" s="2492"/>
      <c r="CG115" s="2492"/>
      <c r="CH115" s="2386"/>
      <c r="CI115" s="2492"/>
      <c r="CJ115" s="2492"/>
      <c r="CK115" s="2492"/>
      <c r="CL115" s="2386"/>
      <c r="CM115" s="2492"/>
      <c r="CN115" s="2492"/>
      <c r="CO115" s="2492"/>
      <c r="CP115" s="2386"/>
      <c r="CQ115" s="2492"/>
      <c r="CR115" s="2492"/>
      <c r="CS115" s="2492"/>
      <c r="CT115" s="2386"/>
      <c r="CU115" s="2492"/>
      <c r="CV115" s="2492"/>
      <c r="CW115" s="2492"/>
      <c r="CX115" s="2386"/>
      <c r="CY115" s="2492"/>
      <c r="CZ115" s="2492"/>
      <c r="DA115" s="2492"/>
      <c r="DB115" s="2386"/>
      <c r="DC115" s="2492"/>
      <c r="DD115" s="2492"/>
      <c r="DE115" s="2492"/>
      <c r="DF115" s="2386"/>
      <c r="DG115" s="2492"/>
      <c r="DH115" s="2492"/>
      <c r="DI115" s="2492"/>
      <c r="DJ115" s="2386"/>
      <c r="DK115" s="2492"/>
      <c r="DL115" s="2492"/>
      <c r="DM115" s="2492"/>
      <c r="DN115" s="2386"/>
      <c r="DO115" s="2492"/>
      <c r="DP115" s="2492"/>
      <c r="DQ115" s="2492"/>
      <c r="DR115" s="2386"/>
      <c r="DS115" s="2492"/>
      <c r="DT115" s="2492"/>
      <c r="DU115" s="2492"/>
      <c r="DV115" s="2386"/>
      <c r="DW115" s="2492"/>
      <c r="DX115" s="2492"/>
      <c r="DY115" s="2492"/>
      <c r="DZ115" s="2386"/>
      <c r="EA115" s="2492"/>
      <c r="EB115" s="2492"/>
      <c r="EC115" s="2492"/>
      <c r="ED115" s="2386"/>
      <c r="EE115" s="2492"/>
      <c r="EF115" s="2492"/>
      <c r="EG115" s="2492"/>
      <c r="EH115" s="2386"/>
      <c r="EI115" s="2492"/>
      <c r="EJ115" s="2492"/>
      <c r="EK115" s="2492"/>
      <c r="EL115" s="2386"/>
      <c r="EM115" s="2492"/>
      <c r="EN115" s="2492"/>
      <c r="EO115" s="2492"/>
      <c r="EP115" s="2386"/>
      <c r="EQ115" s="2492"/>
      <c r="ER115" s="2492"/>
      <c r="ES115" s="2492"/>
      <c r="ET115" s="2386"/>
      <c r="EU115" s="2492"/>
      <c r="EV115" s="2492"/>
      <c r="EW115" s="2492"/>
      <c r="EX115" s="2386"/>
      <c r="EY115" s="2492"/>
      <c r="EZ115" s="2492"/>
      <c r="FA115" s="2492"/>
      <c r="FB115" s="2386"/>
      <c r="FC115" s="2492"/>
      <c r="FD115" s="2492"/>
      <c r="FE115" s="2492"/>
      <c r="FF115" s="2386"/>
      <c r="FG115" s="2492"/>
      <c r="FH115" s="2492"/>
      <c r="FI115" s="2492"/>
      <c r="FJ115" s="2386"/>
      <c r="FK115" s="2492"/>
      <c r="FL115" s="2492"/>
      <c r="FM115" s="2492"/>
      <c r="FN115" s="2386"/>
      <c r="FO115" s="2492"/>
      <c r="FP115" s="2492"/>
      <c r="FQ115" s="2492"/>
      <c r="FR115" s="2386"/>
      <c r="FS115" s="2492"/>
      <c r="FT115" s="2492"/>
      <c r="FU115" s="2492"/>
      <c r="FV115" s="2386"/>
      <c r="FW115" s="2492"/>
      <c r="FX115" s="2492"/>
      <c r="FY115" s="2492"/>
      <c r="FZ115" s="2386"/>
      <c r="GA115" s="2492"/>
      <c r="GB115" s="2492"/>
      <c r="GC115" s="2492"/>
      <c r="GD115" s="2386"/>
      <c r="GE115" s="2492"/>
      <c r="GF115" s="2492"/>
      <c r="GG115" s="2492"/>
      <c r="GH115" s="2386"/>
      <c r="GI115" s="2492"/>
      <c r="GJ115" s="2492"/>
      <c r="GK115" s="2492"/>
      <c r="GL115" s="2386"/>
      <c r="GM115" s="2492"/>
      <c r="GN115" s="2492"/>
      <c r="GO115" s="2492"/>
      <c r="GP115" s="2386"/>
      <c r="GQ115" s="2492"/>
      <c r="GR115" s="2492"/>
      <c r="GS115" s="2492"/>
      <c r="GT115" s="2386"/>
      <c r="GU115" s="2492"/>
      <c r="GV115" s="2492"/>
      <c r="GW115" s="2492"/>
      <c r="GX115" s="2386"/>
      <c r="GY115" s="2492"/>
      <c r="GZ115" s="2492"/>
      <c r="HA115" s="2492"/>
      <c r="HB115" s="2386"/>
      <c r="HC115" s="2492"/>
      <c r="HD115" s="2492"/>
      <c r="HE115" s="2492"/>
      <c r="HF115" s="2386"/>
      <c r="HG115" s="2492"/>
      <c r="HH115" s="2492"/>
      <c r="HI115" s="2492"/>
      <c r="HJ115" s="2386"/>
      <c r="HK115" s="2492"/>
      <c r="HL115" s="2492"/>
      <c r="HM115" s="2492"/>
      <c r="HN115" s="2386"/>
      <c r="HO115" s="2492"/>
      <c r="HP115" s="2492"/>
      <c r="HQ115" s="2492"/>
      <c r="HR115" s="2386"/>
      <c r="HS115" s="2492"/>
      <c r="HT115" s="2492"/>
      <c r="HU115" s="2492"/>
      <c r="HV115" s="2386"/>
      <c r="HW115" s="2492"/>
      <c r="HX115" s="2492"/>
      <c r="HY115" s="2492"/>
      <c r="HZ115" s="2386"/>
      <c r="IA115" s="2492"/>
      <c r="IB115" s="2492"/>
      <c r="IC115" s="2492"/>
      <c r="ID115" s="2386"/>
      <c r="IE115" s="2492"/>
      <c r="IF115" s="2492"/>
      <c r="IG115" s="2492"/>
      <c r="IH115" s="2386"/>
      <c r="II115" s="2492"/>
      <c r="IJ115" s="2492"/>
      <c r="IK115" s="2492"/>
      <c r="IL115" s="2386"/>
      <c r="IM115" s="2492"/>
      <c r="IN115" s="2492"/>
      <c r="IO115" s="2492"/>
      <c r="IP115" s="2386"/>
    </row>
    <row r="116" spans="1:250" ht="15.75" thickBot="1">
      <c r="A116" s="2412"/>
      <c r="B116" s="2394"/>
      <c r="C116" s="2413"/>
      <c r="D116" s="2371"/>
      <c r="E116" s="2361"/>
      <c r="F116" s="2361"/>
      <c r="G116" s="2371"/>
      <c r="H116" s="2346"/>
      <c r="I116" s="2342"/>
      <c r="J116" s="2342"/>
      <c r="K116" s="2342"/>
      <c r="L116" s="2342"/>
      <c r="M116" s="2342"/>
      <c r="AE116" s="2318"/>
    </row>
    <row r="117" spans="1:250" ht="15.75" thickBot="1">
      <c r="A117" s="2291"/>
      <c r="B117" s="2414"/>
      <c r="C117" s="2414"/>
      <c r="D117" s="2415"/>
      <c r="E117" s="2416"/>
      <c r="F117" s="2416"/>
      <c r="G117" s="2415"/>
      <c r="H117" s="2417"/>
      <c r="I117" s="2418"/>
      <c r="J117" s="2418"/>
      <c r="K117" s="2418"/>
      <c r="L117" s="2418"/>
      <c r="M117" s="2418"/>
      <c r="N117" s="2419"/>
      <c r="AE117" s="2318"/>
    </row>
    <row r="118" spans="1:250">
      <c r="A118" s="6295" t="s">
        <v>1209</v>
      </c>
      <c r="B118" s="6296"/>
      <c r="C118" s="6296"/>
      <c r="D118" s="6296"/>
      <c r="E118" s="6296"/>
      <c r="F118" s="6296"/>
      <c r="G118" s="6296"/>
      <c r="H118" s="2420"/>
      <c r="I118" s="2421"/>
      <c r="J118" s="2421"/>
      <c r="K118" s="2421"/>
      <c r="L118" s="2421"/>
      <c r="M118" s="2421"/>
      <c r="N118" s="2422" t="s">
        <v>94</v>
      </c>
      <c r="AE118" s="2318"/>
    </row>
    <row r="119" spans="1:250">
      <c r="A119" s="2423"/>
      <c r="B119" s="2419"/>
      <c r="C119" s="2419"/>
      <c r="D119" s="2418"/>
      <c r="E119" s="2424"/>
      <c r="F119" s="2424"/>
      <c r="G119" s="2418"/>
      <c r="H119" s="2417"/>
      <c r="I119" s="2418"/>
      <c r="J119" s="2418"/>
      <c r="K119" s="2418"/>
      <c r="L119" s="2418"/>
      <c r="M119" s="2418"/>
      <c r="N119" s="2419"/>
      <c r="AE119" s="2318"/>
    </row>
    <row r="120" spans="1:250">
      <c r="A120" s="2425" t="s">
        <v>1210</v>
      </c>
      <c r="H120" s="2332"/>
      <c r="J120" s="2342"/>
      <c r="K120" s="2342"/>
      <c r="L120" s="2342"/>
      <c r="M120" s="2342"/>
      <c r="AE120" s="2318"/>
    </row>
    <row r="121" spans="1:250" ht="29.25">
      <c r="A121" s="2301"/>
      <c r="E121" s="2331" t="s">
        <v>1127</v>
      </c>
      <c r="F121" s="2331"/>
      <c r="G121" s="2331" t="s">
        <v>1211</v>
      </c>
      <c r="H121" s="2332"/>
      <c r="I121" s="2342"/>
      <c r="J121" s="2342"/>
      <c r="K121" s="2333"/>
      <c r="L121" s="2426"/>
      <c r="M121" s="2426"/>
      <c r="N121" s="2335"/>
      <c r="AE121" s="2318"/>
    </row>
    <row r="122" spans="1:250">
      <c r="A122" s="2301"/>
      <c r="D122" s="2342"/>
      <c r="E122" s="2337" t="s">
        <v>1131</v>
      </c>
      <c r="F122" s="2337"/>
      <c r="G122" s="2337" t="s">
        <v>1131</v>
      </c>
      <c r="H122" s="2346"/>
      <c r="I122" s="2342"/>
      <c r="J122" s="2337"/>
      <c r="K122" s="2337"/>
      <c r="L122" s="2334"/>
      <c r="M122" s="2334"/>
      <c r="N122" s="2339"/>
      <c r="AE122" s="2318"/>
    </row>
    <row r="123" spans="1:250">
      <c r="A123" s="2357" t="s">
        <v>94</v>
      </c>
      <c r="B123" s="2341"/>
      <c r="D123" s="2342"/>
      <c r="E123" s="2337" t="s">
        <v>1133</v>
      </c>
      <c r="F123" s="2337"/>
      <c r="G123" s="2337" t="s">
        <v>1133</v>
      </c>
      <c r="H123" s="2346"/>
      <c r="I123" s="2342"/>
      <c r="J123" s="2337"/>
      <c r="K123" s="2337"/>
      <c r="L123" s="2334"/>
      <c r="M123" s="2334"/>
      <c r="N123" s="2339"/>
      <c r="AE123" s="2318"/>
    </row>
    <row r="124" spans="1:250" hidden="1">
      <c r="A124" s="2301"/>
      <c r="H124" s="2332"/>
      <c r="K124" s="2342"/>
      <c r="L124" s="2342"/>
      <c r="M124" s="2342"/>
      <c r="AE124" s="2318"/>
    </row>
    <row r="125" spans="1:250" hidden="1">
      <c r="A125" s="2357"/>
      <c r="G125" s="2342">
        <v>0</v>
      </c>
      <c r="H125" s="2332"/>
      <c r="K125" s="2342"/>
      <c r="L125" s="2342"/>
      <c r="M125" s="2342"/>
      <c r="N125" s="2347"/>
      <c r="AE125" s="2318"/>
    </row>
    <row r="126" spans="1:250" hidden="1">
      <c r="A126" s="2357"/>
      <c r="H126" s="2332"/>
      <c r="K126" s="2342"/>
      <c r="L126" s="2342"/>
      <c r="M126" s="2342"/>
      <c r="AE126" s="2318"/>
    </row>
    <row r="127" spans="1:250" outlineLevel="1">
      <c r="A127" s="2357" t="s">
        <v>1212</v>
      </c>
      <c r="D127" s="2342"/>
      <c r="H127" s="2346"/>
      <c r="I127" s="2342"/>
      <c r="K127" s="2396"/>
      <c r="L127" s="2317"/>
      <c r="P127" s="2356"/>
      <c r="AE127" s="2318"/>
    </row>
    <row r="128" spans="1:250" outlineLevel="1">
      <c r="A128" s="2357" t="s">
        <v>1213</v>
      </c>
      <c r="D128" s="2342"/>
      <c r="H128" s="2346"/>
      <c r="I128" s="2342"/>
      <c r="K128" s="2396"/>
      <c r="L128" s="2317"/>
      <c r="P128" s="2356"/>
      <c r="AE128" s="2318"/>
    </row>
    <row r="129" spans="1:31" outlineLevel="1">
      <c r="A129" s="2301"/>
      <c r="B129" s="2427" t="s">
        <v>1214</v>
      </c>
      <c r="E129" s="2330">
        <v>0</v>
      </c>
      <c r="G129" s="2330">
        <v>0</v>
      </c>
      <c r="H129" s="2346"/>
      <c r="J129" s="2342"/>
      <c r="N129" s="2347"/>
      <c r="O129" s="2347"/>
      <c r="AE129" s="2318"/>
    </row>
    <row r="130" spans="1:31" outlineLevel="1">
      <c r="A130" s="2301"/>
      <c r="B130" s="2427" t="s">
        <v>1215</v>
      </c>
      <c r="E130" s="2330">
        <v>143.62</v>
      </c>
      <c r="G130" s="2330">
        <v>159.58000000000001</v>
      </c>
      <c r="H130" s="2346"/>
      <c r="J130" s="2342"/>
      <c r="N130" s="2347"/>
      <c r="AE130" s="2318"/>
    </row>
    <row r="131" spans="1:31" outlineLevel="1">
      <c r="A131" s="2301"/>
      <c r="B131" s="2427" t="s">
        <v>1216</v>
      </c>
      <c r="E131" s="2330">
        <v>0</v>
      </c>
      <c r="G131" s="2330">
        <v>0</v>
      </c>
      <c r="H131" s="2346"/>
      <c r="J131" s="2342"/>
      <c r="N131" s="2347"/>
      <c r="AE131" s="2318"/>
    </row>
    <row r="132" spans="1:31" outlineLevel="1">
      <c r="A132" s="2301"/>
      <c r="B132" s="2427" t="s">
        <v>1217</v>
      </c>
      <c r="E132" s="2330">
        <v>3798.5</v>
      </c>
      <c r="G132" s="2330">
        <v>3798.5</v>
      </c>
      <c r="H132" s="2346"/>
      <c r="J132" s="2342"/>
      <c r="N132" s="2347"/>
      <c r="AE132" s="2318"/>
    </row>
    <row r="133" spans="1:31" outlineLevel="1">
      <c r="A133" s="2357"/>
      <c r="B133" s="2302" t="s">
        <v>1218</v>
      </c>
      <c r="D133" s="2342"/>
      <c r="E133" s="2330">
        <f>6745+40000</f>
        <v>46745</v>
      </c>
      <c r="G133" s="2330">
        <v>6300</v>
      </c>
      <c r="H133" s="2346"/>
      <c r="I133" s="2342"/>
      <c r="K133" s="2396"/>
      <c r="L133" s="2317"/>
      <c r="N133" s="2347"/>
      <c r="P133" s="2356"/>
      <c r="AE133" s="2318"/>
    </row>
    <row r="134" spans="1:31" outlineLevel="1">
      <c r="A134" s="2357" t="s">
        <v>1219</v>
      </c>
      <c r="D134" s="2342"/>
      <c r="E134" s="2330">
        <v>0</v>
      </c>
      <c r="G134" s="2353">
        <v>0</v>
      </c>
      <c r="H134" s="2346"/>
      <c r="I134" s="2396"/>
      <c r="K134" s="2396"/>
      <c r="M134" s="2317"/>
      <c r="N134" s="2347"/>
      <c r="P134" s="2356"/>
      <c r="AE134" s="2318"/>
    </row>
    <row r="135" spans="1:31" ht="15.75" thickBot="1">
      <c r="A135" s="2301"/>
      <c r="B135" s="2354" t="s">
        <v>499</v>
      </c>
      <c r="D135" s="2342"/>
      <c r="E135" s="2355">
        <f>SUM(E129:E134)</f>
        <v>50687.12</v>
      </c>
      <c r="F135" s="2342"/>
      <c r="G135" s="2355">
        <f>SUM(G129:G134)</f>
        <v>10258.08</v>
      </c>
      <c r="H135" s="2346"/>
      <c r="I135" s="2342"/>
      <c r="K135" s="2342"/>
      <c r="N135" s="2356"/>
      <c r="AE135" s="2318"/>
    </row>
    <row r="136" spans="1:31" ht="15.75" thickTop="1">
      <c r="A136" s="2301"/>
      <c r="B136" s="2354"/>
      <c r="D136" s="2342"/>
      <c r="E136" s="2342"/>
      <c r="F136" s="2342"/>
      <c r="H136" s="2346"/>
      <c r="I136" s="2342"/>
      <c r="K136" s="2342"/>
      <c r="N136" s="2356"/>
      <c r="AE136" s="2318"/>
    </row>
    <row r="137" spans="1:31">
      <c r="A137" s="2301"/>
      <c r="B137" s="2354"/>
      <c r="D137" s="2342"/>
      <c r="E137" s="2342"/>
      <c r="F137" s="2342"/>
      <c r="H137" s="2346"/>
      <c r="I137" s="2342"/>
      <c r="K137" s="2342"/>
      <c r="N137" s="2356"/>
      <c r="AE137" s="2318"/>
    </row>
    <row r="138" spans="1:31">
      <c r="A138" s="2301"/>
      <c r="B138" s="2354"/>
      <c r="D138" s="2342"/>
      <c r="E138" s="2342"/>
      <c r="F138" s="2342"/>
      <c r="H138" s="2346"/>
      <c r="I138" s="2342"/>
      <c r="K138" s="2342"/>
      <c r="N138" s="2356"/>
      <c r="AE138" s="2318"/>
    </row>
    <row r="139" spans="1:31">
      <c r="A139" s="2301"/>
      <c r="B139" s="2354"/>
      <c r="D139" s="2342"/>
      <c r="E139" s="2342"/>
      <c r="F139" s="2342"/>
      <c r="H139" s="2346"/>
      <c r="I139" s="2342"/>
      <c r="K139" s="2342"/>
      <c r="N139" s="2356"/>
      <c r="AE139" s="2318"/>
    </row>
    <row r="140" spans="1:31">
      <c r="A140" s="2428" t="s">
        <v>1220</v>
      </c>
      <c r="B140" s="2354"/>
      <c r="D140" s="2342"/>
      <c r="H140" s="2346"/>
      <c r="I140" s="2342"/>
      <c r="K140" s="2342"/>
      <c r="N140" s="2356"/>
      <c r="AE140" s="2318"/>
    </row>
    <row r="141" spans="1:31" ht="29.25">
      <c r="A141" s="2301"/>
      <c r="D141" s="2342"/>
      <c r="E141" s="2331" t="str">
        <f>E121</f>
        <v>(As at 31st March,2013)</v>
      </c>
      <c r="F141" s="2331"/>
      <c r="G141" s="2331" t="str">
        <f>G121</f>
        <v>(As at 31st March,2012)</v>
      </c>
      <c r="H141" s="2346"/>
      <c r="L141" s="2342"/>
      <c r="AE141" s="2318"/>
    </row>
    <row r="142" spans="1:31">
      <c r="A142" s="2429"/>
      <c r="B142" s="2419"/>
      <c r="C142" s="2419"/>
      <c r="D142" s="2342"/>
      <c r="E142" s="2337" t="s">
        <v>1131</v>
      </c>
      <c r="F142" s="2337"/>
      <c r="G142" s="2337" t="s">
        <v>1131</v>
      </c>
      <c r="H142" s="2346"/>
      <c r="I142" s="2342"/>
      <c r="J142" s="2337"/>
      <c r="K142" s="2337"/>
      <c r="L142" s="2334"/>
      <c r="M142" s="2334"/>
      <c r="N142" s="2419"/>
      <c r="AE142" s="2318"/>
    </row>
    <row r="143" spans="1:31">
      <c r="A143" s="2430"/>
      <c r="B143" s="2360"/>
      <c r="D143" s="2342"/>
      <c r="E143" s="2337" t="s">
        <v>1133</v>
      </c>
      <c r="F143" s="2337"/>
      <c r="G143" s="2337" t="s">
        <v>1133</v>
      </c>
      <c r="H143" s="2346"/>
      <c r="I143" s="2342"/>
      <c r="J143" s="2337"/>
      <c r="K143" s="2337"/>
      <c r="L143" s="2334"/>
      <c r="M143" s="2334"/>
      <c r="N143" s="2335"/>
      <c r="AE143" s="2318"/>
    </row>
    <row r="144" spans="1:31" ht="15" hidden="1" customHeight="1">
      <c r="A144" s="2301"/>
      <c r="B144" s="2360"/>
      <c r="D144" s="2342"/>
      <c r="E144" s="2334"/>
      <c r="F144" s="2334"/>
      <c r="H144" s="2346"/>
      <c r="I144" s="2342"/>
      <c r="J144" s="2337"/>
      <c r="K144" s="2337"/>
      <c r="L144" s="2334"/>
      <c r="M144" s="2334"/>
      <c r="N144" s="2335"/>
      <c r="AE144" s="2318"/>
    </row>
    <row r="145" spans="1:31">
      <c r="A145" s="2357" t="s">
        <v>1221</v>
      </c>
      <c r="B145" s="2360"/>
      <c r="D145" s="2342"/>
      <c r="E145" s="2426"/>
      <c r="F145" s="2426"/>
      <c r="H145" s="2346"/>
      <c r="I145" s="2342"/>
      <c r="K145" s="2333"/>
      <c r="L145" s="2426"/>
      <c r="M145" s="2426"/>
      <c r="N145" s="2335"/>
      <c r="AE145" s="2318"/>
    </row>
    <row r="146" spans="1:31">
      <c r="A146" s="2357" t="s">
        <v>1222</v>
      </c>
      <c r="B146" s="2360"/>
      <c r="D146" s="2342"/>
      <c r="E146" s="2426"/>
      <c r="F146" s="2426"/>
      <c r="H146" s="2346"/>
      <c r="I146" s="2342"/>
      <c r="K146" s="2333"/>
      <c r="L146" s="2426"/>
      <c r="M146" s="2426"/>
      <c r="N146" s="2335"/>
      <c r="AE146" s="2318"/>
    </row>
    <row r="147" spans="1:31">
      <c r="A147" s="2301" t="s">
        <v>1223</v>
      </c>
      <c r="D147" s="2342"/>
      <c r="E147" s="2330">
        <v>0</v>
      </c>
      <c r="F147" s="2426"/>
      <c r="G147" s="2426">
        <v>250</v>
      </c>
      <c r="H147" s="2346"/>
      <c r="I147" s="2342"/>
      <c r="J147" s="2342"/>
      <c r="K147" s="2342"/>
      <c r="L147" s="2426"/>
      <c r="M147" s="2426"/>
      <c r="N147" s="2335"/>
      <c r="AE147" s="2318"/>
    </row>
    <row r="148" spans="1:31" ht="21" customHeight="1">
      <c r="A148" s="2301" t="s">
        <v>1224</v>
      </c>
      <c r="E148" s="2330">
        <v>324</v>
      </c>
      <c r="F148" s="2426"/>
      <c r="G148" s="2426">
        <v>324</v>
      </c>
      <c r="H148" s="2346"/>
      <c r="I148" s="2342"/>
      <c r="J148" s="2342"/>
      <c r="K148" s="2333"/>
      <c r="L148" s="2426"/>
      <c r="M148" s="2426"/>
      <c r="N148" s="2335"/>
      <c r="AE148" s="2318"/>
    </row>
    <row r="149" spans="1:31" ht="16.5" customHeight="1">
      <c r="A149" s="2301" t="s">
        <v>1225</v>
      </c>
      <c r="E149" s="2330">
        <v>350</v>
      </c>
      <c r="F149" s="2426"/>
      <c r="G149" s="2426">
        <v>350</v>
      </c>
      <c r="H149" s="2346"/>
      <c r="I149" s="2342"/>
      <c r="J149" s="2342"/>
      <c r="K149" s="2333"/>
      <c r="L149" s="2426"/>
      <c r="M149" s="2426"/>
      <c r="N149" s="2335"/>
      <c r="AE149" s="2318"/>
    </row>
    <row r="150" spans="1:31" ht="15" customHeight="1">
      <c r="A150" s="2301" t="s">
        <v>1226</v>
      </c>
      <c r="E150" s="2330">
        <v>110</v>
      </c>
      <c r="F150" s="2426"/>
      <c r="G150" s="2426">
        <v>110</v>
      </c>
      <c r="H150" s="2346"/>
      <c r="I150" s="2342"/>
      <c r="J150" s="2342"/>
      <c r="K150" s="2333"/>
      <c r="L150" s="2426"/>
      <c r="M150" s="2426"/>
      <c r="N150" s="2335"/>
      <c r="AE150" s="2318"/>
    </row>
    <row r="151" spans="1:31" ht="15" customHeight="1">
      <c r="A151" s="2301" t="s">
        <v>1226</v>
      </c>
      <c r="E151" s="2330">
        <v>230</v>
      </c>
      <c r="F151" s="2426"/>
      <c r="G151" s="2426">
        <v>230</v>
      </c>
      <c r="H151" s="2346"/>
      <c r="I151" s="2342"/>
      <c r="J151" s="2342"/>
      <c r="K151" s="2333"/>
      <c r="L151" s="2426"/>
      <c r="M151" s="2426"/>
      <c r="N151" s="2335"/>
      <c r="AE151" s="2318"/>
    </row>
    <row r="152" spans="1:31" ht="14.25" customHeight="1" thickBot="1">
      <c r="A152" s="2301" t="s">
        <v>1227</v>
      </c>
      <c r="E152" s="2361">
        <v>95</v>
      </c>
      <c r="F152" s="2426"/>
      <c r="G152" s="2431">
        <v>95</v>
      </c>
      <c r="H152" s="2346"/>
      <c r="I152" s="2342"/>
      <c r="J152" s="2342"/>
      <c r="K152" s="2333"/>
      <c r="L152" s="2426"/>
      <c r="M152" s="2426"/>
      <c r="N152" s="2335"/>
      <c r="AE152" s="2318"/>
    </row>
    <row r="153" spans="1:31" hidden="1">
      <c r="A153" s="2301" t="s">
        <v>1228</v>
      </c>
      <c r="E153" s="2426">
        <v>0</v>
      </c>
      <c r="F153" s="2426"/>
      <c r="G153" s="2342">
        <v>0</v>
      </c>
      <c r="H153" s="2346"/>
      <c r="I153" s="2342"/>
      <c r="J153" s="2342"/>
      <c r="K153" s="2333"/>
      <c r="L153" s="2426"/>
      <c r="M153" s="2426"/>
      <c r="N153" s="2335"/>
      <c r="AE153" s="2318"/>
    </row>
    <row r="154" spans="1:31" hidden="1">
      <c r="A154" s="2301" t="s">
        <v>1229</v>
      </c>
      <c r="E154" s="2426">
        <v>0</v>
      </c>
      <c r="F154" s="2426"/>
      <c r="G154" s="2342">
        <v>0</v>
      </c>
      <c r="H154" s="2346"/>
      <c r="I154" s="2342"/>
      <c r="J154" s="2342"/>
      <c r="K154" s="2333"/>
      <c r="L154" s="2426"/>
      <c r="M154" s="2426"/>
      <c r="N154" s="2335"/>
      <c r="AE154" s="2318"/>
    </row>
    <row r="155" spans="1:31" hidden="1">
      <c r="A155" s="2301" t="s">
        <v>1230</v>
      </c>
      <c r="E155" s="2426">
        <v>0</v>
      </c>
      <c r="F155" s="2426"/>
      <c r="G155" s="2342">
        <v>0</v>
      </c>
      <c r="H155" s="2346"/>
      <c r="I155" s="2342"/>
      <c r="J155" s="2342"/>
      <c r="K155" s="2333"/>
      <c r="L155" s="2426"/>
      <c r="M155" s="2426"/>
      <c r="N155" s="2335"/>
      <c r="AE155" s="2318"/>
    </row>
    <row r="156" spans="1:31">
      <c r="A156" s="2301"/>
      <c r="D156" s="2342"/>
      <c r="E156" s="2333">
        <f>E152+E151+E150+E149+E148+E147</f>
        <v>1109</v>
      </c>
      <c r="F156" s="2333">
        <f>F148+F147</f>
        <v>0</v>
      </c>
      <c r="G156" s="2333">
        <f>G152+G151+G150+G149+G148+G147</f>
        <v>1359</v>
      </c>
      <c r="H156" s="2346"/>
      <c r="I156" s="2342"/>
      <c r="K156" s="2333"/>
      <c r="L156" s="2426"/>
      <c r="M156" s="2426"/>
      <c r="N156" s="2335"/>
      <c r="AE156" s="2318"/>
    </row>
    <row r="157" spans="1:31">
      <c r="A157" s="2357" t="s">
        <v>1231</v>
      </c>
      <c r="D157" s="2342"/>
      <c r="E157" s="2426"/>
      <c r="F157" s="2426"/>
      <c r="H157" s="2346"/>
      <c r="I157" s="2342"/>
      <c r="J157" s="2342"/>
      <c r="K157" s="2342"/>
      <c r="L157" s="2426"/>
      <c r="M157" s="2426"/>
      <c r="N157" s="2335"/>
      <c r="AE157" s="2318"/>
    </row>
    <row r="158" spans="1:31">
      <c r="A158" s="2301"/>
      <c r="D158" s="2342"/>
      <c r="E158" s="2426"/>
      <c r="F158" s="2426"/>
      <c r="H158" s="2346"/>
      <c r="I158" s="2342"/>
      <c r="J158" s="2342"/>
      <c r="K158" s="2333"/>
      <c r="L158" s="2426"/>
      <c r="M158" s="2426"/>
      <c r="N158" s="2335"/>
      <c r="AE158" s="2318"/>
    </row>
    <row r="159" spans="1:31" hidden="1">
      <c r="A159" s="2301" t="s">
        <v>1232</v>
      </c>
      <c r="E159" s="2426">
        <v>0</v>
      </c>
      <c r="F159" s="2426"/>
      <c r="G159" s="2330">
        <v>0</v>
      </c>
      <c r="H159" s="2346"/>
      <c r="I159" s="2342"/>
      <c r="J159" s="2342"/>
      <c r="K159" s="2333"/>
      <c r="L159" s="2426"/>
      <c r="M159" s="2426"/>
      <c r="N159" s="2432"/>
      <c r="AE159" s="2318"/>
    </row>
    <row r="160" spans="1:31" hidden="1">
      <c r="A160" s="2301" t="s">
        <v>1228</v>
      </c>
      <c r="E160" s="2426">
        <v>0</v>
      </c>
      <c r="F160" s="2426"/>
      <c r="G160" s="2330">
        <v>0</v>
      </c>
      <c r="H160" s="2346"/>
      <c r="I160" s="2342"/>
      <c r="J160" s="2342"/>
      <c r="K160" s="2333"/>
      <c r="L160" s="2426"/>
      <c r="M160" s="2426"/>
      <c r="N160" s="2432"/>
      <c r="O160" s="2347">
        <f>+N160+N161+N162+N168</f>
        <v>0</v>
      </c>
      <c r="AE160" s="2318"/>
    </row>
    <row r="161" spans="1:31">
      <c r="A161" s="2301" t="s">
        <v>1233</v>
      </c>
      <c r="E161" s="2426">
        <v>0</v>
      </c>
      <c r="F161" s="2426"/>
      <c r="G161" s="2426"/>
      <c r="H161" s="2346"/>
      <c r="I161" s="2342"/>
      <c r="J161" s="2342"/>
      <c r="K161" s="2333"/>
      <c r="L161" s="2426"/>
      <c r="M161" s="2426"/>
      <c r="N161" s="2432"/>
      <c r="AE161" s="2318"/>
    </row>
    <row r="162" spans="1:31" hidden="1">
      <c r="A162" s="2301" t="s">
        <v>1234</v>
      </c>
      <c r="E162" s="2426">
        <f>+M162*0.5</f>
        <v>0</v>
      </c>
      <c r="F162" s="2426"/>
      <c r="G162" s="2330">
        <v>0</v>
      </c>
      <c r="H162" s="2346"/>
      <c r="I162" s="2342"/>
      <c r="J162" s="2342"/>
      <c r="K162" s="2333"/>
      <c r="L162" s="2426"/>
      <c r="M162" s="2426"/>
      <c r="N162" s="2432"/>
      <c r="AE162" s="2318"/>
    </row>
    <row r="163" spans="1:31" hidden="1">
      <c r="A163" s="2301" t="s">
        <v>1235</v>
      </c>
      <c r="E163" s="2426">
        <v>0</v>
      </c>
      <c r="F163" s="2426"/>
      <c r="G163" s="2330">
        <v>0</v>
      </c>
      <c r="H163" s="2346"/>
      <c r="I163" s="2342"/>
      <c r="J163" s="2342"/>
      <c r="K163" s="2333"/>
      <c r="L163" s="2426"/>
      <c r="M163" s="2426"/>
      <c r="N163" s="2432">
        <f>+E163-G163</f>
        <v>0</v>
      </c>
      <c r="AE163" s="2318"/>
    </row>
    <row r="164" spans="1:31" hidden="1">
      <c r="A164" s="2301" t="s">
        <v>1235</v>
      </c>
      <c r="E164" s="2426">
        <v>0</v>
      </c>
      <c r="F164" s="2426"/>
      <c r="G164" s="2342">
        <v>0</v>
      </c>
      <c r="H164" s="2346"/>
      <c r="I164" s="2342"/>
      <c r="J164" s="2342"/>
      <c r="K164" s="2333"/>
      <c r="L164" s="2426"/>
      <c r="M164" s="2426"/>
      <c r="N164" s="2432">
        <f>+E164-G164</f>
        <v>0</v>
      </c>
      <c r="AE164" s="2318"/>
    </row>
    <row r="165" spans="1:31">
      <c r="A165" s="2301"/>
      <c r="E165" s="2431"/>
      <c r="F165" s="2426"/>
      <c r="G165" s="2433"/>
      <c r="H165" s="2346"/>
      <c r="I165" s="2342"/>
      <c r="J165" s="2342"/>
      <c r="K165" s="2333"/>
      <c r="L165" s="2426"/>
      <c r="M165" s="2426"/>
      <c r="N165" s="2432"/>
      <c r="AE165" s="2318"/>
    </row>
    <row r="166" spans="1:31">
      <c r="A166" s="2301"/>
      <c r="D166" s="2342"/>
      <c r="E166" s="2333">
        <f>SUM(E159:E165)</f>
        <v>0</v>
      </c>
      <c r="F166" s="2333"/>
      <c r="G166" s="2342">
        <f>SUM(G159:G165)</f>
        <v>0</v>
      </c>
      <c r="H166" s="2346"/>
      <c r="I166" s="2342"/>
      <c r="J166" s="2342"/>
      <c r="K166" s="2333"/>
      <c r="L166" s="2426"/>
      <c r="M166" s="2426"/>
      <c r="N166" s="2335"/>
      <c r="AE166" s="2318"/>
    </row>
    <row r="167" spans="1:31">
      <c r="A167" s="2301"/>
      <c r="D167" s="2342"/>
      <c r="E167" s="2426"/>
      <c r="F167" s="2426"/>
      <c r="H167" s="2346"/>
      <c r="I167" s="2342"/>
      <c r="J167" s="2342"/>
      <c r="K167" s="2333"/>
      <c r="L167" s="2426"/>
      <c r="M167" s="2426"/>
      <c r="N167" s="2335"/>
      <c r="AE167" s="2318"/>
    </row>
    <row r="168" spans="1:31">
      <c r="A168" s="2357" t="s">
        <v>1236</v>
      </c>
      <c r="D168" s="2342"/>
      <c r="E168" s="2333">
        <v>200</v>
      </c>
      <c r="F168" s="2333"/>
      <c r="G168" s="2342">
        <v>200</v>
      </c>
      <c r="H168" s="2346"/>
      <c r="I168" s="2342"/>
      <c r="J168" s="2342"/>
      <c r="K168" s="2342"/>
      <c r="L168" s="2426"/>
      <c r="M168" s="2426"/>
      <c r="N168" s="2432"/>
      <c r="AE168" s="2318"/>
    </row>
    <row r="169" spans="1:31">
      <c r="A169" s="2357" t="s">
        <v>1237</v>
      </c>
      <c r="D169" s="2342"/>
      <c r="E169" s="2426">
        <v>0</v>
      </c>
      <c r="F169" s="2426"/>
      <c r="G169" s="2342">
        <v>0</v>
      </c>
      <c r="H169" s="2346"/>
      <c r="I169" s="2342"/>
      <c r="J169" s="2342"/>
      <c r="K169" s="2342"/>
      <c r="L169" s="2426"/>
      <c r="M169" s="2426"/>
      <c r="N169" s="2335"/>
      <c r="AE169" s="2318"/>
    </row>
    <row r="170" spans="1:31" hidden="1">
      <c r="A170" s="2357" t="s">
        <v>1238</v>
      </c>
      <c r="D170" s="2342"/>
      <c r="E170" s="2426">
        <f>500/100000*0.9</f>
        <v>4.5000000000000005E-3</v>
      </c>
      <c r="F170" s="2426"/>
      <c r="G170" s="2330">
        <f>500/100000*0.9</f>
        <v>4.5000000000000005E-3</v>
      </c>
      <c r="H170" s="2346"/>
      <c r="I170" s="2342"/>
      <c r="J170" s="2342"/>
      <c r="K170" s="2342"/>
      <c r="L170" s="2426"/>
      <c r="M170" s="2426"/>
      <c r="N170" s="2335"/>
      <c r="AE170" s="2318"/>
    </row>
    <row r="171" spans="1:31" hidden="1">
      <c r="A171" s="2301"/>
      <c r="D171" s="2342"/>
      <c r="E171" s="2426"/>
      <c r="F171" s="2426"/>
      <c r="G171" s="2330"/>
      <c r="H171" s="2346"/>
      <c r="I171" s="2342"/>
      <c r="J171" s="2342"/>
      <c r="K171" s="2333"/>
      <c r="L171" s="2426"/>
      <c r="M171" s="2426"/>
      <c r="N171" s="2335"/>
      <c r="AE171" s="2318"/>
    </row>
    <row r="172" spans="1:31">
      <c r="A172" s="2357" t="s">
        <v>1239</v>
      </c>
      <c r="D172" s="2342"/>
      <c r="E172" s="2426"/>
      <c r="F172" s="2426"/>
      <c r="G172" s="2330"/>
      <c r="H172" s="2346"/>
      <c r="I172" s="2342"/>
      <c r="J172" s="2342"/>
      <c r="K172" s="2333"/>
      <c r="L172" s="2426"/>
      <c r="M172" s="2426"/>
      <c r="N172" s="2335"/>
      <c r="AE172" s="2318"/>
    </row>
    <row r="173" spans="1:31">
      <c r="A173" s="2301" t="s">
        <v>1240</v>
      </c>
      <c r="D173" s="2342"/>
      <c r="E173" s="2426">
        <v>0.01</v>
      </c>
      <c r="F173" s="2426"/>
      <c r="G173" s="2330">
        <f>1250/100000*0.9</f>
        <v>1.1250000000000001E-2</v>
      </c>
      <c r="H173" s="2346"/>
      <c r="I173" s="2342"/>
      <c r="J173" s="2342"/>
      <c r="K173" s="2342"/>
      <c r="L173" s="2426"/>
      <c r="M173" s="2426"/>
      <c r="N173" s="2432"/>
      <c r="AE173" s="2318"/>
    </row>
    <row r="174" spans="1:31">
      <c r="A174" s="2301" t="s">
        <v>1241</v>
      </c>
      <c r="D174" s="2342"/>
      <c r="E174" s="2426">
        <v>1549</v>
      </c>
      <c r="F174" s="2426"/>
      <c r="G174" s="2426">
        <v>1109</v>
      </c>
      <c r="H174" s="2346"/>
      <c r="I174" s="2342"/>
      <c r="J174" s="2342"/>
      <c r="K174" s="2333"/>
      <c r="L174" s="2426"/>
      <c r="M174" s="2426"/>
      <c r="N174" s="2335"/>
      <c r="AE174" s="2318"/>
    </row>
    <row r="175" spans="1:31" ht="15.75" thickBot="1">
      <c r="A175" s="2434"/>
      <c r="B175" s="2362" t="s">
        <v>47</v>
      </c>
      <c r="D175" s="2342"/>
      <c r="E175" s="2435">
        <f>E174+E173+E172+E169+E168+E166+E156</f>
        <v>2858.01</v>
      </c>
      <c r="F175" s="2333"/>
      <c r="G175" s="2435">
        <f>G174+G173+G172+G169+G168+G166+G156</f>
        <v>2668.01125</v>
      </c>
      <c r="H175" s="2346"/>
      <c r="I175" s="2342"/>
      <c r="K175" s="2333"/>
      <c r="L175" s="2426"/>
      <c r="M175" s="2426"/>
      <c r="N175" s="2432"/>
      <c r="AE175" s="2318"/>
    </row>
    <row r="176" spans="1:31" ht="16.5" thickTop="1" thickBot="1">
      <c r="A176" s="2436"/>
      <c r="B176" s="2437"/>
      <c r="C176" s="2392"/>
      <c r="D176" s="2371"/>
      <c r="E176" s="2438"/>
      <c r="F176" s="2333"/>
      <c r="G176" s="2371"/>
      <c r="H176" s="2346"/>
      <c r="I176" s="2342"/>
      <c r="K176" s="2333"/>
      <c r="L176" s="2426"/>
      <c r="M176" s="2426"/>
      <c r="N176" s="2335"/>
      <c r="AE176" s="2318"/>
    </row>
    <row r="177" spans="1:31">
      <c r="A177" s="2427"/>
      <c r="B177" s="2360"/>
      <c r="D177" s="2342"/>
      <c r="E177" s="2426"/>
      <c r="F177" s="2426"/>
      <c r="H177" s="2346"/>
      <c r="I177" s="2342"/>
      <c r="K177" s="2333"/>
      <c r="L177" s="2426"/>
      <c r="M177" s="2426"/>
      <c r="N177" s="2335"/>
      <c r="AE177" s="2318"/>
    </row>
    <row r="178" spans="1:31" ht="21.75" customHeight="1" thickBot="1">
      <c r="A178" s="2301"/>
      <c r="G178" s="2371"/>
      <c r="H178" s="2332"/>
      <c r="J178" s="2342"/>
      <c r="K178" s="2342"/>
      <c r="L178" s="2342"/>
      <c r="M178" s="2342"/>
      <c r="AE178" s="2318"/>
    </row>
    <row r="179" spans="1:31">
      <c r="A179" s="2439" t="s">
        <v>1242</v>
      </c>
      <c r="B179" s="2292"/>
      <c r="C179" s="2293"/>
      <c r="D179" s="2440"/>
      <c r="E179" s="2393"/>
      <c r="F179" s="2393"/>
      <c r="G179" s="2393"/>
      <c r="H179" s="2332"/>
      <c r="J179" s="2342"/>
      <c r="K179" s="2342"/>
      <c r="L179" s="2342"/>
      <c r="M179" s="2342"/>
      <c r="AE179" s="2318"/>
    </row>
    <row r="180" spans="1:31" ht="29.25">
      <c r="A180" s="2380"/>
      <c r="D180" s="2342"/>
      <c r="E180" s="2331" t="str">
        <f>E121</f>
        <v>(As at 31st March,2013)</v>
      </c>
      <c r="F180" s="2331"/>
      <c r="G180" s="2331" t="str">
        <f>G121</f>
        <v>(As at 31st March,2012)</v>
      </c>
      <c r="H180" s="2346"/>
      <c r="I180" s="2342"/>
      <c r="K180" s="2333"/>
      <c r="L180" s="2426"/>
      <c r="M180" s="2426"/>
      <c r="N180" s="1943" t="s">
        <v>94</v>
      </c>
      <c r="AE180" s="2318"/>
    </row>
    <row r="181" spans="1:31">
      <c r="A181" s="2357" t="s">
        <v>1243</v>
      </c>
      <c r="D181" s="2342"/>
      <c r="E181" s="2337" t="s">
        <v>1131</v>
      </c>
      <c r="F181" s="2337"/>
      <c r="G181" s="2337" t="s">
        <v>1131</v>
      </c>
      <c r="H181" s="2346"/>
      <c r="I181" s="2342"/>
      <c r="J181" s="2337"/>
      <c r="K181" s="2337"/>
      <c r="L181" s="2334"/>
      <c r="M181" s="2334"/>
      <c r="AE181" s="2318"/>
    </row>
    <row r="182" spans="1:31">
      <c r="A182" s="2441"/>
      <c r="D182" s="2342"/>
      <c r="E182" s="2337" t="s">
        <v>1133</v>
      </c>
      <c r="F182" s="2337"/>
      <c r="G182" s="2337" t="s">
        <v>1133</v>
      </c>
      <c r="H182" s="2346"/>
      <c r="I182" s="2342"/>
      <c r="J182" s="2337"/>
      <c r="K182" s="2337"/>
      <c r="L182" s="2334"/>
      <c r="M182" s="2334"/>
      <c r="AE182" s="2318"/>
    </row>
    <row r="183" spans="1:31">
      <c r="A183" s="2441"/>
      <c r="D183" s="2342"/>
      <c r="H183" s="2346"/>
      <c r="J183" s="2342"/>
      <c r="K183" s="2342"/>
      <c r="AE183" s="2318"/>
    </row>
    <row r="184" spans="1:31" outlineLevel="1">
      <c r="A184" s="2301" t="s">
        <v>1244</v>
      </c>
      <c r="E184" s="2330">
        <v>48815.81</v>
      </c>
      <c r="G184" s="2330">
        <v>38491.269999999997</v>
      </c>
      <c r="H184" s="2346"/>
      <c r="J184" s="2342"/>
      <c r="AE184" s="2318"/>
    </row>
    <row r="185" spans="1:31" outlineLevel="1">
      <c r="A185" s="2301" t="s">
        <v>1245</v>
      </c>
      <c r="E185" s="2330">
        <v>96.91</v>
      </c>
      <c r="G185" s="2330">
        <v>96.91</v>
      </c>
      <c r="H185" s="2346"/>
      <c r="J185" s="2342"/>
      <c r="AE185" s="2318"/>
    </row>
    <row r="186" spans="1:31" outlineLevel="1">
      <c r="A186" s="2301" t="s">
        <v>1246</v>
      </c>
      <c r="E186" s="2330">
        <v>3647.85</v>
      </c>
      <c r="G186" s="2330">
        <v>8694.69</v>
      </c>
      <c r="H186" s="2346"/>
      <c r="J186" s="2342"/>
      <c r="P186" s="1943" t="s">
        <v>94</v>
      </c>
      <c r="AE186" s="2318"/>
    </row>
    <row r="187" spans="1:31" outlineLevel="1">
      <c r="A187" s="2301" t="s">
        <v>1247</v>
      </c>
      <c r="E187" s="2330">
        <v>133.63</v>
      </c>
      <c r="G187" s="2330">
        <v>506.49</v>
      </c>
      <c r="H187" s="2346"/>
      <c r="J187" s="2342"/>
      <c r="AE187" s="2318"/>
    </row>
    <row r="188" spans="1:31" outlineLevel="1">
      <c r="A188" s="2301"/>
      <c r="G188" s="2353"/>
      <c r="H188" s="2332"/>
      <c r="J188" s="2342"/>
      <c r="AE188" s="2318"/>
    </row>
    <row r="189" spans="1:31" ht="15.75" thickBot="1">
      <c r="A189" s="2301"/>
      <c r="B189" s="2354" t="s">
        <v>47</v>
      </c>
      <c r="E189" s="2355">
        <f>SUM(E184:E188)</f>
        <v>52694.2</v>
      </c>
      <c r="F189" s="2342"/>
      <c r="G189" s="2355">
        <f>SUM(G184:G188)</f>
        <v>47789.36</v>
      </c>
      <c r="H189" s="2332"/>
      <c r="I189" s="2342"/>
      <c r="J189" s="2342"/>
      <c r="K189" s="2342"/>
      <c r="AE189" s="2318"/>
    </row>
    <row r="190" spans="1:31" ht="15.75" thickTop="1">
      <c r="A190" s="2301"/>
      <c r="H190" s="2332"/>
      <c r="J190" s="2342"/>
      <c r="AE190" s="2318"/>
    </row>
    <row r="191" spans="1:31">
      <c r="A191" s="2301" t="s">
        <v>1248</v>
      </c>
      <c r="D191" s="2342"/>
      <c r="E191" s="2442"/>
      <c r="F191" s="2442"/>
      <c r="H191" s="2346"/>
      <c r="I191" s="2342"/>
      <c r="J191" s="2342"/>
      <c r="K191" s="2342"/>
      <c r="L191" s="2342"/>
      <c r="M191" s="2342"/>
      <c r="O191" s="2356"/>
      <c r="AE191" s="2318"/>
    </row>
    <row r="192" spans="1:31" outlineLevel="1">
      <c r="A192" s="2301" t="s">
        <v>1249</v>
      </c>
      <c r="E192" s="2330">
        <f>E184</f>
        <v>48815.81</v>
      </c>
      <c r="F192" s="1943"/>
      <c r="G192" s="2443">
        <f>G184</f>
        <v>38491.269999999997</v>
      </c>
      <c r="H192" s="2346"/>
      <c r="I192" s="2342"/>
      <c r="J192" s="2342"/>
      <c r="K192" s="2342"/>
      <c r="N192" s="1943" t="s">
        <v>94</v>
      </c>
      <c r="O192" s="2356"/>
      <c r="AE192" s="2318"/>
    </row>
    <row r="193" spans="1:31" outlineLevel="1">
      <c r="A193" s="2301" t="s">
        <v>1250</v>
      </c>
      <c r="E193" s="2444">
        <v>0</v>
      </c>
      <c r="F193" s="1943"/>
      <c r="G193" s="2353">
        <v>0</v>
      </c>
      <c r="H193" s="2346"/>
      <c r="I193" s="2342"/>
      <c r="J193" s="2342"/>
      <c r="K193" s="2342"/>
      <c r="N193" s="1943" t="s">
        <v>94</v>
      </c>
      <c r="O193" s="2356"/>
      <c r="AE193" s="2318"/>
    </row>
    <row r="194" spans="1:31" outlineLevel="1">
      <c r="A194" s="2301"/>
      <c r="E194" s="2342">
        <f>+E192+E193</f>
        <v>48815.81</v>
      </c>
      <c r="F194" s="2342"/>
      <c r="G194" s="2342">
        <f>+G192+G193</f>
        <v>38491.269999999997</v>
      </c>
      <c r="H194" s="2346"/>
      <c r="I194" s="2342"/>
      <c r="J194" s="2342"/>
      <c r="K194" s="2342"/>
      <c r="O194" s="2356"/>
      <c r="AE194" s="2318"/>
    </row>
    <row r="195" spans="1:31" outlineLevel="1">
      <c r="A195" s="2301" t="s">
        <v>1251</v>
      </c>
      <c r="E195" s="2442"/>
      <c r="F195" s="2442"/>
      <c r="H195" s="2346"/>
      <c r="J195" s="2342"/>
      <c r="K195" s="2342"/>
      <c r="N195" s="2356"/>
      <c r="O195" s="2356"/>
      <c r="AE195" s="2318"/>
    </row>
    <row r="196" spans="1:31" outlineLevel="1">
      <c r="A196" s="2301" t="s">
        <v>1249</v>
      </c>
      <c r="E196" s="2330">
        <f>E185+E186+E187</f>
        <v>3878.39</v>
      </c>
      <c r="G196" s="2330">
        <f>G185+G186+G187</f>
        <v>9298.09</v>
      </c>
      <c r="H196" s="2346"/>
      <c r="I196" s="2342"/>
      <c r="J196" s="2342"/>
      <c r="K196" s="2342"/>
      <c r="N196" s="2442">
        <f>90623939.01/100000*0.9+'[62] Bank'!$G$123/100000+74103786.27*0.9/100000+32475776.31*0.9/100000</f>
        <v>1419.9603826100001</v>
      </c>
      <c r="O196" s="2356"/>
      <c r="AE196" s="2318"/>
    </row>
    <row r="197" spans="1:31" outlineLevel="1">
      <c r="A197" s="2301" t="s">
        <v>1250</v>
      </c>
      <c r="E197" s="2353">
        <v>0</v>
      </c>
      <c r="G197" s="2353">
        <v>0</v>
      </c>
      <c r="H197" s="2346"/>
      <c r="I197" s="2342"/>
      <c r="J197" s="2342"/>
      <c r="K197" s="2342"/>
      <c r="O197" s="2356"/>
      <c r="AE197" s="2318"/>
    </row>
    <row r="198" spans="1:31" outlineLevel="1">
      <c r="A198" s="2301"/>
      <c r="E198" s="2342">
        <f>+E196</f>
        <v>3878.39</v>
      </c>
      <c r="F198" s="2342"/>
      <c r="G198" s="2342">
        <f>+G196+G197</f>
        <v>9298.09</v>
      </c>
      <c r="H198" s="2332"/>
      <c r="J198" s="2342"/>
      <c r="K198" s="2342"/>
      <c r="L198" s="2342"/>
      <c r="M198" s="2342"/>
      <c r="N198" s="2356"/>
      <c r="AE198" s="2318"/>
    </row>
    <row r="199" spans="1:31" outlineLevel="1">
      <c r="A199" s="2301"/>
      <c r="E199" s="2442"/>
      <c r="F199" s="2442"/>
      <c r="H199" s="2332"/>
      <c r="J199" s="2342"/>
      <c r="K199" s="2342"/>
      <c r="L199" s="2342"/>
      <c r="M199" s="2342"/>
      <c r="N199" s="2356"/>
      <c r="AE199" s="2318"/>
    </row>
    <row r="200" spans="1:31" ht="15.75" outlineLevel="1" thickBot="1">
      <c r="A200" s="2301"/>
      <c r="E200" s="2355">
        <f>+E198+E194</f>
        <v>52694.2</v>
      </c>
      <c r="F200" s="2342"/>
      <c r="G200" s="2355">
        <f>+G198+G194</f>
        <v>47789.36</v>
      </c>
      <c r="H200" s="2332"/>
      <c r="J200" s="2342"/>
      <c r="K200" s="2342"/>
      <c r="L200" s="2342"/>
      <c r="M200" s="2342"/>
      <c r="N200" s="2356"/>
      <c r="AE200" s="2318"/>
    </row>
    <row r="201" spans="1:31" ht="15.75" outlineLevel="1" thickTop="1">
      <c r="A201" s="2301"/>
      <c r="H201" s="2332"/>
      <c r="J201" s="2342"/>
      <c r="K201" s="2342"/>
      <c r="L201" s="2342"/>
      <c r="M201" s="2342"/>
      <c r="N201" s="2356"/>
      <c r="AE201" s="2318"/>
    </row>
    <row r="202" spans="1:31" ht="29.25" hidden="1" outlineLevel="1">
      <c r="A202" s="2357" t="s">
        <v>1252</v>
      </c>
      <c r="C202" s="2342" t="s">
        <v>94</v>
      </c>
      <c r="D202" s="2330" t="s">
        <v>94</v>
      </c>
      <c r="E202" s="2331" t="s">
        <v>1253</v>
      </c>
      <c r="F202" s="2331"/>
      <c r="G202" s="2331" t="s">
        <v>1254</v>
      </c>
      <c r="H202" s="2332"/>
      <c r="J202" s="2342"/>
      <c r="K202" s="2342"/>
      <c r="L202" s="2342"/>
      <c r="M202" s="2342"/>
      <c r="N202" s="2356"/>
      <c r="AE202" s="2318"/>
    </row>
    <row r="203" spans="1:31" hidden="1" outlineLevel="1">
      <c r="A203" s="2357"/>
      <c r="C203" s="2342" t="s">
        <v>94</v>
      </c>
      <c r="D203" s="2330" t="s">
        <v>94</v>
      </c>
      <c r="E203" s="2337" t="s">
        <v>1131</v>
      </c>
      <c r="F203" s="2337"/>
      <c r="G203" s="2337" t="s">
        <v>1131</v>
      </c>
      <c r="H203" s="2332"/>
      <c r="J203" s="2342"/>
      <c r="K203" s="2342"/>
      <c r="L203" s="2342"/>
      <c r="M203" s="2342"/>
      <c r="N203" s="2356"/>
      <c r="AE203" s="2318"/>
    </row>
    <row r="204" spans="1:31" hidden="1" outlineLevel="1">
      <c r="A204" s="2301"/>
      <c r="C204" s="2342" t="s">
        <v>94</v>
      </c>
      <c r="D204" s="2330" t="s">
        <v>94</v>
      </c>
      <c r="E204" s="2337" t="s">
        <v>1133</v>
      </c>
      <c r="F204" s="2337"/>
      <c r="G204" s="2337" t="s">
        <v>1133</v>
      </c>
      <c r="H204" s="2332"/>
      <c r="J204" s="2342"/>
      <c r="K204" s="2342"/>
      <c r="L204" s="2342"/>
      <c r="M204" s="2342"/>
      <c r="N204" s="2356"/>
      <c r="AE204" s="2318"/>
    </row>
    <row r="205" spans="1:31" hidden="1" outlineLevel="1">
      <c r="A205" s="2301"/>
      <c r="D205" s="2442"/>
      <c r="G205" s="2442"/>
      <c r="H205" s="2332"/>
      <c r="L205" s="2342"/>
      <c r="M205" s="2342"/>
      <c r="N205" s="2356"/>
      <c r="AE205" s="2318"/>
    </row>
    <row r="206" spans="1:31" hidden="1" outlineLevel="1">
      <c r="A206" s="2301" t="s">
        <v>1249</v>
      </c>
      <c r="C206" s="2349" t="s">
        <v>94</v>
      </c>
      <c r="D206" s="2342" t="s">
        <v>94</v>
      </c>
      <c r="E206" s="2330">
        <f>+G192+E198</f>
        <v>42369.659999999996</v>
      </c>
      <c r="G206" s="2347" t="e">
        <f>#REF!+G196</f>
        <v>#REF!</v>
      </c>
      <c r="H206" s="2332"/>
      <c r="L206" s="2342"/>
      <c r="M206" s="2342"/>
      <c r="N206" s="2356"/>
      <c r="AE206" s="2318"/>
    </row>
    <row r="207" spans="1:31" hidden="1" outlineLevel="1">
      <c r="A207" s="2301" t="s">
        <v>1250</v>
      </c>
      <c r="C207" s="2349" t="s">
        <v>94</v>
      </c>
      <c r="D207" s="2342" t="s">
        <v>94</v>
      </c>
      <c r="E207" s="2330">
        <f>+E193</f>
        <v>0</v>
      </c>
      <c r="G207" s="2347">
        <f>+G193+G197</f>
        <v>0</v>
      </c>
      <c r="H207" s="2332"/>
      <c r="L207" s="2342"/>
      <c r="M207" s="2342"/>
      <c r="N207" s="2356"/>
      <c r="AE207" s="2318"/>
    </row>
    <row r="208" spans="1:31" ht="17.25" hidden="1">
      <c r="A208" s="2445"/>
      <c r="B208" s="2339"/>
      <c r="C208" s="2349" t="s">
        <v>94</v>
      </c>
      <c r="D208" s="2342" t="s">
        <v>94</v>
      </c>
      <c r="E208" s="2342">
        <f>SUM(E206:E207)</f>
        <v>42369.659999999996</v>
      </c>
      <c r="F208" s="2342"/>
      <c r="G208" s="2349" t="e">
        <f>SUM(G206:G207)</f>
        <v>#REF!</v>
      </c>
      <c r="H208" s="2346"/>
      <c r="J208" s="2342"/>
      <c r="K208" s="2342"/>
      <c r="N208" s="2356"/>
      <c r="AE208" s="2318"/>
    </row>
    <row r="209" spans="1:31" ht="17.25">
      <c r="A209" s="2445"/>
      <c r="B209" s="2339"/>
      <c r="C209" s="2349"/>
      <c r="E209" s="2330" t="s">
        <v>94</v>
      </c>
      <c r="H209" s="2346"/>
      <c r="J209" s="2342"/>
      <c r="K209" s="2342"/>
      <c r="N209" s="2356"/>
      <c r="AE209" s="2318"/>
    </row>
    <row r="210" spans="1:31">
      <c r="A210" s="2425" t="s">
        <v>1255</v>
      </c>
      <c r="D210" s="2337"/>
      <c r="E210" s="2334"/>
      <c r="F210" s="2334"/>
      <c r="G210" s="2337"/>
      <c r="H210" s="2338"/>
      <c r="I210" s="2337"/>
      <c r="J210" s="2337"/>
      <c r="K210" s="2337"/>
      <c r="L210" s="2334"/>
      <c r="M210" s="2334"/>
      <c r="N210" s="2339"/>
      <c r="AE210" s="2318"/>
    </row>
    <row r="211" spans="1:31" ht="29.25">
      <c r="A211" s="2301"/>
      <c r="E211" s="2331" t="str">
        <f>E121</f>
        <v>(As at 31st March,2013)</v>
      </c>
      <c r="F211" s="2331"/>
      <c r="G211" s="2331" t="str">
        <f>G121</f>
        <v>(As at 31st March,2012)</v>
      </c>
      <c r="H211" s="2346"/>
      <c r="I211" s="2342"/>
      <c r="K211" s="2333"/>
      <c r="M211" s="2426"/>
      <c r="N211" s="1943" t="s">
        <v>94</v>
      </c>
      <c r="AE211" s="2318"/>
    </row>
    <row r="212" spans="1:31">
      <c r="A212" s="2301"/>
      <c r="D212" s="2337" t="s">
        <v>1131</v>
      </c>
      <c r="E212" s="2337" t="s">
        <v>1131</v>
      </c>
      <c r="F212" s="2337"/>
      <c r="G212" s="2337" t="s">
        <v>1131</v>
      </c>
      <c r="H212" s="2338"/>
      <c r="I212" s="2337"/>
      <c r="J212" s="2337"/>
      <c r="K212" s="2337"/>
      <c r="L212" s="2334"/>
      <c r="M212" s="2334"/>
      <c r="AE212" s="2318"/>
    </row>
    <row r="213" spans="1:31">
      <c r="A213" s="2357" t="s">
        <v>1256</v>
      </c>
      <c r="D213" s="2337" t="s">
        <v>1133</v>
      </c>
      <c r="E213" s="2337" t="s">
        <v>1133</v>
      </c>
      <c r="F213" s="2337"/>
      <c r="G213" s="2337" t="s">
        <v>1133</v>
      </c>
      <c r="H213" s="2338"/>
      <c r="I213" s="2337"/>
      <c r="J213" s="2337"/>
      <c r="K213" s="2337"/>
      <c r="L213" s="2334"/>
      <c r="M213" s="2334"/>
      <c r="AE213" s="2318"/>
    </row>
    <row r="214" spans="1:31">
      <c r="A214" s="2301"/>
      <c r="H214" s="2332"/>
      <c r="AE214" s="2318"/>
    </row>
    <row r="215" spans="1:31" outlineLevel="1">
      <c r="A215" s="2301" t="s">
        <v>1257</v>
      </c>
      <c r="E215" s="2330">
        <v>2130.7199999999998</v>
      </c>
      <c r="G215" s="2330">
        <v>2317.62</v>
      </c>
      <c r="H215" s="2332"/>
      <c r="I215" s="2342"/>
      <c r="J215" s="2342"/>
      <c r="K215" s="2342"/>
      <c r="AE215" s="2318"/>
    </row>
    <row r="216" spans="1:31" outlineLevel="1">
      <c r="A216" s="2301" t="s">
        <v>1258</v>
      </c>
      <c r="H216" s="2332"/>
      <c r="I216" s="2342"/>
      <c r="J216" s="2342"/>
      <c r="K216" s="2342"/>
      <c r="AE216" s="2318"/>
    </row>
    <row r="217" spans="1:31" outlineLevel="1">
      <c r="A217" s="2446" t="s">
        <v>1259</v>
      </c>
      <c r="B217" s="2302" t="s">
        <v>1260</v>
      </c>
      <c r="D217" s="2330">
        <v>0.5</v>
      </c>
      <c r="G217" s="2330">
        <v>0.5</v>
      </c>
      <c r="H217" s="2332"/>
      <c r="I217" s="2342"/>
      <c r="J217" s="2342"/>
      <c r="K217" s="2342"/>
      <c r="AE217" s="2318"/>
    </row>
    <row r="218" spans="1:31" outlineLevel="1">
      <c r="A218" s="2301"/>
      <c r="B218" s="2302" t="s">
        <v>1261</v>
      </c>
      <c r="D218" s="1943">
        <v>8144.22</v>
      </c>
      <c r="F218" s="1943"/>
      <c r="G218" s="2330">
        <v>7412.32</v>
      </c>
      <c r="H218" s="2346"/>
      <c r="I218" s="2342"/>
      <c r="J218" s="2342"/>
      <c r="K218" s="2342"/>
      <c r="P218" s="1943" t="s">
        <v>94</v>
      </c>
      <c r="AE218" s="2318"/>
    </row>
    <row r="219" spans="1:31" hidden="1" outlineLevel="1">
      <c r="A219" s="2301"/>
      <c r="B219" s="2302" t="s">
        <v>1262</v>
      </c>
      <c r="D219" s="1943"/>
      <c r="F219" s="1943"/>
      <c r="G219" s="2330">
        <v>0</v>
      </c>
      <c r="H219" s="2332"/>
      <c r="I219" s="2342"/>
      <c r="J219" s="2342"/>
      <c r="K219" s="2342"/>
      <c r="P219" s="1943" t="s">
        <v>94</v>
      </c>
      <c r="AE219" s="2318"/>
    </row>
    <row r="220" spans="1:31">
      <c r="A220" s="2301"/>
      <c r="B220" s="2302" t="s">
        <v>1263</v>
      </c>
      <c r="D220" s="1943"/>
      <c r="F220" s="1943"/>
      <c r="G220" s="2426"/>
      <c r="H220" s="2346"/>
      <c r="I220" s="2342"/>
      <c r="J220" s="2342"/>
      <c r="K220" s="2333"/>
      <c r="L220" s="2426"/>
      <c r="M220" s="2426"/>
      <c r="N220" s="2335"/>
      <c r="P220" s="1943" t="s">
        <v>94</v>
      </c>
      <c r="AE220" s="2318"/>
    </row>
    <row r="221" spans="1:31" hidden="1">
      <c r="A221" s="2301"/>
      <c r="B221" s="2302" t="s">
        <v>1264</v>
      </c>
      <c r="D221" s="1943"/>
      <c r="F221" s="1943"/>
      <c r="G221" s="2426"/>
      <c r="H221" s="2346"/>
      <c r="I221" s="2342"/>
      <c r="J221" s="2342"/>
      <c r="K221" s="2333"/>
      <c r="L221" s="2426"/>
      <c r="M221" s="2426"/>
      <c r="N221" s="2335"/>
      <c r="P221" s="1943" t="s">
        <v>94</v>
      </c>
      <c r="AE221" s="2318"/>
    </row>
    <row r="222" spans="1:31">
      <c r="A222" s="2301"/>
      <c r="B222" s="2302" t="s">
        <v>1265</v>
      </c>
      <c r="D222" s="2356">
        <v>360</v>
      </c>
      <c r="F222" s="1943"/>
      <c r="G222" s="2426">
        <v>319.95</v>
      </c>
      <c r="H222" s="2346"/>
      <c r="I222" s="2342"/>
      <c r="J222" s="2342"/>
      <c r="K222" s="2333"/>
      <c r="L222" s="2426"/>
      <c r="M222" s="2426"/>
      <c r="N222" s="2335"/>
      <c r="AE222" s="2318"/>
    </row>
    <row r="223" spans="1:31" outlineLevel="1">
      <c r="A223" s="2301"/>
      <c r="B223" s="2302" t="s">
        <v>1266</v>
      </c>
      <c r="D223" s="2330">
        <v>0</v>
      </c>
      <c r="G223" s="2330">
        <v>0</v>
      </c>
      <c r="H223" s="2346"/>
      <c r="I223" s="2342"/>
      <c r="J223" s="2342"/>
      <c r="K223" s="2342"/>
      <c r="AE223" s="2318"/>
    </row>
    <row r="224" spans="1:31" outlineLevel="1">
      <c r="A224" s="2301"/>
      <c r="B224" s="2302" t="s">
        <v>1267</v>
      </c>
      <c r="D224" s="2330">
        <v>148.53</v>
      </c>
      <c r="G224" s="2353">
        <v>148.53</v>
      </c>
      <c r="H224" s="2346"/>
      <c r="I224" s="2342"/>
      <c r="J224" s="2342"/>
      <c r="K224" s="2342"/>
      <c r="AE224" s="2318"/>
    </row>
    <row r="225" spans="1:31" outlineLevel="1">
      <c r="A225" s="2301"/>
      <c r="G225" s="2330"/>
      <c r="H225" s="2346"/>
      <c r="I225" s="2342"/>
      <c r="J225" s="2342"/>
      <c r="K225" s="2342"/>
      <c r="AE225" s="2318"/>
    </row>
    <row r="226" spans="1:31" outlineLevel="1">
      <c r="A226" s="2301"/>
      <c r="E226" s="2433">
        <f>D217+D218+D222+D224</f>
        <v>8653.2500000000018</v>
      </c>
      <c r="G226" s="2342">
        <v>7881.3</v>
      </c>
      <c r="H226" s="2346"/>
      <c r="I226" s="2342"/>
      <c r="J226" s="2342"/>
      <c r="K226" s="2342"/>
      <c r="AE226" s="2318"/>
    </row>
    <row r="227" spans="1:31" ht="15.75" thickBot="1">
      <c r="A227" s="2301"/>
      <c r="B227" s="2354" t="s">
        <v>499</v>
      </c>
      <c r="E227" s="2355">
        <f>+E215+E226</f>
        <v>10783.970000000001</v>
      </c>
      <c r="F227" s="2342"/>
      <c r="G227" s="2355">
        <f>G226+G215</f>
        <v>10198.92</v>
      </c>
      <c r="H227" s="2332"/>
      <c r="I227" s="2342"/>
      <c r="J227" s="2342"/>
      <c r="K227" s="2342"/>
      <c r="N227" s="2356"/>
      <c r="AE227" s="2318"/>
    </row>
    <row r="228" spans="1:31" ht="16.5" thickTop="1" thickBot="1">
      <c r="A228" s="2447"/>
      <c r="B228" s="2394"/>
      <c r="C228" s="2392" t="s">
        <v>94</v>
      </c>
      <c r="D228" s="2361"/>
      <c r="E228" s="2361"/>
      <c r="F228" s="2361"/>
      <c r="G228" s="2371"/>
      <c r="H228" s="2332"/>
      <c r="AE228" s="2318"/>
    </row>
    <row r="229" spans="1:31" ht="15.75" thickBot="1">
      <c r="A229" s="2291"/>
      <c r="B229" s="2292"/>
      <c r="C229" s="2448"/>
      <c r="D229" s="2449"/>
      <c r="E229" s="2449"/>
      <c r="F229" s="2449"/>
      <c r="G229" s="2450"/>
      <c r="H229" s="2332"/>
      <c r="AE229" s="2318"/>
    </row>
    <row r="230" spans="1:31" ht="29.25">
      <c r="A230" s="2439" t="s">
        <v>1268</v>
      </c>
      <c r="B230" s="2292"/>
      <c r="E230" s="2331" t="str">
        <f>E121</f>
        <v>(As at 31st March,2013)</v>
      </c>
      <c r="F230" s="2331"/>
      <c r="G230" s="2331" t="str">
        <f>G121</f>
        <v>(As at 31st March,2012)</v>
      </c>
      <c r="H230" s="2346"/>
      <c r="I230" s="2342"/>
      <c r="K230" s="2333"/>
      <c r="M230" s="2426"/>
      <c r="N230" s="1943" t="s">
        <v>94</v>
      </c>
      <c r="S230" s="1943" t="s">
        <v>94</v>
      </c>
      <c r="AE230" s="2318"/>
    </row>
    <row r="231" spans="1:31">
      <c r="A231" s="2357" t="s">
        <v>1269</v>
      </c>
      <c r="D231" s="2337"/>
      <c r="E231" s="2337" t="s">
        <v>1131</v>
      </c>
      <c r="F231" s="2337"/>
      <c r="G231" s="2337" t="s">
        <v>1131</v>
      </c>
      <c r="H231" s="2338"/>
      <c r="I231" s="2337"/>
      <c r="J231" s="2337"/>
      <c r="K231" s="2337"/>
      <c r="L231" s="2334"/>
      <c r="M231" s="2334"/>
      <c r="AE231" s="2318"/>
    </row>
    <row r="232" spans="1:31" outlineLevel="1">
      <c r="A232" s="2301"/>
      <c r="D232" s="2337"/>
      <c r="E232" s="2337" t="s">
        <v>1133</v>
      </c>
      <c r="F232" s="2337"/>
      <c r="G232" s="2337" t="s">
        <v>1133</v>
      </c>
      <c r="H232" s="2338"/>
      <c r="I232" s="2337"/>
      <c r="J232" s="2337"/>
      <c r="K232" s="2337"/>
      <c r="L232" s="2334"/>
      <c r="M232" s="2334"/>
      <c r="AE232" s="2318"/>
    </row>
    <row r="233" spans="1:31" outlineLevel="1">
      <c r="A233" s="2301" t="s">
        <v>1270</v>
      </c>
      <c r="D233" s="2337"/>
      <c r="E233" s="2334"/>
      <c r="F233" s="2334"/>
      <c r="G233" s="2337"/>
      <c r="H233" s="2338"/>
      <c r="I233" s="2337"/>
      <c r="J233" s="2337"/>
      <c r="K233" s="2337"/>
      <c r="L233" s="2334"/>
      <c r="M233" s="2334"/>
      <c r="AE233" s="2318"/>
    </row>
    <row r="234" spans="1:31" outlineLevel="1">
      <c r="A234" s="2301" t="s">
        <v>1271</v>
      </c>
      <c r="E234" s="2330">
        <v>55.58</v>
      </c>
      <c r="G234" s="2330">
        <v>64.09</v>
      </c>
      <c r="H234" s="2332"/>
      <c r="AE234" s="2318"/>
    </row>
    <row r="235" spans="1:31" outlineLevel="1">
      <c r="A235" s="2301" t="s">
        <v>1272</v>
      </c>
      <c r="E235" s="2330">
        <v>22.47</v>
      </c>
      <c r="G235" s="2330">
        <v>22.47</v>
      </c>
      <c r="H235" s="2332"/>
      <c r="I235" s="2342"/>
      <c r="K235" s="2342"/>
      <c r="AE235" s="2318"/>
    </row>
    <row r="236" spans="1:31" outlineLevel="1">
      <c r="A236" s="2301" t="s">
        <v>1273</v>
      </c>
      <c r="E236" s="2330">
        <v>0</v>
      </c>
      <c r="G236" s="2330">
        <v>18.79</v>
      </c>
      <c r="H236" s="2332"/>
      <c r="I236" s="2342"/>
      <c r="K236" s="2342"/>
      <c r="AE236" s="2318"/>
    </row>
    <row r="237" spans="1:31" outlineLevel="1">
      <c r="A237" s="2301" t="s">
        <v>1274</v>
      </c>
      <c r="E237" s="2330">
        <v>1378.07</v>
      </c>
      <c r="G237" s="2330">
        <v>1346.07</v>
      </c>
      <c r="H237" s="2332"/>
      <c r="I237" s="2342"/>
      <c r="K237" s="2342"/>
      <c r="AE237" s="2318"/>
    </row>
    <row r="238" spans="1:31" hidden="1" outlineLevel="1">
      <c r="A238" s="2301" t="s">
        <v>1275</v>
      </c>
      <c r="G238" s="2330">
        <v>0</v>
      </c>
      <c r="H238" s="2332"/>
      <c r="I238" s="2342"/>
      <c r="K238" s="2342"/>
      <c r="AE238" s="2318"/>
    </row>
    <row r="239" spans="1:31" hidden="1" outlineLevel="1">
      <c r="A239" s="2301"/>
      <c r="G239" s="2330"/>
      <c r="H239" s="2332"/>
      <c r="K239" s="2342"/>
      <c r="L239" s="2342"/>
      <c r="M239" s="2342"/>
      <c r="AE239" s="2318"/>
    </row>
    <row r="240" spans="1:31" outlineLevel="1">
      <c r="A240" s="2301" t="s">
        <v>1276</v>
      </c>
      <c r="E240" s="2330">
        <v>0.11</v>
      </c>
      <c r="G240" s="2330">
        <v>0</v>
      </c>
      <c r="H240" s="2332"/>
      <c r="K240" s="2342"/>
      <c r="L240" s="2342"/>
      <c r="M240" s="2342"/>
      <c r="AE240" s="2318"/>
    </row>
    <row r="241" spans="1:31" outlineLevel="1">
      <c r="A241" s="2301" t="s">
        <v>1277</v>
      </c>
      <c r="E241" s="2330">
        <f>163307.13-35.01</f>
        <v>163272.12</v>
      </c>
      <c r="G241" s="2330">
        <v>73110.460000000006</v>
      </c>
      <c r="H241" s="2332"/>
      <c r="K241" s="2342"/>
      <c r="L241" s="2342"/>
      <c r="M241" s="2342"/>
      <c r="N241" s="2451"/>
      <c r="AE241" s="2318"/>
    </row>
    <row r="242" spans="1:31" outlineLevel="1">
      <c r="A242" s="2301" t="s">
        <v>1278</v>
      </c>
      <c r="G242" s="2330">
        <v>0</v>
      </c>
      <c r="H242" s="2332"/>
      <c r="K242" s="2342"/>
      <c r="L242" s="2342"/>
      <c r="M242" s="2342"/>
      <c r="AE242" s="2318"/>
    </row>
    <row r="243" spans="1:31" ht="15.75" thickBot="1">
      <c r="A243" s="2301"/>
      <c r="B243" s="2336" t="s">
        <v>499</v>
      </c>
      <c r="E243" s="2355">
        <f>SUM(E234:E242)</f>
        <v>164728.35</v>
      </c>
      <c r="F243" s="2342"/>
      <c r="G243" s="2355">
        <f>SUM(G234:G242)</f>
        <v>74561.88</v>
      </c>
      <c r="H243" s="2332"/>
      <c r="I243" s="2342"/>
      <c r="J243" s="2452"/>
      <c r="K243" s="2342"/>
      <c r="N243" s="2347"/>
      <c r="AE243" s="2318"/>
    </row>
    <row r="244" spans="1:31" ht="15.75" thickTop="1">
      <c r="A244" s="2301"/>
      <c r="B244" s="2336"/>
      <c r="H244" s="2332"/>
      <c r="I244" s="2342"/>
      <c r="J244" s="2452"/>
      <c r="K244" s="2342"/>
      <c r="AE244" s="2318"/>
    </row>
    <row r="245" spans="1:31">
      <c r="A245" s="2301"/>
      <c r="B245" s="2336"/>
      <c r="H245" s="2332"/>
      <c r="I245" s="2342"/>
      <c r="J245" s="2452"/>
      <c r="K245" s="2342"/>
      <c r="AE245" s="2318"/>
    </row>
    <row r="246" spans="1:31" ht="29.25">
      <c r="A246" s="2357" t="s">
        <v>1279</v>
      </c>
      <c r="C246" s="2342" t="s">
        <v>277</v>
      </c>
      <c r="D246" s="2342" t="s">
        <v>94</v>
      </c>
      <c r="E246" s="2331" t="str">
        <f>E121</f>
        <v>(As at 31st March,2013)</v>
      </c>
      <c r="F246" s="2331"/>
      <c r="G246" s="2331" t="str">
        <f>G121</f>
        <v>(As at 31st March,2012)</v>
      </c>
      <c r="H246" s="2346"/>
      <c r="J246" s="2426"/>
      <c r="AE246" s="2318"/>
    </row>
    <row r="247" spans="1:31">
      <c r="A247" s="2301"/>
      <c r="C247" s="2342" t="s">
        <v>94</v>
      </c>
      <c r="D247" s="2342" t="s">
        <v>94</v>
      </c>
      <c r="E247" s="2337" t="s">
        <v>1131</v>
      </c>
      <c r="F247" s="2337"/>
      <c r="G247" s="2337" t="s">
        <v>1131</v>
      </c>
      <c r="H247" s="2346"/>
      <c r="J247" s="2334"/>
      <c r="AE247" s="2318"/>
    </row>
    <row r="248" spans="1:31">
      <c r="A248" s="2301"/>
      <c r="C248" s="2342" t="s">
        <v>94</v>
      </c>
      <c r="D248" s="2342" t="s">
        <v>94</v>
      </c>
      <c r="E248" s="2337" t="s">
        <v>1133</v>
      </c>
      <c r="F248" s="2337"/>
      <c r="G248" s="2337" t="s">
        <v>1133</v>
      </c>
      <c r="H248" s="2346"/>
      <c r="J248" s="2334"/>
      <c r="AE248" s="2318"/>
    </row>
    <row r="249" spans="1:31">
      <c r="A249" s="2301"/>
      <c r="C249" s="2342" t="s">
        <v>94</v>
      </c>
      <c r="D249" s="2330" t="s">
        <v>94</v>
      </c>
      <c r="G249" s="2330"/>
      <c r="H249" s="2332"/>
      <c r="AE249" s="2318"/>
    </row>
    <row r="250" spans="1:31">
      <c r="A250" s="2301" t="s">
        <v>1249</v>
      </c>
      <c r="C250" s="2342" t="s">
        <v>94</v>
      </c>
      <c r="D250" s="2330" t="s">
        <v>94</v>
      </c>
      <c r="E250" s="2330">
        <f>+E243</f>
        <v>164728.35</v>
      </c>
      <c r="G250" s="2330">
        <f>+G243</f>
        <v>74561.88</v>
      </c>
      <c r="H250" s="2332"/>
      <c r="AE250" s="2318"/>
    </row>
    <row r="251" spans="1:31">
      <c r="A251" s="2301" t="s">
        <v>1250</v>
      </c>
      <c r="C251" s="2342" t="s">
        <v>94</v>
      </c>
      <c r="D251" s="2330" t="s">
        <v>94</v>
      </c>
      <c r="E251" s="2330">
        <v>0</v>
      </c>
      <c r="G251" s="2330">
        <v>0</v>
      </c>
      <c r="H251" s="2332"/>
      <c r="AE251" s="2318"/>
    </row>
    <row r="252" spans="1:31" ht="15.75" thickBot="1">
      <c r="A252" s="2301"/>
      <c r="C252" s="2342" t="s">
        <v>94</v>
      </c>
      <c r="D252" s="2330" t="s">
        <v>94</v>
      </c>
      <c r="E252" s="2355">
        <f>+E250+E251</f>
        <v>164728.35</v>
      </c>
      <c r="F252" s="2342"/>
      <c r="G252" s="2355">
        <f>+G250+G251</f>
        <v>74561.88</v>
      </c>
      <c r="H252" s="2346"/>
      <c r="I252" s="2342"/>
      <c r="J252" s="2342"/>
      <c r="K252" s="2342"/>
      <c r="AE252" s="2318"/>
    </row>
    <row r="253" spans="1:31" ht="15.75" thickTop="1">
      <c r="A253" s="2301"/>
      <c r="H253" s="2332"/>
      <c r="K253" s="2342"/>
      <c r="L253" s="2342"/>
      <c r="M253" s="2342"/>
      <c r="AE253" s="2318"/>
    </row>
    <row r="254" spans="1:31" ht="29.25">
      <c r="A254" s="2425" t="s">
        <v>1280</v>
      </c>
      <c r="E254" s="2331" t="str">
        <f>E121</f>
        <v>(As at 31st March,2013)</v>
      </c>
      <c r="F254" s="2331"/>
      <c r="G254" s="2331" t="str">
        <f>G121</f>
        <v>(As at 31st March,2012)</v>
      </c>
      <c r="H254" s="2332"/>
      <c r="AE254" s="2318"/>
    </row>
    <row r="255" spans="1:31">
      <c r="A255" s="2357" t="s">
        <v>1281</v>
      </c>
      <c r="D255" s="2342"/>
      <c r="E255" s="2337" t="s">
        <v>1131</v>
      </c>
      <c r="F255" s="2337"/>
      <c r="G255" s="2337" t="s">
        <v>1131</v>
      </c>
      <c r="H255" s="2332"/>
      <c r="AE255" s="2318"/>
    </row>
    <row r="256" spans="1:31">
      <c r="A256" s="2357"/>
      <c r="D256" s="2342"/>
      <c r="E256" s="2337" t="s">
        <v>1133</v>
      </c>
      <c r="F256" s="2337"/>
      <c r="G256" s="2337" t="s">
        <v>1133</v>
      </c>
      <c r="H256" s="2332"/>
      <c r="AE256" s="2318"/>
    </row>
    <row r="257" spans="1:31">
      <c r="A257" s="2357"/>
      <c r="D257" s="2342"/>
      <c r="H257" s="2346"/>
      <c r="I257" s="2342"/>
      <c r="J257" s="2342"/>
      <c r="AE257" s="2318"/>
    </row>
    <row r="258" spans="1:31" outlineLevel="1">
      <c r="A258" s="2301" t="s">
        <v>1282</v>
      </c>
      <c r="D258" s="2342"/>
      <c r="E258" s="2330">
        <v>801.43</v>
      </c>
      <c r="G258" s="2330">
        <v>1692.31</v>
      </c>
      <c r="H258" s="2346"/>
      <c r="I258" s="2342"/>
      <c r="J258" s="2396"/>
      <c r="K258" s="2342"/>
      <c r="N258" s="2356"/>
      <c r="AE258" s="2318"/>
    </row>
    <row r="259" spans="1:31" hidden="1" outlineLevel="1">
      <c r="A259" s="2301"/>
      <c r="B259" s="2302" t="s">
        <v>1283</v>
      </c>
      <c r="D259" s="2396">
        <f>13122869*0.45/100000</f>
        <v>59.052910499999996</v>
      </c>
      <c r="G259" s="2330">
        <f>13944905.9*0.45/100000</f>
        <v>62.752076550000005</v>
      </c>
      <c r="H259" s="2453"/>
      <c r="I259" s="2342"/>
      <c r="J259" s="2396"/>
      <c r="K259" s="2396"/>
      <c r="AE259" s="2318"/>
    </row>
    <row r="260" spans="1:31" hidden="1" outlineLevel="1">
      <c r="A260" s="2301"/>
      <c r="B260" s="2302" t="s">
        <v>1284</v>
      </c>
      <c r="D260" s="2396">
        <f>6627319.27*0.45/100000</f>
        <v>29.822936714999997</v>
      </c>
      <c r="G260" s="2330">
        <f>7595158.37*0.45/100000</f>
        <v>34.178212664999997</v>
      </c>
      <c r="H260" s="2453"/>
      <c r="I260" s="2342"/>
      <c r="J260" s="2396"/>
      <c r="K260" s="2396"/>
      <c r="AE260" s="2318"/>
    </row>
    <row r="261" spans="1:31" hidden="1" outlineLevel="1">
      <c r="A261" s="2301"/>
      <c r="B261" s="2302" t="s">
        <v>1285</v>
      </c>
      <c r="D261" s="2396">
        <f>139949114.53*0.16/100000</f>
        <v>223.918583248</v>
      </c>
      <c r="G261" s="2330">
        <f>0*0.16/100000</f>
        <v>0</v>
      </c>
      <c r="H261" s="2453"/>
      <c r="I261" s="2342"/>
      <c r="J261" s="2396"/>
      <c r="K261" s="2396"/>
      <c r="AE261" s="2318"/>
    </row>
    <row r="262" spans="1:31" hidden="1" outlineLevel="1">
      <c r="A262" s="2301"/>
      <c r="B262" s="2302" t="s">
        <v>1286</v>
      </c>
      <c r="D262" s="2396">
        <f>2308377.96*0.45/100000</f>
        <v>10.387700820000001</v>
      </c>
      <c r="G262" s="2330">
        <f>2386321.38*0.45/100000</f>
        <v>10.738446210000001</v>
      </c>
      <c r="H262" s="2453"/>
      <c r="I262" s="2342"/>
      <c r="J262" s="2396"/>
      <c r="K262" s="2396"/>
      <c r="AE262" s="2318"/>
    </row>
    <row r="263" spans="1:31" hidden="1" outlineLevel="1">
      <c r="A263" s="2301"/>
      <c r="B263" s="2302" t="s">
        <v>1287</v>
      </c>
      <c r="D263" s="2396">
        <f>1158008.81*0.45/100000</f>
        <v>5.2110396450000005</v>
      </c>
      <c r="G263" s="2330">
        <f>3882990*0.45/100000</f>
        <v>17.473455000000001</v>
      </c>
      <c r="H263" s="2453"/>
      <c r="I263" s="2342"/>
      <c r="J263" s="2396"/>
      <c r="K263" s="2396"/>
      <c r="AE263" s="2318"/>
    </row>
    <row r="264" spans="1:31" hidden="1" outlineLevel="1">
      <c r="A264" s="2301"/>
      <c r="B264" s="2302" t="s">
        <v>1288</v>
      </c>
      <c r="D264" s="2396">
        <f>247790249*0.16/100000</f>
        <v>396.46439840000005</v>
      </c>
      <c r="G264" s="2330">
        <f>253259000*0.16/100000</f>
        <v>405.21440000000001</v>
      </c>
      <c r="H264" s="2453"/>
      <c r="I264" s="2342"/>
      <c r="J264" s="2396"/>
      <c r="K264" s="2396"/>
      <c r="AE264" s="2318"/>
    </row>
    <row r="265" spans="1:31" hidden="1" outlineLevel="1">
      <c r="A265" s="2301"/>
      <c r="B265" s="2302" t="s">
        <v>1289</v>
      </c>
      <c r="D265" s="2342">
        <f>6416530*90%/100000</f>
        <v>57.74877</v>
      </c>
      <c r="G265" s="2330">
        <f>758620257.71*0.9/100000</f>
        <v>6827.5823193900005</v>
      </c>
      <c r="H265" s="2346"/>
      <c r="J265" s="2342"/>
      <c r="AE265" s="2318"/>
    </row>
    <row r="266" spans="1:31" hidden="1" outlineLevel="1">
      <c r="A266" s="2301"/>
      <c r="B266" s="2302" t="s">
        <v>1290</v>
      </c>
      <c r="D266" s="2396">
        <f>15252402/100000*0.5</f>
        <v>76.262010000000004</v>
      </c>
      <c r="G266" s="2330">
        <f>15747205/100000*0.5</f>
        <v>78.736024999999998</v>
      </c>
      <c r="H266" s="2453"/>
      <c r="I266" s="2342"/>
      <c r="J266" s="2396"/>
      <c r="K266" s="2396"/>
      <c r="AE266" s="2318"/>
    </row>
    <row r="267" spans="1:31" hidden="1" outlineLevel="1">
      <c r="A267" s="2301"/>
      <c r="B267" s="2302" t="s">
        <v>1291</v>
      </c>
      <c r="D267" s="2396">
        <f>247619411.87*0.16/100000</f>
        <v>396.19105899200002</v>
      </c>
      <c r="G267" s="2330">
        <f>253032215*0.16/100000</f>
        <v>404.85154399999999</v>
      </c>
      <c r="H267" s="2453"/>
      <c r="J267" s="2396"/>
      <c r="AE267" s="2318"/>
    </row>
    <row r="268" spans="1:31" hidden="1" outlineLevel="1">
      <c r="A268" s="2301"/>
      <c r="B268" s="2302" t="s">
        <v>1292</v>
      </c>
      <c r="D268" s="2342">
        <f>2121*90%/100000</f>
        <v>1.9089000000000002E-2</v>
      </c>
      <c r="G268" s="2330">
        <f>787786.77*0.9/100000</f>
        <v>7.0900809300000001</v>
      </c>
      <c r="H268" s="2346"/>
      <c r="J268" s="2342"/>
      <c r="AE268" s="2318"/>
    </row>
    <row r="269" spans="1:31" hidden="1" outlineLevel="1">
      <c r="A269" s="2301"/>
      <c r="B269" s="2302" t="s">
        <v>1293</v>
      </c>
      <c r="D269" s="2342">
        <f>456995.380000001*90%/100000</f>
        <v>4.1129584200000089</v>
      </c>
      <c r="G269" s="2330">
        <f>1429694.9*0.9/100000</f>
        <v>12.867254099999998</v>
      </c>
      <c r="H269" s="2346"/>
      <c r="J269" s="2342"/>
      <c r="AE269" s="2318"/>
    </row>
    <row r="270" spans="1:31" hidden="1" outlineLevel="1">
      <c r="A270" s="2301"/>
      <c r="B270" s="2302" t="s">
        <v>1294</v>
      </c>
      <c r="D270" s="2342">
        <f>692606.48*90%/100000</f>
        <v>6.2334583200000004</v>
      </c>
      <c r="G270" s="2330">
        <f>796194.78*0.9/100000</f>
        <v>7.1657530200000004</v>
      </c>
      <c r="H270" s="2346"/>
      <c r="J270" s="2342"/>
      <c r="AE270" s="2318"/>
    </row>
    <row r="271" spans="1:31" hidden="1" outlineLevel="1">
      <c r="A271" s="2301"/>
      <c r="B271" s="2302" t="s">
        <v>1295</v>
      </c>
      <c r="D271" s="2342">
        <f>13528908.21*90%/100000</f>
        <v>121.76017389</v>
      </c>
      <c r="G271" s="2330">
        <f>13100243.25*0.9/100000</f>
        <v>117.90218925000001</v>
      </c>
      <c r="H271" s="2346"/>
      <c r="J271" s="2342"/>
      <c r="AE271" s="2318"/>
    </row>
    <row r="272" spans="1:31" hidden="1" outlineLevel="1">
      <c r="A272" s="2301"/>
      <c r="B272" s="2302" t="s">
        <v>1296</v>
      </c>
      <c r="D272" s="2342">
        <f>21555675.81*90%/100000</f>
        <v>194.00108228999997</v>
      </c>
      <c r="G272" s="2330">
        <f>24204752.85*0.9/100000</f>
        <v>217.84277565000002</v>
      </c>
      <c r="H272" s="2346"/>
      <c r="J272" s="2342"/>
      <c r="AE272" s="2318"/>
    </row>
    <row r="273" spans="1:31" hidden="1" outlineLevel="1">
      <c r="A273" s="2301"/>
      <c r="B273" s="2302" t="s">
        <v>1297</v>
      </c>
      <c r="D273" s="2342">
        <f>409647.46*0%/100000</f>
        <v>0</v>
      </c>
      <c r="G273" s="2330">
        <f>189028.61*0/100000</f>
        <v>0</v>
      </c>
      <c r="H273" s="2346"/>
      <c r="J273" s="2342"/>
      <c r="AE273" s="2318"/>
    </row>
    <row r="274" spans="1:31" hidden="1" outlineLevel="1">
      <c r="A274" s="2301"/>
      <c r="B274" s="2302" t="s">
        <v>1298</v>
      </c>
      <c r="D274" s="2342">
        <f>1263725*0%/100000</f>
        <v>0</v>
      </c>
      <c r="G274" s="2330">
        <f>364900*0/100000</f>
        <v>0</v>
      </c>
      <c r="H274" s="2346"/>
      <c r="J274" s="2342"/>
      <c r="AE274" s="2318"/>
    </row>
    <row r="275" spans="1:31" outlineLevel="1">
      <c r="A275" s="2301"/>
      <c r="D275" s="2396"/>
      <c r="G275" s="2330"/>
      <c r="H275" s="2453"/>
      <c r="J275" s="2396"/>
      <c r="AE275" s="2318"/>
    </row>
    <row r="276" spans="1:31" outlineLevel="1">
      <c r="A276" s="2301" t="s">
        <v>1299</v>
      </c>
      <c r="D276" s="2396" t="s">
        <v>94</v>
      </c>
      <c r="E276" s="2330">
        <v>63.22</v>
      </c>
      <c r="G276" s="2330">
        <v>55.01</v>
      </c>
      <c r="H276" s="2453"/>
      <c r="I276" s="2342"/>
      <c r="J276" s="2396"/>
      <c r="K276" s="2342"/>
      <c r="AE276" s="2318"/>
    </row>
    <row r="277" spans="1:31" hidden="1" outlineLevel="1">
      <c r="A277" s="2301"/>
      <c r="D277" s="2396" t="s">
        <v>94</v>
      </c>
      <c r="G277" s="2330" t="s">
        <v>277</v>
      </c>
      <c r="H277" s="2453"/>
      <c r="I277" s="2342"/>
      <c r="J277" s="2396"/>
      <c r="AE277" s="2318"/>
    </row>
    <row r="278" spans="1:31" hidden="1" outlineLevel="1">
      <c r="A278" s="2301"/>
      <c r="B278" s="2302" t="s">
        <v>1300</v>
      </c>
      <c r="D278" s="2396">
        <f>99096087.5300002*0.45/100000</f>
        <v>445.93239388500086</v>
      </c>
      <c r="G278" s="2330">
        <f>6726174.33*0.45/100000</f>
        <v>30.267784485</v>
      </c>
      <c r="H278" s="2453"/>
      <c r="I278" s="2342"/>
      <c r="J278" s="2396"/>
      <c r="K278" s="2396"/>
      <c r="AE278" s="2318"/>
    </row>
    <row r="279" spans="1:31" hidden="1" outlineLevel="1">
      <c r="A279" s="2301"/>
      <c r="B279" s="2302" t="s">
        <v>1301</v>
      </c>
      <c r="D279" s="2396">
        <f>15*0.45/100000</f>
        <v>6.7500000000000001E-5</v>
      </c>
      <c r="G279" s="2330">
        <f>5526.02*0.45/100000</f>
        <v>2.4867090000000001E-2</v>
      </c>
      <c r="H279" s="2453"/>
      <c r="I279" s="2342"/>
      <c r="J279" s="2396"/>
      <c r="K279" s="2396"/>
      <c r="AE279" s="2318"/>
    </row>
    <row r="280" spans="1:31" hidden="1" outlineLevel="1">
      <c r="A280" s="2301"/>
      <c r="B280" s="2302" t="s">
        <v>1302</v>
      </c>
      <c r="D280" s="2396">
        <f>81965.7599999999*0.45/100000</f>
        <v>0.36884591999999955</v>
      </c>
      <c r="G280" s="2330">
        <f>79620.95*0.45/100000</f>
        <v>0.358294275</v>
      </c>
      <c r="H280" s="2453"/>
      <c r="I280" s="2342"/>
      <c r="J280" s="2396"/>
      <c r="K280" s="2396"/>
      <c r="AE280" s="2318"/>
    </row>
    <row r="281" spans="1:31" hidden="1" outlineLevel="1">
      <c r="A281" s="2301"/>
      <c r="B281" s="2302" t="s">
        <v>1303</v>
      </c>
      <c r="D281" s="2396">
        <f>811380.57*0.45/100000</f>
        <v>3.6512125649999998</v>
      </c>
      <c r="G281" s="2330">
        <f>991944.31*0.45/100000</f>
        <v>4.4637493950000007</v>
      </c>
      <c r="H281" s="2453"/>
      <c r="I281" s="2342"/>
      <c r="J281" s="2396"/>
      <c r="K281" s="2396"/>
      <c r="AE281" s="2318"/>
    </row>
    <row r="282" spans="1:31" outlineLevel="1">
      <c r="A282" s="2301"/>
      <c r="D282" s="2396"/>
      <c r="G282" s="2330"/>
      <c r="H282" s="2453"/>
      <c r="I282" s="2342"/>
      <c r="J282" s="2396"/>
      <c r="K282" s="2396"/>
      <c r="AE282" s="2318"/>
    </row>
    <row r="283" spans="1:31" outlineLevel="1">
      <c r="A283" s="2301" t="s">
        <v>1304</v>
      </c>
      <c r="D283" s="2396" t="s">
        <v>94</v>
      </c>
      <c r="E283" s="2330">
        <v>2279.21</v>
      </c>
      <c r="G283" s="2330">
        <v>1902</v>
      </c>
      <c r="H283" s="2453"/>
      <c r="I283" s="2342"/>
      <c r="J283" s="2396"/>
      <c r="K283" s="2342"/>
      <c r="AE283" s="2318"/>
    </row>
    <row r="284" spans="1:31" hidden="1" outlineLevel="1">
      <c r="A284" s="2301"/>
      <c r="D284" s="2396" t="s">
        <v>94</v>
      </c>
      <c r="G284" s="2330"/>
      <c r="H284" s="2453"/>
      <c r="I284" s="2342"/>
      <c r="J284" s="2396"/>
      <c r="AE284" s="2318"/>
    </row>
    <row r="285" spans="1:31" hidden="1" outlineLevel="1">
      <c r="A285" s="2301"/>
      <c r="B285" s="2302" t="s">
        <v>1305</v>
      </c>
      <c r="D285" s="2396">
        <f>5511468.84*0.45/100000</f>
        <v>24.80160978</v>
      </c>
      <c r="G285" s="2330">
        <f>5304305.69*0.45/100000</f>
        <v>23.869375605000002</v>
      </c>
      <c r="H285" s="2453"/>
      <c r="I285" s="2342"/>
      <c r="J285" s="2396"/>
      <c r="K285" s="2396"/>
      <c r="AE285" s="2318"/>
    </row>
    <row r="286" spans="1:31" hidden="1" outlineLevel="1">
      <c r="A286" s="2301"/>
      <c r="B286" s="2302" t="s">
        <v>1306</v>
      </c>
      <c r="D286" s="2396">
        <f>511611002.03*0.45/100000</f>
        <v>2302.2495091349997</v>
      </c>
      <c r="G286" s="2330">
        <f>445944654.15*0.45/100000</f>
        <v>2006.7509436750001</v>
      </c>
      <c r="H286" s="2453"/>
      <c r="I286" s="2342"/>
      <c r="J286" s="2396"/>
      <c r="K286" s="2396"/>
      <c r="AE286" s="2318"/>
    </row>
    <row r="287" spans="1:31" outlineLevel="1">
      <c r="A287" s="2301"/>
      <c r="D287" s="2396"/>
      <c r="G287" s="2330"/>
      <c r="H287" s="2453"/>
      <c r="I287" s="2342"/>
      <c r="J287" s="2396"/>
      <c r="K287" s="2396"/>
      <c r="AE287" s="2318"/>
    </row>
    <row r="288" spans="1:31" ht="15.75" customHeight="1" outlineLevel="1">
      <c r="A288" s="2301" t="s">
        <v>1307</v>
      </c>
      <c r="D288" s="2396"/>
      <c r="E288" s="2330">
        <v>16.98</v>
      </c>
      <c r="G288" s="2330">
        <v>20.2</v>
      </c>
      <c r="H288" s="2453"/>
      <c r="I288" s="2396"/>
      <c r="J288" s="2396"/>
      <c r="K288" s="2396"/>
      <c r="AE288" s="2318"/>
    </row>
    <row r="289" spans="1:31" ht="15.75" customHeight="1" outlineLevel="1">
      <c r="A289" s="2301"/>
      <c r="D289" s="2396"/>
      <c r="G289" s="2330"/>
      <c r="H289" s="2453"/>
      <c r="I289" s="2396"/>
      <c r="J289" s="2396"/>
      <c r="K289" s="2396"/>
      <c r="AE289" s="2318"/>
    </row>
    <row r="290" spans="1:31" outlineLevel="1">
      <c r="A290" s="2301" t="s">
        <v>1308</v>
      </c>
      <c r="D290" s="2396" t="s">
        <v>94</v>
      </c>
      <c r="E290" s="2330">
        <v>6021.7</v>
      </c>
      <c r="G290" s="2330">
        <v>6001.51</v>
      </c>
      <c r="H290" s="2332"/>
      <c r="I290" s="2342"/>
      <c r="K290" s="2342"/>
      <c r="AE290" s="2318"/>
    </row>
    <row r="291" spans="1:31" hidden="1" outlineLevel="1">
      <c r="A291" s="2357"/>
      <c r="B291" s="2302" t="s">
        <v>1309</v>
      </c>
      <c r="D291" s="2396">
        <f>1976431.54*0.45/100000</f>
        <v>8.8939419300000004</v>
      </c>
      <c r="E291" s="2330">
        <f>1952048.54*0.45/100000</f>
        <v>8.7842184299999992</v>
      </c>
      <c r="G291" s="2330">
        <f>1952048.54*0.45/100000</f>
        <v>8.7842184299999992</v>
      </c>
      <c r="H291" s="2453"/>
      <c r="I291" s="2342"/>
      <c r="J291" s="2396"/>
      <c r="K291" s="2396"/>
      <c r="AE291" s="2318"/>
    </row>
    <row r="292" spans="1:31" hidden="1">
      <c r="A292" s="2301"/>
      <c r="B292" s="2302" t="s">
        <v>1310</v>
      </c>
      <c r="D292" s="2342">
        <f>969380*0.45/100000</f>
        <v>4.3622100000000001</v>
      </c>
      <c r="E292" s="2426">
        <f>993380*0.45/100000</f>
        <v>4.4702099999999998</v>
      </c>
      <c r="F292" s="2426"/>
      <c r="G292" s="2426">
        <f>993380*0.45/100000</f>
        <v>4.4702099999999998</v>
      </c>
      <c r="H292" s="2346"/>
      <c r="I292" s="2342"/>
      <c r="J292" s="2342"/>
      <c r="K292" s="2333"/>
      <c r="L292" s="2426"/>
      <c r="M292" s="2426"/>
      <c r="N292" s="2335"/>
      <c r="AE292" s="2318"/>
    </row>
    <row r="293" spans="1:31" hidden="1" outlineLevel="1">
      <c r="A293" s="2357"/>
      <c r="B293" s="2302" t="s">
        <v>1311</v>
      </c>
      <c r="D293" s="2396">
        <v>0</v>
      </c>
      <c r="E293" s="2330">
        <f>161125.49*0.45/100000+0.08</f>
        <v>0.80506470499999994</v>
      </c>
      <c r="G293" s="2330">
        <f>161125.49*0.45/100000+0.08</f>
        <v>0.80506470499999994</v>
      </c>
      <c r="H293" s="2453"/>
      <c r="J293" s="2396"/>
      <c r="K293" s="2396"/>
      <c r="AE293" s="2318"/>
    </row>
    <row r="294" spans="1:31" hidden="1" outlineLevel="1">
      <c r="A294" s="2357"/>
      <c r="B294" s="2302" t="s">
        <v>1312</v>
      </c>
      <c r="D294" s="2396">
        <f>503.540000000037*0.45/100000</f>
        <v>2.2659300000001667E-3</v>
      </c>
      <c r="E294" s="2330">
        <f>608717.15*0.45/100000</f>
        <v>2.7392271750000003</v>
      </c>
      <c r="G294" s="2330">
        <f>608717.15*0.45/100000</f>
        <v>2.7392271750000003</v>
      </c>
      <c r="H294" s="2453"/>
      <c r="J294" s="2396"/>
      <c r="K294" s="2396"/>
      <c r="AE294" s="2318"/>
    </row>
    <row r="295" spans="1:31" outlineLevel="1">
      <c r="A295" s="2357"/>
      <c r="D295" s="2396"/>
      <c r="G295" s="2353"/>
      <c r="H295" s="2453"/>
      <c r="J295" s="2396"/>
      <c r="K295" s="2396"/>
      <c r="AE295" s="2318"/>
    </row>
    <row r="296" spans="1:31" ht="15.75" thickBot="1">
      <c r="A296" s="2301"/>
      <c r="B296" s="2354" t="s">
        <v>499</v>
      </c>
      <c r="E296" s="2355">
        <f>+E290+E288+E283+E276+E258</f>
        <v>9182.5399999999991</v>
      </c>
      <c r="F296" s="2342"/>
      <c r="G296" s="2355">
        <f>+G290+G288+G283+G276+G258</f>
        <v>9671.0300000000007</v>
      </c>
      <c r="H296" s="2332"/>
      <c r="I296" s="2342"/>
      <c r="K296" s="2342"/>
      <c r="AE296" s="2318"/>
    </row>
    <row r="297" spans="1:31" ht="15.75" thickTop="1">
      <c r="A297" s="2301"/>
      <c r="B297" s="2354"/>
      <c r="H297" s="2332"/>
      <c r="I297" s="2342"/>
      <c r="K297" s="2342"/>
      <c r="AE297" s="2318"/>
    </row>
    <row r="298" spans="1:31">
      <c r="A298" s="2301"/>
      <c r="E298" s="2337" t="s">
        <v>1131</v>
      </c>
      <c r="F298" s="2337"/>
      <c r="G298" s="2337" t="s">
        <v>1131</v>
      </c>
      <c r="H298" s="2332"/>
      <c r="AE298" s="2318"/>
    </row>
    <row r="299" spans="1:31">
      <c r="A299" s="2357" t="s">
        <v>1279</v>
      </c>
      <c r="E299" s="2337" t="s">
        <v>1133</v>
      </c>
      <c r="F299" s="2337"/>
      <c r="G299" s="2337" t="s">
        <v>1133</v>
      </c>
      <c r="H299" s="2332"/>
      <c r="AE299" s="2318"/>
    </row>
    <row r="300" spans="1:31">
      <c r="A300" s="2301"/>
      <c r="H300" s="2332"/>
      <c r="AE300" s="2318"/>
    </row>
    <row r="301" spans="1:31">
      <c r="A301" s="2301" t="s">
        <v>1249</v>
      </c>
      <c r="E301" s="2330">
        <f>+E296</f>
        <v>9182.5399999999991</v>
      </c>
      <c r="G301" s="2330">
        <f>+G296</f>
        <v>9671.0300000000007</v>
      </c>
      <c r="H301" s="2332"/>
      <c r="AE301" s="2318"/>
    </row>
    <row r="302" spans="1:31" hidden="1">
      <c r="A302" s="2301" t="s">
        <v>1250</v>
      </c>
      <c r="E302" s="2330">
        <v>0</v>
      </c>
      <c r="G302" s="2342">
        <v>0</v>
      </c>
      <c r="H302" s="2332"/>
      <c r="AE302" s="2318"/>
    </row>
    <row r="303" spans="1:31" ht="15.75" thickBot="1">
      <c r="A303" s="2447"/>
      <c r="B303" s="2394"/>
      <c r="C303" s="2392"/>
      <c r="D303" s="2361"/>
      <c r="E303" s="2454">
        <f>+E301+E302</f>
        <v>9182.5399999999991</v>
      </c>
      <c r="F303" s="2371"/>
      <c r="G303" s="2454">
        <f>+G302+G301</f>
        <v>9671.0300000000007</v>
      </c>
      <c r="H303" s="2332"/>
      <c r="AE303" s="2318"/>
    </row>
    <row r="304" spans="1:31" ht="15.75" thickBot="1">
      <c r="A304" s="2447"/>
      <c r="B304" s="2394"/>
      <c r="C304" s="2455"/>
      <c r="D304" s="2361"/>
      <c r="E304" s="2361"/>
      <c r="F304" s="2361"/>
      <c r="G304" s="2371"/>
      <c r="H304" s="2332"/>
      <c r="AE304" s="2318"/>
    </row>
    <row r="305" spans="1:31">
      <c r="A305" s="2439" t="s">
        <v>1313</v>
      </c>
      <c r="B305" s="2456"/>
      <c r="C305" s="2293"/>
      <c r="D305" s="2440"/>
      <c r="E305" s="2440"/>
      <c r="F305" s="2440"/>
      <c r="G305" s="2393"/>
      <c r="H305" s="2332"/>
      <c r="I305" s="2342"/>
      <c r="K305" s="2342"/>
      <c r="AE305" s="2318"/>
    </row>
    <row r="306" spans="1:31">
      <c r="A306" s="2357" t="s">
        <v>1314</v>
      </c>
      <c r="B306" s="2339"/>
      <c r="H306" s="2332"/>
      <c r="K306" s="2342"/>
      <c r="L306" s="2342"/>
      <c r="M306" s="2342"/>
      <c r="AE306" s="2318"/>
    </row>
    <row r="307" spans="1:31" ht="29.25">
      <c r="A307" s="2301" t="s">
        <v>94</v>
      </c>
      <c r="E307" s="2331" t="str">
        <f>E121</f>
        <v>(As at 31st March,2013)</v>
      </c>
      <c r="F307" s="2331"/>
      <c r="G307" s="2331" t="str">
        <f>G121</f>
        <v>(As at 31st March,2012)</v>
      </c>
      <c r="H307" s="2332"/>
      <c r="I307" s="2342"/>
      <c r="K307" s="2333"/>
      <c r="L307" s="2426"/>
      <c r="M307" s="2334"/>
      <c r="N307" s="2335"/>
      <c r="AE307" s="2318"/>
    </row>
    <row r="308" spans="1:31">
      <c r="A308" s="2301"/>
      <c r="D308" s="2337"/>
      <c r="E308" s="2337" t="s">
        <v>1131</v>
      </c>
      <c r="F308" s="2337"/>
      <c r="G308" s="2337" t="s">
        <v>1131</v>
      </c>
      <c r="H308" s="2338"/>
      <c r="I308" s="2337"/>
      <c r="J308" s="2337"/>
      <c r="K308" s="2337"/>
      <c r="L308" s="2334"/>
      <c r="M308" s="2334"/>
      <c r="N308" s="2339"/>
      <c r="AE308" s="2318"/>
    </row>
    <row r="309" spans="1:31">
      <c r="A309" s="2301"/>
      <c r="D309" s="2337"/>
      <c r="E309" s="2337" t="s">
        <v>1133</v>
      </c>
      <c r="F309" s="2337"/>
      <c r="G309" s="2337" t="s">
        <v>1133</v>
      </c>
      <c r="H309" s="2338"/>
      <c r="I309" s="2337"/>
      <c r="J309" s="2337"/>
      <c r="K309" s="2337"/>
      <c r="L309" s="2334"/>
      <c r="M309" s="2334"/>
      <c r="N309" s="2339"/>
      <c r="AE309" s="2318"/>
    </row>
    <row r="310" spans="1:31" hidden="1">
      <c r="A310" s="2380"/>
      <c r="H310" s="2332"/>
      <c r="K310" s="2342"/>
      <c r="L310" s="2342"/>
      <c r="M310" s="2342"/>
      <c r="AE310" s="2318"/>
    </row>
    <row r="311" spans="1:31" hidden="1">
      <c r="A311" s="2380"/>
      <c r="H311" s="2332"/>
      <c r="K311" s="2342"/>
      <c r="L311" s="2342"/>
      <c r="M311" s="2342"/>
      <c r="R311" s="2457">
        <v>321039780.54000002</v>
      </c>
      <c r="S311" s="2458">
        <f>-1142081406.92+102454</f>
        <v>-1141978952.9200001</v>
      </c>
      <c r="AE311" s="2318"/>
    </row>
    <row r="312" spans="1:31">
      <c r="A312" s="2357"/>
      <c r="H312" s="2332"/>
      <c r="K312" s="2342"/>
      <c r="L312" s="2342"/>
      <c r="M312" s="2342"/>
      <c r="R312" s="2457"/>
      <c r="S312" s="2458"/>
      <c r="AE312" s="2318"/>
    </row>
    <row r="313" spans="1:31" outlineLevel="1">
      <c r="A313" s="2301" t="s">
        <v>1315</v>
      </c>
      <c r="E313" s="2330">
        <v>5910.74</v>
      </c>
      <c r="G313" s="2330">
        <v>5404.39</v>
      </c>
      <c r="H313" s="2346"/>
      <c r="I313" s="2342"/>
      <c r="J313" s="2342"/>
      <c r="K313" s="2342"/>
      <c r="O313" s="2356"/>
      <c r="R313" s="2457"/>
      <c r="S313" s="2458"/>
      <c r="AE313" s="2318"/>
    </row>
    <row r="314" spans="1:31" outlineLevel="1">
      <c r="A314" s="2301"/>
      <c r="B314" s="2398"/>
      <c r="D314" s="2396"/>
      <c r="G314" s="2330"/>
      <c r="H314" s="2453"/>
      <c r="J314" s="2396"/>
      <c r="K314" s="2396"/>
      <c r="M314" s="2317"/>
      <c r="O314" s="2356"/>
      <c r="R314" s="2457"/>
      <c r="S314" s="2458"/>
      <c r="AE314" s="2318"/>
    </row>
    <row r="315" spans="1:31" outlineLevel="1">
      <c r="A315" s="2301" t="s">
        <v>1316</v>
      </c>
      <c r="C315" s="2302"/>
      <c r="D315" s="2396" t="s">
        <v>1317</v>
      </c>
      <c r="E315" s="2330">
        <v>30840.959999999999</v>
      </c>
      <c r="G315" s="2330">
        <v>30582.07</v>
      </c>
      <c r="H315" s="2453"/>
      <c r="I315" s="2342"/>
      <c r="J315" s="2396"/>
      <c r="K315" s="2396"/>
      <c r="M315" s="2317"/>
      <c r="O315" s="2356"/>
      <c r="R315" s="2457"/>
      <c r="S315" s="2458"/>
      <c r="AE315" s="2318"/>
    </row>
    <row r="316" spans="1:31" hidden="1" outlineLevel="1">
      <c r="A316" s="2301"/>
      <c r="B316" s="2302" t="s">
        <v>1318</v>
      </c>
      <c r="C316" s="2302"/>
      <c r="D316" s="2396">
        <f>1085698179.56/100000+(1604055522.01-1085698179.56)/100000*0.45</f>
        <v>13189.589836624998</v>
      </c>
      <c r="E316" s="2330">
        <f>0*45%/100000</f>
        <v>0</v>
      </c>
      <c r="G316" s="2330">
        <f>0*45%/100000</f>
        <v>0</v>
      </c>
      <c r="H316" s="2453"/>
      <c r="I316" s="2342"/>
      <c r="J316" s="2396"/>
      <c r="K316" s="2396"/>
      <c r="M316" s="2317"/>
      <c r="O316" s="2356"/>
      <c r="R316" s="2457"/>
      <c r="S316" s="2458"/>
      <c r="AE316" s="2318"/>
    </row>
    <row r="317" spans="1:31" hidden="1" outlineLevel="1">
      <c r="A317" s="2301"/>
      <c r="B317" s="2302" t="s">
        <v>1318</v>
      </c>
      <c r="C317" s="2302"/>
      <c r="D317" s="2396">
        <f>0*45%/100000</f>
        <v>0</v>
      </c>
      <c r="E317" s="2330">
        <f>704060421.23/100000+(1593410643.06-704060421.23)*0.45/100000</f>
        <v>11042.680210535</v>
      </c>
      <c r="G317" s="2330">
        <f>704060421.23/100000+(1593410643.06-704060421.23)*0.45/100000</f>
        <v>11042.680210535</v>
      </c>
      <c r="H317" s="2453"/>
      <c r="J317" s="2396"/>
      <c r="K317" s="2396"/>
      <c r="M317" s="2317"/>
      <c r="O317" s="2356"/>
      <c r="R317" s="2457"/>
      <c r="S317" s="2458"/>
      <c r="AE317" s="2318"/>
    </row>
    <row r="318" spans="1:31" hidden="1" outlineLevel="1">
      <c r="A318" s="2301"/>
      <c r="B318" s="2302" t="s">
        <v>1319</v>
      </c>
      <c r="C318" s="2302"/>
      <c r="D318" s="2396">
        <f>0*45%/100000</f>
        <v>0</v>
      </c>
      <c r="E318" s="2330">
        <f>(204745337+132387754*0.27)/100000</f>
        <v>2404.9003058000003</v>
      </c>
      <c r="G318" s="2330">
        <f>(204745337+132387754*0.27)/100000</f>
        <v>2404.9003058000003</v>
      </c>
      <c r="H318" s="2453"/>
      <c r="J318" s="2396"/>
      <c r="K318" s="2396"/>
      <c r="M318" s="2317"/>
      <c r="O318" s="2356"/>
      <c r="R318" s="2457"/>
      <c r="S318" s="2458"/>
      <c r="AE318" s="2318"/>
    </row>
    <row r="319" spans="1:31" outlineLevel="1">
      <c r="A319" s="2301"/>
      <c r="C319" s="2302"/>
      <c r="D319" s="2396"/>
      <c r="E319" s="2330" t="s">
        <v>94</v>
      </c>
      <c r="G319" s="2330" t="s">
        <v>94</v>
      </c>
      <c r="H319" s="2453"/>
      <c r="J319" s="2396"/>
      <c r="K319" s="2396"/>
      <c r="M319" s="2317"/>
      <c r="O319" s="2356"/>
      <c r="R319" s="2457"/>
      <c r="S319" s="2458"/>
      <c r="AE319" s="2318"/>
    </row>
    <row r="320" spans="1:31" outlineLevel="1">
      <c r="A320" s="2301" t="s">
        <v>1320</v>
      </c>
      <c r="D320" s="2396" t="s">
        <v>1317</v>
      </c>
      <c r="E320" s="2330">
        <v>1057.3399999999999</v>
      </c>
      <c r="G320" s="2330">
        <v>1045.49</v>
      </c>
      <c r="H320" s="2453"/>
      <c r="I320" s="2342"/>
      <c r="J320" s="2396"/>
      <c r="K320" s="2396"/>
      <c r="M320" s="2317"/>
      <c r="O320" s="2356"/>
      <c r="R320" s="2457"/>
      <c r="S320" s="2458"/>
      <c r="AE320" s="2318"/>
    </row>
    <row r="321" spans="1:31" ht="27" hidden="1" customHeight="1" outlineLevel="1">
      <c r="A321" s="2301"/>
      <c r="B321" s="2302" t="s">
        <v>1321</v>
      </c>
      <c r="D321" s="2396">
        <f>109.679999999993*45%/100000</f>
        <v>4.9355999999996854E-4</v>
      </c>
      <c r="E321" s="2330">
        <f>109.68*45%/100000</f>
        <v>4.9355999999999998E-4</v>
      </c>
      <c r="G321" s="2330">
        <f>109.68*45%/100000</f>
        <v>4.9355999999999998E-4</v>
      </c>
      <c r="H321" s="2453"/>
      <c r="J321" s="2396"/>
      <c r="K321" s="2396"/>
      <c r="M321" s="2317"/>
      <c r="O321" s="2356"/>
      <c r="R321" s="2457"/>
      <c r="S321" s="2458"/>
      <c r="AE321" s="2318"/>
    </row>
    <row r="322" spans="1:31" hidden="1" outlineLevel="1">
      <c r="A322" s="2301"/>
      <c r="B322" s="2302" t="s">
        <v>1322</v>
      </c>
      <c r="D322" s="2396">
        <f>363916.42*45%/100000</f>
        <v>1.63762389</v>
      </c>
      <c r="E322" s="2330">
        <f>375102.17*45%/100000</f>
        <v>1.687959765</v>
      </c>
      <c r="G322" s="2330">
        <f>375102.17*45%/100000</f>
        <v>1.687959765</v>
      </c>
      <c r="H322" s="2453"/>
      <c r="J322" s="2396"/>
      <c r="K322" s="2396"/>
      <c r="M322" s="2317"/>
      <c r="O322" s="2356"/>
      <c r="R322" s="2457"/>
      <c r="S322" s="2458"/>
      <c r="AE322" s="2318"/>
    </row>
    <row r="323" spans="1:31" hidden="1" outlineLevel="1">
      <c r="A323" s="2301"/>
      <c r="B323" s="2302" t="s">
        <v>1323</v>
      </c>
      <c r="D323" s="2396">
        <f>5837046.86*45%/100000</f>
        <v>26.266710870000004</v>
      </c>
      <c r="E323" s="2330">
        <f>4420686.98*45%/100000</f>
        <v>19.893091410000004</v>
      </c>
      <c r="G323" s="2330">
        <f>4420686.98*45%/100000</f>
        <v>19.893091410000004</v>
      </c>
      <c r="H323" s="2453"/>
      <c r="J323" s="2396"/>
      <c r="K323" s="2396"/>
      <c r="M323" s="2317"/>
      <c r="O323" s="2356"/>
      <c r="R323" s="2457"/>
      <c r="S323" s="2458"/>
      <c r="AE323" s="2318"/>
    </row>
    <row r="324" spans="1:31" hidden="1" outlineLevel="1">
      <c r="A324" s="2301"/>
      <c r="B324" s="2302" t="s">
        <v>1324</v>
      </c>
      <c r="D324" s="2396">
        <f>1202303.38/100000*0</f>
        <v>0</v>
      </c>
      <c r="E324" s="2330">
        <f>832441.13*0/100000</f>
        <v>0</v>
      </c>
      <c r="G324" s="2330">
        <f>832441.13*0/100000</f>
        <v>0</v>
      </c>
      <c r="H324" s="2453"/>
      <c r="J324" s="2396"/>
      <c r="K324" s="2396"/>
      <c r="M324" s="2317"/>
      <c r="O324" s="2356"/>
      <c r="R324" s="2457"/>
      <c r="S324" s="2458"/>
      <c r="AE324" s="2318"/>
    </row>
    <row r="325" spans="1:31" hidden="1" outlineLevel="1">
      <c r="A325" s="2301"/>
      <c r="B325" s="2302" t="s">
        <v>1325</v>
      </c>
      <c r="D325" s="2396">
        <f>790982.62*45%/100000</f>
        <v>3.55942179</v>
      </c>
      <c r="E325" s="2330">
        <f>734133.83*45%/100000</f>
        <v>3.3036022349999996</v>
      </c>
      <c r="G325" s="2330">
        <f>734133.83*45%/100000</f>
        <v>3.3036022349999996</v>
      </c>
      <c r="H325" s="2453"/>
      <c r="J325" s="2396"/>
      <c r="K325" s="2396"/>
      <c r="M325" s="2317"/>
      <c r="O325" s="2356"/>
      <c r="AE325" s="2318"/>
    </row>
    <row r="326" spans="1:31" outlineLevel="1">
      <c r="A326" s="2301"/>
      <c r="D326" s="2396"/>
      <c r="G326" s="2330"/>
      <c r="H326" s="2453"/>
      <c r="J326" s="2396"/>
      <c r="K326" s="2396"/>
      <c r="M326" s="2317"/>
      <c r="O326" s="2356"/>
      <c r="AE326" s="2318"/>
    </row>
    <row r="327" spans="1:31" outlineLevel="1">
      <c r="A327" s="2301" t="s">
        <v>1326</v>
      </c>
      <c r="D327" s="2342"/>
      <c r="E327" s="2330">
        <v>34170.33</v>
      </c>
      <c r="G327" s="2330">
        <v>41429.800000000003</v>
      </c>
      <c r="H327" s="2346"/>
      <c r="I327" s="2342"/>
      <c r="J327" s="2342"/>
      <c r="K327" s="2342"/>
      <c r="N327" s="2347">
        <f>G327-E327</f>
        <v>7259.4700000000012</v>
      </c>
      <c r="AE327" s="2318"/>
    </row>
    <row r="328" spans="1:31" hidden="1" outlineLevel="1">
      <c r="A328" s="2301"/>
      <c r="B328" s="2302" t="s">
        <v>1327</v>
      </c>
      <c r="D328" s="2396">
        <f>9578408.57/100000*0.5</f>
        <v>47.892042850000003</v>
      </c>
      <c r="E328" s="2330">
        <f>8801535.77*50%/100000</f>
        <v>44.007678849999998</v>
      </c>
      <c r="G328" s="2330">
        <f>8801535.77*50%/100000</f>
        <v>44.007678849999998</v>
      </c>
      <c r="H328" s="2453"/>
      <c r="J328" s="2396"/>
      <c r="AE328" s="2318"/>
    </row>
    <row r="329" spans="1:31" hidden="1" outlineLevel="1">
      <c r="A329" s="2301"/>
      <c r="B329" s="2302" t="s">
        <v>1328</v>
      </c>
      <c r="D329" s="2396">
        <f>20688877.11/100000*0.5</f>
        <v>103.44438554999999</v>
      </c>
      <c r="E329" s="2330">
        <f>20239470.111*50%/100000</f>
        <v>101.19735055500001</v>
      </c>
      <c r="G329" s="2330">
        <f>20239470.111*50%/100000</f>
        <v>101.19735055500001</v>
      </c>
      <c r="H329" s="2453"/>
      <c r="J329" s="2396"/>
      <c r="AE329" s="2318"/>
    </row>
    <row r="330" spans="1:31" hidden="1" outlineLevel="1">
      <c r="A330" s="2301"/>
      <c r="B330" s="2302" t="s">
        <v>1329</v>
      </c>
      <c r="D330" s="2396">
        <f>4540062.77/100000*0.5</f>
        <v>22.700313849999997</v>
      </c>
      <c r="E330" s="2330">
        <f>4464162.77*50%/100000</f>
        <v>22.320813849999997</v>
      </c>
      <c r="G330" s="2330">
        <f>4464162.77*50%/100000</f>
        <v>22.320813849999997</v>
      </c>
      <c r="H330" s="2453"/>
      <c r="J330" s="2396"/>
      <c r="AE330" s="2318"/>
    </row>
    <row r="331" spans="1:31" hidden="1" outlineLevel="1">
      <c r="A331" s="2301"/>
      <c r="B331" s="2302" t="s">
        <v>1330</v>
      </c>
      <c r="D331" s="2396">
        <f>368117.52/100000*0.5</f>
        <v>1.8405876000000001</v>
      </c>
      <c r="E331" s="2330">
        <f>372045.68*50%/100000</f>
        <v>1.8602284</v>
      </c>
      <c r="G331" s="2330">
        <f>372045.68*50%/100000</f>
        <v>1.8602284</v>
      </c>
      <c r="H331" s="2453"/>
      <c r="J331" s="2396"/>
      <c r="AE331" s="2318"/>
    </row>
    <row r="332" spans="1:31" hidden="1" outlineLevel="1">
      <c r="A332" s="2301"/>
      <c r="B332" s="2302" t="s">
        <v>1331</v>
      </c>
      <c r="D332" s="2396">
        <f>980896.83/100000*0.5</f>
        <v>4.90448415</v>
      </c>
      <c r="E332" s="2330">
        <f>1041396.83*50%/100000</f>
        <v>5.2069841499999994</v>
      </c>
      <c r="G332" s="2330">
        <f>1041396.83*50%/100000</f>
        <v>5.2069841499999994</v>
      </c>
      <c r="H332" s="2453"/>
      <c r="J332" s="2396"/>
      <c r="AE332" s="2318"/>
    </row>
    <row r="333" spans="1:31" hidden="1" outlineLevel="1">
      <c r="A333" s="2301"/>
      <c r="B333" s="2302" t="s">
        <v>1332</v>
      </c>
      <c r="D333" s="2396">
        <f>904475/100000*0.5</f>
        <v>4.5223750000000003</v>
      </c>
      <c r="E333" s="2330">
        <f>873275*50%/100000</f>
        <v>4.3663749999999997</v>
      </c>
      <c r="G333" s="2330">
        <f>873275*50%/100000</f>
        <v>4.3663749999999997</v>
      </c>
      <c r="H333" s="2453"/>
      <c r="J333" s="2396"/>
      <c r="AE333" s="2318"/>
    </row>
    <row r="334" spans="1:31" hidden="1" outlineLevel="1">
      <c r="A334" s="2301"/>
      <c r="B334" s="2302" t="s">
        <v>1333</v>
      </c>
      <c r="D334" s="2396">
        <f>374011.58/100000</f>
        <v>3.7401158000000003</v>
      </c>
      <c r="E334" s="2330">
        <f>375111.58/100000</f>
        <v>3.7511158</v>
      </c>
      <c r="G334" s="2330">
        <f>375111.58/100000</f>
        <v>3.7511158</v>
      </c>
      <c r="H334" s="2453"/>
      <c r="J334" s="2396"/>
      <c r="AE334" s="2318"/>
    </row>
    <row r="335" spans="1:31" hidden="1" outlineLevel="1">
      <c r="A335" s="2301"/>
      <c r="B335" s="2302" t="s">
        <v>1334</v>
      </c>
      <c r="D335" s="2396">
        <f>0/100000*45%</f>
        <v>0</v>
      </c>
      <c r="E335" s="2330">
        <v>0</v>
      </c>
      <c r="G335" s="2330">
        <v>0</v>
      </c>
      <c r="H335" s="2453"/>
      <c r="J335" s="2396"/>
      <c r="AE335" s="2318"/>
    </row>
    <row r="336" spans="1:31" hidden="1" outlineLevel="1">
      <c r="A336" s="2301"/>
      <c r="B336" s="2302" t="s">
        <v>1335</v>
      </c>
      <c r="D336" s="2396">
        <f>8414394.74/100000</f>
        <v>84.143947400000002</v>
      </c>
      <c r="E336" s="2330">
        <f>5166054.02/100000</f>
        <v>51.660540199999993</v>
      </c>
      <c r="G336" s="2330">
        <f>5166054.02/100000</f>
        <v>51.660540199999993</v>
      </c>
      <c r="H336" s="2453"/>
      <c r="J336" s="2396"/>
      <c r="AE336" s="2318"/>
    </row>
    <row r="337" spans="1:31" hidden="1" outlineLevel="1">
      <c r="A337" s="2301"/>
      <c r="B337" s="2302" t="s">
        <v>1336</v>
      </c>
      <c r="D337" s="2396">
        <f>1734566417.08/100000</f>
        <v>17345.664170799999</v>
      </c>
      <c r="E337" s="2330">
        <f>1710476955.62/100000</f>
        <v>17104.769556199997</v>
      </c>
      <c r="G337" s="2330">
        <f>1710476955.62/100000</f>
        <v>17104.769556199997</v>
      </c>
      <c r="H337" s="2453"/>
      <c r="J337" s="2396"/>
      <c r="AE337" s="2318"/>
    </row>
    <row r="338" spans="1:31" hidden="1" outlineLevel="1">
      <c r="A338" s="2301"/>
      <c r="B338" s="2302" t="s">
        <v>1337</v>
      </c>
      <c r="D338" s="2396">
        <f>934154934.66/100000</f>
        <v>9341.5493465999989</v>
      </c>
      <c r="E338" s="2330">
        <f>902546498.56/100000</f>
        <v>9025.4649855999996</v>
      </c>
      <c r="G338" s="2330">
        <f>902546498.56/100000</f>
        <v>9025.4649855999996</v>
      </c>
      <c r="H338" s="2453"/>
      <c r="J338" s="2396"/>
      <c r="AE338" s="2318"/>
    </row>
    <row r="339" spans="1:31" hidden="1" outlineLevel="1">
      <c r="A339" s="2301"/>
      <c r="B339" s="2302" t="s">
        <v>1338</v>
      </c>
      <c r="D339" s="2396">
        <f>7019953.79/100000*45%</f>
        <v>31.589792055</v>
      </c>
      <c r="E339" s="2330">
        <f>7983155.36/100000*45%</f>
        <v>35.924199120000004</v>
      </c>
      <c r="G339" s="2330">
        <f>7983155.36/100000*45%</f>
        <v>35.924199120000004</v>
      </c>
      <c r="H339" s="2453"/>
      <c r="J339" s="2396"/>
      <c r="AE339" s="2318"/>
    </row>
    <row r="340" spans="1:31" hidden="1" outlineLevel="1">
      <c r="A340" s="2301"/>
      <c r="B340" s="2302" t="s">
        <v>1339</v>
      </c>
      <c r="D340" s="2396">
        <f>185354120.51/100000*45%</f>
        <v>834.09354229499991</v>
      </c>
      <c r="E340" s="2330">
        <f>177882710.68/100000*45%</f>
        <v>800.4721980600001</v>
      </c>
      <c r="G340" s="2330">
        <f>177882710.68/100000*45%</f>
        <v>800.4721980600001</v>
      </c>
      <c r="H340" s="2453"/>
      <c r="J340" s="2396"/>
      <c r="AE340" s="2318"/>
    </row>
    <row r="341" spans="1:31" hidden="1" outlineLevel="1">
      <c r="A341" s="2301"/>
      <c r="B341" s="2302" t="s">
        <v>1340</v>
      </c>
      <c r="D341" s="2396">
        <f>25825246.85/100000*45%</f>
        <v>116.21361082500002</v>
      </c>
      <c r="E341" s="2330">
        <f>24034551.55*45%/100000</f>
        <v>108.155481975</v>
      </c>
      <c r="G341" s="2330">
        <f>24034551.55*45%/100000</f>
        <v>108.155481975</v>
      </c>
      <c r="H341" s="2453"/>
      <c r="J341" s="2396"/>
      <c r="AE341" s="2318"/>
    </row>
    <row r="342" spans="1:31" hidden="1" outlineLevel="1">
      <c r="A342" s="2301"/>
      <c r="B342" s="2302" t="s">
        <v>1341</v>
      </c>
      <c r="D342" s="2396">
        <f>408358562.76/100000*45%</f>
        <v>1837.61353242</v>
      </c>
      <c r="E342" s="2330">
        <f>281296482.34*45%/100000</f>
        <v>1265.8341705299999</v>
      </c>
      <c r="G342" s="2330">
        <f>281296482.34*45%/100000</f>
        <v>1265.8341705299999</v>
      </c>
      <c r="H342" s="2453"/>
      <c r="J342" s="2396"/>
      <c r="AE342" s="2318"/>
    </row>
    <row r="343" spans="1:31" hidden="1" outlineLevel="1">
      <c r="A343" s="2301"/>
      <c r="B343" s="2302" t="s">
        <v>1342</v>
      </c>
      <c r="D343" s="2396">
        <f>0/100000*45%</f>
        <v>0</v>
      </c>
      <c r="E343" s="2330">
        <v>0</v>
      </c>
      <c r="G343" s="2330">
        <v>0</v>
      </c>
      <c r="H343" s="2453"/>
      <c r="J343" s="2396"/>
      <c r="AE343" s="2318"/>
    </row>
    <row r="344" spans="1:31" hidden="1" outlineLevel="1">
      <c r="A344" s="2301"/>
      <c r="B344" s="2302" t="s">
        <v>1343</v>
      </c>
      <c r="D344" s="2396">
        <f>303433.5/100000*0</f>
        <v>0</v>
      </c>
      <c r="E344" s="2317">
        <f>303433.5/100000*0</f>
        <v>0</v>
      </c>
      <c r="F344" s="2317"/>
      <c r="G344" s="2317">
        <f>303433.5/100000*0</f>
        <v>0</v>
      </c>
      <c r="H344" s="2453"/>
      <c r="J344" s="2396"/>
      <c r="L344" s="2317"/>
      <c r="AE344" s="2318"/>
    </row>
    <row r="345" spans="1:31" hidden="1" outlineLevel="1">
      <c r="A345" s="2301"/>
      <c r="B345" s="2302" t="s">
        <v>1344</v>
      </c>
      <c r="D345" s="2396">
        <f>627132/100000*0</f>
        <v>0</v>
      </c>
      <c r="E345" s="2317">
        <f>627132/100000*0</f>
        <v>0</v>
      </c>
      <c r="F345" s="2317"/>
      <c r="G345" s="2317">
        <f>627132/100000*0</f>
        <v>0</v>
      </c>
      <c r="H345" s="2453"/>
      <c r="J345" s="2396"/>
      <c r="L345" s="2317"/>
      <c r="AE345" s="2318"/>
    </row>
    <row r="346" spans="1:31" hidden="1" outlineLevel="1">
      <c r="A346" s="2301"/>
      <c r="B346" s="2302" t="s">
        <v>1345</v>
      </c>
      <c r="D346" s="2396">
        <f>1653.67/100000*45%</f>
        <v>7.441515000000001E-3</v>
      </c>
      <c r="E346" s="2330">
        <f>1600/100000*45%</f>
        <v>7.2000000000000007E-3</v>
      </c>
      <c r="G346" s="2330">
        <f>1600/100000*45%</f>
        <v>7.2000000000000007E-3</v>
      </c>
      <c r="H346" s="2453"/>
      <c r="J346" s="2396"/>
      <c r="AE346" s="2318"/>
    </row>
    <row r="347" spans="1:31" hidden="1" outlineLevel="1">
      <c r="A347" s="2301"/>
      <c r="B347" s="2302" t="s">
        <v>1346</v>
      </c>
      <c r="D347" s="2396">
        <f>289390.25/100000*0</f>
        <v>0</v>
      </c>
      <c r="E347" s="2330">
        <f>673825.25/100000*0</f>
        <v>0</v>
      </c>
      <c r="G347" s="2330">
        <f>673825.25/100000*0</f>
        <v>0</v>
      </c>
      <c r="H347" s="2453"/>
      <c r="J347" s="2396"/>
      <c r="P347" s="2356"/>
      <c r="AE347" s="2318"/>
    </row>
    <row r="348" spans="1:31" hidden="1" outlineLevel="1">
      <c r="A348" s="2301"/>
      <c r="B348" s="2302" t="s">
        <v>1347</v>
      </c>
      <c r="D348" s="2396">
        <f>969380/100000*45%</f>
        <v>4.3622100000000001</v>
      </c>
      <c r="E348" s="2317">
        <f>993380/100000*45%</f>
        <v>4.4702099999999998</v>
      </c>
      <c r="F348" s="2317"/>
      <c r="G348" s="2317">
        <f>993380/100000*45%</f>
        <v>4.4702099999999998</v>
      </c>
      <c r="H348" s="2453"/>
      <c r="J348" s="2396"/>
      <c r="L348" s="2317"/>
      <c r="P348" s="2356"/>
      <c r="AE348" s="2318"/>
    </row>
    <row r="349" spans="1:31" hidden="1" outlineLevel="1">
      <c r="A349" s="2301"/>
      <c r="B349" s="2302" t="s">
        <v>1348</v>
      </c>
      <c r="D349" s="2396">
        <f>29726102.2/100000*45%</f>
        <v>133.76745989999998</v>
      </c>
      <c r="E349" s="2330">
        <f>24513926.77/100000*45%</f>
        <v>110.31267046500001</v>
      </c>
      <c r="G349" s="2330">
        <f>24513926.77/100000*45%</f>
        <v>110.31267046500001</v>
      </c>
      <c r="H349" s="2453"/>
      <c r="J349" s="2396"/>
      <c r="L349" s="2317"/>
      <c r="P349" s="2356"/>
      <c r="R349" s="2457"/>
      <c r="S349" s="2458"/>
      <c r="AE349" s="2318"/>
    </row>
    <row r="350" spans="1:31" outlineLevel="1">
      <c r="A350" s="2301"/>
      <c r="D350" s="2396"/>
      <c r="G350" s="2330"/>
      <c r="H350" s="2453"/>
      <c r="J350" s="2396"/>
      <c r="L350" s="2317"/>
      <c r="P350" s="2356"/>
      <c r="R350" s="2457"/>
      <c r="S350" s="2458"/>
      <c r="AE350" s="2318"/>
    </row>
    <row r="351" spans="1:31" outlineLevel="1">
      <c r="A351" s="2301" t="s">
        <v>1349</v>
      </c>
      <c r="D351" s="2342"/>
      <c r="E351" s="2330">
        <v>0</v>
      </c>
      <c r="G351" s="2330">
        <v>0</v>
      </c>
      <c r="H351" s="2346"/>
      <c r="I351" s="2396"/>
      <c r="J351" s="2396"/>
      <c r="K351" s="2396"/>
      <c r="M351" s="2317"/>
      <c r="O351" s="2356"/>
      <c r="R351" s="2457"/>
      <c r="S351" s="2458"/>
      <c r="AE351" s="2318"/>
    </row>
    <row r="352" spans="1:31" hidden="1" outlineLevel="1">
      <c r="A352" s="2301"/>
      <c r="B352" s="2302" t="s">
        <v>1350</v>
      </c>
      <c r="D352" s="2396"/>
      <c r="G352" s="2330"/>
      <c r="H352" s="2346"/>
      <c r="I352" s="2396"/>
      <c r="J352" s="2396"/>
      <c r="K352" s="2396"/>
      <c r="M352" s="2317"/>
      <c r="O352" s="2356"/>
      <c r="R352" s="2457"/>
      <c r="S352" s="2458"/>
      <c r="AE352" s="2318"/>
    </row>
    <row r="353" spans="1:31" outlineLevel="1">
      <c r="A353" s="2301"/>
      <c r="D353" s="2396"/>
      <c r="G353" s="2330"/>
      <c r="H353" s="2346"/>
      <c r="I353" s="2396"/>
      <c r="J353" s="2396"/>
      <c r="K353" s="2396"/>
      <c r="M353" s="2317"/>
      <c r="O353" s="2356"/>
      <c r="R353" s="2457"/>
      <c r="S353" s="2458"/>
      <c r="AE353" s="2318"/>
    </row>
    <row r="354" spans="1:31" outlineLevel="1">
      <c r="A354" s="2301" t="s">
        <v>1351</v>
      </c>
      <c r="D354" s="2396"/>
      <c r="E354" s="2330">
        <v>28614.11</v>
      </c>
      <c r="G354" s="2330">
        <v>31426.39</v>
      </c>
      <c r="H354" s="2346"/>
      <c r="I354" s="2396"/>
      <c r="J354" s="2396"/>
      <c r="K354" s="2396"/>
      <c r="M354" s="2317"/>
      <c r="O354" s="2356"/>
      <c r="AE354" s="2318"/>
    </row>
    <row r="355" spans="1:31" outlineLevel="1">
      <c r="A355" s="2301"/>
      <c r="D355" s="2396"/>
      <c r="G355" s="2330"/>
      <c r="H355" s="2346"/>
      <c r="I355" s="2396"/>
      <c r="J355" s="2396"/>
      <c r="K355" s="2396"/>
      <c r="M355" s="2317"/>
      <c r="O355" s="2356"/>
      <c r="R355" s="2457"/>
      <c r="S355" s="2458"/>
      <c r="AE355" s="2318"/>
    </row>
    <row r="356" spans="1:31">
      <c r="A356" s="2301" t="s">
        <v>1352</v>
      </c>
      <c r="D356" s="2342"/>
      <c r="E356" s="2330">
        <v>37503.33</v>
      </c>
      <c r="G356" s="2330">
        <v>11962.71</v>
      </c>
      <c r="H356" s="2332"/>
      <c r="I356" s="2342"/>
      <c r="J356" s="2396"/>
      <c r="K356" s="2396"/>
      <c r="M356" s="2317"/>
      <c r="R356" s="2457"/>
      <c r="S356" s="2458"/>
      <c r="AE356" s="2318"/>
    </row>
    <row r="357" spans="1:31" ht="16.5" hidden="1" customHeight="1" outlineLevel="1">
      <c r="A357" s="2301"/>
      <c r="B357" s="2302" t="s">
        <v>1353</v>
      </c>
      <c r="D357" s="2396">
        <f>76433568.9599991*45%/100000</f>
        <v>343.95106031999597</v>
      </c>
      <c r="E357" s="2330">
        <f>425502618.55*45%/100000</f>
        <v>1914.7617834749999</v>
      </c>
      <c r="G357" s="2330">
        <f>425502618.55*45%/100000</f>
        <v>1914.7617834749999</v>
      </c>
      <c r="H357" s="2453"/>
      <c r="J357" s="2396"/>
      <c r="K357" s="2396"/>
      <c r="M357" s="2317"/>
      <c r="O357" s="2356"/>
      <c r="R357" s="2457"/>
      <c r="S357" s="2458"/>
      <c r="AE357" s="2318"/>
    </row>
    <row r="358" spans="1:31" hidden="1" outlineLevel="1">
      <c r="A358" s="2301"/>
      <c r="B358" s="2302" t="s">
        <v>1354</v>
      </c>
      <c r="D358" s="2396">
        <f>77719787.46*45%/100000</f>
        <v>349.73904357000004</v>
      </c>
      <c r="E358" s="2330">
        <f>20673132.39*45%/100000</f>
        <v>93.029095755</v>
      </c>
      <c r="G358" s="2330">
        <f>20673132.39*45%/100000</f>
        <v>93.029095755</v>
      </c>
      <c r="H358" s="2453"/>
      <c r="J358" s="2396"/>
      <c r="K358" s="2396"/>
      <c r="M358" s="2317"/>
      <c r="O358" s="2356"/>
      <c r="R358" s="2457"/>
      <c r="S358" s="2458"/>
      <c r="AE358" s="2318"/>
    </row>
    <row r="359" spans="1:31" hidden="1" outlineLevel="1">
      <c r="A359" s="2301"/>
      <c r="B359" s="2302" t="s">
        <v>1355</v>
      </c>
      <c r="D359" s="2396">
        <f>129473.14*45%/100000</f>
        <v>0.58262913000000005</v>
      </c>
      <c r="E359" s="2330">
        <f>145326.9*45%/100000</f>
        <v>0.65397105</v>
      </c>
      <c r="G359" s="2330">
        <f>145326.9*45%/100000</f>
        <v>0.65397105</v>
      </c>
      <c r="H359" s="2453"/>
      <c r="J359" s="2396"/>
      <c r="K359" s="2396"/>
      <c r="M359" s="2317"/>
      <c r="O359" s="2356"/>
      <c r="R359" s="2457"/>
      <c r="S359" s="2458"/>
      <c r="AE359" s="2318"/>
    </row>
    <row r="360" spans="1:31" hidden="1" outlineLevel="1">
      <c r="A360" s="2301"/>
      <c r="B360" s="2302" t="s">
        <v>1356</v>
      </c>
      <c r="D360" s="2396">
        <f>55065122.22*45%/100000</f>
        <v>247.79304999000001</v>
      </c>
      <c r="E360" s="2330">
        <f>53652317.64*45%/100000</f>
        <v>241.43542938000002</v>
      </c>
      <c r="G360" s="2330">
        <f>53652317.64*45%/100000</f>
        <v>241.43542938000002</v>
      </c>
      <c r="H360" s="2453"/>
      <c r="J360" s="2396"/>
      <c r="K360" s="2396"/>
      <c r="M360" s="2317"/>
      <c r="O360" s="2356"/>
      <c r="R360" s="2459"/>
      <c r="S360" s="2458"/>
      <c r="AE360" s="2318"/>
    </row>
    <row r="361" spans="1:31" hidden="1" outlineLevel="1">
      <c r="A361" s="2301"/>
      <c r="B361" s="2302" t="s">
        <v>1357</v>
      </c>
      <c r="D361" s="2342">
        <f>+'[62] Bank'!H229/100000</f>
        <v>2506.3152322849996</v>
      </c>
      <c r="E361" s="2330">
        <f>+'[62] Bank'!K229/100000</f>
        <v>1711.8361085550005</v>
      </c>
      <c r="G361" s="2330" t="e">
        <f>+'[62] Bank'!M229/100000</f>
        <v>#REF!</v>
      </c>
      <c r="H361" s="2346"/>
      <c r="J361" s="2396"/>
      <c r="K361" s="2396"/>
      <c r="M361" s="2317"/>
      <c r="O361" s="2356"/>
      <c r="AE361" s="2318"/>
    </row>
    <row r="362" spans="1:31" outlineLevel="1">
      <c r="A362" s="2301"/>
      <c r="D362" s="2342"/>
      <c r="G362" s="2330"/>
      <c r="H362" s="2346"/>
      <c r="J362" s="2396"/>
      <c r="K362" s="2396"/>
      <c r="M362" s="2317"/>
      <c r="O362" s="2356"/>
      <c r="AE362" s="2318"/>
    </row>
    <row r="363" spans="1:31" outlineLevel="1">
      <c r="A363" s="2301"/>
      <c r="D363" s="2342"/>
      <c r="G363" s="2330"/>
      <c r="H363" s="2346"/>
      <c r="J363" s="2396"/>
      <c r="K363" s="2396"/>
      <c r="M363" s="2317"/>
      <c r="O363" s="2356"/>
      <c r="AE363" s="2318"/>
    </row>
    <row r="364" spans="1:31" outlineLevel="1">
      <c r="A364" s="2301" t="s">
        <v>1358</v>
      </c>
      <c r="D364" s="2342"/>
      <c r="E364" s="2330">
        <v>0</v>
      </c>
      <c r="G364" s="2330">
        <v>0</v>
      </c>
      <c r="H364" s="2346"/>
      <c r="J364" s="2396"/>
      <c r="K364" s="2396"/>
      <c r="M364" s="2317"/>
      <c r="O364" s="2356"/>
      <c r="AE364" s="2318"/>
    </row>
    <row r="365" spans="1:31" outlineLevel="1">
      <c r="A365" s="2301"/>
      <c r="D365" s="2342"/>
      <c r="G365" s="2330"/>
      <c r="H365" s="2346"/>
      <c r="J365" s="2396"/>
      <c r="K365" s="2396"/>
      <c r="M365" s="2317"/>
      <c r="O365" s="2356"/>
      <c r="AE365" s="2318"/>
    </row>
    <row r="366" spans="1:31" outlineLevel="1">
      <c r="A366" s="2301"/>
      <c r="G366" s="2330"/>
      <c r="H366" s="2332"/>
      <c r="J366" s="2342"/>
      <c r="K366" s="2396"/>
      <c r="M366" s="2342"/>
      <c r="AE366" s="2318"/>
    </row>
    <row r="367" spans="1:31" ht="15.75" thickBot="1">
      <c r="A367" s="2301"/>
      <c r="B367" s="2354" t="s">
        <v>499</v>
      </c>
      <c r="E367" s="2355">
        <f>+E364+E356+E354+E351+E327+E320+E315+E313</f>
        <v>138096.81</v>
      </c>
      <c r="F367" s="2342"/>
      <c r="G367" s="2355">
        <f>+G351+G356+G327+G320+G315+G313+G354+G364</f>
        <v>121850.85</v>
      </c>
      <c r="H367" s="2332"/>
      <c r="I367" s="2342"/>
      <c r="K367" s="2342"/>
      <c r="N367" s="2356"/>
      <c r="AE367" s="2318"/>
    </row>
    <row r="368" spans="1:31" ht="15.75" thickTop="1">
      <c r="A368" s="2301"/>
      <c r="H368" s="2332"/>
      <c r="K368" s="2342"/>
      <c r="L368" s="2342"/>
      <c r="M368" s="2342"/>
      <c r="AE368" s="2318"/>
    </row>
    <row r="369" spans="1:31" hidden="1">
      <c r="A369" s="2425" t="s">
        <v>1359</v>
      </c>
      <c r="H369" s="2332"/>
      <c r="K369" s="2342"/>
      <c r="L369" s="2342"/>
      <c r="M369" s="2342"/>
      <c r="AE369" s="2318"/>
    </row>
    <row r="370" spans="1:31" ht="29.25" hidden="1">
      <c r="A370" s="2301"/>
      <c r="E370" s="2331" t="s">
        <v>1253</v>
      </c>
      <c r="F370" s="2331"/>
      <c r="G370" s="2331" t="s">
        <v>1254</v>
      </c>
      <c r="H370" s="2332"/>
      <c r="K370" s="2342"/>
      <c r="L370" s="2342"/>
      <c r="M370" s="2342"/>
      <c r="AE370" s="2318"/>
    </row>
    <row r="371" spans="1:31" hidden="1">
      <c r="A371" s="2357" t="s">
        <v>1360</v>
      </c>
      <c r="H371" s="2332"/>
      <c r="AE371" s="2318"/>
    </row>
    <row r="372" spans="1:31" hidden="1" outlineLevel="1">
      <c r="A372" s="2301"/>
      <c r="E372" s="2330">
        <v>0</v>
      </c>
      <c r="G372" s="2342">
        <v>0</v>
      </c>
      <c r="H372" s="2332"/>
      <c r="I372" s="2342"/>
      <c r="K372" s="2342"/>
      <c r="N372" s="2356"/>
      <c r="AE372" s="2318"/>
    </row>
    <row r="373" spans="1:31" hidden="1">
      <c r="A373" s="2301"/>
      <c r="B373" s="2354" t="s">
        <v>499</v>
      </c>
      <c r="E373" s="2330">
        <f>+E372</f>
        <v>0</v>
      </c>
      <c r="G373" s="2342">
        <f>+G372</f>
        <v>0</v>
      </c>
      <c r="H373" s="2332"/>
      <c r="I373" s="2342"/>
      <c r="K373" s="2342"/>
      <c r="N373" s="2356"/>
      <c r="AE373" s="2318"/>
    </row>
    <row r="374" spans="1:31">
      <c r="A374" s="2301"/>
      <c r="H374" s="2332"/>
      <c r="AE374" s="2318"/>
    </row>
    <row r="375" spans="1:31">
      <c r="A375" s="2425" t="s">
        <v>1359</v>
      </c>
      <c r="H375" s="2332"/>
      <c r="AE375" s="2318"/>
    </row>
    <row r="376" spans="1:31" ht="29.25">
      <c r="A376" s="2301"/>
      <c r="E376" s="2331" t="str">
        <f>E121</f>
        <v>(As at 31st March,2013)</v>
      </c>
      <c r="F376" s="2331"/>
      <c r="G376" s="2331" t="str">
        <f>G121</f>
        <v>(As at 31st March,2012)</v>
      </c>
      <c r="H376" s="2332"/>
      <c r="AE376" s="2318"/>
    </row>
    <row r="377" spans="1:31">
      <c r="A377" s="2301"/>
      <c r="H377" s="2332"/>
      <c r="AE377" s="2318"/>
    </row>
    <row r="378" spans="1:31">
      <c r="A378" s="2357" t="s">
        <v>1174</v>
      </c>
      <c r="H378" s="2332"/>
      <c r="AE378" s="2318"/>
    </row>
    <row r="379" spans="1:31">
      <c r="A379" s="2301" t="s">
        <v>1175</v>
      </c>
      <c r="H379" s="2332"/>
      <c r="AE379" s="2318"/>
    </row>
    <row r="380" spans="1:31" hidden="1">
      <c r="A380" s="2301"/>
      <c r="H380" s="2332"/>
      <c r="AE380" s="2318"/>
    </row>
    <row r="381" spans="1:31">
      <c r="A381" s="2301"/>
      <c r="E381" s="2342"/>
      <c r="F381" s="2342"/>
      <c r="G381" s="1943"/>
      <c r="H381" s="2346"/>
      <c r="I381" s="2342"/>
      <c r="J381" s="2342"/>
      <c r="K381" s="2342"/>
      <c r="AE381" s="2318"/>
    </row>
    <row r="382" spans="1:31">
      <c r="A382" s="2301"/>
      <c r="B382" s="2302" t="s">
        <v>1361</v>
      </c>
      <c r="D382" s="1943"/>
      <c r="E382" s="2330">
        <v>5.47</v>
      </c>
      <c r="G382" s="2330">
        <v>5.5</v>
      </c>
      <c r="H382" s="2346"/>
      <c r="I382" s="2342"/>
      <c r="J382" s="2342"/>
      <c r="K382" s="2342"/>
      <c r="AE382" s="2318"/>
    </row>
    <row r="383" spans="1:31">
      <c r="A383" s="2301"/>
      <c r="B383" s="2302" t="s">
        <v>1362</v>
      </c>
      <c r="D383" s="1943"/>
      <c r="E383" s="2330">
        <v>0</v>
      </c>
      <c r="G383" s="2353">
        <v>0.03</v>
      </c>
      <c r="H383" s="2346"/>
      <c r="I383" s="2342"/>
      <c r="J383" s="2342"/>
      <c r="K383" s="2342"/>
      <c r="AE383" s="2318"/>
    </row>
    <row r="384" spans="1:31" ht="15.75" thickBot="1">
      <c r="A384" s="2301"/>
      <c r="E384" s="2355">
        <f>+E382-E383</f>
        <v>5.47</v>
      </c>
      <c r="F384" s="2342"/>
      <c r="G384" s="2355">
        <f>+G382-G383</f>
        <v>5.47</v>
      </c>
      <c r="H384" s="2346"/>
      <c r="I384" s="2342"/>
      <c r="J384" s="2342"/>
      <c r="K384" s="2342"/>
      <c r="AE384" s="2318"/>
    </row>
    <row r="385" spans="1:31" ht="16.5" thickTop="1" thickBot="1">
      <c r="A385" s="2447"/>
      <c r="B385" s="2394"/>
      <c r="C385" s="2392"/>
      <c r="D385" s="2361"/>
      <c r="E385" s="2361"/>
      <c r="F385" s="2361"/>
      <c r="G385" s="2371"/>
      <c r="H385" s="2332"/>
      <c r="AE385" s="2318"/>
    </row>
    <row r="386" spans="1:31">
      <c r="G386" s="2393"/>
      <c r="H386" s="2332"/>
      <c r="AE386" s="2318"/>
    </row>
    <row r="387" spans="1:31" ht="15.75" thickBot="1">
      <c r="G387" s="2371"/>
      <c r="H387" s="2332"/>
      <c r="AE387" s="2318"/>
    </row>
    <row r="388" spans="1:31" ht="15.75" thickBot="1">
      <c r="A388" s="2291"/>
      <c r="B388" s="2292"/>
      <c r="C388" s="2293"/>
      <c r="D388" s="2440"/>
      <c r="E388" s="2440"/>
      <c r="F388" s="2440"/>
      <c r="G388" s="2393"/>
      <c r="H388" s="2332"/>
      <c r="AE388" s="2318"/>
    </row>
    <row r="389" spans="1:31" ht="15.75" thickBot="1">
      <c r="A389" s="6286" t="s">
        <v>1363</v>
      </c>
      <c r="B389" s="6287"/>
      <c r="C389" s="6287"/>
      <c r="D389" s="6287"/>
      <c r="E389" s="6287"/>
      <c r="F389" s="6287"/>
      <c r="G389" s="6287"/>
      <c r="H389" s="2319"/>
      <c r="I389" s="2320"/>
      <c r="J389" s="2320"/>
      <c r="K389" s="2320"/>
      <c r="L389" s="2320"/>
      <c r="M389" s="2320"/>
      <c r="N389" s="2310" t="s">
        <v>94</v>
      </c>
      <c r="AE389" s="2318"/>
    </row>
    <row r="390" spans="1:31">
      <c r="A390" s="2460"/>
      <c r="B390" s="2292"/>
      <c r="C390" s="2293"/>
      <c r="D390" s="2440"/>
      <c r="E390" s="2440"/>
      <c r="F390" s="2440"/>
      <c r="G390" s="2393"/>
      <c r="H390" s="2332"/>
      <c r="AE390" s="2318"/>
    </row>
    <row r="391" spans="1:31">
      <c r="A391" s="2301"/>
      <c r="E391" s="2337" t="s">
        <v>1187</v>
      </c>
      <c r="F391" s="2337"/>
      <c r="G391" s="2342" t="s">
        <v>1187</v>
      </c>
      <c r="H391" s="2346"/>
      <c r="I391" s="2342"/>
      <c r="J391" s="2337"/>
      <c r="K391" s="2337"/>
      <c r="L391" s="2334"/>
      <c r="M391" s="2334"/>
      <c r="AE391" s="2318"/>
    </row>
    <row r="392" spans="1:31">
      <c r="A392" s="2301"/>
      <c r="E392" s="2461" t="s">
        <v>1188</v>
      </c>
      <c r="F392" s="2461"/>
      <c r="G392" s="2461" t="s">
        <v>1189</v>
      </c>
      <c r="H392" s="2346"/>
      <c r="I392" s="2342"/>
      <c r="J392" s="2337"/>
      <c r="K392" s="2337"/>
      <c r="L392" s="2334"/>
      <c r="M392" s="2334"/>
      <c r="AE392" s="2318"/>
    </row>
    <row r="393" spans="1:31" outlineLevel="1">
      <c r="A393" s="2301"/>
      <c r="D393" s="2342" t="s">
        <v>1131</v>
      </c>
      <c r="E393" s="2337" t="s">
        <v>1131</v>
      </c>
      <c r="F393" s="2337"/>
      <c r="G393" s="2337" t="s">
        <v>1131</v>
      </c>
      <c r="H393" s="2346"/>
      <c r="I393" s="2342"/>
      <c r="J393" s="2337"/>
      <c r="K393" s="2337"/>
      <c r="L393" s="2334"/>
      <c r="M393" s="2334"/>
      <c r="AE393" s="2318"/>
    </row>
    <row r="394" spans="1:31" outlineLevel="1">
      <c r="A394" s="2301"/>
      <c r="D394" s="2342" t="s">
        <v>1190</v>
      </c>
      <c r="E394" s="2337" t="s">
        <v>1190</v>
      </c>
      <c r="F394" s="2337"/>
      <c r="G394" s="2337" t="s">
        <v>1190</v>
      </c>
      <c r="H394" s="2346"/>
      <c r="I394" s="2342"/>
      <c r="J394" s="2337"/>
      <c r="K394" s="2337"/>
      <c r="L394" s="2334"/>
      <c r="M394" s="2334"/>
      <c r="AE394" s="2318"/>
    </row>
    <row r="395" spans="1:31" outlineLevel="1">
      <c r="A395" s="2425" t="s">
        <v>1364</v>
      </c>
      <c r="D395" s="2342"/>
      <c r="H395" s="2332"/>
      <c r="J395" s="2342"/>
      <c r="AE395" s="2318"/>
    </row>
    <row r="396" spans="1:31" outlineLevel="1">
      <c r="A396" s="2357" t="s">
        <v>1365</v>
      </c>
      <c r="H396" s="2332"/>
      <c r="J396" s="2342"/>
      <c r="AE396" s="2318"/>
    </row>
    <row r="397" spans="1:31" outlineLevel="1">
      <c r="A397" s="2301" t="s">
        <v>1366</v>
      </c>
      <c r="E397" s="2330">
        <v>362019.33</v>
      </c>
      <c r="G397" s="2330">
        <v>254717.07</v>
      </c>
      <c r="H397" s="2332"/>
      <c r="J397" s="2342"/>
      <c r="P397" s="1943" t="s">
        <v>94</v>
      </c>
      <c r="AE397" s="2318"/>
    </row>
    <row r="398" spans="1:31" outlineLevel="1">
      <c r="A398" s="2301" t="s">
        <v>1367</v>
      </c>
      <c r="E398" s="2330">
        <v>1674.09</v>
      </c>
      <c r="G398" s="2330">
        <v>1471.72</v>
      </c>
      <c r="H398" s="2332"/>
      <c r="J398" s="2342"/>
      <c r="N398" s="2347"/>
      <c r="AE398" s="2318"/>
    </row>
    <row r="399" spans="1:31" outlineLevel="1">
      <c r="A399" s="2301" t="s">
        <v>1368</v>
      </c>
      <c r="E399" s="2330">
        <v>1945.57</v>
      </c>
      <c r="G399" s="2330">
        <v>1936.92</v>
      </c>
      <c r="H399" s="2332"/>
      <c r="J399" s="2342"/>
      <c r="AE399" s="2318"/>
    </row>
    <row r="400" spans="1:31" outlineLevel="1">
      <c r="A400" s="2301" t="s">
        <v>1369</v>
      </c>
      <c r="E400" s="2330">
        <v>1587.5</v>
      </c>
      <c r="G400" s="2330">
        <v>1153.95</v>
      </c>
      <c r="H400" s="2332"/>
      <c r="J400" s="2342"/>
      <c r="N400" s="1943">
        <f>158325982+423945</f>
        <v>158749927</v>
      </c>
      <c r="P400" s="1943" t="s">
        <v>94</v>
      </c>
      <c r="AE400" s="2318"/>
    </row>
    <row r="401" spans="1:31" outlineLevel="1">
      <c r="A401" s="2340"/>
      <c r="B401" s="2339"/>
      <c r="G401" s="2330"/>
      <c r="H401" s="2332"/>
      <c r="J401" s="2342"/>
      <c r="AE401" s="2318"/>
    </row>
    <row r="402" spans="1:31" ht="15.75" thickBot="1">
      <c r="A402" s="2340"/>
      <c r="B402" s="2354" t="s">
        <v>499</v>
      </c>
      <c r="E402" s="2355">
        <f>SUM(E397:E401)</f>
        <v>367226.49000000005</v>
      </c>
      <c r="F402" s="2342"/>
      <c r="G402" s="2355">
        <f>SUM(G397:G401)</f>
        <v>259279.66000000003</v>
      </c>
      <c r="H402" s="2332"/>
      <c r="I402" s="2342"/>
      <c r="J402" s="2342"/>
      <c r="K402" s="2342"/>
      <c r="O402" s="2451">
        <f>+E402+E421</f>
        <v>371687.97000000003</v>
      </c>
      <c r="P402" s="2347" t="s">
        <v>94</v>
      </c>
      <c r="AE402" s="2318"/>
    </row>
    <row r="403" spans="1:31" ht="15.75" thickTop="1">
      <c r="A403" s="2340"/>
      <c r="H403" s="2332"/>
      <c r="J403" s="2342"/>
      <c r="K403" s="2342"/>
      <c r="L403" s="2342"/>
      <c r="M403" s="2342"/>
      <c r="P403" s="2347" t="s">
        <v>94</v>
      </c>
      <c r="AE403" s="2318"/>
    </row>
    <row r="404" spans="1:31">
      <c r="A404" s="2301"/>
      <c r="D404" s="2337"/>
      <c r="E404" s="2334"/>
      <c r="F404" s="2334"/>
      <c r="G404" s="2337"/>
      <c r="H404" s="2338"/>
      <c r="I404" s="2337"/>
      <c r="J404" s="2337"/>
      <c r="K404" s="2334"/>
      <c r="L404" s="2334"/>
      <c r="M404" s="2334"/>
      <c r="O404" s="2451">
        <f>371687.97-O402</f>
        <v>0</v>
      </c>
      <c r="AE404" s="2318"/>
    </row>
    <row r="405" spans="1:31">
      <c r="A405" s="2425" t="s">
        <v>1370</v>
      </c>
      <c r="D405" s="2337"/>
      <c r="E405" s="2334"/>
      <c r="F405" s="2334"/>
      <c r="G405" s="2337"/>
      <c r="H405" s="2338"/>
      <c r="I405" s="2337"/>
      <c r="J405" s="2337"/>
      <c r="K405" s="2334"/>
      <c r="L405" s="2334"/>
      <c r="M405" s="2334"/>
      <c r="AE405" s="2318"/>
    </row>
    <row r="406" spans="1:31">
      <c r="A406" s="2357" t="s">
        <v>1371</v>
      </c>
      <c r="H406" s="2332"/>
      <c r="J406" s="2342"/>
      <c r="K406" s="2342"/>
      <c r="L406" s="2342"/>
      <c r="M406" s="2342"/>
      <c r="AE406" s="2318"/>
    </row>
    <row r="407" spans="1:31" outlineLevel="1">
      <c r="A407" s="2301"/>
      <c r="B407" s="2302" t="s">
        <v>1372</v>
      </c>
      <c r="D407" s="2342"/>
      <c r="E407" s="2330">
        <v>66.14</v>
      </c>
      <c r="G407" s="2330">
        <v>51.55</v>
      </c>
      <c r="H407" s="2346"/>
      <c r="I407" s="2342"/>
      <c r="J407" s="2342"/>
      <c r="K407" s="2342"/>
      <c r="R407" s="1943">
        <v>1529.2017988</v>
      </c>
      <c r="AE407" s="2318"/>
    </row>
    <row r="408" spans="1:31" outlineLevel="1">
      <c r="A408" s="2301"/>
      <c r="B408" s="2302" t="s">
        <v>1373</v>
      </c>
      <c r="D408" s="2342"/>
      <c r="E408" s="2330">
        <v>1722.38</v>
      </c>
      <c r="G408" s="2330">
        <v>1215.96</v>
      </c>
      <c r="H408" s="2346"/>
      <c r="I408" s="2342"/>
      <c r="J408" s="2342"/>
      <c r="K408" s="2342"/>
      <c r="AE408" s="2318"/>
    </row>
    <row r="409" spans="1:31" outlineLevel="1">
      <c r="A409" s="2301"/>
      <c r="B409" s="2302" t="s">
        <v>1374</v>
      </c>
      <c r="C409" s="2368"/>
      <c r="D409" s="2342"/>
      <c r="E409" s="2330">
        <v>1683.84</v>
      </c>
      <c r="G409" s="2330">
        <v>1506.73</v>
      </c>
      <c r="H409" s="2346"/>
      <c r="I409" s="2342"/>
      <c r="J409" s="2342"/>
      <c r="K409" s="2342"/>
      <c r="N409" s="2347"/>
      <c r="P409" s="2347"/>
      <c r="AE409" s="2318"/>
    </row>
    <row r="410" spans="1:31" outlineLevel="1">
      <c r="A410" s="2301"/>
      <c r="B410" s="2302" t="s">
        <v>1375</v>
      </c>
      <c r="D410" s="2342"/>
      <c r="E410" s="2330">
        <v>278.07</v>
      </c>
      <c r="G410" s="2330">
        <v>201.15</v>
      </c>
      <c r="H410" s="2346"/>
      <c r="I410" s="2342"/>
      <c r="J410" s="2342"/>
      <c r="K410" s="2342"/>
      <c r="L410" s="2342"/>
      <c r="P410" s="2347" t="s">
        <v>94</v>
      </c>
      <c r="AE410" s="2318"/>
    </row>
    <row r="411" spans="1:31" outlineLevel="1">
      <c r="A411" s="2301"/>
      <c r="B411" s="2302" t="s">
        <v>1376</v>
      </c>
      <c r="D411" s="2342"/>
      <c r="E411" s="2330">
        <v>1.07</v>
      </c>
      <c r="G411" s="2330">
        <v>1.1100000000000001</v>
      </c>
      <c r="H411" s="2346"/>
      <c r="I411" s="2342"/>
      <c r="J411" s="2342"/>
      <c r="K411" s="2342"/>
      <c r="N411" s="2347"/>
      <c r="P411" s="2347" t="s">
        <v>94</v>
      </c>
      <c r="AE411" s="2318"/>
    </row>
    <row r="412" spans="1:31" outlineLevel="1">
      <c r="A412" s="2357" t="s">
        <v>1377</v>
      </c>
      <c r="D412" s="2342"/>
      <c r="E412" s="2433">
        <f>D413+D414+D415+D416+D417+D418+D420</f>
        <v>709.9799999999999</v>
      </c>
      <c r="F412" s="2342"/>
      <c r="G412" s="2433">
        <f>SUM(G413:G420)</f>
        <v>677.5100000000001</v>
      </c>
      <c r="H412" s="2346"/>
      <c r="I412" s="2342"/>
      <c r="J412" s="2342"/>
      <c r="AE412" s="2318"/>
    </row>
    <row r="413" spans="1:31" outlineLevel="1">
      <c r="A413" s="2462"/>
      <c r="B413" s="2302" t="s">
        <v>1378</v>
      </c>
      <c r="D413" s="1943">
        <v>134.16999999999999</v>
      </c>
      <c r="F413" s="1943"/>
      <c r="G413" s="2330">
        <v>35.46</v>
      </c>
      <c r="H413" s="2346"/>
      <c r="I413" s="2342"/>
      <c r="J413" s="2342"/>
      <c r="N413" s="2347"/>
      <c r="O413" s="2347"/>
      <c r="P413" s="1943" t="s">
        <v>94</v>
      </c>
      <c r="AE413" s="2318"/>
    </row>
    <row r="414" spans="1:31" outlineLevel="1">
      <c r="A414" s="2462"/>
      <c r="B414" s="2302" t="s">
        <v>1379</v>
      </c>
      <c r="D414" s="1943">
        <v>0</v>
      </c>
      <c r="F414" s="1943"/>
      <c r="G414" s="2330">
        <v>0</v>
      </c>
      <c r="H414" s="2346"/>
      <c r="I414" s="2342"/>
      <c r="J414" s="2342"/>
      <c r="N414" s="2347"/>
      <c r="O414" s="2347"/>
      <c r="AE414" s="2318"/>
    </row>
    <row r="415" spans="1:31" outlineLevel="1">
      <c r="A415" s="2462"/>
      <c r="B415" s="2302" t="s">
        <v>1380</v>
      </c>
      <c r="D415" s="1943">
        <v>2.3199999999999998</v>
      </c>
      <c r="F415" s="1943"/>
      <c r="G415" s="2330">
        <v>1.48</v>
      </c>
      <c r="H415" s="2346"/>
      <c r="I415" s="2342"/>
      <c r="J415" s="2342"/>
      <c r="N415" s="2347"/>
      <c r="O415" s="2347"/>
      <c r="AE415" s="2318"/>
    </row>
    <row r="416" spans="1:31" outlineLevel="1">
      <c r="A416" s="2462"/>
      <c r="B416" s="2302" t="s">
        <v>1381</v>
      </c>
      <c r="D416" s="1943">
        <v>75.66</v>
      </c>
      <c r="F416" s="1943"/>
      <c r="G416" s="2330">
        <v>226.69</v>
      </c>
      <c r="H416" s="2346"/>
      <c r="I416" s="2342"/>
      <c r="J416" s="2342"/>
      <c r="N416" s="2347"/>
      <c r="O416" s="2347"/>
      <c r="AE416" s="2318"/>
    </row>
    <row r="417" spans="1:31" outlineLevel="1">
      <c r="A417" s="2462"/>
      <c r="B417" s="2302" t="s">
        <v>1382</v>
      </c>
      <c r="D417" s="1943">
        <v>365.41</v>
      </c>
      <c r="F417" s="1943"/>
      <c r="G417" s="2330">
        <v>349.32</v>
      </c>
      <c r="H417" s="2346"/>
      <c r="I417" s="2342"/>
      <c r="J417" s="2342"/>
      <c r="N417" s="2347"/>
      <c r="O417" s="2347"/>
      <c r="AE417" s="2318"/>
    </row>
    <row r="418" spans="1:31" ht="31.5" customHeight="1" outlineLevel="1">
      <c r="A418" s="2462"/>
      <c r="B418" s="2302" t="s">
        <v>1383</v>
      </c>
      <c r="D418" s="1943">
        <v>132.12</v>
      </c>
      <c r="F418" s="1943"/>
      <c r="G418" s="2330">
        <v>64.08</v>
      </c>
      <c r="H418" s="2346"/>
      <c r="I418" s="2342"/>
      <c r="J418" s="2342"/>
      <c r="N418" s="2347"/>
      <c r="O418" s="2347"/>
      <c r="AE418" s="2318"/>
    </row>
    <row r="419" spans="1:31" hidden="1" outlineLevel="1">
      <c r="A419" s="2462"/>
      <c r="B419" s="2302" t="s">
        <v>1384</v>
      </c>
      <c r="D419" s="1943"/>
      <c r="F419" s="1943"/>
      <c r="G419" s="2330">
        <v>0</v>
      </c>
      <c r="H419" s="2346"/>
      <c r="I419" s="2342"/>
      <c r="J419" s="2342"/>
      <c r="AE419" s="2318"/>
    </row>
    <row r="420" spans="1:31" outlineLevel="1">
      <c r="A420" s="2434"/>
      <c r="B420" s="2302" t="s">
        <v>1385</v>
      </c>
      <c r="D420" s="2330">
        <v>0.3</v>
      </c>
      <c r="G420" s="2330">
        <v>0.48</v>
      </c>
      <c r="H420" s="2346"/>
      <c r="I420" s="2342"/>
      <c r="J420" s="2342"/>
      <c r="K420" s="2342"/>
      <c r="AE420" s="2318"/>
    </row>
    <row r="421" spans="1:31" ht="15.75" thickBot="1">
      <c r="A421" s="2447"/>
      <c r="B421" s="2463" t="s">
        <v>499</v>
      </c>
      <c r="C421" s="2392"/>
      <c r="D421" s="2371"/>
      <c r="E421" s="2454">
        <f>SUM(E407:E412)</f>
        <v>4461.4800000000005</v>
      </c>
      <c r="F421" s="2371"/>
      <c r="G421" s="2454">
        <f>SUM(G407:G412)</f>
        <v>3654.01</v>
      </c>
      <c r="H421" s="2346"/>
      <c r="I421" s="2342"/>
      <c r="J421" s="2342"/>
      <c r="K421" s="2342"/>
      <c r="N421" s="2347"/>
      <c r="AE421" s="2318"/>
    </row>
    <row r="422" spans="1:31" ht="15.75" thickBot="1">
      <c r="A422" s="2301"/>
      <c r="D422" s="2342"/>
      <c r="H422" s="2346"/>
      <c r="I422" s="2342"/>
      <c r="J422" s="2342"/>
      <c r="AE422" s="2318"/>
    </row>
    <row r="423" spans="1:31" ht="15.75" hidden="1" thickBot="1">
      <c r="A423" s="2301"/>
      <c r="D423" s="2342"/>
      <c r="H423" s="2346"/>
      <c r="I423" s="2342"/>
      <c r="J423" s="2342"/>
      <c r="AE423" s="2318"/>
    </row>
    <row r="424" spans="1:31" ht="15.75" hidden="1" thickBot="1">
      <c r="A424" s="2301"/>
      <c r="D424" s="2342"/>
      <c r="E424" s="2337" t="s">
        <v>1187</v>
      </c>
      <c r="F424" s="2337"/>
      <c r="G424" s="2342" t="s">
        <v>1187</v>
      </c>
      <c r="H424" s="2346"/>
      <c r="I424" s="2342"/>
      <c r="J424" s="2337"/>
      <c r="K424" s="2337"/>
      <c r="L424" s="2334"/>
      <c r="M424" s="2334"/>
      <c r="AE424" s="2318"/>
    </row>
    <row r="425" spans="1:31" ht="15.75" hidden="1" thickBot="1">
      <c r="A425" s="2301"/>
      <c r="D425" s="2342"/>
      <c r="E425" s="2461" t="s">
        <v>1386</v>
      </c>
      <c r="F425" s="2461"/>
      <c r="G425" s="2461" t="s">
        <v>1387</v>
      </c>
      <c r="H425" s="2346"/>
      <c r="I425" s="2342"/>
      <c r="J425" s="2337"/>
      <c r="K425" s="2337"/>
      <c r="L425" s="2334"/>
      <c r="M425" s="2334"/>
      <c r="AE425" s="2318"/>
    </row>
    <row r="426" spans="1:31" ht="15.75" hidden="1" thickBot="1">
      <c r="A426" s="2301"/>
      <c r="E426" s="2337" t="s">
        <v>1131</v>
      </c>
      <c r="F426" s="2337"/>
      <c r="G426" s="2342" t="s">
        <v>1131</v>
      </c>
      <c r="H426" s="2346"/>
      <c r="I426" s="2342"/>
      <c r="J426" s="2337"/>
      <c r="K426" s="2337"/>
      <c r="L426" s="2334"/>
      <c r="M426" s="2334"/>
      <c r="AE426" s="2318"/>
    </row>
    <row r="427" spans="1:31" ht="15.75" hidden="1" thickBot="1">
      <c r="A427" s="2425" t="s">
        <v>1388</v>
      </c>
      <c r="E427" s="2337" t="s">
        <v>1190</v>
      </c>
      <c r="F427" s="2337"/>
      <c r="G427" s="2342" t="s">
        <v>1190</v>
      </c>
      <c r="H427" s="2346"/>
      <c r="I427" s="2342"/>
      <c r="J427" s="2337"/>
      <c r="K427" s="2337"/>
      <c r="L427" s="2334"/>
      <c r="M427" s="2334"/>
      <c r="AE427" s="2318"/>
    </row>
    <row r="428" spans="1:31" ht="15.75" hidden="1" thickBot="1">
      <c r="A428" s="2301"/>
      <c r="D428" s="2342"/>
      <c r="H428" s="2346"/>
      <c r="I428" s="2342"/>
      <c r="J428" s="2342"/>
      <c r="AE428" s="2318"/>
    </row>
    <row r="429" spans="1:31" ht="15.75" hidden="1" outlineLevel="1" thickBot="1">
      <c r="A429" s="2357" t="s">
        <v>1194</v>
      </c>
      <c r="B429" s="2341"/>
      <c r="C429" s="2390"/>
      <c r="D429" s="2342"/>
      <c r="E429" s="2330">
        <v>145423.51</v>
      </c>
      <c r="G429" s="2330">
        <f>11222946461/100000</f>
        <v>112229.46461</v>
      </c>
      <c r="H429" s="2346"/>
      <c r="I429" s="2342"/>
      <c r="J429" s="2342"/>
      <c r="K429" s="2342"/>
      <c r="AE429" s="2318"/>
    </row>
    <row r="430" spans="1:31" ht="15.75" hidden="1" outlineLevel="1" thickBot="1">
      <c r="A430" s="2301"/>
      <c r="D430" s="2342"/>
      <c r="H430" s="2346"/>
      <c r="I430" s="2342"/>
      <c r="J430" s="2342"/>
      <c r="K430" s="2342"/>
      <c r="AE430" s="2318"/>
    </row>
    <row r="431" spans="1:31" ht="15.75" hidden="1" thickBot="1">
      <c r="A431" s="2301"/>
      <c r="B431" s="2354" t="s">
        <v>499</v>
      </c>
      <c r="D431" s="2342"/>
      <c r="E431" s="2342">
        <f>+E429</f>
        <v>145423.51</v>
      </c>
      <c r="F431" s="2342"/>
      <c r="G431" s="2342">
        <f>SUM(G429:G430)</f>
        <v>112229.46461</v>
      </c>
      <c r="H431" s="2346"/>
      <c r="I431" s="2342"/>
      <c r="J431" s="2342"/>
      <c r="K431" s="2342"/>
      <c r="AE431" s="2318"/>
    </row>
    <row r="432" spans="1:31" ht="15.75" hidden="1" thickBot="1">
      <c r="A432" s="2301"/>
      <c r="D432" s="2342"/>
      <c r="H432" s="2346"/>
      <c r="I432" s="2342"/>
      <c r="J432" s="2342"/>
      <c r="AE432" s="2318"/>
    </row>
    <row r="433" spans="1:31" ht="15.75" hidden="1" thickBot="1">
      <c r="A433" s="2301"/>
      <c r="D433" s="2342"/>
      <c r="H433" s="2346"/>
      <c r="I433" s="2342"/>
      <c r="J433" s="2342"/>
      <c r="AE433" s="2318"/>
    </row>
    <row r="434" spans="1:31" ht="15.75" hidden="1" thickBot="1">
      <c r="A434" s="2301"/>
      <c r="D434" s="2342"/>
      <c r="H434" s="2346"/>
      <c r="I434" s="2342"/>
      <c r="J434" s="2342"/>
      <c r="AE434" s="2318"/>
    </row>
    <row r="435" spans="1:31" ht="15.75" thickBot="1">
      <c r="A435" s="2464"/>
      <c r="B435" s="2465"/>
      <c r="C435" s="2448"/>
      <c r="D435" s="2450"/>
      <c r="E435" s="2449"/>
      <c r="F435" s="2449"/>
      <c r="G435" s="2450"/>
      <c r="H435" s="2346"/>
      <c r="I435" s="2342"/>
      <c r="J435" s="2342"/>
      <c r="AE435" s="2318"/>
    </row>
    <row r="436" spans="1:31">
      <c r="A436" s="2301"/>
      <c r="D436" s="2342"/>
      <c r="E436" s="2337" t="s">
        <v>1187</v>
      </c>
      <c r="F436" s="2337"/>
      <c r="G436" s="2342" t="s">
        <v>1187</v>
      </c>
      <c r="H436" s="2346"/>
      <c r="I436" s="2342"/>
      <c r="J436" s="2337"/>
      <c r="K436" s="2337"/>
      <c r="L436" s="2334"/>
      <c r="M436" s="2334"/>
      <c r="N436" s="2339"/>
      <c r="AE436" s="2318"/>
    </row>
    <row r="437" spans="1:31">
      <c r="A437" s="2301"/>
      <c r="D437" s="2342"/>
      <c r="E437" s="2461" t="s">
        <v>1188</v>
      </c>
      <c r="F437" s="2461"/>
      <c r="G437" s="2461" t="s">
        <v>1189</v>
      </c>
      <c r="H437" s="2346"/>
      <c r="I437" s="2342"/>
      <c r="J437" s="2337"/>
      <c r="K437" s="2337"/>
      <c r="L437" s="2334"/>
      <c r="M437" s="2334"/>
      <c r="N437" s="2339"/>
      <c r="AE437" s="2318"/>
    </row>
    <row r="438" spans="1:31">
      <c r="A438" s="2301"/>
      <c r="D438" s="2337"/>
      <c r="E438" s="2337" t="s">
        <v>1131</v>
      </c>
      <c r="F438" s="2337"/>
      <c r="G438" s="2337" t="s">
        <v>1131</v>
      </c>
      <c r="H438" s="2338"/>
      <c r="I438" s="2337"/>
      <c r="J438" s="2337"/>
      <c r="K438" s="2337"/>
      <c r="L438" s="2334"/>
      <c r="M438" s="2334"/>
      <c r="N438" s="2339"/>
      <c r="AE438" s="2318"/>
    </row>
    <row r="439" spans="1:31">
      <c r="A439" s="2425"/>
      <c r="B439" s="2466"/>
      <c r="D439" s="2337"/>
      <c r="E439" s="2337" t="s">
        <v>1133</v>
      </c>
      <c r="F439" s="2337"/>
      <c r="G439" s="2337" t="s">
        <v>1190</v>
      </c>
      <c r="H439" s="2338"/>
      <c r="I439" s="2337"/>
      <c r="J439" s="2337"/>
      <c r="K439" s="2337"/>
      <c r="L439" s="2334"/>
      <c r="M439" s="2334"/>
      <c r="N439" s="2339"/>
      <c r="AE439" s="2318"/>
    </row>
    <row r="440" spans="1:31">
      <c r="A440" s="2425" t="s">
        <v>1388</v>
      </c>
      <c r="B440" s="2466"/>
      <c r="D440" s="2342"/>
      <c r="H440" s="2346"/>
      <c r="I440" s="2342"/>
      <c r="J440" s="2342"/>
      <c r="N440" s="2339"/>
      <c r="AE440" s="2318"/>
    </row>
    <row r="441" spans="1:31">
      <c r="A441" s="2357" t="s">
        <v>1389</v>
      </c>
      <c r="C441" s="2356"/>
      <c r="D441" s="2342"/>
      <c r="H441" s="2346"/>
      <c r="I441" s="2342"/>
      <c r="J441" s="2342"/>
      <c r="N441" s="2339"/>
      <c r="P441" s="2459"/>
      <c r="AE441" s="2318"/>
    </row>
    <row r="442" spans="1:31" hidden="1">
      <c r="A442" s="2301"/>
      <c r="D442" s="2342"/>
      <c r="H442" s="2346"/>
      <c r="I442" s="2342"/>
      <c r="J442" s="2342"/>
      <c r="K442" s="2342"/>
      <c r="N442" s="2339"/>
      <c r="O442" s="2390"/>
      <c r="P442" s="2390"/>
      <c r="AE442" s="2318"/>
    </row>
    <row r="443" spans="1:31" hidden="1" outlineLevel="1">
      <c r="A443" s="2301"/>
      <c r="H443" s="2332"/>
      <c r="AE443" s="2318"/>
    </row>
    <row r="444" spans="1:31" outlineLevel="1">
      <c r="A444" s="2301" t="s">
        <v>1390</v>
      </c>
      <c r="D444" s="2342"/>
      <c r="E444" s="2330">
        <v>4626.07</v>
      </c>
      <c r="G444" s="2330">
        <v>3888.85</v>
      </c>
      <c r="H444" s="2346"/>
      <c r="I444" s="2342"/>
      <c r="J444" s="2342"/>
      <c r="K444" s="2342"/>
      <c r="N444" s="2467"/>
      <c r="O444" s="2390"/>
      <c r="P444" s="2349"/>
      <c r="AE444" s="2318"/>
    </row>
    <row r="445" spans="1:31" hidden="1" outlineLevel="1">
      <c r="A445" s="2301"/>
      <c r="D445" s="2342"/>
      <c r="G445" s="2330">
        <v>0</v>
      </c>
      <c r="H445" s="2346"/>
      <c r="I445" s="2342"/>
      <c r="J445" s="2342"/>
      <c r="K445" s="2342"/>
      <c r="N445" s="2467"/>
      <c r="O445" s="2390"/>
      <c r="P445" s="2390"/>
      <c r="AE445" s="2318"/>
    </row>
    <row r="446" spans="1:31" hidden="1" outlineLevel="1">
      <c r="A446" s="2301"/>
      <c r="C446" s="2390"/>
      <c r="D446" s="2342"/>
      <c r="G446" s="2330">
        <v>0</v>
      </c>
      <c r="H446" s="2346"/>
      <c r="I446" s="2342"/>
      <c r="J446" s="2342"/>
      <c r="K446" s="2342"/>
      <c r="N446" s="2467"/>
      <c r="O446" s="2390"/>
      <c r="P446" s="2390"/>
      <c r="AE446" s="2318"/>
    </row>
    <row r="447" spans="1:31" hidden="1" outlineLevel="1">
      <c r="A447" s="2301"/>
      <c r="C447" s="2390"/>
      <c r="D447" s="2342"/>
      <c r="G447" s="2330">
        <v>0</v>
      </c>
      <c r="H447" s="2346"/>
      <c r="I447" s="2342"/>
      <c r="J447" s="2342"/>
      <c r="N447" s="2467"/>
      <c r="O447" s="2390"/>
      <c r="P447" s="2390"/>
      <c r="AE447" s="2318"/>
    </row>
    <row r="448" spans="1:31" outlineLevel="1">
      <c r="A448" s="2301"/>
      <c r="C448" s="2390"/>
      <c r="D448" s="2342"/>
      <c r="G448" s="2330"/>
      <c r="H448" s="2346"/>
      <c r="I448" s="2342"/>
      <c r="J448" s="2342"/>
      <c r="N448" s="2467"/>
      <c r="O448" s="2390"/>
      <c r="P448" s="2390"/>
      <c r="Q448" s="2390"/>
      <c r="AE448" s="2318"/>
    </row>
    <row r="449" spans="1:31" outlineLevel="1">
      <c r="A449" s="2357" t="s">
        <v>1391</v>
      </c>
      <c r="C449" s="2390"/>
      <c r="D449" s="2342"/>
      <c r="G449" s="2330"/>
      <c r="H449" s="2346"/>
      <c r="I449" s="2342"/>
      <c r="J449" s="2342"/>
      <c r="N449" s="2467"/>
      <c r="O449" s="2390"/>
      <c r="P449" s="2390"/>
      <c r="AE449" s="2318"/>
    </row>
    <row r="450" spans="1:31" outlineLevel="1">
      <c r="A450" s="2468" t="s">
        <v>1392</v>
      </c>
      <c r="D450" s="2342"/>
      <c r="E450" s="2330">
        <v>28419.7</v>
      </c>
      <c r="G450" s="2330">
        <v>23957.82</v>
      </c>
      <c r="H450" s="2346"/>
      <c r="I450" s="2342"/>
      <c r="J450" s="2342"/>
      <c r="K450" s="2342"/>
      <c r="N450" s="2467"/>
      <c r="O450" s="2351"/>
      <c r="P450" s="2390"/>
      <c r="AE450" s="2318"/>
    </row>
    <row r="451" spans="1:31" hidden="1" outlineLevel="1">
      <c r="A451" s="2301"/>
      <c r="C451" s="2347"/>
      <c r="D451" s="2342"/>
      <c r="G451" s="2330">
        <v>0</v>
      </c>
      <c r="H451" s="2346"/>
      <c r="I451" s="2342"/>
      <c r="J451" s="2342"/>
      <c r="K451" s="2342"/>
      <c r="N451" s="2467"/>
      <c r="O451" s="2390"/>
      <c r="P451" s="2390"/>
      <c r="AE451" s="2318"/>
    </row>
    <row r="452" spans="1:31" hidden="1" outlineLevel="1">
      <c r="A452" s="2301"/>
      <c r="D452" s="2342"/>
      <c r="G452" s="2330">
        <v>0</v>
      </c>
      <c r="H452" s="2346"/>
      <c r="I452" s="2342"/>
      <c r="J452" s="2342"/>
      <c r="K452" s="2342"/>
      <c r="N452" s="2467"/>
      <c r="O452" s="2390"/>
      <c r="P452" s="2390"/>
      <c r="AE452" s="2318"/>
    </row>
    <row r="453" spans="1:31" hidden="1" outlineLevel="1">
      <c r="A453" s="2301" t="s">
        <v>1393</v>
      </c>
      <c r="D453" s="2342"/>
      <c r="G453" s="2330">
        <v>0</v>
      </c>
      <c r="H453" s="2346"/>
      <c r="I453" s="2342"/>
      <c r="J453" s="2342"/>
      <c r="K453" s="2342"/>
      <c r="N453" s="2467"/>
      <c r="O453" s="2390"/>
      <c r="P453" s="2390"/>
      <c r="Q453" s="2390"/>
      <c r="AE453" s="2318"/>
    </row>
    <row r="454" spans="1:31" hidden="1" outlineLevel="1">
      <c r="A454" s="2301" t="s">
        <v>1394</v>
      </c>
      <c r="C454" s="2347"/>
      <c r="D454" s="2342"/>
      <c r="G454" s="2330">
        <v>0</v>
      </c>
      <c r="H454" s="2346"/>
      <c r="I454" s="2342"/>
      <c r="J454" s="2342"/>
      <c r="N454" s="2467"/>
      <c r="O454" s="2390"/>
      <c r="P454" s="2390"/>
      <c r="AE454" s="2318"/>
    </row>
    <row r="455" spans="1:31" outlineLevel="1">
      <c r="A455" s="2301" t="s">
        <v>1395</v>
      </c>
      <c r="D455" s="2342"/>
      <c r="E455" s="2330">
        <v>13870.9</v>
      </c>
      <c r="G455" s="2330">
        <v>9625.26</v>
      </c>
      <c r="H455" s="2346"/>
      <c r="I455" s="2342"/>
      <c r="J455" s="2342"/>
      <c r="K455" s="2342"/>
      <c r="N455" s="2330"/>
      <c r="O455" s="2351"/>
      <c r="P455" s="2390"/>
      <c r="AE455" s="2318"/>
    </row>
    <row r="456" spans="1:31" hidden="1" outlineLevel="1">
      <c r="A456" s="2301" t="s">
        <v>1396</v>
      </c>
      <c r="D456" s="2342"/>
      <c r="G456" s="2330">
        <v>0</v>
      </c>
      <c r="H456" s="2346"/>
      <c r="I456" s="2342"/>
      <c r="J456" s="2342"/>
      <c r="N456" s="2467"/>
      <c r="O456" s="2390"/>
      <c r="P456" s="2390"/>
      <c r="AE456" s="2318"/>
    </row>
    <row r="457" spans="1:31" hidden="1" outlineLevel="1">
      <c r="A457" s="2301" t="s">
        <v>1397</v>
      </c>
      <c r="D457" s="2342"/>
      <c r="G457" s="2330">
        <v>0</v>
      </c>
      <c r="H457" s="2346"/>
      <c r="I457" s="2342"/>
      <c r="J457" s="2342"/>
      <c r="N457" s="2467"/>
      <c r="O457" s="2390"/>
      <c r="P457" s="2390"/>
      <c r="AE457" s="2318"/>
    </row>
    <row r="458" spans="1:31" outlineLevel="1">
      <c r="A458" s="2357" t="s">
        <v>1398</v>
      </c>
      <c r="D458" s="2342"/>
      <c r="E458" s="2330">
        <v>5335.98</v>
      </c>
      <c r="G458" s="2330">
        <v>4727.12</v>
      </c>
      <c r="H458" s="2346"/>
      <c r="I458" s="2342"/>
      <c r="J458" s="2342"/>
      <c r="K458" s="2342"/>
      <c r="N458" s="2467"/>
      <c r="O458" s="2390"/>
      <c r="P458" s="2390"/>
      <c r="AE458" s="2318"/>
    </row>
    <row r="459" spans="1:31" hidden="1" outlineLevel="1">
      <c r="A459" s="2301"/>
      <c r="B459" s="2302" t="s">
        <v>1399</v>
      </c>
      <c r="C459" s="2469"/>
      <c r="D459" s="2342">
        <f>10212749/100000</f>
        <v>102.12748999999999</v>
      </c>
      <c r="E459" s="2330">
        <f>9298039/100000</f>
        <v>92.98039</v>
      </c>
      <c r="G459" s="2330">
        <f>9298039/100000</f>
        <v>92.98039</v>
      </c>
      <c r="H459" s="2346"/>
      <c r="I459" s="2342"/>
      <c r="N459" s="2467" t="s">
        <v>94</v>
      </c>
      <c r="O459" s="2390"/>
      <c r="P459" s="2390"/>
      <c r="AE459" s="2318"/>
    </row>
    <row r="460" spans="1:31" hidden="1" outlineLevel="1">
      <c r="A460" s="2301"/>
      <c r="B460" s="2302" t="s">
        <v>1400</v>
      </c>
      <c r="C460" s="2469"/>
      <c r="D460" s="2342">
        <f>1216830/100000</f>
        <v>12.1683</v>
      </c>
      <c r="E460" s="2330">
        <f>1209566/100000</f>
        <v>12.095660000000001</v>
      </c>
      <c r="G460" s="2330">
        <f>1209566/100000</f>
        <v>12.095660000000001</v>
      </c>
      <c r="H460" s="2346"/>
      <c r="I460" s="2342"/>
      <c r="N460" s="2467"/>
      <c r="O460" s="2390"/>
      <c r="P460" s="2390"/>
      <c r="AE460" s="2318"/>
    </row>
    <row r="461" spans="1:31" hidden="1" outlineLevel="1">
      <c r="A461" s="2301"/>
      <c r="B461" s="2302" t="s">
        <v>1401</v>
      </c>
      <c r="C461" s="2469"/>
      <c r="D461" s="2342">
        <f>8672713/100000</f>
        <v>86.727130000000002</v>
      </c>
      <c r="E461" s="2330">
        <f>8596625/100000</f>
        <v>85.966250000000002</v>
      </c>
      <c r="G461" s="2330">
        <f>8596625/100000</f>
        <v>85.966250000000002</v>
      </c>
      <c r="H461" s="2346"/>
      <c r="I461" s="2342"/>
      <c r="N461" s="2467"/>
      <c r="O461" s="2390"/>
      <c r="P461" s="2390"/>
      <c r="AE461" s="2318"/>
    </row>
    <row r="462" spans="1:31" hidden="1" outlineLevel="1">
      <c r="A462" s="2301"/>
      <c r="B462" s="2302" t="s">
        <v>1402</v>
      </c>
      <c r="C462" s="2469"/>
      <c r="D462" s="2342">
        <f>(12494180+73136)/100000</f>
        <v>125.67316</v>
      </c>
      <c r="E462" s="2330">
        <f>(12541192+29301)/100000</f>
        <v>125.70493</v>
      </c>
      <c r="G462" s="2330">
        <f>(12541192+29301)/100000</f>
        <v>125.70493</v>
      </c>
      <c r="H462" s="2346"/>
      <c r="I462" s="2342"/>
      <c r="N462" s="2467"/>
      <c r="O462" s="2390"/>
      <c r="P462" s="2390"/>
      <c r="AE462" s="2318"/>
    </row>
    <row r="463" spans="1:31" hidden="1" outlineLevel="1">
      <c r="A463" s="2301"/>
      <c r="B463" s="2302" t="s">
        <v>1403</v>
      </c>
      <c r="C463" s="2469"/>
      <c r="D463" s="2342">
        <f>2736198/100000</f>
        <v>27.361979999999999</v>
      </c>
      <c r="E463" s="2330">
        <f>2780836/100000</f>
        <v>27.80836</v>
      </c>
      <c r="G463" s="2330">
        <f>2780836/100000</f>
        <v>27.80836</v>
      </c>
      <c r="H463" s="2346"/>
      <c r="I463" s="2342"/>
      <c r="N463" s="2467"/>
      <c r="O463" s="2390"/>
      <c r="P463" s="2390"/>
      <c r="AE463" s="2318"/>
    </row>
    <row r="464" spans="1:31" hidden="1" outlineLevel="1">
      <c r="A464" s="2301"/>
      <c r="B464" s="2302" t="s">
        <v>1404</v>
      </c>
      <c r="C464" s="2469"/>
      <c r="D464" s="2342">
        <f>7597742/100000</f>
        <v>75.977419999999995</v>
      </c>
      <c r="E464" s="2330">
        <f>7587369/100000</f>
        <v>75.873689999999996</v>
      </c>
      <c r="G464" s="2330">
        <f>7587369/100000</f>
        <v>75.873689999999996</v>
      </c>
      <c r="H464" s="2346"/>
      <c r="I464" s="2342"/>
      <c r="N464" s="2467"/>
      <c r="O464" s="2390"/>
      <c r="P464" s="2390"/>
      <c r="AE464" s="2318"/>
    </row>
    <row r="465" spans="1:31" hidden="1" outlineLevel="1">
      <c r="A465" s="2301"/>
      <c r="B465" s="2302" t="s">
        <v>1405</v>
      </c>
      <c r="C465" s="2469"/>
      <c r="D465" s="2342">
        <f>42817345/100000</f>
        <v>428.17345</v>
      </c>
      <c r="E465" s="2330">
        <f>38815256/100000</f>
        <v>388.15255999999999</v>
      </c>
      <c r="G465" s="2330">
        <f>38815256/100000</f>
        <v>388.15255999999999</v>
      </c>
      <c r="H465" s="2346"/>
      <c r="I465" s="2342"/>
      <c r="N465" s="2467"/>
      <c r="O465" s="2390"/>
      <c r="P465" s="2390"/>
      <c r="AE465" s="2318"/>
    </row>
    <row r="466" spans="1:31" hidden="1" outlineLevel="1">
      <c r="A466" s="2301"/>
      <c r="B466" s="2302" t="s">
        <v>1406</v>
      </c>
      <c r="C466" s="2469"/>
      <c r="D466" s="2342">
        <f>5473193/100000</f>
        <v>54.731929999999998</v>
      </c>
      <c r="E466" s="2330">
        <f>5696358/100000</f>
        <v>56.96358</v>
      </c>
      <c r="G466" s="2330">
        <f>5696358/100000</f>
        <v>56.96358</v>
      </c>
      <c r="H466" s="2346"/>
      <c r="I466" s="2342"/>
      <c r="N466" s="2467"/>
      <c r="O466" s="2390"/>
      <c r="P466" s="2390"/>
      <c r="AE466" s="2318"/>
    </row>
    <row r="467" spans="1:31" hidden="1" outlineLevel="1">
      <c r="A467" s="2301"/>
      <c r="B467" s="2302" t="s">
        <v>1407</v>
      </c>
      <c r="C467" s="2469"/>
      <c r="D467" s="2342">
        <f>10548548/100000</f>
        <v>105.48548</v>
      </c>
      <c r="E467" s="2330">
        <f>10740399/100000</f>
        <v>107.40398999999999</v>
      </c>
      <c r="G467" s="2330">
        <f>10740399/100000</f>
        <v>107.40398999999999</v>
      </c>
      <c r="H467" s="2346"/>
      <c r="I467" s="2342"/>
      <c r="N467" s="2467"/>
      <c r="O467" s="2390"/>
      <c r="P467" s="2390"/>
      <c r="AE467" s="2318"/>
    </row>
    <row r="468" spans="1:31" hidden="1" outlineLevel="1">
      <c r="A468" s="2301"/>
      <c r="B468" s="2302" t="s">
        <v>1408</v>
      </c>
      <c r="C468" s="2469"/>
      <c r="D468" s="2342">
        <f>5738223/100000</f>
        <v>57.38223</v>
      </c>
      <c r="E468" s="2330">
        <f>5922608/100000</f>
        <v>59.226080000000003</v>
      </c>
      <c r="G468" s="2330">
        <f>5922608/100000</f>
        <v>59.226080000000003</v>
      </c>
      <c r="H468" s="2346"/>
      <c r="I468" s="2342"/>
      <c r="N468" s="2467"/>
      <c r="O468" s="2390"/>
      <c r="P468" s="2390"/>
      <c r="AE468" s="2318"/>
    </row>
    <row r="469" spans="1:31" hidden="1" outlineLevel="1">
      <c r="A469" s="2301"/>
      <c r="B469" s="2302" t="s">
        <v>1409</v>
      </c>
      <c r="C469" s="2469"/>
      <c r="D469" s="2342">
        <f>19647182/100000</f>
        <v>196.47182000000001</v>
      </c>
      <c r="E469" s="2330">
        <f>19882363/100000</f>
        <v>198.82363000000001</v>
      </c>
      <c r="G469" s="2330">
        <f>19882363/100000</f>
        <v>198.82363000000001</v>
      </c>
      <c r="H469" s="2346"/>
      <c r="I469" s="2342"/>
      <c r="N469" s="2467"/>
      <c r="O469" s="2390"/>
      <c r="P469" s="2390"/>
      <c r="AE469" s="2318"/>
    </row>
    <row r="470" spans="1:31" hidden="1" outlineLevel="1">
      <c r="A470" s="2301"/>
      <c r="B470" s="2302" t="s">
        <v>1410</v>
      </c>
      <c r="C470" s="2469"/>
      <c r="D470" s="2342">
        <f>1272396/100000</f>
        <v>12.72396</v>
      </c>
      <c r="E470" s="2330">
        <f>1315487/100000</f>
        <v>13.154870000000001</v>
      </c>
      <c r="G470" s="2330">
        <f>1315487/100000</f>
        <v>13.154870000000001</v>
      </c>
      <c r="H470" s="2346"/>
      <c r="I470" s="2342"/>
      <c r="N470" s="2467"/>
      <c r="O470" s="2390"/>
      <c r="P470" s="2390"/>
      <c r="AE470" s="2318"/>
    </row>
    <row r="471" spans="1:31" hidden="1" outlineLevel="1">
      <c r="A471" s="2301"/>
      <c r="B471" s="2302" t="s">
        <v>1411</v>
      </c>
      <c r="C471" s="2469"/>
      <c r="D471" s="2342">
        <f>1760391/100000</f>
        <v>17.603909999999999</v>
      </c>
      <c r="E471" s="2330">
        <f>1919372/100000</f>
        <v>19.193719999999999</v>
      </c>
      <c r="G471" s="2330">
        <f>1919372/100000</f>
        <v>19.193719999999999</v>
      </c>
      <c r="H471" s="2346"/>
      <c r="I471" s="2342"/>
      <c r="N471" s="2467"/>
      <c r="O471" s="2390"/>
      <c r="P471" s="2390"/>
      <c r="AE471" s="2318"/>
    </row>
    <row r="472" spans="1:31" hidden="1" outlineLevel="1">
      <c r="A472" s="2301"/>
      <c r="B472" s="2302" t="s">
        <v>1412</v>
      </c>
      <c r="C472" s="2469"/>
      <c r="D472" s="2342">
        <f>12975157/100000</f>
        <v>129.75156999999999</v>
      </c>
      <c r="E472" s="2330">
        <f>12190211/100000</f>
        <v>121.90210999999999</v>
      </c>
      <c r="G472" s="2330">
        <f>12190211/100000</f>
        <v>121.90210999999999</v>
      </c>
      <c r="H472" s="2346"/>
      <c r="I472" s="2342"/>
      <c r="N472" s="2467"/>
      <c r="O472" s="2390"/>
      <c r="P472" s="2390"/>
      <c r="AE472" s="2318"/>
    </row>
    <row r="473" spans="1:31" hidden="1" outlineLevel="1">
      <c r="A473" s="2301"/>
      <c r="B473" s="2302" t="s">
        <v>1413</v>
      </c>
      <c r="C473" s="2469"/>
      <c r="D473" s="2342">
        <f>1032271/100000</f>
        <v>10.322710000000001</v>
      </c>
      <c r="E473" s="2330">
        <f>1235155/100000</f>
        <v>12.35155</v>
      </c>
      <c r="G473" s="2330">
        <f>1235155/100000</f>
        <v>12.35155</v>
      </c>
      <c r="H473" s="2346"/>
      <c r="I473" s="2342"/>
      <c r="N473" s="2467"/>
      <c r="O473" s="2390"/>
      <c r="P473" s="2390"/>
      <c r="AE473" s="2318"/>
    </row>
    <row r="474" spans="1:31" hidden="1" outlineLevel="1">
      <c r="A474" s="2301"/>
      <c r="B474" s="2302" t="s">
        <v>1414</v>
      </c>
      <c r="C474" s="2469"/>
      <c r="D474" s="2342">
        <f>36655572/100000</f>
        <v>366.55572000000001</v>
      </c>
      <c r="E474" s="2330">
        <f>49941478/100000</f>
        <v>499.41478000000001</v>
      </c>
      <c r="G474" s="2330">
        <f>49941478/100000</f>
        <v>499.41478000000001</v>
      </c>
      <c r="H474" s="2346"/>
      <c r="I474" s="2342"/>
      <c r="N474" s="2467"/>
      <c r="O474" s="2390"/>
      <c r="P474" s="2390"/>
      <c r="AE474" s="2318"/>
    </row>
    <row r="475" spans="1:31" hidden="1" outlineLevel="1">
      <c r="A475" s="2301"/>
      <c r="B475" s="2302" t="s">
        <v>1415</v>
      </c>
      <c r="C475" s="2469"/>
      <c r="D475" s="2342">
        <f>0/100000</f>
        <v>0</v>
      </c>
      <c r="E475" s="2330">
        <f>2494823/100000</f>
        <v>24.948229999999999</v>
      </c>
      <c r="G475" s="2330">
        <f>2494823/100000</f>
        <v>24.948229999999999</v>
      </c>
      <c r="H475" s="2346"/>
      <c r="I475" s="2342"/>
      <c r="N475" s="2467"/>
      <c r="O475" s="2390"/>
      <c r="P475" s="2390"/>
      <c r="AE475" s="2318"/>
    </row>
    <row r="476" spans="1:31" hidden="1" outlineLevel="1">
      <c r="A476" s="2301"/>
      <c r="B476" s="2302" t="s">
        <v>1416</v>
      </c>
      <c r="C476" s="2469"/>
      <c r="D476" s="2342">
        <f>4042986/100000</f>
        <v>40.429859999999998</v>
      </c>
      <c r="E476" s="2330">
        <f>13441/100000</f>
        <v>0.13441</v>
      </c>
      <c r="G476" s="2330">
        <f>13441/100000</f>
        <v>0.13441</v>
      </c>
      <c r="H476" s="2346"/>
      <c r="I476" s="2342"/>
      <c r="N476" s="2467"/>
      <c r="O476" s="2390"/>
      <c r="P476" s="2390"/>
      <c r="AE476" s="2318"/>
    </row>
    <row r="477" spans="1:31" hidden="1" outlineLevel="1">
      <c r="A477" s="2301"/>
      <c r="B477" s="2302" t="s">
        <v>1417</v>
      </c>
      <c r="C477" s="2469"/>
      <c r="D477" s="2342">
        <f>4200/100000</f>
        <v>4.2000000000000003E-2</v>
      </c>
      <c r="E477" s="2330">
        <f>4225/100000</f>
        <v>4.2250000000000003E-2</v>
      </c>
      <c r="G477" s="2330">
        <f>4225/100000</f>
        <v>4.2250000000000003E-2</v>
      </c>
      <c r="H477" s="2346"/>
      <c r="I477" s="2342"/>
      <c r="N477" s="2467"/>
      <c r="AE477" s="2318"/>
    </row>
    <row r="478" spans="1:31" hidden="1" outlineLevel="1">
      <c r="A478" s="2301"/>
      <c r="B478" s="2302" t="s">
        <v>1399</v>
      </c>
      <c r="C478" s="2469"/>
      <c r="D478" s="2342">
        <f>1688395/100000</f>
        <v>16.883949999999999</v>
      </c>
      <c r="E478" s="2330">
        <f>1674978/100000</f>
        <v>16.749780000000001</v>
      </c>
      <c r="G478" s="2330">
        <f>1674978/100000</f>
        <v>16.749780000000001</v>
      </c>
      <c r="H478" s="2346"/>
      <c r="I478" s="2342"/>
      <c r="N478" s="2467"/>
      <c r="AE478" s="2318"/>
    </row>
    <row r="479" spans="1:31" hidden="1" outlineLevel="1">
      <c r="A479" s="2301"/>
      <c r="B479" s="2302" t="s">
        <v>1400</v>
      </c>
      <c r="C479" s="2469"/>
      <c r="D479" s="2342">
        <f>270520/100000</f>
        <v>2.7052</v>
      </c>
      <c r="E479" s="2330">
        <f>371549/100000</f>
        <v>3.71549</v>
      </c>
      <c r="G479" s="2330">
        <f>371549/100000</f>
        <v>3.71549</v>
      </c>
      <c r="H479" s="2346"/>
      <c r="I479" s="2342"/>
      <c r="N479" s="2467"/>
      <c r="AE479" s="2318"/>
    </row>
    <row r="480" spans="1:31" hidden="1" outlineLevel="1">
      <c r="A480" s="2301"/>
      <c r="B480" s="2302" t="s">
        <v>1401</v>
      </c>
      <c r="C480" s="2469"/>
      <c r="D480" s="2342">
        <f>301474/100000</f>
        <v>3.0147400000000002</v>
      </c>
      <c r="E480" s="2330">
        <f>171238/100000</f>
        <v>1.71238</v>
      </c>
      <c r="G480" s="2330">
        <f>171238/100000</f>
        <v>1.71238</v>
      </c>
      <c r="H480" s="2346"/>
      <c r="I480" s="2342"/>
      <c r="N480" s="2467"/>
      <c r="AE480" s="2318"/>
    </row>
    <row r="481" spans="1:31" hidden="1" outlineLevel="1">
      <c r="A481" s="2301"/>
      <c r="B481" s="2302" t="s">
        <v>1403</v>
      </c>
      <c r="C481" s="2469"/>
      <c r="D481" s="2342">
        <f>25489/100000</f>
        <v>0.25489000000000001</v>
      </c>
      <c r="E481" s="2330">
        <f>24332/100000</f>
        <v>0.24332000000000001</v>
      </c>
      <c r="G481" s="2330">
        <f>24332/100000</f>
        <v>0.24332000000000001</v>
      </c>
      <c r="H481" s="2346"/>
      <c r="I481" s="2342"/>
      <c r="N481" s="2467"/>
      <c r="AE481" s="2318"/>
    </row>
    <row r="482" spans="1:31" hidden="1" outlineLevel="1">
      <c r="A482" s="2301"/>
      <c r="B482" s="2302" t="s">
        <v>1404</v>
      </c>
      <c r="C482" s="2469"/>
      <c r="D482" s="2342">
        <f>486181/100000+(9238606.49-2231232.6)*0.45/100000</f>
        <v>36.394992505000005</v>
      </c>
      <c r="E482" s="2330">
        <f>725052/100000+(1203007.77*0.45/100000)</f>
        <v>12.664054965</v>
      </c>
      <c r="G482" s="2330">
        <f>725052/100000+(1203007.77*0.45/100000)</f>
        <v>12.664054965</v>
      </c>
      <c r="H482" s="2346"/>
      <c r="I482" s="2342"/>
      <c r="N482" s="2467"/>
      <c r="AE482" s="2318"/>
    </row>
    <row r="483" spans="1:31" hidden="1" outlineLevel="1">
      <c r="A483" s="2301"/>
      <c r="B483" s="2302" t="s">
        <v>1405</v>
      </c>
      <c r="C483" s="2469"/>
      <c r="D483" s="2342">
        <f>462171/100000</f>
        <v>4.6217100000000002</v>
      </c>
      <c r="E483" s="2330">
        <f>337685/100000</f>
        <v>3.3768500000000001</v>
      </c>
      <c r="G483" s="2330">
        <f>337685/100000</f>
        <v>3.3768500000000001</v>
      </c>
      <c r="H483" s="2346"/>
      <c r="I483" s="2342"/>
      <c r="N483" s="2467"/>
      <c r="AE483" s="2318"/>
    </row>
    <row r="484" spans="1:31" hidden="1" outlineLevel="1">
      <c r="A484" s="2301"/>
      <c r="B484" s="2302" t="s">
        <v>1406</v>
      </c>
      <c r="C484" s="2469"/>
      <c r="D484" s="2342">
        <f>930522/100000</f>
        <v>9.3052200000000003</v>
      </c>
      <c r="E484" s="2330">
        <f>1062730/100000</f>
        <v>10.6273</v>
      </c>
      <c r="G484" s="2330">
        <f>1062730/100000</f>
        <v>10.6273</v>
      </c>
      <c r="H484" s="2346"/>
      <c r="I484" s="2342"/>
      <c r="N484" s="2467"/>
      <c r="AE484" s="2318"/>
    </row>
    <row r="485" spans="1:31" hidden="1" outlineLevel="1">
      <c r="A485" s="2301"/>
      <c r="B485" s="2302" t="s">
        <v>1407</v>
      </c>
      <c r="C485" s="2469"/>
      <c r="D485" s="2342">
        <f>251309/100000</f>
        <v>2.51309</v>
      </c>
      <c r="E485" s="2330">
        <f>203838/100000</f>
        <v>2.0383800000000001</v>
      </c>
      <c r="G485" s="2330">
        <f>203838/100000</f>
        <v>2.0383800000000001</v>
      </c>
      <c r="H485" s="2346"/>
      <c r="I485" s="2342"/>
      <c r="N485" s="2467"/>
      <c r="AE485" s="2318"/>
    </row>
    <row r="486" spans="1:31" hidden="1" outlineLevel="1">
      <c r="A486" s="2301"/>
      <c r="B486" s="2302" t="s">
        <v>1408</v>
      </c>
      <c r="C486" s="2469"/>
      <c r="D486" s="2342">
        <f>25188/100000</f>
        <v>0.25187999999999999</v>
      </c>
      <c r="E486" s="2330">
        <f>24315/100000</f>
        <v>0.24315000000000001</v>
      </c>
      <c r="G486" s="2330">
        <f>24315/100000</f>
        <v>0.24315000000000001</v>
      </c>
      <c r="H486" s="2346"/>
      <c r="I486" s="2342"/>
      <c r="N486" s="2467"/>
      <c r="AE486" s="2318"/>
    </row>
    <row r="487" spans="1:31" hidden="1" outlineLevel="1">
      <c r="A487" s="2301"/>
      <c r="B487" s="2302" t="s">
        <v>1418</v>
      </c>
      <c r="C487" s="2469"/>
      <c r="D487" s="2342">
        <f>7081913/100000</f>
        <v>70.819130000000001</v>
      </c>
      <c r="E487" s="2330">
        <f>6193664/100000</f>
        <v>61.936639999999997</v>
      </c>
      <c r="G487" s="2330">
        <f>6193664/100000</f>
        <v>61.936639999999997</v>
      </c>
      <c r="H487" s="2346"/>
      <c r="I487" s="2342"/>
      <c r="N487" s="2467"/>
      <c r="AE487" s="2318"/>
    </row>
    <row r="488" spans="1:31" hidden="1" outlineLevel="1">
      <c r="A488" s="2301"/>
      <c r="B488" s="2302" t="s">
        <v>1410</v>
      </c>
      <c r="C488" s="2469"/>
      <c r="D488" s="2342">
        <f>25029/100000</f>
        <v>0.25029000000000001</v>
      </c>
      <c r="E488" s="2330">
        <f>21560/100000</f>
        <v>0.21560000000000001</v>
      </c>
      <c r="G488" s="2330">
        <f>21560/100000</f>
        <v>0.21560000000000001</v>
      </c>
      <c r="H488" s="2346"/>
      <c r="I488" s="2342"/>
      <c r="N488" s="2467"/>
      <c r="AE488" s="2318"/>
    </row>
    <row r="489" spans="1:31" hidden="1" outlineLevel="1">
      <c r="A489" s="2301"/>
      <c r="B489" s="2302" t="s">
        <v>1419</v>
      </c>
      <c r="C489" s="2469"/>
      <c r="D489" s="2342">
        <f>75935584/100000</f>
        <v>759.35583999999994</v>
      </c>
      <c r="E489" s="2330">
        <f>73584046/100000</f>
        <v>735.84046000000001</v>
      </c>
      <c r="G489" s="2330">
        <f>73584046/100000</f>
        <v>735.84046000000001</v>
      </c>
      <c r="H489" s="2346"/>
      <c r="I489" s="2342"/>
      <c r="N489" s="2467"/>
      <c r="AE489" s="2318"/>
    </row>
    <row r="490" spans="1:31" hidden="1" outlineLevel="1">
      <c r="A490" s="2301"/>
      <c r="B490" s="2302" t="s">
        <v>1420</v>
      </c>
      <c r="C490" s="2469"/>
      <c r="D490" s="2342">
        <f>13889457/100000</f>
        <v>138.89456999999999</v>
      </c>
      <c r="E490" s="2330">
        <f>13385225/100000</f>
        <v>133.85225</v>
      </c>
      <c r="G490" s="2330">
        <f>13385225/100000</f>
        <v>133.85225</v>
      </c>
      <c r="H490" s="2346"/>
      <c r="I490" s="2342"/>
      <c r="N490" s="2467"/>
      <c r="AE490" s="2318"/>
    </row>
    <row r="491" spans="1:31" hidden="1" outlineLevel="1">
      <c r="A491" s="2301"/>
      <c r="B491" s="2302" t="s">
        <v>123</v>
      </c>
      <c r="C491" s="2469"/>
      <c r="D491" s="2342">
        <f>535134/100000-7022.5/100000</f>
        <v>5.2811150000000007</v>
      </c>
      <c r="E491" s="2330">
        <f>717147/100000-15230/2/100000</f>
        <v>7.0953200000000001</v>
      </c>
      <c r="G491" s="2330">
        <f>717147/100000-15230/2/100000</f>
        <v>7.0953200000000001</v>
      </c>
      <c r="H491" s="2346"/>
      <c r="I491" s="2342"/>
      <c r="N491" s="2467"/>
      <c r="AE491" s="2318"/>
    </row>
    <row r="492" spans="1:31" hidden="1" outlineLevel="1">
      <c r="A492" s="2301"/>
      <c r="B492" s="2302" t="s">
        <v>1421</v>
      </c>
      <c r="C492" s="2469"/>
      <c r="D492" s="2342">
        <f>12225776/100000</f>
        <v>122.25776</v>
      </c>
      <c r="E492" s="2330">
        <f>10894809/100000</f>
        <v>108.94808999999999</v>
      </c>
      <c r="G492" s="2330">
        <f>10894809/100000</f>
        <v>108.94808999999999</v>
      </c>
      <c r="H492" s="2346"/>
      <c r="I492" s="2342"/>
      <c r="N492" s="2467"/>
      <c r="AE492" s="2318"/>
    </row>
    <row r="493" spans="1:31" hidden="1" outlineLevel="1">
      <c r="A493" s="2301"/>
      <c r="B493" s="2302" t="s">
        <v>1422</v>
      </c>
      <c r="C493" s="2469"/>
      <c r="D493" s="2342">
        <f>308953/100000</f>
        <v>3.0895299999999999</v>
      </c>
      <c r="E493" s="2330">
        <f>172659/100000</f>
        <v>1.7265900000000001</v>
      </c>
      <c r="G493" s="2330">
        <f>172659/100000</f>
        <v>1.7265900000000001</v>
      </c>
      <c r="H493" s="2346"/>
      <c r="I493" s="2342"/>
      <c r="N493" s="2467"/>
      <c r="AE493" s="2318"/>
    </row>
    <row r="494" spans="1:31" hidden="1" outlineLevel="1">
      <c r="A494" s="2301"/>
      <c r="B494" s="2302" t="s">
        <v>1423</v>
      </c>
      <c r="C494" s="2469"/>
      <c r="D494" s="2342">
        <f>5000/100000</f>
        <v>0.05</v>
      </c>
      <c r="E494" s="2330">
        <f>5000/100000</f>
        <v>0.05</v>
      </c>
      <c r="G494" s="2330">
        <f>5000/100000</f>
        <v>0.05</v>
      </c>
      <c r="H494" s="2346"/>
      <c r="I494" s="2342"/>
      <c r="N494" s="2467"/>
      <c r="AE494" s="2318"/>
    </row>
    <row r="495" spans="1:31" hidden="1" outlineLevel="1">
      <c r="A495" s="2301"/>
      <c r="B495" s="2302" t="s">
        <v>1424</v>
      </c>
      <c r="C495" s="2469"/>
      <c r="D495" s="2342">
        <f>2729011/100000</f>
        <v>27.290109999999999</v>
      </c>
      <c r="E495" s="2330">
        <f>2346384/100000</f>
        <v>23.463840000000001</v>
      </c>
      <c r="G495" s="2330">
        <f>2346384/100000</f>
        <v>23.463840000000001</v>
      </c>
      <c r="H495" s="2346"/>
      <c r="I495" s="2342"/>
      <c r="N495" s="2467"/>
      <c r="AE495" s="2318"/>
    </row>
    <row r="496" spans="1:31" hidden="1" outlineLevel="1">
      <c r="A496" s="2301"/>
      <c r="B496" s="2302" t="s">
        <v>1425</v>
      </c>
      <c r="C496" s="2469"/>
      <c r="D496" s="2342">
        <f>1180635/100000</f>
        <v>11.80635</v>
      </c>
      <c r="E496" s="2330">
        <f>1205536/100000</f>
        <v>12.05536</v>
      </c>
      <c r="G496" s="2330">
        <f>1205536/100000</f>
        <v>12.05536</v>
      </c>
      <c r="H496" s="2346"/>
      <c r="I496" s="2342"/>
      <c r="N496" s="2467"/>
      <c r="AE496" s="2318"/>
    </row>
    <row r="497" spans="1:31" hidden="1" outlineLevel="1">
      <c r="A497" s="2301"/>
      <c r="B497" s="2302" t="s">
        <v>1426</v>
      </c>
      <c r="C497" s="2469"/>
      <c r="D497" s="2342">
        <f>7660943/100000</f>
        <v>76.609430000000003</v>
      </c>
      <c r="E497" s="2330">
        <f>19863252/100000</f>
        <v>198.63252</v>
      </c>
      <c r="G497" s="2330">
        <f>19863252/100000</f>
        <v>198.63252</v>
      </c>
      <c r="H497" s="2346"/>
      <c r="I497" s="2342"/>
      <c r="N497" s="2467"/>
      <c r="AE497" s="2318"/>
    </row>
    <row r="498" spans="1:31" hidden="1" outlineLevel="1">
      <c r="A498" s="2301"/>
      <c r="B498" s="2302" t="s">
        <v>1427</v>
      </c>
      <c r="C498" s="2469"/>
      <c r="D498" s="2342">
        <f>3644240/100000</f>
        <v>36.442399999999999</v>
      </c>
      <c r="E498" s="2330">
        <f>2968986/100000</f>
        <v>29.689859999999999</v>
      </c>
      <c r="G498" s="2330">
        <f>2968986/100000</f>
        <v>29.689859999999999</v>
      </c>
      <c r="H498" s="2346"/>
      <c r="I498" s="2342"/>
      <c r="N498" s="2467"/>
      <c r="AE498" s="2318"/>
    </row>
    <row r="499" spans="1:31" hidden="1" outlineLevel="1">
      <c r="A499" s="2301"/>
      <c r="B499" s="2302" t="s">
        <v>1428</v>
      </c>
      <c r="C499" s="2469"/>
      <c r="D499" s="2342">
        <f>0/100000</f>
        <v>0</v>
      </c>
      <c r="E499" s="2330">
        <f>74911/100000</f>
        <v>0.74911000000000005</v>
      </c>
      <c r="G499" s="2330">
        <f>74911/100000</f>
        <v>0.74911000000000005</v>
      </c>
      <c r="H499" s="2346"/>
      <c r="I499" s="2342"/>
      <c r="N499" s="2467"/>
      <c r="AE499" s="2318"/>
    </row>
    <row r="500" spans="1:31" outlineLevel="1">
      <c r="A500" s="2301"/>
      <c r="G500" s="2330"/>
      <c r="H500" s="2332"/>
      <c r="J500" s="2342"/>
      <c r="N500" s="2467"/>
      <c r="AE500" s="2318"/>
    </row>
    <row r="501" spans="1:31" ht="15.75" thickBot="1">
      <c r="A501" s="2301"/>
      <c r="B501" s="2470" t="s">
        <v>499</v>
      </c>
      <c r="D501" s="2337"/>
      <c r="E501" s="2471">
        <f>SUM(E441:E458)</f>
        <v>52252.650000000009</v>
      </c>
      <c r="F501" s="2337"/>
      <c r="G501" s="2471">
        <f>SUM(G444:G458)</f>
        <v>42199.05</v>
      </c>
      <c r="H501" s="2338"/>
      <c r="I501" s="2337"/>
      <c r="K501" s="2337"/>
      <c r="L501" s="2334"/>
      <c r="M501" s="2334"/>
      <c r="N501" s="2467"/>
      <c r="AE501" s="2318"/>
    </row>
    <row r="502" spans="1:31" ht="16.5" thickTop="1" thickBot="1">
      <c r="A502" s="2447"/>
      <c r="B502" s="2472"/>
      <c r="C502" s="2392"/>
      <c r="D502" s="2361"/>
      <c r="E502" s="2473"/>
      <c r="F502" s="2473"/>
      <c r="G502" s="2371"/>
      <c r="H502" s="2332"/>
      <c r="J502" s="2337"/>
      <c r="K502" s="2337"/>
      <c r="L502" s="2337"/>
      <c r="M502" s="2337"/>
      <c r="N502" s="2339"/>
      <c r="AE502" s="2318"/>
    </row>
    <row r="503" spans="1:31" hidden="1">
      <c r="A503" s="2301"/>
      <c r="B503" s="2470"/>
      <c r="E503" s="2334"/>
      <c r="F503" s="2334"/>
      <c r="H503" s="2332"/>
      <c r="J503" s="2337"/>
      <c r="K503" s="2337"/>
      <c r="L503" s="2337"/>
      <c r="M503" s="2337"/>
      <c r="N503" s="2339"/>
      <c r="AE503" s="2318"/>
    </row>
    <row r="504" spans="1:31" hidden="1">
      <c r="A504" s="2301"/>
      <c r="E504" s="2337" t="s">
        <v>1187</v>
      </c>
      <c r="F504" s="2337"/>
      <c r="G504" s="2342" t="s">
        <v>1187</v>
      </c>
      <c r="H504" s="2346"/>
      <c r="I504" s="2342"/>
      <c r="J504" s="2337"/>
      <c r="K504" s="2337"/>
      <c r="L504" s="2337"/>
      <c r="M504" s="2337"/>
      <c r="N504" s="2339"/>
      <c r="AE504" s="2318"/>
    </row>
    <row r="505" spans="1:31" hidden="1">
      <c r="A505" s="2425" t="s">
        <v>1429</v>
      </c>
      <c r="E505" s="2461" t="s">
        <v>1386</v>
      </c>
      <c r="F505" s="2461"/>
      <c r="G505" s="2461" t="s">
        <v>1387</v>
      </c>
      <c r="H505" s="2346"/>
      <c r="I505" s="2342"/>
      <c r="J505" s="2337"/>
      <c r="K505" s="2337"/>
      <c r="L505" s="2337"/>
      <c r="M505" s="2337"/>
      <c r="N505" s="2339"/>
      <c r="AE505" s="2318"/>
    </row>
    <row r="506" spans="1:31" hidden="1">
      <c r="A506" s="2357" t="s">
        <v>1430</v>
      </c>
      <c r="E506" s="2337" t="s">
        <v>1131</v>
      </c>
      <c r="F506" s="2337"/>
      <c r="G506" s="2337" t="s">
        <v>1131</v>
      </c>
      <c r="H506" s="2338"/>
      <c r="I506" s="2337"/>
      <c r="J506" s="2337"/>
      <c r="K506" s="2337"/>
      <c r="L506" s="2337"/>
      <c r="M506" s="2337"/>
      <c r="N506" s="2339"/>
      <c r="AE506" s="2318"/>
    </row>
    <row r="507" spans="1:31" hidden="1">
      <c r="A507" s="2301"/>
      <c r="E507" s="2337" t="s">
        <v>1133</v>
      </c>
      <c r="F507" s="2337"/>
      <c r="G507" s="2337" t="s">
        <v>1190</v>
      </c>
      <c r="H507" s="2338"/>
      <c r="I507" s="2337"/>
      <c r="J507" s="2337"/>
      <c r="K507" s="2337"/>
      <c r="AE507" s="2318"/>
    </row>
    <row r="508" spans="1:31" hidden="1">
      <c r="A508" s="2301"/>
      <c r="E508" s="2334"/>
      <c r="F508" s="2334"/>
      <c r="G508" s="2337"/>
      <c r="H508" s="2338"/>
      <c r="I508" s="2337"/>
      <c r="J508" s="2337"/>
      <c r="K508" s="2337"/>
      <c r="AE508" s="2318"/>
    </row>
    <row r="509" spans="1:31" hidden="1" outlineLevel="1">
      <c r="A509" s="2301" t="s">
        <v>1428</v>
      </c>
      <c r="E509" s="2330">
        <v>761.41</v>
      </c>
      <c r="G509" s="2330">
        <f>52923344/100000</f>
        <v>529.23343999999997</v>
      </c>
      <c r="H509" s="2332"/>
      <c r="K509" s="2342"/>
      <c r="L509" s="2342"/>
      <c r="M509" s="2342"/>
      <c r="AE509" s="2318"/>
    </row>
    <row r="510" spans="1:31" hidden="1">
      <c r="A510" s="2301"/>
      <c r="B510" s="2354" t="s">
        <v>499</v>
      </c>
      <c r="E510" s="2342">
        <f>SUM(E509:E509)</f>
        <v>761.41</v>
      </c>
      <c r="F510" s="2342"/>
      <c r="G510" s="2342">
        <f>SUM(G509:G509)</f>
        <v>529.23343999999997</v>
      </c>
      <c r="H510" s="2332"/>
      <c r="J510" s="2342"/>
      <c r="K510" s="2342"/>
      <c r="L510" s="2342"/>
      <c r="M510" s="2342"/>
      <c r="AE510" s="2318"/>
    </row>
    <row r="511" spans="1:31" hidden="1">
      <c r="A511" s="2301"/>
      <c r="H511" s="2332"/>
      <c r="AE511" s="2318"/>
    </row>
    <row r="512" spans="1:31" hidden="1">
      <c r="A512" s="2301"/>
      <c r="H512" s="2332"/>
      <c r="AE512" s="2318"/>
    </row>
    <row r="513" spans="1:31">
      <c r="A513" s="2301"/>
      <c r="H513" s="2332"/>
      <c r="AE513" s="2318"/>
    </row>
    <row r="514" spans="1:31" ht="15.75" thickBot="1">
      <c r="A514" s="2301"/>
      <c r="E514" s="2334"/>
      <c r="F514" s="2334"/>
      <c r="H514" s="2332"/>
      <c r="K514" s="2337"/>
      <c r="L514" s="2337"/>
      <c r="M514" s="2337"/>
      <c r="N514" s="2339"/>
      <c r="AE514" s="2318"/>
    </row>
    <row r="515" spans="1:31">
      <c r="A515" s="2291"/>
      <c r="B515" s="2292"/>
      <c r="C515" s="2293"/>
      <c r="D515" s="2440"/>
      <c r="E515" s="2474"/>
      <c r="F515" s="2474"/>
      <c r="G515" s="2393"/>
      <c r="H515" s="2332"/>
      <c r="K515" s="2337"/>
      <c r="L515" s="2337"/>
      <c r="M515" s="2337"/>
      <c r="N515" s="2339"/>
      <c r="AE515" s="2318"/>
    </row>
    <row r="516" spans="1:31">
      <c r="A516" s="2425" t="s">
        <v>1431</v>
      </c>
      <c r="E516" s="2337" t="s">
        <v>1187</v>
      </c>
      <c r="F516" s="2337"/>
      <c r="G516" s="2342" t="s">
        <v>1187</v>
      </c>
      <c r="H516" s="2346"/>
      <c r="I516" s="2342"/>
      <c r="J516" s="2337"/>
      <c r="K516" s="2337"/>
      <c r="L516" s="2337"/>
      <c r="M516" s="2337"/>
      <c r="N516" s="2339"/>
      <c r="AE516" s="2318"/>
    </row>
    <row r="517" spans="1:31">
      <c r="A517" s="2340" t="s">
        <v>1432</v>
      </c>
      <c r="E517" s="2461" t="s">
        <v>1188</v>
      </c>
      <c r="F517" s="2461"/>
      <c r="G517" s="2461" t="s">
        <v>1189</v>
      </c>
      <c r="H517" s="2346"/>
      <c r="I517" s="2342"/>
      <c r="J517" s="2337"/>
      <c r="K517" s="2337"/>
      <c r="L517" s="2337"/>
      <c r="M517" s="2337"/>
      <c r="N517" s="2339"/>
      <c r="AE517" s="2318"/>
    </row>
    <row r="518" spans="1:31">
      <c r="A518" s="2301"/>
      <c r="D518" s="2337"/>
      <c r="E518" s="2337" t="s">
        <v>1131</v>
      </c>
      <c r="F518" s="2337"/>
      <c r="G518" s="2337" t="s">
        <v>1131</v>
      </c>
      <c r="H518" s="2338"/>
      <c r="I518" s="2337"/>
      <c r="J518" s="2337"/>
      <c r="K518" s="2337"/>
      <c r="AE518" s="2318"/>
    </row>
    <row r="519" spans="1:31">
      <c r="A519" s="2301"/>
      <c r="D519" s="2337"/>
      <c r="E519" s="2337" t="s">
        <v>1133</v>
      </c>
      <c r="F519" s="2337"/>
      <c r="G519" s="2337" t="s">
        <v>1190</v>
      </c>
      <c r="H519" s="2338"/>
      <c r="I519" s="2337"/>
      <c r="J519" s="2337"/>
      <c r="K519" s="2337"/>
      <c r="AE519" s="2318"/>
    </row>
    <row r="520" spans="1:31">
      <c r="A520" s="2340" t="s">
        <v>1433</v>
      </c>
      <c r="G520" s="2330"/>
      <c r="H520" s="2332"/>
      <c r="AE520" s="2318"/>
    </row>
    <row r="521" spans="1:31">
      <c r="A521" s="2301"/>
      <c r="H521" s="2332"/>
      <c r="AE521" s="2318"/>
    </row>
    <row r="522" spans="1:31">
      <c r="A522" s="2502" t="s">
        <v>1434</v>
      </c>
      <c r="E522" s="2330">
        <v>0</v>
      </c>
      <c r="G522" s="2330">
        <v>0</v>
      </c>
      <c r="H522" s="2332"/>
      <c r="AE522" s="2318"/>
    </row>
    <row r="523" spans="1:31">
      <c r="A523" s="2301" t="s">
        <v>1435</v>
      </c>
      <c r="E523" s="2330">
        <v>2761.39</v>
      </c>
      <c r="G523" s="2330">
        <v>4002.77</v>
      </c>
      <c r="H523" s="2346"/>
      <c r="N523" s="2347"/>
      <c r="O523" s="2347"/>
      <c r="AE523" s="2318"/>
    </row>
    <row r="524" spans="1:31">
      <c r="A524" s="2301" t="s">
        <v>1436</v>
      </c>
      <c r="E524" s="2353">
        <v>74.3</v>
      </c>
      <c r="G524" s="2353">
        <v>208.78</v>
      </c>
      <c r="H524" s="2332"/>
      <c r="N524" s="2347"/>
      <c r="O524" s="2347"/>
      <c r="P524" s="2347"/>
      <c r="AE524" s="2318"/>
    </row>
    <row r="525" spans="1:31">
      <c r="A525" s="2301"/>
      <c r="B525" s="2336" t="s">
        <v>1437</v>
      </c>
      <c r="E525" s="2342">
        <f>+E524+E523+C522</f>
        <v>2835.69</v>
      </c>
      <c r="F525" s="2342"/>
      <c r="G525" s="2342">
        <f>+G524+G523+E522</f>
        <v>4211.55</v>
      </c>
      <c r="H525" s="2332"/>
      <c r="AE525" s="2318"/>
    </row>
    <row r="526" spans="1:31">
      <c r="A526" s="2357" t="s">
        <v>1438</v>
      </c>
      <c r="G526" s="2330"/>
      <c r="H526" s="2332"/>
      <c r="AE526" s="2318"/>
    </row>
    <row r="527" spans="1:31">
      <c r="A527" s="2301"/>
      <c r="G527" s="2330"/>
      <c r="H527" s="2332"/>
      <c r="AE527" s="2318"/>
    </row>
    <row r="528" spans="1:31" outlineLevel="1">
      <c r="A528" s="2301" t="s">
        <v>1435</v>
      </c>
      <c r="E528" s="2330">
        <v>3195.69</v>
      </c>
      <c r="G528" s="2330">
        <v>26.38</v>
      </c>
      <c r="H528" s="2332"/>
      <c r="J528" s="2342"/>
      <c r="K528" s="2342"/>
      <c r="L528" s="2342"/>
      <c r="M528" s="2342"/>
      <c r="N528" s="2342"/>
      <c r="P528" s="2330"/>
      <c r="AE528" s="2318"/>
    </row>
    <row r="529" spans="1:31" ht="15.75" outlineLevel="1" thickBot="1">
      <c r="A529" s="2301" t="s">
        <v>1439</v>
      </c>
      <c r="E529" s="2361">
        <v>4.9400000000000004</v>
      </c>
      <c r="G529" s="2353">
        <v>4.22</v>
      </c>
      <c r="H529" s="2332"/>
      <c r="K529" s="2342"/>
      <c r="L529" s="2342"/>
      <c r="M529" s="2342"/>
      <c r="O529" s="2347"/>
      <c r="P529" s="2347"/>
      <c r="AE529" s="2318"/>
    </row>
    <row r="530" spans="1:31" outlineLevel="1">
      <c r="A530" s="2301"/>
      <c r="B530" s="2336" t="s">
        <v>1440</v>
      </c>
      <c r="E530" s="2342">
        <f>+E528+E529</f>
        <v>3200.63</v>
      </c>
      <c r="G530" s="2342">
        <f>+G528+G529</f>
        <v>30.599999999999998</v>
      </c>
      <c r="H530" s="2332"/>
      <c r="J530" s="2342"/>
      <c r="K530" s="2342"/>
      <c r="L530" s="2342"/>
      <c r="M530" s="2342"/>
      <c r="AE530" s="2318"/>
    </row>
    <row r="531" spans="1:31" outlineLevel="1">
      <c r="A531" s="2301"/>
      <c r="G531" s="2330"/>
      <c r="H531" s="2332"/>
      <c r="J531" s="2342"/>
      <c r="K531" s="2342"/>
      <c r="L531" s="2342"/>
      <c r="M531" s="2342"/>
      <c r="AE531" s="2318"/>
    </row>
    <row r="532" spans="1:31" ht="15.75" thickBot="1">
      <c r="A532" s="2301"/>
      <c r="B532" s="2354" t="s">
        <v>1441</v>
      </c>
      <c r="E532" s="2355">
        <f>+E525-E530</f>
        <v>-364.94000000000005</v>
      </c>
      <c r="F532" s="2342"/>
      <c r="G532" s="2355">
        <f>+G525-G530</f>
        <v>4180.95</v>
      </c>
      <c r="H532" s="2332"/>
      <c r="K532" s="2342"/>
      <c r="L532" s="2342"/>
      <c r="M532" s="2342"/>
      <c r="N532" s="2356"/>
      <c r="AE532" s="2318"/>
    </row>
    <row r="533" spans="1:31" ht="15.75" thickTop="1">
      <c r="A533" s="2301"/>
      <c r="B533" s="2339"/>
      <c r="H533" s="2332"/>
      <c r="AE533" s="2318"/>
    </row>
    <row r="534" spans="1:31">
      <c r="A534" s="2425" t="s">
        <v>1429</v>
      </c>
      <c r="B534" s="2339"/>
      <c r="H534" s="2332"/>
      <c r="AE534" s="2318"/>
    </row>
    <row r="535" spans="1:31">
      <c r="A535" s="2425"/>
      <c r="B535" s="2339"/>
      <c r="H535" s="2332"/>
      <c r="AE535" s="2318"/>
    </row>
    <row r="536" spans="1:31">
      <c r="A536" s="2357" t="s">
        <v>1201</v>
      </c>
      <c r="B536" s="2339"/>
      <c r="H536" s="2332"/>
      <c r="AE536" s="2318"/>
    </row>
    <row r="537" spans="1:31">
      <c r="A537" s="2301"/>
      <c r="B537" s="2339"/>
      <c r="H537" s="2332"/>
      <c r="AE537" s="2318"/>
    </row>
    <row r="538" spans="1:31">
      <c r="A538" s="2357" t="s">
        <v>1442</v>
      </c>
      <c r="B538" s="2339"/>
      <c r="H538" s="2332"/>
      <c r="AE538" s="2318"/>
    </row>
    <row r="539" spans="1:31">
      <c r="A539" s="2301" t="s">
        <v>1443</v>
      </c>
      <c r="C539" s="2469"/>
      <c r="E539" s="2330">
        <v>0.77</v>
      </c>
      <c r="G539" s="2330">
        <v>0.39</v>
      </c>
      <c r="H539" s="2346"/>
      <c r="I539" s="2342"/>
      <c r="J539" s="2342"/>
      <c r="K539" s="2342"/>
      <c r="P539" s="1943" t="s">
        <v>94</v>
      </c>
      <c r="AE539" s="2318"/>
    </row>
    <row r="540" spans="1:31">
      <c r="A540" s="2301" t="s">
        <v>1444</v>
      </c>
      <c r="C540" s="2469"/>
      <c r="E540" s="2330">
        <v>461.76</v>
      </c>
      <c r="G540" s="2330">
        <v>433.54</v>
      </c>
      <c r="H540" s="2346"/>
      <c r="I540" s="2342"/>
      <c r="J540" s="2342"/>
      <c r="K540" s="2342"/>
      <c r="P540" s="1943" t="s">
        <v>94</v>
      </c>
      <c r="AE540" s="2318"/>
    </row>
    <row r="541" spans="1:31" outlineLevel="1">
      <c r="A541" s="2301" t="s">
        <v>1445</v>
      </c>
      <c r="C541" s="2469"/>
      <c r="E541" s="2353">
        <v>419.12</v>
      </c>
      <c r="G541" s="2353">
        <v>357.89</v>
      </c>
      <c r="H541" s="2346"/>
      <c r="I541" s="2342"/>
      <c r="K541" s="2342"/>
      <c r="N541" s="2467"/>
      <c r="P541" s="1943" t="s">
        <v>94</v>
      </c>
      <c r="AE541" s="2318"/>
    </row>
    <row r="542" spans="1:31" outlineLevel="1">
      <c r="A542" s="2301"/>
      <c r="C542" s="2469"/>
      <c r="E542" s="2342">
        <f>SUM(E539:E541)</f>
        <v>881.65</v>
      </c>
      <c r="F542" s="2342"/>
      <c r="G542" s="2342">
        <f>+G541+G540+G539</f>
        <v>791.82</v>
      </c>
      <c r="H542" s="2346"/>
      <c r="I542" s="2342"/>
      <c r="K542" s="2342"/>
      <c r="N542" s="2467"/>
      <c r="AE542" s="2318"/>
    </row>
    <row r="543" spans="1:31" outlineLevel="1">
      <c r="A543" s="2357" t="s">
        <v>327</v>
      </c>
      <c r="C543" s="2469"/>
      <c r="H543" s="2346"/>
      <c r="I543" s="2342"/>
      <c r="K543" s="2342"/>
      <c r="N543" s="2467"/>
      <c r="AE543" s="2318"/>
    </row>
    <row r="544" spans="1:31" outlineLevel="1">
      <c r="A544" s="2301" t="s">
        <v>1446</v>
      </c>
      <c r="C544" s="2469"/>
      <c r="D544" s="2330">
        <v>0</v>
      </c>
      <c r="E544" s="1943">
        <v>805.15</v>
      </c>
      <c r="F544" s="1943"/>
      <c r="G544" s="1943">
        <v>844.19</v>
      </c>
      <c r="H544" s="2346"/>
      <c r="I544" s="2342"/>
      <c r="K544" s="2342"/>
      <c r="N544" s="2467"/>
      <c r="AE544" s="2318"/>
    </row>
    <row r="545" spans="1:56">
      <c r="A545" s="2301" t="s">
        <v>1447</v>
      </c>
      <c r="B545" s="2339"/>
      <c r="C545" s="2469"/>
      <c r="E545" s="2356">
        <v>3</v>
      </c>
      <c r="F545" s="1943"/>
      <c r="G545" s="2356">
        <v>3</v>
      </c>
      <c r="H545" s="2332"/>
      <c r="I545" s="2342"/>
      <c r="K545" s="2342"/>
      <c r="AE545" s="2318"/>
    </row>
    <row r="546" spans="1:56" hidden="1">
      <c r="A546" s="2301" t="s">
        <v>1448</v>
      </c>
      <c r="B546" s="2339"/>
      <c r="C546" s="2469"/>
      <c r="D546" s="2330">
        <v>0</v>
      </c>
      <c r="E546" s="1943"/>
      <c r="F546" s="1943"/>
      <c r="G546" s="1943"/>
      <c r="H546" s="2332"/>
      <c r="I546" s="2342"/>
      <c r="K546" s="2342"/>
      <c r="AE546" s="2318"/>
    </row>
    <row r="547" spans="1:56">
      <c r="A547" s="2301" t="s">
        <v>1449</v>
      </c>
      <c r="B547" s="2339"/>
      <c r="C547" s="2469"/>
      <c r="D547" s="2330">
        <v>0</v>
      </c>
      <c r="E547" s="1943"/>
      <c r="F547" s="1943"/>
      <c r="G547" s="1943"/>
      <c r="H547" s="2332"/>
      <c r="I547" s="2342"/>
      <c r="K547" s="2342"/>
      <c r="AE547" s="2318"/>
    </row>
    <row r="548" spans="1:56">
      <c r="A548" s="2301" t="s">
        <v>1450</v>
      </c>
      <c r="B548" s="2339"/>
      <c r="C548" s="2469"/>
      <c r="D548" s="2330">
        <v>0</v>
      </c>
      <c r="E548" s="1943"/>
      <c r="F548" s="1943"/>
      <c r="G548" s="1943"/>
      <c r="H548" s="2332"/>
      <c r="I548" s="2342"/>
      <c r="K548" s="2342"/>
      <c r="AE548" s="2318"/>
    </row>
    <row r="549" spans="1:56">
      <c r="A549" s="2301" t="s">
        <v>1451</v>
      </c>
      <c r="B549" s="2339"/>
      <c r="C549" s="2469"/>
      <c r="D549" s="2330">
        <v>0</v>
      </c>
      <c r="E549" s="2330">
        <v>0</v>
      </c>
      <c r="G549" s="2330">
        <v>12730</v>
      </c>
      <c r="H549" s="2332"/>
      <c r="I549" s="2342"/>
      <c r="K549" s="2342"/>
      <c r="AE549" s="2318"/>
    </row>
    <row r="550" spans="1:56">
      <c r="A550" s="2301"/>
      <c r="B550" s="2339"/>
      <c r="C550" s="2469"/>
      <c r="E550" s="2342">
        <f>SUM(E544:E549)</f>
        <v>808.15</v>
      </c>
      <c r="F550" s="2342"/>
      <c r="G550" s="2433">
        <f>SUM(G544:G549)</f>
        <v>13577.19</v>
      </c>
      <c r="H550" s="2332"/>
      <c r="I550" s="2342"/>
      <c r="K550" s="2342"/>
      <c r="AE550" s="2318"/>
    </row>
    <row r="551" spans="1:56" ht="15.75" thickBot="1">
      <c r="A551" s="2301"/>
      <c r="B551" s="2354" t="s">
        <v>499</v>
      </c>
      <c r="C551" s="2469"/>
      <c r="E551" s="2355">
        <f>+E550+E542</f>
        <v>1689.8</v>
      </c>
      <c r="F551" s="2342"/>
      <c r="G551" s="2355">
        <f>+G542+G550</f>
        <v>14369.01</v>
      </c>
      <c r="H551" s="2332"/>
      <c r="I551" s="2342"/>
      <c r="K551" s="2342"/>
      <c r="AE551" s="2318"/>
    </row>
    <row r="552" spans="1:56" ht="15.75" thickTop="1">
      <c r="A552" s="2301"/>
      <c r="B552" s="2339"/>
      <c r="C552" s="2469"/>
      <c r="H552" s="2332"/>
      <c r="I552" s="2342"/>
      <c r="K552" s="2342"/>
      <c r="AE552" s="2318"/>
    </row>
    <row r="553" spans="1:56" ht="15.75" thickBot="1">
      <c r="A553" s="2447"/>
      <c r="B553" s="2475"/>
      <c r="C553" s="2392"/>
      <c r="D553" s="2361"/>
      <c r="E553" s="2361"/>
      <c r="F553" s="2361"/>
      <c r="G553" s="2371"/>
      <c r="H553" s="2332"/>
    </row>
    <row r="554" spans="1:56">
      <c r="B554" s="2339"/>
      <c r="N554" s="2330"/>
    </row>
    <row r="555" spans="1:56">
      <c r="W555" s="2476"/>
      <c r="AF555" s="1943" t="s">
        <v>94</v>
      </c>
    </row>
    <row r="556" spans="1:56">
      <c r="U556" s="2503"/>
      <c r="V556" s="2503"/>
      <c r="W556" s="2503"/>
      <c r="AE556" s="1943" t="s">
        <v>94</v>
      </c>
    </row>
    <row r="557" spans="1:56">
      <c r="U557" s="2347"/>
      <c r="V557" s="2347"/>
      <c r="W557" s="2347"/>
      <c r="X557" s="2347"/>
      <c r="Y557" s="2347"/>
      <c r="Z557" s="2347"/>
      <c r="AA557" s="2347"/>
    </row>
    <row r="558" spans="1:56" ht="15.75" thickBot="1">
      <c r="B558" s="1943"/>
      <c r="D558" s="1943"/>
      <c r="E558" s="1943"/>
      <c r="F558" s="1943"/>
      <c r="G558" s="1943"/>
      <c r="H558" s="1943"/>
      <c r="I558" s="1943"/>
      <c r="J558" s="1943"/>
      <c r="K558" s="1943"/>
      <c r="L558" s="1943"/>
      <c r="U558" s="2347"/>
      <c r="V558" s="2347"/>
      <c r="W558" s="2347"/>
      <c r="X558" s="2347"/>
      <c r="Y558" s="2347"/>
      <c r="Z558" s="2347"/>
      <c r="AA558" s="2347"/>
    </row>
    <row r="559" spans="1:56">
      <c r="B559" s="1934" t="s">
        <v>1129</v>
      </c>
      <c r="C559" s="2477"/>
      <c r="D559" s="2504"/>
      <c r="E559" s="2505"/>
      <c r="F559" s="2504"/>
      <c r="G559" s="2504"/>
      <c r="H559" s="2477"/>
      <c r="I559" s="2506"/>
      <c r="J559" s="2478"/>
      <c r="K559" s="2479"/>
      <c r="L559" s="2480"/>
      <c r="U559" s="2347"/>
      <c r="V559" s="2347"/>
      <c r="W559" s="2347"/>
      <c r="X559" s="2347"/>
      <c r="Y559" s="2347"/>
      <c r="Z559" s="2347"/>
      <c r="AA559" s="2347"/>
      <c r="AB559" s="2347"/>
      <c r="AC559" s="2347"/>
      <c r="AD559" s="2347"/>
      <c r="AE559" s="2347"/>
      <c r="AF559" s="2347"/>
      <c r="AG559" s="2347"/>
      <c r="AH559" s="2347"/>
      <c r="AI559" s="2347"/>
      <c r="AJ559" s="2347"/>
      <c r="AK559" s="2347"/>
      <c r="AL559" s="2347"/>
      <c r="AM559" s="2347"/>
      <c r="AN559" s="2347"/>
      <c r="AO559" s="2347"/>
      <c r="AP559" s="2347"/>
      <c r="AQ559" s="2347"/>
      <c r="AR559" s="2347"/>
      <c r="AS559" s="2347"/>
      <c r="AT559" s="2347"/>
      <c r="AU559" s="2347"/>
      <c r="AV559" s="2347"/>
      <c r="AW559" s="2347"/>
      <c r="AX559" s="2347"/>
      <c r="AY559" s="2347"/>
      <c r="AZ559" s="2347"/>
      <c r="BA559" s="2347"/>
      <c r="BB559" s="2347" t="s">
        <v>1452</v>
      </c>
      <c r="BC559" s="2476" t="s">
        <v>1453</v>
      </c>
    </row>
    <row r="560" spans="1:56">
      <c r="B560" s="2481" t="s">
        <v>1132</v>
      </c>
      <c r="C560" s="2507"/>
      <c r="D560" s="2482"/>
      <c r="E560" s="2483"/>
      <c r="F560" s="2482"/>
      <c r="G560" s="2482"/>
      <c r="H560" s="2482"/>
      <c r="J560" s="1943"/>
      <c r="K560" s="2484"/>
      <c r="L560" s="2485"/>
      <c r="U560" s="2347"/>
      <c r="V560" s="2347"/>
      <c r="W560" s="2347"/>
      <c r="X560" s="2347"/>
      <c r="Y560" s="2347"/>
      <c r="Z560" s="2347"/>
      <c r="AA560" s="2347"/>
      <c r="AB560" s="2347"/>
      <c r="AC560" s="2347"/>
      <c r="AD560" s="2347"/>
      <c r="AE560" s="2347"/>
      <c r="AF560" s="2347"/>
      <c r="AG560" s="2347"/>
      <c r="AH560" s="2347"/>
      <c r="AI560" s="2347"/>
      <c r="AJ560" s="2347"/>
      <c r="AK560" s="2347"/>
      <c r="AL560" s="2347"/>
      <c r="AM560" s="2347"/>
      <c r="AN560" s="2347"/>
      <c r="AO560" s="2347"/>
      <c r="AP560" s="2347"/>
      <c r="AQ560" s="2347"/>
      <c r="AR560" s="2347"/>
      <c r="AS560" s="2347"/>
      <c r="AT560" s="2347"/>
      <c r="AU560" s="2347"/>
      <c r="AV560" s="2347"/>
      <c r="AW560" s="2347"/>
      <c r="AX560" s="2347"/>
      <c r="AY560" s="2347"/>
      <c r="AZ560" s="2347"/>
      <c r="BA560" s="2347"/>
      <c r="BB560" s="2347"/>
      <c r="BC560" s="2476"/>
      <c r="BD560" s="2476"/>
    </row>
    <row r="561" spans="2:62">
      <c r="B561" s="2508"/>
      <c r="C561" s="2507"/>
      <c r="D561" s="2482"/>
      <c r="E561" s="2483"/>
      <c r="F561" s="2482"/>
      <c r="G561" s="2482"/>
      <c r="H561" s="2482"/>
      <c r="I561" s="2482"/>
      <c r="J561" s="2482"/>
      <c r="K561" s="2486" t="s">
        <v>1134</v>
      </c>
      <c r="L561" s="2487"/>
      <c r="U561" s="2347"/>
      <c r="V561" s="2347"/>
      <c r="W561" s="2347"/>
      <c r="X561" s="2347"/>
      <c r="Y561" s="2347"/>
      <c r="Z561" s="2347"/>
      <c r="AA561" s="2347"/>
      <c r="AB561" s="2347"/>
      <c r="AC561" s="2347"/>
      <c r="AD561" s="2347"/>
      <c r="AE561" s="2347"/>
      <c r="AF561" s="2347"/>
      <c r="AG561" s="2347"/>
      <c r="AH561" s="2347"/>
      <c r="AI561" s="2347"/>
      <c r="AJ561" s="2347"/>
      <c r="AK561" s="2347"/>
      <c r="AL561" s="2347"/>
      <c r="AM561" s="2347"/>
      <c r="AN561" s="2347"/>
      <c r="AO561" s="2347"/>
      <c r="AP561" s="2347"/>
      <c r="AQ561" s="2347"/>
      <c r="AR561" s="2347"/>
      <c r="AS561" s="2347"/>
      <c r="AT561" s="2347"/>
      <c r="AU561" s="2347"/>
      <c r="AV561" s="2347"/>
      <c r="AW561" s="2347"/>
      <c r="AX561" s="2347"/>
      <c r="AY561" s="2347"/>
      <c r="AZ561" s="2347"/>
      <c r="BA561" s="2347"/>
      <c r="BB561" s="2347"/>
    </row>
    <row r="562" spans="2:62" ht="141.75" customHeight="1">
      <c r="B562" s="2509"/>
      <c r="C562" s="2510" t="s">
        <v>1136</v>
      </c>
      <c r="D562" s="2511"/>
      <c r="E562" s="2511"/>
      <c r="F562" s="2511"/>
      <c r="G562" s="2511" t="s">
        <v>1137</v>
      </c>
      <c r="H562" s="2511"/>
      <c r="I562" s="2511"/>
      <c r="J562" s="2512" t="s">
        <v>1138</v>
      </c>
      <c r="K562" s="2512"/>
      <c r="L562" s="2485"/>
      <c r="U562" s="2347"/>
      <c r="V562" s="2347"/>
      <c r="W562" s="2347"/>
      <c r="X562" s="2347"/>
      <c r="Y562" s="2347"/>
      <c r="Z562" s="2347"/>
      <c r="AA562" s="2347"/>
      <c r="AB562" s="2347"/>
      <c r="AC562" s="2347"/>
      <c r="AD562" s="2347"/>
      <c r="AE562" s="2347"/>
      <c r="AF562" s="2347"/>
      <c r="AG562" s="2347"/>
      <c r="AH562" s="2347"/>
      <c r="AI562" s="2347"/>
      <c r="AJ562" s="2347"/>
      <c r="AK562" s="2347"/>
      <c r="AL562" s="2347"/>
      <c r="AM562" s="2347"/>
      <c r="AN562" s="2347"/>
      <c r="AO562" s="2347"/>
      <c r="AP562" s="2347"/>
      <c r="AQ562" s="2347"/>
      <c r="AR562" s="2347"/>
      <c r="AS562" s="2347"/>
      <c r="AT562" s="2347"/>
      <c r="AU562" s="2347"/>
      <c r="AV562" s="2347"/>
      <c r="AW562" s="2347"/>
      <c r="AX562" s="2347"/>
      <c r="AY562" s="2347"/>
      <c r="AZ562" s="2347"/>
      <c r="BA562" s="2347"/>
      <c r="BB562" s="2347"/>
    </row>
    <row r="563" spans="2:62" ht="15" customHeight="1">
      <c r="B563" s="2513"/>
      <c r="C563" s="2514" t="s">
        <v>1139</v>
      </c>
      <c r="D563" s="2515" t="s">
        <v>1140</v>
      </c>
      <c r="E563" s="2515" t="s">
        <v>1141</v>
      </c>
      <c r="F563" s="2515" t="s">
        <v>1142</v>
      </c>
      <c r="G563" s="2515" t="s">
        <v>1143</v>
      </c>
      <c r="H563" s="2515" t="s">
        <v>652</v>
      </c>
      <c r="I563" s="2515" t="s">
        <v>1144</v>
      </c>
      <c r="J563" s="2516" t="s">
        <v>1142</v>
      </c>
      <c r="K563" s="2516" t="s">
        <v>1145</v>
      </c>
      <c r="L563" s="2517"/>
      <c r="U563" s="2347"/>
      <c r="V563" s="2347"/>
      <c r="W563" s="2347"/>
      <c r="X563" s="2347"/>
      <c r="Y563" s="2347"/>
      <c r="Z563" s="2347"/>
      <c r="AA563" s="2347"/>
      <c r="AB563" s="2347"/>
      <c r="AC563" s="2347"/>
      <c r="AD563" s="2347"/>
      <c r="AE563" s="2347"/>
      <c r="AF563" s="2347"/>
      <c r="AG563" s="2347"/>
      <c r="AH563" s="2347"/>
      <c r="AI563" s="2347"/>
      <c r="AJ563" s="2347"/>
      <c r="AK563" s="2347"/>
      <c r="AL563" s="2347"/>
      <c r="AM563" s="2347"/>
      <c r="AN563" s="2347"/>
      <c r="AO563" s="2347"/>
      <c r="AP563" s="2347"/>
      <c r="AQ563" s="2347"/>
      <c r="AR563" s="2347"/>
      <c r="AS563" s="2347"/>
      <c r="AT563" s="2347"/>
      <c r="AU563" s="2347"/>
      <c r="AV563" s="2347"/>
      <c r="AW563" s="2347"/>
      <c r="AX563" s="2347"/>
      <c r="AY563" s="2347"/>
      <c r="AZ563" s="2347"/>
      <c r="BA563" s="2347"/>
      <c r="BB563" s="2347"/>
    </row>
    <row r="564" spans="2:62">
      <c r="B564" s="2513" t="s">
        <v>81</v>
      </c>
      <c r="C564" s="2518"/>
      <c r="D564" s="2518"/>
      <c r="E564" s="2518"/>
      <c r="F564" s="2518"/>
      <c r="G564" s="2518"/>
      <c r="H564" s="2518"/>
      <c r="I564" s="2518"/>
      <c r="J564" s="2518"/>
      <c r="K564" s="2518"/>
      <c r="L564" s="2517"/>
      <c r="U564" s="2347"/>
      <c r="V564" s="2347"/>
      <c r="W564" s="2347"/>
      <c r="X564" s="2347"/>
      <c r="Y564" s="2347"/>
      <c r="Z564" s="2347"/>
      <c r="AA564" s="2347"/>
      <c r="AB564" s="2347"/>
      <c r="AC564" s="2347"/>
      <c r="AD564" s="2347"/>
      <c r="AE564" s="2347"/>
      <c r="AF564" s="2347"/>
      <c r="AG564" s="2347"/>
      <c r="AH564" s="2347"/>
      <c r="AI564" s="2347"/>
      <c r="AJ564" s="2347"/>
      <c r="AK564" s="2347"/>
      <c r="AL564" s="2347"/>
      <c r="AM564" s="2347"/>
      <c r="AN564" s="2347"/>
      <c r="AO564" s="2347"/>
      <c r="AP564" s="2347"/>
      <c r="AQ564" s="2347"/>
      <c r="AR564" s="2347"/>
      <c r="AS564" s="2347"/>
      <c r="AT564" s="2347"/>
      <c r="AU564" s="2347"/>
      <c r="AV564" s="2347"/>
      <c r="AW564" s="2347"/>
      <c r="AX564" s="2347"/>
      <c r="AY564" s="2347"/>
      <c r="AZ564" s="2347"/>
      <c r="BA564" s="2347"/>
      <c r="BB564" s="2347">
        <v>125277.5</v>
      </c>
    </row>
    <row r="565" spans="2:62">
      <c r="B565" s="2513"/>
      <c r="C565" s="2519"/>
      <c r="D565" s="2504"/>
      <c r="E565" s="2504"/>
      <c r="F565" s="2504"/>
      <c r="G565" s="2504"/>
      <c r="H565" s="2504"/>
      <c r="I565" s="2505"/>
      <c r="J565" s="2520"/>
      <c r="K565" s="2521"/>
      <c r="L565" s="2485"/>
      <c r="U565" s="2347"/>
      <c r="V565" s="2347"/>
      <c r="W565" s="2347"/>
      <c r="X565" s="2347"/>
      <c r="Y565" s="2347"/>
      <c r="Z565" s="2347"/>
      <c r="AA565" s="2347"/>
      <c r="AB565" s="2347"/>
      <c r="AC565" s="2347"/>
      <c r="AD565" s="2347"/>
      <c r="AE565" s="2347"/>
      <c r="AF565" s="2347"/>
      <c r="AG565" s="2347"/>
      <c r="AH565" s="2347"/>
      <c r="AI565" s="2347"/>
      <c r="AJ565" s="2347"/>
      <c r="AK565" s="2347"/>
      <c r="AL565" s="2347"/>
      <c r="AM565" s="2347"/>
      <c r="AN565" s="2347"/>
      <c r="AO565" s="2347"/>
      <c r="AP565" s="2347"/>
      <c r="AQ565" s="2347"/>
      <c r="AR565" s="2347"/>
      <c r="AS565" s="2347"/>
      <c r="AT565" s="2347"/>
      <c r="AU565" s="2347"/>
      <c r="AV565" s="2347"/>
      <c r="AW565" s="2347"/>
      <c r="AX565" s="2347"/>
      <c r="AY565" s="2347"/>
      <c r="AZ565" s="2347"/>
      <c r="BA565" s="2347"/>
      <c r="BB565" s="2347">
        <v>6230937</v>
      </c>
      <c r="BC565" s="2347">
        <f>+(128626352.22+75589253.42)</f>
        <v>204215605.63999999</v>
      </c>
    </row>
    <row r="566" spans="2:62">
      <c r="B566" s="2513"/>
      <c r="C566" s="2522"/>
      <c r="D566" s="2523"/>
      <c r="E566" s="2523"/>
      <c r="F566" s="2523"/>
      <c r="G566" s="2523"/>
      <c r="H566" s="2523"/>
      <c r="I566" s="2524"/>
      <c r="J566" s="2525"/>
      <c r="K566" s="2526"/>
      <c r="L566" s="2485"/>
      <c r="U566" s="2347"/>
      <c r="V566" s="2347"/>
      <c r="W566" s="2347"/>
      <c r="X566" s="2347"/>
      <c r="Y566" s="2347"/>
      <c r="Z566" s="2347"/>
      <c r="AA566" s="2347"/>
      <c r="AB566" s="2347"/>
      <c r="AC566" s="2347"/>
      <c r="AD566" s="2347"/>
      <c r="AE566" s="2347"/>
      <c r="AF566" s="2347"/>
      <c r="AG566" s="2347"/>
      <c r="AH566" s="2347"/>
      <c r="AI566" s="2347"/>
      <c r="AJ566" s="2347"/>
      <c r="AK566" s="2347"/>
      <c r="AL566" s="2347"/>
      <c r="AM566" s="2347"/>
      <c r="AN566" s="2347"/>
      <c r="AO566" s="2347"/>
      <c r="AP566" s="2347"/>
      <c r="AQ566" s="2347"/>
      <c r="AR566" s="2347"/>
      <c r="AS566" s="2347"/>
      <c r="AT566" s="2347"/>
      <c r="AU566" s="2347"/>
      <c r="AV566" s="2347"/>
      <c r="AW566" s="2347"/>
      <c r="AX566" s="2347"/>
      <c r="AY566" s="2347"/>
      <c r="AZ566" s="2347"/>
      <c r="BA566" s="2347"/>
      <c r="BB566" s="2347"/>
      <c r="BC566" s="2347">
        <f>(314747979+9259796)</f>
        <v>324007775</v>
      </c>
    </row>
    <row r="567" spans="2:62">
      <c r="B567" s="2513"/>
      <c r="C567" s="2522"/>
      <c r="D567" s="2523"/>
      <c r="E567" s="2523"/>
      <c r="F567" s="2523"/>
      <c r="G567" s="2523"/>
      <c r="H567" s="2523"/>
      <c r="I567" s="2524"/>
      <c r="J567" s="2525"/>
      <c r="K567" s="2526"/>
      <c r="L567" s="2485"/>
      <c r="U567" s="2347"/>
      <c r="V567" s="2347"/>
      <c r="W567" s="2347"/>
      <c r="X567" s="2347"/>
      <c r="Y567" s="2347"/>
      <c r="Z567" s="2347"/>
      <c r="AA567" s="2347"/>
      <c r="AB567" s="2347"/>
      <c r="AC567" s="2347"/>
      <c r="AD567" s="2347"/>
      <c r="AE567" s="2347"/>
      <c r="AF567" s="2347"/>
      <c r="AG567" s="2347"/>
      <c r="AH567" s="2347"/>
      <c r="AI567" s="2347"/>
      <c r="AJ567" s="2347"/>
      <c r="AK567" s="2347"/>
      <c r="AL567" s="2347"/>
      <c r="AM567" s="2347"/>
      <c r="AN567" s="2347"/>
      <c r="AO567" s="2347"/>
      <c r="AP567" s="2347"/>
      <c r="AQ567" s="2347"/>
      <c r="AR567" s="2347"/>
      <c r="AS567" s="2347"/>
      <c r="AT567" s="2347"/>
      <c r="AU567" s="2347"/>
      <c r="AV567" s="2347"/>
      <c r="AW567" s="2347"/>
      <c r="AX567" s="2347"/>
      <c r="AY567" s="2347"/>
      <c r="AZ567" s="2347"/>
      <c r="BA567" s="2347"/>
      <c r="BB567" s="2347"/>
      <c r="BC567" s="2347">
        <f>68030168</f>
        <v>68030168</v>
      </c>
    </row>
    <row r="568" spans="2:62">
      <c r="B568" s="2513"/>
      <c r="C568" s="2522"/>
      <c r="D568" s="2523"/>
      <c r="E568" s="2523"/>
      <c r="F568" s="2523"/>
      <c r="G568" s="2523"/>
      <c r="H568" s="2523"/>
      <c r="I568" s="2524"/>
      <c r="J568" s="2525"/>
      <c r="K568" s="2526"/>
      <c r="L568" s="2485"/>
      <c r="U568" s="2347"/>
      <c r="V568" s="2347"/>
      <c r="W568" s="2347"/>
      <c r="X568" s="2347"/>
      <c r="Y568" s="2347"/>
      <c r="Z568" s="2347"/>
      <c r="AA568" s="2347"/>
      <c r="AB568" s="2347"/>
      <c r="AC568" s="2347"/>
      <c r="AD568" s="2347"/>
      <c r="AE568" s="2347"/>
      <c r="AF568" s="2347"/>
      <c r="AG568" s="2347"/>
      <c r="AH568" s="2347"/>
      <c r="AI568" s="2347"/>
      <c r="AJ568" s="2347"/>
      <c r="AK568" s="2347"/>
      <c r="AL568" s="2347"/>
      <c r="AM568" s="2347"/>
      <c r="AN568" s="2347"/>
      <c r="AO568" s="2347"/>
      <c r="AP568" s="2347"/>
      <c r="AQ568" s="2347"/>
      <c r="AR568" s="2347"/>
      <c r="AS568" s="2347"/>
      <c r="AT568" s="2347"/>
      <c r="AU568" s="2347"/>
      <c r="AV568" s="2347"/>
      <c r="AW568" s="2347"/>
      <c r="AX568" s="2347"/>
      <c r="AY568" s="2347"/>
      <c r="AZ568" s="2347"/>
      <c r="BA568" s="2347"/>
      <c r="BB568" s="2347"/>
    </row>
    <row r="569" spans="2:62">
      <c r="B569" s="2527" t="s">
        <v>1152</v>
      </c>
      <c r="C569" s="2528">
        <f>43518264/100000</f>
        <v>435.18263999999999</v>
      </c>
      <c r="D569" s="2529">
        <v>0</v>
      </c>
      <c r="E569" s="2529">
        <v>0</v>
      </c>
      <c r="F569" s="2530">
        <f>(43518264)/100000</f>
        <v>435.18263999999999</v>
      </c>
      <c r="G569" s="2529">
        <f>0+0/2</f>
        <v>0</v>
      </c>
      <c r="H569" s="2529" t="e">
        <f>+#REF!</f>
        <v>#REF!</v>
      </c>
      <c r="I569" s="2530" t="e">
        <f>+#REF!</f>
        <v>#REF!</v>
      </c>
      <c r="J569" s="2530" t="e">
        <f t="shared" ref="J569:J579" si="0">+F569-I569</f>
        <v>#REF!</v>
      </c>
      <c r="K569" s="2529">
        <f t="shared" ref="K569:K579" si="1">+C569-G569</f>
        <v>435.18263999999999</v>
      </c>
      <c r="L569" s="2485"/>
      <c r="U569" s="2347"/>
      <c r="V569" s="2347"/>
      <c r="W569" s="2347"/>
      <c r="X569" s="2347"/>
      <c r="Y569" s="2347"/>
      <c r="Z569" s="2347"/>
      <c r="AA569" s="2347"/>
      <c r="AB569" s="2347"/>
      <c r="AC569" s="2347"/>
      <c r="AD569" s="2347"/>
      <c r="AE569" s="2347"/>
      <c r="AF569" s="2347"/>
      <c r="AG569" s="2347"/>
      <c r="AH569" s="2347"/>
      <c r="AI569" s="2347"/>
      <c r="AJ569" s="2347"/>
      <c r="AK569" s="2347"/>
      <c r="AL569" s="2347"/>
      <c r="AM569" s="2347"/>
      <c r="AN569" s="2347"/>
      <c r="AO569" s="2347"/>
      <c r="AP569" s="2347"/>
      <c r="AQ569" s="2347"/>
      <c r="AR569" s="2347"/>
      <c r="AS569" s="2347"/>
      <c r="AT569" s="2347"/>
      <c r="AU569" s="2347"/>
      <c r="AV569" s="2347"/>
      <c r="AW569" s="2347"/>
      <c r="AX569" s="2347"/>
      <c r="AY569" s="2347"/>
      <c r="AZ569" s="2347"/>
      <c r="BA569" s="2347"/>
      <c r="BB569" s="2347">
        <v>814</v>
      </c>
    </row>
    <row r="570" spans="2:62">
      <c r="B570" s="2527" t="s">
        <v>157</v>
      </c>
      <c r="C570" s="2528">
        <f>(815323104)/100000</f>
        <v>8153.2310399999997</v>
      </c>
      <c r="D570" s="2529">
        <f>(18835475/100000)+0.0005</f>
        <v>188.35524999999998</v>
      </c>
      <c r="E570" s="2529">
        <f>138822/100000</f>
        <v>1.38822</v>
      </c>
      <c r="F570" s="2530">
        <f>(834019757)/100000</f>
        <v>8340.1975700000003</v>
      </c>
      <c r="G570" s="2529">
        <f>(210254658)/100000</f>
        <v>2102.5465800000002</v>
      </c>
      <c r="H570" s="2529">
        <f>(16016867)/100000</f>
        <v>160.16866999999999</v>
      </c>
      <c r="I570" s="2530">
        <f>(226271525)/100000</f>
        <v>2262.7152500000002</v>
      </c>
      <c r="J570" s="2530">
        <f t="shared" si="0"/>
        <v>6077.4823200000001</v>
      </c>
      <c r="K570" s="2529">
        <f t="shared" si="1"/>
        <v>6050.6844599999995</v>
      </c>
      <c r="L570" s="2485"/>
      <c r="U570" s="2347"/>
      <c r="V570" s="2347"/>
      <c r="W570" s="2347"/>
      <c r="X570" s="2347"/>
      <c r="Y570" s="2347"/>
      <c r="Z570" s="2347"/>
      <c r="AA570" s="2347"/>
      <c r="AB570" s="2347"/>
      <c r="AC570" s="2347"/>
      <c r="AD570" s="2347"/>
      <c r="AE570" s="2347"/>
      <c r="AF570" s="2347"/>
      <c r="AG570" s="2347"/>
      <c r="AH570" s="2347"/>
      <c r="AI570" s="2347"/>
      <c r="AJ570" s="2347"/>
      <c r="AK570" s="2347"/>
      <c r="AL570" s="2347"/>
      <c r="AM570" s="2347"/>
      <c r="AN570" s="2347"/>
      <c r="AO570" s="2347"/>
      <c r="AP570" s="2347"/>
      <c r="AQ570" s="2347"/>
      <c r="AR570" s="2347"/>
      <c r="AS570" s="2347"/>
      <c r="AT570" s="2347"/>
      <c r="AU570" s="2347"/>
      <c r="AV570" s="2347"/>
      <c r="AW570" s="2347"/>
      <c r="AX570" s="2347"/>
      <c r="AY570" s="2347"/>
      <c r="AZ570" s="2347"/>
      <c r="BA570" s="2347"/>
      <c r="BB570" s="2347"/>
    </row>
    <row r="571" spans="2:62">
      <c r="B571" s="2527" t="s">
        <v>393</v>
      </c>
      <c r="C571" s="2528">
        <f>4613899198/100000</f>
        <v>46138.991979999999</v>
      </c>
      <c r="D571" s="2529">
        <f>(343147484)/100000</f>
        <v>3431.4748399999999</v>
      </c>
      <c r="E571" s="2529">
        <f>(156429021)/100000</f>
        <v>1564.2902099999999</v>
      </c>
      <c r="F571" s="2530">
        <f>(4800617671)/100000</f>
        <v>48006.17671</v>
      </c>
      <c r="G571" s="2529">
        <f>((1727732058)/100000)+0.005</f>
        <v>17277.325580000001</v>
      </c>
      <c r="H571" s="2529">
        <f>(229225876)/100000</f>
        <v>2292.2587600000002</v>
      </c>
      <c r="I571" s="2530">
        <f>((1956957934)/100000)+0.004</f>
        <v>19569.583340000001</v>
      </c>
      <c r="J571" s="2530">
        <f t="shared" si="0"/>
        <v>28436.593369999999</v>
      </c>
      <c r="K571" s="2529">
        <f t="shared" si="1"/>
        <v>28861.666399999998</v>
      </c>
      <c r="L571" s="2485"/>
      <c r="U571" s="2347"/>
      <c r="V571" s="2347"/>
      <c r="W571" s="2347"/>
      <c r="X571" s="2347"/>
      <c r="Y571" s="2347"/>
      <c r="Z571" s="2347"/>
      <c r="AA571" s="2347"/>
      <c r="AB571" s="2347"/>
      <c r="AC571" s="2347"/>
      <c r="AD571" s="2347"/>
      <c r="AE571" s="2347"/>
      <c r="AF571" s="2347"/>
      <c r="AG571" s="2347"/>
      <c r="AH571" s="2347"/>
      <c r="AI571" s="2347"/>
      <c r="AJ571" s="2347"/>
      <c r="AK571" s="2347"/>
      <c r="AL571" s="2347"/>
      <c r="AM571" s="2347"/>
      <c r="AN571" s="2347"/>
      <c r="AO571" s="2347"/>
      <c r="AP571" s="2347"/>
      <c r="AQ571" s="2347"/>
      <c r="AR571" s="2347"/>
      <c r="AS571" s="2347"/>
      <c r="AT571" s="2347"/>
      <c r="AU571" s="2347"/>
      <c r="AV571" s="2347"/>
      <c r="AW571" s="2347"/>
      <c r="AX571" s="2347"/>
      <c r="AY571" s="2347"/>
      <c r="AZ571" s="2347"/>
      <c r="BA571" s="2347"/>
      <c r="BB571" s="2347">
        <v>6359621.5</v>
      </c>
    </row>
    <row r="572" spans="2:62">
      <c r="B572" s="2527" t="s">
        <v>159</v>
      </c>
      <c r="C572" s="2528">
        <f>2860040953/100000</f>
        <v>28600.409530000001</v>
      </c>
      <c r="D572" s="2529">
        <f>((198863985)/100000)+0.006</f>
        <v>1988.6458500000001</v>
      </c>
      <c r="E572" s="2529">
        <f>(125300459)/100000</f>
        <v>1253.00459</v>
      </c>
      <c r="F572" s="2530">
        <f>((2933604479)/100000)+0.001</f>
        <v>29336.04579</v>
      </c>
      <c r="G572" s="2529">
        <f>(902488400)/100000</f>
        <v>9024.884</v>
      </c>
      <c r="H572" s="2529">
        <f>(137239899)/100000</f>
        <v>1372.3989899999999</v>
      </c>
      <c r="I572" s="2530">
        <f>(1039728299)/100000</f>
        <v>10397.28299</v>
      </c>
      <c r="J572" s="2530">
        <f t="shared" si="0"/>
        <v>18938.7628</v>
      </c>
      <c r="K572" s="2529">
        <f t="shared" si="1"/>
        <v>19575.525529999999</v>
      </c>
      <c r="L572" s="2485"/>
      <c r="U572" s="2347"/>
      <c r="V572" s="2347"/>
      <c r="W572" s="2347"/>
      <c r="X572" s="2347"/>
      <c r="Y572" s="2347"/>
      <c r="Z572" s="2347"/>
      <c r="AA572" s="2347"/>
      <c r="AB572" s="2347"/>
      <c r="AC572" s="2347"/>
      <c r="AD572" s="2347"/>
      <c r="AE572" s="2347"/>
      <c r="AF572" s="2347"/>
      <c r="AG572" s="2347"/>
      <c r="AH572" s="2347"/>
      <c r="AI572" s="2347"/>
      <c r="AJ572" s="2347"/>
      <c r="AK572" s="2347"/>
      <c r="AL572" s="2347"/>
      <c r="AM572" s="2347"/>
      <c r="AN572" s="2347"/>
      <c r="AO572" s="2347"/>
      <c r="AP572" s="2347"/>
      <c r="AQ572" s="2347"/>
      <c r="AR572" s="2347"/>
      <c r="AS572" s="2347"/>
      <c r="AT572" s="2347"/>
      <c r="AU572" s="2347"/>
      <c r="AV572" s="2347"/>
      <c r="AW572" s="2347"/>
      <c r="AX572" s="2347"/>
      <c r="AY572" s="2347"/>
      <c r="AZ572" s="2347"/>
      <c r="BA572" s="2347"/>
      <c r="BB572" s="2347">
        <v>599324.5</v>
      </c>
    </row>
    <row r="573" spans="2:62">
      <c r="B573" s="2527" t="s">
        <v>160</v>
      </c>
      <c r="C573" s="2528">
        <f>1235494764/100000</f>
        <v>12354.94764</v>
      </c>
      <c r="D573" s="2529">
        <f>(107247372)/100000</f>
        <v>1072.47372</v>
      </c>
      <c r="E573" s="2529">
        <f>(51581985)/100000</f>
        <v>515.81984999999997</v>
      </c>
      <c r="F573" s="2530">
        <f>(1291160151)/100000</f>
        <v>12911.60151</v>
      </c>
      <c r="G573" s="2529">
        <f>(544071782)/100000</f>
        <v>5440.7178199999998</v>
      </c>
      <c r="H573" s="2529">
        <f>(56275304)/100000</f>
        <v>562.75304000000006</v>
      </c>
      <c r="I573" s="2530">
        <f>(600347086)/100000</f>
        <v>6003.4708600000004</v>
      </c>
      <c r="J573" s="2530">
        <f t="shared" si="0"/>
        <v>6908.1306500000001</v>
      </c>
      <c r="K573" s="2529">
        <f t="shared" si="1"/>
        <v>6914.2298200000005</v>
      </c>
      <c r="L573" s="2485"/>
      <c r="U573" s="2349"/>
      <c r="V573" s="2349"/>
      <c r="W573" s="2349"/>
      <c r="X573" s="2349"/>
      <c r="Y573" s="2349"/>
      <c r="Z573" s="2349"/>
      <c r="AA573" s="2349"/>
      <c r="AB573" s="2347"/>
      <c r="AC573" s="2347"/>
      <c r="AD573" s="2347"/>
      <c r="AE573" s="2347"/>
      <c r="AF573" s="2347"/>
      <c r="AG573" s="2347"/>
      <c r="AH573" s="2347"/>
      <c r="AI573" s="2347"/>
      <c r="AJ573" s="2347"/>
      <c r="AK573" s="2347"/>
      <c r="AL573" s="2347"/>
      <c r="AM573" s="2347"/>
      <c r="AN573" s="2347"/>
      <c r="AO573" s="2347"/>
      <c r="AP573" s="2347"/>
      <c r="AQ573" s="2347"/>
      <c r="AR573" s="2347"/>
      <c r="AS573" s="2347"/>
      <c r="AT573" s="2347"/>
      <c r="AU573" s="2347"/>
      <c r="AV573" s="2347"/>
      <c r="AW573" s="2347"/>
      <c r="AX573" s="2347"/>
      <c r="AY573" s="2347"/>
      <c r="AZ573" s="2347"/>
      <c r="BA573" s="2347"/>
      <c r="BB573" s="2347"/>
    </row>
    <row r="574" spans="2:62">
      <c r="B574" s="2527" t="s">
        <v>161</v>
      </c>
      <c r="C574" s="2528">
        <f>374151704/100000</f>
        <v>3741.5170400000002</v>
      </c>
      <c r="D574" s="2529">
        <f>((10808482)/100000)+0.001</f>
        <v>108.08582</v>
      </c>
      <c r="E574" s="2529">
        <f>(0)/100000</f>
        <v>0</v>
      </c>
      <c r="F574" s="2530">
        <f>(384960186)/100000</f>
        <v>3849.6018600000002</v>
      </c>
      <c r="G574" s="2529">
        <f>(170556058)/100000</f>
        <v>1705.5605800000001</v>
      </c>
      <c r="H574" s="2529">
        <f>(20892423)/100000</f>
        <v>208.92422999999999</v>
      </c>
      <c r="I574" s="2530">
        <f>(191448481)/100000</f>
        <v>1914.4848099999999</v>
      </c>
      <c r="J574" s="2530">
        <f t="shared" si="0"/>
        <v>1935.1170500000003</v>
      </c>
      <c r="K574" s="2529">
        <f t="shared" si="1"/>
        <v>2035.9564600000001</v>
      </c>
      <c r="L574" s="2485"/>
      <c r="T574" s="2347"/>
      <c r="AB574" s="2347"/>
      <c r="AC574" s="2347"/>
      <c r="AD574" s="2347"/>
      <c r="AE574" s="2347"/>
      <c r="AF574" s="2347"/>
      <c r="AG574" s="2347"/>
      <c r="AH574" s="2347"/>
      <c r="AI574" s="2347"/>
      <c r="AJ574" s="2347"/>
      <c r="AK574" s="2347"/>
      <c r="AL574" s="2347"/>
      <c r="AM574" s="2347"/>
      <c r="AN574" s="2347"/>
      <c r="AO574" s="2347"/>
      <c r="AP574" s="2347"/>
      <c r="AQ574" s="2347"/>
      <c r="AR574" s="2347"/>
      <c r="AS574" s="2347"/>
      <c r="AT574" s="2347"/>
      <c r="AU574" s="2347"/>
      <c r="AV574" s="2347"/>
      <c r="AW574" s="2347"/>
      <c r="AX574" s="2347"/>
      <c r="AY574" s="2347"/>
      <c r="AZ574" s="2347"/>
      <c r="BA574" s="2347"/>
      <c r="BB574" s="2347"/>
    </row>
    <row r="575" spans="2:62">
      <c r="B575" s="2527" t="s">
        <v>162</v>
      </c>
      <c r="C575" s="2528">
        <f>577083/100000</f>
        <v>5.7708300000000001</v>
      </c>
      <c r="D575" s="2529">
        <f>(97425)/100000</f>
        <v>0.97424999999999995</v>
      </c>
      <c r="E575" s="2529">
        <f>(42286)/100000</f>
        <v>0.42286000000000001</v>
      </c>
      <c r="F575" s="2530">
        <f>(632222)/100000</f>
        <v>6.3222199999999997</v>
      </c>
      <c r="G575" s="2529">
        <f>(535308)/100000</f>
        <v>5.3530800000000003</v>
      </c>
      <c r="H575" s="2529" t="e">
        <f>(+#REF!)/100000</f>
        <v>#REF!</v>
      </c>
      <c r="I575" s="2530">
        <f>(535308)/100000</f>
        <v>5.3530800000000003</v>
      </c>
      <c r="J575" s="2530">
        <f t="shared" si="0"/>
        <v>0.96913999999999945</v>
      </c>
      <c r="K575" s="2529">
        <f t="shared" si="1"/>
        <v>0.41774999999999984</v>
      </c>
      <c r="L575" s="2485"/>
      <c r="AB575" s="2349"/>
      <c r="AC575" s="2349"/>
      <c r="AD575" s="2349"/>
      <c r="AE575" s="2349"/>
      <c r="AF575" s="2349"/>
      <c r="AG575" s="2349"/>
      <c r="AH575" s="2349"/>
      <c r="AI575" s="2349"/>
      <c r="AJ575" s="2349"/>
      <c r="AK575" s="2349"/>
      <c r="AL575" s="2349"/>
      <c r="AM575" s="2349"/>
      <c r="AN575" s="2349"/>
      <c r="AO575" s="2349"/>
      <c r="AP575" s="2349"/>
      <c r="AQ575" s="2349"/>
      <c r="AR575" s="2349"/>
      <c r="AS575" s="2349"/>
      <c r="AT575" s="2349"/>
      <c r="AU575" s="2349"/>
      <c r="AV575" s="2349"/>
      <c r="AW575" s="2349"/>
      <c r="AX575" s="2349"/>
      <c r="AY575" s="2349"/>
      <c r="AZ575" s="2349"/>
      <c r="BA575" s="2349"/>
      <c r="BB575" s="2349">
        <f>SUM(BB562:BB573)</f>
        <v>13315974.5</v>
      </c>
      <c r="BC575" s="2349">
        <f>SUM(BC562:BC573)</f>
        <v>596253548.63999999</v>
      </c>
    </row>
    <row r="576" spans="2:62">
      <c r="B576" s="2527" t="s">
        <v>163</v>
      </c>
      <c r="C576" s="2528">
        <f>95739592/100000</f>
        <v>957.39592000000005</v>
      </c>
      <c r="D576" s="2529">
        <f>(7182298)/100000</f>
        <v>71.822980000000001</v>
      </c>
      <c r="E576" s="2529">
        <f>(2516833)/100000</f>
        <v>25.168330000000001</v>
      </c>
      <c r="F576" s="2530">
        <f>(100405057)/100000</f>
        <v>1004.05057</v>
      </c>
      <c r="G576" s="2529">
        <f>(48759234)/100000</f>
        <v>487.59233999999998</v>
      </c>
      <c r="H576" s="2529">
        <f>(8836733)/100000</f>
        <v>88.367329999999995</v>
      </c>
      <c r="I576" s="2530">
        <f>(57595967)/100000</f>
        <v>575.95966999999996</v>
      </c>
      <c r="J576" s="2530">
        <f t="shared" si="0"/>
        <v>428.09090000000003</v>
      </c>
      <c r="K576" s="2529">
        <f t="shared" si="1"/>
        <v>469.80358000000007</v>
      </c>
      <c r="L576" s="2485"/>
      <c r="BI576" s="2347"/>
      <c r="BJ576" s="2347"/>
    </row>
    <row r="577" spans="2:13">
      <c r="B577" s="2527" t="s">
        <v>164</v>
      </c>
      <c r="C577" s="2528">
        <f>95103769/100000</f>
        <v>951.03769</v>
      </c>
      <c r="D577" s="2529">
        <f>(12924975)/100000</f>
        <v>129.24975000000001</v>
      </c>
      <c r="E577" s="2529">
        <f>(378950)/100000</f>
        <v>3.7894999999999999</v>
      </c>
      <c r="F577" s="2530">
        <f>(107649794)/100000</f>
        <v>1076.49794</v>
      </c>
      <c r="G577" s="2529">
        <f>(46505806)/100000</f>
        <v>465.05806000000001</v>
      </c>
      <c r="H577" s="2529">
        <f>(5377487)/100000</f>
        <v>53.77487</v>
      </c>
      <c r="I577" s="2530">
        <f>(51883293)/100000</f>
        <v>518.83293000000003</v>
      </c>
      <c r="J577" s="2530">
        <f t="shared" si="0"/>
        <v>557.66500999999994</v>
      </c>
      <c r="K577" s="2529">
        <f t="shared" si="1"/>
        <v>485.97962999999999</v>
      </c>
      <c r="L577" s="2485"/>
    </row>
    <row r="578" spans="2:13">
      <c r="B578" s="2527" t="s">
        <v>1159</v>
      </c>
      <c r="C578" s="2528">
        <f>116155256/100000</f>
        <v>1161.5525600000001</v>
      </c>
      <c r="D578" s="2529">
        <f>(39543190)/100000</f>
        <v>395.43189999999998</v>
      </c>
      <c r="E578" s="2529">
        <f>(7048959)/100000</f>
        <v>70.489590000000007</v>
      </c>
      <c r="F578" s="2530">
        <f>(148649487)/100000</f>
        <v>1486.49487</v>
      </c>
      <c r="G578" s="2529">
        <f>(61693273)/100000</f>
        <v>616.93272999999999</v>
      </c>
      <c r="H578" s="2529">
        <f>(16185687)/100000</f>
        <v>161.85686999999999</v>
      </c>
      <c r="I578" s="2530">
        <f>(77878960)/100000</f>
        <v>778.78959999999995</v>
      </c>
      <c r="J578" s="2530">
        <f t="shared" si="0"/>
        <v>707.70527000000004</v>
      </c>
      <c r="K578" s="2529">
        <f t="shared" si="1"/>
        <v>544.61983000000009</v>
      </c>
      <c r="L578" s="2485"/>
    </row>
    <row r="579" spans="2:13">
      <c r="B579" s="2527" t="s">
        <v>431</v>
      </c>
      <c r="C579" s="2528">
        <f>(0+3158350/2)/100000</f>
        <v>15.79175</v>
      </c>
      <c r="D579" s="2529">
        <f>(0)/100000</f>
        <v>0</v>
      </c>
      <c r="E579" s="2529">
        <f>0</f>
        <v>0</v>
      </c>
      <c r="F579" s="2530">
        <f>(1579175)/100000</f>
        <v>15.79175</v>
      </c>
      <c r="G579" s="2529">
        <f>(250201)/100000</f>
        <v>2.5020099999999998</v>
      </c>
      <c r="H579" s="2529">
        <f>(75011)/100000</f>
        <v>0.75011000000000005</v>
      </c>
      <c r="I579" s="2530">
        <f>(325212)/100000</f>
        <v>3.2521200000000001</v>
      </c>
      <c r="J579" s="2530">
        <f t="shared" si="0"/>
        <v>12.539630000000001</v>
      </c>
      <c r="K579" s="2529">
        <f t="shared" si="1"/>
        <v>13.28974</v>
      </c>
      <c r="L579" s="2485"/>
    </row>
    <row r="580" spans="2:13" ht="15.75" thickBot="1">
      <c r="B580" s="2531" t="s">
        <v>499</v>
      </c>
      <c r="C580" s="2532">
        <f>SUM(C569:C579)</f>
        <v>102515.82861999999</v>
      </c>
      <c r="D580" s="2533">
        <f>SUM(D569:D579)</f>
        <v>7386.5143600000001</v>
      </c>
      <c r="E580" s="2533">
        <f>SUM(E569:E579)</f>
        <v>3434.3731499999999</v>
      </c>
      <c r="F580" s="2533">
        <f>SUM(F566:F579)</f>
        <v>106467.96343000002</v>
      </c>
      <c r="G580" s="2533">
        <f>SUM(G569:G579)</f>
        <v>37128.472779999996</v>
      </c>
      <c r="H580" s="2533" t="e">
        <f>SUM(H569:H579)</f>
        <v>#REF!</v>
      </c>
      <c r="I580" s="2533" t="e">
        <f>SUM(I569:I579)</f>
        <v>#REF!</v>
      </c>
      <c r="J580" s="2533" t="e">
        <f>SUM(J569:J579)</f>
        <v>#REF!</v>
      </c>
      <c r="K580" s="2534">
        <f>SUM(K569:K579)</f>
        <v>65387.355840000004</v>
      </c>
      <c r="L580" s="2485"/>
    </row>
    <row r="581" spans="2:13" ht="15.75" thickTop="1">
      <c r="B581" s="2527"/>
      <c r="C581" s="2535"/>
      <c r="D581" s="2482"/>
      <c r="E581" s="2483"/>
      <c r="F581" s="2482"/>
      <c r="G581" s="2482"/>
      <c r="H581" s="2482"/>
      <c r="I581" s="2482"/>
      <c r="J581" s="2536"/>
      <c r="K581" s="2537"/>
      <c r="L581" s="2487"/>
    </row>
    <row r="582" spans="2:13" ht="15.75" thickBot="1">
      <c r="B582" s="2538" t="s">
        <v>1162</v>
      </c>
      <c r="C582" s="2539"/>
      <c r="D582" s="2523"/>
      <c r="E582" s="2524"/>
      <c r="F582" s="2523"/>
      <c r="G582" s="2523"/>
      <c r="H582" s="2523"/>
      <c r="I582" s="2488"/>
      <c r="J582" s="2540">
        <f>585391500/100000</f>
        <v>5853.915</v>
      </c>
      <c r="K582" s="2541">
        <f>(98340911.34*0.95+143992360.64)/100000</f>
        <v>2374.16226413</v>
      </c>
      <c r="L582" s="2489"/>
    </row>
    <row r="583" spans="2:13">
      <c r="B583" s="2542"/>
      <c r="C583" s="2543"/>
      <c r="D583" s="2482"/>
      <c r="E583" s="2483"/>
      <c r="F583" s="2482"/>
      <c r="G583" s="2482"/>
      <c r="H583" s="2482"/>
      <c r="I583" s="1943"/>
      <c r="J583" s="2543"/>
      <c r="K583" s="2543"/>
      <c r="L583" s="1943"/>
    </row>
    <row r="584" spans="2:13">
      <c r="B584" s="1943"/>
      <c r="C584" s="2544"/>
      <c r="D584" s="2490"/>
      <c r="E584" s="2482"/>
      <c r="F584" s="2483"/>
      <c r="G584" s="2482"/>
      <c r="H584" s="2482"/>
      <c r="I584" s="2482"/>
      <c r="K584" s="2349"/>
      <c r="L584" s="2347"/>
      <c r="M584" s="1943"/>
    </row>
    <row r="585" spans="2:13">
      <c r="B585" s="1943"/>
      <c r="C585" s="2545"/>
      <c r="D585" s="2491"/>
      <c r="F585" s="2342"/>
      <c r="G585" s="2330" t="s">
        <v>94</v>
      </c>
      <c r="I585" s="2347"/>
      <c r="J585" s="1943"/>
      <c r="K585" s="2546">
        <f>+K584/100000</f>
        <v>0</v>
      </c>
      <c r="L585" s="1943"/>
      <c r="M585" s="1943"/>
    </row>
    <row r="586" spans="2:13">
      <c r="B586" s="1943"/>
      <c r="D586" s="1943"/>
      <c r="E586" s="1943"/>
      <c r="F586" s="1943"/>
      <c r="G586" s="1943"/>
      <c r="H586" s="1943"/>
      <c r="I586" s="1943"/>
      <c r="J586" s="1943"/>
      <c r="K586" s="1943"/>
      <c r="L586" s="1943"/>
      <c r="M586" s="1943"/>
    </row>
  </sheetData>
  <mergeCells count="9">
    <mergeCell ref="A54:B54"/>
    <mergeCell ref="A3:G3"/>
    <mergeCell ref="A5:G5"/>
    <mergeCell ref="A389:G389"/>
    <mergeCell ref="E58:G58"/>
    <mergeCell ref="A72:G72"/>
    <mergeCell ref="A74:G74"/>
    <mergeCell ref="E104:G104"/>
    <mergeCell ref="A118:G118"/>
  </mergeCells>
  <hyperlinks>
    <hyperlink ref="C81" location="SCHEDULE_16" display="SCHEDULE_16"/>
    <hyperlink ref="A395" location="BEST_17102006!C82" display="SCHEDULE 13"/>
    <hyperlink ref="A405" location="BEST_17102006!C83" display="SCHEDULE 14"/>
    <hyperlink ref="C82" location="SCHEDULE_17" display="SCHEDULE_17"/>
    <hyperlink ref="C86" location="SCHEDULE_18" display="SCHEDULE_18"/>
    <hyperlink ref="C13" location="sCHEDULE_1_sHEET_1" display="sCHEDULE_1_sHEET_1"/>
    <hyperlink ref="A120" location="Unsecured_Loans" display="SCHEDULE 2"/>
    <hyperlink ref="C18" location="Schedule2" display="Schedule2"/>
    <hyperlink ref="C41" location="SCHEDULE_13" display="SCHEDULE_13"/>
    <hyperlink ref="A305" location="C37" display="SCHEDULE 10"/>
    <hyperlink ref="C42" location="SCHEDULE_14" display="SCHEDULE_14"/>
    <hyperlink ref="A369" location="C38" display="SCHEDULE 11"/>
    <hyperlink ref="C37" location="SCHEDULE_11" display="SCHEDULE_11"/>
    <hyperlink ref="A230" location="BEST!C33" display="SCHEDULE 8"/>
    <hyperlink ref="C36" location="SCHEDULE_10" display="SCHEDULE_10"/>
    <hyperlink ref="A210" location="C32" display="SCHEDULE 7"/>
    <hyperlink ref="A427" location="BEST_17102006!C86" display="SCHEDULE 15"/>
    <hyperlink ref="C38" location="SCHEDULE_12" display="SCHEDULE_12"/>
    <hyperlink ref="C94" location="SCHEDULE_22" display="SCHEDULE_22"/>
    <hyperlink ref="A516" location="BEST_17102006!C105" display="SCHEDULE 19"/>
    <hyperlink ref="C23" location="Fixed_Assets_Schedule" display="Fixed_Assets_Schedule"/>
    <hyperlink ref="A254" location="C34" display="SCHEDULE 9"/>
    <hyperlink ref="C30" location="Schedule_4_Investment" display="Schedule_4_Investment"/>
    <hyperlink ref="A440" location="BEST_17102006!C87" display="SCHEDULE 16"/>
    <hyperlink ref="A375" location="C42" display="SCHEDULE 12"/>
    <hyperlink ref="C46" location="Miscelleneous_Expenditure" display="Miscelleneous_Expenditure"/>
    <hyperlink ref="A140" location="C27" display="SCHEDULE 4"/>
    <hyperlink ref="A505" location="interest_and_finance_charges_bs" display="SCHEDULE 20"/>
    <hyperlink ref="A179" location="C31" display="SCHEDULE 6"/>
    <hyperlink ref="C35" location="SCHEDULE_9" display="SCHEDULE_9"/>
    <hyperlink ref="A534" location="BEST_17102006!C105" display="SCHEDULE 20"/>
    <hyperlink ref="C95" location="BEST_17102006!A641" display="BEST_17102006!A641"/>
  </hyperlinks>
  <printOptions horizontalCentered="1"/>
  <pageMargins left="0.19685039370078741" right="0.23622047244094491" top="0.39370078740157483" bottom="0.70866141732283472" header="0.19685039370078741" footer="0.31496062992125984"/>
  <pageSetup paperSize="9" scale="70" orientation="portrait" horizontalDpi="96" verticalDpi="96" r:id="rId1"/>
  <headerFooter alignWithMargins="0"/>
  <rowBreaks count="7" manualBreakCount="7">
    <brk id="69" max="6" man="1"/>
    <brk id="115" max="6" man="1"/>
    <brk id="176" max="6" man="1"/>
    <brk id="228" max="6" man="1"/>
    <brk id="303" max="6" man="1"/>
    <brk id="387" max="6" man="1"/>
    <brk id="502" max="6" man="1"/>
  </rowBreaks>
  <legacyDrawing r:id="rId2"/>
</worksheet>
</file>

<file path=xl/worksheets/sheet128.xml><?xml version="1.0" encoding="utf-8"?>
<worksheet xmlns="http://schemas.openxmlformats.org/spreadsheetml/2006/main" xmlns:r="http://schemas.openxmlformats.org/officeDocument/2006/relationships">
  <sheetPr codeName="Sheet107"/>
  <dimension ref="A1:O23"/>
  <sheetViews>
    <sheetView showGridLines="0" view="pageBreakPreview" zoomScale="70" zoomScaleNormal="80" zoomScaleSheetLayoutView="70" workbookViewId="0">
      <selection activeCell="F1" sqref="F1"/>
    </sheetView>
  </sheetViews>
  <sheetFormatPr defaultRowHeight="15"/>
  <cols>
    <col min="1" max="1" width="29" style="1937" bestFit="1" customWidth="1"/>
    <col min="2" max="3" width="14.85546875" style="1937" customWidth="1"/>
    <col min="4" max="4" width="14.42578125" style="1937" bestFit="1" customWidth="1"/>
    <col min="5" max="5" width="14.140625" style="1937" customWidth="1"/>
    <col min="6" max="6" width="17.140625" style="1937" bestFit="1" customWidth="1"/>
    <col min="7" max="7" width="15.7109375" style="1937" bestFit="1" customWidth="1"/>
    <col min="8" max="8" width="15" style="1937" bestFit="1" customWidth="1"/>
    <col min="9" max="9" width="15.5703125" style="1937" bestFit="1" customWidth="1"/>
    <col min="10" max="10" width="18" style="1937" bestFit="1" customWidth="1"/>
    <col min="11" max="11" width="10.85546875" style="1937" bestFit="1" customWidth="1"/>
    <col min="12" max="12" width="10.85546875" style="1937" customWidth="1"/>
    <col min="13" max="13" width="9.140625" style="1937"/>
    <col min="14" max="14" width="17.28515625" style="1937" customWidth="1"/>
    <col min="15" max="259" width="9.140625" style="1937"/>
    <col min="260" max="260" width="29" style="1937" bestFit="1" customWidth="1"/>
    <col min="261" max="261" width="14.42578125" style="1937" bestFit="1" customWidth="1"/>
    <col min="262" max="262" width="10.85546875" style="1937" bestFit="1" customWidth="1"/>
    <col min="263" max="263" width="17.140625" style="1937" bestFit="1" customWidth="1"/>
    <col min="264" max="264" width="15.7109375" style="1937" bestFit="1" customWidth="1"/>
    <col min="265" max="265" width="15" style="1937" bestFit="1" customWidth="1"/>
    <col min="266" max="266" width="15.5703125" style="1937" bestFit="1" customWidth="1"/>
    <col min="267" max="267" width="18" style="1937" bestFit="1" customWidth="1"/>
    <col min="268" max="515" width="9.140625" style="1937"/>
    <col min="516" max="516" width="29" style="1937" bestFit="1" customWidth="1"/>
    <col min="517" max="517" width="14.42578125" style="1937" bestFit="1" customWidth="1"/>
    <col min="518" max="518" width="10.85546875" style="1937" bestFit="1" customWidth="1"/>
    <col min="519" max="519" width="17.140625" style="1937" bestFit="1" customWidth="1"/>
    <col min="520" max="520" width="15.7109375" style="1937" bestFit="1" customWidth="1"/>
    <col min="521" max="521" width="15" style="1937" bestFit="1" customWidth="1"/>
    <col min="522" max="522" width="15.5703125" style="1937" bestFit="1" customWidth="1"/>
    <col min="523" max="523" width="18" style="1937" bestFit="1" customWidth="1"/>
    <col min="524" max="771" width="9.140625" style="1937"/>
    <col min="772" max="772" width="29" style="1937" bestFit="1" customWidth="1"/>
    <col min="773" max="773" width="14.42578125" style="1937" bestFit="1" customWidth="1"/>
    <col min="774" max="774" width="10.85546875" style="1937" bestFit="1" customWidth="1"/>
    <col min="775" max="775" width="17.140625" style="1937" bestFit="1" customWidth="1"/>
    <col min="776" max="776" width="15.7109375" style="1937" bestFit="1" customWidth="1"/>
    <col min="777" max="777" width="15" style="1937" bestFit="1" customWidth="1"/>
    <col min="778" max="778" width="15.5703125" style="1937" bestFit="1" customWidth="1"/>
    <col min="779" max="779" width="18" style="1937" bestFit="1" customWidth="1"/>
    <col min="780" max="1027" width="9.140625" style="1937"/>
    <col min="1028" max="1028" width="29" style="1937" bestFit="1" customWidth="1"/>
    <col min="1029" max="1029" width="14.42578125" style="1937" bestFit="1" customWidth="1"/>
    <col min="1030" max="1030" width="10.85546875" style="1937" bestFit="1" customWidth="1"/>
    <col min="1031" max="1031" width="17.140625" style="1937" bestFit="1" customWidth="1"/>
    <col min="1032" max="1032" width="15.7109375" style="1937" bestFit="1" customWidth="1"/>
    <col min="1033" max="1033" width="15" style="1937" bestFit="1" customWidth="1"/>
    <col min="1034" max="1034" width="15.5703125" style="1937" bestFit="1" customWidth="1"/>
    <col min="1035" max="1035" width="18" style="1937" bestFit="1" customWidth="1"/>
    <col min="1036" max="1283" width="9.140625" style="1937"/>
    <col min="1284" max="1284" width="29" style="1937" bestFit="1" customWidth="1"/>
    <col min="1285" max="1285" width="14.42578125" style="1937" bestFit="1" customWidth="1"/>
    <col min="1286" max="1286" width="10.85546875" style="1937" bestFit="1" customWidth="1"/>
    <col min="1287" max="1287" width="17.140625" style="1937" bestFit="1" customWidth="1"/>
    <col min="1288" max="1288" width="15.7109375" style="1937" bestFit="1" customWidth="1"/>
    <col min="1289" max="1289" width="15" style="1937" bestFit="1" customWidth="1"/>
    <col min="1290" max="1290" width="15.5703125" style="1937" bestFit="1" customWidth="1"/>
    <col min="1291" max="1291" width="18" style="1937" bestFit="1" customWidth="1"/>
    <col min="1292" max="1539" width="9.140625" style="1937"/>
    <col min="1540" max="1540" width="29" style="1937" bestFit="1" customWidth="1"/>
    <col min="1541" max="1541" width="14.42578125" style="1937" bestFit="1" customWidth="1"/>
    <col min="1542" max="1542" width="10.85546875" style="1937" bestFit="1" customWidth="1"/>
    <col min="1543" max="1543" width="17.140625" style="1937" bestFit="1" customWidth="1"/>
    <col min="1544" max="1544" width="15.7109375" style="1937" bestFit="1" customWidth="1"/>
    <col min="1545" max="1545" width="15" style="1937" bestFit="1" customWidth="1"/>
    <col min="1546" max="1546" width="15.5703125" style="1937" bestFit="1" customWidth="1"/>
    <col min="1547" max="1547" width="18" style="1937" bestFit="1" customWidth="1"/>
    <col min="1548" max="1795" width="9.140625" style="1937"/>
    <col min="1796" max="1796" width="29" style="1937" bestFit="1" customWidth="1"/>
    <col min="1797" max="1797" width="14.42578125" style="1937" bestFit="1" customWidth="1"/>
    <col min="1798" max="1798" width="10.85546875" style="1937" bestFit="1" customWidth="1"/>
    <col min="1799" max="1799" width="17.140625" style="1937" bestFit="1" customWidth="1"/>
    <col min="1800" max="1800" width="15.7109375" style="1937" bestFit="1" customWidth="1"/>
    <col min="1801" max="1801" width="15" style="1937" bestFit="1" customWidth="1"/>
    <col min="1802" max="1802" width="15.5703125" style="1937" bestFit="1" customWidth="1"/>
    <col min="1803" max="1803" width="18" style="1937" bestFit="1" customWidth="1"/>
    <col min="1804" max="2051" width="9.140625" style="1937"/>
    <col min="2052" max="2052" width="29" style="1937" bestFit="1" customWidth="1"/>
    <col min="2053" max="2053" width="14.42578125" style="1937" bestFit="1" customWidth="1"/>
    <col min="2054" max="2054" width="10.85546875" style="1937" bestFit="1" customWidth="1"/>
    <col min="2055" max="2055" width="17.140625" style="1937" bestFit="1" customWidth="1"/>
    <col min="2056" max="2056" width="15.7109375" style="1937" bestFit="1" customWidth="1"/>
    <col min="2057" max="2057" width="15" style="1937" bestFit="1" customWidth="1"/>
    <col min="2058" max="2058" width="15.5703125" style="1937" bestFit="1" customWidth="1"/>
    <col min="2059" max="2059" width="18" style="1937" bestFit="1" customWidth="1"/>
    <col min="2060" max="2307" width="9.140625" style="1937"/>
    <col min="2308" max="2308" width="29" style="1937" bestFit="1" customWidth="1"/>
    <col min="2309" max="2309" width="14.42578125" style="1937" bestFit="1" customWidth="1"/>
    <col min="2310" max="2310" width="10.85546875" style="1937" bestFit="1" customWidth="1"/>
    <col min="2311" max="2311" width="17.140625" style="1937" bestFit="1" customWidth="1"/>
    <col min="2312" max="2312" width="15.7109375" style="1937" bestFit="1" customWidth="1"/>
    <col min="2313" max="2313" width="15" style="1937" bestFit="1" customWidth="1"/>
    <col min="2314" max="2314" width="15.5703125" style="1937" bestFit="1" customWidth="1"/>
    <col min="2315" max="2315" width="18" style="1937" bestFit="1" customWidth="1"/>
    <col min="2316" max="2563" width="9.140625" style="1937"/>
    <col min="2564" max="2564" width="29" style="1937" bestFit="1" customWidth="1"/>
    <col min="2565" max="2565" width="14.42578125" style="1937" bestFit="1" customWidth="1"/>
    <col min="2566" max="2566" width="10.85546875" style="1937" bestFit="1" customWidth="1"/>
    <col min="2567" max="2567" width="17.140625" style="1937" bestFit="1" customWidth="1"/>
    <col min="2568" max="2568" width="15.7109375" style="1937" bestFit="1" customWidth="1"/>
    <col min="2569" max="2569" width="15" style="1937" bestFit="1" customWidth="1"/>
    <col min="2570" max="2570" width="15.5703125" style="1937" bestFit="1" customWidth="1"/>
    <col min="2571" max="2571" width="18" style="1937" bestFit="1" customWidth="1"/>
    <col min="2572" max="2819" width="9.140625" style="1937"/>
    <col min="2820" max="2820" width="29" style="1937" bestFit="1" customWidth="1"/>
    <col min="2821" max="2821" width="14.42578125" style="1937" bestFit="1" customWidth="1"/>
    <col min="2822" max="2822" width="10.85546875" style="1937" bestFit="1" customWidth="1"/>
    <col min="2823" max="2823" width="17.140625" style="1937" bestFit="1" customWidth="1"/>
    <col min="2824" max="2824" width="15.7109375" style="1937" bestFit="1" customWidth="1"/>
    <col min="2825" max="2825" width="15" style="1937" bestFit="1" customWidth="1"/>
    <col min="2826" max="2826" width="15.5703125" style="1937" bestFit="1" customWidth="1"/>
    <col min="2827" max="2827" width="18" style="1937" bestFit="1" customWidth="1"/>
    <col min="2828" max="3075" width="9.140625" style="1937"/>
    <col min="3076" max="3076" width="29" style="1937" bestFit="1" customWidth="1"/>
    <col min="3077" max="3077" width="14.42578125" style="1937" bestFit="1" customWidth="1"/>
    <col min="3078" max="3078" width="10.85546875" style="1937" bestFit="1" customWidth="1"/>
    <col min="3079" max="3079" width="17.140625" style="1937" bestFit="1" customWidth="1"/>
    <col min="3080" max="3080" width="15.7109375" style="1937" bestFit="1" customWidth="1"/>
    <col min="3081" max="3081" width="15" style="1937" bestFit="1" customWidth="1"/>
    <col min="3082" max="3082" width="15.5703125" style="1937" bestFit="1" customWidth="1"/>
    <col min="3083" max="3083" width="18" style="1937" bestFit="1" customWidth="1"/>
    <col min="3084" max="3331" width="9.140625" style="1937"/>
    <col min="3332" max="3332" width="29" style="1937" bestFit="1" customWidth="1"/>
    <col min="3333" max="3333" width="14.42578125" style="1937" bestFit="1" customWidth="1"/>
    <col min="3334" max="3334" width="10.85546875" style="1937" bestFit="1" customWidth="1"/>
    <col min="3335" max="3335" width="17.140625" style="1937" bestFit="1" customWidth="1"/>
    <col min="3336" max="3336" width="15.7109375" style="1937" bestFit="1" customWidth="1"/>
    <col min="3337" max="3337" width="15" style="1937" bestFit="1" customWidth="1"/>
    <col min="3338" max="3338" width="15.5703125" style="1937" bestFit="1" customWidth="1"/>
    <col min="3339" max="3339" width="18" style="1937" bestFit="1" customWidth="1"/>
    <col min="3340" max="3587" width="9.140625" style="1937"/>
    <col min="3588" max="3588" width="29" style="1937" bestFit="1" customWidth="1"/>
    <col min="3589" max="3589" width="14.42578125" style="1937" bestFit="1" customWidth="1"/>
    <col min="3590" max="3590" width="10.85546875" style="1937" bestFit="1" customWidth="1"/>
    <col min="3591" max="3591" width="17.140625" style="1937" bestFit="1" customWidth="1"/>
    <col min="3592" max="3592" width="15.7109375" style="1937" bestFit="1" customWidth="1"/>
    <col min="3593" max="3593" width="15" style="1937" bestFit="1" customWidth="1"/>
    <col min="3594" max="3594" width="15.5703125" style="1937" bestFit="1" customWidth="1"/>
    <col min="3595" max="3595" width="18" style="1937" bestFit="1" customWidth="1"/>
    <col min="3596" max="3843" width="9.140625" style="1937"/>
    <col min="3844" max="3844" width="29" style="1937" bestFit="1" customWidth="1"/>
    <col min="3845" max="3845" width="14.42578125" style="1937" bestFit="1" customWidth="1"/>
    <col min="3846" max="3846" width="10.85546875" style="1937" bestFit="1" customWidth="1"/>
    <col min="3847" max="3847" width="17.140625" style="1937" bestFit="1" customWidth="1"/>
    <col min="3848" max="3848" width="15.7109375" style="1937" bestFit="1" customWidth="1"/>
    <col min="3849" max="3849" width="15" style="1937" bestFit="1" customWidth="1"/>
    <col min="3850" max="3850" width="15.5703125" style="1937" bestFit="1" customWidth="1"/>
    <col min="3851" max="3851" width="18" style="1937" bestFit="1" customWidth="1"/>
    <col min="3852" max="4099" width="9.140625" style="1937"/>
    <col min="4100" max="4100" width="29" style="1937" bestFit="1" customWidth="1"/>
    <col min="4101" max="4101" width="14.42578125" style="1937" bestFit="1" customWidth="1"/>
    <col min="4102" max="4102" width="10.85546875" style="1937" bestFit="1" customWidth="1"/>
    <col min="4103" max="4103" width="17.140625" style="1937" bestFit="1" customWidth="1"/>
    <col min="4104" max="4104" width="15.7109375" style="1937" bestFit="1" customWidth="1"/>
    <col min="4105" max="4105" width="15" style="1937" bestFit="1" customWidth="1"/>
    <col min="4106" max="4106" width="15.5703125" style="1937" bestFit="1" customWidth="1"/>
    <col min="4107" max="4107" width="18" style="1937" bestFit="1" customWidth="1"/>
    <col min="4108" max="4355" width="9.140625" style="1937"/>
    <col min="4356" max="4356" width="29" style="1937" bestFit="1" customWidth="1"/>
    <col min="4357" max="4357" width="14.42578125" style="1937" bestFit="1" customWidth="1"/>
    <col min="4358" max="4358" width="10.85546875" style="1937" bestFit="1" customWidth="1"/>
    <col min="4359" max="4359" width="17.140625" style="1937" bestFit="1" customWidth="1"/>
    <col min="4360" max="4360" width="15.7109375" style="1937" bestFit="1" customWidth="1"/>
    <col min="4361" max="4361" width="15" style="1937" bestFit="1" customWidth="1"/>
    <col min="4362" max="4362" width="15.5703125" style="1937" bestFit="1" customWidth="1"/>
    <col min="4363" max="4363" width="18" style="1937" bestFit="1" customWidth="1"/>
    <col min="4364" max="4611" width="9.140625" style="1937"/>
    <col min="4612" max="4612" width="29" style="1937" bestFit="1" customWidth="1"/>
    <col min="4613" max="4613" width="14.42578125" style="1937" bestFit="1" customWidth="1"/>
    <col min="4614" max="4614" width="10.85546875" style="1937" bestFit="1" customWidth="1"/>
    <col min="4615" max="4615" width="17.140625" style="1937" bestFit="1" customWidth="1"/>
    <col min="4616" max="4616" width="15.7109375" style="1937" bestFit="1" customWidth="1"/>
    <col min="4617" max="4617" width="15" style="1937" bestFit="1" customWidth="1"/>
    <col min="4618" max="4618" width="15.5703125" style="1937" bestFit="1" customWidth="1"/>
    <col min="4619" max="4619" width="18" style="1937" bestFit="1" customWidth="1"/>
    <col min="4620" max="4867" width="9.140625" style="1937"/>
    <col min="4868" max="4868" width="29" style="1937" bestFit="1" customWidth="1"/>
    <col min="4869" max="4869" width="14.42578125" style="1937" bestFit="1" customWidth="1"/>
    <col min="4870" max="4870" width="10.85546875" style="1937" bestFit="1" customWidth="1"/>
    <col min="4871" max="4871" width="17.140625" style="1937" bestFit="1" customWidth="1"/>
    <col min="4872" max="4872" width="15.7109375" style="1937" bestFit="1" customWidth="1"/>
    <col min="4873" max="4873" width="15" style="1937" bestFit="1" customWidth="1"/>
    <col min="4874" max="4874" width="15.5703125" style="1937" bestFit="1" customWidth="1"/>
    <col min="4875" max="4875" width="18" style="1937" bestFit="1" customWidth="1"/>
    <col min="4876" max="5123" width="9.140625" style="1937"/>
    <col min="5124" max="5124" width="29" style="1937" bestFit="1" customWidth="1"/>
    <col min="5125" max="5125" width="14.42578125" style="1937" bestFit="1" customWidth="1"/>
    <col min="5126" max="5126" width="10.85546875" style="1937" bestFit="1" customWidth="1"/>
    <col min="5127" max="5127" width="17.140625" style="1937" bestFit="1" customWidth="1"/>
    <col min="5128" max="5128" width="15.7109375" style="1937" bestFit="1" customWidth="1"/>
    <col min="5129" max="5129" width="15" style="1937" bestFit="1" customWidth="1"/>
    <col min="5130" max="5130" width="15.5703125" style="1937" bestFit="1" customWidth="1"/>
    <col min="5131" max="5131" width="18" style="1937" bestFit="1" customWidth="1"/>
    <col min="5132" max="5379" width="9.140625" style="1937"/>
    <col min="5380" max="5380" width="29" style="1937" bestFit="1" customWidth="1"/>
    <col min="5381" max="5381" width="14.42578125" style="1937" bestFit="1" customWidth="1"/>
    <col min="5382" max="5382" width="10.85546875" style="1937" bestFit="1" customWidth="1"/>
    <col min="5383" max="5383" width="17.140625" style="1937" bestFit="1" customWidth="1"/>
    <col min="5384" max="5384" width="15.7109375" style="1937" bestFit="1" customWidth="1"/>
    <col min="5385" max="5385" width="15" style="1937" bestFit="1" customWidth="1"/>
    <col min="5386" max="5386" width="15.5703125" style="1937" bestFit="1" customWidth="1"/>
    <col min="5387" max="5387" width="18" style="1937" bestFit="1" customWidth="1"/>
    <col min="5388" max="5635" width="9.140625" style="1937"/>
    <col min="5636" max="5636" width="29" style="1937" bestFit="1" customWidth="1"/>
    <col min="5637" max="5637" width="14.42578125" style="1937" bestFit="1" customWidth="1"/>
    <col min="5638" max="5638" width="10.85546875" style="1937" bestFit="1" customWidth="1"/>
    <col min="5639" max="5639" width="17.140625" style="1937" bestFit="1" customWidth="1"/>
    <col min="5640" max="5640" width="15.7109375" style="1937" bestFit="1" customWidth="1"/>
    <col min="5641" max="5641" width="15" style="1937" bestFit="1" customWidth="1"/>
    <col min="5642" max="5642" width="15.5703125" style="1937" bestFit="1" customWidth="1"/>
    <col min="5643" max="5643" width="18" style="1937" bestFit="1" customWidth="1"/>
    <col min="5644" max="5891" width="9.140625" style="1937"/>
    <col min="5892" max="5892" width="29" style="1937" bestFit="1" customWidth="1"/>
    <col min="5893" max="5893" width="14.42578125" style="1937" bestFit="1" customWidth="1"/>
    <col min="5894" max="5894" width="10.85546875" style="1937" bestFit="1" customWidth="1"/>
    <col min="5895" max="5895" width="17.140625" style="1937" bestFit="1" customWidth="1"/>
    <col min="5896" max="5896" width="15.7109375" style="1937" bestFit="1" customWidth="1"/>
    <col min="5897" max="5897" width="15" style="1937" bestFit="1" customWidth="1"/>
    <col min="5898" max="5898" width="15.5703125" style="1937" bestFit="1" customWidth="1"/>
    <col min="5899" max="5899" width="18" style="1937" bestFit="1" customWidth="1"/>
    <col min="5900" max="6147" width="9.140625" style="1937"/>
    <col min="6148" max="6148" width="29" style="1937" bestFit="1" customWidth="1"/>
    <col min="6149" max="6149" width="14.42578125" style="1937" bestFit="1" customWidth="1"/>
    <col min="6150" max="6150" width="10.85546875" style="1937" bestFit="1" customWidth="1"/>
    <col min="6151" max="6151" width="17.140625" style="1937" bestFit="1" customWidth="1"/>
    <col min="6152" max="6152" width="15.7109375" style="1937" bestFit="1" customWidth="1"/>
    <col min="6153" max="6153" width="15" style="1937" bestFit="1" customWidth="1"/>
    <col min="6154" max="6154" width="15.5703125" style="1937" bestFit="1" customWidth="1"/>
    <col min="6155" max="6155" width="18" style="1937" bestFit="1" customWidth="1"/>
    <col min="6156" max="6403" width="9.140625" style="1937"/>
    <col min="6404" max="6404" width="29" style="1937" bestFit="1" customWidth="1"/>
    <col min="6405" max="6405" width="14.42578125" style="1937" bestFit="1" customWidth="1"/>
    <col min="6406" max="6406" width="10.85546875" style="1937" bestFit="1" customWidth="1"/>
    <col min="6407" max="6407" width="17.140625" style="1937" bestFit="1" customWidth="1"/>
    <col min="6408" max="6408" width="15.7109375" style="1937" bestFit="1" customWidth="1"/>
    <col min="6409" max="6409" width="15" style="1937" bestFit="1" customWidth="1"/>
    <col min="6410" max="6410" width="15.5703125" style="1937" bestFit="1" customWidth="1"/>
    <col min="6411" max="6411" width="18" style="1937" bestFit="1" customWidth="1"/>
    <col min="6412" max="6659" width="9.140625" style="1937"/>
    <col min="6660" max="6660" width="29" style="1937" bestFit="1" customWidth="1"/>
    <col min="6661" max="6661" width="14.42578125" style="1937" bestFit="1" customWidth="1"/>
    <col min="6662" max="6662" width="10.85546875" style="1937" bestFit="1" customWidth="1"/>
    <col min="6663" max="6663" width="17.140625" style="1937" bestFit="1" customWidth="1"/>
    <col min="6664" max="6664" width="15.7109375" style="1937" bestFit="1" customWidth="1"/>
    <col min="6665" max="6665" width="15" style="1937" bestFit="1" customWidth="1"/>
    <col min="6666" max="6666" width="15.5703125" style="1937" bestFit="1" customWidth="1"/>
    <col min="6667" max="6667" width="18" style="1937" bestFit="1" customWidth="1"/>
    <col min="6668" max="6915" width="9.140625" style="1937"/>
    <col min="6916" max="6916" width="29" style="1937" bestFit="1" customWidth="1"/>
    <col min="6917" max="6917" width="14.42578125" style="1937" bestFit="1" customWidth="1"/>
    <col min="6918" max="6918" width="10.85546875" style="1937" bestFit="1" customWidth="1"/>
    <col min="6919" max="6919" width="17.140625" style="1937" bestFit="1" customWidth="1"/>
    <col min="6920" max="6920" width="15.7109375" style="1937" bestFit="1" customWidth="1"/>
    <col min="6921" max="6921" width="15" style="1937" bestFit="1" customWidth="1"/>
    <col min="6922" max="6922" width="15.5703125" style="1937" bestFit="1" customWidth="1"/>
    <col min="6923" max="6923" width="18" style="1937" bestFit="1" customWidth="1"/>
    <col min="6924" max="7171" width="9.140625" style="1937"/>
    <col min="7172" max="7172" width="29" style="1937" bestFit="1" customWidth="1"/>
    <col min="7173" max="7173" width="14.42578125" style="1937" bestFit="1" customWidth="1"/>
    <col min="7174" max="7174" width="10.85546875" style="1937" bestFit="1" customWidth="1"/>
    <col min="7175" max="7175" width="17.140625" style="1937" bestFit="1" customWidth="1"/>
    <col min="7176" max="7176" width="15.7109375" style="1937" bestFit="1" customWidth="1"/>
    <col min="7177" max="7177" width="15" style="1937" bestFit="1" customWidth="1"/>
    <col min="7178" max="7178" width="15.5703125" style="1937" bestFit="1" customWidth="1"/>
    <col min="7179" max="7179" width="18" style="1937" bestFit="1" customWidth="1"/>
    <col min="7180" max="7427" width="9.140625" style="1937"/>
    <col min="7428" max="7428" width="29" style="1937" bestFit="1" customWidth="1"/>
    <col min="7429" max="7429" width="14.42578125" style="1937" bestFit="1" customWidth="1"/>
    <col min="7430" max="7430" width="10.85546875" style="1937" bestFit="1" customWidth="1"/>
    <col min="7431" max="7431" width="17.140625" style="1937" bestFit="1" customWidth="1"/>
    <col min="7432" max="7432" width="15.7109375" style="1937" bestFit="1" customWidth="1"/>
    <col min="7433" max="7433" width="15" style="1937" bestFit="1" customWidth="1"/>
    <col min="7434" max="7434" width="15.5703125" style="1937" bestFit="1" customWidth="1"/>
    <col min="7435" max="7435" width="18" style="1937" bestFit="1" customWidth="1"/>
    <col min="7436" max="7683" width="9.140625" style="1937"/>
    <col min="7684" max="7684" width="29" style="1937" bestFit="1" customWidth="1"/>
    <col min="7685" max="7685" width="14.42578125" style="1937" bestFit="1" customWidth="1"/>
    <col min="7686" max="7686" width="10.85546875" style="1937" bestFit="1" customWidth="1"/>
    <col min="7687" max="7687" width="17.140625" style="1937" bestFit="1" customWidth="1"/>
    <col min="7688" max="7688" width="15.7109375" style="1937" bestFit="1" customWidth="1"/>
    <col min="7689" max="7689" width="15" style="1937" bestFit="1" customWidth="1"/>
    <col min="7690" max="7690" width="15.5703125" style="1937" bestFit="1" customWidth="1"/>
    <col min="7691" max="7691" width="18" style="1937" bestFit="1" customWidth="1"/>
    <col min="7692" max="7939" width="9.140625" style="1937"/>
    <col min="7940" max="7940" width="29" style="1937" bestFit="1" customWidth="1"/>
    <col min="7941" max="7941" width="14.42578125" style="1937" bestFit="1" customWidth="1"/>
    <col min="7942" max="7942" width="10.85546875" style="1937" bestFit="1" customWidth="1"/>
    <col min="7943" max="7943" width="17.140625" style="1937" bestFit="1" customWidth="1"/>
    <col min="7944" max="7944" width="15.7109375" style="1937" bestFit="1" customWidth="1"/>
    <col min="7945" max="7945" width="15" style="1937" bestFit="1" customWidth="1"/>
    <col min="7946" max="7946" width="15.5703125" style="1937" bestFit="1" customWidth="1"/>
    <col min="7947" max="7947" width="18" style="1937" bestFit="1" customWidth="1"/>
    <col min="7948" max="8195" width="9.140625" style="1937"/>
    <col min="8196" max="8196" width="29" style="1937" bestFit="1" customWidth="1"/>
    <col min="8197" max="8197" width="14.42578125" style="1937" bestFit="1" customWidth="1"/>
    <col min="8198" max="8198" width="10.85546875" style="1937" bestFit="1" customWidth="1"/>
    <col min="8199" max="8199" width="17.140625" style="1937" bestFit="1" customWidth="1"/>
    <col min="8200" max="8200" width="15.7109375" style="1937" bestFit="1" customWidth="1"/>
    <col min="8201" max="8201" width="15" style="1937" bestFit="1" customWidth="1"/>
    <col min="8202" max="8202" width="15.5703125" style="1937" bestFit="1" customWidth="1"/>
    <col min="8203" max="8203" width="18" style="1937" bestFit="1" customWidth="1"/>
    <col min="8204" max="8451" width="9.140625" style="1937"/>
    <col min="8452" max="8452" width="29" style="1937" bestFit="1" customWidth="1"/>
    <col min="8453" max="8453" width="14.42578125" style="1937" bestFit="1" customWidth="1"/>
    <col min="8454" max="8454" width="10.85546875" style="1937" bestFit="1" customWidth="1"/>
    <col min="8455" max="8455" width="17.140625" style="1937" bestFit="1" customWidth="1"/>
    <col min="8456" max="8456" width="15.7109375" style="1937" bestFit="1" customWidth="1"/>
    <col min="8457" max="8457" width="15" style="1937" bestFit="1" customWidth="1"/>
    <col min="8458" max="8458" width="15.5703125" style="1937" bestFit="1" customWidth="1"/>
    <col min="8459" max="8459" width="18" style="1937" bestFit="1" customWidth="1"/>
    <col min="8460" max="8707" width="9.140625" style="1937"/>
    <col min="8708" max="8708" width="29" style="1937" bestFit="1" customWidth="1"/>
    <col min="8709" max="8709" width="14.42578125" style="1937" bestFit="1" customWidth="1"/>
    <col min="8710" max="8710" width="10.85546875" style="1937" bestFit="1" customWidth="1"/>
    <col min="8711" max="8711" width="17.140625" style="1937" bestFit="1" customWidth="1"/>
    <col min="8712" max="8712" width="15.7109375" style="1937" bestFit="1" customWidth="1"/>
    <col min="8713" max="8713" width="15" style="1937" bestFit="1" customWidth="1"/>
    <col min="8714" max="8714" width="15.5703125" style="1937" bestFit="1" customWidth="1"/>
    <col min="8715" max="8715" width="18" style="1937" bestFit="1" customWidth="1"/>
    <col min="8716" max="8963" width="9.140625" style="1937"/>
    <col min="8964" max="8964" width="29" style="1937" bestFit="1" customWidth="1"/>
    <col min="8965" max="8965" width="14.42578125" style="1937" bestFit="1" customWidth="1"/>
    <col min="8966" max="8966" width="10.85546875" style="1937" bestFit="1" customWidth="1"/>
    <col min="8967" max="8967" width="17.140625" style="1937" bestFit="1" customWidth="1"/>
    <col min="8968" max="8968" width="15.7109375" style="1937" bestFit="1" customWidth="1"/>
    <col min="8969" max="8969" width="15" style="1937" bestFit="1" customWidth="1"/>
    <col min="8970" max="8970" width="15.5703125" style="1937" bestFit="1" customWidth="1"/>
    <col min="8971" max="8971" width="18" style="1937" bestFit="1" customWidth="1"/>
    <col min="8972" max="9219" width="9.140625" style="1937"/>
    <col min="9220" max="9220" width="29" style="1937" bestFit="1" customWidth="1"/>
    <col min="9221" max="9221" width="14.42578125" style="1937" bestFit="1" customWidth="1"/>
    <col min="9222" max="9222" width="10.85546875" style="1937" bestFit="1" customWidth="1"/>
    <col min="9223" max="9223" width="17.140625" style="1937" bestFit="1" customWidth="1"/>
    <col min="9224" max="9224" width="15.7109375" style="1937" bestFit="1" customWidth="1"/>
    <col min="9225" max="9225" width="15" style="1937" bestFit="1" customWidth="1"/>
    <col min="9226" max="9226" width="15.5703125" style="1937" bestFit="1" customWidth="1"/>
    <col min="9227" max="9227" width="18" style="1937" bestFit="1" customWidth="1"/>
    <col min="9228" max="9475" width="9.140625" style="1937"/>
    <col min="9476" max="9476" width="29" style="1937" bestFit="1" customWidth="1"/>
    <col min="9477" max="9477" width="14.42578125" style="1937" bestFit="1" customWidth="1"/>
    <col min="9478" max="9478" width="10.85546875" style="1937" bestFit="1" customWidth="1"/>
    <col min="9479" max="9479" width="17.140625" style="1937" bestFit="1" customWidth="1"/>
    <col min="9480" max="9480" width="15.7109375" style="1937" bestFit="1" customWidth="1"/>
    <col min="9481" max="9481" width="15" style="1937" bestFit="1" customWidth="1"/>
    <col min="9482" max="9482" width="15.5703125" style="1937" bestFit="1" customWidth="1"/>
    <col min="9483" max="9483" width="18" style="1937" bestFit="1" customWidth="1"/>
    <col min="9484" max="9731" width="9.140625" style="1937"/>
    <col min="9732" max="9732" width="29" style="1937" bestFit="1" customWidth="1"/>
    <col min="9733" max="9733" width="14.42578125" style="1937" bestFit="1" customWidth="1"/>
    <col min="9734" max="9734" width="10.85546875" style="1937" bestFit="1" customWidth="1"/>
    <col min="9735" max="9735" width="17.140625" style="1937" bestFit="1" customWidth="1"/>
    <col min="9736" max="9736" width="15.7109375" style="1937" bestFit="1" customWidth="1"/>
    <col min="9737" max="9737" width="15" style="1937" bestFit="1" customWidth="1"/>
    <col min="9738" max="9738" width="15.5703125" style="1937" bestFit="1" customWidth="1"/>
    <col min="9739" max="9739" width="18" style="1937" bestFit="1" customWidth="1"/>
    <col min="9740" max="9987" width="9.140625" style="1937"/>
    <col min="9988" max="9988" width="29" style="1937" bestFit="1" customWidth="1"/>
    <col min="9989" max="9989" width="14.42578125" style="1937" bestFit="1" customWidth="1"/>
    <col min="9990" max="9990" width="10.85546875" style="1937" bestFit="1" customWidth="1"/>
    <col min="9991" max="9991" width="17.140625" style="1937" bestFit="1" customWidth="1"/>
    <col min="9992" max="9992" width="15.7109375" style="1937" bestFit="1" customWidth="1"/>
    <col min="9993" max="9993" width="15" style="1937" bestFit="1" customWidth="1"/>
    <col min="9994" max="9994" width="15.5703125" style="1937" bestFit="1" customWidth="1"/>
    <col min="9995" max="9995" width="18" style="1937" bestFit="1" customWidth="1"/>
    <col min="9996" max="10243" width="9.140625" style="1937"/>
    <col min="10244" max="10244" width="29" style="1937" bestFit="1" customWidth="1"/>
    <col min="10245" max="10245" width="14.42578125" style="1937" bestFit="1" customWidth="1"/>
    <col min="10246" max="10246" width="10.85546875" style="1937" bestFit="1" customWidth="1"/>
    <col min="10247" max="10247" width="17.140625" style="1937" bestFit="1" customWidth="1"/>
    <col min="10248" max="10248" width="15.7109375" style="1937" bestFit="1" customWidth="1"/>
    <col min="10249" max="10249" width="15" style="1937" bestFit="1" customWidth="1"/>
    <col min="10250" max="10250" width="15.5703125" style="1937" bestFit="1" customWidth="1"/>
    <col min="10251" max="10251" width="18" style="1937" bestFit="1" customWidth="1"/>
    <col min="10252" max="10499" width="9.140625" style="1937"/>
    <col min="10500" max="10500" width="29" style="1937" bestFit="1" customWidth="1"/>
    <col min="10501" max="10501" width="14.42578125" style="1937" bestFit="1" customWidth="1"/>
    <col min="10502" max="10502" width="10.85546875" style="1937" bestFit="1" customWidth="1"/>
    <col min="10503" max="10503" width="17.140625" style="1937" bestFit="1" customWidth="1"/>
    <col min="10504" max="10504" width="15.7109375" style="1937" bestFit="1" customWidth="1"/>
    <col min="10505" max="10505" width="15" style="1937" bestFit="1" customWidth="1"/>
    <col min="10506" max="10506" width="15.5703125" style="1937" bestFit="1" customWidth="1"/>
    <col min="10507" max="10507" width="18" style="1937" bestFit="1" customWidth="1"/>
    <col min="10508" max="10755" width="9.140625" style="1937"/>
    <col min="10756" max="10756" width="29" style="1937" bestFit="1" customWidth="1"/>
    <col min="10757" max="10757" width="14.42578125" style="1937" bestFit="1" customWidth="1"/>
    <col min="10758" max="10758" width="10.85546875" style="1937" bestFit="1" customWidth="1"/>
    <col min="10759" max="10759" width="17.140625" style="1937" bestFit="1" customWidth="1"/>
    <col min="10760" max="10760" width="15.7109375" style="1937" bestFit="1" customWidth="1"/>
    <col min="10761" max="10761" width="15" style="1937" bestFit="1" customWidth="1"/>
    <col min="10762" max="10762" width="15.5703125" style="1937" bestFit="1" customWidth="1"/>
    <col min="10763" max="10763" width="18" style="1937" bestFit="1" customWidth="1"/>
    <col min="10764" max="11011" width="9.140625" style="1937"/>
    <col min="11012" max="11012" width="29" style="1937" bestFit="1" customWidth="1"/>
    <col min="11013" max="11013" width="14.42578125" style="1937" bestFit="1" customWidth="1"/>
    <col min="11014" max="11014" width="10.85546875" style="1937" bestFit="1" customWidth="1"/>
    <col min="11015" max="11015" width="17.140625" style="1937" bestFit="1" customWidth="1"/>
    <col min="11016" max="11016" width="15.7109375" style="1937" bestFit="1" customWidth="1"/>
    <col min="11017" max="11017" width="15" style="1937" bestFit="1" customWidth="1"/>
    <col min="11018" max="11018" width="15.5703125" style="1937" bestFit="1" customWidth="1"/>
    <col min="11019" max="11019" width="18" style="1937" bestFit="1" customWidth="1"/>
    <col min="11020" max="11267" width="9.140625" style="1937"/>
    <col min="11268" max="11268" width="29" style="1937" bestFit="1" customWidth="1"/>
    <col min="11269" max="11269" width="14.42578125" style="1937" bestFit="1" customWidth="1"/>
    <col min="11270" max="11270" width="10.85546875" style="1937" bestFit="1" customWidth="1"/>
    <col min="11271" max="11271" width="17.140625" style="1937" bestFit="1" customWidth="1"/>
    <col min="11272" max="11272" width="15.7109375" style="1937" bestFit="1" customWidth="1"/>
    <col min="11273" max="11273" width="15" style="1937" bestFit="1" customWidth="1"/>
    <col min="11274" max="11274" width="15.5703125" style="1937" bestFit="1" customWidth="1"/>
    <col min="11275" max="11275" width="18" style="1937" bestFit="1" customWidth="1"/>
    <col min="11276" max="11523" width="9.140625" style="1937"/>
    <col min="11524" max="11524" width="29" style="1937" bestFit="1" customWidth="1"/>
    <col min="11525" max="11525" width="14.42578125" style="1937" bestFit="1" customWidth="1"/>
    <col min="11526" max="11526" width="10.85546875" style="1937" bestFit="1" customWidth="1"/>
    <col min="11527" max="11527" width="17.140625" style="1937" bestFit="1" customWidth="1"/>
    <col min="11528" max="11528" width="15.7109375" style="1937" bestFit="1" customWidth="1"/>
    <col min="11529" max="11529" width="15" style="1937" bestFit="1" customWidth="1"/>
    <col min="11530" max="11530" width="15.5703125" style="1937" bestFit="1" customWidth="1"/>
    <col min="11531" max="11531" width="18" style="1937" bestFit="1" customWidth="1"/>
    <col min="11532" max="11779" width="9.140625" style="1937"/>
    <col min="11780" max="11780" width="29" style="1937" bestFit="1" customWidth="1"/>
    <col min="11781" max="11781" width="14.42578125" style="1937" bestFit="1" customWidth="1"/>
    <col min="11782" max="11782" width="10.85546875" style="1937" bestFit="1" customWidth="1"/>
    <col min="11783" max="11783" width="17.140625" style="1937" bestFit="1" customWidth="1"/>
    <col min="11784" max="11784" width="15.7109375" style="1937" bestFit="1" customWidth="1"/>
    <col min="11785" max="11785" width="15" style="1937" bestFit="1" customWidth="1"/>
    <col min="11786" max="11786" width="15.5703125" style="1937" bestFit="1" customWidth="1"/>
    <col min="11787" max="11787" width="18" style="1937" bestFit="1" customWidth="1"/>
    <col min="11788" max="12035" width="9.140625" style="1937"/>
    <col min="12036" max="12036" width="29" style="1937" bestFit="1" customWidth="1"/>
    <col min="12037" max="12037" width="14.42578125" style="1937" bestFit="1" customWidth="1"/>
    <col min="12038" max="12038" width="10.85546875" style="1937" bestFit="1" customWidth="1"/>
    <col min="12039" max="12039" width="17.140625" style="1937" bestFit="1" customWidth="1"/>
    <col min="12040" max="12040" width="15.7109375" style="1937" bestFit="1" customWidth="1"/>
    <col min="12041" max="12041" width="15" style="1937" bestFit="1" customWidth="1"/>
    <col min="12042" max="12042" width="15.5703125" style="1937" bestFit="1" customWidth="1"/>
    <col min="12043" max="12043" width="18" style="1937" bestFit="1" customWidth="1"/>
    <col min="12044" max="12291" width="9.140625" style="1937"/>
    <col min="12292" max="12292" width="29" style="1937" bestFit="1" customWidth="1"/>
    <col min="12293" max="12293" width="14.42578125" style="1937" bestFit="1" customWidth="1"/>
    <col min="12294" max="12294" width="10.85546875" style="1937" bestFit="1" customWidth="1"/>
    <col min="12295" max="12295" width="17.140625" style="1937" bestFit="1" customWidth="1"/>
    <col min="12296" max="12296" width="15.7109375" style="1937" bestFit="1" customWidth="1"/>
    <col min="12297" max="12297" width="15" style="1937" bestFit="1" customWidth="1"/>
    <col min="12298" max="12298" width="15.5703125" style="1937" bestFit="1" customWidth="1"/>
    <col min="12299" max="12299" width="18" style="1937" bestFit="1" customWidth="1"/>
    <col min="12300" max="12547" width="9.140625" style="1937"/>
    <col min="12548" max="12548" width="29" style="1937" bestFit="1" customWidth="1"/>
    <col min="12549" max="12549" width="14.42578125" style="1937" bestFit="1" customWidth="1"/>
    <col min="12550" max="12550" width="10.85546875" style="1937" bestFit="1" customWidth="1"/>
    <col min="12551" max="12551" width="17.140625" style="1937" bestFit="1" customWidth="1"/>
    <col min="12552" max="12552" width="15.7109375" style="1937" bestFit="1" customWidth="1"/>
    <col min="12553" max="12553" width="15" style="1937" bestFit="1" customWidth="1"/>
    <col min="12554" max="12554" width="15.5703125" style="1937" bestFit="1" customWidth="1"/>
    <col min="12555" max="12555" width="18" style="1937" bestFit="1" customWidth="1"/>
    <col min="12556" max="12803" width="9.140625" style="1937"/>
    <col min="12804" max="12804" width="29" style="1937" bestFit="1" customWidth="1"/>
    <col min="12805" max="12805" width="14.42578125" style="1937" bestFit="1" customWidth="1"/>
    <col min="12806" max="12806" width="10.85546875" style="1937" bestFit="1" customWidth="1"/>
    <col min="12807" max="12807" width="17.140625" style="1937" bestFit="1" customWidth="1"/>
    <col min="12808" max="12808" width="15.7109375" style="1937" bestFit="1" customWidth="1"/>
    <col min="12809" max="12809" width="15" style="1937" bestFit="1" customWidth="1"/>
    <col min="12810" max="12810" width="15.5703125" style="1937" bestFit="1" customWidth="1"/>
    <col min="12811" max="12811" width="18" style="1937" bestFit="1" customWidth="1"/>
    <col min="12812" max="13059" width="9.140625" style="1937"/>
    <col min="13060" max="13060" width="29" style="1937" bestFit="1" customWidth="1"/>
    <col min="13061" max="13061" width="14.42578125" style="1937" bestFit="1" customWidth="1"/>
    <col min="13062" max="13062" width="10.85546875" style="1937" bestFit="1" customWidth="1"/>
    <col min="13063" max="13063" width="17.140625" style="1937" bestFit="1" customWidth="1"/>
    <col min="13064" max="13064" width="15.7109375" style="1937" bestFit="1" customWidth="1"/>
    <col min="13065" max="13065" width="15" style="1937" bestFit="1" customWidth="1"/>
    <col min="13066" max="13066" width="15.5703125" style="1937" bestFit="1" customWidth="1"/>
    <col min="13067" max="13067" width="18" style="1937" bestFit="1" customWidth="1"/>
    <col min="13068" max="13315" width="9.140625" style="1937"/>
    <col min="13316" max="13316" width="29" style="1937" bestFit="1" customWidth="1"/>
    <col min="13317" max="13317" width="14.42578125" style="1937" bestFit="1" customWidth="1"/>
    <col min="13318" max="13318" width="10.85546875" style="1937" bestFit="1" customWidth="1"/>
    <col min="13319" max="13319" width="17.140625" style="1937" bestFit="1" customWidth="1"/>
    <col min="13320" max="13320" width="15.7109375" style="1937" bestFit="1" customWidth="1"/>
    <col min="13321" max="13321" width="15" style="1937" bestFit="1" customWidth="1"/>
    <col min="13322" max="13322" width="15.5703125" style="1937" bestFit="1" customWidth="1"/>
    <col min="13323" max="13323" width="18" style="1937" bestFit="1" customWidth="1"/>
    <col min="13324" max="13571" width="9.140625" style="1937"/>
    <col min="13572" max="13572" width="29" style="1937" bestFit="1" customWidth="1"/>
    <col min="13573" max="13573" width="14.42578125" style="1937" bestFit="1" customWidth="1"/>
    <col min="13574" max="13574" width="10.85546875" style="1937" bestFit="1" customWidth="1"/>
    <col min="13575" max="13575" width="17.140625" style="1937" bestFit="1" customWidth="1"/>
    <col min="13576" max="13576" width="15.7109375" style="1937" bestFit="1" customWidth="1"/>
    <col min="13577" max="13577" width="15" style="1937" bestFit="1" customWidth="1"/>
    <col min="13578" max="13578" width="15.5703125" style="1937" bestFit="1" customWidth="1"/>
    <col min="13579" max="13579" width="18" style="1937" bestFit="1" customWidth="1"/>
    <col min="13580" max="13827" width="9.140625" style="1937"/>
    <col min="13828" max="13828" width="29" style="1937" bestFit="1" customWidth="1"/>
    <col min="13829" max="13829" width="14.42578125" style="1937" bestFit="1" customWidth="1"/>
    <col min="13830" max="13830" width="10.85546875" style="1937" bestFit="1" customWidth="1"/>
    <col min="13831" max="13831" width="17.140625" style="1937" bestFit="1" customWidth="1"/>
    <col min="13832" max="13832" width="15.7109375" style="1937" bestFit="1" customWidth="1"/>
    <col min="13833" max="13833" width="15" style="1937" bestFit="1" customWidth="1"/>
    <col min="13834" max="13834" width="15.5703125" style="1937" bestFit="1" customWidth="1"/>
    <col min="13835" max="13835" width="18" style="1937" bestFit="1" customWidth="1"/>
    <col min="13836" max="14083" width="9.140625" style="1937"/>
    <col min="14084" max="14084" width="29" style="1937" bestFit="1" customWidth="1"/>
    <col min="14085" max="14085" width="14.42578125" style="1937" bestFit="1" customWidth="1"/>
    <col min="14086" max="14086" width="10.85546875" style="1937" bestFit="1" customWidth="1"/>
    <col min="14087" max="14087" width="17.140625" style="1937" bestFit="1" customWidth="1"/>
    <col min="14088" max="14088" width="15.7109375" style="1937" bestFit="1" customWidth="1"/>
    <col min="14089" max="14089" width="15" style="1937" bestFit="1" customWidth="1"/>
    <col min="14090" max="14090" width="15.5703125" style="1937" bestFit="1" customWidth="1"/>
    <col min="14091" max="14091" width="18" style="1937" bestFit="1" customWidth="1"/>
    <col min="14092" max="14339" width="9.140625" style="1937"/>
    <col min="14340" max="14340" width="29" style="1937" bestFit="1" customWidth="1"/>
    <col min="14341" max="14341" width="14.42578125" style="1937" bestFit="1" customWidth="1"/>
    <col min="14342" max="14342" width="10.85546875" style="1937" bestFit="1" customWidth="1"/>
    <col min="14343" max="14343" width="17.140625" style="1937" bestFit="1" customWidth="1"/>
    <col min="14344" max="14344" width="15.7109375" style="1937" bestFit="1" customWidth="1"/>
    <col min="14345" max="14345" width="15" style="1937" bestFit="1" customWidth="1"/>
    <col min="14346" max="14346" width="15.5703125" style="1937" bestFit="1" customWidth="1"/>
    <col min="14347" max="14347" width="18" style="1937" bestFit="1" customWidth="1"/>
    <col min="14348" max="14595" width="9.140625" style="1937"/>
    <col min="14596" max="14596" width="29" style="1937" bestFit="1" customWidth="1"/>
    <col min="14597" max="14597" width="14.42578125" style="1937" bestFit="1" customWidth="1"/>
    <col min="14598" max="14598" width="10.85546875" style="1937" bestFit="1" customWidth="1"/>
    <col min="14599" max="14599" width="17.140625" style="1937" bestFit="1" customWidth="1"/>
    <col min="14600" max="14600" width="15.7109375" style="1937" bestFit="1" customWidth="1"/>
    <col min="14601" max="14601" width="15" style="1937" bestFit="1" customWidth="1"/>
    <col min="14602" max="14602" width="15.5703125" style="1937" bestFit="1" customWidth="1"/>
    <col min="14603" max="14603" width="18" style="1937" bestFit="1" customWidth="1"/>
    <col min="14604" max="14851" width="9.140625" style="1937"/>
    <col min="14852" max="14852" width="29" style="1937" bestFit="1" customWidth="1"/>
    <col min="14853" max="14853" width="14.42578125" style="1937" bestFit="1" customWidth="1"/>
    <col min="14854" max="14854" width="10.85546875" style="1937" bestFit="1" customWidth="1"/>
    <col min="14855" max="14855" width="17.140625" style="1937" bestFit="1" customWidth="1"/>
    <col min="14856" max="14856" width="15.7109375" style="1937" bestFit="1" customWidth="1"/>
    <col min="14857" max="14857" width="15" style="1937" bestFit="1" customWidth="1"/>
    <col min="14858" max="14858" width="15.5703125" style="1937" bestFit="1" customWidth="1"/>
    <col min="14859" max="14859" width="18" style="1937" bestFit="1" customWidth="1"/>
    <col min="14860" max="15107" width="9.140625" style="1937"/>
    <col min="15108" max="15108" width="29" style="1937" bestFit="1" customWidth="1"/>
    <col min="15109" max="15109" width="14.42578125" style="1937" bestFit="1" customWidth="1"/>
    <col min="15110" max="15110" width="10.85546875" style="1937" bestFit="1" customWidth="1"/>
    <col min="15111" max="15111" width="17.140625" style="1937" bestFit="1" customWidth="1"/>
    <col min="15112" max="15112" width="15.7109375" style="1937" bestFit="1" customWidth="1"/>
    <col min="15113" max="15113" width="15" style="1937" bestFit="1" customWidth="1"/>
    <col min="15114" max="15114" width="15.5703125" style="1937" bestFit="1" customWidth="1"/>
    <col min="15115" max="15115" width="18" style="1937" bestFit="1" customWidth="1"/>
    <col min="15116" max="15363" width="9.140625" style="1937"/>
    <col min="15364" max="15364" width="29" style="1937" bestFit="1" customWidth="1"/>
    <col min="15365" max="15365" width="14.42578125" style="1937" bestFit="1" customWidth="1"/>
    <col min="15366" max="15366" width="10.85546875" style="1937" bestFit="1" customWidth="1"/>
    <col min="15367" max="15367" width="17.140625" style="1937" bestFit="1" customWidth="1"/>
    <col min="15368" max="15368" width="15.7109375" style="1937" bestFit="1" customWidth="1"/>
    <col min="15369" max="15369" width="15" style="1937" bestFit="1" customWidth="1"/>
    <col min="15370" max="15370" width="15.5703125" style="1937" bestFit="1" customWidth="1"/>
    <col min="15371" max="15371" width="18" style="1937" bestFit="1" customWidth="1"/>
    <col min="15372" max="15619" width="9.140625" style="1937"/>
    <col min="15620" max="15620" width="29" style="1937" bestFit="1" customWidth="1"/>
    <col min="15621" max="15621" width="14.42578125" style="1937" bestFit="1" customWidth="1"/>
    <col min="15622" max="15622" width="10.85546875" style="1937" bestFit="1" customWidth="1"/>
    <col min="15623" max="15623" width="17.140625" style="1937" bestFit="1" customWidth="1"/>
    <col min="15624" max="15624" width="15.7109375" style="1937" bestFit="1" customWidth="1"/>
    <col min="15625" max="15625" width="15" style="1937" bestFit="1" customWidth="1"/>
    <col min="15626" max="15626" width="15.5703125" style="1937" bestFit="1" customWidth="1"/>
    <col min="15627" max="15627" width="18" style="1937" bestFit="1" customWidth="1"/>
    <col min="15628" max="15875" width="9.140625" style="1937"/>
    <col min="15876" max="15876" width="29" style="1937" bestFit="1" customWidth="1"/>
    <col min="15877" max="15877" width="14.42578125" style="1937" bestFit="1" customWidth="1"/>
    <col min="15878" max="15878" width="10.85546875" style="1937" bestFit="1" customWidth="1"/>
    <col min="15879" max="15879" width="17.140625" style="1937" bestFit="1" customWidth="1"/>
    <col min="15880" max="15880" width="15.7109375" style="1937" bestFit="1" customWidth="1"/>
    <col min="15881" max="15881" width="15" style="1937" bestFit="1" customWidth="1"/>
    <col min="15882" max="15882" width="15.5703125" style="1937" bestFit="1" customWidth="1"/>
    <col min="15883" max="15883" width="18" style="1937" bestFit="1" customWidth="1"/>
    <col min="15884" max="16131" width="9.140625" style="1937"/>
    <col min="16132" max="16132" width="29" style="1937" bestFit="1" customWidth="1"/>
    <col min="16133" max="16133" width="14.42578125" style="1937" bestFit="1" customWidth="1"/>
    <col min="16134" max="16134" width="10.85546875" style="1937" bestFit="1" customWidth="1"/>
    <col min="16135" max="16135" width="17.140625" style="1937" bestFit="1" customWidth="1"/>
    <col min="16136" max="16136" width="15.7109375" style="1937" bestFit="1" customWidth="1"/>
    <col min="16137" max="16137" width="15" style="1937" bestFit="1" customWidth="1"/>
    <col min="16138" max="16138" width="15.5703125" style="1937" bestFit="1" customWidth="1"/>
    <col min="16139" max="16139" width="18" style="1937" bestFit="1" customWidth="1"/>
    <col min="16140" max="16384" width="9.140625" style="1937"/>
  </cols>
  <sheetData>
    <row r="1" spans="1:15">
      <c r="A1" s="2174" t="s">
        <v>1518</v>
      </c>
      <c r="B1" s="2174"/>
      <c r="C1" s="2174"/>
    </row>
    <row r="3" spans="1:15" ht="15" customHeight="1">
      <c r="A3" s="6300" t="s">
        <v>809</v>
      </c>
      <c r="B3" s="6297" t="s">
        <v>1836</v>
      </c>
      <c r="C3" s="6297" t="s">
        <v>101</v>
      </c>
      <c r="D3" s="6297" t="s">
        <v>1837</v>
      </c>
      <c r="E3" s="6297" t="s">
        <v>1067</v>
      </c>
      <c r="F3" s="6297" t="s">
        <v>1838</v>
      </c>
      <c r="G3" s="6297" t="s">
        <v>1839</v>
      </c>
      <c r="H3" s="6297" t="s">
        <v>1840</v>
      </c>
      <c r="I3" s="6297" t="s">
        <v>1841</v>
      </c>
      <c r="J3" s="6297" t="s">
        <v>1842</v>
      </c>
      <c r="K3" s="6297" t="s">
        <v>1843</v>
      </c>
    </row>
    <row r="4" spans="1:15" ht="15" customHeight="1">
      <c r="A4" s="6301"/>
      <c r="B4" s="6298"/>
      <c r="C4" s="6298"/>
      <c r="D4" s="6298"/>
      <c r="E4" s="6298"/>
      <c r="F4" s="6298"/>
      <c r="G4" s="6298"/>
      <c r="H4" s="6298"/>
      <c r="I4" s="6298"/>
      <c r="J4" s="6298"/>
      <c r="K4" s="6298"/>
    </row>
    <row r="5" spans="1:15" ht="15" customHeight="1">
      <c r="A5" s="6301"/>
      <c r="B5" s="6298"/>
      <c r="C5" s="6298"/>
      <c r="D5" s="6298"/>
      <c r="E5" s="6298"/>
      <c r="F5" s="6298"/>
      <c r="G5" s="6298"/>
      <c r="H5" s="6298"/>
      <c r="I5" s="6298"/>
      <c r="J5" s="6298"/>
      <c r="K5" s="6298"/>
    </row>
    <row r="6" spans="1:15" ht="15" customHeight="1">
      <c r="A6" s="6302"/>
      <c r="B6" s="6299"/>
      <c r="C6" s="6299"/>
      <c r="D6" s="6299"/>
      <c r="E6" s="6299"/>
      <c r="F6" s="6299"/>
      <c r="G6" s="6299"/>
      <c r="H6" s="6299"/>
      <c r="I6" s="6299"/>
      <c r="J6" s="6299"/>
      <c r="K6" s="6299"/>
    </row>
    <row r="7" spans="1:15">
      <c r="A7" s="2175" t="s">
        <v>868</v>
      </c>
      <c r="B7" s="2175"/>
      <c r="C7" s="2175"/>
      <c r="D7" s="2175"/>
      <c r="E7" s="2175"/>
      <c r="F7" s="2175"/>
      <c r="G7" s="2175"/>
      <c r="H7" s="2175"/>
      <c r="I7" s="2175"/>
      <c r="J7" s="2175"/>
      <c r="K7" s="1939"/>
    </row>
    <row r="8" spans="1:15">
      <c r="A8" s="2175"/>
      <c r="B8" s="2175"/>
      <c r="C8" s="2175"/>
      <c r="D8" s="2176" t="s">
        <v>1095</v>
      </c>
      <c r="E8" s="2176" t="s">
        <v>1095</v>
      </c>
      <c r="F8" s="2176" t="s">
        <v>1095</v>
      </c>
      <c r="G8" s="2176" t="s">
        <v>1095</v>
      </c>
      <c r="H8" s="2176" t="s">
        <v>1095</v>
      </c>
      <c r="I8" s="2176" t="s">
        <v>1095</v>
      </c>
      <c r="J8" s="2176" t="s">
        <v>1095</v>
      </c>
      <c r="K8" s="1939" t="s">
        <v>1844</v>
      </c>
    </row>
    <row r="9" spans="1:15">
      <c r="A9" s="1939" t="s">
        <v>1519</v>
      </c>
      <c r="B9" s="1312">
        <v>3.3399999999999999E-2</v>
      </c>
      <c r="C9" s="2177"/>
      <c r="D9" s="1939">
        <v>22953418</v>
      </c>
      <c r="E9" s="1939">
        <v>0</v>
      </c>
      <c r="F9" s="1939">
        <v>0</v>
      </c>
      <c r="G9" s="1939">
        <v>0</v>
      </c>
      <c r="H9" s="1939">
        <f t="shared" ref="H9:H18" si="0">+D9+E9-F9+G9</f>
        <v>22953418</v>
      </c>
      <c r="I9" s="1939">
        <v>0</v>
      </c>
      <c r="J9" s="1939">
        <f t="shared" ref="J9:J18" si="1">H9-I9</f>
        <v>22953418</v>
      </c>
      <c r="K9" s="2179">
        <f t="shared" ref="K9:K18" si="2">D9*B9</f>
        <v>766644.16119999997</v>
      </c>
      <c r="L9" s="2180"/>
      <c r="N9" s="2178"/>
      <c r="O9" s="1187"/>
    </row>
    <row r="10" spans="1:15">
      <c r="A10" s="1939" t="s">
        <v>1520</v>
      </c>
      <c r="B10" s="1312">
        <v>3.3399999999999999E-2</v>
      </c>
      <c r="C10" s="2177"/>
      <c r="D10" s="1939">
        <v>586535799</v>
      </c>
      <c r="E10" s="1939">
        <v>39840121</v>
      </c>
      <c r="F10" s="1939">
        <v>0</v>
      </c>
      <c r="G10" s="1939">
        <v>0</v>
      </c>
      <c r="H10" s="1939">
        <f t="shared" si="0"/>
        <v>626375920</v>
      </c>
      <c r="I10" s="1939">
        <v>192049619</v>
      </c>
      <c r="J10" s="1939">
        <f t="shared" si="1"/>
        <v>434326301</v>
      </c>
      <c r="K10" s="2179">
        <f t="shared" si="2"/>
        <v>19590295.6866</v>
      </c>
      <c r="L10" s="2180"/>
      <c r="N10" s="2170"/>
      <c r="O10" s="1187"/>
    </row>
    <row r="11" spans="1:15">
      <c r="A11" s="1939" t="s">
        <v>1111</v>
      </c>
      <c r="B11" s="1312">
        <v>5.28E-2</v>
      </c>
      <c r="C11" s="2177"/>
      <c r="D11" s="1939">
        <v>8443919441</v>
      </c>
      <c r="E11" s="1939">
        <v>557614909</v>
      </c>
      <c r="F11" s="1939">
        <v>36113765</v>
      </c>
      <c r="G11" s="1939">
        <v>0</v>
      </c>
      <c r="H11" s="1939">
        <f t="shared" si="0"/>
        <v>8965420585</v>
      </c>
      <c r="I11" s="1939">
        <v>3393718015</v>
      </c>
      <c r="J11" s="1939">
        <f t="shared" si="1"/>
        <v>5571702570</v>
      </c>
      <c r="K11" s="2179">
        <f t="shared" si="2"/>
        <v>445838946.48479998</v>
      </c>
      <c r="L11" s="2180"/>
      <c r="N11" s="2178"/>
      <c r="O11" s="1187"/>
    </row>
    <row r="12" spans="1:15">
      <c r="A12" s="1939" t="s">
        <v>1107</v>
      </c>
      <c r="B12" s="1312">
        <v>5.28E-2</v>
      </c>
      <c r="C12" s="2177"/>
      <c r="D12" s="1939">
        <v>5989774936</v>
      </c>
      <c r="E12" s="1939">
        <v>460831508</v>
      </c>
      <c r="F12" s="1939">
        <v>6200689</v>
      </c>
      <c r="G12" s="1939">
        <v>-1350000</v>
      </c>
      <c r="H12" s="1939">
        <f t="shared" si="0"/>
        <v>6443055755</v>
      </c>
      <c r="I12" s="1939">
        <v>1682908616</v>
      </c>
      <c r="J12" s="1939">
        <f t="shared" si="1"/>
        <v>4760147139</v>
      </c>
      <c r="K12" s="2179">
        <f t="shared" si="2"/>
        <v>316260116.62080002</v>
      </c>
      <c r="L12" s="2180"/>
      <c r="N12" s="2178"/>
      <c r="O12" s="1187"/>
    </row>
    <row r="13" spans="1:15">
      <c r="A13" s="2181" t="s">
        <v>1521</v>
      </c>
      <c r="B13" s="1312">
        <v>5.28E-2</v>
      </c>
      <c r="C13" s="2177"/>
      <c r="D13" s="1939">
        <v>1926442967</v>
      </c>
      <c r="E13" s="1939">
        <v>156473760</v>
      </c>
      <c r="F13" s="1939">
        <v>69869127</v>
      </c>
      <c r="G13" s="1939">
        <v>-22500000</v>
      </c>
      <c r="H13" s="1939">
        <f t="shared" si="0"/>
        <v>1990547600</v>
      </c>
      <c r="I13" s="1939">
        <v>1020687033</v>
      </c>
      <c r="J13" s="1939">
        <f t="shared" si="1"/>
        <v>969860567</v>
      </c>
      <c r="K13" s="2179">
        <f t="shared" si="2"/>
        <v>101716188.6576</v>
      </c>
      <c r="L13" s="2180"/>
      <c r="N13" s="2170"/>
      <c r="O13" s="1187"/>
    </row>
    <row r="14" spans="1:15">
      <c r="A14" s="1939" t="s">
        <v>1109</v>
      </c>
      <c r="B14" s="1312">
        <v>5.28E-2</v>
      </c>
      <c r="C14" s="2177"/>
      <c r="D14" s="1939">
        <v>443260582</v>
      </c>
      <c r="E14" s="1939">
        <v>7088085</v>
      </c>
      <c r="F14" s="1939">
        <v>0</v>
      </c>
      <c r="G14" s="1939">
        <v>-1350000</v>
      </c>
      <c r="H14" s="1939">
        <f t="shared" si="0"/>
        <v>448998667</v>
      </c>
      <c r="I14" s="1939">
        <v>307233511</v>
      </c>
      <c r="J14" s="1939">
        <f t="shared" si="1"/>
        <v>141765156</v>
      </c>
      <c r="K14" s="2179">
        <f t="shared" si="2"/>
        <v>23404158.729600001</v>
      </c>
      <c r="L14" s="2180"/>
      <c r="N14" s="2178"/>
      <c r="O14" s="1187"/>
    </row>
    <row r="15" spans="1:15">
      <c r="A15" s="1939" t="s">
        <v>1522</v>
      </c>
      <c r="B15" s="1312">
        <v>6.3299999999999995E-2</v>
      </c>
      <c r="C15" s="2177"/>
      <c r="D15" s="1939">
        <v>465755</v>
      </c>
      <c r="E15" s="1939">
        <v>0</v>
      </c>
      <c r="F15" s="1939">
        <v>32838</v>
      </c>
      <c r="G15" s="1939">
        <v>0</v>
      </c>
      <c r="H15" s="1939">
        <f t="shared" si="0"/>
        <v>432917</v>
      </c>
      <c r="I15" s="1939">
        <v>356595</v>
      </c>
      <c r="J15" s="1939">
        <f t="shared" si="1"/>
        <v>76322</v>
      </c>
      <c r="K15" s="2179">
        <f t="shared" si="2"/>
        <v>29482.291499999999</v>
      </c>
      <c r="L15" s="2180"/>
      <c r="N15" s="2178"/>
      <c r="O15" s="1187"/>
    </row>
    <row r="16" spans="1:15">
      <c r="A16" s="1939" t="s">
        <v>1099</v>
      </c>
      <c r="B16" s="1312">
        <v>5.28E-2</v>
      </c>
      <c r="C16" s="2177"/>
      <c r="D16" s="1939">
        <v>146095851</v>
      </c>
      <c r="E16" s="1939">
        <v>0</v>
      </c>
      <c r="F16" s="1939">
        <v>0</v>
      </c>
      <c r="G16" s="1939">
        <v>0</v>
      </c>
      <c r="H16" s="1939">
        <f t="shared" si="0"/>
        <v>146095851</v>
      </c>
      <c r="I16" s="1939">
        <v>90641639</v>
      </c>
      <c r="J16" s="1939">
        <f t="shared" si="1"/>
        <v>55454212</v>
      </c>
      <c r="K16" s="2179">
        <f t="shared" si="2"/>
        <v>7713860.9327999996</v>
      </c>
      <c r="L16" s="2180"/>
      <c r="N16" s="2178"/>
      <c r="O16" s="1187"/>
    </row>
    <row r="17" spans="1:15">
      <c r="A17" s="1939" t="s">
        <v>1102</v>
      </c>
      <c r="B17" s="1312">
        <v>5.28E-2</v>
      </c>
      <c r="C17" s="1312"/>
      <c r="D17" s="1939">
        <v>230170275</v>
      </c>
      <c r="E17" s="1939">
        <v>27356662</v>
      </c>
      <c r="F17" s="1939">
        <v>1696778</v>
      </c>
      <c r="G17" s="1939">
        <v>0</v>
      </c>
      <c r="H17" s="1939">
        <f t="shared" si="0"/>
        <v>255830159</v>
      </c>
      <c r="I17" s="1939">
        <v>94951625</v>
      </c>
      <c r="J17" s="1939">
        <f t="shared" si="1"/>
        <v>160878534</v>
      </c>
      <c r="K17" s="2179">
        <f t="shared" si="2"/>
        <v>12152990.52</v>
      </c>
      <c r="L17" s="2180"/>
      <c r="N17" s="2178"/>
      <c r="O17" s="1187"/>
    </row>
    <row r="18" spans="1:15">
      <c r="A18" s="1939" t="s">
        <v>1523</v>
      </c>
      <c r="B18" s="1312">
        <v>6.3299999999999995E-2</v>
      </c>
      <c r="C18" s="2177"/>
      <c r="D18" s="1939">
        <v>241188805</v>
      </c>
      <c r="E18" s="1939">
        <v>11210444</v>
      </c>
      <c r="F18" s="1939">
        <v>1558256</v>
      </c>
      <c r="G18" s="1939">
        <v>-12031550</v>
      </c>
      <c r="H18" s="1939">
        <f t="shared" si="0"/>
        <v>238809443</v>
      </c>
      <c r="I18" s="1939">
        <v>208075226</v>
      </c>
      <c r="J18" s="1939">
        <f t="shared" si="1"/>
        <v>30734217</v>
      </c>
      <c r="K18" s="2179">
        <f t="shared" si="2"/>
        <v>15267251.3565</v>
      </c>
      <c r="L18" s="2180"/>
      <c r="N18" s="2178"/>
      <c r="O18" s="1187"/>
    </row>
    <row r="19" spans="1:15">
      <c r="A19" s="1939"/>
      <c r="B19" s="1939"/>
      <c r="C19" s="1939"/>
      <c r="D19" s="1939"/>
      <c r="E19" s="1939"/>
      <c r="F19" s="1939"/>
      <c r="G19" s="1939"/>
      <c r="H19" s="1939"/>
      <c r="I19" s="1939"/>
      <c r="J19" s="1939"/>
      <c r="K19" s="1939"/>
      <c r="O19" s="2182"/>
    </row>
    <row r="20" spans="1:15">
      <c r="A20" s="1939" t="s">
        <v>499</v>
      </c>
      <c r="B20" s="1939"/>
      <c r="C20" s="1939"/>
      <c r="D20" s="1939">
        <f t="shared" ref="D20:J20" si="3">SUM(D9:D18)</f>
        <v>18030807829</v>
      </c>
      <c r="E20" s="1939">
        <f t="shared" si="3"/>
        <v>1260415489</v>
      </c>
      <c r="F20" s="1939">
        <f t="shared" si="3"/>
        <v>115471453</v>
      </c>
      <c r="G20" s="1939">
        <f t="shared" si="3"/>
        <v>-37231550</v>
      </c>
      <c r="H20" s="1939">
        <f t="shared" si="3"/>
        <v>19138520315</v>
      </c>
      <c r="I20" s="1939">
        <f t="shared" si="3"/>
        <v>6990621879</v>
      </c>
      <c r="J20" s="1939">
        <f t="shared" si="3"/>
        <v>12147898436</v>
      </c>
      <c r="K20" s="2179">
        <f>SUM(K9:K18)</f>
        <v>942739935.44140005</v>
      </c>
      <c r="O20" s="2182"/>
    </row>
    <row r="21" spans="1:15">
      <c r="A21" s="1939" t="s">
        <v>1524</v>
      </c>
      <c r="B21" s="1939"/>
      <c r="C21" s="1939"/>
      <c r="D21" s="1939">
        <f>965898642/2</f>
        <v>482949321</v>
      </c>
      <c r="E21" s="2179">
        <f>4150068/2</f>
        <v>2075034</v>
      </c>
      <c r="F21" s="2179">
        <f>16800219/2</f>
        <v>8400109.5</v>
      </c>
      <c r="G21" s="2179">
        <f>-85130/2</f>
        <v>-42565</v>
      </c>
      <c r="H21" s="2179">
        <f>953163361/2</f>
        <v>476581680.5</v>
      </c>
      <c r="I21" s="1939">
        <f>386422618/2</f>
        <v>193211309</v>
      </c>
      <c r="J21" s="2179">
        <f>566740743/2</f>
        <v>283370371.5</v>
      </c>
      <c r="K21" s="1939"/>
    </row>
    <row r="22" spans="1:15">
      <c r="A22" s="1939" t="s">
        <v>1525</v>
      </c>
      <c r="B22" s="1939"/>
      <c r="C22" s="1939"/>
      <c r="D22" s="1939">
        <f>D20+D21</f>
        <v>18513757150</v>
      </c>
      <c r="E22" s="2179">
        <f t="shared" ref="E22:J22" si="4">+E20+E21</f>
        <v>1262490523</v>
      </c>
      <c r="F22" s="2179">
        <f t="shared" si="4"/>
        <v>123871562.5</v>
      </c>
      <c r="G22" s="2179">
        <f t="shared" si="4"/>
        <v>-37274115</v>
      </c>
      <c r="H22" s="2179">
        <f t="shared" si="4"/>
        <v>19615101995.5</v>
      </c>
      <c r="I22" s="1939">
        <f t="shared" si="4"/>
        <v>7183833188</v>
      </c>
      <c r="J22" s="1939">
        <f t="shared" si="4"/>
        <v>12431268807.5</v>
      </c>
      <c r="K22" s="1939"/>
    </row>
    <row r="23" spans="1:15">
      <c r="F23" s="2180"/>
    </row>
  </sheetData>
  <mergeCells count="11">
    <mergeCell ref="D3:D6"/>
    <mergeCell ref="B3:B6"/>
    <mergeCell ref="A3:A6"/>
    <mergeCell ref="K3:K6"/>
    <mergeCell ref="J3:J6"/>
    <mergeCell ref="I3:I6"/>
    <mergeCell ref="H3:H6"/>
    <mergeCell ref="G3:G6"/>
    <mergeCell ref="F3:F6"/>
    <mergeCell ref="E3:E6"/>
    <mergeCell ref="C3:C6"/>
  </mergeCells>
  <pageMargins left="0.7" right="0.7" top="0.75" bottom="0.75" header="0.3" footer="0.3"/>
  <pageSetup paperSize="9" scale="45" orientation="portrait" r:id="rId1"/>
</worksheet>
</file>

<file path=xl/worksheets/sheet129.xml><?xml version="1.0" encoding="utf-8"?>
<worksheet xmlns="http://schemas.openxmlformats.org/spreadsheetml/2006/main" xmlns:r="http://schemas.openxmlformats.org/officeDocument/2006/relationships">
  <sheetPr codeName="Sheet108">
    <pageSetUpPr fitToPage="1"/>
  </sheetPr>
  <dimension ref="A1:AH166"/>
  <sheetViews>
    <sheetView view="pageBreakPreview" zoomScaleSheetLayoutView="100" workbookViewId="0">
      <selection sqref="A1:XFD1048576"/>
    </sheetView>
  </sheetViews>
  <sheetFormatPr defaultColWidth="16.42578125" defaultRowHeight="15"/>
  <cols>
    <col min="1" max="1" width="2.85546875" style="2290" customWidth="1"/>
    <col min="2" max="2" width="58.5703125" style="2197" customWidth="1"/>
    <col min="3" max="3" width="7" style="2228" hidden="1" customWidth="1"/>
    <col min="4" max="4" width="18" style="2194" bestFit="1" customWidth="1"/>
    <col min="5" max="5" width="2.140625" style="2206" customWidth="1"/>
    <col min="6" max="6" width="18" style="2194" bestFit="1" customWidth="1"/>
    <col min="7" max="7" width="13.7109375" style="2194" hidden="1" customWidth="1"/>
    <col min="8" max="8" width="10.85546875" style="2194" hidden="1" customWidth="1"/>
    <col min="9" max="9" width="13.140625" style="2195" hidden="1" customWidth="1"/>
    <col min="10" max="10" width="1.42578125" style="2228" bestFit="1" customWidth="1"/>
    <col min="11" max="11" width="16.42578125" style="2197" customWidth="1"/>
    <col min="12" max="12" width="17.5703125" style="2197" customWidth="1"/>
    <col min="13" max="21" width="16.42578125" style="2197" customWidth="1"/>
    <col min="22" max="22" width="28.42578125" style="2197" customWidth="1"/>
    <col min="23" max="23" width="21.140625" style="2197" customWidth="1"/>
    <col min="24" max="24" width="13.140625" style="2197" customWidth="1"/>
    <col min="25" max="256" width="16.42578125" style="2197"/>
    <col min="257" max="257" width="2.85546875" style="2197" customWidth="1"/>
    <col min="258" max="258" width="58.5703125" style="2197" customWidth="1"/>
    <col min="259" max="259" width="0" style="2197" hidden="1" customWidth="1"/>
    <col min="260" max="260" width="18" style="2197" bestFit="1" customWidth="1"/>
    <col min="261" max="261" width="2.140625" style="2197" customWidth="1"/>
    <col min="262" max="262" width="18" style="2197" bestFit="1" customWidth="1"/>
    <col min="263" max="265" width="0" style="2197" hidden="1" customWidth="1"/>
    <col min="266" max="266" width="1.42578125" style="2197" bestFit="1" customWidth="1"/>
    <col min="267" max="267" width="16.42578125" style="2197" customWidth="1"/>
    <col min="268" max="268" width="17.5703125" style="2197" customWidth="1"/>
    <col min="269" max="277" width="16.42578125" style="2197" customWidth="1"/>
    <col min="278" max="278" width="28.42578125" style="2197" customWidth="1"/>
    <col min="279" max="279" width="21.140625" style="2197" customWidth="1"/>
    <col min="280" max="280" width="13.140625" style="2197" customWidth="1"/>
    <col min="281" max="512" width="16.42578125" style="2197"/>
    <col min="513" max="513" width="2.85546875" style="2197" customWidth="1"/>
    <col min="514" max="514" width="58.5703125" style="2197" customWidth="1"/>
    <col min="515" max="515" width="0" style="2197" hidden="1" customWidth="1"/>
    <col min="516" max="516" width="18" style="2197" bestFit="1" customWidth="1"/>
    <col min="517" max="517" width="2.140625" style="2197" customWidth="1"/>
    <col min="518" max="518" width="18" style="2197" bestFit="1" customWidth="1"/>
    <col min="519" max="521" width="0" style="2197" hidden="1" customWidth="1"/>
    <col min="522" max="522" width="1.42578125" style="2197" bestFit="1" customWidth="1"/>
    <col min="523" max="523" width="16.42578125" style="2197" customWidth="1"/>
    <col min="524" max="524" width="17.5703125" style="2197" customWidth="1"/>
    <col min="525" max="533" width="16.42578125" style="2197" customWidth="1"/>
    <col min="534" max="534" width="28.42578125" style="2197" customWidth="1"/>
    <col min="535" max="535" width="21.140625" style="2197" customWidth="1"/>
    <col min="536" max="536" width="13.140625" style="2197" customWidth="1"/>
    <col min="537" max="768" width="16.42578125" style="2197"/>
    <col min="769" max="769" width="2.85546875" style="2197" customWidth="1"/>
    <col min="770" max="770" width="58.5703125" style="2197" customWidth="1"/>
    <col min="771" max="771" width="0" style="2197" hidden="1" customWidth="1"/>
    <col min="772" max="772" width="18" style="2197" bestFit="1" customWidth="1"/>
    <col min="773" max="773" width="2.140625" style="2197" customWidth="1"/>
    <col min="774" max="774" width="18" style="2197" bestFit="1" customWidth="1"/>
    <col min="775" max="777" width="0" style="2197" hidden="1" customWidth="1"/>
    <col min="778" max="778" width="1.42578125" style="2197" bestFit="1" customWidth="1"/>
    <col min="779" max="779" width="16.42578125" style="2197" customWidth="1"/>
    <col min="780" max="780" width="17.5703125" style="2197" customWidth="1"/>
    <col min="781" max="789" width="16.42578125" style="2197" customWidth="1"/>
    <col min="790" max="790" width="28.42578125" style="2197" customWidth="1"/>
    <col min="791" max="791" width="21.140625" style="2197" customWidth="1"/>
    <col min="792" max="792" width="13.140625" style="2197" customWidth="1"/>
    <col min="793" max="1024" width="16.42578125" style="2197"/>
    <col min="1025" max="1025" width="2.85546875" style="2197" customWidth="1"/>
    <col min="1026" max="1026" width="58.5703125" style="2197" customWidth="1"/>
    <col min="1027" max="1027" width="0" style="2197" hidden="1" customWidth="1"/>
    <col min="1028" max="1028" width="18" style="2197" bestFit="1" customWidth="1"/>
    <col min="1029" max="1029" width="2.140625" style="2197" customWidth="1"/>
    <col min="1030" max="1030" width="18" style="2197" bestFit="1" customWidth="1"/>
    <col min="1031" max="1033" width="0" style="2197" hidden="1" customWidth="1"/>
    <col min="1034" max="1034" width="1.42578125" style="2197" bestFit="1" customWidth="1"/>
    <col min="1035" max="1035" width="16.42578125" style="2197" customWidth="1"/>
    <col min="1036" max="1036" width="17.5703125" style="2197" customWidth="1"/>
    <col min="1037" max="1045" width="16.42578125" style="2197" customWidth="1"/>
    <col min="1046" max="1046" width="28.42578125" style="2197" customWidth="1"/>
    <col min="1047" max="1047" width="21.140625" style="2197" customWidth="1"/>
    <col min="1048" max="1048" width="13.140625" style="2197" customWidth="1"/>
    <col min="1049" max="1280" width="16.42578125" style="2197"/>
    <col min="1281" max="1281" width="2.85546875" style="2197" customWidth="1"/>
    <col min="1282" max="1282" width="58.5703125" style="2197" customWidth="1"/>
    <col min="1283" max="1283" width="0" style="2197" hidden="1" customWidth="1"/>
    <col min="1284" max="1284" width="18" style="2197" bestFit="1" customWidth="1"/>
    <col min="1285" max="1285" width="2.140625" style="2197" customWidth="1"/>
    <col min="1286" max="1286" width="18" style="2197" bestFit="1" customWidth="1"/>
    <col min="1287" max="1289" width="0" style="2197" hidden="1" customWidth="1"/>
    <col min="1290" max="1290" width="1.42578125" style="2197" bestFit="1" customWidth="1"/>
    <col min="1291" max="1291" width="16.42578125" style="2197" customWidth="1"/>
    <col min="1292" max="1292" width="17.5703125" style="2197" customWidth="1"/>
    <col min="1293" max="1301" width="16.42578125" style="2197" customWidth="1"/>
    <col min="1302" max="1302" width="28.42578125" style="2197" customWidth="1"/>
    <col min="1303" max="1303" width="21.140625" style="2197" customWidth="1"/>
    <col min="1304" max="1304" width="13.140625" style="2197" customWidth="1"/>
    <col min="1305" max="1536" width="16.42578125" style="2197"/>
    <col min="1537" max="1537" width="2.85546875" style="2197" customWidth="1"/>
    <col min="1538" max="1538" width="58.5703125" style="2197" customWidth="1"/>
    <col min="1539" max="1539" width="0" style="2197" hidden="1" customWidth="1"/>
    <col min="1540" max="1540" width="18" style="2197" bestFit="1" customWidth="1"/>
    <col min="1541" max="1541" width="2.140625" style="2197" customWidth="1"/>
    <col min="1542" max="1542" width="18" style="2197" bestFit="1" customWidth="1"/>
    <col min="1543" max="1545" width="0" style="2197" hidden="1" customWidth="1"/>
    <col min="1546" max="1546" width="1.42578125" style="2197" bestFit="1" customWidth="1"/>
    <col min="1547" max="1547" width="16.42578125" style="2197" customWidth="1"/>
    <col min="1548" max="1548" width="17.5703125" style="2197" customWidth="1"/>
    <col min="1549" max="1557" width="16.42578125" style="2197" customWidth="1"/>
    <col min="1558" max="1558" width="28.42578125" style="2197" customWidth="1"/>
    <col min="1559" max="1559" width="21.140625" style="2197" customWidth="1"/>
    <col min="1560" max="1560" width="13.140625" style="2197" customWidth="1"/>
    <col min="1561" max="1792" width="16.42578125" style="2197"/>
    <col min="1793" max="1793" width="2.85546875" style="2197" customWidth="1"/>
    <col min="1794" max="1794" width="58.5703125" style="2197" customWidth="1"/>
    <col min="1795" max="1795" width="0" style="2197" hidden="1" customWidth="1"/>
    <col min="1796" max="1796" width="18" style="2197" bestFit="1" customWidth="1"/>
    <col min="1797" max="1797" width="2.140625" style="2197" customWidth="1"/>
    <col min="1798" max="1798" width="18" style="2197" bestFit="1" customWidth="1"/>
    <col min="1799" max="1801" width="0" style="2197" hidden="1" customWidth="1"/>
    <col min="1802" max="1802" width="1.42578125" style="2197" bestFit="1" customWidth="1"/>
    <col min="1803" max="1803" width="16.42578125" style="2197" customWidth="1"/>
    <col min="1804" max="1804" width="17.5703125" style="2197" customWidth="1"/>
    <col min="1805" max="1813" width="16.42578125" style="2197" customWidth="1"/>
    <col min="1814" max="1814" width="28.42578125" style="2197" customWidth="1"/>
    <col min="1815" max="1815" width="21.140625" style="2197" customWidth="1"/>
    <col min="1816" max="1816" width="13.140625" style="2197" customWidth="1"/>
    <col min="1817" max="2048" width="16.42578125" style="2197"/>
    <col min="2049" max="2049" width="2.85546875" style="2197" customWidth="1"/>
    <col min="2050" max="2050" width="58.5703125" style="2197" customWidth="1"/>
    <col min="2051" max="2051" width="0" style="2197" hidden="1" customWidth="1"/>
    <col min="2052" max="2052" width="18" style="2197" bestFit="1" customWidth="1"/>
    <col min="2053" max="2053" width="2.140625" style="2197" customWidth="1"/>
    <col min="2054" max="2054" width="18" style="2197" bestFit="1" customWidth="1"/>
    <col min="2055" max="2057" width="0" style="2197" hidden="1" customWidth="1"/>
    <col min="2058" max="2058" width="1.42578125" style="2197" bestFit="1" customWidth="1"/>
    <col min="2059" max="2059" width="16.42578125" style="2197" customWidth="1"/>
    <col min="2060" max="2060" width="17.5703125" style="2197" customWidth="1"/>
    <col min="2061" max="2069" width="16.42578125" style="2197" customWidth="1"/>
    <col min="2070" max="2070" width="28.42578125" style="2197" customWidth="1"/>
    <col min="2071" max="2071" width="21.140625" style="2197" customWidth="1"/>
    <col min="2072" max="2072" width="13.140625" style="2197" customWidth="1"/>
    <col min="2073" max="2304" width="16.42578125" style="2197"/>
    <col min="2305" max="2305" width="2.85546875" style="2197" customWidth="1"/>
    <col min="2306" max="2306" width="58.5703125" style="2197" customWidth="1"/>
    <col min="2307" max="2307" width="0" style="2197" hidden="1" customWidth="1"/>
    <col min="2308" max="2308" width="18" style="2197" bestFit="1" customWidth="1"/>
    <col min="2309" max="2309" width="2.140625" style="2197" customWidth="1"/>
    <col min="2310" max="2310" width="18" style="2197" bestFit="1" customWidth="1"/>
    <col min="2311" max="2313" width="0" style="2197" hidden="1" customWidth="1"/>
    <col min="2314" max="2314" width="1.42578125" style="2197" bestFit="1" customWidth="1"/>
    <col min="2315" max="2315" width="16.42578125" style="2197" customWidth="1"/>
    <col min="2316" max="2316" width="17.5703125" style="2197" customWidth="1"/>
    <col min="2317" max="2325" width="16.42578125" style="2197" customWidth="1"/>
    <col min="2326" max="2326" width="28.42578125" style="2197" customWidth="1"/>
    <col min="2327" max="2327" width="21.140625" style="2197" customWidth="1"/>
    <col min="2328" max="2328" width="13.140625" style="2197" customWidth="1"/>
    <col min="2329" max="2560" width="16.42578125" style="2197"/>
    <col min="2561" max="2561" width="2.85546875" style="2197" customWidth="1"/>
    <col min="2562" max="2562" width="58.5703125" style="2197" customWidth="1"/>
    <col min="2563" max="2563" width="0" style="2197" hidden="1" customWidth="1"/>
    <col min="2564" max="2564" width="18" style="2197" bestFit="1" customWidth="1"/>
    <col min="2565" max="2565" width="2.140625" style="2197" customWidth="1"/>
    <col min="2566" max="2566" width="18" style="2197" bestFit="1" customWidth="1"/>
    <col min="2567" max="2569" width="0" style="2197" hidden="1" customWidth="1"/>
    <col min="2570" max="2570" width="1.42578125" style="2197" bestFit="1" customWidth="1"/>
    <col min="2571" max="2571" width="16.42578125" style="2197" customWidth="1"/>
    <col min="2572" max="2572" width="17.5703125" style="2197" customWidth="1"/>
    <col min="2573" max="2581" width="16.42578125" style="2197" customWidth="1"/>
    <col min="2582" max="2582" width="28.42578125" style="2197" customWidth="1"/>
    <col min="2583" max="2583" width="21.140625" style="2197" customWidth="1"/>
    <col min="2584" max="2584" width="13.140625" style="2197" customWidth="1"/>
    <col min="2585" max="2816" width="16.42578125" style="2197"/>
    <col min="2817" max="2817" width="2.85546875" style="2197" customWidth="1"/>
    <col min="2818" max="2818" width="58.5703125" style="2197" customWidth="1"/>
    <col min="2819" max="2819" width="0" style="2197" hidden="1" customWidth="1"/>
    <col min="2820" max="2820" width="18" style="2197" bestFit="1" customWidth="1"/>
    <col min="2821" max="2821" width="2.140625" style="2197" customWidth="1"/>
    <col min="2822" max="2822" width="18" style="2197" bestFit="1" customWidth="1"/>
    <col min="2823" max="2825" width="0" style="2197" hidden="1" customWidth="1"/>
    <col min="2826" max="2826" width="1.42578125" style="2197" bestFit="1" customWidth="1"/>
    <col min="2827" max="2827" width="16.42578125" style="2197" customWidth="1"/>
    <col min="2828" max="2828" width="17.5703125" style="2197" customWidth="1"/>
    <col min="2829" max="2837" width="16.42578125" style="2197" customWidth="1"/>
    <col min="2838" max="2838" width="28.42578125" style="2197" customWidth="1"/>
    <col min="2839" max="2839" width="21.140625" style="2197" customWidth="1"/>
    <col min="2840" max="2840" width="13.140625" style="2197" customWidth="1"/>
    <col min="2841" max="3072" width="16.42578125" style="2197"/>
    <col min="3073" max="3073" width="2.85546875" style="2197" customWidth="1"/>
    <col min="3074" max="3074" width="58.5703125" style="2197" customWidth="1"/>
    <col min="3075" max="3075" width="0" style="2197" hidden="1" customWidth="1"/>
    <col min="3076" max="3076" width="18" style="2197" bestFit="1" customWidth="1"/>
    <col min="3077" max="3077" width="2.140625" style="2197" customWidth="1"/>
    <col min="3078" max="3078" width="18" style="2197" bestFit="1" customWidth="1"/>
    <col min="3079" max="3081" width="0" style="2197" hidden="1" customWidth="1"/>
    <col min="3082" max="3082" width="1.42578125" style="2197" bestFit="1" customWidth="1"/>
    <col min="3083" max="3083" width="16.42578125" style="2197" customWidth="1"/>
    <col min="3084" max="3084" width="17.5703125" style="2197" customWidth="1"/>
    <col min="3085" max="3093" width="16.42578125" style="2197" customWidth="1"/>
    <col min="3094" max="3094" width="28.42578125" style="2197" customWidth="1"/>
    <col min="3095" max="3095" width="21.140625" style="2197" customWidth="1"/>
    <col min="3096" max="3096" width="13.140625" style="2197" customWidth="1"/>
    <col min="3097" max="3328" width="16.42578125" style="2197"/>
    <col min="3329" max="3329" width="2.85546875" style="2197" customWidth="1"/>
    <col min="3330" max="3330" width="58.5703125" style="2197" customWidth="1"/>
    <col min="3331" max="3331" width="0" style="2197" hidden="1" customWidth="1"/>
    <col min="3332" max="3332" width="18" style="2197" bestFit="1" customWidth="1"/>
    <col min="3333" max="3333" width="2.140625" style="2197" customWidth="1"/>
    <col min="3334" max="3334" width="18" style="2197" bestFit="1" customWidth="1"/>
    <col min="3335" max="3337" width="0" style="2197" hidden="1" customWidth="1"/>
    <col min="3338" max="3338" width="1.42578125" style="2197" bestFit="1" customWidth="1"/>
    <col min="3339" max="3339" width="16.42578125" style="2197" customWidth="1"/>
    <col min="3340" max="3340" width="17.5703125" style="2197" customWidth="1"/>
    <col min="3341" max="3349" width="16.42578125" style="2197" customWidth="1"/>
    <col min="3350" max="3350" width="28.42578125" style="2197" customWidth="1"/>
    <col min="3351" max="3351" width="21.140625" style="2197" customWidth="1"/>
    <col min="3352" max="3352" width="13.140625" style="2197" customWidth="1"/>
    <col min="3353" max="3584" width="16.42578125" style="2197"/>
    <col min="3585" max="3585" width="2.85546875" style="2197" customWidth="1"/>
    <col min="3586" max="3586" width="58.5703125" style="2197" customWidth="1"/>
    <col min="3587" max="3587" width="0" style="2197" hidden="1" customWidth="1"/>
    <col min="3588" max="3588" width="18" style="2197" bestFit="1" customWidth="1"/>
    <col min="3589" max="3589" width="2.140625" style="2197" customWidth="1"/>
    <col min="3590" max="3590" width="18" style="2197" bestFit="1" customWidth="1"/>
    <col min="3591" max="3593" width="0" style="2197" hidden="1" customWidth="1"/>
    <col min="3594" max="3594" width="1.42578125" style="2197" bestFit="1" customWidth="1"/>
    <col min="3595" max="3595" width="16.42578125" style="2197" customWidth="1"/>
    <col min="3596" max="3596" width="17.5703125" style="2197" customWidth="1"/>
    <col min="3597" max="3605" width="16.42578125" style="2197" customWidth="1"/>
    <col min="3606" max="3606" width="28.42578125" style="2197" customWidth="1"/>
    <col min="3607" max="3607" width="21.140625" style="2197" customWidth="1"/>
    <col min="3608" max="3608" width="13.140625" style="2197" customWidth="1"/>
    <col min="3609" max="3840" width="16.42578125" style="2197"/>
    <col min="3841" max="3841" width="2.85546875" style="2197" customWidth="1"/>
    <col min="3842" max="3842" width="58.5703125" style="2197" customWidth="1"/>
    <col min="3843" max="3843" width="0" style="2197" hidden="1" customWidth="1"/>
    <col min="3844" max="3844" width="18" style="2197" bestFit="1" customWidth="1"/>
    <col min="3845" max="3845" width="2.140625" style="2197" customWidth="1"/>
    <col min="3846" max="3846" width="18" style="2197" bestFit="1" customWidth="1"/>
    <col min="3847" max="3849" width="0" style="2197" hidden="1" customWidth="1"/>
    <col min="3850" max="3850" width="1.42578125" style="2197" bestFit="1" customWidth="1"/>
    <col min="3851" max="3851" width="16.42578125" style="2197" customWidth="1"/>
    <col min="3852" max="3852" width="17.5703125" style="2197" customWidth="1"/>
    <col min="3853" max="3861" width="16.42578125" style="2197" customWidth="1"/>
    <col min="3862" max="3862" width="28.42578125" style="2197" customWidth="1"/>
    <col min="3863" max="3863" width="21.140625" style="2197" customWidth="1"/>
    <col min="3864" max="3864" width="13.140625" style="2197" customWidth="1"/>
    <col min="3865" max="4096" width="16.42578125" style="2197"/>
    <col min="4097" max="4097" width="2.85546875" style="2197" customWidth="1"/>
    <col min="4098" max="4098" width="58.5703125" style="2197" customWidth="1"/>
    <col min="4099" max="4099" width="0" style="2197" hidden="1" customWidth="1"/>
    <col min="4100" max="4100" width="18" style="2197" bestFit="1" customWidth="1"/>
    <col min="4101" max="4101" width="2.140625" style="2197" customWidth="1"/>
    <col min="4102" max="4102" width="18" style="2197" bestFit="1" customWidth="1"/>
    <col min="4103" max="4105" width="0" style="2197" hidden="1" customWidth="1"/>
    <col min="4106" max="4106" width="1.42578125" style="2197" bestFit="1" customWidth="1"/>
    <col min="4107" max="4107" width="16.42578125" style="2197" customWidth="1"/>
    <col min="4108" max="4108" width="17.5703125" style="2197" customWidth="1"/>
    <col min="4109" max="4117" width="16.42578125" style="2197" customWidth="1"/>
    <col min="4118" max="4118" width="28.42578125" style="2197" customWidth="1"/>
    <col min="4119" max="4119" width="21.140625" style="2197" customWidth="1"/>
    <col min="4120" max="4120" width="13.140625" style="2197" customWidth="1"/>
    <col min="4121" max="4352" width="16.42578125" style="2197"/>
    <col min="4353" max="4353" width="2.85546875" style="2197" customWidth="1"/>
    <col min="4354" max="4354" width="58.5703125" style="2197" customWidth="1"/>
    <col min="4355" max="4355" width="0" style="2197" hidden="1" customWidth="1"/>
    <col min="4356" max="4356" width="18" style="2197" bestFit="1" customWidth="1"/>
    <col min="4357" max="4357" width="2.140625" style="2197" customWidth="1"/>
    <col min="4358" max="4358" width="18" style="2197" bestFit="1" customWidth="1"/>
    <col min="4359" max="4361" width="0" style="2197" hidden="1" customWidth="1"/>
    <col min="4362" max="4362" width="1.42578125" style="2197" bestFit="1" customWidth="1"/>
    <col min="4363" max="4363" width="16.42578125" style="2197" customWidth="1"/>
    <col min="4364" max="4364" width="17.5703125" style="2197" customWidth="1"/>
    <col min="4365" max="4373" width="16.42578125" style="2197" customWidth="1"/>
    <col min="4374" max="4374" width="28.42578125" style="2197" customWidth="1"/>
    <col min="4375" max="4375" width="21.140625" style="2197" customWidth="1"/>
    <col min="4376" max="4376" width="13.140625" style="2197" customWidth="1"/>
    <col min="4377" max="4608" width="16.42578125" style="2197"/>
    <col min="4609" max="4609" width="2.85546875" style="2197" customWidth="1"/>
    <col min="4610" max="4610" width="58.5703125" style="2197" customWidth="1"/>
    <col min="4611" max="4611" width="0" style="2197" hidden="1" customWidth="1"/>
    <col min="4612" max="4612" width="18" style="2197" bestFit="1" customWidth="1"/>
    <col min="4613" max="4613" width="2.140625" style="2197" customWidth="1"/>
    <col min="4614" max="4614" width="18" style="2197" bestFit="1" customWidth="1"/>
    <col min="4615" max="4617" width="0" style="2197" hidden="1" customWidth="1"/>
    <col min="4618" max="4618" width="1.42578125" style="2197" bestFit="1" customWidth="1"/>
    <col min="4619" max="4619" width="16.42578125" style="2197" customWidth="1"/>
    <col min="4620" max="4620" width="17.5703125" style="2197" customWidth="1"/>
    <col min="4621" max="4629" width="16.42578125" style="2197" customWidth="1"/>
    <col min="4630" max="4630" width="28.42578125" style="2197" customWidth="1"/>
    <col min="4631" max="4631" width="21.140625" style="2197" customWidth="1"/>
    <col min="4632" max="4632" width="13.140625" style="2197" customWidth="1"/>
    <col min="4633" max="4864" width="16.42578125" style="2197"/>
    <col min="4865" max="4865" width="2.85546875" style="2197" customWidth="1"/>
    <col min="4866" max="4866" width="58.5703125" style="2197" customWidth="1"/>
    <col min="4867" max="4867" width="0" style="2197" hidden="1" customWidth="1"/>
    <col min="4868" max="4868" width="18" style="2197" bestFit="1" customWidth="1"/>
    <col min="4869" max="4869" width="2.140625" style="2197" customWidth="1"/>
    <col min="4870" max="4870" width="18" style="2197" bestFit="1" customWidth="1"/>
    <col min="4871" max="4873" width="0" style="2197" hidden="1" customWidth="1"/>
    <col min="4874" max="4874" width="1.42578125" style="2197" bestFit="1" customWidth="1"/>
    <col min="4875" max="4875" width="16.42578125" style="2197" customWidth="1"/>
    <col min="4876" max="4876" width="17.5703125" style="2197" customWidth="1"/>
    <col min="4877" max="4885" width="16.42578125" style="2197" customWidth="1"/>
    <col min="4886" max="4886" width="28.42578125" style="2197" customWidth="1"/>
    <col min="4887" max="4887" width="21.140625" style="2197" customWidth="1"/>
    <col min="4888" max="4888" width="13.140625" style="2197" customWidth="1"/>
    <col min="4889" max="5120" width="16.42578125" style="2197"/>
    <col min="5121" max="5121" width="2.85546875" style="2197" customWidth="1"/>
    <col min="5122" max="5122" width="58.5703125" style="2197" customWidth="1"/>
    <col min="5123" max="5123" width="0" style="2197" hidden="1" customWidth="1"/>
    <col min="5124" max="5124" width="18" style="2197" bestFit="1" customWidth="1"/>
    <col min="5125" max="5125" width="2.140625" style="2197" customWidth="1"/>
    <col min="5126" max="5126" width="18" style="2197" bestFit="1" customWidth="1"/>
    <col min="5127" max="5129" width="0" style="2197" hidden="1" customWidth="1"/>
    <col min="5130" max="5130" width="1.42578125" style="2197" bestFit="1" customWidth="1"/>
    <col min="5131" max="5131" width="16.42578125" style="2197" customWidth="1"/>
    <col min="5132" max="5132" width="17.5703125" style="2197" customWidth="1"/>
    <col min="5133" max="5141" width="16.42578125" style="2197" customWidth="1"/>
    <col min="5142" max="5142" width="28.42578125" style="2197" customWidth="1"/>
    <col min="5143" max="5143" width="21.140625" style="2197" customWidth="1"/>
    <col min="5144" max="5144" width="13.140625" style="2197" customWidth="1"/>
    <col min="5145" max="5376" width="16.42578125" style="2197"/>
    <col min="5377" max="5377" width="2.85546875" style="2197" customWidth="1"/>
    <col min="5378" max="5378" width="58.5703125" style="2197" customWidth="1"/>
    <col min="5379" max="5379" width="0" style="2197" hidden="1" customWidth="1"/>
    <col min="5380" max="5380" width="18" style="2197" bestFit="1" customWidth="1"/>
    <col min="5381" max="5381" width="2.140625" style="2197" customWidth="1"/>
    <col min="5382" max="5382" width="18" style="2197" bestFit="1" customWidth="1"/>
    <col min="5383" max="5385" width="0" style="2197" hidden="1" customWidth="1"/>
    <col min="5386" max="5386" width="1.42578125" style="2197" bestFit="1" customWidth="1"/>
    <col min="5387" max="5387" width="16.42578125" style="2197" customWidth="1"/>
    <col min="5388" max="5388" width="17.5703125" style="2197" customWidth="1"/>
    <col min="5389" max="5397" width="16.42578125" style="2197" customWidth="1"/>
    <col min="5398" max="5398" width="28.42578125" style="2197" customWidth="1"/>
    <col min="5399" max="5399" width="21.140625" style="2197" customWidth="1"/>
    <col min="5400" max="5400" width="13.140625" style="2197" customWidth="1"/>
    <col min="5401" max="5632" width="16.42578125" style="2197"/>
    <col min="5633" max="5633" width="2.85546875" style="2197" customWidth="1"/>
    <col min="5634" max="5634" width="58.5703125" style="2197" customWidth="1"/>
    <col min="5635" max="5635" width="0" style="2197" hidden="1" customWidth="1"/>
    <col min="5636" max="5636" width="18" style="2197" bestFit="1" customWidth="1"/>
    <col min="5637" max="5637" width="2.140625" style="2197" customWidth="1"/>
    <col min="5638" max="5638" width="18" style="2197" bestFit="1" customWidth="1"/>
    <col min="5639" max="5641" width="0" style="2197" hidden="1" customWidth="1"/>
    <col min="5642" max="5642" width="1.42578125" style="2197" bestFit="1" customWidth="1"/>
    <col min="5643" max="5643" width="16.42578125" style="2197" customWidth="1"/>
    <col min="5644" max="5644" width="17.5703125" style="2197" customWidth="1"/>
    <col min="5645" max="5653" width="16.42578125" style="2197" customWidth="1"/>
    <col min="5654" max="5654" width="28.42578125" style="2197" customWidth="1"/>
    <col min="5655" max="5655" width="21.140625" style="2197" customWidth="1"/>
    <col min="5656" max="5656" width="13.140625" style="2197" customWidth="1"/>
    <col min="5657" max="5888" width="16.42578125" style="2197"/>
    <col min="5889" max="5889" width="2.85546875" style="2197" customWidth="1"/>
    <col min="5890" max="5890" width="58.5703125" style="2197" customWidth="1"/>
    <col min="5891" max="5891" width="0" style="2197" hidden="1" customWidth="1"/>
    <col min="5892" max="5892" width="18" style="2197" bestFit="1" customWidth="1"/>
    <col min="5893" max="5893" width="2.140625" style="2197" customWidth="1"/>
    <col min="5894" max="5894" width="18" style="2197" bestFit="1" customWidth="1"/>
    <col min="5895" max="5897" width="0" style="2197" hidden="1" customWidth="1"/>
    <col min="5898" max="5898" width="1.42578125" style="2197" bestFit="1" customWidth="1"/>
    <col min="5899" max="5899" width="16.42578125" style="2197" customWidth="1"/>
    <col min="5900" max="5900" width="17.5703125" style="2197" customWidth="1"/>
    <col min="5901" max="5909" width="16.42578125" style="2197" customWidth="1"/>
    <col min="5910" max="5910" width="28.42578125" style="2197" customWidth="1"/>
    <col min="5911" max="5911" width="21.140625" style="2197" customWidth="1"/>
    <col min="5912" max="5912" width="13.140625" style="2197" customWidth="1"/>
    <col min="5913" max="6144" width="16.42578125" style="2197"/>
    <col min="6145" max="6145" width="2.85546875" style="2197" customWidth="1"/>
    <col min="6146" max="6146" width="58.5703125" style="2197" customWidth="1"/>
    <col min="6147" max="6147" width="0" style="2197" hidden="1" customWidth="1"/>
    <col min="6148" max="6148" width="18" style="2197" bestFit="1" customWidth="1"/>
    <col min="6149" max="6149" width="2.140625" style="2197" customWidth="1"/>
    <col min="6150" max="6150" width="18" style="2197" bestFit="1" customWidth="1"/>
    <col min="6151" max="6153" width="0" style="2197" hidden="1" customWidth="1"/>
    <col min="6154" max="6154" width="1.42578125" style="2197" bestFit="1" customWidth="1"/>
    <col min="6155" max="6155" width="16.42578125" style="2197" customWidth="1"/>
    <col min="6156" max="6156" width="17.5703125" style="2197" customWidth="1"/>
    <col min="6157" max="6165" width="16.42578125" style="2197" customWidth="1"/>
    <col min="6166" max="6166" width="28.42578125" style="2197" customWidth="1"/>
    <col min="6167" max="6167" width="21.140625" style="2197" customWidth="1"/>
    <col min="6168" max="6168" width="13.140625" style="2197" customWidth="1"/>
    <col min="6169" max="6400" width="16.42578125" style="2197"/>
    <col min="6401" max="6401" width="2.85546875" style="2197" customWidth="1"/>
    <col min="6402" max="6402" width="58.5703125" style="2197" customWidth="1"/>
    <col min="6403" max="6403" width="0" style="2197" hidden="1" customWidth="1"/>
    <col min="6404" max="6404" width="18" style="2197" bestFit="1" customWidth="1"/>
    <col min="6405" max="6405" width="2.140625" style="2197" customWidth="1"/>
    <col min="6406" max="6406" width="18" style="2197" bestFit="1" customWidth="1"/>
    <col min="6407" max="6409" width="0" style="2197" hidden="1" customWidth="1"/>
    <col min="6410" max="6410" width="1.42578125" style="2197" bestFit="1" customWidth="1"/>
    <col min="6411" max="6411" width="16.42578125" style="2197" customWidth="1"/>
    <col min="6412" max="6412" width="17.5703125" style="2197" customWidth="1"/>
    <col min="6413" max="6421" width="16.42578125" style="2197" customWidth="1"/>
    <col min="6422" max="6422" width="28.42578125" style="2197" customWidth="1"/>
    <col min="6423" max="6423" width="21.140625" style="2197" customWidth="1"/>
    <col min="6424" max="6424" width="13.140625" style="2197" customWidth="1"/>
    <col min="6425" max="6656" width="16.42578125" style="2197"/>
    <col min="6657" max="6657" width="2.85546875" style="2197" customWidth="1"/>
    <col min="6658" max="6658" width="58.5703125" style="2197" customWidth="1"/>
    <col min="6659" max="6659" width="0" style="2197" hidden="1" customWidth="1"/>
    <col min="6660" max="6660" width="18" style="2197" bestFit="1" customWidth="1"/>
    <col min="6661" max="6661" width="2.140625" style="2197" customWidth="1"/>
    <col min="6662" max="6662" width="18" style="2197" bestFit="1" customWidth="1"/>
    <col min="6663" max="6665" width="0" style="2197" hidden="1" customWidth="1"/>
    <col min="6666" max="6666" width="1.42578125" style="2197" bestFit="1" customWidth="1"/>
    <col min="6667" max="6667" width="16.42578125" style="2197" customWidth="1"/>
    <col min="6668" max="6668" width="17.5703125" style="2197" customWidth="1"/>
    <col min="6669" max="6677" width="16.42578125" style="2197" customWidth="1"/>
    <col min="6678" max="6678" width="28.42578125" style="2197" customWidth="1"/>
    <col min="6679" max="6679" width="21.140625" style="2197" customWidth="1"/>
    <col min="6680" max="6680" width="13.140625" style="2197" customWidth="1"/>
    <col min="6681" max="6912" width="16.42578125" style="2197"/>
    <col min="6913" max="6913" width="2.85546875" style="2197" customWidth="1"/>
    <col min="6914" max="6914" width="58.5703125" style="2197" customWidth="1"/>
    <col min="6915" max="6915" width="0" style="2197" hidden="1" customWidth="1"/>
    <col min="6916" max="6916" width="18" style="2197" bestFit="1" customWidth="1"/>
    <col min="6917" max="6917" width="2.140625" style="2197" customWidth="1"/>
    <col min="6918" max="6918" width="18" style="2197" bestFit="1" customWidth="1"/>
    <col min="6919" max="6921" width="0" style="2197" hidden="1" customWidth="1"/>
    <col min="6922" max="6922" width="1.42578125" style="2197" bestFit="1" customWidth="1"/>
    <col min="6923" max="6923" width="16.42578125" style="2197" customWidth="1"/>
    <col min="6924" max="6924" width="17.5703125" style="2197" customWidth="1"/>
    <col min="6925" max="6933" width="16.42578125" style="2197" customWidth="1"/>
    <col min="6934" max="6934" width="28.42578125" style="2197" customWidth="1"/>
    <col min="6935" max="6935" width="21.140625" style="2197" customWidth="1"/>
    <col min="6936" max="6936" width="13.140625" style="2197" customWidth="1"/>
    <col min="6937" max="7168" width="16.42578125" style="2197"/>
    <col min="7169" max="7169" width="2.85546875" style="2197" customWidth="1"/>
    <col min="7170" max="7170" width="58.5703125" style="2197" customWidth="1"/>
    <col min="7171" max="7171" width="0" style="2197" hidden="1" customWidth="1"/>
    <col min="7172" max="7172" width="18" style="2197" bestFit="1" customWidth="1"/>
    <col min="7173" max="7173" width="2.140625" style="2197" customWidth="1"/>
    <col min="7174" max="7174" width="18" style="2197" bestFit="1" customWidth="1"/>
    <col min="7175" max="7177" width="0" style="2197" hidden="1" customWidth="1"/>
    <col min="7178" max="7178" width="1.42578125" style="2197" bestFit="1" customWidth="1"/>
    <col min="7179" max="7179" width="16.42578125" style="2197" customWidth="1"/>
    <col min="7180" max="7180" width="17.5703125" style="2197" customWidth="1"/>
    <col min="7181" max="7189" width="16.42578125" style="2197" customWidth="1"/>
    <col min="7190" max="7190" width="28.42578125" style="2197" customWidth="1"/>
    <col min="7191" max="7191" width="21.140625" style="2197" customWidth="1"/>
    <col min="7192" max="7192" width="13.140625" style="2197" customWidth="1"/>
    <col min="7193" max="7424" width="16.42578125" style="2197"/>
    <col min="7425" max="7425" width="2.85546875" style="2197" customWidth="1"/>
    <col min="7426" max="7426" width="58.5703125" style="2197" customWidth="1"/>
    <col min="7427" max="7427" width="0" style="2197" hidden="1" customWidth="1"/>
    <col min="7428" max="7428" width="18" style="2197" bestFit="1" customWidth="1"/>
    <col min="7429" max="7429" width="2.140625" style="2197" customWidth="1"/>
    <col min="7430" max="7430" width="18" style="2197" bestFit="1" customWidth="1"/>
    <col min="7431" max="7433" width="0" style="2197" hidden="1" customWidth="1"/>
    <col min="7434" max="7434" width="1.42578125" style="2197" bestFit="1" customWidth="1"/>
    <col min="7435" max="7435" width="16.42578125" style="2197" customWidth="1"/>
    <col min="7436" max="7436" width="17.5703125" style="2197" customWidth="1"/>
    <col min="7437" max="7445" width="16.42578125" style="2197" customWidth="1"/>
    <col min="7446" max="7446" width="28.42578125" style="2197" customWidth="1"/>
    <col min="7447" max="7447" width="21.140625" style="2197" customWidth="1"/>
    <col min="7448" max="7448" width="13.140625" style="2197" customWidth="1"/>
    <col min="7449" max="7680" width="16.42578125" style="2197"/>
    <col min="7681" max="7681" width="2.85546875" style="2197" customWidth="1"/>
    <col min="7682" max="7682" width="58.5703125" style="2197" customWidth="1"/>
    <col min="7683" max="7683" width="0" style="2197" hidden="1" customWidth="1"/>
    <col min="7684" max="7684" width="18" style="2197" bestFit="1" customWidth="1"/>
    <col min="7685" max="7685" width="2.140625" style="2197" customWidth="1"/>
    <col min="7686" max="7686" width="18" style="2197" bestFit="1" customWidth="1"/>
    <col min="7687" max="7689" width="0" style="2197" hidden="1" customWidth="1"/>
    <col min="7690" max="7690" width="1.42578125" style="2197" bestFit="1" customWidth="1"/>
    <col min="7691" max="7691" width="16.42578125" style="2197" customWidth="1"/>
    <col min="7692" max="7692" width="17.5703125" style="2197" customWidth="1"/>
    <col min="7693" max="7701" width="16.42578125" style="2197" customWidth="1"/>
    <col min="7702" max="7702" width="28.42578125" style="2197" customWidth="1"/>
    <col min="7703" max="7703" width="21.140625" style="2197" customWidth="1"/>
    <col min="7704" max="7704" width="13.140625" style="2197" customWidth="1"/>
    <col min="7705" max="7936" width="16.42578125" style="2197"/>
    <col min="7937" max="7937" width="2.85546875" style="2197" customWidth="1"/>
    <col min="7938" max="7938" width="58.5703125" style="2197" customWidth="1"/>
    <col min="7939" max="7939" width="0" style="2197" hidden="1" customWidth="1"/>
    <col min="7940" max="7940" width="18" style="2197" bestFit="1" customWidth="1"/>
    <col min="7941" max="7941" width="2.140625" style="2197" customWidth="1"/>
    <col min="7942" max="7942" width="18" style="2197" bestFit="1" customWidth="1"/>
    <col min="7943" max="7945" width="0" style="2197" hidden="1" customWidth="1"/>
    <col min="7946" max="7946" width="1.42578125" style="2197" bestFit="1" customWidth="1"/>
    <col min="7947" max="7947" width="16.42578125" style="2197" customWidth="1"/>
    <col min="7948" max="7948" width="17.5703125" style="2197" customWidth="1"/>
    <col min="7949" max="7957" width="16.42578125" style="2197" customWidth="1"/>
    <col min="7958" max="7958" width="28.42578125" style="2197" customWidth="1"/>
    <col min="7959" max="7959" width="21.140625" style="2197" customWidth="1"/>
    <col min="7960" max="7960" width="13.140625" style="2197" customWidth="1"/>
    <col min="7961" max="8192" width="16.42578125" style="2197"/>
    <col min="8193" max="8193" width="2.85546875" style="2197" customWidth="1"/>
    <col min="8194" max="8194" width="58.5703125" style="2197" customWidth="1"/>
    <col min="8195" max="8195" width="0" style="2197" hidden="1" customWidth="1"/>
    <col min="8196" max="8196" width="18" style="2197" bestFit="1" customWidth="1"/>
    <col min="8197" max="8197" width="2.140625" style="2197" customWidth="1"/>
    <col min="8198" max="8198" width="18" style="2197" bestFit="1" customWidth="1"/>
    <col min="8199" max="8201" width="0" style="2197" hidden="1" customWidth="1"/>
    <col min="8202" max="8202" width="1.42578125" style="2197" bestFit="1" customWidth="1"/>
    <col min="8203" max="8203" width="16.42578125" style="2197" customWidth="1"/>
    <col min="8204" max="8204" width="17.5703125" style="2197" customWidth="1"/>
    <col min="8205" max="8213" width="16.42578125" style="2197" customWidth="1"/>
    <col min="8214" max="8214" width="28.42578125" style="2197" customWidth="1"/>
    <col min="8215" max="8215" width="21.140625" style="2197" customWidth="1"/>
    <col min="8216" max="8216" width="13.140625" style="2197" customWidth="1"/>
    <col min="8217" max="8448" width="16.42578125" style="2197"/>
    <col min="8449" max="8449" width="2.85546875" style="2197" customWidth="1"/>
    <col min="8450" max="8450" width="58.5703125" style="2197" customWidth="1"/>
    <col min="8451" max="8451" width="0" style="2197" hidden="1" customWidth="1"/>
    <col min="8452" max="8452" width="18" style="2197" bestFit="1" customWidth="1"/>
    <col min="8453" max="8453" width="2.140625" style="2197" customWidth="1"/>
    <col min="8454" max="8454" width="18" style="2197" bestFit="1" customWidth="1"/>
    <col min="8455" max="8457" width="0" style="2197" hidden="1" customWidth="1"/>
    <col min="8458" max="8458" width="1.42578125" style="2197" bestFit="1" customWidth="1"/>
    <col min="8459" max="8459" width="16.42578125" style="2197" customWidth="1"/>
    <col min="8460" max="8460" width="17.5703125" style="2197" customWidth="1"/>
    <col min="8461" max="8469" width="16.42578125" style="2197" customWidth="1"/>
    <col min="8470" max="8470" width="28.42578125" style="2197" customWidth="1"/>
    <col min="8471" max="8471" width="21.140625" style="2197" customWidth="1"/>
    <col min="8472" max="8472" width="13.140625" style="2197" customWidth="1"/>
    <col min="8473" max="8704" width="16.42578125" style="2197"/>
    <col min="8705" max="8705" width="2.85546875" style="2197" customWidth="1"/>
    <col min="8706" max="8706" width="58.5703125" style="2197" customWidth="1"/>
    <col min="8707" max="8707" width="0" style="2197" hidden="1" customWidth="1"/>
    <col min="8708" max="8708" width="18" style="2197" bestFit="1" customWidth="1"/>
    <col min="8709" max="8709" width="2.140625" style="2197" customWidth="1"/>
    <col min="8710" max="8710" width="18" style="2197" bestFit="1" customWidth="1"/>
    <col min="8711" max="8713" width="0" style="2197" hidden="1" customWidth="1"/>
    <col min="8714" max="8714" width="1.42578125" style="2197" bestFit="1" customWidth="1"/>
    <col min="8715" max="8715" width="16.42578125" style="2197" customWidth="1"/>
    <col min="8716" max="8716" width="17.5703125" style="2197" customWidth="1"/>
    <col min="8717" max="8725" width="16.42578125" style="2197" customWidth="1"/>
    <col min="8726" max="8726" width="28.42578125" style="2197" customWidth="1"/>
    <col min="8727" max="8727" width="21.140625" style="2197" customWidth="1"/>
    <col min="8728" max="8728" width="13.140625" style="2197" customWidth="1"/>
    <col min="8729" max="8960" width="16.42578125" style="2197"/>
    <col min="8961" max="8961" width="2.85546875" style="2197" customWidth="1"/>
    <col min="8962" max="8962" width="58.5703125" style="2197" customWidth="1"/>
    <col min="8963" max="8963" width="0" style="2197" hidden="1" customWidth="1"/>
    <col min="8964" max="8964" width="18" style="2197" bestFit="1" customWidth="1"/>
    <col min="8965" max="8965" width="2.140625" style="2197" customWidth="1"/>
    <col min="8966" max="8966" width="18" style="2197" bestFit="1" customWidth="1"/>
    <col min="8967" max="8969" width="0" style="2197" hidden="1" customWidth="1"/>
    <col min="8970" max="8970" width="1.42578125" style="2197" bestFit="1" customWidth="1"/>
    <col min="8971" max="8971" width="16.42578125" style="2197" customWidth="1"/>
    <col min="8972" max="8972" width="17.5703125" style="2197" customWidth="1"/>
    <col min="8973" max="8981" width="16.42578125" style="2197" customWidth="1"/>
    <col min="8982" max="8982" width="28.42578125" style="2197" customWidth="1"/>
    <col min="8983" max="8983" width="21.140625" style="2197" customWidth="1"/>
    <col min="8984" max="8984" width="13.140625" style="2197" customWidth="1"/>
    <col min="8985" max="9216" width="16.42578125" style="2197"/>
    <col min="9217" max="9217" width="2.85546875" style="2197" customWidth="1"/>
    <col min="9218" max="9218" width="58.5703125" style="2197" customWidth="1"/>
    <col min="9219" max="9219" width="0" style="2197" hidden="1" customWidth="1"/>
    <col min="9220" max="9220" width="18" style="2197" bestFit="1" customWidth="1"/>
    <col min="9221" max="9221" width="2.140625" style="2197" customWidth="1"/>
    <col min="9222" max="9222" width="18" style="2197" bestFit="1" customWidth="1"/>
    <col min="9223" max="9225" width="0" style="2197" hidden="1" customWidth="1"/>
    <col min="9226" max="9226" width="1.42578125" style="2197" bestFit="1" customWidth="1"/>
    <col min="9227" max="9227" width="16.42578125" style="2197" customWidth="1"/>
    <col min="9228" max="9228" width="17.5703125" style="2197" customWidth="1"/>
    <col min="9229" max="9237" width="16.42578125" style="2197" customWidth="1"/>
    <col min="9238" max="9238" width="28.42578125" style="2197" customWidth="1"/>
    <col min="9239" max="9239" width="21.140625" style="2197" customWidth="1"/>
    <col min="9240" max="9240" width="13.140625" style="2197" customWidth="1"/>
    <col min="9241" max="9472" width="16.42578125" style="2197"/>
    <col min="9473" max="9473" width="2.85546875" style="2197" customWidth="1"/>
    <col min="9474" max="9474" width="58.5703125" style="2197" customWidth="1"/>
    <col min="9475" max="9475" width="0" style="2197" hidden="1" customWidth="1"/>
    <col min="9476" max="9476" width="18" style="2197" bestFit="1" customWidth="1"/>
    <col min="9477" max="9477" width="2.140625" style="2197" customWidth="1"/>
    <col min="9478" max="9478" width="18" style="2197" bestFit="1" customWidth="1"/>
    <col min="9479" max="9481" width="0" style="2197" hidden="1" customWidth="1"/>
    <col min="9482" max="9482" width="1.42578125" style="2197" bestFit="1" customWidth="1"/>
    <col min="9483" max="9483" width="16.42578125" style="2197" customWidth="1"/>
    <col min="9484" max="9484" width="17.5703125" style="2197" customWidth="1"/>
    <col min="9485" max="9493" width="16.42578125" style="2197" customWidth="1"/>
    <col min="9494" max="9494" width="28.42578125" style="2197" customWidth="1"/>
    <col min="9495" max="9495" width="21.140625" style="2197" customWidth="1"/>
    <col min="9496" max="9496" width="13.140625" style="2197" customWidth="1"/>
    <col min="9497" max="9728" width="16.42578125" style="2197"/>
    <col min="9729" max="9729" width="2.85546875" style="2197" customWidth="1"/>
    <col min="9730" max="9730" width="58.5703125" style="2197" customWidth="1"/>
    <col min="9731" max="9731" width="0" style="2197" hidden="1" customWidth="1"/>
    <col min="9732" max="9732" width="18" style="2197" bestFit="1" customWidth="1"/>
    <col min="9733" max="9733" width="2.140625" style="2197" customWidth="1"/>
    <col min="9734" max="9734" width="18" style="2197" bestFit="1" customWidth="1"/>
    <col min="9735" max="9737" width="0" style="2197" hidden="1" customWidth="1"/>
    <col min="9738" max="9738" width="1.42578125" style="2197" bestFit="1" customWidth="1"/>
    <col min="9739" max="9739" width="16.42578125" style="2197" customWidth="1"/>
    <col min="9740" max="9740" width="17.5703125" style="2197" customWidth="1"/>
    <col min="9741" max="9749" width="16.42578125" style="2197" customWidth="1"/>
    <col min="9750" max="9750" width="28.42578125" style="2197" customWidth="1"/>
    <col min="9751" max="9751" width="21.140625" style="2197" customWidth="1"/>
    <col min="9752" max="9752" width="13.140625" style="2197" customWidth="1"/>
    <col min="9753" max="9984" width="16.42578125" style="2197"/>
    <col min="9985" max="9985" width="2.85546875" style="2197" customWidth="1"/>
    <col min="9986" max="9986" width="58.5703125" style="2197" customWidth="1"/>
    <col min="9987" max="9987" width="0" style="2197" hidden="1" customWidth="1"/>
    <col min="9988" max="9988" width="18" style="2197" bestFit="1" customWidth="1"/>
    <col min="9989" max="9989" width="2.140625" style="2197" customWidth="1"/>
    <col min="9990" max="9990" width="18" style="2197" bestFit="1" customWidth="1"/>
    <col min="9991" max="9993" width="0" style="2197" hidden="1" customWidth="1"/>
    <col min="9994" max="9994" width="1.42578125" style="2197" bestFit="1" customWidth="1"/>
    <col min="9995" max="9995" width="16.42578125" style="2197" customWidth="1"/>
    <col min="9996" max="9996" width="17.5703125" style="2197" customWidth="1"/>
    <col min="9997" max="10005" width="16.42578125" style="2197" customWidth="1"/>
    <col min="10006" max="10006" width="28.42578125" style="2197" customWidth="1"/>
    <col min="10007" max="10007" width="21.140625" style="2197" customWidth="1"/>
    <col min="10008" max="10008" width="13.140625" style="2197" customWidth="1"/>
    <col min="10009" max="10240" width="16.42578125" style="2197"/>
    <col min="10241" max="10241" width="2.85546875" style="2197" customWidth="1"/>
    <col min="10242" max="10242" width="58.5703125" style="2197" customWidth="1"/>
    <col min="10243" max="10243" width="0" style="2197" hidden="1" customWidth="1"/>
    <col min="10244" max="10244" width="18" style="2197" bestFit="1" customWidth="1"/>
    <col min="10245" max="10245" width="2.140625" style="2197" customWidth="1"/>
    <col min="10246" max="10246" width="18" style="2197" bestFit="1" customWidth="1"/>
    <col min="10247" max="10249" width="0" style="2197" hidden="1" customWidth="1"/>
    <col min="10250" max="10250" width="1.42578125" style="2197" bestFit="1" customWidth="1"/>
    <col min="10251" max="10251" width="16.42578125" style="2197" customWidth="1"/>
    <col min="10252" max="10252" width="17.5703125" style="2197" customWidth="1"/>
    <col min="10253" max="10261" width="16.42578125" style="2197" customWidth="1"/>
    <col min="10262" max="10262" width="28.42578125" style="2197" customWidth="1"/>
    <col min="10263" max="10263" width="21.140625" style="2197" customWidth="1"/>
    <col min="10264" max="10264" width="13.140625" style="2197" customWidth="1"/>
    <col min="10265" max="10496" width="16.42578125" style="2197"/>
    <col min="10497" max="10497" width="2.85546875" style="2197" customWidth="1"/>
    <col min="10498" max="10498" width="58.5703125" style="2197" customWidth="1"/>
    <col min="10499" max="10499" width="0" style="2197" hidden="1" customWidth="1"/>
    <col min="10500" max="10500" width="18" style="2197" bestFit="1" customWidth="1"/>
    <col min="10501" max="10501" width="2.140625" style="2197" customWidth="1"/>
    <col min="10502" max="10502" width="18" style="2197" bestFit="1" customWidth="1"/>
    <col min="10503" max="10505" width="0" style="2197" hidden="1" customWidth="1"/>
    <col min="10506" max="10506" width="1.42578125" style="2197" bestFit="1" customWidth="1"/>
    <col min="10507" max="10507" width="16.42578125" style="2197" customWidth="1"/>
    <col min="10508" max="10508" width="17.5703125" style="2197" customWidth="1"/>
    <col min="10509" max="10517" width="16.42578125" style="2197" customWidth="1"/>
    <col min="10518" max="10518" width="28.42578125" style="2197" customWidth="1"/>
    <col min="10519" max="10519" width="21.140625" style="2197" customWidth="1"/>
    <col min="10520" max="10520" width="13.140625" style="2197" customWidth="1"/>
    <col min="10521" max="10752" width="16.42578125" style="2197"/>
    <col min="10753" max="10753" width="2.85546875" style="2197" customWidth="1"/>
    <col min="10754" max="10754" width="58.5703125" style="2197" customWidth="1"/>
    <col min="10755" max="10755" width="0" style="2197" hidden="1" customWidth="1"/>
    <col min="10756" max="10756" width="18" style="2197" bestFit="1" customWidth="1"/>
    <col min="10757" max="10757" width="2.140625" style="2197" customWidth="1"/>
    <col min="10758" max="10758" width="18" style="2197" bestFit="1" customWidth="1"/>
    <col min="10759" max="10761" width="0" style="2197" hidden="1" customWidth="1"/>
    <col min="10762" max="10762" width="1.42578125" style="2197" bestFit="1" customWidth="1"/>
    <col min="10763" max="10763" width="16.42578125" style="2197" customWidth="1"/>
    <col min="10764" max="10764" width="17.5703125" style="2197" customWidth="1"/>
    <col min="10765" max="10773" width="16.42578125" style="2197" customWidth="1"/>
    <col min="10774" max="10774" width="28.42578125" style="2197" customWidth="1"/>
    <col min="10775" max="10775" width="21.140625" style="2197" customWidth="1"/>
    <col min="10776" max="10776" width="13.140625" style="2197" customWidth="1"/>
    <col min="10777" max="11008" width="16.42578125" style="2197"/>
    <col min="11009" max="11009" width="2.85546875" style="2197" customWidth="1"/>
    <col min="11010" max="11010" width="58.5703125" style="2197" customWidth="1"/>
    <col min="11011" max="11011" width="0" style="2197" hidden="1" customWidth="1"/>
    <col min="11012" max="11012" width="18" style="2197" bestFit="1" customWidth="1"/>
    <col min="11013" max="11013" width="2.140625" style="2197" customWidth="1"/>
    <col min="11014" max="11014" width="18" style="2197" bestFit="1" customWidth="1"/>
    <col min="11015" max="11017" width="0" style="2197" hidden="1" customWidth="1"/>
    <col min="11018" max="11018" width="1.42578125" style="2197" bestFit="1" customWidth="1"/>
    <col min="11019" max="11019" width="16.42578125" style="2197" customWidth="1"/>
    <col min="11020" max="11020" width="17.5703125" style="2197" customWidth="1"/>
    <col min="11021" max="11029" width="16.42578125" style="2197" customWidth="1"/>
    <col min="11030" max="11030" width="28.42578125" style="2197" customWidth="1"/>
    <col min="11031" max="11031" width="21.140625" style="2197" customWidth="1"/>
    <col min="11032" max="11032" width="13.140625" style="2197" customWidth="1"/>
    <col min="11033" max="11264" width="16.42578125" style="2197"/>
    <col min="11265" max="11265" width="2.85546875" style="2197" customWidth="1"/>
    <col min="11266" max="11266" width="58.5703125" style="2197" customWidth="1"/>
    <col min="11267" max="11267" width="0" style="2197" hidden="1" customWidth="1"/>
    <col min="11268" max="11268" width="18" style="2197" bestFit="1" customWidth="1"/>
    <col min="11269" max="11269" width="2.140625" style="2197" customWidth="1"/>
    <col min="11270" max="11270" width="18" style="2197" bestFit="1" customWidth="1"/>
    <col min="11271" max="11273" width="0" style="2197" hidden="1" customWidth="1"/>
    <col min="11274" max="11274" width="1.42578125" style="2197" bestFit="1" customWidth="1"/>
    <col min="11275" max="11275" width="16.42578125" style="2197" customWidth="1"/>
    <col min="11276" max="11276" width="17.5703125" style="2197" customWidth="1"/>
    <col min="11277" max="11285" width="16.42578125" style="2197" customWidth="1"/>
    <col min="11286" max="11286" width="28.42578125" style="2197" customWidth="1"/>
    <col min="11287" max="11287" width="21.140625" style="2197" customWidth="1"/>
    <col min="11288" max="11288" width="13.140625" style="2197" customWidth="1"/>
    <col min="11289" max="11520" width="16.42578125" style="2197"/>
    <col min="11521" max="11521" width="2.85546875" style="2197" customWidth="1"/>
    <col min="11522" max="11522" width="58.5703125" style="2197" customWidth="1"/>
    <col min="11523" max="11523" width="0" style="2197" hidden="1" customWidth="1"/>
    <col min="11524" max="11524" width="18" style="2197" bestFit="1" customWidth="1"/>
    <col min="11525" max="11525" width="2.140625" style="2197" customWidth="1"/>
    <col min="11526" max="11526" width="18" style="2197" bestFit="1" customWidth="1"/>
    <col min="11527" max="11529" width="0" style="2197" hidden="1" customWidth="1"/>
    <col min="11530" max="11530" width="1.42578125" style="2197" bestFit="1" customWidth="1"/>
    <col min="11531" max="11531" width="16.42578125" style="2197" customWidth="1"/>
    <col min="11532" max="11532" width="17.5703125" style="2197" customWidth="1"/>
    <col min="11533" max="11541" width="16.42578125" style="2197" customWidth="1"/>
    <col min="11542" max="11542" width="28.42578125" style="2197" customWidth="1"/>
    <col min="11543" max="11543" width="21.140625" style="2197" customWidth="1"/>
    <col min="11544" max="11544" width="13.140625" style="2197" customWidth="1"/>
    <col min="11545" max="11776" width="16.42578125" style="2197"/>
    <col min="11777" max="11777" width="2.85546875" style="2197" customWidth="1"/>
    <col min="11778" max="11778" width="58.5703125" style="2197" customWidth="1"/>
    <col min="11779" max="11779" width="0" style="2197" hidden="1" customWidth="1"/>
    <col min="11780" max="11780" width="18" style="2197" bestFit="1" customWidth="1"/>
    <col min="11781" max="11781" width="2.140625" style="2197" customWidth="1"/>
    <col min="11782" max="11782" width="18" style="2197" bestFit="1" customWidth="1"/>
    <col min="11783" max="11785" width="0" style="2197" hidden="1" customWidth="1"/>
    <col min="11786" max="11786" width="1.42578125" style="2197" bestFit="1" customWidth="1"/>
    <col min="11787" max="11787" width="16.42578125" style="2197" customWidth="1"/>
    <col min="11788" max="11788" width="17.5703125" style="2197" customWidth="1"/>
    <col min="11789" max="11797" width="16.42578125" style="2197" customWidth="1"/>
    <col min="11798" max="11798" width="28.42578125" style="2197" customWidth="1"/>
    <col min="11799" max="11799" width="21.140625" style="2197" customWidth="1"/>
    <col min="11800" max="11800" width="13.140625" style="2197" customWidth="1"/>
    <col min="11801" max="12032" width="16.42578125" style="2197"/>
    <col min="12033" max="12033" width="2.85546875" style="2197" customWidth="1"/>
    <col min="12034" max="12034" width="58.5703125" style="2197" customWidth="1"/>
    <col min="12035" max="12035" width="0" style="2197" hidden="1" customWidth="1"/>
    <col min="12036" max="12036" width="18" style="2197" bestFit="1" customWidth="1"/>
    <col min="12037" max="12037" width="2.140625" style="2197" customWidth="1"/>
    <col min="12038" max="12038" width="18" style="2197" bestFit="1" customWidth="1"/>
    <col min="12039" max="12041" width="0" style="2197" hidden="1" customWidth="1"/>
    <col min="12042" max="12042" width="1.42578125" style="2197" bestFit="1" customWidth="1"/>
    <col min="12043" max="12043" width="16.42578125" style="2197" customWidth="1"/>
    <col min="12044" max="12044" width="17.5703125" style="2197" customWidth="1"/>
    <col min="12045" max="12053" width="16.42578125" style="2197" customWidth="1"/>
    <col min="12054" max="12054" width="28.42578125" style="2197" customWidth="1"/>
    <col min="12055" max="12055" width="21.140625" style="2197" customWidth="1"/>
    <col min="12056" max="12056" width="13.140625" style="2197" customWidth="1"/>
    <col min="12057" max="12288" width="16.42578125" style="2197"/>
    <col min="12289" max="12289" width="2.85546875" style="2197" customWidth="1"/>
    <col min="12290" max="12290" width="58.5703125" style="2197" customWidth="1"/>
    <col min="12291" max="12291" width="0" style="2197" hidden="1" customWidth="1"/>
    <col min="12292" max="12292" width="18" style="2197" bestFit="1" customWidth="1"/>
    <col min="12293" max="12293" width="2.140625" style="2197" customWidth="1"/>
    <col min="12294" max="12294" width="18" style="2197" bestFit="1" customWidth="1"/>
    <col min="12295" max="12297" width="0" style="2197" hidden="1" customWidth="1"/>
    <col min="12298" max="12298" width="1.42578125" style="2197" bestFit="1" customWidth="1"/>
    <col min="12299" max="12299" width="16.42578125" style="2197" customWidth="1"/>
    <col min="12300" max="12300" width="17.5703125" style="2197" customWidth="1"/>
    <col min="12301" max="12309" width="16.42578125" style="2197" customWidth="1"/>
    <col min="12310" max="12310" width="28.42578125" style="2197" customWidth="1"/>
    <col min="12311" max="12311" width="21.140625" style="2197" customWidth="1"/>
    <col min="12312" max="12312" width="13.140625" style="2197" customWidth="1"/>
    <col min="12313" max="12544" width="16.42578125" style="2197"/>
    <col min="12545" max="12545" width="2.85546875" style="2197" customWidth="1"/>
    <col min="12546" max="12546" width="58.5703125" style="2197" customWidth="1"/>
    <col min="12547" max="12547" width="0" style="2197" hidden="1" customWidth="1"/>
    <col min="12548" max="12548" width="18" style="2197" bestFit="1" customWidth="1"/>
    <col min="12549" max="12549" width="2.140625" style="2197" customWidth="1"/>
    <col min="12550" max="12550" width="18" style="2197" bestFit="1" customWidth="1"/>
    <col min="12551" max="12553" width="0" style="2197" hidden="1" customWidth="1"/>
    <col min="12554" max="12554" width="1.42578125" style="2197" bestFit="1" customWidth="1"/>
    <col min="12555" max="12555" width="16.42578125" style="2197" customWidth="1"/>
    <col min="12556" max="12556" width="17.5703125" style="2197" customWidth="1"/>
    <col min="12557" max="12565" width="16.42578125" style="2197" customWidth="1"/>
    <col min="12566" max="12566" width="28.42578125" style="2197" customWidth="1"/>
    <col min="12567" max="12567" width="21.140625" style="2197" customWidth="1"/>
    <col min="12568" max="12568" width="13.140625" style="2197" customWidth="1"/>
    <col min="12569" max="12800" width="16.42578125" style="2197"/>
    <col min="12801" max="12801" width="2.85546875" style="2197" customWidth="1"/>
    <col min="12802" max="12802" width="58.5703125" style="2197" customWidth="1"/>
    <col min="12803" max="12803" width="0" style="2197" hidden="1" customWidth="1"/>
    <col min="12804" max="12804" width="18" style="2197" bestFit="1" customWidth="1"/>
    <col min="12805" max="12805" width="2.140625" style="2197" customWidth="1"/>
    <col min="12806" max="12806" width="18" style="2197" bestFit="1" customWidth="1"/>
    <col min="12807" max="12809" width="0" style="2197" hidden="1" customWidth="1"/>
    <col min="12810" max="12810" width="1.42578125" style="2197" bestFit="1" customWidth="1"/>
    <col min="12811" max="12811" width="16.42578125" style="2197" customWidth="1"/>
    <col min="12812" max="12812" width="17.5703125" style="2197" customWidth="1"/>
    <col min="12813" max="12821" width="16.42578125" style="2197" customWidth="1"/>
    <col min="12822" max="12822" width="28.42578125" style="2197" customWidth="1"/>
    <col min="12823" max="12823" width="21.140625" style="2197" customWidth="1"/>
    <col min="12824" max="12824" width="13.140625" style="2197" customWidth="1"/>
    <col min="12825" max="13056" width="16.42578125" style="2197"/>
    <col min="13057" max="13057" width="2.85546875" style="2197" customWidth="1"/>
    <col min="13058" max="13058" width="58.5703125" style="2197" customWidth="1"/>
    <col min="13059" max="13059" width="0" style="2197" hidden="1" customWidth="1"/>
    <col min="13060" max="13060" width="18" style="2197" bestFit="1" customWidth="1"/>
    <col min="13061" max="13061" width="2.140625" style="2197" customWidth="1"/>
    <col min="13062" max="13062" width="18" style="2197" bestFit="1" customWidth="1"/>
    <col min="13063" max="13065" width="0" style="2197" hidden="1" customWidth="1"/>
    <col min="13066" max="13066" width="1.42578125" style="2197" bestFit="1" customWidth="1"/>
    <col min="13067" max="13067" width="16.42578125" style="2197" customWidth="1"/>
    <col min="13068" max="13068" width="17.5703125" style="2197" customWidth="1"/>
    <col min="13069" max="13077" width="16.42578125" style="2197" customWidth="1"/>
    <col min="13078" max="13078" width="28.42578125" style="2197" customWidth="1"/>
    <col min="13079" max="13079" width="21.140625" style="2197" customWidth="1"/>
    <col min="13080" max="13080" width="13.140625" style="2197" customWidth="1"/>
    <col min="13081" max="13312" width="16.42578125" style="2197"/>
    <col min="13313" max="13313" width="2.85546875" style="2197" customWidth="1"/>
    <col min="13314" max="13314" width="58.5703125" style="2197" customWidth="1"/>
    <col min="13315" max="13315" width="0" style="2197" hidden="1" customWidth="1"/>
    <col min="13316" max="13316" width="18" style="2197" bestFit="1" customWidth="1"/>
    <col min="13317" max="13317" width="2.140625" style="2197" customWidth="1"/>
    <col min="13318" max="13318" width="18" style="2197" bestFit="1" customWidth="1"/>
    <col min="13319" max="13321" width="0" style="2197" hidden="1" customWidth="1"/>
    <col min="13322" max="13322" width="1.42578125" style="2197" bestFit="1" customWidth="1"/>
    <col min="13323" max="13323" width="16.42578125" style="2197" customWidth="1"/>
    <col min="13324" max="13324" width="17.5703125" style="2197" customWidth="1"/>
    <col min="13325" max="13333" width="16.42578125" style="2197" customWidth="1"/>
    <col min="13334" max="13334" width="28.42578125" style="2197" customWidth="1"/>
    <col min="13335" max="13335" width="21.140625" style="2197" customWidth="1"/>
    <col min="13336" max="13336" width="13.140625" style="2197" customWidth="1"/>
    <col min="13337" max="13568" width="16.42578125" style="2197"/>
    <col min="13569" max="13569" width="2.85546875" style="2197" customWidth="1"/>
    <col min="13570" max="13570" width="58.5703125" style="2197" customWidth="1"/>
    <col min="13571" max="13571" width="0" style="2197" hidden="1" customWidth="1"/>
    <col min="13572" max="13572" width="18" style="2197" bestFit="1" customWidth="1"/>
    <col min="13573" max="13573" width="2.140625" style="2197" customWidth="1"/>
    <col min="13574" max="13574" width="18" style="2197" bestFit="1" customWidth="1"/>
    <col min="13575" max="13577" width="0" style="2197" hidden="1" customWidth="1"/>
    <col min="13578" max="13578" width="1.42578125" style="2197" bestFit="1" customWidth="1"/>
    <col min="13579" max="13579" width="16.42578125" style="2197" customWidth="1"/>
    <col min="13580" max="13580" width="17.5703125" style="2197" customWidth="1"/>
    <col min="13581" max="13589" width="16.42578125" style="2197" customWidth="1"/>
    <col min="13590" max="13590" width="28.42578125" style="2197" customWidth="1"/>
    <col min="13591" max="13591" width="21.140625" style="2197" customWidth="1"/>
    <col min="13592" max="13592" width="13.140625" style="2197" customWidth="1"/>
    <col min="13593" max="13824" width="16.42578125" style="2197"/>
    <col min="13825" max="13825" width="2.85546875" style="2197" customWidth="1"/>
    <col min="13826" max="13826" width="58.5703125" style="2197" customWidth="1"/>
    <col min="13827" max="13827" width="0" style="2197" hidden="1" customWidth="1"/>
    <col min="13828" max="13828" width="18" style="2197" bestFit="1" customWidth="1"/>
    <col min="13829" max="13829" width="2.140625" style="2197" customWidth="1"/>
    <col min="13830" max="13830" width="18" style="2197" bestFit="1" customWidth="1"/>
    <col min="13831" max="13833" width="0" style="2197" hidden="1" customWidth="1"/>
    <col min="13834" max="13834" width="1.42578125" style="2197" bestFit="1" customWidth="1"/>
    <col min="13835" max="13835" width="16.42578125" style="2197" customWidth="1"/>
    <col min="13836" max="13836" width="17.5703125" style="2197" customWidth="1"/>
    <col min="13837" max="13845" width="16.42578125" style="2197" customWidth="1"/>
    <col min="13846" max="13846" width="28.42578125" style="2197" customWidth="1"/>
    <col min="13847" max="13847" width="21.140625" style="2197" customWidth="1"/>
    <col min="13848" max="13848" width="13.140625" style="2197" customWidth="1"/>
    <col min="13849" max="14080" width="16.42578125" style="2197"/>
    <col min="14081" max="14081" width="2.85546875" style="2197" customWidth="1"/>
    <col min="14082" max="14082" width="58.5703125" style="2197" customWidth="1"/>
    <col min="14083" max="14083" width="0" style="2197" hidden="1" customWidth="1"/>
    <col min="14084" max="14084" width="18" style="2197" bestFit="1" customWidth="1"/>
    <col min="14085" max="14085" width="2.140625" style="2197" customWidth="1"/>
    <col min="14086" max="14086" width="18" style="2197" bestFit="1" customWidth="1"/>
    <col min="14087" max="14089" width="0" style="2197" hidden="1" customWidth="1"/>
    <col min="14090" max="14090" width="1.42578125" style="2197" bestFit="1" customWidth="1"/>
    <col min="14091" max="14091" width="16.42578125" style="2197" customWidth="1"/>
    <col min="14092" max="14092" width="17.5703125" style="2197" customWidth="1"/>
    <col min="14093" max="14101" width="16.42578125" style="2197" customWidth="1"/>
    <col min="14102" max="14102" width="28.42578125" style="2197" customWidth="1"/>
    <col min="14103" max="14103" width="21.140625" style="2197" customWidth="1"/>
    <col min="14104" max="14104" width="13.140625" style="2197" customWidth="1"/>
    <col min="14105" max="14336" width="16.42578125" style="2197"/>
    <col min="14337" max="14337" width="2.85546875" style="2197" customWidth="1"/>
    <col min="14338" max="14338" width="58.5703125" style="2197" customWidth="1"/>
    <col min="14339" max="14339" width="0" style="2197" hidden="1" customWidth="1"/>
    <col min="14340" max="14340" width="18" style="2197" bestFit="1" customWidth="1"/>
    <col min="14341" max="14341" width="2.140625" style="2197" customWidth="1"/>
    <col min="14342" max="14342" width="18" style="2197" bestFit="1" customWidth="1"/>
    <col min="14343" max="14345" width="0" style="2197" hidden="1" customWidth="1"/>
    <col min="14346" max="14346" width="1.42578125" style="2197" bestFit="1" customWidth="1"/>
    <col min="14347" max="14347" width="16.42578125" style="2197" customWidth="1"/>
    <col min="14348" max="14348" width="17.5703125" style="2197" customWidth="1"/>
    <col min="14349" max="14357" width="16.42578125" style="2197" customWidth="1"/>
    <col min="14358" max="14358" width="28.42578125" style="2197" customWidth="1"/>
    <col min="14359" max="14359" width="21.140625" style="2197" customWidth="1"/>
    <col min="14360" max="14360" width="13.140625" style="2197" customWidth="1"/>
    <col min="14361" max="14592" width="16.42578125" style="2197"/>
    <col min="14593" max="14593" width="2.85546875" style="2197" customWidth="1"/>
    <col min="14594" max="14594" width="58.5703125" style="2197" customWidth="1"/>
    <col min="14595" max="14595" width="0" style="2197" hidden="1" customWidth="1"/>
    <col min="14596" max="14596" width="18" style="2197" bestFit="1" customWidth="1"/>
    <col min="14597" max="14597" width="2.140625" style="2197" customWidth="1"/>
    <col min="14598" max="14598" width="18" style="2197" bestFit="1" customWidth="1"/>
    <col min="14599" max="14601" width="0" style="2197" hidden="1" customWidth="1"/>
    <col min="14602" max="14602" width="1.42578125" style="2197" bestFit="1" customWidth="1"/>
    <col min="14603" max="14603" width="16.42578125" style="2197" customWidth="1"/>
    <col min="14604" max="14604" width="17.5703125" style="2197" customWidth="1"/>
    <col min="14605" max="14613" width="16.42578125" style="2197" customWidth="1"/>
    <col min="14614" max="14614" width="28.42578125" style="2197" customWidth="1"/>
    <col min="14615" max="14615" width="21.140625" style="2197" customWidth="1"/>
    <col min="14616" max="14616" width="13.140625" style="2197" customWidth="1"/>
    <col min="14617" max="14848" width="16.42578125" style="2197"/>
    <col min="14849" max="14849" width="2.85546875" style="2197" customWidth="1"/>
    <col min="14850" max="14850" width="58.5703125" style="2197" customWidth="1"/>
    <col min="14851" max="14851" width="0" style="2197" hidden="1" customWidth="1"/>
    <col min="14852" max="14852" width="18" style="2197" bestFit="1" customWidth="1"/>
    <col min="14853" max="14853" width="2.140625" style="2197" customWidth="1"/>
    <col min="14854" max="14854" width="18" style="2197" bestFit="1" customWidth="1"/>
    <col min="14855" max="14857" width="0" style="2197" hidden="1" customWidth="1"/>
    <col min="14858" max="14858" width="1.42578125" style="2197" bestFit="1" customWidth="1"/>
    <col min="14859" max="14859" width="16.42578125" style="2197" customWidth="1"/>
    <col min="14860" max="14860" width="17.5703125" style="2197" customWidth="1"/>
    <col min="14861" max="14869" width="16.42578125" style="2197" customWidth="1"/>
    <col min="14870" max="14870" width="28.42578125" style="2197" customWidth="1"/>
    <col min="14871" max="14871" width="21.140625" style="2197" customWidth="1"/>
    <col min="14872" max="14872" width="13.140625" style="2197" customWidth="1"/>
    <col min="14873" max="15104" width="16.42578125" style="2197"/>
    <col min="15105" max="15105" width="2.85546875" style="2197" customWidth="1"/>
    <col min="15106" max="15106" width="58.5703125" style="2197" customWidth="1"/>
    <col min="15107" max="15107" width="0" style="2197" hidden="1" customWidth="1"/>
    <col min="15108" max="15108" width="18" style="2197" bestFit="1" customWidth="1"/>
    <col min="15109" max="15109" width="2.140625" style="2197" customWidth="1"/>
    <col min="15110" max="15110" width="18" style="2197" bestFit="1" customWidth="1"/>
    <col min="15111" max="15113" width="0" style="2197" hidden="1" customWidth="1"/>
    <col min="15114" max="15114" width="1.42578125" style="2197" bestFit="1" customWidth="1"/>
    <col min="15115" max="15115" width="16.42578125" style="2197" customWidth="1"/>
    <col min="15116" max="15116" width="17.5703125" style="2197" customWidth="1"/>
    <col min="15117" max="15125" width="16.42578125" style="2197" customWidth="1"/>
    <col min="15126" max="15126" width="28.42578125" style="2197" customWidth="1"/>
    <col min="15127" max="15127" width="21.140625" style="2197" customWidth="1"/>
    <col min="15128" max="15128" width="13.140625" style="2197" customWidth="1"/>
    <col min="15129" max="15360" width="16.42578125" style="2197"/>
    <col min="15361" max="15361" width="2.85546875" style="2197" customWidth="1"/>
    <col min="15362" max="15362" width="58.5703125" style="2197" customWidth="1"/>
    <col min="15363" max="15363" width="0" style="2197" hidden="1" customWidth="1"/>
    <col min="15364" max="15364" width="18" style="2197" bestFit="1" customWidth="1"/>
    <col min="15365" max="15365" width="2.140625" style="2197" customWidth="1"/>
    <col min="15366" max="15366" width="18" style="2197" bestFit="1" customWidth="1"/>
    <col min="15367" max="15369" width="0" style="2197" hidden="1" customWidth="1"/>
    <col min="15370" max="15370" width="1.42578125" style="2197" bestFit="1" customWidth="1"/>
    <col min="15371" max="15371" width="16.42578125" style="2197" customWidth="1"/>
    <col min="15372" max="15372" width="17.5703125" style="2197" customWidth="1"/>
    <col min="15373" max="15381" width="16.42578125" style="2197" customWidth="1"/>
    <col min="15382" max="15382" width="28.42578125" style="2197" customWidth="1"/>
    <col min="15383" max="15383" width="21.140625" style="2197" customWidth="1"/>
    <col min="15384" max="15384" width="13.140625" style="2197" customWidth="1"/>
    <col min="15385" max="15616" width="16.42578125" style="2197"/>
    <col min="15617" max="15617" width="2.85546875" style="2197" customWidth="1"/>
    <col min="15618" max="15618" width="58.5703125" style="2197" customWidth="1"/>
    <col min="15619" max="15619" width="0" style="2197" hidden="1" customWidth="1"/>
    <col min="15620" max="15620" width="18" style="2197" bestFit="1" customWidth="1"/>
    <col min="15621" max="15621" width="2.140625" style="2197" customWidth="1"/>
    <col min="15622" max="15622" width="18" style="2197" bestFit="1" customWidth="1"/>
    <col min="15623" max="15625" width="0" style="2197" hidden="1" customWidth="1"/>
    <col min="15626" max="15626" width="1.42578125" style="2197" bestFit="1" customWidth="1"/>
    <col min="15627" max="15627" width="16.42578125" style="2197" customWidth="1"/>
    <col min="15628" max="15628" width="17.5703125" style="2197" customWidth="1"/>
    <col min="15629" max="15637" width="16.42578125" style="2197" customWidth="1"/>
    <col min="15638" max="15638" width="28.42578125" style="2197" customWidth="1"/>
    <col min="15639" max="15639" width="21.140625" style="2197" customWidth="1"/>
    <col min="15640" max="15640" width="13.140625" style="2197" customWidth="1"/>
    <col min="15641" max="15872" width="16.42578125" style="2197"/>
    <col min="15873" max="15873" width="2.85546875" style="2197" customWidth="1"/>
    <col min="15874" max="15874" width="58.5703125" style="2197" customWidth="1"/>
    <col min="15875" max="15875" width="0" style="2197" hidden="1" customWidth="1"/>
    <col min="15876" max="15876" width="18" style="2197" bestFit="1" customWidth="1"/>
    <col min="15877" max="15877" width="2.140625" style="2197" customWidth="1"/>
    <col min="15878" max="15878" width="18" style="2197" bestFit="1" customWidth="1"/>
    <col min="15879" max="15881" width="0" style="2197" hidden="1" customWidth="1"/>
    <col min="15882" max="15882" width="1.42578125" style="2197" bestFit="1" customWidth="1"/>
    <col min="15883" max="15883" width="16.42578125" style="2197" customWidth="1"/>
    <col min="15884" max="15884" width="17.5703125" style="2197" customWidth="1"/>
    <col min="15885" max="15893" width="16.42578125" style="2197" customWidth="1"/>
    <col min="15894" max="15894" width="28.42578125" style="2197" customWidth="1"/>
    <col min="15895" max="15895" width="21.140625" style="2197" customWidth="1"/>
    <col min="15896" max="15896" width="13.140625" style="2197" customWidth="1"/>
    <col min="15897" max="16128" width="16.42578125" style="2197"/>
    <col min="16129" max="16129" width="2.85546875" style="2197" customWidth="1"/>
    <col min="16130" max="16130" width="58.5703125" style="2197" customWidth="1"/>
    <col min="16131" max="16131" width="0" style="2197" hidden="1" customWidth="1"/>
    <col min="16132" max="16132" width="18" style="2197" bestFit="1" customWidth="1"/>
    <col min="16133" max="16133" width="2.140625" style="2197" customWidth="1"/>
    <col min="16134" max="16134" width="18" style="2197" bestFit="1" customWidth="1"/>
    <col min="16135" max="16137" width="0" style="2197" hidden="1" customWidth="1"/>
    <col min="16138" max="16138" width="1.42578125" style="2197" bestFit="1" customWidth="1"/>
    <col min="16139" max="16139" width="16.42578125" style="2197" customWidth="1"/>
    <col min="16140" max="16140" width="17.5703125" style="2197" customWidth="1"/>
    <col min="16141" max="16149" width="16.42578125" style="2197" customWidth="1"/>
    <col min="16150" max="16150" width="28.42578125" style="2197" customWidth="1"/>
    <col min="16151" max="16151" width="21.140625" style="2197" customWidth="1"/>
    <col min="16152" max="16152" width="13.140625" style="2197" customWidth="1"/>
    <col min="16153" max="16384" width="16.42578125" style="2197"/>
  </cols>
  <sheetData>
    <row r="1" spans="1:34" ht="15.75" thickBot="1">
      <c r="A1" s="2190" t="s">
        <v>94</v>
      </c>
      <c r="B1" s="2191"/>
      <c r="C1" s="2192"/>
      <c r="D1" s="2193" t="s">
        <v>94</v>
      </c>
      <c r="E1" s="2193"/>
      <c r="F1" s="2193"/>
      <c r="J1" s="2196"/>
    </row>
    <row r="2" spans="1:34" s="2202" customFormat="1" ht="29.25">
      <c r="A2" s="2190"/>
      <c r="B2" s="2198" t="s">
        <v>1526</v>
      </c>
      <c r="C2" s="2199" t="s">
        <v>1527</v>
      </c>
      <c r="D2" s="2183" t="s">
        <v>1528</v>
      </c>
      <c r="E2" s="2183"/>
      <c r="F2" s="2184" t="s">
        <v>1529</v>
      </c>
      <c r="G2" s="2200"/>
      <c r="H2" s="2200" t="s">
        <v>814</v>
      </c>
      <c r="I2" s="2200" t="s">
        <v>47</v>
      </c>
      <c r="J2" s="2201"/>
    </row>
    <row r="3" spans="1:34">
      <c r="A3" s="2203"/>
      <c r="B3" s="2204"/>
      <c r="C3" s="2205"/>
      <c r="D3" s="2185" t="s">
        <v>1131</v>
      </c>
      <c r="E3" s="2185"/>
      <c r="F3" s="2186" t="s">
        <v>1131</v>
      </c>
      <c r="J3" s="2196"/>
    </row>
    <row r="4" spans="1:34">
      <c r="A4" s="2203"/>
      <c r="B4" s="2187" t="s">
        <v>1530</v>
      </c>
      <c r="C4" s="2205"/>
      <c r="D4" s="2185" t="s">
        <v>1133</v>
      </c>
      <c r="E4" s="2185"/>
      <c r="F4" s="2186" t="s">
        <v>1133</v>
      </c>
      <c r="J4" s="2196"/>
    </row>
    <row r="5" spans="1:34">
      <c r="A5" s="2203"/>
      <c r="B5" s="2204"/>
      <c r="C5" s="2205"/>
      <c r="D5" s="2206"/>
      <c r="F5" s="2207"/>
      <c r="J5" s="2196"/>
    </row>
    <row r="6" spans="1:34">
      <c r="A6" s="2203"/>
      <c r="B6" s="2208" t="s">
        <v>1531</v>
      </c>
      <c r="C6" s="2205"/>
      <c r="D6" s="2206"/>
      <c r="F6" s="2207"/>
      <c r="J6" s="2196"/>
      <c r="O6" s="2209"/>
      <c r="P6" s="2210"/>
      <c r="Q6" s="2211"/>
      <c r="R6" s="2209"/>
      <c r="S6" s="2209"/>
      <c r="T6" s="2209"/>
      <c r="U6" s="2209"/>
      <c r="V6" s="2209"/>
      <c r="W6" s="2209"/>
      <c r="X6" s="2209"/>
      <c r="Y6" s="2209"/>
      <c r="Z6" s="2209"/>
      <c r="AA6" s="2209"/>
    </row>
    <row r="7" spans="1:34">
      <c r="A7" s="2203"/>
      <c r="B7" s="2212" t="s">
        <v>1532</v>
      </c>
      <c r="C7" s="2205"/>
      <c r="D7" s="2206"/>
      <c r="F7" s="2207"/>
      <c r="J7" s="2196"/>
      <c r="O7" s="2213"/>
      <c r="P7" s="2214"/>
      <c r="Q7" s="2213"/>
      <c r="R7" s="2213"/>
      <c r="S7" s="2213"/>
      <c r="T7" s="2213"/>
      <c r="U7" s="2213" t="s">
        <v>1533</v>
      </c>
      <c r="V7" s="2213" t="s">
        <v>1534</v>
      </c>
      <c r="W7" s="2213" t="s">
        <v>1535</v>
      </c>
      <c r="X7" s="2213" t="s">
        <v>1536</v>
      </c>
      <c r="Y7" s="2213"/>
      <c r="Z7" s="2213"/>
      <c r="AA7" s="2209"/>
      <c r="AB7" s="2213"/>
      <c r="AC7" s="2213"/>
      <c r="AD7" s="2213"/>
      <c r="AE7" s="2213"/>
      <c r="AF7" s="2213"/>
      <c r="AG7" s="2213"/>
      <c r="AH7" s="2213"/>
    </row>
    <row r="8" spans="1:34">
      <c r="A8" s="2203"/>
      <c r="B8" s="2212"/>
      <c r="C8" s="2205"/>
      <c r="D8" s="2206"/>
      <c r="F8" s="2207"/>
      <c r="J8" s="2196"/>
      <c r="O8" s="2213"/>
      <c r="P8" s="2213"/>
      <c r="Q8" s="2213"/>
      <c r="R8" s="2213"/>
      <c r="S8" s="2213"/>
      <c r="T8" s="2213"/>
      <c r="U8" s="2213"/>
      <c r="V8" s="2213"/>
      <c r="W8" s="2213"/>
      <c r="X8" s="2213"/>
      <c r="Y8" s="2213"/>
      <c r="Z8" s="2213"/>
      <c r="AA8" s="2209"/>
      <c r="AB8" s="2213"/>
      <c r="AC8" s="2213"/>
      <c r="AD8" s="2213"/>
      <c r="AE8" s="2213"/>
      <c r="AF8" s="2213"/>
      <c r="AG8" s="2213"/>
      <c r="AH8" s="2213"/>
    </row>
    <row r="9" spans="1:34">
      <c r="A9" s="2203"/>
      <c r="B9" s="2215"/>
      <c r="C9" s="2205"/>
      <c r="D9" s="2206"/>
      <c r="F9" s="2207"/>
      <c r="J9" s="2216"/>
      <c r="M9" s="2215"/>
      <c r="N9" s="2215"/>
      <c r="O9" s="2215"/>
      <c r="P9" s="2215"/>
      <c r="Q9" s="2215"/>
      <c r="R9" s="2215"/>
    </row>
    <row r="10" spans="1:34" ht="15" customHeight="1">
      <c r="A10" s="2203" t="s">
        <v>522</v>
      </c>
      <c r="B10" s="2215" t="s">
        <v>1537</v>
      </c>
      <c r="C10" s="2205">
        <f>+D10/I10</f>
        <v>0</v>
      </c>
      <c r="D10" s="2206">
        <f>F14</f>
        <v>0</v>
      </c>
      <c r="F10" s="2207">
        <v>36.480000000000004</v>
      </c>
      <c r="H10" s="2194">
        <v>351.94</v>
      </c>
      <c r="I10" s="2195">
        <f>+H10+D10</f>
        <v>351.94</v>
      </c>
      <c r="J10" s="2216"/>
      <c r="M10" s="2215"/>
      <c r="N10" s="2215"/>
      <c r="O10" s="2215"/>
      <c r="P10" s="2215"/>
      <c r="Q10" s="2215"/>
      <c r="R10" s="2215"/>
    </row>
    <row r="11" spans="1:34">
      <c r="A11" s="2203"/>
      <c r="B11" s="2215" t="s">
        <v>1538</v>
      </c>
      <c r="C11" s="2205">
        <f>+D11/I11</f>
        <v>0</v>
      </c>
      <c r="D11" s="2217">
        <v>0</v>
      </c>
      <c r="F11" s="2218">
        <v>0.33</v>
      </c>
      <c r="G11" s="2217"/>
      <c r="H11" s="2217">
        <v>44.67</v>
      </c>
      <c r="I11" s="2219">
        <f>+H11+D11</f>
        <v>44.67</v>
      </c>
      <c r="J11" s="2216"/>
      <c r="M11" s="2215"/>
      <c r="N11" s="2215"/>
      <c r="O11" s="2215"/>
      <c r="P11" s="2215"/>
      <c r="Q11" s="2215"/>
      <c r="R11" s="2215"/>
      <c r="S11" s="2215"/>
      <c r="T11" s="2215"/>
      <c r="U11" s="2215"/>
      <c r="V11" s="2215"/>
    </row>
    <row r="12" spans="1:34">
      <c r="A12" s="2203"/>
      <c r="B12" s="2215"/>
      <c r="C12" s="2205"/>
      <c r="D12" s="2220">
        <f>+D11+D10</f>
        <v>0</v>
      </c>
      <c r="E12" s="2220"/>
      <c r="F12" s="2221">
        <v>36.81</v>
      </c>
      <c r="G12" s="2195"/>
      <c r="H12" s="2195">
        <f>+H11+H10</f>
        <v>396.61</v>
      </c>
      <c r="I12" s="2195">
        <f>+I11+I10</f>
        <v>396.61</v>
      </c>
      <c r="J12" s="2216"/>
      <c r="P12" s="2215"/>
    </row>
    <row r="13" spans="1:34">
      <c r="A13" s="2203"/>
      <c r="B13" s="2215" t="s">
        <v>1539</v>
      </c>
      <c r="C13" s="2205"/>
      <c r="D13" s="2206">
        <v>0</v>
      </c>
      <c r="F13" s="2207">
        <v>36.81</v>
      </c>
      <c r="H13" s="2194">
        <v>36.03</v>
      </c>
      <c r="I13" s="2195">
        <f>+H13+D13</f>
        <v>36.03</v>
      </c>
      <c r="J13" s="2216"/>
    </row>
    <row r="14" spans="1:34" ht="15.75" thickBot="1">
      <c r="A14" s="2203"/>
      <c r="B14" s="2215"/>
      <c r="C14" s="2205">
        <f>+D14/I14</f>
        <v>0</v>
      </c>
      <c r="D14" s="2222">
        <f>+D12-D13</f>
        <v>0</v>
      </c>
      <c r="F14" s="2223">
        <v>0</v>
      </c>
      <c r="G14" s="2222"/>
      <c r="H14" s="2222">
        <f>+H12-H13</f>
        <v>360.58000000000004</v>
      </c>
      <c r="I14" s="2224">
        <f>+I12-I13</f>
        <v>360.58000000000004</v>
      </c>
      <c r="J14" s="2216"/>
    </row>
    <row r="15" spans="1:34" ht="15.75" thickTop="1">
      <c r="A15" s="2203"/>
      <c r="B15" s="2215"/>
      <c r="C15" s="2205"/>
      <c r="D15" s="2206"/>
      <c r="F15" s="2207"/>
      <c r="I15" s="2195">
        <f>+H15+D15</f>
        <v>0</v>
      </c>
      <c r="J15" s="2216"/>
    </row>
    <row r="16" spans="1:34" ht="15" customHeight="1">
      <c r="A16" s="2203" t="s">
        <v>523</v>
      </c>
      <c r="B16" s="2215" t="s">
        <v>1540</v>
      </c>
      <c r="C16" s="2225">
        <f>+D16/I16</f>
        <v>0.59596113739254286</v>
      </c>
      <c r="D16" s="2206">
        <f>F20</f>
        <v>351.48</v>
      </c>
      <c r="F16" s="2207">
        <v>298.14</v>
      </c>
      <c r="H16" s="2194">
        <v>238.29</v>
      </c>
      <c r="I16" s="2195">
        <f>+D16+H16</f>
        <v>589.77</v>
      </c>
      <c r="J16" s="2216"/>
      <c r="K16" s="2226"/>
      <c r="L16" s="2226"/>
    </row>
    <row r="17" spans="1:12">
      <c r="A17" s="2203"/>
      <c r="B17" s="2215" t="s">
        <v>1541</v>
      </c>
      <c r="C17" s="2205">
        <f>+D17/I17</f>
        <v>0.13691098593449591</v>
      </c>
      <c r="D17" s="2217">
        <v>40.590000000000003</v>
      </c>
      <c r="F17" s="2218">
        <v>53.34</v>
      </c>
      <c r="G17" s="2217"/>
      <c r="H17" s="2217">
        <v>255.88</v>
      </c>
      <c r="I17" s="2219">
        <f>+D17+H17</f>
        <v>296.47000000000003</v>
      </c>
      <c r="J17" s="2216"/>
      <c r="K17" s="2226"/>
      <c r="L17" s="2226"/>
    </row>
    <row r="18" spans="1:12">
      <c r="A18" s="2203"/>
      <c r="B18" s="2215"/>
      <c r="C18" s="2205"/>
      <c r="D18" s="2220">
        <f>SUM(D16:D17)</f>
        <v>392.07000000000005</v>
      </c>
      <c r="E18" s="2220"/>
      <c r="F18" s="2221">
        <v>351.48</v>
      </c>
      <c r="G18" s="2220"/>
      <c r="H18" s="2220">
        <f>+H16+H17</f>
        <v>494.16999999999996</v>
      </c>
      <c r="I18" s="2220">
        <f>+D18+H18</f>
        <v>886.24</v>
      </c>
      <c r="J18" s="2216"/>
      <c r="K18" s="2226"/>
      <c r="L18" s="2226"/>
    </row>
    <row r="19" spans="1:12">
      <c r="A19" s="2203"/>
      <c r="B19" s="2215" t="s">
        <v>1539</v>
      </c>
      <c r="C19" s="2205"/>
      <c r="D19" s="2206">
        <v>0</v>
      </c>
      <c r="F19" s="2207">
        <v>0</v>
      </c>
      <c r="H19" s="2194">
        <v>250.93</v>
      </c>
      <c r="I19" s="2220">
        <f>+D19+H19</f>
        <v>250.93</v>
      </c>
      <c r="J19" s="2216"/>
      <c r="K19" s="2226"/>
      <c r="L19" s="2226"/>
    </row>
    <row r="20" spans="1:12" ht="15.75" thickBot="1">
      <c r="A20" s="2203"/>
      <c r="B20" s="2227"/>
      <c r="C20" s="2205">
        <f>+D20/I20</f>
        <v>0.61713179392737416</v>
      </c>
      <c r="D20" s="2222">
        <f>+D18-D19</f>
        <v>392.07000000000005</v>
      </c>
      <c r="F20" s="2223">
        <v>351.48</v>
      </c>
      <c r="G20" s="2222"/>
      <c r="H20" s="2222">
        <f>+H18-H19</f>
        <v>243.23999999999995</v>
      </c>
      <c r="I20" s="2224">
        <f>+D20+H20</f>
        <v>635.30999999999995</v>
      </c>
      <c r="J20" s="2216"/>
      <c r="K20" s="2226"/>
      <c r="L20" s="2226"/>
    </row>
    <row r="21" spans="1:12" ht="15.75" thickTop="1">
      <c r="A21" s="2203"/>
      <c r="B21" s="2215"/>
      <c r="C21" s="2205"/>
      <c r="D21" s="2206"/>
      <c r="F21" s="2207"/>
      <c r="G21" s="2206"/>
      <c r="H21" s="2206"/>
      <c r="I21" s="2220"/>
      <c r="J21" s="2216"/>
      <c r="K21" s="2226"/>
      <c r="L21" s="2226"/>
    </row>
    <row r="22" spans="1:12" ht="15" customHeight="1">
      <c r="A22" s="2203" t="s">
        <v>524</v>
      </c>
      <c r="B22" s="2215" t="s">
        <v>1542</v>
      </c>
      <c r="C22" s="2205">
        <f>+D22/I22</f>
        <v>0</v>
      </c>
      <c r="D22" s="2206">
        <v>0</v>
      </c>
      <c r="F22" s="2207">
        <v>0.28999999999999998</v>
      </c>
      <c r="H22" s="2194">
        <v>0.54</v>
      </c>
      <c r="I22" s="2195">
        <f>+H22+D22</f>
        <v>0.54</v>
      </c>
      <c r="J22" s="2216"/>
    </row>
    <row r="23" spans="1:12">
      <c r="A23" s="2203"/>
      <c r="B23" s="2215" t="s">
        <v>1543</v>
      </c>
      <c r="C23" s="2205">
        <f>+D23/I23</f>
        <v>0</v>
      </c>
      <c r="D23" s="2217">
        <v>0</v>
      </c>
      <c r="F23" s="2218">
        <v>0.44</v>
      </c>
      <c r="G23" s="2217"/>
      <c r="H23" s="2217">
        <v>18.41</v>
      </c>
      <c r="I23" s="2219">
        <f>+H23+D23</f>
        <v>18.41</v>
      </c>
      <c r="J23" s="2216"/>
    </row>
    <row r="24" spans="1:12">
      <c r="A24" s="2203"/>
      <c r="B24" s="2215"/>
      <c r="C24" s="2205"/>
      <c r="D24" s="2220">
        <f>SUM(D22:D23)</f>
        <v>0</v>
      </c>
      <c r="E24" s="2220"/>
      <c r="F24" s="2221">
        <v>0.73</v>
      </c>
      <c r="G24" s="2220"/>
      <c r="H24" s="2220">
        <f>SUM(H22:H23)</f>
        <v>18.95</v>
      </c>
      <c r="I24" s="2220">
        <f>SUM(I22:I23)</f>
        <v>18.95</v>
      </c>
      <c r="J24" s="2216"/>
      <c r="K24" s="2228"/>
      <c r="L24" s="2228"/>
    </row>
    <row r="25" spans="1:12">
      <c r="A25" s="2203"/>
      <c r="B25" s="2215" t="s">
        <v>1539</v>
      </c>
      <c r="C25" s="2205"/>
      <c r="D25" s="2206">
        <v>0</v>
      </c>
      <c r="F25" s="2207">
        <v>0.73</v>
      </c>
      <c r="H25" s="2194">
        <v>18.41</v>
      </c>
      <c r="I25" s="2195">
        <f>+H25+D25</f>
        <v>18.41</v>
      </c>
      <c r="J25" s="2216"/>
      <c r="K25" s="2229"/>
      <c r="L25" s="2229"/>
    </row>
    <row r="26" spans="1:12" ht="15.75" thickBot="1">
      <c r="A26" s="2203"/>
      <c r="B26" s="2215"/>
      <c r="C26" s="2205">
        <f>+D26/I26</f>
        <v>0</v>
      </c>
      <c r="D26" s="2222">
        <f>(+D24-D25)</f>
        <v>0</v>
      </c>
      <c r="F26" s="2223">
        <v>0</v>
      </c>
      <c r="G26" s="2222"/>
      <c r="H26" s="2222">
        <f>+H24-H25</f>
        <v>0.53999999999999915</v>
      </c>
      <c r="I26" s="2224">
        <f>+I24-I25</f>
        <v>0.53999999999999915</v>
      </c>
      <c r="J26" s="2216"/>
    </row>
    <row r="27" spans="1:12" ht="15.75" thickTop="1">
      <c r="A27" s="2203"/>
      <c r="B27" s="2215"/>
      <c r="C27" s="2205"/>
      <c r="D27" s="2206"/>
      <c r="F27" s="2230"/>
      <c r="G27" s="2206"/>
      <c r="H27" s="2206"/>
      <c r="I27" s="2220"/>
      <c r="J27" s="2216"/>
    </row>
    <row r="28" spans="1:12">
      <c r="A28" s="2203"/>
      <c r="B28" s="2231" t="s">
        <v>1544</v>
      </c>
      <c r="C28" s="2205"/>
      <c r="D28" s="2220">
        <f>D26+D20+D14</f>
        <v>392.07000000000005</v>
      </c>
      <c r="E28" s="2220"/>
      <c r="F28" s="2221">
        <v>351.48</v>
      </c>
      <c r="G28" s="2206"/>
      <c r="H28" s="2206"/>
      <c r="I28" s="2220"/>
      <c r="J28" s="2216"/>
    </row>
    <row r="29" spans="1:12" ht="15.75" thickBot="1">
      <c r="A29" s="2232"/>
      <c r="B29" s="2233"/>
      <c r="C29" s="2234"/>
      <c r="D29" s="2235"/>
      <c r="E29" s="2235"/>
      <c r="F29" s="2236"/>
      <c r="G29" s="2206"/>
      <c r="H29" s="2206"/>
      <c r="I29" s="2220"/>
      <c r="J29" s="2216"/>
    </row>
    <row r="30" spans="1:12" ht="29.25">
      <c r="A30" s="2203"/>
      <c r="B30" s="2208" t="s">
        <v>1545</v>
      </c>
      <c r="C30" s="2205"/>
      <c r="D30" s="2188" t="str">
        <f>D2</f>
        <v>(As on 31st March,2013)</v>
      </c>
      <c r="E30" s="2188"/>
      <c r="F30" s="2189" t="str">
        <f>F2</f>
        <v>(As on 31st March,2012)</v>
      </c>
      <c r="J30" s="2216"/>
    </row>
    <row r="31" spans="1:12">
      <c r="A31" s="2203"/>
      <c r="B31" s="2208"/>
      <c r="C31" s="2205"/>
      <c r="D31" s="2185" t="s">
        <v>1131</v>
      </c>
      <c r="E31" s="2185"/>
      <c r="F31" s="2186" t="s">
        <v>1131</v>
      </c>
      <c r="J31" s="2216"/>
    </row>
    <row r="32" spans="1:12">
      <c r="A32" s="2203"/>
      <c r="B32" s="2208"/>
      <c r="C32" s="2205"/>
      <c r="D32" s="2185" t="s">
        <v>1133</v>
      </c>
      <c r="E32" s="2185"/>
      <c r="F32" s="2186" t="s">
        <v>1133</v>
      </c>
      <c r="J32" s="2216"/>
    </row>
    <row r="33" spans="1:12">
      <c r="A33" s="2203"/>
      <c r="B33" s="2208"/>
      <c r="C33" s="2205"/>
      <c r="D33" s="2206"/>
      <c r="F33" s="2207"/>
      <c r="J33" s="2216"/>
    </row>
    <row r="34" spans="1:12" ht="15" customHeight="1">
      <c r="A34" s="2203" t="s">
        <v>525</v>
      </c>
      <c r="B34" s="2215" t="s">
        <v>1546</v>
      </c>
      <c r="C34" s="2205">
        <f>+D34/I34</f>
        <v>1</v>
      </c>
      <c r="D34" s="2206">
        <f>F38</f>
        <v>6884.49</v>
      </c>
      <c r="F34" s="2207">
        <v>7617.01</v>
      </c>
      <c r="H34" s="2194">
        <f>396710833/100000*0</f>
        <v>0</v>
      </c>
      <c r="I34" s="2195">
        <f>+H34+D34</f>
        <v>6884.49</v>
      </c>
      <c r="J34" s="2216"/>
      <c r="L34" s="2237"/>
    </row>
    <row r="35" spans="1:12">
      <c r="A35" s="2203"/>
      <c r="B35" s="2215" t="s">
        <v>1543</v>
      </c>
      <c r="C35" s="2205">
        <f>+D35/I35</f>
        <v>1</v>
      </c>
      <c r="D35" s="2217">
        <v>461.22</v>
      </c>
      <c r="F35" s="2218">
        <v>523.65</v>
      </c>
      <c r="G35" s="2217"/>
      <c r="H35" s="2217">
        <f>51720724/100000*0</f>
        <v>0</v>
      </c>
      <c r="I35" s="2219">
        <f>+H35+D35</f>
        <v>461.22</v>
      </c>
      <c r="J35" s="2216"/>
    </row>
    <row r="36" spans="1:12">
      <c r="A36" s="2203"/>
      <c r="B36" s="2215"/>
      <c r="C36" s="2205"/>
      <c r="D36" s="2220">
        <f>SUM(D34:D35)</f>
        <v>7345.71</v>
      </c>
      <c r="E36" s="2220"/>
      <c r="F36" s="2221">
        <v>8140.66</v>
      </c>
      <c r="G36" s="2220"/>
      <c r="H36" s="2220">
        <f>SUM(H34:H35)</f>
        <v>0</v>
      </c>
      <c r="I36" s="2220">
        <f>SUM(I34:I35)</f>
        <v>7345.71</v>
      </c>
      <c r="J36" s="2216"/>
    </row>
    <row r="37" spans="1:12">
      <c r="A37" s="2203"/>
      <c r="B37" s="2215" t="s">
        <v>1539</v>
      </c>
      <c r="C37" s="2205"/>
      <c r="D37" s="2206">
        <v>1549</v>
      </c>
      <c r="F37" s="2207">
        <v>1256.17</v>
      </c>
      <c r="H37" s="2194">
        <f>3402552/100000*0</f>
        <v>0</v>
      </c>
      <c r="I37" s="2195">
        <f>+H37+D37</f>
        <v>1549</v>
      </c>
      <c r="J37" s="2216"/>
    </row>
    <row r="38" spans="1:12" ht="15.75" thickBot="1">
      <c r="A38" s="2203"/>
      <c r="B38" s="2215"/>
      <c r="C38" s="2205">
        <f>+D38/I38</f>
        <v>1</v>
      </c>
      <c r="D38" s="2238">
        <f>+D36-D37</f>
        <v>5796.71</v>
      </c>
      <c r="F38" s="2223">
        <v>6884.49</v>
      </c>
      <c r="G38" s="2222"/>
      <c r="H38" s="2222">
        <f>+H36-H37</f>
        <v>0</v>
      </c>
      <c r="I38" s="2224">
        <f>+I36-I37</f>
        <v>5796.71</v>
      </c>
      <c r="J38" s="2216"/>
      <c r="K38" s="2227"/>
    </row>
    <row r="39" spans="1:12" ht="15.75" thickTop="1">
      <c r="A39" s="2203"/>
      <c r="B39" s="2215" t="s">
        <v>1547</v>
      </c>
      <c r="C39" s="2205"/>
      <c r="D39" s="2206">
        <v>0</v>
      </c>
      <c r="F39" s="2207">
        <v>1109</v>
      </c>
      <c r="G39" s="2206"/>
      <c r="H39" s="2206"/>
      <c r="I39" s="2220"/>
      <c r="J39" s="2216"/>
    </row>
    <row r="40" spans="1:12" ht="15.75" thickBot="1">
      <c r="A40" s="2203"/>
      <c r="B40" s="2215"/>
      <c r="C40" s="2205"/>
      <c r="D40" s="2224">
        <f>D38-D39</f>
        <v>5796.71</v>
      </c>
      <c r="E40" s="2220"/>
      <c r="F40" s="2239">
        <v>5775.49</v>
      </c>
      <c r="G40" s="2206"/>
      <c r="H40" s="2206"/>
      <c r="I40" s="2220"/>
      <c r="J40" s="2216"/>
    </row>
    <row r="41" spans="1:12" ht="15.75" thickTop="1">
      <c r="A41" s="2203"/>
      <c r="B41" s="2212"/>
      <c r="C41" s="2205"/>
      <c r="D41" s="2206"/>
      <c r="F41" s="2207"/>
      <c r="J41" s="2216"/>
    </row>
    <row r="42" spans="1:12">
      <c r="A42" s="2203" t="s">
        <v>1052</v>
      </c>
      <c r="B42" s="2215" t="s">
        <v>1548</v>
      </c>
      <c r="C42" s="2205">
        <f>+D42/I42</f>
        <v>0.59300105966772643</v>
      </c>
      <c r="D42" s="2206">
        <f>F46</f>
        <v>8086.37</v>
      </c>
      <c r="F42" s="2207">
        <v>4590.67</v>
      </c>
      <c r="H42" s="2194">
        <v>5549.98</v>
      </c>
      <c r="I42" s="2195">
        <f>+H42+D42</f>
        <v>13636.349999999999</v>
      </c>
      <c r="J42" s="2216"/>
    </row>
    <row r="43" spans="1:12">
      <c r="A43" s="2203"/>
      <c r="B43" s="2215" t="s">
        <v>1549</v>
      </c>
      <c r="C43" s="2205">
        <f>+D43/I43</f>
        <v>0.72470547319914791</v>
      </c>
      <c r="D43" s="2217">
        <v>833.52</v>
      </c>
      <c r="F43" s="2218">
        <v>3499.2599999999998</v>
      </c>
      <c r="G43" s="2217"/>
      <c r="H43" s="2217">
        <v>316.63</v>
      </c>
      <c r="I43" s="2219">
        <f>+D43+H43</f>
        <v>1150.1500000000001</v>
      </c>
      <c r="J43" s="2216"/>
      <c r="K43" s="2217">
        <f>3754.85-2182.83</f>
        <v>1572.02</v>
      </c>
    </row>
    <row r="44" spans="1:12">
      <c r="A44" s="2203"/>
      <c r="B44" s="2206"/>
      <c r="C44" s="2205"/>
      <c r="D44" s="2220">
        <f>SUM(D42:D43)</f>
        <v>8919.89</v>
      </c>
      <c r="E44" s="2220"/>
      <c r="F44" s="2221">
        <v>8089.93</v>
      </c>
      <c r="G44" s="2220"/>
      <c r="H44" s="2220">
        <f>SUM(H42:H43)</f>
        <v>5866.61</v>
      </c>
      <c r="I44" s="2220">
        <f>SUM(I42:I43)</f>
        <v>14786.499999999998</v>
      </c>
      <c r="J44" s="2216"/>
    </row>
    <row r="45" spans="1:12">
      <c r="A45" s="2203"/>
      <c r="B45" s="2215" t="s">
        <v>1550</v>
      </c>
      <c r="C45" s="2205"/>
      <c r="D45" s="2206">
        <v>7.7</v>
      </c>
      <c r="F45" s="2207">
        <v>3.56</v>
      </c>
      <c r="H45" s="2194">
        <v>6.26</v>
      </c>
      <c r="I45" s="2195">
        <f>+D45+H45</f>
        <v>13.96</v>
      </c>
      <c r="J45" s="2216"/>
      <c r="K45" s="2194">
        <f>(6.26)+432.376454244+0.0035-32.66</f>
        <v>405.97995424399994</v>
      </c>
    </row>
    <row r="46" spans="1:12" ht="15.75" thickBot="1">
      <c r="A46" s="2203"/>
      <c r="B46" s="2220"/>
      <c r="C46" s="2205">
        <f>+D46/I46</f>
        <v>0.60329435560844646</v>
      </c>
      <c r="D46" s="2224">
        <f>+D44-D45</f>
        <v>8912.1899999999987</v>
      </c>
      <c r="E46" s="2220"/>
      <c r="F46" s="2239">
        <v>8086.37</v>
      </c>
      <c r="G46" s="2224"/>
      <c r="H46" s="2222">
        <f>+H44-H45</f>
        <v>5860.3499999999995</v>
      </c>
      <c r="I46" s="2224">
        <f>+I44-I45</f>
        <v>14772.539999999999</v>
      </c>
      <c r="J46" s="2216"/>
    </row>
    <row r="47" spans="1:12" ht="15.75" thickTop="1">
      <c r="A47" s="2203"/>
      <c r="B47" s="2215"/>
      <c r="C47" s="2205"/>
      <c r="D47" s="2206"/>
      <c r="F47" s="2207"/>
      <c r="G47" s="2206"/>
      <c r="H47" s="2206"/>
      <c r="I47" s="2220"/>
      <c r="J47" s="2216"/>
    </row>
    <row r="48" spans="1:12" ht="15" hidden="1" customHeight="1">
      <c r="A48" s="2203" t="s">
        <v>1551</v>
      </c>
      <c r="B48" s="2215" t="s">
        <v>1552</v>
      </c>
      <c r="C48" s="2205" t="e">
        <f>+D48/I48</f>
        <v>#DIV/0!</v>
      </c>
      <c r="D48" s="2206">
        <f>8253894/100000*0</f>
        <v>0</v>
      </c>
      <c r="F48" s="2207">
        <v>0</v>
      </c>
      <c r="H48" s="2194">
        <v>0</v>
      </c>
      <c r="I48" s="2195">
        <f>+H48+D48</f>
        <v>0</v>
      </c>
      <c r="J48" s="2216"/>
    </row>
    <row r="49" spans="1:13" hidden="1">
      <c r="A49" s="2203"/>
      <c r="B49" s="2215" t="s">
        <v>1553</v>
      </c>
      <c r="C49" s="2205">
        <f>+D49/I49</f>
        <v>0</v>
      </c>
      <c r="D49" s="2206">
        <f>41961143/100000*0</f>
        <v>0</v>
      </c>
      <c r="F49" s="2207">
        <v>0</v>
      </c>
      <c r="G49" s="2217"/>
      <c r="H49" s="2217">
        <v>447.43</v>
      </c>
      <c r="I49" s="2219">
        <f>+H49+D49</f>
        <v>447.43</v>
      </c>
      <c r="J49" s="2216"/>
    </row>
    <row r="50" spans="1:13" hidden="1">
      <c r="A50" s="2203"/>
      <c r="B50" s="2215"/>
      <c r="C50" s="2205"/>
      <c r="D50" s="2220">
        <f>SUM(D48:D49)</f>
        <v>0</v>
      </c>
      <c r="E50" s="2220"/>
      <c r="F50" s="2221">
        <v>0</v>
      </c>
      <c r="G50" s="2220"/>
      <c r="H50" s="2220">
        <f>SUM(H48:H49)</f>
        <v>447.43</v>
      </c>
      <c r="I50" s="2220">
        <f>SUM(I48:I49)</f>
        <v>447.43</v>
      </c>
      <c r="J50" s="2216"/>
    </row>
    <row r="51" spans="1:13" hidden="1">
      <c r="A51" s="2203"/>
      <c r="B51" s="2215" t="s">
        <v>1539</v>
      </c>
      <c r="C51" s="2205"/>
      <c r="D51" s="2206">
        <f>50215037/100000*0</f>
        <v>0</v>
      </c>
      <c r="F51" s="2207">
        <v>0</v>
      </c>
      <c r="H51" s="2194">
        <v>447.43</v>
      </c>
      <c r="I51" s="2195">
        <f>+H51+D51</f>
        <v>447.43</v>
      </c>
      <c r="J51" s="2216"/>
    </row>
    <row r="52" spans="1:13" ht="15.75" hidden="1" thickBot="1">
      <c r="A52" s="2203"/>
      <c r="B52" s="2215"/>
      <c r="C52" s="2205" t="e">
        <f>+D52/I52</f>
        <v>#DIV/0!</v>
      </c>
      <c r="D52" s="2206">
        <f>+D50-D51</f>
        <v>0</v>
      </c>
      <c r="F52" s="2207">
        <v>0</v>
      </c>
      <c r="G52" s="2222"/>
      <c r="H52" s="2222">
        <f>+H50-H51</f>
        <v>0</v>
      </c>
      <c r="I52" s="2224">
        <f>+I50-I51</f>
        <v>0</v>
      </c>
      <c r="J52" s="2216"/>
    </row>
    <row r="53" spans="1:13" hidden="1">
      <c r="A53" s="2203"/>
      <c r="B53" s="2215"/>
      <c r="C53" s="2205"/>
      <c r="D53" s="2206"/>
      <c r="F53" s="2207"/>
      <c r="G53" s="2206"/>
      <c r="H53" s="2206"/>
      <c r="I53" s="2220"/>
      <c r="J53" s="2216"/>
    </row>
    <row r="54" spans="1:13" ht="15" customHeight="1">
      <c r="A54" s="2203" t="s">
        <v>1053</v>
      </c>
      <c r="B54" s="2215" t="s">
        <v>1499</v>
      </c>
      <c r="C54" s="2205">
        <f>+D54/I54</f>
        <v>0.25215208034433279</v>
      </c>
      <c r="D54" s="2206">
        <f>F58</f>
        <v>7.0299999999999994</v>
      </c>
      <c r="F54" s="2207">
        <v>7.1</v>
      </c>
      <c r="H54" s="2194">
        <v>20.85</v>
      </c>
      <c r="I54" s="2194">
        <f>+H54+D54</f>
        <v>27.880000000000003</v>
      </c>
      <c r="J54" s="2216"/>
      <c r="K54" s="2240"/>
    </row>
    <row r="55" spans="1:13" ht="18" customHeight="1">
      <c r="A55" s="2203"/>
      <c r="B55" s="2215" t="s">
        <v>1554</v>
      </c>
      <c r="C55" s="2205">
        <f>+D55/I55</f>
        <v>0</v>
      </c>
      <c r="D55" s="2217">
        <v>0</v>
      </c>
      <c r="F55" s="2218">
        <v>0</v>
      </c>
      <c r="G55" s="2217"/>
      <c r="H55" s="2217">
        <v>0.71</v>
      </c>
      <c r="I55" s="2219">
        <f>+D55+H55</f>
        <v>0.71</v>
      </c>
      <c r="J55" s="2216"/>
    </row>
    <row r="56" spans="1:13">
      <c r="A56" s="2203"/>
      <c r="B56" s="2215"/>
      <c r="C56" s="2205"/>
      <c r="D56" s="2220">
        <f>SUM(D54:D55)</f>
        <v>7.0299999999999994</v>
      </c>
      <c r="E56" s="2220"/>
      <c r="F56" s="2221">
        <v>7.1</v>
      </c>
      <c r="G56" s="2220"/>
      <c r="H56" s="2220">
        <f>SUM(H54:H55)</f>
        <v>21.560000000000002</v>
      </c>
      <c r="I56" s="2220">
        <f>SUM(I54:I55)</f>
        <v>28.590000000000003</v>
      </c>
      <c r="J56" s="2216"/>
    </row>
    <row r="57" spans="1:13">
      <c r="A57" s="2203"/>
      <c r="B57" s="2215" t="s">
        <v>1550</v>
      </c>
      <c r="C57" s="2205"/>
      <c r="D57" s="2206">
        <v>0</v>
      </c>
      <c r="F57" s="2207">
        <v>7.0000000000000007E-2</v>
      </c>
      <c r="H57" s="2194">
        <v>0</v>
      </c>
      <c r="I57" s="2195">
        <f>+D57+H57</f>
        <v>0</v>
      </c>
      <c r="J57" s="2216"/>
    </row>
    <row r="58" spans="1:13" ht="15.75" thickBot="1">
      <c r="A58" s="2203"/>
      <c r="B58" s="2215"/>
      <c r="C58" s="2205">
        <f>+D58/I58</f>
        <v>0.24589017138859737</v>
      </c>
      <c r="D58" s="2224">
        <f>+D56-D57</f>
        <v>7.0299999999999994</v>
      </c>
      <c r="E58" s="2220"/>
      <c r="F58" s="2239">
        <v>7.0299999999999994</v>
      </c>
      <c r="G58" s="2222"/>
      <c r="H58" s="2222">
        <f>+H56-H57</f>
        <v>21.560000000000002</v>
      </c>
      <c r="I58" s="2224">
        <f>+I56-I57</f>
        <v>28.590000000000003</v>
      </c>
      <c r="J58" s="2216"/>
    </row>
    <row r="59" spans="1:13" ht="15.75" thickTop="1">
      <c r="A59" s="2203"/>
      <c r="B59" s="2215"/>
      <c r="C59" s="2205"/>
      <c r="D59" s="2241"/>
      <c r="E59" s="2241"/>
      <c r="F59" s="2242"/>
      <c r="I59" s="2195" t="e">
        <f>+H59+#REF!</f>
        <v>#REF!</v>
      </c>
      <c r="J59" s="2216"/>
    </row>
    <row r="60" spans="1:13" ht="15" customHeight="1">
      <c r="A60" s="2243" t="s">
        <v>1555</v>
      </c>
      <c r="B60" s="2215" t="s">
        <v>1556</v>
      </c>
      <c r="C60" s="2225" t="e">
        <f>+D60/#REF!</f>
        <v>#REF!</v>
      </c>
      <c r="D60" s="2206">
        <f>F64</f>
        <v>12876.94</v>
      </c>
      <c r="F60" s="2207">
        <v>23090</v>
      </c>
      <c r="H60" s="2194">
        <v>70320.41</v>
      </c>
      <c r="I60" s="2195">
        <f>+H60+D66</f>
        <v>130176.34</v>
      </c>
      <c r="J60" s="2216"/>
      <c r="K60" s="2240"/>
      <c r="L60" s="2228"/>
    </row>
    <row r="61" spans="1:13">
      <c r="A61" s="2243"/>
      <c r="B61" s="2215" t="s">
        <v>1553</v>
      </c>
      <c r="C61" s="2225" t="e">
        <f>+D61/#REF!</f>
        <v>#REF!</v>
      </c>
      <c r="D61" s="2217">
        <v>0</v>
      </c>
      <c r="F61" s="2218">
        <v>0</v>
      </c>
      <c r="G61" s="2217"/>
      <c r="H61" s="2217">
        <f>2549.49+26.28+4051.08</f>
        <v>6626.85</v>
      </c>
      <c r="I61" s="2219">
        <f>+D67+H61</f>
        <v>39257.379999999997</v>
      </c>
      <c r="J61" s="2216"/>
      <c r="K61" s="2229"/>
      <c r="L61" s="2228"/>
    </row>
    <row r="62" spans="1:13">
      <c r="A62" s="2243"/>
      <c r="B62" s="2215"/>
      <c r="C62" s="2205"/>
      <c r="D62" s="2220">
        <f>+D60+D61</f>
        <v>12876.94</v>
      </c>
      <c r="E62" s="2220"/>
      <c r="F62" s="2221">
        <v>23090</v>
      </c>
      <c r="G62" s="2220"/>
      <c r="H62" s="2220">
        <f>SUM(H60:H61)</f>
        <v>76947.260000000009</v>
      </c>
      <c r="I62" s="2220">
        <f>SUM(I60:I61)</f>
        <v>169433.72</v>
      </c>
      <c r="J62" s="2216"/>
      <c r="L62" s="2205"/>
    </row>
    <row r="63" spans="1:13">
      <c r="A63" s="2243"/>
      <c r="B63" s="2215" t="s">
        <v>1557</v>
      </c>
      <c r="C63" s="2205"/>
      <c r="D63" s="2206">
        <f>187.52+35.01</f>
        <v>222.53</v>
      </c>
      <c r="F63" s="2207">
        <v>10213.06</v>
      </c>
      <c r="H63" s="2194">
        <v>9.33</v>
      </c>
      <c r="I63" s="2195">
        <f>+D69+H63</f>
        <v>9.33</v>
      </c>
      <c r="J63" s="2216"/>
      <c r="L63" s="2205"/>
    </row>
    <row r="64" spans="1:13" ht="15.75" thickBot="1">
      <c r="A64" s="2203"/>
      <c r="B64" s="2244"/>
      <c r="C64" s="2205" t="e">
        <f>+D64/#REF!</f>
        <v>#REF!</v>
      </c>
      <c r="D64" s="2224">
        <f>+D62-D63</f>
        <v>12654.41</v>
      </c>
      <c r="E64" s="2220"/>
      <c r="F64" s="2239">
        <v>12876.94</v>
      </c>
      <c r="G64" s="2222"/>
      <c r="H64" s="2222">
        <f>+H62-H63</f>
        <v>76937.930000000008</v>
      </c>
      <c r="I64" s="2224">
        <f>+I62-I63</f>
        <v>169424.39</v>
      </c>
      <c r="J64" s="2216"/>
      <c r="L64" s="2205"/>
      <c r="M64" s="2245"/>
    </row>
    <row r="65" spans="1:12" ht="15" customHeight="1" thickTop="1">
      <c r="A65" s="2203"/>
      <c r="B65" s="2215"/>
      <c r="C65" s="2246"/>
      <c r="D65" s="2206"/>
      <c r="F65" s="2207"/>
      <c r="H65" s="2194">
        <f>1730997189/100000*0</f>
        <v>0</v>
      </c>
      <c r="I65" s="2195">
        <f>+H65+D96</f>
        <v>19367.22</v>
      </c>
      <c r="J65" s="2216"/>
      <c r="L65" s="2246"/>
    </row>
    <row r="66" spans="1:12">
      <c r="A66" s="2243" t="s">
        <v>1558</v>
      </c>
      <c r="B66" s="2215" t="s">
        <v>1448</v>
      </c>
      <c r="C66" s="2205">
        <f>+D66/I60</f>
        <v>0.45980652090848456</v>
      </c>
      <c r="D66" s="2206">
        <f>F71</f>
        <v>59855.929999999993</v>
      </c>
      <c r="F66" s="2207">
        <v>25072.01</v>
      </c>
      <c r="G66" s="2217"/>
      <c r="H66" s="2217">
        <f>175009697/100000*0</f>
        <v>0</v>
      </c>
      <c r="I66" s="2219">
        <f>+H66+D97</f>
        <v>32</v>
      </c>
      <c r="J66" s="2216"/>
    </row>
    <row r="67" spans="1:12">
      <c r="A67" s="2243"/>
      <c r="B67" s="2215" t="s">
        <v>1559</v>
      </c>
      <c r="C67" s="2205">
        <f>+D67/I61</f>
        <v>0.83119479700377363</v>
      </c>
      <c r="D67" s="2247">
        <v>32630.53</v>
      </c>
      <c r="F67" s="2248">
        <v>34783.919999999998</v>
      </c>
      <c r="G67" s="2220"/>
      <c r="H67" s="2220">
        <f>SUM(H65:H66)</f>
        <v>0</v>
      </c>
      <c r="I67" s="2220">
        <f>SUM(I65:I66)</f>
        <v>19399.22</v>
      </c>
      <c r="J67" s="2216"/>
    </row>
    <row r="68" spans="1:12">
      <c r="A68" s="2243"/>
      <c r="B68" s="2206"/>
      <c r="C68" s="2205"/>
      <c r="D68" s="2249">
        <f>SUM(D66:D67)</f>
        <v>92486.459999999992</v>
      </c>
      <c r="E68" s="2220"/>
      <c r="F68" s="2221">
        <v>59855.929999999993</v>
      </c>
      <c r="H68" s="2194">
        <f>13073498/100000*0</f>
        <v>0</v>
      </c>
      <c r="I68" s="2195">
        <f>+H68+D99</f>
        <v>0</v>
      </c>
      <c r="J68" s="2216"/>
    </row>
    <row r="69" spans="1:12" ht="15.75" thickBot="1">
      <c r="A69" s="2243"/>
      <c r="B69" s="2215" t="s">
        <v>1560</v>
      </c>
      <c r="C69" s="2205"/>
      <c r="D69" s="2250">
        <v>0</v>
      </c>
      <c r="F69" s="2251">
        <v>0</v>
      </c>
      <c r="G69" s="2222"/>
      <c r="H69" s="2222">
        <f>+H67-H68</f>
        <v>0</v>
      </c>
      <c r="I69" s="2224">
        <f>+I67-I68</f>
        <v>19399.22</v>
      </c>
      <c r="J69" s="2216"/>
      <c r="K69" s="2194"/>
    </row>
    <row r="70" spans="1:12" ht="15.75" hidden="1" thickTop="1">
      <c r="A70" s="2243"/>
      <c r="B70" s="2215" t="s">
        <v>1561</v>
      </c>
      <c r="C70" s="2205"/>
      <c r="D70" s="2206"/>
      <c r="F70" s="2207"/>
      <c r="G70" s="2206"/>
      <c r="H70" s="2206"/>
      <c r="I70" s="2220"/>
      <c r="J70" s="2216"/>
    </row>
    <row r="71" spans="1:12" ht="16.5" thickTop="1" thickBot="1">
      <c r="A71" s="2203"/>
      <c r="B71" s="2206"/>
      <c r="C71" s="2205">
        <f>+D71/I64</f>
        <v>0.54588633903300454</v>
      </c>
      <c r="D71" s="2252">
        <f>+D68-D69</f>
        <v>92486.459999999992</v>
      </c>
      <c r="E71" s="2220"/>
      <c r="F71" s="2253">
        <v>59855.929999999993</v>
      </c>
      <c r="G71" s="2206"/>
      <c r="H71" s="2206">
        <f>100000/2/100000</f>
        <v>0.5</v>
      </c>
      <c r="I71" s="2220">
        <f>+H71+D106</f>
        <v>1</v>
      </c>
      <c r="J71" s="2216"/>
    </row>
    <row r="72" spans="1:12" ht="15.75" hidden="1" thickTop="1">
      <c r="A72" s="2203" t="s">
        <v>1562</v>
      </c>
      <c r="B72" s="2215" t="s">
        <v>1563</v>
      </c>
      <c r="C72" s="2246"/>
      <c r="D72" s="2254"/>
      <c r="E72" s="2254"/>
      <c r="F72" s="2255"/>
      <c r="G72" s="2206"/>
      <c r="H72" s="2206"/>
      <c r="I72" s="2220"/>
      <c r="J72" s="2216"/>
    </row>
    <row r="73" spans="1:12" ht="15.75" thickTop="1">
      <c r="A73" s="2203"/>
      <c r="B73" s="2215"/>
      <c r="C73" s="2246"/>
      <c r="D73" s="2206"/>
      <c r="F73" s="2207"/>
      <c r="G73" s="2206"/>
      <c r="H73" s="2206"/>
      <c r="I73" s="2220"/>
      <c r="J73" s="2216"/>
    </row>
    <row r="74" spans="1:12" hidden="1">
      <c r="A74" s="2203"/>
      <c r="B74" s="2215"/>
      <c r="C74" s="2246"/>
      <c r="D74" s="2206"/>
      <c r="F74" s="2207"/>
      <c r="G74" s="2206"/>
      <c r="H74" s="2206"/>
      <c r="I74" s="2220"/>
      <c r="J74" s="2216"/>
    </row>
    <row r="75" spans="1:12" hidden="1">
      <c r="A75" s="2203"/>
      <c r="B75" s="2215" t="s">
        <v>1564</v>
      </c>
      <c r="C75" s="2246"/>
      <c r="D75" s="2206" t="e">
        <f>+D72+D106+D100+D64+D71+D58+D52+D46+D38+D26+D20+D14+#REF!+#REF!+D112</f>
        <v>#REF!</v>
      </c>
      <c r="F75" s="2207" t="e">
        <v>#REF!</v>
      </c>
      <c r="G75" s="2206"/>
      <c r="H75" s="2206"/>
      <c r="I75" s="2220"/>
      <c r="J75" s="2216"/>
    </row>
    <row r="76" spans="1:12" hidden="1">
      <c r="A76" s="2203"/>
      <c r="B76" s="2256"/>
      <c r="C76" s="2246"/>
      <c r="D76" s="2206"/>
      <c r="F76" s="2207"/>
      <c r="G76" s="2206"/>
      <c r="H76" s="2206"/>
      <c r="I76" s="2220"/>
      <c r="J76" s="2216"/>
    </row>
    <row r="77" spans="1:12" hidden="1">
      <c r="A77" s="2203"/>
      <c r="B77" s="2256"/>
      <c r="C77" s="2246"/>
      <c r="D77" s="2206"/>
      <c r="F77" s="2207"/>
      <c r="G77" s="2206"/>
      <c r="H77" s="2206"/>
      <c r="I77" s="2220"/>
      <c r="J77" s="2216"/>
    </row>
    <row r="78" spans="1:12" hidden="1">
      <c r="A78" s="2203"/>
      <c r="B78" s="2256"/>
      <c r="C78" s="2246"/>
      <c r="D78" s="2206"/>
      <c r="F78" s="2207"/>
      <c r="G78" s="2206"/>
      <c r="H78" s="2206"/>
      <c r="I78" s="2220"/>
      <c r="J78" s="2216"/>
    </row>
    <row r="79" spans="1:12" hidden="1">
      <c r="A79" s="2203"/>
      <c r="B79" s="2256"/>
      <c r="C79" s="2246"/>
      <c r="D79" s="2206"/>
      <c r="F79" s="2207"/>
      <c r="G79" s="2254"/>
      <c r="H79" s="2206"/>
      <c r="I79" s="2220"/>
      <c r="J79" s="2216"/>
    </row>
    <row r="80" spans="1:12" hidden="1">
      <c r="A80" s="2203" t="s">
        <v>1565</v>
      </c>
      <c r="B80" s="2215" t="s">
        <v>1566</v>
      </c>
      <c r="C80" s="2246"/>
      <c r="D80" s="2206" t="e">
        <f>+D108+#REF!+#REF!+D10+D16+D42+D48+D22+D34+D54+D66+D96+D106+D60</f>
        <v>#REF!</v>
      </c>
      <c r="F80" s="2207" t="e">
        <v>#REF!</v>
      </c>
      <c r="G80" s="2206"/>
      <c r="H80" s="2206"/>
      <c r="I80" s="2220"/>
      <c r="J80" s="2216"/>
    </row>
    <row r="81" spans="1:10" hidden="1">
      <c r="A81" s="2203" t="s">
        <v>1567</v>
      </c>
      <c r="B81" s="2215" t="s">
        <v>1568</v>
      </c>
      <c r="C81" s="2246"/>
      <c r="D81" s="2206" t="e">
        <f>+D109+#REF!+#REF!+D11+D17+D43+D49+D23+D35+D55+D67+D97+D61+D85</f>
        <v>#REF!</v>
      </c>
      <c r="F81" s="2207" t="e">
        <v>#REF!</v>
      </c>
      <c r="G81" s="2206"/>
      <c r="H81" s="2206"/>
      <c r="I81" s="2220"/>
      <c r="J81" s="2216"/>
    </row>
    <row r="82" spans="1:10" hidden="1">
      <c r="A82" s="2203" t="s">
        <v>1569</v>
      </c>
      <c r="B82" s="2215" t="s">
        <v>1570</v>
      </c>
      <c r="C82" s="2246"/>
      <c r="D82" s="2206" t="e">
        <f>+D111+#REF!+#REF!+D13+D19+D45+D51+D25+D37+D57+D69+D99+D63+D70+D87</f>
        <v>#REF!</v>
      </c>
      <c r="F82" s="2207" t="e">
        <v>#REF!</v>
      </c>
      <c r="G82" s="2206"/>
      <c r="H82" s="2206" t="e">
        <f>+H79+H71+H69+#REF!+H64+H58+H52+H46+H38+H26+H20+H14+#REF!+#REF!+#REF!</f>
        <v>#REF!</v>
      </c>
      <c r="I82" s="2220"/>
      <c r="J82" s="2216"/>
    </row>
    <row r="83" spans="1:10" hidden="1">
      <c r="A83" s="2203"/>
      <c r="B83" s="2215"/>
      <c r="C83" s="2246"/>
      <c r="D83" s="2206"/>
      <c r="F83" s="2207"/>
      <c r="J83" s="2216"/>
    </row>
    <row r="84" spans="1:10">
      <c r="A84" s="2203" t="s">
        <v>1551</v>
      </c>
      <c r="B84" s="2215" t="s">
        <v>1571</v>
      </c>
      <c r="C84" s="2246"/>
      <c r="D84" s="2206">
        <f>F88</f>
        <v>48725</v>
      </c>
      <c r="F84" s="2207">
        <v>35995</v>
      </c>
      <c r="J84" s="2216"/>
    </row>
    <row r="85" spans="1:10">
      <c r="A85" s="2203"/>
      <c r="B85" s="2215" t="s">
        <v>1543</v>
      </c>
      <c r="C85" s="2246"/>
      <c r="D85" s="2217">
        <v>0</v>
      </c>
      <c r="F85" s="2218">
        <v>12730</v>
      </c>
      <c r="J85" s="2216"/>
    </row>
    <row r="86" spans="1:10">
      <c r="A86" s="2203"/>
      <c r="B86" s="2215"/>
      <c r="C86" s="2246"/>
      <c r="D86" s="2206">
        <f>+D84+D85</f>
        <v>48725</v>
      </c>
      <c r="F86" s="2207">
        <v>48725</v>
      </c>
      <c r="J86" s="2216"/>
    </row>
    <row r="87" spans="1:10">
      <c r="A87" s="2203"/>
      <c r="B87" s="2215" t="s">
        <v>1572</v>
      </c>
      <c r="C87" s="2246"/>
      <c r="D87" s="2206">
        <v>0</v>
      </c>
      <c r="F87" s="2207">
        <v>0</v>
      </c>
      <c r="J87" s="2216"/>
    </row>
    <row r="88" spans="1:10" ht="15.75" thickBot="1">
      <c r="A88" s="2203"/>
      <c r="B88" s="2215"/>
      <c r="C88" s="2246"/>
      <c r="D88" s="2224">
        <f>+D86-D87</f>
        <v>48725</v>
      </c>
      <c r="E88" s="2220"/>
      <c r="F88" s="2239">
        <v>48725</v>
      </c>
      <c r="J88" s="2216"/>
    </row>
    <row r="89" spans="1:10" ht="15.75" thickTop="1">
      <c r="A89" s="2203"/>
      <c r="B89" s="2215"/>
      <c r="C89" s="2246"/>
      <c r="D89" s="2206"/>
      <c r="F89" s="2207"/>
      <c r="J89" s="2216"/>
    </row>
    <row r="90" spans="1:10">
      <c r="A90" s="2203" t="s">
        <v>1573</v>
      </c>
      <c r="B90" s="2215" t="s">
        <v>1574</v>
      </c>
      <c r="C90" s="2246"/>
      <c r="D90" s="2206">
        <f>F94</f>
        <v>14435.52</v>
      </c>
      <c r="F90" s="2207">
        <v>13658</v>
      </c>
      <c r="J90" s="2216"/>
    </row>
    <row r="91" spans="1:10">
      <c r="A91" s="2203"/>
      <c r="B91" s="2215" t="s">
        <v>1543</v>
      </c>
      <c r="C91" s="2246"/>
      <c r="D91" s="2206">
        <v>836.77</v>
      </c>
      <c r="F91" s="2218">
        <v>777.52</v>
      </c>
      <c r="J91" s="2216"/>
    </row>
    <row r="92" spans="1:10" ht="15.75" customHeight="1">
      <c r="A92" s="2203"/>
      <c r="B92" s="2215"/>
      <c r="C92" s="2246"/>
      <c r="D92" s="2238">
        <f>D90+D91</f>
        <v>15272.29</v>
      </c>
      <c r="F92" s="2207">
        <v>14435.52</v>
      </c>
      <c r="J92" s="2216"/>
    </row>
    <row r="93" spans="1:10" ht="15.75" thickBot="1">
      <c r="A93" s="2203"/>
      <c r="B93" s="2215" t="s">
        <v>1572</v>
      </c>
      <c r="C93" s="2246"/>
      <c r="D93" s="2217">
        <v>0</v>
      </c>
      <c r="F93" s="2218">
        <v>0</v>
      </c>
      <c r="J93" s="2257"/>
    </row>
    <row r="94" spans="1:10">
      <c r="A94" s="2203"/>
      <c r="B94" s="2215"/>
      <c r="C94" s="2246"/>
      <c r="D94" s="2220">
        <f>D92-D93</f>
        <v>15272.29</v>
      </c>
      <c r="E94" s="2220"/>
      <c r="F94" s="2221">
        <v>14435.52</v>
      </c>
      <c r="J94" s="2216"/>
    </row>
    <row r="95" spans="1:10">
      <c r="A95" s="2203"/>
      <c r="B95" s="2215"/>
      <c r="C95" s="2246"/>
      <c r="D95" s="2206"/>
      <c r="F95" s="2207"/>
      <c r="J95" s="2216"/>
    </row>
    <row r="96" spans="1:10">
      <c r="A96" s="2243" t="s">
        <v>1575</v>
      </c>
      <c r="B96" s="2215" t="s">
        <v>1576</v>
      </c>
      <c r="C96" s="2225">
        <f>+D96/I65</f>
        <v>1</v>
      </c>
      <c r="D96" s="2206">
        <f>F100</f>
        <v>19367.22</v>
      </c>
      <c r="F96" s="2207">
        <v>19335.13</v>
      </c>
      <c r="J96" s="2216"/>
    </row>
    <row r="97" spans="1:10">
      <c r="A97" s="2243"/>
      <c r="B97" s="2215" t="s">
        <v>1543</v>
      </c>
      <c r="C97" s="2205">
        <f>+D97/I66</f>
        <v>1</v>
      </c>
      <c r="D97" s="2217">
        <v>32</v>
      </c>
      <c r="F97" s="2218">
        <v>32.090000000000003</v>
      </c>
      <c r="J97" s="2216"/>
    </row>
    <row r="98" spans="1:10">
      <c r="A98" s="2243"/>
      <c r="B98" s="2215"/>
      <c r="C98" s="2205"/>
      <c r="D98" s="2220">
        <f>SUM(D96:D97)</f>
        <v>19399.22</v>
      </c>
      <c r="E98" s="2220"/>
      <c r="F98" s="2221">
        <v>19367.22</v>
      </c>
      <c r="J98" s="2216"/>
    </row>
    <row r="99" spans="1:10">
      <c r="A99" s="2243"/>
      <c r="B99" s="2215" t="s">
        <v>1539</v>
      </c>
      <c r="C99" s="2205"/>
      <c r="D99" s="2206">
        <v>0</v>
      </c>
      <c r="F99" s="2207">
        <v>0</v>
      </c>
      <c r="J99" s="2216"/>
    </row>
    <row r="100" spans="1:10" ht="15.75" thickBot="1">
      <c r="A100" s="2203"/>
      <c r="B100" s="2215"/>
      <c r="C100" s="2205">
        <f>+D100/I69</f>
        <v>1</v>
      </c>
      <c r="D100" s="2224">
        <f>+D98-D99</f>
        <v>19399.22</v>
      </c>
      <c r="E100" s="2220"/>
      <c r="F100" s="2239">
        <v>19367.22</v>
      </c>
      <c r="J100" s="2216"/>
    </row>
    <row r="101" spans="1:10" ht="15.75" thickTop="1">
      <c r="A101" s="2203"/>
      <c r="B101" s="2215"/>
      <c r="C101" s="2246"/>
      <c r="D101" s="2206"/>
      <c r="F101" s="2258"/>
      <c r="J101" s="2259"/>
    </row>
    <row r="102" spans="1:10">
      <c r="A102" s="2203"/>
      <c r="B102" s="2215"/>
      <c r="C102" s="2246"/>
      <c r="D102" s="2206"/>
      <c r="F102" s="2207"/>
      <c r="J102" s="2216"/>
    </row>
    <row r="103" spans="1:10">
      <c r="A103" s="2203"/>
      <c r="B103" s="2231" t="s">
        <v>1577</v>
      </c>
      <c r="C103" s="2205"/>
      <c r="D103" s="2220">
        <f>D40+D46+D58+D64+D71+D88+D94+D100</f>
        <v>203253.31</v>
      </c>
      <c r="E103" s="2220"/>
      <c r="F103" s="2221">
        <v>169129.5</v>
      </c>
      <c r="J103" s="2216"/>
    </row>
    <row r="104" spans="1:10">
      <c r="A104" s="2203"/>
      <c r="B104" s="2231"/>
      <c r="C104" s="2205"/>
      <c r="D104" s="2220"/>
      <c r="E104" s="2220"/>
      <c r="F104" s="2221"/>
      <c r="J104" s="2216"/>
    </row>
    <row r="105" spans="1:10">
      <c r="A105" s="2203"/>
      <c r="B105" s="2215"/>
      <c r="C105" s="2246"/>
      <c r="D105" s="2206"/>
      <c r="F105" s="2207"/>
      <c r="J105" s="2216"/>
    </row>
    <row r="106" spans="1:10">
      <c r="A106" s="2203" t="s">
        <v>1578</v>
      </c>
      <c r="B106" s="2260" t="s">
        <v>1579</v>
      </c>
      <c r="C106" s="2205">
        <f>+D106/I71</f>
        <v>0.5</v>
      </c>
      <c r="D106" s="2206">
        <v>0.5</v>
      </c>
      <c r="F106" s="2207">
        <v>0.5</v>
      </c>
      <c r="J106" s="2216"/>
    </row>
    <row r="107" spans="1:10">
      <c r="A107" s="2203"/>
      <c r="B107" s="2215"/>
      <c r="C107" s="2246"/>
      <c r="D107" s="2206"/>
      <c r="F107" s="2207"/>
      <c r="J107" s="1938"/>
    </row>
    <row r="108" spans="1:10">
      <c r="A108" s="2203" t="s">
        <v>1580</v>
      </c>
      <c r="B108" s="2212" t="s">
        <v>1581</v>
      </c>
      <c r="C108" s="2261" t="e">
        <f>+D108/#REF!</f>
        <v>#REF!</v>
      </c>
      <c r="D108" s="2262">
        <v>0</v>
      </c>
      <c r="E108" s="2262"/>
      <c r="F108" s="2263">
        <v>0</v>
      </c>
      <c r="J108" s="1938"/>
    </row>
    <row r="109" spans="1:10">
      <c r="A109" s="2203"/>
      <c r="B109" s="2212" t="s">
        <v>1582</v>
      </c>
      <c r="C109" s="2261" t="e">
        <f>+D109/#REF!</f>
        <v>#REF!</v>
      </c>
      <c r="D109" s="2264">
        <v>0</v>
      </c>
      <c r="E109" s="2262"/>
      <c r="F109" s="2265">
        <v>357.89</v>
      </c>
      <c r="J109" s="1938"/>
    </row>
    <row r="110" spans="1:10">
      <c r="A110" s="2203"/>
      <c r="B110" s="2212"/>
      <c r="C110" s="2261"/>
      <c r="D110" s="2266">
        <f>+D109+D108</f>
        <v>0</v>
      </c>
      <c r="E110" s="2266"/>
      <c r="F110" s="2267">
        <v>357.89</v>
      </c>
      <c r="J110" s="1938"/>
    </row>
    <row r="111" spans="1:10">
      <c r="A111" s="2203"/>
      <c r="B111" s="2212" t="s">
        <v>1539</v>
      </c>
      <c r="C111" s="2261"/>
      <c r="D111" s="2262">
        <v>0</v>
      </c>
      <c r="E111" s="2262"/>
      <c r="F111" s="2263">
        <v>357.89</v>
      </c>
      <c r="J111" s="1938"/>
    </row>
    <row r="112" spans="1:10" ht="15.75" thickBot="1">
      <c r="A112" s="2203"/>
      <c r="B112" s="2212"/>
      <c r="C112" s="2261"/>
      <c r="D112" s="2268">
        <f>+D110-D111</f>
        <v>0</v>
      </c>
      <c r="E112" s="2262"/>
      <c r="F112" s="2269">
        <v>0</v>
      </c>
      <c r="J112" s="1938"/>
    </row>
    <row r="113" spans="1:10" ht="15.75" thickTop="1">
      <c r="A113" s="2203"/>
      <c r="B113" s="2212"/>
      <c r="C113" s="2261"/>
      <c r="D113" s="2262"/>
      <c r="E113" s="2262"/>
      <c r="F113" s="2263"/>
      <c r="J113" s="1938"/>
    </row>
    <row r="114" spans="1:10">
      <c r="A114" s="2270" t="s">
        <v>1562</v>
      </c>
      <c r="B114" s="2197" t="s">
        <v>1583</v>
      </c>
      <c r="C114" s="2197"/>
      <c r="D114" s="2271">
        <v>0</v>
      </c>
      <c r="E114" s="2271"/>
      <c r="F114" s="2272">
        <v>0</v>
      </c>
      <c r="J114" s="1938"/>
    </row>
    <row r="115" spans="1:10">
      <c r="A115" s="2273"/>
      <c r="B115" s="2215" t="s">
        <v>1543</v>
      </c>
      <c r="C115" s="2197"/>
      <c r="D115" s="2274">
        <v>0</v>
      </c>
      <c r="E115" s="2275"/>
      <c r="F115" s="2276">
        <v>3</v>
      </c>
      <c r="J115" s="1938"/>
    </row>
    <row r="116" spans="1:10">
      <c r="A116" s="2273"/>
      <c r="C116" s="2197"/>
      <c r="D116" s="2277">
        <f>D115+D114</f>
        <v>0</v>
      </c>
      <c r="E116" s="2275"/>
      <c r="F116" s="2272">
        <v>3</v>
      </c>
      <c r="J116" s="1938"/>
    </row>
    <row r="117" spans="1:10">
      <c r="A117" s="2273"/>
      <c r="B117" s="2215" t="s">
        <v>1572</v>
      </c>
      <c r="C117" s="2197"/>
      <c r="D117" s="2274">
        <v>0</v>
      </c>
      <c r="E117" s="2275"/>
      <c r="F117" s="2276">
        <v>3</v>
      </c>
      <c r="J117" s="1938"/>
    </row>
    <row r="118" spans="1:10" ht="15.75" thickBot="1">
      <c r="A118" s="2273"/>
      <c r="C118" s="2197"/>
      <c r="D118" s="2278">
        <f>D116-D117</f>
        <v>0</v>
      </c>
      <c r="E118" s="2275"/>
      <c r="F118" s="2279">
        <v>0</v>
      </c>
      <c r="J118" s="1937"/>
    </row>
    <row r="119" spans="1:10" ht="16.5" hidden="1" thickTop="1" thickBot="1">
      <c r="A119" s="2203"/>
      <c r="B119" s="2244"/>
      <c r="C119" s="2280"/>
      <c r="D119" s="2206"/>
      <c r="F119" s="2206"/>
      <c r="J119" s="1937"/>
    </row>
    <row r="120" spans="1:10" ht="16.5" hidden="1" thickTop="1" thickBot="1">
      <c r="A120" s="2203"/>
      <c r="B120" s="2231" t="s">
        <v>1584</v>
      </c>
      <c r="C120" s="2280"/>
      <c r="D120" s="2206"/>
      <c r="F120" s="2206"/>
      <c r="H120" s="2194">
        <f>7125477755/100000*0.55</f>
        <v>39190.127652499999</v>
      </c>
      <c r="I120" s="2195" t="e">
        <f>+H120+#REF!</f>
        <v>#REF!</v>
      </c>
      <c r="J120" s="1937"/>
    </row>
    <row r="121" spans="1:10" ht="16.5" hidden="1" thickTop="1" thickBot="1">
      <c r="A121" s="2203"/>
      <c r="B121" s="2215"/>
      <c r="C121" s="2280"/>
      <c r="D121" s="2281" t="s">
        <v>1585</v>
      </c>
      <c r="E121" s="2281"/>
      <c r="F121" s="2281" t="s">
        <v>1585</v>
      </c>
      <c r="H121" s="2194">
        <f>829982149/100000*0.55</f>
        <v>4564.9018195000008</v>
      </c>
      <c r="I121" s="2195" t="e">
        <f>+H121+#REF!</f>
        <v>#REF!</v>
      </c>
      <c r="J121" s="1937"/>
    </row>
    <row r="122" spans="1:10" ht="16.5" hidden="1" thickTop="1" thickBot="1">
      <c r="A122" s="2203"/>
      <c r="B122" s="2215"/>
      <c r="C122" s="2280"/>
      <c r="D122" s="2282" t="s">
        <v>522</v>
      </c>
      <c r="E122" s="2282"/>
      <c r="F122" s="2282" t="s">
        <v>522</v>
      </c>
      <c r="G122" s="2195"/>
      <c r="H122" s="2195">
        <f>SUM(H120:H121)</f>
        <v>43755.029472000002</v>
      </c>
      <c r="I122" s="2195" t="e">
        <f>SUM(I120:I121)</f>
        <v>#REF!</v>
      </c>
      <c r="J122" s="1937"/>
    </row>
    <row r="123" spans="1:10" ht="16.5" hidden="1" thickTop="1" thickBot="1">
      <c r="A123" s="2203"/>
      <c r="B123" s="2215" t="s">
        <v>1586</v>
      </c>
      <c r="C123" s="2280"/>
      <c r="D123" s="2206">
        <v>7125477755</v>
      </c>
      <c r="F123" s="2206">
        <v>7125477755</v>
      </c>
      <c r="H123" s="2194">
        <f>405611500/100000*0.55</f>
        <v>2230.8632499999999</v>
      </c>
      <c r="I123" s="2195" t="e">
        <f>+H123+#REF!</f>
        <v>#REF!</v>
      </c>
      <c r="J123" s="1937"/>
    </row>
    <row r="124" spans="1:10" ht="16.5" hidden="1" thickTop="1" thickBot="1">
      <c r="A124" s="2203"/>
      <c r="B124" s="2215" t="s">
        <v>1587</v>
      </c>
      <c r="C124" s="2280"/>
      <c r="D124" s="2217">
        <v>6043423941</v>
      </c>
      <c r="F124" s="2217">
        <v>6043423941</v>
      </c>
      <c r="G124" s="2222"/>
      <c r="H124" s="2222">
        <f>+H122-H123</f>
        <v>41524.166222</v>
      </c>
      <c r="I124" s="2224" t="e">
        <f>+I122-I123</f>
        <v>#REF!</v>
      </c>
      <c r="J124" s="1937"/>
    </row>
    <row r="125" spans="1:10" ht="16.5" hidden="1" thickTop="1" thickBot="1">
      <c r="A125" s="2203"/>
      <c r="B125" s="2215" t="s">
        <v>1588</v>
      </c>
      <c r="C125" s="2280"/>
      <c r="D125" s="2206">
        <f>+D123-D124</f>
        <v>1082053814</v>
      </c>
      <c r="F125" s="2206">
        <v>1082053814</v>
      </c>
      <c r="G125" s="2206"/>
      <c r="H125" s="2206"/>
      <c r="I125" s="2220"/>
      <c r="J125" s="1937"/>
    </row>
    <row r="126" spans="1:10" ht="16.5" hidden="1" thickTop="1" thickBot="1">
      <c r="A126" s="2203"/>
      <c r="B126" s="2215"/>
      <c r="C126" s="2280"/>
      <c r="D126" s="2206"/>
      <c r="F126" s="2206"/>
      <c r="G126" s="2206"/>
      <c r="H126" s="2206"/>
      <c r="I126" s="2220"/>
      <c r="J126" s="1937"/>
    </row>
    <row r="127" spans="1:10" ht="16.5" hidden="1" thickTop="1" thickBot="1">
      <c r="A127" s="2203"/>
      <c r="B127" s="2215"/>
      <c r="C127" s="2280"/>
      <c r="D127" s="2281" t="s">
        <v>1589</v>
      </c>
      <c r="E127" s="2281"/>
      <c r="F127" s="2281" t="s">
        <v>1589</v>
      </c>
      <c r="G127" s="2206"/>
      <c r="H127" s="2206"/>
      <c r="I127" s="2220"/>
      <c r="J127" s="1937"/>
    </row>
    <row r="128" spans="1:10" ht="16.5" hidden="1" thickTop="1" thickBot="1">
      <c r="A128" s="2203"/>
      <c r="B128" s="2215"/>
      <c r="C128" s="2280"/>
      <c r="D128" s="2282" t="s">
        <v>522</v>
      </c>
      <c r="E128" s="2282"/>
      <c r="F128" s="2282" t="s">
        <v>522</v>
      </c>
      <c r="G128" s="2281"/>
      <c r="H128" s="2281" t="s">
        <v>1590</v>
      </c>
      <c r="I128" s="2281"/>
      <c r="J128" s="1937"/>
    </row>
    <row r="129" spans="1:10" ht="16.5" hidden="1" thickTop="1" thickBot="1">
      <c r="A129" s="2203"/>
      <c r="B129" s="2215" t="s">
        <v>1586</v>
      </c>
      <c r="C129" s="2280"/>
      <c r="D129" s="2206">
        <v>6581927292</v>
      </c>
      <c r="F129" s="2206">
        <v>6581927292</v>
      </c>
      <c r="G129" s="2282"/>
      <c r="H129" s="2282" t="s">
        <v>523</v>
      </c>
      <c r="I129" s="2282" t="s">
        <v>1591</v>
      </c>
      <c r="J129" s="1937"/>
    </row>
    <row r="130" spans="1:10" ht="16.5" hidden="1" thickTop="1" thickBot="1">
      <c r="A130" s="2203"/>
      <c r="B130" s="2215" t="s">
        <v>1587</v>
      </c>
      <c r="C130" s="2280"/>
      <c r="D130" s="2217">
        <v>5588946783</v>
      </c>
      <c r="F130" s="2217">
        <v>5588946783</v>
      </c>
      <c r="G130" s="2206"/>
      <c r="H130" s="2206">
        <v>7549848404</v>
      </c>
      <c r="I130" s="2220">
        <f>+H130-D123</f>
        <v>424370649</v>
      </c>
      <c r="J130" s="1937"/>
    </row>
    <row r="131" spans="1:10" ht="16.5" hidden="1" thickTop="1" thickBot="1">
      <c r="A131" s="2203"/>
      <c r="B131" s="2215" t="s">
        <v>1588</v>
      </c>
      <c r="C131" s="2280"/>
      <c r="D131" s="2206">
        <f>+D129-D130</f>
        <v>992980509</v>
      </c>
      <c r="F131" s="2206">
        <v>992980509</v>
      </c>
      <c r="G131" s="2217"/>
      <c r="H131" s="2217">
        <v>6233008819</v>
      </c>
      <c r="I131" s="2219">
        <f>+H131-D124</f>
        <v>189584878</v>
      </c>
      <c r="J131" s="1937"/>
    </row>
    <row r="132" spans="1:10" ht="16.5" hidden="1" thickTop="1" thickBot="1">
      <c r="A132" s="2203"/>
      <c r="B132" s="2215"/>
      <c r="C132" s="2280"/>
      <c r="D132" s="2206"/>
      <c r="F132" s="2206"/>
      <c r="G132" s="2206"/>
      <c r="H132" s="2206">
        <f>+H130-H131</f>
        <v>1316839585</v>
      </c>
      <c r="I132" s="2220">
        <f>+H132-D125</f>
        <v>234785771</v>
      </c>
      <c r="J132" s="1937"/>
    </row>
    <row r="133" spans="1:10" ht="16.5" hidden="1" thickTop="1" thickBot="1">
      <c r="A133" s="2203"/>
      <c r="B133" s="2215"/>
      <c r="C133" s="2280"/>
      <c r="D133" s="2206"/>
      <c r="F133" s="2206"/>
      <c r="G133" s="2206"/>
      <c r="H133" s="2206"/>
      <c r="I133" s="2220"/>
      <c r="J133" s="1937"/>
    </row>
    <row r="134" spans="1:10" ht="16.5" hidden="1" thickTop="1" thickBot="1">
      <c r="A134" s="2203"/>
      <c r="B134" s="2215" t="s">
        <v>1592</v>
      </c>
      <c r="C134" s="2280"/>
      <c r="D134" s="2220"/>
      <c r="E134" s="2220"/>
      <c r="F134" s="2220"/>
      <c r="G134" s="2281"/>
      <c r="H134" s="2281" t="s">
        <v>1585</v>
      </c>
      <c r="I134" s="2281"/>
      <c r="J134" s="1937"/>
    </row>
    <row r="135" spans="1:10" ht="16.5" hidden="1" thickTop="1" thickBot="1">
      <c r="A135" s="2203"/>
      <c r="B135" s="2215" t="s">
        <v>1593</v>
      </c>
      <c r="C135" s="2280"/>
      <c r="D135" s="2206"/>
      <c r="F135" s="2206"/>
      <c r="G135" s="2282"/>
      <c r="H135" s="2282" t="s">
        <v>523</v>
      </c>
      <c r="I135" s="2282" t="s">
        <v>1591</v>
      </c>
      <c r="J135" s="1937"/>
    </row>
    <row r="136" spans="1:10" ht="16.5" hidden="1" thickTop="1" thickBot="1">
      <c r="A136" s="2203"/>
      <c r="B136" s="2215" t="s">
        <v>1594</v>
      </c>
      <c r="C136" s="2280"/>
      <c r="D136" s="2206"/>
      <c r="F136" s="2206"/>
      <c r="G136" s="2206"/>
      <c r="H136" s="2206">
        <v>7125477755</v>
      </c>
      <c r="I136" s="2220">
        <f>+H136-D129</f>
        <v>543550463</v>
      </c>
      <c r="J136" s="1937"/>
    </row>
    <row r="137" spans="1:10" ht="16.5" hidden="1" thickTop="1" thickBot="1">
      <c r="A137" s="2203"/>
      <c r="B137" s="2215" t="s">
        <v>1595</v>
      </c>
      <c r="C137" s="2280"/>
      <c r="D137" s="2206"/>
      <c r="F137" s="2206"/>
      <c r="G137" s="2217"/>
      <c r="H137" s="2217">
        <v>6043423941</v>
      </c>
      <c r="I137" s="2219">
        <f>+H137-D130</f>
        <v>454477158</v>
      </c>
      <c r="J137" s="1937"/>
    </row>
    <row r="138" spans="1:10" ht="16.5" hidden="1" thickTop="1" thickBot="1">
      <c r="A138" s="2203"/>
      <c r="B138" s="2215" t="s">
        <v>1596</v>
      </c>
      <c r="C138" s="2280"/>
      <c r="D138" s="2206"/>
      <c r="F138" s="2206"/>
      <c r="G138" s="2206"/>
      <c r="H138" s="2206">
        <f>+H136-H137</f>
        <v>1082053814</v>
      </c>
      <c r="I138" s="2220">
        <f>+H138-D131</f>
        <v>89073305</v>
      </c>
      <c r="J138" s="1937"/>
    </row>
    <row r="139" spans="1:10" ht="16.5" hidden="1" thickTop="1" thickBot="1">
      <c r="A139" s="2203"/>
      <c r="B139" s="2215" t="s">
        <v>1597</v>
      </c>
      <c r="C139" s="2280"/>
      <c r="D139" s="2206"/>
      <c r="F139" s="2206"/>
      <c r="G139" s="2206"/>
      <c r="H139" s="2206"/>
      <c r="I139" s="2220"/>
      <c r="J139" s="1937"/>
    </row>
    <row r="140" spans="1:10" ht="16.5" hidden="1" thickTop="1" thickBot="1">
      <c r="A140" s="2203"/>
      <c r="B140" s="2215" t="s">
        <v>1598</v>
      </c>
      <c r="C140" s="2280"/>
      <c r="D140" s="2206"/>
      <c r="F140" s="2206"/>
      <c r="G140" s="2206"/>
      <c r="H140" s="2206"/>
      <c r="I140" s="2220"/>
      <c r="J140" s="1937"/>
    </row>
    <row r="141" spans="1:10" ht="16.5" hidden="1" thickTop="1" thickBot="1">
      <c r="A141" s="2203"/>
      <c r="B141" s="2215"/>
      <c r="C141" s="2280"/>
      <c r="D141" s="2206"/>
      <c r="F141" s="2206"/>
      <c r="G141" s="2220"/>
      <c r="H141" s="2220" t="s">
        <v>1590</v>
      </c>
      <c r="I141" s="2220"/>
      <c r="J141" s="1937"/>
    </row>
    <row r="142" spans="1:10" ht="16.5" hidden="1" thickTop="1" thickBot="1">
      <c r="A142" s="2203"/>
      <c r="B142" s="2215"/>
      <c r="C142" s="2280"/>
      <c r="D142" s="2206"/>
      <c r="F142" s="2206"/>
      <c r="G142" s="2206"/>
      <c r="H142" s="2206">
        <v>7549848404</v>
      </c>
      <c r="I142" s="2220"/>
      <c r="J142" s="1937"/>
    </row>
    <row r="143" spans="1:10" ht="16.5" hidden="1" thickTop="1" thickBot="1">
      <c r="A143" s="2203"/>
      <c r="B143" s="2215"/>
      <c r="C143" s="2280"/>
      <c r="D143" s="2206"/>
      <c r="F143" s="2206"/>
      <c r="G143" s="2206"/>
      <c r="H143" s="2217">
        <v>6233008819</v>
      </c>
      <c r="I143" s="2220"/>
      <c r="J143" s="1937"/>
    </row>
    <row r="144" spans="1:10" ht="16.5" hidden="1" thickTop="1" thickBot="1">
      <c r="A144" s="2203"/>
      <c r="B144" s="2215"/>
      <c r="C144" s="2280"/>
      <c r="D144" s="2206"/>
      <c r="F144" s="2206"/>
      <c r="G144" s="2206"/>
      <c r="H144" s="2206">
        <f>+H142-H143</f>
        <v>1316839585</v>
      </c>
      <c r="I144" s="2220"/>
      <c r="J144" s="1937"/>
    </row>
    <row r="145" spans="1:10" ht="16.5" hidden="1" thickTop="1" thickBot="1">
      <c r="A145" s="2203"/>
      <c r="B145" s="2215"/>
      <c r="C145" s="2280"/>
      <c r="D145" s="2206"/>
      <c r="F145" s="2206"/>
      <c r="G145" s="2206"/>
      <c r="I145" s="2220"/>
      <c r="J145" s="1937"/>
    </row>
    <row r="146" spans="1:10" ht="16.5" hidden="1" thickTop="1" thickBot="1">
      <c r="A146" s="2203"/>
      <c r="B146" s="2215"/>
      <c r="C146" s="2283"/>
      <c r="D146" s="2206"/>
      <c r="F146" s="2206"/>
      <c r="G146" s="2206"/>
      <c r="H146" s="2206">
        <f>+I138</f>
        <v>89073305</v>
      </c>
      <c r="I146" s="2220" t="s">
        <v>1599</v>
      </c>
      <c r="J146" s="1937"/>
    </row>
    <row r="147" spans="1:10" ht="16.5" hidden="1" thickTop="1" thickBot="1">
      <c r="A147" s="2203"/>
      <c r="B147" s="2215"/>
      <c r="C147" s="2283"/>
      <c r="D147" s="2206"/>
      <c r="F147" s="2206"/>
      <c r="G147" s="2206"/>
      <c r="H147" s="2217">
        <f>+I132</f>
        <v>234785771</v>
      </c>
      <c r="I147" s="2220" t="s">
        <v>1600</v>
      </c>
      <c r="J147" s="1937"/>
    </row>
    <row r="148" spans="1:10" ht="16.5" hidden="1" thickTop="1" thickBot="1">
      <c r="A148" s="2203"/>
      <c r="B148" s="2215"/>
      <c r="C148" s="2283"/>
      <c r="D148" s="2206"/>
      <c r="F148" s="2206"/>
      <c r="G148" s="2206"/>
      <c r="H148" s="2206">
        <f>+H144-H146-H147</f>
        <v>992980509</v>
      </c>
      <c r="I148" s="2220" t="s">
        <v>1601</v>
      </c>
      <c r="J148" s="1937"/>
    </row>
    <row r="149" spans="1:10" ht="16.5" hidden="1" thickTop="1" thickBot="1">
      <c r="A149" s="2203"/>
      <c r="B149" s="2215"/>
      <c r="C149" s="2283"/>
      <c r="D149" s="2206"/>
      <c r="F149" s="2206"/>
      <c r="G149" s="2206"/>
      <c r="H149" s="2206"/>
      <c r="I149" s="2220"/>
      <c r="J149" s="1937"/>
    </row>
    <row r="150" spans="1:10" ht="16.5" hidden="1" thickTop="1" thickBot="1">
      <c r="A150" s="2203"/>
      <c r="B150" s="2215"/>
      <c r="C150" s="2283"/>
      <c r="D150" s="2206"/>
      <c r="F150" s="2206"/>
      <c r="G150" s="2206"/>
      <c r="H150" s="2206"/>
      <c r="I150" s="2220"/>
      <c r="J150" s="1937"/>
    </row>
    <row r="151" spans="1:10" ht="16.5" hidden="1" thickTop="1" thickBot="1">
      <c r="A151" s="2203"/>
      <c r="B151" s="2227"/>
      <c r="C151" s="2280"/>
      <c r="D151" s="2206"/>
      <c r="F151" s="2206"/>
      <c r="G151" s="2206"/>
      <c r="H151" s="2206"/>
      <c r="I151" s="2220"/>
      <c r="J151" s="1937"/>
    </row>
    <row r="152" spans="1:10" ht="16.5" hidden="1" thickTop="1" thickBot="1">
      <c r="A152" s="2203"/>
      <c r="B152" s="2227"/>
      <c r="C152" s="2280"/>
      <c r="D152" s="2206"/>
      <c r="F152" s="2206"/>
      <c r="G152" s="2206"/>
      <c r="H152" s="2206"/>
      <c r="I152" s="2220"/>
      <c r="J152" s="1937"/>
    </row>
    <row r="153" spans="1:10" ht="16.5" hidden="1" thickTop="1" thickBot="1">
      <c r="A153" s="2203"/>
      <c r="B153" s="2227"/>
      <c r="C153" s="2280"/>
      <c r="D153" s="2206"/>
      <c r="F153" s="2206"/>
      <c r="G153" s="2206"/>
      <c r="H153" s="2206"/>
      <c r="I153" s="2220"/>
      <c r="J153" s="1937"/>
    </row>
    <row r="154" spans="1:10" ht="16.5" hidden="1" thickTop="1" thickBot="1">
      <c r="A154" s="2203"/>
      <c r="B154" s="2227"/>
      <c r="C154" s="2280"/>
      <c r="D154" s="2206"/>
      <c r="F154" s="2206"/>
      <c r="G154" s="2206"/>
      <c r="H154" s="2206"/>
      <c r="I154" s="2220"/>
      <c r="J154" s="1937"/>
    </row>
    <row r="155" spans="1:10" ht="16.5" hidden="1" thickTop="1" thickBot="1">
      <c r="A155" s="2203"/>
      <c r="B155" s="2227"/>
      <c r="C155" s="2280"/>
      <c r="D155" s="2206"/>
      <c r="F155" s="2206"/>
      <c r="G155" s="2206"/>
      <c r="H155" s="2206"/>
      <c r="I155" s="2220"/>
      <c r="J155" s="1937"/>
    </row>
    <row r="156" spans="1:10" ht="16.5" hidden="1" thickTop="1" thickBot="1">
      <c r="A156" s="2203"/>
      <c r="B156" s="2227"/>
      <c r="C156" s="2280"/>
      <c r="D156" s="2206">
        <f>39814-D71-D46</f>
        <v>-61584.649999999994</v>
      </c>
      <c r="F156" s="2206">
        <v>-28128.299999999992</v>
      </c>
      <c r="G156" s="2206"/>
      <c r="H156" s="2206"/>
      <c r="I156" s="2220"/>
      <c r="J156" s="1937"/>
    </row>
    <row r="157" spans="1:10" ht="16.5" hidden="1" thickTop="1" thickBot="1">
      <c r="A157" s="2203"/>
      <c r="B157" s="2227"/>
      <c r="C157" s="2280"/>
      <c r="D157" s="2206"/>
      <c r="F157" s="2206"/>
      <c r="G157" s="2206"/>
      <c r="H157" s="2206"/>
      <c r="I157" s="2220"/>
      <c r="J157" s="1937"/>
    </row>
    <row r="158" spans="1:10" ht="16.5" hidden="1" thickTop="1" thickBot="1">
      <c r="A158" s="2203"/>
      <c r="B158" s="2227"/>
      <c r="C158" s="2280"/>
      <c r="D158" s="2206"/>
      <c r="F158" s="2206"/>
      <c r="G158" s="2206"/>
      <c r="H158" s="2206"/>
      <c r="I158" s="2220"/>
      <c r="J158" s="1937"/>
    </row>
    <row r="159" spans="1:10" ht="15.75" thickTop="1">
      <c r="A159" s="2203"/>
      <c r="D159" s="2284"/>
      <c r="F159" s="2207"/>
      <c r="G159" s="2206"/>
      <c r="H159" s="2206"/>
      <c r="I159" s="2220"/>
      <c r="J159" s="1937"/>
    </row>
    <row r="160" spans="1:10">
      <c r="A160" s="2203"/>
      <c r="B160" s="2202" t="s">
        <v>1602</v>
      </c>
      <c r="C160" s="2285"/>
      <c r="D160" s="2195">
        <f>D118+D112+D106</f>
        <v>0.5</v>
      </c>
      <c r="E160" s="2220"/>
      <c r="F160" s="2221">
        <v>0.5</v>
      </c>
      <c r="G160" s="2206"/>
      <c r="H160" s="2206"/>
      <c r="I160" s="2220"/>
      <c r="J160" s="1937"/>
    </row>
    <row r="161" spans="1:10" ht="15.75" thickBot="1">
      <c r="A161" s="2232"/>
      <c r="B161" s="2286"/>
      <c r="C161" s="2287"/>
      <c r="D161" s="2288"/>
      <c r="E161" s="2288"/>
      <c r="F161" s="2289"/>
      <c r="G161" s="2288"/>
      <c r="H161" s="2288"/>
      <c r="I161" s="2235"/>
      <c r="J161" s="1937"/>
    </row>
    <row r="162" spans="1:10">
      <c r="G162" s="2206"/>
      <c r="H162" s="2206"/>
      <c r="I162" s="2220"/>
      <c r="J162" s="1937"/>
    </row>
    <row r="163" spans="1:10">
      <c r="G163" s="2206"/>
      <c r="H163" s="2206"/>
      <c r="I163" s="2220"/>
      <c r="J163" s="1937"/>
    </row>
    <row r="164" spans="1:10">
      <c r="G164" s="2206"/>
      <c r="H164" s="2206" t="s">
        <v>94</v>
      </c>
      <c r="I164" s="2220"/>
      <c r="J164" s="1937"/>
    </row>
    <row r="165" spans="1:10">
      <c r="G165" s="2206"/>
      <c r="H165" s="2206"/>
      <c r="I165" s="2220"/>
      <c r="J165" s="2246"/>
    </row>
    <row r="166" spans="1:10">
      <c r="G166" s="2206"/>
      <c r="H166" s="2206"/>
      <c r="I166" s="2220"/>
      <c r="J166" s="2246"/>
    </row>
  </sheetData>
  <hyperlinks>
    <hyperlink ref="B2" location="Reserves_and_Surplus" display="SCHEDULE 1"/>
  </hyperlinks>
  <pageMargins left="0.6692913385826772" right="0.15748031496062992" top="0.98425196850393704" bottom="0.62992125984251968" header="0.51181102362204722" footer="0.51181102362204722"/>
  <pageSetup paperSize="9" scale="46" orientation="portrait" horizontalDpi="180" verticalDpi="180" r:id="rId1"/>
  <headerFooter alignWithMargins="0"/>
  <rowBreaks count="1" manualBreakCount="1">
    <brk id="160" max="9" man="1"/>
  </rowBreaks>
  <colBreaks count="2" manualBreakCount="2">
    <brk id="5" max="160" man="1"/>
    <brk id="9" max="160" man="1"/>
  </colBreaks>
</worksheet>
</file>

<file path=xl/worksheets/sheet13.xml><?xml version="1.0" encoding="utf-8"?>
<worksheet xmlns="http://schemas.openxmlformats.org/spreadsheetml/2006/main" xmlns:r="http://schemas.openxmlformats.org/officeDocument/2006/relationships">
  <sheetPr codeName="Sheet13"/>
  <dimension ref="B1:K56"/>
  <sheetViews>
    <sheetView topLeftCell="A33" workbookViewId="0">
      <selection activeCell="B2" sqref="B2:K56"/>
    </sheetView>
  </sheetViews>
  <sheetFormatPr defaultRowHeight="15"/>
  <cols>
    <col min="4" max="4" width="13" customWidth="1"/>
    <col min="5" max="5" width="13.7109375" customWidth="1"/>
    <col min="6" max="6" width="15.85546875" customWidth="1"/>
    <col min="7" max="7" width="15" customWidth="1"/>
    <col min="8" max="8" width="13.7109375" customWidth="1"/>
    <col min="9" max="9" width="12.28515625" customWidth="1"/>
    <col min="10" max="10" width="11.85546875" customWidth="1"/>
    <col min="11" max="11" width="13.140625" customWidth="1"/>
  </cols>
  <sheetData>
    <row r="1" spans="2:11" ht="15.75" thickBot="1"/>
    <row r="2" spans="2:11">
      <c r="B2" s="5402" t="s">
        <v>79</v>
      </c>
      <c r="C2" s="5403"/>
      <c r="D2" s="5403"/>
      <c r="E2" s="5403"/>
      <c r="F2" s="5404"/>
    </row>
    <row r="3" spans="2:11" ht="45" customHeight="1">
      <c r="B3" s="7" t="s">
        <v>1</v>
      </c>
      <c r="C3" s="7" t="s">
        <v>2</v>
      </c>
      <c r="D3" s="7" t="s">
        <v>62</v>
      </c>
      <c r="E3" s="7"/>
      <c r="F3" s="7" t="s">
        <v>4</v>
      </c>
      <c r="G3" s="7" t="s">
        <v>5</v>
      </c>
      <c r="H3" s="7" t="s">
        <v>6</v>
      </c>
      <c r="I3" s="7" t="s">
        <v>7</v>
      </c>
      <c r="J3" s="7" t="s">
        <v>8</v>
      </c>
      <c r="K3" s="7" t="s">
        <v>63</v>
      </c>
    </row>
    <row r="4" spans="2:11">
      <c r="B4" s="1"/>
      <c r="C4" s="1"/>
      <c r="D4" s="1" t="s">
        <v>12</v>
      </c>
      <c r="E4" s="1" t="s">
        <v>13</v>
      </c>
      <c r="F4" s="1"/>
      <c r="G4" s="1"/>
      <c r="H4" s="1"/>
      <c r="I4" s="1"/>
      <c r="J4" s="1"/>
      <c r="K4" s="1"/>
    </row>
    <row r="5" spans="2:11">
      <c r="B5" s="1" t="s">
        <v>14</v>
      </c>
      <c r="C5" s="1" t="s">
        <v>15</v>
      </c>
      <c r="D5" s="1">
        <v>299</v>
      </c>
      <c r="E5" s="1">
        <v>0</v>
      </c>
      <c r="F5" s="1">
        <v>2476</v>
      </c>
      <c r="G5" s="1">
        <v>1089.44</v>
      </c>
      <c r="H5" s="1">
        <v>642.79999999999995</v>
      </c>
      <c r="I5" s="1">
        <v>297.12</v>
      </c>
      <c r="J5" s="1">
        <v>2029.3600000000001</v>
      </c>
      <c r="K5" s="1">
        <v>0.81961227786752833</v>
      </c>
    </row>
    <row r="6" spans="2:11">
      <c r="B6" s="1" t="s">
        <v>16</v>
      </c>
      <c r="C6" s="1" t="s">
        <v>17</v>
      </c>
      <c r="D6" s="1">
        <v>280383</v>
      </c>
      <c r="E6" s="1">
        <v>14257</v>
      </c>
      <c r="F6" s="1">
        <v>54653904</v>
      </c>
      <c r="G6" s="1">
        <v>112589128.14</v>
      </c>
      <c r="H6" s="5399">
        <v>59248852.579999998</v>
      </c>
      <c r="I6" s="1">
        <v>30061896.700000003</v>
      </c>
      <c r="J6" s="5399">
        <v>625259374.82000005</v>
      </c>
      <c r="K6" s="1">
        <v>5.1281081011123915</v>
      </c>
    </row>
    <row r="7" spans="2:11">
      <c r="B7" s="1"/>
      <c r="C7" s="1" t="s">
        <v>18</v>
      </c>
      <c r="D7" s="1">
        <v>327992</v>
      </c>
      <c r="E7" s="1">
        <v>23615</v>
      </c>
      <c r="F7" s="1">
        <v>37363271</v>
      </c>
      <c r="G7" s="1">
        <v>142355062.62</v>
      </c>
      <c r="H7" s="5400"/>
      <c r="I7" s="1">
        <v>38486188.960000001</v>
      </c>
      <c r="J7" s="5400"/>
      <c r="K7" s="1"/>
    </row>
    <row r="8" spans="2:11">
      <c r="B8" s="1"/>
      <c r="C8" s="1" t="s">
        <v>19</v>
      </c>
      <c r="D8" s="1">
        <v>40126</v>
      </c>
      <c r="E8" s="1">
        <v>18011</v>
      </c>
      <c r="F8" s="1">
        <v>9427555</v>
      </c>
      <c r="G8" s="1">
        <v>50531726.120000005</v>
      </c>
      <c r="H8" s="5400"/>
      <c r="I8" s="1">
        <v>13576430.879999999</v>
      </c>
      <c r="J8" s="5400"/>
      <c r="K8" s="1"/>
    </row>
    <row r="9" spans="2:11">
      <c r="B9" s="1"/>
      <c r="C9" s="1" t="s">
        <v>20</v>
      </c>
      <c r="D9" s="1">
        <v>10684</v>
      </c>
      <c r="E9" s="1">
        <v>26547</v>
      </c>
      <c r="F9" s="1">
        <v>20483155</v>
      </c>
      <c r="G9" s="1">
        <v>140514500.12</v>
      </c>
      <c r="H9" s="5401"/>
      <c r="I9" s="1">
        <v>37895588.700000003</v>
      </c>
      <c r="J9" s="5401"/>
      <c r="K9" s="1"/>
    </row>
    <row r="10" spans="2:11">
      <c r="B10" s="1" t="s">
        <v>21</v>
      </c>
      <c r="C10" s="1" t="s">
        <v>22</v>
      </c>
      <c r="D10" s="1">
        <v>182738</v>
      </c>
      <c r="E10" s="1">
        <v>15435</v>
      </c>
      <c r="F10" s="1">
        <v>-1902</v>
      </c>
      <c r="G10" s="1">
        <v>-7608</v>
      </c>
      <c r="H10" s="5399">
        <v>62997974.049999997</v>
      </c>
      <c r="I10" s="1"/>
      <c r="J10" s="5399">
        <v>612883197.02999997</v>
      </c>
      <c r="K10" s="1">
        <v>9.2335187007382444</v>
      </c>
    </row>
    <row r="11" spans="2:11">
      <c r="B11" s="1"/>
      <c r="C11" s="1" t="s">
        <v>19</v>
      </c>
      <c r="D11" s="1">
        <v>19516</v>
      </c>
      <c r="E11" s="1">
        <v>5675</v>
      </c>
      <c r="F11" s="1">
        <v>-836</v>
      </c>
      <c r="G11" s="1">
        <v>-5016</v>
      </c>
      <c r="H11" s="5400"/>
      <c r="I11" s="1"/>
      <c r="J11" s="5400"/>
      <c r="K11" s="1"/>
    </row>
    <row r="12" spans="2:11">
      <c r="B12" s="1"/>
      <c r="C12" s="1" t="s">
        <v>23</v>
      </c>
      <c r="D12" s="1">
        <v>10819</v>
      </c>
      <c r="E12" s="1">
        <v>9477</v>
      </c>
      <c r="F12" s="1">
        <v>-1413</v>
      </c>
      <c r="G12" s="1">
        <v>-9749.7000000000007</v>
      </c>
      <c r="H12" s="5400"/>
      <c r="I12" s="1"/>
      <c r="J12" s="5400"/>
      <c r="K12" s="1"/>
    </row>
    <row r="13" spans="2:11">
      <c r="B13" s="1"/>
      <c r="C13" s="1" t="s">
        <v>24</v>
      </c>
      <c r="D13" s="1">
        <v>2242</v>
      </c>
      <c r="E13" s="1">
        <v>12044</v>
      </c>
      <c r="F13" s="1">
        <v>-6664</v>
      </c>
      <c r="G13" s="1">
        <v>-50646.399999999994</v>
      </c>
      <c r="H13" s="5400"/>
      <c r="I13" s="1"/>
      <c r="J13" s="5400"/>
      <c r="K13" s="1"/>
    </row>
    <row r="14" spans="2:11">
      <c r="B14" s="1"/>
      <c r="C14" s="1" t="s">
        <v>25</v>
      </c>
      <c r="D14" s="1">
        <v>202254</v>
      </c>
      <c r="E14" s="1">
        <v>21110</v>
      </c>
      <c r="F14" s="1">
        <v>40771662</v>
      </c>
      <c r="G14" s="1">
        <v>224244141</v>
      </c>
      <c r="H14" s="5400"/>
      <c r="I14" s="1">
        <v>60342059.759999998</v>
      </c>
      <c r="J14" s="5400"/>
      <c r="K14" s="1"/>
    </row>
    <row r="15" spans="2:11">
      <c r="B15" s="1"/>
      <c r="C15" s="1" t="s">
        <v>26</v>
      </c>
      <c r="D15" s="1">
        <v>13061</v>
      </c>
      <c r="E15" s="1">
        <v>21521</v>
      </c>
      <c r="F15" s="1">
        <v>25615062</v>
      </c>
      <c r="G15" s="1">
        <v>209018905.92000002</v>
      </c>
      <c r="H15" s="5401"/>
      <c r="I15" s="1">
        <v>56353136.400000006</v>
      </c>
      <c r="J15" s="5401"/>
      <c r="K15" s="1"/>
    </row>
    <row r="16" spans="2:11">
      <c r="B16" s="1" t="s">
        <v>27</v>
      </c>
      <c r="C16" s="1" t="s">
        <v>28</v>
      </c>
      <c r="D16" s="1">
        <v>65</v>
      </c>
      <c r="E16" s="1">
        <v>5935</v>
      </c>
      <c r="F16" s="1">
        <v>17897498</v>
      </c>
      <c r="G16" s="1">
        <v>143179984</v>
      </c>
      <c r="H16" s="1">
        <v>20044796.670000002</v>
      </c>
      <c r="I16" s="1">
        <v>38479620.699999996</v>
      </c>
      <c r="J16" s="1">
        <v>201704401.37</v>
      </c>
      <c r="K16" s="1">
        <v>11.269977589604983</v>
      </c>
    </row>
    <row r="17" spans="2:11">
      <c r="B17" s="1" t="s">
        <v>29</v>
      </c>
      <c r="C17" s="1" t="s">
        <v>28</v>
      </c>
      <c r="D17" s="1">
        <v>2</v>
      </c>
      <c r="E17" s="1">
        <v>2633</v>
      </c>
      <c r="F17" s="1">
        <v>35174795</v>
      </c>
      <c r="G17" s="1">
        <v>284564091.55000001</v>
      </c>
      <c r="H17" s="1">
        <v>32833339.050000001</v>
      </c>
      <c r="I17" s="1">
        <v>76681053.100000009</v>
      </c>
      <c r="J17" s="1">
        <v>394078483.70000005</v>
      </c>
      <c r="K17" s="1">
        <v>11.203433700182192</v>
      </c>
    </row>
    <row r="18" spans="2:11">
      <c r="B18" s="1" t="s">
        <v>30</v>
      </c>
      <c r="C18" s="1" t="s">
        <v>22</v>
      </c>
      <c r="D18" s="1">
        <v>2546</v>
      </c>
      <c r="E18" s="1">
        <v>3126</v>
      </c>
      <c r="F18" s="1">
        <v>0</v>
      </c>
      <c r="G18" s="1">
        <v>0</v>
      </c>
      <c r="H18" s="5399">
        <v>2929331.63</v>
      </c>
      <c r="I18" s="1"/>
      <c r="J18" s="5399">
        <v>31899956.25</v>
      </c>
      <c r="K18" s="1">
        <v>8.7813883449069809</v>
      </c>
    </row>
    <row r="19" spans="2:11">
      <c r="B19" s="1"/>
      <c r="C19" s="1" t="s">
        <v>19</v>
      </c>
      <c r="D19" s="1">
        <v>175</v>
      </c>
      <c r="E19" s="1">
        <v>731</v>
      </c>
      <c r="F19" s="1">
        <v>0</v>
      </c>
      <c r="G19" s="1">
        <v>0</v>
      </c>
      <c r="H19" s="5400"/>
      <c r="I19" s="1"/>
      <c r="J19" s="5400"/>
      <c r="K19" s="1"/>
    </row>
    <row r="20" spans="2:11">
      <c r="B20" s="1"/>
      <c r="C20" s="1" t="s">
        <v>23</v>
      </c>
      <c r="D20" s="1">
        <v>90</v>
      </c>
      <c r="E20" s="1">
        <v>1046</v>
      </c>
      <c r="F20" s="1">
        <v>0</v>
      </c>
      <c r="G20" s="1">
        <v>0</v>
      </c>
      <c r="H20" s="5400"/>
      <c r="I20" s="1"/>
      <c r="J20" s="5400"/>
      <c r="K20" s="1"/>
    </row>
    <row r="21" spans="2:11">
      <c r="B21" s="1"/>
      <c r="C21" s="1" t="s">
        <v>24</v>
      </c>
      <c r="D21" s="1">
        <v>27</v>
      </c>
      <c r="E21" s="1">
        <v>1013</v>
      </c>
      <c r="F21" s="1">
        <v>0</v>
      </c>
      <c r="G21" s="1">
        <v>0</v>
      </c>
      <c r="H21" s="5400"/>
      <c r="I21" s="1"/>
      <c r="J21" s="5400"/>
      <c r="K21" s="1"/>
    </row>
    <row r="22" spans="2:11">
      <c r="B22" s="1"/>
      <c r="C22" s="1" t="s">
        <v>25</v>
      </c>
      <c r="D22" s="1">
        <v>2721</v>
      </c>
      <c r="E22" s="1">
        <v>3857</v>
      </c>
      <c r="F22" s="1">
        <v>1747270</v>
      </c>
      <c r="G22" s="1">
        <v>9103276.6999999993</v>
      </c>
      <c r="H22" s="5400"/>
      <c r="I22" s="1">
        <v>2446178</v>
      </c>
      <c r="J22" s="5400"/>
      <c r="K22" s="1"/>
    </row>
    <row r="23" spans="2:11">
      <c r="B23" s="1"/>
      <c r="C23" s="1" t="s">
        <v>26</v>
      </c>
      <c r="D23" s="1">
        <v>117</v>
      </c>
      <c r="E23" s="1">
        <v>2059</v>
      </c>
      <c r="F23" s="1">
        <v>1885408</v>
      </c>
      <c r="G23" s="1">
        <v>13725770.24</v>
      </c>
      <c r="H23" s="5401"/>
      <c r="I23" s="1">
        <v>3695399.6799999997</v>
      </c>
      <c r="J23" s="5401"/>
      <c r="K23" s="1"/>
    </row>
    <row r="24" spans="2:11">
      <c r="B24" s="1" t="s">
        <v>31</v>
      </c>
      <c r="C24" s="1" t="s">
        <v>28</v>
      </c>
      <c r="D24" s="1">
        <v>8</v>
      </c>
      <c r="E24" s="1">
        <v>1207</v>
      </c>
      <c r="F24" s="1">
        <v>4377775</v>
      </c>
      <c r="G24" s="1">
        <v>28543092.999999996</v>
      </c>
      <c r="H24" s="1">
        <v>5149320.78</v>
      </c>
      <c r="I24" s="1">
        <v>7661106.25</v>
      </c>
      <c r="J24" s="1">
        <v>41353520.029999994</v>
      </c>
      <c r="K24" s="1">
        <v>9.4462415336557939</v>
      </c>
    </row>
    <row r="25" spans="2:11">
      <c r="B25" s="1" t="s">
        <v>32</v>
      </c>
      <c r="C25" s="1" t="s">
        <v>28</v>
      </c>
      <c r="D25" s="1">
        <v>1</v>
      </c>
      <c r="E25" s="1">
        <v>125</v>
      </c>
      <c r="F25" s="1">
        <v>3951494</v>
      </c>
      <c r="G25" s="1">
        <v>25250046.66</v>
      </c>
      <c r="H25" s="1">
        <v>2662895.7999999998</v>
      </c>
      <c r="I25" s="1">
        <v>6796569.6799999997</v>
      </c>
      <c r="J25" s="1">
        <v>34709512.140000001</v>
      </c>
      <c r="K25" s="1">
        <v>8.7838959492283166</v>
      </c>
    </row>
    <row r="26" spans="2:11">
      <c r="B26" s="1" t="s">
        <v>33</v>
      </c>
      <c r="C26" s="1" t="s">
        <v>28</v>
      </c>
      <c r="D26" s="1">
        <v>774</v>
      </c>
      <c r="E26" s="1">
        <v>147</v>
      </c>
      <c r="F26" s="1">
        <v>182828</v>
      </c>
      <c r="G26" s="1">
        <v>2148312.2999999998</v>
      </c>
      <c r="H26" s="1">
        <v>338133.32</v>
      </c>
      <c r="I26" s="1">
        <v>578488.56000000006</v>
      </c>
      <c r="J26" s="1">
        <v>3064934.1799999997</v>
      </c>
      <c r="K26" s="1">
        <v>16.764030564246177</v>
      </c>
    </row>
    <row r="27" spans="2:11">
      <c r="B27" s="1" t="s">
        <v>34</v>
      </c>
      <c r="C27" s="1" t="s">
        <v>28</v>
      </c>
      <c r="D27" s="1">
        <v>0</v>
      </c>
      <c r="E27" s="1">
        <v>0</v>
      </c>
      <c r="F27" s="1">
        <v>2506914.7999999998</v>
      </c>
      <c r="G27" s="1">
        <v>14189137.767999999</v>
      </c>
      <c r="H27" s="1">
        <v>1917553.82</v>
      </c>
      <c r="I27" s="1">
        <v>3810510.4959999998</v>
      </c>
      <c r="J27" s="1">
        <v>19917202.083999999</v>
      </c>
      <c r="K27" s="1">
        <v>7.944905859584857</v>
      </c>
    </row>
    <row r="28" spans="2:11">
      <c r="B28" s="1" t="s">
        <v>35</v>
      </c>
      <c r="C28" s="1" t="s">
        <v>28</v>
      </c>
      <c r="D28" s="1">
        <v>538</v>
      </c>
      <c r="E28" s="1">
        <v>125</v>
      </c>
      <c r="F28" s="1">
        <v>335946</v>
      </c>
      <c r="G28" s="1">
        <v>1901454.36</v>
      </c>
      <c r="H28" s="1">
        <v>216444.59</v>
      </c>
      <c r="I28" s="1">
        <v>510637.92</v>
      </c>
      <c r="J28" s="1">
        <v>2628536.87</v>
      </c>
      <c r="K28" s="1">
        <v>7.8242838730033997</v>
      </c>
    </row>
    <row r="29" spans="2:11">
      <c r="B29" s="1" t="s">
        <v>36</v>
      </c>
      <c r="C29" s="1" t="s">
        <v>28</v>
      </c>
      <c r="D29" s="1">
        <v>1</v>
      </c>
      <c r="E29" s="1">
        <v>3</v>
      </c>
      <c r="F29" s="1">
        <v>40030</v>
      </c>
      <c r="G29" s="1">
        <v>129296.9</v>
      </c>
      <c r="H29" s="1">
        <v>12493.33</v>
      </c>
      <c r="I29" s="1">
        <v>34826.1</v>
      </c>
      <c r="J29" s="1">
        <v>176616.33</v>
      </c>
      <c r="K29" s="1">
        <v>4.4120991756182857</v>
      </c>
    </row>
    <row r="30" spans="2:11">
      <c r="B30" s="1" t="s">
        <v>37</v>
      </c>
      <c r="C30" s="1" t="s">
        <v>28</v>
      </c>
      <c r="D30" s="1">
        <v>114</v>
      </c>
      <c r="E30" s="1">
        <v>1459</v>
      </c>
      <c r="F30" s="1">
        <v>2706086</v>
      </c>
      <c r="G30" s="1">
        <v>25410147.540000003</v>
      </c>
      <c r="H30" s="1">
        <v>2005220.05</v>
      </c>
      <c r="I30" s="1">
        <v>6846397.5799999991</v>
      </c>
      <c r="J30" s="1">
        <v>34261765.170000002</v>
      </c>
      <c r="K30" s="1">
        <v>12.661003815104177</v>
      </c>
    </row>
    <row r="31" spans="2:11">
      <c r="B31" s="1" t="s">
        <v>38</v>
      </c>
      <c r="C31" s="1" t="s">
        <v>28</v>
      </c>
      <c r="D31" s="1">
        <v>8</v>
      </c>
      <c r="E31" s="1">
        <v>15</v>
      </c>
      <c r="F31" s="1">
        <v>108981</v>
      </c>
      <c r="G31" s="1">
        <v>337841.10000000003</v>
      </c>
      <c r="H31" s="1">
        <v>3450</v>
      </c>
      <c r="I31" s="1">
        <v>90454.23</v>
      </c>
      <c r="J31" s="1">
        <v>431745.33</v>
      </c>
      <c r="K31" s="1">
        <v>3.9616568943210284</v>
      </c>
    </row>
    <row r="32" spans="2:11">
      <c r="B32" s="1" t="s">
        <v>39</v>
      </c>
      <c r="C32" s="1" t="s">
        <v>28</v>
      </c>
      <c r="D32" s="1">
        <v>1397</v>
      </c>
      <c r="E32" s="1">
        <v>567</v>
      </c>
      <c r="F32" s="1">
        <v>1158686</v>
      </c>
      <c r="G32" s="1">
        <v>7879064.7999999998</v>
      </c>
      <c r="H32" s="1">
        <v>497849.98</v>
      </c>
      <c r="I32" s="1">
        <v>2120395.38</v>
      </c>
      <c r="J32" s="1">
        <v>10497310.16</v>
      </c>
      <c r="K32" s="1">
        <v>9.0596677270632426</v>
      </c>
    </row>
    <row r="33" spans="2:11">
      <c r="B33" s="1" t="s">
        <v>40</v>
      </c>
      <c r="C33" s="1" t="s">
        <v>28</v>
      </c>
      <c r="D33" s="1">
        <v>3</v>
      </c>
      <c r="E33" s="1">
        <v>384</v>
      </c>
      <c r="F33" s="1">
        <v>4218819</v>
      </c>
      <c r="G33" s="1">
        <v>28687969.199999999</v>
      </c>
      <c r="H33" s="1">
        <v>3826680.88</v>
      </c>
      <c r="I33" s="1">
        <v>7720438.7700000005</v>
      </c>
      <c r="J33" s="1">
        <v>40235088.850000001</v>
      </c>
      <c r="K33" s="1">
        <v>9.5370502621705278</v>
      </c>
    </row>
    <row r="34" spans="2:11">
      <c r="B34" s="1" t="s">
        <v>41</v>
      </c>
      <c r="C34" s="1" t="s">
        <v>28</v>
      </c>
      <c r="D34" s="1">
        <v>0</v>
      </c>
      <c r="E34" s="1">
        <v>39</v>
      </c>
      <c r="F34" s="1">
        <v>13097139</v>
      </c>
      <c r="G34" s="1">
        <v>77273120.100000009</v>
      </c>
      <c r="H34" s="1">
        <v>7980743.5</v>
      </c>
      <c r="I34" s="1">
        <v>20824451.010000002</v>
      </c>
      <c r="J34" s="1">
        <v>106078314.61000001</v>
      </c>
      <c r="K34" s="1">
        <v>8.099350141278947</v>
      </c>
    </row>
    <row r="35" spans="2:11">
      <c r="B35" s="1" t="s">
        <v>42</v>
      </c>
      <c r="C35" s="1" t="s">
        <v>28</v>
      </c>
      <c r="D35" s="1">
        <v>0</v>
      </c>
      <c r="E35" s="1">
        <v>101</v>
      </c>
      <c r="F35" s="1">
        <v>29041802</v>
      </c>
      <c r="G35" s="1">
        <v>184415442.69999999</v>
      </c>
      <c r="H35" s="1">
        <v>18091399.91</v>
      </c>
      <c r="I35" s="1">
        <v>49661481.420000002</v>
      </c>
      <c r="J35" s="1">
        <v>252168324.02999997</v>
      </c>
      <c r="K35" s="1">
        <v>8.6829434354658837</v>
      </c>
    </row>
    <row r="36" spans="2:11">
      <c r="B36" s="1" t="s">
        <v>43</v>
      </c>
      <c r="C36" s="1" t="s">
        <v>28</v>
      </c>
      <c r="D36" s="1">
        <v>0</v>
      </c>
      <c r="E36" s="1">
        <v>11</v>
      </c>
      <c r="F36" s="1">
        <v>2376381</v>
      </c>
      <c r="G36" s="1">
        <v>8079695.3999999994</v>
      </c>
      <c r="H36" s="1">
        <v>1354897.85</v>
      </c>
      <c r="I36" s="1">
        <v>2162506.71</v>
      </c>
      <c r="J36" s="1">
        <v>11597099.960000001</v>
      </c>
      <c r="K36" s="1">
        <v>4.8801517770088214</v>
      </c>
    </row>
    <row r="37" spans="2:11">
      <c r="B37" s="1" t="s">
        <v>44</v>
      </c>
      <c r="C37" s="1" t="s">
        <v>28</v>
      </c>
      <c r="D37" s="1">
        <v>0</v>
      </c>
      <c r="E37" s="1">
        <v>5</v>
      </c>
      <c r="F37" s="1">
        <v>418659</v>
      </c>
      <c r="G37" s="1">
        <v>3621400.35</v>
      </c>
      <c r="H37" s="1">
        <v>1150</v>
      </c>
      <c r="I37" s="1">
        <v>975475.47</v>
      </c>
      <c r="J37" s="1">
        <v>4598025.82</v>
      </c>
      <c r="K37" s="1">
        <v>10.982746865587508</v>
      </c>
    </row>
    <row r="38" spans="2:11">
      <c r="B38" s="1" t="s">
        <v>45</v>
      </c>
      <c r="C38" s="1" t="s">
        <v>28</v>
      </c>
      <c r="D38" s="1">
        <v>0</v>
      </c>
      <c r="E38" s="1">
        <v>10</v>
      </c>
      <c r="F38" s="1">
        <v>4286158</v>
      </c>
      <c r="G38" s="1">
        <v>24002484.799999997</v>
      </c>
      <c r="H38" s="1">
        <v>1965252.5</v>
      </c>
      <c r="I38" s="1">
        <v>6472098.5800000001</v>
      </c>
      <c r="J38" s="1">
        <v>32439835.879999995</v>
      </c>
      <c r="K38" s="1">
        <v>7.5685114454483466</v>
      </c>
    </row>
    <row r="39" spans="2:11">
      <c r="B39" s="1" t="s">
        <v>46</v>
      </c>
      <c r="C39" s="1"/>
      <c r="D39" s="1"/>
      <c r="E39" s="1"/>
      <c r="F39" s="1"/>
      <c r="G39" s="1">
        <v>107536959.42</v>
      </c>
      <c r="H39" s="1">
        <v>4212505.97</v>
      </c>
      <c r="I39" s="1">
        <v>-5249140.67</v>
      </c>
      <c r="J39" s="1">
        <v>106500324.72</v>
      </c>
      <c r="K39" s="1"/>
    </row>
    <row r="40" spans="2:11">
      <c r="B40" s="1" t="s">
        <v>47</v>
      </c>
      <c r="C40" s="1"/>
      <c r="D40" s="1">
        <v>880548</v>
      </c>
      <c r="E40" s="1">
        <v>143743</v>
      </c>
      <c r="F40" s="1">
        <v>313818939.80000001</v>
      </c>
      <c r="G40" s="1">
        <v>1869160122.1479998</v>
      </c>
      <c r="H40" s="1">
        <v>228290929.06</v>
      </c>
      <c r="I40" s="1">
        <v>469034547.48600006</v>
      </c>
      <c r="J40" s="1">
        <v>2566485598.6940002</v>
      </c>
      <c r="K40" s="1">
        <v>8.1782367894354859</v>
      </c>
    </row>
    <row r="41" spans="2:11">
      <c r="B41" s="1"/>
      <c r="C41" s="1"/>
      <c r="D41" s="1"/>
      <c r="E41" s="1"/>
      <c r="F41" s="1"/>
      <c r="G41" s="1"/>
      <c r="H41" s="1"/>
      <c r="I41" s="1" t="s">
        <v>48</v>
      </c>
      <c r="J41" s="1">
        <v>10030547.189999999</v>
      </c>
      <c r="K41" s="1"/>
    </row>
    <row r="42" spans="2:11">
      <c r="B42" s="1"/>
      <c r="C42" s="1"/>
      <c r="D42" s="1"/>
      <c r="E42" s="1"/>
      <c r="F42" s="1"/>
      <c r="G42" s="1"/>
      <c r="H42" s="1"/>
      <c r="I42" s="1" t="s">
        <v>49</v>
      </c>
      <c r="J42" s="1">
        <v>351341634.36000001</v>
      </c>
      <c r="K42" s="1"/>
    </row>
    <row r="43" spans="2:11">
      <c r="B43" s="1"/>
      <c r="C43" s="1"/>
      <c r="D43" s="1"/>
      <c r="E43" s="1"/>
      <c r="F43" s="1"/>
      <c r="G43" s="1"/>
      <c r="H43" s="1"/>
      <c r="I43" s="1" t="s">
        <v>50</v>
      </c>
      <c r="J43" s="1">
        <v>-656798.56000000006</v>
      </c>
      <c r="K43" s="1"/>
    </row>
    <row r="44" spans="2:11">
      <c r="B44" s="1"/>
      <c r="C44" s="1"/>
      <c r="D44" s="1"/>
      <c r="E44" s="1"/>
      <c r="F44" s="1"/>
      <c r="G44" s="1"/>
      <c r="H44" s="1"/>
      <c r="I44" s="1" t="s">
        <v>51</v>
      </c>
      <c r="J44" s="1">
        <v>7665018.1100000003</v>
      </c>
      <c r="K44" s="1"/>
    </row>
    <row r="45" spans="2:11">
      <c r="B45" s="1"/>
      <c r="C45" s="1"/>
      <c r="D45" s="1"/>
      <c r="E45" s="1"/>
      <c r="F45" s="1"/>
      <c r="G45" s="1"/>
      <c r="H45" s="1"/>
      <c r="I45" s="1" t="s">
        <v>52</v>
      </c>
      <c r="J45" s="1">
        <v>8034125.9100000001</v>
      </c>
      <c r="K45" s="1"/>
    </row>
    <row r="46" spans="2:11">
      <c r="B46" s="1"/>
      <c r="C46" s="1"/>
      <c r="D46" s="1"/>
      <c r="E46" s="1"/>
      <c r="F46" s="1"/>
      <c r="G46" s="1"/>
      <c r="H46" s="1"/>
      <c r="I46" s="1" t="s">
        <v>47</v>
      </c>
      <c r="J46" s="1">
        <v>2942900125.7040005</v>
      </c>
      <c r="K46" s="1"/>
    </row>
    <row r="47" spans="2:11">
      <c r="B47" s="1"/>
      <c r="C47" s="1"/>
      <c r="D47" s="1"/>
      <c r="E47" s="1"/>
      <c r="F47" s="1"/>
      <c r="G47" s="1"/>
      <c r="H47" s="1"/>
      <c r="I47" s="1" t="s">
        <v>53</v>
      </c>
      <c r="J47" s="1">
        <v>-8516689.8499999996</v>
      </c>
      <c r="K47" s="1"/>
    </row>
    <row r="48" spans="2:11">
      <c r="B48" s="1"/>
      <c r="C48" s="1"/>
      <c r="D48" s="1"/>
      <c r="E48" s="1"/>
      <c r="F48" s="1"/>
      <c r="G48" s="1"/>
      <c r="H48" s="1"/>
      <c r="I48" s="1" t="s">
        <v>54</v>
      </c>
      <c r="J48" s="1">
        <v>-60974789.130000003</v>
      </c>
      <c r="K48" s="1"/>
    </row>
    <row r="49" spans="2:11">
      <c r="B49" s="1"/>
      <c r="C49" s="1"/>
      <c r="D49" s="1"/>
      <c r="E49" s="1"/>
      <c r="F49" s="1"/>
      <c r="G49" s="1"/>
      <c r="H49" s="1"/>
      <c r="I49" s="1" t="s">
        <v>55</v>
      </c>
      <c r="J49" s="1">
        <v>-265752.71000000002</v>
      </c>
      <c r="K49" s="1"/>
    </row>
    <row r="50" spans="2:11">
      <c r="B50" s="1"/>
      <c r="C50" s="1"/>
      <c r="D50" s="1"/>
      <c r="E50" s="1"/>
      <c r="F50" s="1"/>
      <c r="G50" s="1"/>
      <c r="H50" s="1"/>
      <c r="I50" s="1" t="s">
        <v>56</v>
      </c>
      <c r="J50" s="1">
        <v>0</v>
      </c>
      <c r="K50" s="1"/>
    </row>
    <row r="51" spans="2:11">
      <c r="B51" s="1"/>
      <c r="C51" s="1"/>
      <c r="D51" s="1"/>
      <c r="E51" s="1"/>
      <c r="F51" s="1"/>
      <c r="G51" s="1"/>
      <c r="H51" s="1"/>
      <c r="I51" s="1" t="s">
        <v>57</v>
      </c>
      <c r="J51" s="1">
        <v>2873142894.0140004</v>
      </c>
      <c r="K51" s="1"/>
    </row>
    <row r="52" spans="2:11">
      <c r="B52" s="1"/>
      <c r="C52" s="1"/>
      <c r="D52" s="1"/>
      <c r="E52" s="1"/>
      <c r="F52" s="1"/>
      <c r="G52" s="1"/>
      <c r="H52" s="1"/>
      <c r="I52" s="1" t="s">
        <v>58</v>
      </c>
      <c r="J52" s="1">
        <v>9.3777008091976235</v>
      </c>
      <c r="K52" s="1"/>
    </row>
    <row r="53" spans="2:11">
      <c r="B53" s="1"/>
      <c r="C53" s="1"/>
      <c r="D53" s="1"/>
      <c r="E53" s="1"/>
      <c r="F53" s="1"/>
      <c r="G53" s="1"/>
      <c r="H53" s="1"/>
      <c r="I53" s="1" t="s">
        <v>59</v>
      </c>
      <c r="J53" s="1">
        <v>41213321.829999998</v>
      </c>
      <c r="K53" s="1"/>
    </row>
    <row r="54" spans="2:11">
      <c r="B54" s="1"/>
      <c r="C54" s="1"/>
      <c r="D54" s="1"/>
      <c r="E54" s="1"/>
      <c r="F54" s="1"/>
      <c r="G54" s="1"/>
      <c r="H54" s="1"/>
      <c r="I54" s="1" t="s">
        <v>60</v>
      </c>
      <c r="J54" s="1">
        <v>2984113447.5340004</v>
      </c>
      <c r="K54" s="1"/>
    </row>
    <row r="55" spans="2:11">
      <c r="B55" s="1"/>
      <c r="C55" s="1"/>
      <c r="D55" s="1"/>
      <c r="E55" s="1"/>
      <c r="F55" s="1"/>
      <c r="G55" s="1"/>
      <c r="H55" s="1"/>
      <c r="I55" s="1" t="s">
        <v>58</v>
      </c>
      <c r="J55" s="1"/>
      <c r="K55" s="1"/>
    </row>
    <row r="56" spans="2:11">
      <c r="B56" s="1"/>
      <c r="C56" s="1"/>
      <c r="D56" s="1"/>
      <c r="E56" s="1"/>
      <c r="F56" s="1"/>
      <c r="G56" s="1"/>
      <c r="H56" s="1"/>
      <c r="I56" s="1"/>
      <c r="J56" s="1">
        <v>9.5090291536763392</v>
      </c>
      <c r="K56" s="1"/>
    </row>
  </sheetData>
  <mergeCells count="7">
    <mergeCell ref="H18:H23"/>
    <mergeCell ref="J18:J23"/>
    <mergeCell ref="B2:F2"/>
    <mergeCell ref="H6:H9"/>
    <mergeCell ref="J6:J9"/>
    <mergeCell ref="H10:H15"/>
    <mergeCell ref="J10:J15"/>
  </mergeCells>
  <pageMargins left="0.7" right="0.7" top="0.75" bottom="0.75" header="0.3" footer="0.3"/>
</worksheet>
</file>

<file path=xl/worksheets/sheet130.xml><?xml version="1.0" encoding="utf-8"?>
<worksheet xmlns="http://schemas.openxmlformats.org/spreadsheetml/2006/main" xmlns:r="http://schemas.openxmlformats.org/officeDocument/2006/relationships">
  <sheetPr codeName="Sheet109"/>
  <dimension ref="A1:J89"/>
  <sheetViews>
    <sheetView showGridLines="0" view="pageBreakPreview" topLeftCell="A6" zoomScale="60" workbookViewId="0">
      <selection activeCell="O6" sqref="O6"/>
    </sheetView>
  </sheetViews>
  <sheetFormatPr defaultRowHeight="15"/>
  <cols>
    <col min="1" max="1" width="14.42578125" style="1013" customWidth="1"/>
    <col min="2" max="2" width="16" style="1013" customWidth="1"/>
    <col min="3" max="3" width="14.28515625" style="1013" customWidth="1"/>
    <col min="4" max="4" width="2.42578125" style="1013" customWidth="1"/>
    <col min="5" max="5" width="55.140625" style="1013" customWidth="1"/>
    <col min="6" max="6" width="24" style="1013" hidden="1" customWidth="1"/>
    <col min="7" max="7" width="16.7109375" style="1013" customWidth="1"/>
    <col min="8" max="8" width="18.140625" style="1013" customWidth="1"/>
    <col min="9" max="9" width="16.5703125" style="1013" customWidth="1"/>
    <col min="10" max="10" width="10.28515625" style="1013" customWidth="1"/>
    <col min="11" max="11" width="9.140625" style="1013"/>
    <col min="12" max="12" width="14.28515625" style="1013" customWidth="1"/>
    <col min="13" max="16" width="9.140625" style="1013"/>
    <col min="17" max="17" width="18.140625" style="1013" customWidth="1"/>
    <col min="18" max="256" width="9.140625" style="1013"/>
    <col min="257" max="257" width="14.42578125" style="1013" customWidth="1"/>
    <col min="258" max="258" width="16" style="1013" customWidth="1"/>
    <col min="259" max="259" width="14.28515625" style="1013" customWidth="1"/>
    <col min="260" max="260" width="2.42578125" style="1013" customWidth="1"/>
    <col min="261" max="261" width="55.140625" style="1013" customWidth="1"/>
    <col min="262" max="262" width="0" style="1013" hidden="1" customWidth="1"/>
    <col min="263" max="263" width="16.7109375" style="1013" customWidth="1"/>
    <col min="264" max="264" width="18.140625" style="1013" customWidth="1"/>
    <col min="265" max="265" width="16.5703125" style="1013" customWidth="1"/>
    <col min="266" max="266" width="10.28515625" style="1013" customWidth="1"/>
    <col min="267" max="267" width="9.140625" style="1013"/>
    <col min="268" max="268" width="14.28515625" style="1013" customWidth="1"/>
    <col min="269" max="512" width="9.140625" style="1013"/>
    <col min="513" max="513" width="14.42578125" style="1013" customWidth="1"/>
    <col min="514" max="514" width="16" style="1013" customWidth="1"/>
    <col min="515" max="515" width="14.28515625" style="1013" customWidth="1"/>
    <col min="516" max="516" width="2.42578125" style="1013" customWidth="1"/>
    <col min="517" max="517" width="55.140625" style="1013" customWidth="1"/>
    <col min="518" max="518" width="0" style="1013" hidden="1" customWidth="1"/>
    <col min="519" max="519" width="16.7109375" style="1013" customWidth="1"/>
    <col min="520" max="520" width="18.140625" style="1013" customWidth="1"/>
    <col min="521" max="521" width="16.5703125" style="1013" customWidth="1"/>
    <col min="522" max="522" width="10.28515625" style="1013" customWidth="1"/>
    <col min="523" max="523" width="9.140625" style="1013"/>
    <col min="524" max="524" width="14.28515625" style="1013" customWidth="1"/>
    <col min="525" max="768" width="9.140625" style="1013"/>
    <col min="769" max="769" width="14.42578125" style="1013" customWidth="1"/>
    <col min="770" max="770" width="16" style="1013" customWidth="1"/>
    <col min="771" max="771" width="14.28515625" style="1013" customWidth="1"/>
    <col min="772" max="772" width="2.42578125" style="1013" customWidth="1"/>
    <col min="773" max="773" width="55.140625" style="1013" customWidth="1"/>
    <col min="774" max="774" width="0" style="1013" hidden="1" customWidth="1"/>
    <col min="775" max="775" width="16.7109375" style="1013" customWidth="1"/>
    <col min="776" max="776" width="18.140625" style="1013" customWidth="1"/>
    <col min="777" max="777" width="16.5703125" style="1013" customWidth="1"/>
    <col min="778" max="778" width="10.28515625" style="1013" customWidth="1"/>
    <col min="779" max="779" width="9.140625" style="1013"/>
    <col min="780" max="780" width="14.28515625" style="1013" customWidth="1"/>
    <col min="781" max="1024" width="9.140625" style="1013"/>
    <col min="1025" max="1025" width="14.42578125" style="1013" customWidth="1"/>
    <col min="1026" max="1026" width="16" style="1013" customWidth="1"/>
    <col min="1027" max="1027" width="14.28515625" style="1013" customWidth="1"/>
    <col min="1028" max="1028" width="2.42578125" style="1013" customWidth="1"/>
    <col min="1029" max="1029" width="55.140625" style="1013" customWidth="1"/>
    <col min="1030" max="1030" width="0" style="1013" hidden="1" customWidth="1"/>
    <col min="1031" max="1031" width="16.7109375" style="1013" customWidth="1"/>
    <col min="1032" max="1032" width="18.140625" style="1013" customWidth="1"/>
    <col min="1033" max="1033" width="16.5703125" style="1013" customWidth="1"/>
    <col min="1034" max="1034" width="10.28515625" style="1013" customWidth="1"/>
    <col min="1035" max="1035" width="9.140625" style="1013"/>
    <col min="1036" max="1036" width="14.28515625" style="1013" customWidth="1"/>
    <col min="1037" max="1280" width="9.140625" style="1013"/>
    <col min="1281" max="1281" width="14.42578125" style="1013" customWidth="1"/>
    <col min="1282" max="1282" width="16" style="1013" customWidth="1"/>
    <col min="1283" max="1283" width="14.28515625" style="1013" customWidth="1"/>
    <col min="1284" max="1284" width="2.42578125" style="1013" customWidth="1"/>
    <col min="1285" max="1285" width="55.140625" style="1013" customWidth="1"/>
    <col min="1286" max="1286" width="0" style="1013" hidden="1" customWidth="1"/>
    <col min="1287" max="1287" width="16.7109375" style="1013" customWidth="1"/>
    <col min="1288" max="1288" width="18.140625" style="1013" customWidth="1"/>
    <col min="1289" max="1289" width="16.5703125" style="1013" customWidth="1"/>
    <col min="1290" max="1290" width="10.28515625" style="1013" customWidth="1"/>
    <col min="1291" max="1291" width="9.140625" style="1013"/>
    <col min="1292" max="1292" width="14.28515625" style="1013" customWidth="1"/>
    <col min="1293" max="1536" width="9.140625" style="1013"/>
    <col min="1537" max="1537" width="14.42578125" style="1013" customWidth="1"/>
    <col min="1538" max="1538" width="16" style="1013" customWidth="1"/>
    <col min="1539" max="1539" width="14.28515625" style="1013" customWidth="1"/>
    <col min="1540" max="1540" width="2.42578125" style="1013" customWidth="1"/>
    <col min="1541" max="1541" width="55.140625" style="1013" customWidth="1"/>
    <col min="1542" max="1542" width="0" style="1013" hidden="1" customWidth="1"/>
    <col min="1543" max="1543" width="16.7109375" style="1013" customWidth="1"/>
    <col min="1544" max="1544" width="18.140625" style="1013" customWidth="1"/>
    <col min="1545" max="1545" width="16.5703125" style="1013" customWidth="1"/>
    <col min="1546" max="1546" width="10.28515625" style="1013" customWidth="1"/>
    <col min="1547" max="1547" width="9.140625" style="1013"/>
    <col min="1548" max="1548" width="14.28515625" style="1013" customWidth="1"/>
    <col min="1549" max="1792" width="9.140625" style="1013"/>
    <col min="1793" max="1793" width="14.42578125" style="1013" customWidth="1"/>
    <col min="1794" max="1794" width="16" style="1013" customWidth="1"/>
    <col min="1795" max="1795" width="14.28515625" style="1013" customWidth="1"/>
    <col min="1796" max="1796" width="2.42578125" style="1013" customWidth="1"/>
    <col min="1797" max="1797" width="55.140625" style="1013" customWidth="1"/>
    <col min="1798" max="1798" width="0" style="1013" hidden="1" customWidth="1"/>
    <col min="1799" max="1799" width="16.7109375" style="1013" customWidth="1"/>
    <col min="1800" max="1800" width="18.140625" style="1013" customWidth="1"/>
    <col min="1801" max="1801" width="16.5703125" style="1013" customWidth="1"/>
    <col min="1802" max="1802" width="10.28515625" style="1013" customWidth="1"/>
    <col min="1803" max="1803" width="9.140625" style="1013"/>
    <col min="1804" max="1804" width="14.28515625" style="1013" customWidth="1"/>
    <col min="1805" max="2048" width="9.140625" style="1013"/>
    <col min="2049" max="2049" width="14.42578125" style="1013" customWidth="1"/>
    <col min="2050" max="2050" width="16" style="1013" customWidth="1"/>
    <col min="2051" max="2051" width="14.28515625" style="1013" customWidth="1"/>
    <col min="2052" max="2052" width="2.42578125" style="1013" customWidth="1"/>
    <col min="2053" max="2053" width="55.140625" style="1013" customWidth="1"/>
    <col min="2054" max="2054" width="0" style="1013" hidden="1" customWidth="1"/>
    <col min="2055" max="2055" width="16.7109375" style="1013" customWidth="1"/>
    <col min="2056" max="2056" width="18.140625" style="1013" customWidth="1"/>
    <col min="2057" max="2057" width="16.5703125" style="1013" customWidth="1"/>
    <col min="2058" max="2058" width="10.28515625" style="1013" customWidth="1"/>
    <col min="2059" max="2059" width="9.140625" style="1013"/>
    <col min="2060" max="2060" width="14.28515625" style="1013" customWidth="1"/>
    <col min="2061" max="2304" width="9.140625" style="1013"/>
    <col min="2305" max="2305" width="14.42578125" style="1013" customWidth="1"/>
    <col min="2306" max="2306" width="16" style="1013" customWidth="1"/>
    <col min="2307" max="2307" width="14.28515625" style="1013" customWidth="1"/>
    <col min="2308" max="2308" width="2.42578125" style="1013" customWidth="1"/>
    <col min="2309" max="2309" width="55.140625" style="1013" customWidth="1"/>
    <col min="2310" max="2310" width="0" style="1013" hidden="1" customWidth="1"/>
    <col min="2311" max="2311" width="16.7109375" style="1013" customWidth="1"/>
    <col min="2312" max="2312" width="18.140625" style="1013" customWidth="1"/>
    <col min="2313" max="2313" width="16.5703125" style="1013" customWidth="1"/>
    <col min="2314" max="2314" width="10.28515625" style="1013" customWidth="1"/>
    <col min="2315" max="2315" width="9.140625" style="1013"/>
    <col min="2316" max="2316" width="14.28515625" style="1013" customWidth="1"/>
    <col min="2317" max="2560" width="9.140625" style="1013"/>
    <col min="2561" max="2561" width="14.42578125" style="1013" customWidth="1"/>
    <col min="2562" max="2562" width="16" style="1013" customWidth="1"/>
    <col min="2563" max="2563" width="14.28515625" style="1013" customWidth="1"/>
    <col min="2564" max="2564" width="2.42578125" style="1013" customWidth="1"/>
    <col min="2565" max="2565" width="55.140625" style="1013" customWidth="1"/>
    <col min="2566" max="2566" width="0" style="1013" hidden="1" customWidth="1"/>
    <col min="2567" max="2567" width="16.7109375" style="1013" customWidth="1"/>
    <col min="2568" max="2568" width="18.140625" style="1013" customWidth="1"/>
    <col min="2569" max="2569" width="16.5703125" style="1013" customWidth="1"/>
    <col min="2570" max="2570" width="10.28515625" style="1013" customWidth="1"/>
    <col min="2571" max="2571" width="9.140625" style="1013"/>
    <col min="2572" max="2572" width="14.28515625" style="1013" customWidth="1"/>
    <col min="2573" max="2816" width="9.140625" style="1013"/>
    <col min="2817" max="2817" width="14.42578125" style="1013" customWidth="1"/>
    <col min="2818" max="2818" width="16" style="1013" customWidth="1"/>
    <col min="2819" max="2819" width="14.28515625" style="1013" customWidth="1"/>
    <col min="2820" max="2820" width="2.42578125" style="1013" customWidth="1"/>
    <col min="2821" max="2821" width="55.140625" style="1013" customWidth="1"/>
    <col min="2822" max="2822" width="0" style="1013" hidden="1" customWidth="1"/>
    <col min="2823" max="2823" width="16.7109375" style="1013" customWidth="1"/>
    <col min="2824" max="2824" width="18.140625" style="1013" customWidth="1"/>
    <col min="2825" max="2825" width="16.5703125" style="1013" customWidth="1"/>
    <col min="2826" max="2826" width="10.28515625" style="1013" customWidth="1"/>
    <col min="2827" max="2827" width="9.140625" style="1013"/>
    <col min="2828" max="2828" width="14.28515625" style="1013" customWidth="1"/>
    <col min="2829" max="3072" width="9.140625" style="1013"/>
    <col min="3073" max="3073" width="14.42578125" style="1013" customWidth="1"/>
    <col min="3074" max="3074" width="16" style="1013" customWidth="1"/>
    <col min="3075" max="3075" width="14.28515625" style="1013" customWidth="1"/>
    <col min="3076" max="3076" width="2.42578125" style="1013" customWidth="1"/>
    <col min="3077" max="3077" width="55.140625" style="1013" customWidth="1"/>
    <col min="3078" max="3078" width="0" style="1013" hidden="1" customWidth="1"/>
    <col min="3079" max="3079" width="16.7109375" style="1013" customWidth="1"/>
    <col min="3080" max="3080" width="18.140625" style="1013" customWidth="1"/>
    <col min="3081" max="3081" width="16.5703125" style="1013" customWidth="1"/>
    <col min="3082" max="3082" width="10.28515625" style="1013" customWidth="1"/>
    <col min="3083" max="3083" width="9.140625" style="1013"/>
    <col min="3084" max="3084" width="14.28515625" style="1013" customWidth="1"/>
    <col min="3085" max="3328" width="9.140625" style="1013"/>
    <col min="3329" max="3329" width="14.42578125" style="1013" customWidth="1"/>
    <col min="3330" max="3330" width="16" style="1013" customWidth="1"/>
    <col min="3331" max="3331" width="14.28515625" style="1013" customWidth="1"/>
    <col min="3332" max="3332" width="2.42578125" style="1013" customWidth="1"/>
    <col min="3333" max="3333" width="55.140625" style="1013" customWidth="1"/>
    <col min="3334" max="3334" width="0" style="1013" hidden="1" customWidth="1"/>
    <col min="3335" max="3335" width="16.7109375" style="1013" customWidth="1"/>
    <col min="3336" max="3336" width="18.140625" style="1013" customWidth="1"/>
    <col min="3337" max="3337" width="16.5703125" style="1013" customWidth="1"/>
    <col min="3338" max="3338" width="10.28515625" style="1013" customWidth="1"/>
    <col min="3339" max="3339" width="9.140625" style="1013"/>
    <col min="3340" max="3340" width="14.28515625" style="1013" customWidth="1"/>
    <col min="3341" max="3584" width="9.140625" style="1013"/>
    <col min="3585" max="3585" width="14.42578125" style="1013" customWidth="1"/>
    <col min="3586" max="3586" width="16" style="1013" customWidth="1"/>
    <col min="3587" max="3587" width="14.28515625" style="1013" customWidth="1"/>
    <col min="3588" max="3588" width="2.42578125" style="1013" customWidth="1"/>
    <col min="3589" max="3589" width="55.140625" style="1013" customWidth="1"/>
    <col min="3590" max="3590" width="0" style="1013" hidden="1" customWidth="1"/>
    <col min="3591" max="3591" width="16.7109375" style="1013" customWidth="1"/>
    <col min="3592" max="3592" width="18.140625" style="1013" customWidth="1"/>
    <col min="3593" max="3593" width="16.5703125" style="1013" customWidth="1"/>
    <col min="3594" max="3594" width="10.28515625" style="1013" customWidth="1"/>
    <col min="3595" max="3595" width="9.140625" style="1013"/>
    <col min="3596" max="3596" width="14.28515625" style="1013" customWidth="1"/>
    <col min="3597" max="3840" width="9.140625" style="1013"/>
    <col min="3841" max="3841" width="14.42578125" style="1013" customWidth="1"/>
    <col min="3842" max="3842" width="16" style="1013" customWidth="1"/>
    <col min="3843" max="3843" width="14.28515625" style="1013" customWidth="1"/>
    <col min="3844" max="3844" width="2.42578125" style="1013" customWidth="1"/>
    <col min="3845" max="3845" width="55.140625" style="1013" customWidth="1"/>
    <col min="3846" max="3846" width="0" style="1013" hidden="1" customWidth="1"/>
    <col min="3847" max="3847" width="16.7109375" style="1013" customWidth="1"/>
    <col min="3848" max="3848" width="18.140625" style="1013" customWidth="1"/>
    <col min="3849" max="3849" width="16.5703125" style="1013" customWidth="1"/>
    <col min="3850" max="3850" width="10.28515625" style="1013" customWidth="1"/>
    <col min="3851" max="3851" width="9.140625" style="1013"/>
    <col min="3852" max="3852" width="14.28515625" style="1013" customWidth="1"/>
    <col min="3853" max="4096" width="9.140625" style="1013"/>
    <col min="4097" max="4097" width="14.42578125" style="1013" customWidth="1"/>
    <col min="4098" max="4098" width="16" style="1013" customWidth="1"/>
    <col min="4099" max="4099" width="14.28515625" style="1013" customWidth="1"/>
    <col min="4100" max="4100" width="2.42578125" style="1013" customWidth="1"/>
    <col min="4101" max="4101" width="55.140625" style="1013" customWidth="1"/>
    <col min="4102" max="4102" width="0" style="1013" hidden="1" customWidth="1"/>
    <col min="4103" max="4103" width="16.7109375" style="1013" customWidth="1"/>
    <col min="4104" max="4104" width="18.140625" style="1013" customWidth="1"/>
    <col min="4105" max="4105" width="16.5703125" style="1013" customWidth="1"/>
    <col min="4106" max="4106" width="10.28515625" style="1013" customWidth="1"/>
    <col min="4107" max="4107" width="9.140625" style="1013"/>
    <col min="4108" max="4108" width="14.28515625" style="1013" customWidth="1"/>
    <col min="4109" max="4352" width="9.140625" style="1013"/>
    <col min="4353" max="4353" width="14.42578125" style="1013" customWidth="1"/>
    <col min="4354" max="4354" width="16" style="1013" customWidth="1"/>
    <col min="4355" max="4355" width="14.28515625" style="1013" customWidth="1"/>
    <col min="4356" max="4356" width="2.42578125" style="1013" customWidth="1"/>
    <col min="4357" max="4357" width="55.140625" style="1013" customWidth="1"/>
    <col min="4358" max="4358" width="0" style="1013" hidden="1" customWidth="1"/>
    <col min="4359" max="4359" width="16.7109375" style="1013" customWidth="1"/>
    <col min="4360" max="4360" width="18.140625" style="1013" customWidth="1"/>
    <col min="4361" max="4361" width="16.5703125" style="1013" customWidth="1"/>
    <col min="4362" max="4362" width="10.28515625" style="1013" customWidth="1"/>
    <col min="4363" max="4363" width="9.140625" style="1013"/>
    <col min="4364" max="4364" width="14.28515625" style="1013" customWidth="1"/>
    <col min="4365" max="4608" width="9.140625" style="1013"/>
    <col min="4609" max="4609" width="14.42578125" style="1013" customWidth="1"/>
    <col min="4610" max="4610" width="16" style="1013" customWidth="1"/>
    <col min="4611" max="4611" width="14.28515625" style="1013" customWidth="1"/>
    <col min="4612" max="4612" width="2.42578125" style="1013" customWidth="1"/>
    <col min="4613" max="4613" width="55.140625" style="1013" customWidth="1"/>
    <col min="4614" max="4614" width="0" style="1013" hidden="1" customWidth="1"/>
    <col min="4615" max="4615" width="16.7109375" style="1013" customWidth="1"/>
    <col min="4616" max="4616" width="18.140625" style="1013" customWidth="1"/>
    <col min="4617" max="4617" width="16.5703125" style="1013" customWidth="1"/>
    <col min="4618" max="4618" width="10.28515625" style="1013" customWidth="1"/>
    <col min="4619" max="4619" width="9.140625" style="1013"/>
    <col min="4620" max="4620" width="14.28515625" style="1013" customWidth="1"/>
    <col min="4621" max="4864" width="9.140625" style="1013"/>
    <col min="4865" max="4865" width="14.42578125" style="1013" customWidth="1"/>
    <col min="4866" max="4866" width="16" style="1013" customWidth="1"/>
    <col min="4867" max="4867" width="14.28515625" style="1013" customWidth="1"/>
    <col min="4868" max="4868" width="2.42578125" style="1013" customWidth="1"/>
    <col min="4869" max="4869" width="55.140625" style="1013" customWidth="1"/>
    <col min="4870" max="4870" width="0" style="1013" hidden="1" customWidth="1"/>
    <col min="4871" max="4871" width="16.7109375" style="1013" customWidth="1"/>
    <col min="4872" max="4872" width="18.140625" style="1013" customWidth="1"/>
    <col min="4873" max="4873" width="16.5703125" style="1013" customWidth="1"/>
    <col min="4874" max="4874" width="10.28515625" style="1013" customWidth="1"/>
    <col min="4875" max="4875" width="9.140625" style="1013"/>
    <col min="4876" max="4876" width="14.28515625" style="1013" customWidth="1"/>
    <col min="4877" max="5120" width="9.140625" style="1013"/>
    <col min="5121" max="5121" width="14.42578125" style="1013" customWidth="1"/>
    <col min="5122" max="5122" width="16" style="1013" customWidth="1"/>
    <col min="5123" max="5123" width="14.28515625" style="1013" customWidth="1"/>
    <col min="5124" max="5124" width="2.42578125" style="1013" customWidth="1"/>
    <col min="5125" max="5125" width="55.140625" style="1013" customWidth="1"/>
    <col min="5126" max="5126" width="0" style="1013" hidden="1" customWidth="1"/>
    <col min="5127" max="5127" width="16.7109375" style="1013" customWidth="1"/>
    <col min="5128" max="5128" width="18.140625" style="1013" customWidth="1"/>
    <col min="5129" max="5129" width="16.5703125" style="1013" customWidth="1"/>
    <col min="5130" max="5130" width="10.28515625" style="1013" customWidth="1"/>
    <col min="5131" max="5131" width="9.140625" style="1013"/>
    <col min="5132" max="5132" width="14.28515625" style="1013" customWidth="1"/>
    <col min="5133" max="5376" width="9.140625" style="1013"/>
    <col min="5377" max="5377" width="14.42578125" style="1013" customWidth="1"/>
    <col min="5378" max="5378" width="16" style="1013" customWidth="1"/>
    <col min="5379" max="5379" width="14.28515625" style="1013" customWidth="1"/>
    <col min="5380" max="5380" width="2.42578125" style="1013" customWidth="1"/>
    <col min="5381" max="5381" width="55.140625" style="1013" customWidth="1"/>
    <col min="5382" max="5382" width="0" style="1013" hidden="1" customWidth="1"/>
    <col min="5383" max="5383" width="16.7109375" style="1013" customWidth="1"/>
    <col min="5384" max="5384" width="18.140625" style="1013" customWidth="1"/>
    <col min="5385" max="5385" width="16.5703125" style="1013" customWidth="1"/>
    <col min="5386" max="5386" width="10.28515625" style="1013" customWidth="1"/>
    <col min="5387" max="5387" width="9.140625" style="1013"/>
    <col min="5388" max="5388" width="14.28515625" style="1013" customWidth="1"/>
    <col min="5389" max="5632" width="9.140625" style="1013"/>
    <col min="5633" max="5633" width="14.42578125" style="1013" customWidth="1"/>
    <col min="5634" max="5634" width="16" style="1013" customWidth="1"/>
    <col min="5635" max="5635" width="14.28515625" style="1013" customWidth="1"/>
    <col min="5636" max="5636" width="2.42578125" style="1013" customWidth="1"/>
    <col min="5637" max="5637" width="55.140625" style="1013" customWidth="1"/>
    <col min="5638" max="5638" width="0" style="1013" hidden="1" customWidth="1"/>
    <col min="5639" max="5639" width="16.7109375" style="1013" customWidth="1"/>
    <col min="5640" max="5640" width="18.140625" style="1013" customWidth="1"/>
    <col min="5641" max="5641" width="16.5703125" style="1013" customWidth="1"/>
    <col min="5642" max="5642" width="10.28515625" style="1013" customWidth="1"/>
    <col min="5643" max="5643" width="9.140625" style="1013"/>
    <col min="5644" max="5644" width="14.28515625" style="1013" customWidth="1"/>
    <col min="5645" max="5888" width="9.140625" style="1013"/>
    <col min="5889" max="5889" width="14.42578125" style="1013" customWidth="1"/>
    <col min="5890" max="5890" width="16" style="1013" customWidth="1"/>
    <col min="5891" max="5891" width="14.28515625" style="1013" customWidth="1"/>
    <col min="5892" max="5892" width="2.42578125" style="1013" customWidth="1"/>
    <col min="5893" max="5893" width="55.140625" style="1013" customWidth="1"/>
    <col min="5894" max="5894" width="0" style="1013" hidden="1" customWidth="1"/>
    <col min="5895" max="5895" width="16.7109375" style="1013" customWidth="1"/>
    <col min="5896" max="5896" width="18.140625" style="1013" customWidth="1"/>
    <col min="5897" max="5897" width="16.5703125" style="1013" customWidth="1"/>
    <col min="5898" max="5898" width="10.28515625" style="1013" customWidth="1"/>
    <col min="5899" max="5899" width="9.140625" style="1013"/>
    <col min="5900" max="5900" width="14.28515625" style="1013" customWidth="1"/>
    <col min="5901" max="6144" width="9.140625" style="1013"/>
    <col min="6145" max="6145" width="14.42578125" style="1013" customWidth="1"/>
    <col min="6146" max="6146" width="16" style="1013" customWidth="1"/>
    <col min="6147" max="6147" width="14.28515625" style="1013" customWidth="1"/>
    <col min="6148" max="6148" width="2.42578125" style="1013" customWidth="1"/>
    <col min="6149" max="6149" width="55.140625" style="1013" customWidth="1"/>
    <col min="6150" max="6150" width="0" style="1013" hidden="1" customWidth="1"/>
    <col min="6151" max="6151" width="16.7109375" style="1013" customWidth="1"/>
    <col min="6152" max="6152" width="18.140625" style="1013" customWidth="1"/>
    <col min="6153" max="6153" width="16.5703125" style="1013" customWidth="1"/>
    <col min="6154" max="6154" width="10.28515625" style="1013" customWidth="1"/>
    <col min="6155" max="6155" width="9.140625" style="1013"/>
    <col min="6156" max="6156" width="14.28515625" style="1013" customWidth="1"/>
    <col min="6157" max="6400" width="9.140625" style="1013"/>
    <col min="6401" max="6401" width="14.42578125" style="1013" customWidth="1"/>
    <col min="6402" max="6402" width="16" style="1013" customWidth="1"/>
    <col min="6403" max="6403" width="14.28515625" style="1013" customWidth="1"/>
    <col min="6404" max="6404" width="2.42578125" style="1013" customWidth="1"/>
    <col min="6405" max="6405" width="55.140625" style="1013" customWidth="1"/>
    <col min="6406" max="6406" width="0" style="1013" hidden="1" customWidth="1"/>
    <col min="6407" max="6407" width="16.7109375" style="1013" customWidth="1"/>
    <col min="6408" max="6408" width="18.140625" style="1013" customWidth="1"/>
    <col min="6409" max="6409" width="16.5703125" style="1013" customWidth="1"/>
    <col min="6410" max="6410" width="10.28515625" style="1013" customWidth="1"/>
    <col min="6411" max="6411" width="9.140625" style="1013"/>
    <col min="6412" max="6412" width="14.28515625" style="1013" customWidth="1"/>
    <col min="6413" max="6656" width="9.140625" style="1013"/>
    <col min="6657" max="6657" width="14.42578125" style="1013" customWidth="1"/>
    <col min="6658" max="6658" width="16" style="1013" customWidth="1"/>
    <col min="6659" max="6659" width="14.28515625" style="1013" customWidth="1"/>
    <col min="6660" max="6660" width="2.42578125" style="1013" customWidth="1"/>
    <col min="6661" max="6661" width="55.140625" style="1013" customWidth="1"/>
    <col min="6662" max="6662" width="0" style="1013" hidden="1" customWidth="1"/>
    <col min="6663" max="6663" width="16.7109375" style="1013" customWidth="1"/>
    <col min="6664" max="6664" width="18.140625" style="1013" customWidth="1"/>
    <col min="6665" max="6665" width="16.5703125" style="1013" customWidth="1"/>
    <col min="6666" max="6666" width="10.28515625" style="1013" customWidth="1"/>
    <col min="6667" max="6667" width="9.140625" style="1013"/>
    <col min="6668" max="6668" width="14.28515625" style="1013" customWidth="1"/>
    <col min="6669" max="6912" width="9.140625" style="1013"/>
    <col min="6913" max="6913" width="14.42578125" style="1013" customWidth="1"/>
    <col min="6914" max="6914" width="16" style="1013" customWidth="1"/>
    <col min="6915" max="6915" width="14.28515625" style="1013" customWidth="1"/>
    <col min="6916" max="6916" width="2.42578125" style="1013" customWidth="1"/>
    <col min="6917" max="6917" width="55.140625" style="1013" customWidth="1"/>
    <col min="6918" max="6918" width="0" style="1013" hidden="1" customWidth="1"/>
    <col min="6919" max="6919" width="16.7109375" style="1013" customWidth="1"/>
    <col min="6920" max="6920" width="18.140625" style="1013" customWidth="1"/>
    <col min="6921" max="6921" width="16.5703125" style="1013" customWidth="1"/>
    <col min="6922" max="6922" width="10.28515625" style="1013" customWidth="1"/>
    <col min="6923" max="6923" width="9.140625" style="1013"/>
    <col min="6924" max="6924" width="14.28515625" style="1013" customWidth="1"/>
    <col min="6925" max="7168" width="9.140625" style="1013"/>
    <col min="7169" max="7169" width="14.42578125" style="1013" customWidth="1"/>
    <col min="7170" max="7170" width="16" style="1013" customWidth="1"/>
    <col min="7171" max="7171" width="14.28515625" style="1013" customWidth="1"/>
    <col min="7172" max="7172" width="2.42578125" style="1013" customWidth="1"/>
    <col min="7173" max="7173" width="55.140625" style="1013" customWidth="1"/>
    <col min="7174" max="7174" width="0" style="1013" hidden="1" customWidth="1"/>
    <col min="7175" max="7175" width="16.7109375" style="1013" customWidth="1"/>
    <col min="7176" max="7176" width="18.140625" style="1013" customWidth="1"/>
    <col min="7177" max="7177" width="16.5703125" style="1013" customWidth="1"/>
    <col min="7178" max="7178" width="10.28515625" style="1013" customWidth="1"/>
    <col min="7179" max="7179" width="9.140625" style="1013"/>
    <col min="7180" max="7180" width="14.28515625" style="1013" customWidth="1"/>
    <col min="7181" max="7424" width="9.140625" style="1013"/>
    <col min="7425" max="7425" width="14.42578125" style="1013" customWidth="1"/>
    <col min="7426" max="7426" width="16" style="1013" customWidth="1"/>
    <col min="7427" max="7427" width="14.28515625" style="1013" customWidth="1"/>
    <col min="7428" max="7428" width="2.42578125" style="1013" customWidth="1"/>
    <col min="7429" max="7429" width="55.140625" style="1013" customWidth="1"/>
    <col min="7430" max="7430" width="0" style="1013" hidden="1" customWidth="1"/>
    <col min="7431" max="7431" width="16.7109375" style="1013" customWidth="1"/>
    <col min="7432" max="7432" width="18.140625" style="1013" customWidth="1"/>
    <col min="7433" max="7433" width="16.5703125" style="1013" customWidth="1"/>
    <col min="7434" max="7434" width="10.28515625" style="1013" customWidth="1"/>
    <col min="7435" max="7435" width="9.140625" style="1013"/>
    <col min="7436" max="7436" width="14.28515625" style="1013" customWidth="1"/>
    <col min="7437" max="7680" width="9.140625" style="1013"/>
    <col min="7681" max="7681" width="14.42578125" style="1013" customWidth="1"/>
    <col min="7682" max="7682" width="16" style="1013" customWidth="1"/>
    <col min="7683" max="7683" width="14.28515625" style="1013" customWidth="1"/>
    <col min="7684" max="7684" width="2.42578125" style="1013" customWidth="1"/>
    <col min="7685" max="7685" width="55.140625" style="1013" customWidth="1"/>
    <col min="7686" max="7686" width="0" style="1013" hidden="1" customWidth="1"/>
    <col min="7687" max="7687" width="16.7109375" style="1013" customWidth="1"/>
    <col min="7688" max="7688" width="18.140625" style="1013" customWidth="1"/>
    <col min="7689" max="7689" width="16.5703125" style="1013" customWidth="1"/>
    <col min="7690" max="7690" width="10.28515625" style="1013" customWidth="1"/>
    <col min="7691" max="7691" width="9.140625" style="1013"/>
    <col min="7692" max="7692" width="14.28515625" style="1013" customWidth="1"/>
    <col min="7693" max="7936" width="9.140625" style="1013"/>
    <col min="7937" max="7937" width="14.42578125" style="1013" customWidth="1"/>
    <col min="7938" max="7938" width="16" style="1013" customWidth="1"/>
    <col min="7939" max="7939" width="14.28515625" style="1013" customWidth="1"/>
    <col min="7940" max="7940" width="2.42578125" style="1013" customWidth="1"/>
    <col min="7941" max="7941" width="55.140625" style="1013" customWidth="1"/>
    <col min="7942" max="7942" width="0" style="1013" hidden="1" customWidth="1"/>
    <col min="7943" max="7943" width="16.7109375" style="1013" customWidth="1"/>
    <col min="7944" max="7944" width="18.140625" style="1013" customWidth="1"/>
    <col min="7945" max="7945" width="16.5703125" style="1013" customWidth="1"/>
    <col min="7946" max="7946" width="10.28515625" style="1013" customWidth="1"/>
    <col min="7947" max="7947" width="9.140625" style="1013"/>
    <col min="7948" max="7948" width="14.28515625" style="1013" customWidth="1"/>
    <col min="7949" max="8192" width="9.140625" style="1013"/>
    <col min="8193" max="8193" width="14.42578125" style="1013" customWidth="1"/>
    <col min="8194" max="8194" width="16" style="1013" customWidth="1"/>
    <col min="8195" max="8195" width="14.28515625" style="1013" customWidth="1"/>
    <col min="8196" max="8196" width="2.42578125" style="1013" customWidth="1"/>
    <col min="8197" max="8197" width="55.140625" style="1013" customWidth="1"/>
    <col min="8198" max="8198" width="0" style="1013" hidden="1" customWidth="1"/>
    <col min="8199" max="8199" width="16.7109375" style="1013" customWidth="1"/>
    <col min="8200" max="8200" width="18.140625" style="1013" customWidth="1"/>
    <col min="8201" max="8201" width="16.5703125" style="1013" customWidth="1"/>
    <col min="8202" max="8202" width="10.28515625" style="1013" customWidth="1"/>
    <col min="8203" max="8203" width="9.140625" style="1013"/>
    <col min="8204" max="8204" width="14.28515625" style="1013" customWidth="1"/>
    <col min="8205" max="8448" width="9.140625" style="1013"/>
    <col min="8449" max="8449" width="14.42578125" style="1013" customWidth="1"/>
    <col min="8450" max="8450" width="16" style="1013" customWidth="1"/>
    <col min="8451" max="8451" width="14.28515625" style="1013" customWidth="1"/>
    <col min="8452" max="8452" width="2.42578125" style="1013" customWidth="1"/>
    <col min="8453" max="8453" width="55.140625" style="1013" customWidth="1"/>
    <col min="8454" max="8454" width="0" style="1013" hidden="1" customWidth="1"/>
    <col min="8455" max="8455" width="16.7109375" style="1013" customWidth="1"/>
    <col min="8456" max="8456" width="18.140625" style="1013" customWidth="1"/>
    <col min="8457" max="8457" width="16.5703125" style="1013" customWidth="1"/>
    <col min="8458" max="8458" width="10.28515625" style="1013" customWidth="1"/>
    <col min="8459" max="8459" width="9.140625" style="1013"/>
    <col min="8460" max="8460" width="14.28515625" style="1013" customWidth="1"/>
    <col min="8461" max="8704" width="9.140625" style="1013"/>
    <col min="8705" max="8705" width="14.42578125" style="1013" customWidth="1"/>
    <col min="8706" max="8706" width="16" style="1013" customWidth="1"/>
    <col min="8707" max="8707" width="14.28515625" style="1013" customWidth="1"/>
    <col min="8708" max="8708" width="2.42578125" style="1013" customWidth="1"/>
    <col min="8709" max="8709" width="55.140625" style="1013" customWidth="1"/>
    <col min="8710" max="8710" width="0" style="1013" hidden="1" customWidth="1"/>
    <col min="8711" max="8711" width="16.7109375" style="1013" customWidth="1"/>
    <col min="8712" max="8712" width="18.140625" style="1013" customWidth="1"/>
    <col min="8713" max="8713" width="16.5703125" style="1013" customWidth="1"/>
    <col min="8714" max="8714" width="10.28515625" style="1013" customWidth="1"/>
    <col min="8715" max="8715" width="9.140625" style="1013"/>
    <col min="8716" max="8716" width="14.28515625" style="1013" customWidth="1"/>
    <col min="8717" max="8960" width="9.140625" style="1013"/>
    <col min="8961" max="8961" width="14.42578125" style="1013" customWidth="1"/>
    <col min="8962" max="8962" width="16" style="1013" customWidth="1"/>
    <col min="8963" max="8963" width="14.28515625" style="1013" customWidth="1"/>
    <col min="8964" max="8964" width="2.42578125" style="1013" customWidth="1"/>
    <col min="8965" max="8965" width="55.140625" style="1013" customWidth="1"/>
    <col min="8966" max="8966" width="0" style="1013" hidden="1" customWidth="1"/>
    <col min="8967" max="8967" width="16.7109375" style="1013" customWidth="1"/>
    <col min="8968" max="8968" width="18.140625" style="1013" customWidth="1"/>
    <col min="8969" max="8969" width="16.5703125" style="1013" customWidth="1"/>
    <col min="8970" max="8970" width="10.28515625" style="1013" customWidth="1"/>
    <col min="8971" max="8971" width="9.140625" style="1013"/>
    <col min="8972" max="8972" width="14.28515625" style="1013" customWidth="1"/>
    <col min="8973" max="9216" width="9.140625" style="1013"/>
    <col min="9217" max="9217" width="14.42578125" style="1013" customWidth="1"/>
    <col min="9218" max="9218" width="16" style="1013" customWidth="1"/>
    <col min="9219" max="9219" width="14.28515625" style="1013" customWidth="1"/>
    <col min="9220" max="9220" width="2.42578125" style="1013" customWidth="1"/>
    <col min="9221" max="9221" width="55.140625" style="1013" customWidth="1"/>
    <col min="9222" max="9222" width="0" style="1013" hidden="1" customWidth="1"/>
    <col min="9223" max="9223" width="16.7109375" style="1013" customWidth="1"/>
    <col min="9224" max="9224" width="18.140625" style="1013" customWidth="1"/>
    <col min="9225" max="9225" width="16.5703125" style="1013" customWidth="1"/>
    <col min="9226" max="9226" width="10.28515625" style="1013" customWidth="1"/>
    <col min="9227" max="9227" width="9.140625" style="1013"/>
    <col min="9228" max="9228" width="14.28515625" style="1013" customWidth="1"/>
    <col min="9229" max="9472" width="9.140625" style="1013"/>
    <col min="9473" max="9473" width="14.42578125" style="1013" customWidth="1"/>
    <col min="9474" max="9474" width="16" style="1013" customWidth="1"/>
    <col min="9475" max="9475" width="14.28515625" style="1013" customWidth="1"/>
    <col min="9476" max="9476" width="2.42578125" style="1013" customWidth="1"/>
    <col min="9477" max="9477" width="55.140625" style="1013" customWidth="1"/>
    <col min="9478" max="9478" width="0" style="1013" hidden="1" customWidth="1"/>
    <col min="9479" max="9479" width="16.7109375" style="1013" customWidth="1"/>
    <col min="9480" max="9480" width="18.140625" style="1013" customWidth="1"/>
    <col min="9481" max="9481" width="16.5703125" style="1013" customWidth="1"/>
    <col min="9482" max="9482" width="10.28515625" style="1013" customWidth="1"/>
    <col min="9483" max="9483" width="9.140625" style="1013"/>
    <col min="9484" max="9484" width="14.28515625" style="1013" customWidth="1"/>
    <col min="9485" max="9728" width="9.140625" style="1013"/>
    <col min="9729" max="9729" width="14.42578125" style="1013" customWidth="1"/>
    <col min="9730" max="9730" width="16" style="1013" customWidth="1"/>
    <col min="9731" max="9731" width="14.28515625" style="1013" customWidth="1"/>
    <col min="9732" max="9732" width="2.42578125" style="1013" customWidth="1"/>
    <col min="9733" max="9733" width="55.140625" style="1013" customWidth="1"/>
    <col min="9734" max="9734" width="0" style="1013" hidden="1" customWidth="1"/>
    <col min="9735" max="9735" width="16.7109375" style="1013" customWidth="1"/>
    <col min="9736" max="9736" width="18.140625" style="1013" customWidth="1"/>
    <col min="9737" max="9737" width="16.5703125" style="1013" customWidth="1"/>
    <col min="9738" max="9738" width="10.28515625" style="1013" customWidth="1"/>
    <col min="9739" max="9739" width="9.140625" style="1013"/>
    <col min="9740" max="9740" width="14.28515625" style="1013" customWidth="1"/>
    <col min="9741" max="9984" width="9.140625" style="1013"/>
    <col min="9985" max="9985" width="14.42578125" style="1013" customWidth="1"/>
    <col min="9986" max="9986" width="16" style="1013" customWidth="1"/>
    <col min="9987" max="9987" width="14.28515625" style="1013" customWidth="1"/>
    <col min="9988" max="9988" width="2.42578125" style="1013" customWidth="1"/>
    <col min="9989" max="9989" width="55.140625" style="1013" customWidth="1"/>
    <col min="9990" max="9990" width="0" style="1013" hidden="1" customWidth="1"/>
    <col min="9991" max="9991" width="16.7109375" style="1013" customWidth="1"/>
    <col min="9992" max="9992" width="18.140625" style="1013" customWidth="1"/>
    <col min="9993" max="9993" width="16.5703125" style="1013" customWidth="1"/>
    <col min="9994" max="9994" width="10.28515625" style="1013" customWidth="1"/>
    <col min="9995" max="9995" width="9.140625" style="1013"/>
    <col min="9996" max="9996" width="14.28515625" style="1013" customWidth="1"/>
    <col min="9997" max="10240" width="9.140625" style="1013"/>
    <col min="10241" max="10241" width="14.42578125" style="1013" customWidth="1"/>
    <col min="10242" max="10242" width="16" style="1013" customWidth="1"/>
    <col min="10243" max="10243" width="14.28515625" style="1013" customWidth="1"/>
    <col min="10244" max="10244" width="2.42578125" style="1013" customWidth="1"/>
    <col min="10245" max="10245" width="55.140625" style="1013" customWidth="1"/>
    <col min="10246" max="10246" width="0" style="1013" hidden="1" customWidth="1"/>
    <col min="10247" max="10247" width="16.7109375" style="1013" customWidth="1"/>
    <col min="10248" max="10248" width="18.140625" style="1013" customWidth="1"/>
    <col min="10249" max="10249" width="16.5703125" style="1013" customWidth="1"/>
    <col min="10250" max="10250" width="10.28515625" style="1013" customWidth="1"/>
    <col min="10251" max="10251" width="9.140625" style="1013"/>
    <col min="10252" max="10252" width="14.28515625" style="1013" customWidth="1"/>
    <col min="10253" max="10496" width="9.140625" style="1013"/>
    <col min="10497" max="10497" width="14.42578125" style="1013" customWidth="1"/>
    <col min="10498" max="10498" width="16" style="1013" customWidth="1"/>
    <col min="10499" max="10499" width="14.28515625" style="1013" customWidth="1"/>
    <col min="10500" max="10500" width="2.42578125" style="1013" customWidth="1"/>
    <col min="10501" max="10501" width="55.140625" style="1013" customWidth="1"/>
    <col min="10502" max="10502" width="0" style="1013" hidden="1" customWidth="1"/>
    <col min="10503" max="10503" width="16.7109375" style="1013" customWidth="1"/>
    <col min="10504" max="10504" width="18.140625" style="1013" customWidth="1"/>
    <col min="10505" max="10505" width="16.5703125" style="1013" customWidth="1"/>
    <col min="10506" max="10506" width="10.28515625" style="1013" customWidth="1"/>
    <col min="10507" max="10507" width="9.140625" style="1013"/>
    <col min="10508" max="10508" width="14.28515625" style="1013" customWidth="1"/>
    <col min="10509" max="10752" width="9.140625" style="1013"/>
    <col min="10753" max="10753" width="14.42578125" style="1013" customWidth="1"/>
    <col min="10754" max="10754" width="16" style="1013" customWidth="1"/>
    <col min="10755" max="10755" width="14.28515625" style="1013" customWidth="1"/>
    <col min="10756" max="10756" width="2.42578125" style="1013" customWidth="1"/>
    <col min="10757" max="10757" width="55.140625" style="1013" customWidth="1"/>
    <col min="10758" max="10758" width="0" style="1013" hidden="1" customWidth="1"/>
    <col min="10759" max="10759" width="16.7109375" style="1013" customWidth="1"/>
    <col min="10760" max="10760" width="18.140625" style="1013" customWidth="1"/>
    <col min="10761" max="10761" width="16.5703125" style="1013" customWidth="1"/>
    <col min="10762" max="10762" width="10.28515625" style="1013" customWidth="1"/>
    <col min="10763" max="10763" width="9.140625" style="1013"/>
    <col min="10764" max="10764" width="14.28515625" style="1013" customWidth="1"/>
    <col min="10765" max="11008" width="9.140625" style="1013"/>
    <col min="11009" max="11009" width="14.42578125" style="1013" customWidth="1"/>
    <col min="11010" max="11010" width="16" style="1013" customWidth="1"/>
    <col min="11011" max="11011" width="14.28515625" style="1013" customWidth="1"/>
    <col min="11012" max="11012" width="2.42578125" style="1013" customWidth="1"/>
    <col min="11013" max="11013" width="55.140625" style="1013" customWidth="1"/>
    <col min="11014" max="11014" width="0" style="1013" hidden="1" customWidth="1"/>
    <col min="11015" max="11015" width="16.7109375" style="1013" customWidth="1"/>
    <col min="11016" max="11016" width="18.140625" style="1013" customWidth="1"/>
    <col min="11017" max="11017" width="16.5703125" style="1013" customWidth="1"/>
    <col min="11018" max="11018" width="10.28515625" style="1013" customWidth="1"/>
    <col min="11019" max="11019" width="9.140625" style="1013"/>
    <col min="11020" max="11020" width="14.28515625" style="1013" customWidth="1"/>
    <col min="11021" max="11264" width="9.140625" style="1013"/>
    <col min="11265" max="11265" width="14.42578125" style="1013" customWidth="1"/>
    <col min="11266" max="11266" width="16" style="1013" customWidth="1"/>
    <col min="11267" max="11267" width="14.28515625" style="1013" customWidth="1"/>
    <col min="11268" max="11268" width="2.42578125" style="1013" customWidth="1"/>
    <col min="11269" max="11269" width="55.140625" style="1013" customWidth="1"/>
    <col min="11270" max="11270" width="0" style="1013" hidden="1" customWidth="1"/>
    <col min="11271" max="11271" width="16.7109375" style="1013" customWidth="1"/>
    <col min="11272" max="11272" width="18.140625" style="1013" customWidth="1"/>
    <col min="11273" max="11273" width="16.5703125" style="1013" customWidth="1"/>
    <col min="11274" max="11274" width="10.28515625" style="1013" customWidth="1"/>
    <col min="11275" max="11275" width="9.140625" style="1013"/>
    <col min="11276" max="11276" width="14.28515625" style="1013" customWidth="1"/>
    <col min="11277" max="11520" width="9.140625" style="1013"/>
    <col min="11521" max="11521" width="14.42578125" style="1013" customWidth="1"/>
    <col min="11522" max="11522" width="16" style="1013" customWidth="1"/>
    <col min="11523" max="11523" width="14.28515625" style="1013" customWidth="1"/>
    <col min="11524" max="11524" width="2.42578125" style="1013" customWidth="1"/>
    <col min="11525" max="11525" width="55.140625" style="1013" customWidth="1"/>
    <col min="11526" max="11526" width="0" style="1013" hidden="1" customWidth="1"/>
    <col min="11527" max="11527" width="16.7109375" style="1013" customWidth="1"/>
    <col min="11528" max="11528" width="18.140625" style="1013" customWidth="1"/>
    <col min="11529" max="11529" width="16.5703125" style="1013" customWidth="1"/>
    <col min="11530" max="11530" width="10.28515625" style="1013" customWidth="1"/>
    <col min="11531" max="11531" width="9.140625" style="1013"/>
    <col min="11532" max="11532" width="14.28515625" style="1013" customWidth="1"/>
    <col min="11533" max="11776" width="9.140625" style="1013"/>
    <col min="11777" max="11777" width="14.42578125" style="1013" customWidth="1"/>
    <col min="11778" max="11778" width="16" style="1013" customWidth="1"/>
    <col min="11779" max="11779" width="14.28515625" style="1013" customWidth="1"/>
    <col min="11780" max="11780" width="2.42578125" style="1013" customWidth="1"/>
    <col min="11781" max="11781" width="55.140625" style="1013" customWidth="1"/>
    <col min="11782" max="11782" width="0" style="1013" hidden="1" customWidth="1"/>
    <col min="11783" max="11783" width="16.7109375" style="1013" customWidth="1"/>
    <col min="11784" max="11784" width="18.140625" style="1013" customWidth="1"/>
    <col min="11785" max="11785" width="16.5703125" style="1013" customWidth="1"/>
    <col min="11786" max="11786" width="10.28515625" style="1013" customWidth="1"/>
    <col min="11787" max="11787" width="9.140625" style="1013"/>
    <col min="11788" max="11788" width="14.28515625" style="1013" customWidth="1"/>
    <col min="11789" max="12032" width="9.140625" style="1013"/>
    <col min="12033" max="12033" width="14.42578125" style="1013" customWidth="1"/>
    <col min="12034" max="12034" width="16" style="1013" customWidth="1"/>
    <col min="12035" max="12035" width="14.28515625" style="1013" customWidth="1"/>
    <col min="12036" max="12036" width="2.42578125" style="1013" customWidth="1"/>
    <col min="12037" max="12037" width="55.140625" style="1013" customWidth="1"/>
    <col min="12038" max="12038" width="0" style="1013" hidden="1" customWidth="1"/>
    <col min="12039" max="12039" width="16.7109375" style="1013" customWidth="1"/>
    <col min="12040" max="12040" width="18.140625" style="1013" customWidth="1"/>
    <col min="12041" max="12041" width="16.5703125" style="1013" customWidth="1"/>
    <col min="12042" max="12042" width="10.28515625" style="1013" customWidth="1"/>
    <col min="12043" max="12043" width="9.140625" style="1013"/>
    <col min="12044" max="12044" width="14.28515625" style="1013" customWidth="1"/>
    <col min="12045" max="12288" width="9.140625" style="1013"/>
    <col min="12289" max="12289" width="14.42578125" style="1013" customWidth="1"/>
    <col min="12290" max="12290" width="16" style="1013" customWidth="1"/>
    <col min="12291" max="12291" width="14.28515625" style="1013" customWidth="1"/>
    <col min="12292" max="12292" width="2.42578125" style="1013" customWidth="1"/>
    <col min="12293" max="12293" width="55.140625" style="1013" customWidth="1"/>
    <col min="12294" max="12294" width="0" style="1013" hidden="1" customWidth="1"/>
    <col min="12295" max="12295" width="16.7109375" style="1013" customWidth="1"/>
    <col min="12296" max="12296" width="18.140625" style="1013" customWidth="1"/>
    <col min="12297" max="12297" width="16.5703125" style="1013" customWidth="1"/>
    <col min="12298" max="12298" width="10.28515625" style="1013" customWidth="1"/>
    <col min="12299" max="12299" width="9.140625" style="1013"/>
    <col min="12300" max="12300" width="14.28515625" style="1013" customWidth="1"/>
    <col min="12301" max="12544" width="9.140625" style="1013"/>
    <col min="12545" max="12545" width="14.42578125" style="1013" customWidth="1"/>
    <col min="12546" max="12546" width="16" style="1013" customWidth="1"/>
    <col min="12547" max="12547" width="14.28515625" style="1013" customWidth="1"/>
    <col min="12548" max="12548" width="2.42578125" style="1013" customWidth="1"/>
    <col min="12549" max="12549" width="55.140625" style="1013" customWidth="1"/>
    <col min="12550" max="12550" width="0" style="1013" hidden="1" customWidth="1"/>
    <col min="12551" max="12551" width="16.7109375" style="1013" customWidth="1"/>
    <col min="12552" max="12552" width="18.140625" style="1013" customWidth="1"/>
    <col min="12553" max="12553" width="16.5703125" style="1013" customWidth="1"/>
    <col min="12554" max="12554" width="10.28515625" style="1013" customWidth="1"/>
    <col min="12555" max="12555" width="9.140625" style="1013"/>
    <col min="12556" max="12556" width="14.28515625" style="1013" customWidth="1"/>
    <col min="12557" max="12800" width="9.140625" style="1013"/>
    <col min="12801" max="12801" width="14.42578125" style="1013" customWidth="1"/>
    <col min="12802" max="12802" width="16" style="1013" customWidth="1"/>
    <col min="12803" max="12803" width="14.28515625" style="1013" customWidth="1"/>
    <col min="12804" max="12804" width="2.42578125" style="1013" customWidth="1"/>
    <col min="12805" max="12805" width="55.140625" style="1013" customWidth="1"/>
    <col min="12806" max="12806" width="0" style="1013" hidden="1" customWidth="1"/>
    <col min="12807" max="12807" width="16.7109375" style="1013" customWidth="1"/>
    <col min="12808" max="12808" width="18.140625" style="1013" customWidth="1"/>
    <col min="12809" max="12809" width="16.5703125" style="1013" customWidth="1"/>
    <col min="12810" max="12810" width="10.28515625" style="1013" customWidth="1"/>
    <col min="12811" max="12811" width="9.140625" style="1013"/>
    <col min="12812" max="12812" width="14.28515625" style="1013" customWidth="1"/>
    <col min="12813" max="13056" width="9.140625" style="1013"/>
    <col min="13057" max="13057" width="14.42578125" style="1013" customWidth="1"/>
    <col min="13058" max="13058" width="16" style="1013" customWidth="1"/>
    <col min="13059" max="13059" width="14.28515625" style="1013" customWidth="1"/>
    <col min="13060" max="13060" width="2.42578125" style="1013" customWidth="1"/>
    <col min="13061" max="13061" width="55.140625" style="1013" customWidth="1"/>
    <col min="13062" max="13062" width="0" style="1013" hidden="1" customWidth="1"/>
    <col min="13063" max="13063" width="16.7109375" style="1013" customWidth="1"/>
    <col min="13064" max="13064" width="18.140625" style="1013" customWidth="1"/>
    <col min="13065" max="13065" width="16.5703125" style="1013" customWidth="1"/>
    <col min="13066" max="13066" width="10.28515625" style="1013" customWidth="1"/>
    <col min="13067" max="13067" width="9.140625" style="1013"/>
    <col min="13068" max="13068" width="14.28515625" style="1013" customWidth="1"/>
    <col min="13069" max="13312" width="9.140625" style="1013"/>
    <col min="13313" max="13313" width="14.42578125" style="1013" customWidth="1"/>
    <col min="13314" max="13314" width="16" style="1013" customWidth="1"/>
    <col min="13315" max="13315" width="14.28515625" style="1013" customWidth="1"/>
    <col min="13316" max="13316" width="2.42578125" style="1013" customWidth="1"/>
    <col min="13317" max="13317" width="55.140625" style="1013" customWidth="1"/>
    <col min="13318" max="13318" width="0" style="1013" hidden="1" customWidth="1"/>
    <col min="13319" max="13319" width="16.7109375" style="1013" customWidth="1"/>
    <col min="13320" max="13320" width="18.140625" style="1013" customWidth="1"/>
    <col min="13321" max="13321" width="16.5703125" style="1013" customWidth="1"/>
    <col min="13322" max="13322" width="10.28515625" style="1013" customWidth="1"/>
    <col min="13323" max="13323" width="9.140625" style="1013"/>
    <col min="13324" max="13324" width="14.28515625" style="1013" customWidth="1"/>
    <col min="13325" max="13568" width="9.140625" style="1013"/>
    <col min="13569" max="13569" width="14.42578125" style="1013" customWidth="1"/>
    <col min="13570" max="13570" width="16" style="1013" customWidth="1"/>
    <col min="13571" max="13571" width="14.28515625" style="1013" customWidth="1"/>
    <col min="13572" max="13572" width="2.42578125" style="1013" customWidth="1"/>
    <col min="13573" max="13573" width="55.140625" style="1013" customWidth="1"/>
    <col min="13574" max="13574" width="0" style="1013" hidden="1" customWidth="1"/>
    <col min="13575" max="13575" width="16.7109375" style="1013" customWidth="1"/>
    <col min="13576" max="13576" width="18.140625" style="1013" customWidth="1"/>
    <col min="13577" max="13577" width="16.5703125" style="1013" customWidth="1"/>
    <col min="13578" max="13578" width="10.28515625" style="1013" customWidth="1"/>
    <col min="13579" max="13579" width="9.140625" style="1013"/>
    <col min="13580" max="13580" width="14.28515625" style="1013" customWidth="1"/>
    <col min="13581" max="13824" width="9.140625" style="1013"/>
    <col min="13825" max="13825" width="14.42578125" style="1013" customWidth="1"/>
    <col min="13826" max="13826" width="16" style="1013" customWidth="1"/>
    <col min="13827" max="13827" width="14.28515625" style="1013" customWidth="1"/>
    <col min="13828" max="13828" width="2.42578125" style="1013" customWidth="1"/>
    <col min="13829" max="13829" width="55.140625" style="1013" customWidth="1"/>
    <col min="13830" max="13830" width="0" style="1013" hidden="1" customWidth="1"/>
    <col min="13831" max="13831" width="16.7109375" style="1013" customWidth="1"/>
    <col min="13832" max="13832" width="18.140625" style="1013" customWidth="1"/>
    <col min="13833" max="13833" width="16.5703125" style="1013" customWidth="1"/>
    <col min="13834" max="13834" width="10.28515625" style="1013" customWidth="1"/>
    <col min="13835" max="13835" width="9.140625" style="1013"/>
    <col min="13836" max="13836" width="14.28515625" style="1013" customWidth="1"/>
    <col min="13837" max="14080" width="9.140625" style="1013"/>
    <col min="14081" max="14081" width="14.42578125" style="1013" customWidth="1"/>
    <col min="14082" max="14082" width="16" style="1013" customWidth="1"/>
    <col min="14083" max="14083" width="14.28515625" style="1013" customWidth="1"/>
    <col min="14084" max="14084" width="2.42578125" style="1013" customWidth="1"/>
    <col min="14085" max="14085" width="55.140625" style="1013" customWidth="1"/>
    <col min="14086" max="14086" width="0" style="1013" hidden="1" customWidth="1"/>
    <col min="14087" max="14087" width="16.7109375" style="1013" customWidth="1"/>
    <col min="14088" max="14088" width="18.140625" style="1013" customWidth="1"/>
    <col min="14089" max="14089" width="16.5703125" style="1013" customWidth="1"/>
    <col min="14090" max="14090" width="10.28515625" style="1013" customWidth="1"/>
    <col min="14091" max="14091" width="9.140625" style="1013"/>
    <col min="14092" max="14092" width="14.28515625" style="1013" customWidth="1"/>
    <col min="14093" max="14336" width="9.140625" style="1013"/>
    <col min="14337" max="14337" width="14.42578125" style="1013" customWidth="1"/>
    <col min="14338" max="14338" width="16" style="1013" customWidth="1"/>
    <col min="14339" max="14339" width="14.28515625" style="1013" customWidth="1"/>
    <col min="14340" max="14340" width="2.42578125" style="1013" customWidth="1"/>
    <col min="14341" max="14341" width="55.140625" style="1013" customWidth="1"/>
    <col min="14342" max="14342" width="0" style="1013" hidden="1" customWidth="1"/>
    <col min="14343" max="14343" width="16.7109375" style="1013" customWidth="1"/>
    <col min="14344" max="14344" width="18.140625" style="1013" customWidth="1"/>
    <col min="14345" max="14345" width="16.5703125" style="1013" customWidth="1"/>
    <col min="14346" max="14346" width="10.28515625" style="1013" customWidth="1"/>
    <col min="14347" max="14347" width="9.140625" style="1013"/>
    <col min="14348" max="14348" width="14.28515625" style="1013" customWidth="1"/>
    <col min="14349" max="14592" width="9.140625" style="1013"/>
    <col min="14593" max="14593" width="14.42578125" style="1013" customWidth="1"/>
    <col min="14594" max="14594" width="16" style="1013" customWidth="1"/>
    <col min="14595" max="14595" width="14.28515625" style="1013" customWidth="1"/>
    <col min="14596" max="14596" width="2.42578125" style="1013" customWidth="1"/>
    <col min="14597" max="14597" width="55.140625" style="1013" customWidth="1"/>
    <col min="14598" max="14598" width="0" style="1013" hidden="1" customWidth="1"/>
    <col min="14599" max="14599" width="16.7109375" style="1013" customWidth="1"/>
    <col min="14600" max="14600" width="18.140625" style="1013" customWidth="1"/>
    <col min="14601" max="14601" width="16.5703125" style="1013" customWidth="1"/>
    <col min="14602" max="14602" width="10.28515625" style="1013" customWidth="1"/>
    <col min="14603" max="14603" width="9.140625" style="1013"/>
    <col min="14604" max="14604" width="14.28515625" style="1013" customWidth="1"/>
    <col min="14605" max="14848" width="9.140625" style="1013"/>
    <col min="14849" max="14849" width="14.42578125" style="1013" customWidth="1"/>
    <col min="14850" max="14850" width="16" style="1013" customWidth="1"/>
    <col min="14851" max="14851" width="14.28515625" style="1013" customWidth="1"/>
    <col min="14852" max="14852" width="2.42578125" style="1013" customWidth="1"/>
    <col min="14853" max="14853" width="55.140625" style="1013" customWidth="1"/>
    <col min="14854" max="14854" width="0" style="1013" hidden="1" customWidth="1"/>
    <col min="14855" max="14855" width="16.7109375" style="1013" customWidth="1"/>
    <col min="14856" max="14856" width="18.140625" style="1013" customWidth="1"/>
    <col min="14857" max="14857" width="16.5703125" style="1013" customWidth="1"/>
    <col min="14858" max="14858" width="10.28515625" style="1013" customWidth="1"/>
    <col min="14859" max="14859" width="9.140625" style="1013"/>
    <col min="14860" max="14860" width="14.28515625" style="1013" customWidth="1"/>
    <col min="14861" max="15104" width="9.140625" style="1013"/>
    <col min="15105" max="15105" width="14.42578125" style="1013" customWidth="1"/>
    <col min="15106" max="15106" width="16" style="1013" customWidth="1"/>
    <col min="15107" max="15107" width="14.28515625" style="1013" customWidth="1"/>
    <col min="15108" max="15108" width="2.42578125" style="1013" customWidth="1"/>
    <col min="15109" max="15109" width="55.140625" style="1013" customWidth="1"/>
    <col min="15110" max="15110" width="0" style="1013" hidden="1" customWidth="1"/>
    <col min="15111" max="15111" width="16.7109375" style="1013" customWidth="1"/>
    <col min="15112" max="15112" width="18.140625" style="1013" customWidth="1"/>
    <col min="15113" max="15113" width="16.5703125" style="1013" customWidth="1"/>
    <col min="15114" max="15114" width="10.28515625" style="1013" customWidth="1"/>
    <col min="15115" max="15115" width="9.140625" style="1013"/>
    <col min="15116" max="15116" width="14.28515625" style="1013" customWidth="1"/>
    <col min="15117" max="15360" width="9.140625" style="1013"/>
    <col min="15361" max="15361" width="14.42578125" style="1013" customWidth="1"/>
    <col min="15362" max="15362" width="16" style="1013" customWidth="1"/>
    <col min="15363" max="15363" width="14.28515625" style="1013" customWidth="1"/>
    <col min="15364" max="15364" width="2.42578125" style="1013" customWidth="1"/>
    <col min="15365" max="15365" width="55.140625" style="1013" customWidth="1"/>
    <col min="15366" max="15366" width="0" style="1013" hidden="1" customWidth="1"/>
    <col min="15367" max="15367" width="16.7109375" style="1013" customWidth="1"/>
    <col min="15368" max="15368" width="18.140625" style="1013" customWidth="1"/>
    <col min="15369" max="15369" width="16.5703125" style="1013" customWidth="1"/>
    <col min="15370" max="15370" width="10.28515625" style="1013" customWidth="1"/>
    <col min="15371" max="15371" width="9.140625" style="1013"/>
    <col min="15372" max="15372" width="14.28515625" style="1013" customWidth="1"/>
    <col min="15373" max="15616" width="9.140625" style="1013"/>
    <col min="15617" max="15617" width="14.42578125" style="1013" customWidth="1"/>
    <col min="15618" max="15618" width="16" style="1013" customWidth="1"/>
    <col min="15619" max="15619" width="14.28515625" style="1013" customWidth="1"/>
    <col min="15620" max="15620" width="2.42578125" style="1013" customWidth="1"/>
    <col min="15621" max="15621" width="55.140625" style="1013" customWidth="1"/>
    <col min="15622" max="15622" width="0" style="1013" hidden="1" customWidth="1"/>
    <col min="15623" max="15623" width="16.7109375" style="1013" customWidth="1"/>
    <col min="15624" max="15624" width="18.140625" style="1013" customWidth="1"/>
    <col min="15625" max="15625" width="16.5703125" style="1013" customWidth="1"/>
    <col min="15626" max="15626" width="10.28515625" style="1013" customWidth="1"/>
    <col min="15627" max="15627" width="9.140625" style="1013"/>
    <col min="15628" max="15628" width="14.28515625" style="1013" customWidth="1"/>
    <col min="15629" max="15872" width="9.140625" style="1013"/>
    <col min="15873" max="15873" width="14.42578125" style="1013" customWidth="1"/>
    <col min="15874" max="15874" width="16" style="1013" customWidth="1"/>
    <col min="15875" max="15875" width="14.28515625" style="1013" customWidth="1"/>
    <col min="15876" max="15876" width="2.42578125" style="1013" customWidth="1"/>
    <col min="15877" max="15877" width="55.140625" style="1013" customWidth="1"/>
    <col min="15878" max="15878" width="0" style="1013" hidden="1" customWidth="1"/>
    <col min="15879" max="15879" width="16.7109375" style="1013" customWidth="1"/>
    <col min="15880" max="15880" width="18.140625" style="1013" customWidth="1"/>
    <col min="15881" max="15881" width="16.5703125" style="1013" customWidth="1"/>
    <col min="15882" max="15882" width="10.28515625" style="1013" customWidth="1"/>
    <col min="15883" max="15883" width="9.140625" style="1013"/>
    <col min="15884" max="15884" width="14.28515625" style="1013" customWidth="1"/>
    <col min="15885" max="16128" width="9.140625" style="1013"/>
    <col min="16129" max="16129" width="14.42578125" style="1013" customWidth="1"/>
    <col min="16130" max="16130" width="16" style="1013" customWidth="1"/>
    <col min="16131" max="16131" width="14.28515625" style="1013" customWidth="1"/>
    <col min="16132" max="16132" width="2.42578125" style="1013" customWidth="1"/>
    <col min="16133" max="16133" width="55.140625" style="1013" customWidth="1"/>
    <col min="16134" max="16134" width="0" style="1013" hidden="1" customWidth="1"/>
    <col min="16135" max="16135" width="16.7109375" style="1013" customWidth="1"/>
    <col min="16136" max="16136" width="18.140625" style="1013" customWidth="1"/>
    <col min="16137" max="16137" width="16.5703125" style="1013" customWidth="1"/>
    <col min="16138" max="16138" width="10.28515625" style="1013" customWidth="1"/>
    <col min="16139" max="16139" width="9.140625" style="1013"/>
    <col min="16140" max="16140" width="14.28515625" style="1013" customWidth="1"/>
    <col min="16141" max="16384" width="9.140625" style="1013"/>
  </cols>
  <sheetData>
    <row r="1" spans="1:10" ht="15" customHeight="1">
      <c r="E1" s="1427"/>
      <c r="H1" s="6303" t="s">
        <v>1605</v>
      </c>
      <c r="I1" s="6303"/>
    </row>
    <row r="2" spans="1:10">
      <c r="B2" s="1472" t="s">
        <v>1606</v>
      </c>
      <c r="E2" s="1428"/>
      <c r="I2" s="1427"/>
    </row>
    <row r="3" spans="1:10">
      <c r="B3" s="1427"/>
      <c r="I3" s="1427"/>
    </row>
    <row r="4" spans="1:10">
      <c r="A4" s="1381" t="s">
        <v>1022</v>
      </c>
      <c r="B4" s="1473" t="s">
        <v>1607</v>
      </c>
      <c r="C4" s="1381" t="s">
        <v>869</v>
      </c>
      <c r="D4" s="1436" t="s">
        <v>94</v>
      </c>
      <c r="E4" s="1474" t="s">
        <v>809</v>
      </c>
      <c r="F4" s="1436"/>
      <c r="G4" s="1381" t="s">
        <v>1022</v>
      </c>
      <c r="H4" s="1473" t="s">
        <v>1607</v>
      </c>
      <c r="I4" s="1381" t="s">
        <v>869</v>
      </c>
    </row>
    <row r="5" spans="1:10">
      <c r="A5" s="1475" t="s">
        <v>380</v>
      </c>
      <c r="B5" s="1475" t="s">
        <v>380</v>
      </c>
      <c r="C5" s="1475" t="s">
        <v>380</v>
      </c>
      <c r="D5" s="1476"/>
      <c r="E5" s="1476"/>
      <c r="F5" s="1476"/>
      <c r="G5" s="1475" t="s">
        <v>557</v>
      </c>
      <c r="H5" s="1475" t="s">
        <v>557</v>
      </c>
      <c r="I5" s="1475" t="s">
        <v>557</v>
      </c>
    </row>
    <row r="6" spans="1:10">
      <c r="A6" s="1429" t="s">
        <v>586</v>
      </c>
      <c r="B6" s="1430" t="s">
        <v>586</v>
      </c>
      <c r="C6" s="1429" t="s">
        <v>586</v>
      </c>
      <c r="D6" s="1431"/>
      <c r="E6" s="1432" t="s">
        <v>94</v>
      </c>
      <c r="F6" s="1431" t="s">
        <v>94</v>
      </c>
      <c r="G6" s="1429" t="s">
        <v>586</v>
      </c>
      <c r="H6" s="1430" t="s">
        <v>586</v>
      </c>
      <c r="I6" s="1429" t="s">
        <v>586</v>
      </c>
    </row>
    <row r="7" spans="1:10">
      <c r="A7" s="1433"/>
      <c r="C7" s="1433"/>
      <c r="E7" s="1434" t="s">
        <v>1608</v>
      </c>
      <c r="G7" s="1435"/>
      <c r="H7" s="1436"/>
      <c r="I7" s="1435"/>
    </row>
    <row r="8" spans="1:10">
      <c r="A8" s="1433">
        <v>40269817</v>
      </c>
      <c r="B8" s="1013">
        <v>20134909</v>
      </c>
      <c r="C8" s="1433">
        <f t="shared" ref="C8:C21" si="0">+A8-B8</f>
        <v>20134908</v>
      </c>
      <c r="E8" s="1437" t="s">
        <v>1609</v>
      </c>
      <c r="F8" s="1438">
        <v>701702712713</v>
      </c>
      <c r="G8" s="1433">
        <v>56896396</v>
      </c>
      <c r="H8" s="1439">
        <f>G8*J8</f>
        <v>0</v>
      </c>
      <c r="I8" s="1440">
        <f>G8-H8</f>
        <v>56896396</v>
      </c>
      <c r="J8" s="1441"/>
    </row>
    <row r="9" spans="1:10">
      <c r="A9" s="1433">
        <v>56408003</v>
      </c>
      <c r="B9" s="1013">
        <v>28204001</v>
      </c>
      <c r="C9" s="1433">
        <f t="shared" si="0"/>
        <v>28204002</v>
      </c>
      <c r="E9" s="1437" t="s">
        <v>1610</v>
      </c>
      <c r="F9" s="1442" t="s">
        <v>1611</v>
      </c>
      <c r="G9" s="1433">
        <v>72639150</v>
      </c>
      <c r="H9" s="1439">
        <f t="shared" ref="H9:H20" si="1">G9*J9</f>
        <v>0</v>
      </c>
      <c r="I9" s="1440">
        <f t="shared" ref="I9:I21" si="2">G9-H9</f>
        <v>72639150</v>
      </c>
      <c r="J9" s="1441"/>
    </row>
    <row r="10" spans="1:10">
      <c r="A10" s="1433">
        <v>5994044</v>
      </c>
      <c r="B10" s="1013">
        <v>2997022</v>
      </c>
      <c r="C10" s="1433">
        <f t="shared" si="0"/>
        <v>2997022</v>
      </c>
      <c r="E10" s="1437" t="s">
        <v>1612</v>
      </c>
      <c r="F10" s="1443">
        <v>717</v>
      </c>
      <c r="G10" s="1433">
        <v>5927312</v>
      </c>
      <c r="H10" s="1439">
        <f t="shared" si="1"/>
        <v>0</v>
      </c>
      <c r="I10" s="1440">
        <f t="shared" si="2"/>
        <v>5927312</v>
      </c>
      <c r="J10" s="1441"/>
    </row>
    <row r="11" spans="1:10">
      <c r="A11" s="1433">
        <v>13878314</v>
      </c>
      <c r="B11" s="1013">
        <v>6939157</v>
      </c>
      <c r="C11" s="1433">
        <f t="shared" si="0"/>
        <v>6939157</v>
      </c>
      <c r="E11" s="1437" t="s">
        <v>1613</v>
      </c>
      <c r="F11" s="1443">
        <v>718</v>
      </c>
      <c r="G11" s="1433">
        <v>15973334</v>
      </c>
      <c r="H11" s="1439">
        <f t="shared" si="1"/>
        <v>0</v>
      </c>
      <c r="I11" s="1440">
        <f t="shared" si="2"/>
        <v>15973334</v>
      </c>
      <c r="J11" s="1441"/>
    </row>
    <row r="12" spans="1:10">
      <c r="A12" s="1433">
        <v>56065863</v>
      </c>
      <c r="B12" s="1013">
        <v>28032932</v>
      </c>
      <c r="C12" s="1433">
        <f t="shared" si="0"/>
        <v>28032931</v>
      </c>
      <c r="E12" s="1437" t="s">
        <v>1614</v>
      </c>
      <c r="F12" s="1443">
        <v>705</v>
      </c>
      <c r="G12" s="1433">
        <v>70678207</v>
      </c>
      <c r="H12" s="1439">
        <f t="shared" si="1"/>
        <v>0</v>
      </c>
      <c r="I12" s="1440">
        <f t="shared" si="2"/>
        <v>70678207</v>
      </c>
      <c r="J12" s="1441"/>
    </row>
    <row r="13" spans="1:10">
      <c r="A13" s="1433">
        <v>37290212</v>
      </c>
      <c r="B13" s="1013">
        <v>18645106</v>
      </c>
      <c r="C13" s="1433">
        <f t="shared" si="0"/>
        <v>18645106</v>
      </c>
      <c r="E13" s="1437" t="s">
        <v>1615</v>
      </c>
      <c r="F13" s="1443">
        <v>709</v>
      </c>
      <c r="G13" s="1433">
        <v>45462410</v>
      </c>
      <c r="H13" s="1439">
        <f t="shared" si="1"/>
        <v>0</v>
      </c>
      <c r="I13" s="1440">
        <f t="shared" si="2"/>
        <v>45462410</v>
      </c>
      <c r="J13" s="1441"/>
    </row>
    <row r="14" spans="1:10">
      <c r="A14" s="1433">
        <v>283112002</v>
      </c>
      <c r="B14" s="1013">
        <v>101920321</v>
      </c>
      <c r="C14" s="1433">
        <f t="shared" si="0"/>
        <v>181191681</v>
      </c>
      <c r="E14" s="1437" t="s">
        <v>1616</v>
      </c>
      <c r="F14" s="1442" t="s">
        <v>1617</v>
      </c>
      <c r="G14" s="1433">
        <v>351999705</v>
      </c>
      <c r="H14" s="1439">
        <f t="shared" si="1"/>
        <v>0</v>
      </c>
      <c r="I14" s="1440">
        <f t="shared" si="2"/>
        <v>351999705</v>
      </c>
      <c r="J14" s="1441"/>
    </row>
    <row r="15" spans="1:10">
      <c r="A15" s="1433">
        <v>68262260</v>
      </c>
      <c r="B15" s="1013">
        <v>30718017</v>
      </c>
      <c r="C15" s="1433">
        <f t="shared" si="0"/>
        <v>37544243</v>
      </c>
      <c r="E15" s="1437" t="s">
        <v>1618</v>
      </c>
      <c r="F15" s="1442" t="s">
        <v>1619</v>
      </c>
      <c r="G15" s="1433">
        <v>68381598</v>
      </c>
      <c r="H15" s="1439">
        <f t="shared" si="1"/>
        <v>0</v>
      </c>
      <c r="I15" s="1440">
        <f t="shared" si="2"/>
        <v>68381598</v>
      </c>
      <c r="J15" s="1441"/>
    </row>
    <row r="16" spans="1:10">
      <c r="A16" s="1433">
        <v>66979791</v>
      </c>
      <c r="B16" s="1013">
        <v>14735554</v>
      </c>
      <c r="C16" s="1433">
        <f t="shared" si="0"/>
        <v>52244237</v>
      </c>
      <c r="E16" s="1437" t="s">
        <v>1620</v>
      </c>
      <c r="F16" s="1443">
        <v>715</v>
      </c>
      <c r="G16" s="1433">
        <v>81514748</v>
      </c>
      <c r="H16" s="1439">
        <f t="shared" si="1"/>
        <v>0</v>
      </c>
      <c r="I16" s="1440">
        <f t="shared" si="2"/>
        <v>81514748</v>
      </c>
      <c r="J16" s="1441"/>
    </row>
    <row r="17" spans="1:10">
      <c r="A17" s="1433">
        <v>19334350</v>
      </c>
      <c r="B17" s="1013">
        <v>4253557</v>
      </c>
      <c r="C17" s="1433">
        <f t="shared" si="0"/>
        <v>15080793</v>
      </c>
      <c r="E17" s="1437" t="s">
        <v>1621</v>
      </c>
      <c r="F17" s="1443">
        <v>708</v>
      </c>
      <c r="G17" s="1433">
        <v>19686848</v>
      </c>
      <c r="H17" s="1439">
        <f t="shared" si="1"/>
        <v>0</v>
      </c>
      <c r="I17" s="1440">
        <f t="shared" si="2"/>
        <v>19686848</v>
      </c>
      <c r="J17" s="1441"/>
    </row>
    <row r="18" spans="1:10">
      <c r="A18" s="1433">
        <v>25658084</v>
      </c>
      <c r="B18" s="1013">
        <v>5644778</v>
      </c>
      <c r="C18" s="1433">
        <f t="shared" si="0"/>
        <v>20013306</v>
      </c>
      <c r="E18" s="1437" t="s">
        <v>1622</v>
      </c>
      <c r="F18" s="1443">
        <v>734</v>
      </c>
      <c r="G18" s="1433">
        <v>31566685</v>
      </c>
      <c r="H18" s="1439">
        <f t="shared" si="1"/>
        <v>0</v>
      </c>
      <c r="I18" s="1440">
        <f t="shared" si="2"/>
        <v>31566685</v>
      </c>
      <c r="J18" s="1441"/>
    </row>
    <row r="19" spans="1:10">
      <c r="A19" s="1433">
        <v>71876261</v>
      </c>
      <c r="B19" s="1013">
        <v>15812777</v>
      </c>
      <c r="C19" s="1433">
        <f t="shared" si="0"/>
        <v>56063484</v>
      </c>
      <c r="E19" s="1437" t="s">
        <v>1623</v>
      </c>
      <c r="F19" s="1443">
        <v>707</v>
      </c>
      <c r="G19" s="1433">
        <v>92111229</v>
      </c>
      <c r="H19" s="1439">
        <f t="shared" si="1"/>
        <v>0</v>
      </c>
      <c r="I19" s="1440">
        <f t="shared" si="2"/>
        <v>92111229</v>
      </c>
      <c r="J19" s="1441"/>
    </row>
    <row r="20" spans="1:10">
      <c r="A20" s="1433">
        <v>59406521</v>
      </c>
      <c r="B20" s="1013">
        <v>35643913</v>
      </c>
      <c r="C20" s="1433">
        <f t="shared" si="0"/>
        <v>23762608</v>
      </c>
      <c r="E20" s="1437" t="s">
        <v>1624</v>
      </c>
      <c r="F20" s="1443">
        <v>706</v>
      </c>
      <c r="G20" s="1433">
        <v>76233956</v>
      </c>
      <c r="H20" s="1439">
        <f t="shared" si="1"/>
        <v>0</v>
      </c>
      <c r="I20" s="1440">
        <f t="shared" si="2"/>
        <v>76233956</v>
      </c>
      <c r="J20" s="1441"/>
    </row>
    <row r="21" spans="1:10">
      <c r="A21" s="1433">
        <v>0</v>
      </c>
      <c r="B21" s="1013">
        <v>0</v>
      </c>
      <c r="C21" s="1433">
        <f t="shared" si="0"/>
        <v>0</v>
      </c>
      <c r="E21" s="1437" t="s">
        <v>1096</v>
      </c>
      <c r="F21" s="1443">
        <v>700</v>
      </c>
      <c r="G21" s="1433">
        <v>0</v>
      </c>
      <c r="H21" s="1439">
        <v>0</v>
      </c>
      <c r="I21" s="1440">
        <f t="shared" si="2"/>
        <v>0</v>
      </c>
      <c r="J21" s="1441"/>
    </row>
    <row r="22" spans="1:10">
      <c r="A22" s="1433"/>
      <c r="C22" s="1433"/>
      <c r="E22" s="1437"/>
      <c r="F22" s="1443"/>
      <c r="G22" s="1444"/>
      <c r="H22" s="1431"/>
      <c r="I22" s="1444"/>
      <c r="J22" s="1441"/>
    </row>
    <row r="23" spans="1:10">
      <c r="A23" s="1022">
        <f>SUM(A8:A21)</f>
        <v>804535522</v>
      </c>
      <c r="B23" s="1445">
        <f>SUM(B8:B21)</f>
        <v>313682044</v>
      </c>
      <c r="C23" s="1022">
        <f>SUM(C8:C21)</f>
        <v>490853478</v>
      </c>
      <c r="D23" s="1446"/>
      <c r="E23" s="1447" t="s">
        <v>1625</v>
      </c>
      <c r="F23" s="1445"/>
      <c r="G23" s="1022">
        <f>SUM(G8:G21)</f>
        <v>989071578</v>
      </c>
      <c r="H23" s="1448">
        <f>SUM(H8:H21)</f>
        <v>0</v>
      </c>
      <c r="I23" s="1449">
        <f>SUM(I8:I21)</f>
        <v>989071578</v>
      </c>
      <c r="J23" s="1441"/>
    </row>
    <row r="24" spans="1:10">
      <c r="A24" s="1433"/>
      <c r="C24" s="1433"/>
      <c r="E24" s="1450"/>
      <c r="G24" s="1450"/>
      <c r="H24" s="1437"/>
      <c r="I24" s="1450"/>
      <c r="J24" s="1441"/>
    </row>
    <row r="25" spans="1:10">
      <c r="A25" s="1433"/>
      <c r="C25" s="1433"/>
      <c r="E25" s="1451" t="s">
        <v>1626</v>
      </c>
      <c r="G25" s="1437"/>
      <c r="H25" s="1437"/>
      <c r="I25" s="1437"/>
    </row>
    <row r="26" spans="1:10">
      <c r="A26" s="1433">
        <v>5963984</v>
      </c>
      <c r="B26" s="1013">
        <v>2981992</v>
      </c>
      <c r="C26" s="1433">
        <f>+A26-B26</f>
        <v>2981992</v>
      </c>
      <c r="E26" s="1437" t="s">
        <v>1609</v>
      </c>
      <c r="F26" s="1438">
        <v>701702712713</v>
      </c>
      <c r="G26" s="1437">
        <v>3697044</v>
      </c>
      <c r="H26" s="1439">
        <f t="shared" ref="H26:H38" si="3">G26*J26</f>
        <v>0</v>
      </c>
      <c r="I26" s="1440">
        <f t="shared" ref="I26:I39" si="4">G26-H26</f>
        <v>3697044</v>
      </c>
      <c r="J26" s="1441"/>
    </row>
    <row r="27" spans="1:10">
      <c r="A27" s="1433">
        <v>1559906</v>
      </c>
      <c r="B27" s="1013">
        <v>779953</v>
      </c>
      <c r="C27" s="1433">
        <f t="shared" ref="C27:C38" si="5">+A27-B27</f>
        <v>779953</v>
      </c>
      <c r="E27" s="1437" t="s">
        <v>1610</v>
      </c>
      <c r="F27" s="1442" t="s">
        <v>1611</v>
      </c>
      <c r="G27" s="1437">
        <v>3028985</v>
      </c>
      <c r="H27" s="1439">
        <f t="shared" si="3"/>
        <v>0</v>
      </c>
      <c r="I27" s="1440">
        <f t="shared" si="4"/>
        <v>3028985</v>
      </c>
      <c r="J27" s="1441"/>
    </row>
    <row r="28" spans="1:10">
      <c r="A28" s="1433">
        <v>861955</v>
      </c>
      <c r="B28" s="1013">
        <v>430977</v>
      </c>
      <c r="C28" s="1433">
        <f t="shared" si="5"/>
        <v>430978</v>
      </c>
      <c r="E28" s="1437" t="s">
        <v>1612</v>
      </c>
      <c r="F28" s="1443">
        <v>717</v>
      </c>
      <c r="G28" s="1437">
        <v>939104</v>
      </c>
      <c r="H28" s="1439">
        <f t="shared" si="3"/>
        <v>0</v>
      </c>
      <c r="I28" s="1440">
        <f t="shared" si="4"/>
        <v>939104</v>
      </c>
      <c r="J28" s="1441"/>
    </row>
    <row r="29" spans="1:10">
      <c r="A29" s="1433">
        <v>1836651</v>
      </c>
      <c r="B29" s="1013">
        <v>918325</v>
      </c>
      <c r="C29" s="1433">
        <f t="shared" si="5"/>
        <v>918326</v>
      </c>
      <c r="E29" s="1437" t="s">
        <v>1613</v>
      </c>
      <c r="F29" s="1443">
        <v>718</v>
      </c>
      <c r="G29" s="1437">
        <v>1761528</v>
      </c>
      <c r="H29" s="1439">
        <f t="shared" si="3"/>
        <v>0</v>
      </c>
      <c r="I29" s="1440">
        <f t="shared" si="4"/>
        <v>1761528</v>
      </c>
      <c r="J29" s="1441"/>
    </row>
    <row r="30" spans="1:10">
      <c r="A30" s="1433">
        <v>254321</v>
      </c>
      <c r="B30" s="1013">
        <v>127160</v>
      </c>
      <c r="C30" s="1433">
        <f t="shared" si="5"/>
        <v>127161</v>
      </c>
      <c r="E30" s="1437" t="s">
        <v>1614</v>
      </c>
      <c r="F30" s="1443">
        <v>705</v>
      </c>
      <c r="G30" s="1437">
        <v>325557</v>
      </c>
      <c r="H30" s="1439">
        <f t="shared" si="3"/>
        <v>0</v>
      </c>
      <c r="I30" s="1440">
        <f t="shared" si="4"/>
        <v>325557</v>
      </c>
      <c r="J30" s="1441"/>
    </row>
    <row r="31" spans="1:10">
      <c r="A31" s="1433">
        <v>1076261</v>
      </c>
      <c r="B31" s="1013">
        <v>538131</v>
      </c>
      <c r="C31" s="1433">
        <f t="shared" si="5"/>
        <v>538130</v>
      </c>
      <c r="E31" s="1437" t="s">
        <v>1615</v>
      </c>
      <c r="F31" s="1443">
        <v>709</v>
      </c>
      <c r="G31" s="1437">
        <v>2708908</v>
      </c>
      <c r="H31" s="1439">
        <f t="shared" si="3"/>
        <v>0</v>
      </c>
      <c r="I31" s="1440">
        <f t="shared" si="4"/>
        <v>2708908</v>
      </c>
      <c r="J31" s="1441"/>
    </row>
    <row r="32" spans="1:10">
      <c r="A32" s="1433">
        <v>2971693</v>
      </c>
      <c r="B32" s="1013">
        <v>1069810</v>
      </c>
      <c r="C32" s="1433">
        <f t="shared" si="5"/>
        <v>1901883</v>
      </c>
      <c r="E32" s="1437" t="s">
        <v>1616</v>
      </c>
      <c r="F32" s="1442" t="s">
        <v>1617</v>
      </c>
      <c r="G32" s="1437">
        <v>3861746</v>
      </c>
      <c r="H32" s="1439">
        <f t="shared" si="3"/>
        <v>0</v>
      </c>
      <c r="I32" s="1440">
        <f t="shared" si="4"/>
        <v>3861746</v>
      </c>
      <c r="J32" s="1441"/>
    </row>
    <row r="33" spans="1:10">
      <c r="A33" s="1433">
        <v>2677198</v>
      </c>
      <c r="B33" s="1013">
        <v>1204739</v>
      </c>
      <c r="C33" s="1433">
        <f t="shared" si="5"/>
        <v>1472459</v>
      </c>
      <c r="E33" s="1437" t="s">
        <v>1618</v>
      </c>
      <c r="F33" s="1442" t="s">
        <v>1619</v>
      </c>
      <c r="G33" s="1437">
        <v>3350362</v>
      </c>
      <c r="H33" s="1439">
        <f t="shared" si="3"/>
        <v>0</v>
      </c>
      <c r="I33" s="1440">
        <f t="shared" si="4"/>
        <v>3350362</v>
      </c>
      <c r="J33" s="1441"/>
    </row>
    <row r="34" spans="1:10">
      <c r="A34" s="1433">
        <v>313577</v>
      </c>
      <c r="B34" s="1013">
        <v>68987</v>
      </c>
      <c r="C34" s="1433">
        <f t="shared" si="5"/>
        <v>244590</v>
      </c>
      <c r="E34" s="1437" t="s">
        <v>1620</v>
      </c>
      <c r="F34" s="1443">
        <v>715</v>
      </c>
      <c r="G34" s="1437">
        <v>359695</v>
      </c>
      <c r="H34" s="1439">
        <f t="shared" si="3"/>
        <v>0</v>
      </c>
      <c r="I34" s="1440">
        <f t="shared" si="4"/>
        <v>359695</v>
      </c>
      <c r="J34" s="1441"/>
    </row>
    <row r="35" spans="1:10">
      <c r="A35" s="1433">
        <v>2065691</v>
      </c>
      <c r="B35" s="1013">
        <v>454452</v>
      </c>
      <c r="C35" s="1433">
        <f t="shared" si="5"/>
        <v>1611239</v>
      </c>
      <c r="E35" s="1437" t="s">
        <v>1621</v>
      </c>
      <c r="F35" s="1443">
        <v>708</v>
      </c>
      <c r="G35" s="1437">
        <v>1940449</v>
      </c>
      <c r="H35" s="1439">
        <f t="shared" si="3"/>
        <v>0</v>
      </c>
      <c r="I35" s="1440">
        <f t="shared" si="4"/>
        <v>1940449</v>
      </c>
      <c r="J35" s="1441"/>
    </row>
    <row r="36" spans="1:10">
      <c r="A36" s="1433">
        <v>1982748</v>
      </c>
      <c r="B36" s="1013">
        <v>436205</v>
      </c>
      <c r="C36" s="1433">
        <f t="shared" si="5"/>
        <v>1546543</v>
      </c>
      <c r="E36" s="1437" t="s">
        <v>1622</v>
      </c>
      <c r="F36" s="1443">
        <v>734</v>
      </c>
      <c r="G36" s="1437">
        <v>1835354</v>
      </c>
      <c r="H36" s="1439">
        <f t="shared" si="3"/>
        <v>0</v>
      </c>
      <c r="I36" s="1440">
        <f t="shared" si="4"/>
        <v>1835354</v>
      </c>
      <c r="J36" s="1441"/>
    </row>
    <row r="37" spans="1:10">
      <c r="A37" s="1433">
        <v>716418</v>
      </c>
      <c r="B37" s="1013">
        <v>157612</v>
      </c>
      <c r="C37" s="1433">
        <f t="shared" si="5"/>
        <v>558806</v>
      </c>
      <c r="E37" s="1437" t="s">
        <v>1623</v>
      </c>
      <c r="F37" s="1443">
        <v>707</v>
      </c>
      <c r="G37" s="1437">
        <v>1426900</v>
      </c>
      <c r="H37" s="1439">
        <f t="shared" si="3"/>
        <v>0</v>
      </c>
      <c r="I37" s="1440">
        <f t="shared" si="4"/>
        <v>1426900</v>
      </c>
      <c r="J37" s="1441"/>
    </row>
    <row r="38" spans="1:10">
      <c r="A38" s="1433">
        <v>5699887</v>
      </c>
      <c r="B38" s="1013">
        <v>3419932</v>
      </c>
      <c r="C38" s="1433">
        <f t="shared" si="5"/>
        <v>2279955</v>
      </c>
      <c r="E38" s="1437" t="s">
        <v>1624</v>
      </c>
      <c r="F38" s="1443">
        <v>706</v>
      </c>
      <c r="G38" s="1437">
        <v>3818638</v>
      </c>
      <c r="H38" s="1439">
        <f t="shared" si="3"/>
        <v>0</v>
      </c>
      <c r="I38" s="1440">
        <f t="shared" si="4"/>
        <v>3818638</v>
      </c>
      <c r="J38" s="1441"/>
    </row>
    <row r="39" spans="1:10">
      <c r="A39" s="1433">
        <v>100904221</v>
      </c>
      <c r="B39" s="1013">
        <v>51316077</v>
      </c>
      <c r="C39" s="1433">
        <f>+A39-B39</f>
        <v>49588144</v>
      </c>
      <c r="E39" s="1437" t="s">
        <v>1096</v>
      </c>
      <c r="F39" s="1443">
        <v>700</v>
      </c>
      <c r="G39" s="1452">
        <v>88795107</v>
      </c>
      <c r="H39" s="1439">
        <v>45281759</v>
      </c>
      <c r="I39" s="1440">
        <f t="shared" si="4"/>
        <v>43513348</v>
      </c>
      <c r="J39" s="1441"/>
    </row>
    <row r="40" spans="1:10">
      <c r="A40" s="1433" t="s">
        <v>94</v>
      </c>
      <c r="C40" s="1433"/>
      <c r="E40" s="1453"/>
      <c r="F40" s="1431"/>
      <c r="G40" s="1453"/>
      <c r="H40" s="1454"/>
      <c r="I40" s="1453"/>
    </row>
    <row r="41" spans="1:10">
      <c r="A41" s="1022">
        <f>SUM(A26:A39)</f>
        <v>128884511</v>
      </c>
      <c r="B41" s="1445">
        <f>SUM(B26:B39)</f>
        <v>63904352</v>
      </c>
      <c r="C41" s="1022">
        <f>SUM(C26:C39)</f>
        <v>64980159</v>
      </c>
      <c r="D41" s="1446"/>
      <c r="E41" s="1455" t="s">
        <v>1627</v>
      </c>
      <c r="F41" s="1432"/>
      <c r="G41" s="1449">
        <f>SUM(G26:G39)</f>
        <v>117849377</v>
      </c>
      <c r="H41" s="1449">
        <f>SUM(H26:H39)</f>
        <v>45281759</v>
      </c>
      <c r="I41" s="1449">
        <f>SUM(I26:I39)</f>
        <v>72567618</v>
      </c>
      <c r="J41" s="1427"/>
    </row>
    <row r="42" spans="1:10">
      <c r="A42" s="1456"/>
      <c r="B42" s="1457"/>
      <c r="C42" s="1457"/>
      <c r="D42" s="1436"/>
      <c r="E42" s="1457"/>
      <c r="F42" s="1457"/>
      <c r="G42" s="1457" t="s">
        <v>94</v>
      </c>
      <c r="H42" s="1457"/>
      <c r="I42" s="1457"/>
      <c r="J42" s="1427"/>
    </row>
    <row r="43" spans="1:10">
      <c r="B43" s="1456"/>
      <c r="C43" s="1456"/>
      <c r="D43" s="1458"/>
      <c r="E43" s="1456"/>
      <c r="F43" s="1456"/>
      <c r="G43" s="1456"/>
      <c r="H43" s="1456"/>
      <c r="I43" s="1459" t="s">
        <v>1628</v>
      </c>
      <c r="J43" s="1427"/>
    </row>
    <row r="44" spans="1:10">
      <c r="A44" s="1456"/>
      <c r="B44" s="1456"/>
      <c r="C44" s="1456"/>
      <c r="D44" s="1458"/>
      <c r="E44" s="1456"/>
      <c r="F44" s="1456"/>
      <c r="G44" s="1456"/>
      <c r="H44" s="1456"/>
      <c r="I44" s="1456"/>
      <c r="J44" s="1427"/>
    </row>
    <row r="45" spans="1:10">
      <c r="B45" s="1456"/>
      <c r="C45" s="1456"/>
      <c r="D45" s="1458"/>
      <c r="E45" s="1460"/>
      <c r="F45" s="1456"/>
      <c r="G45" s="1456"/>
      <c r="H45" s="6304" t="s">
        <v>1629</v>
      </c>
      <c r="I45" s="6304"/>
      <c r="J45" s="1427"/>
    </row>
    <row r="46" spans="1:10">
      <c r="B46" s="1456"/>
      <c r="C46" s="1456"/>
      <c r="D46" s="1458"/>
      <c r="E46" s="1460"/>
      <c r="F46" s="1456"/>
      <c r="G46" s="1456"/>
      <c r="H46" s="1424"/>
      <c r="I46" s="1424"/>
      <c r="J46" s="1427"/>
    </row>
    <row r="47" spans="1:10">
      <c r="A47" s="1381" t="s">
        <v>1022</v>
      </c>
      <c r="B47" s="1473" t="s">
        <v>1607</v>
      </c>
      <c r="C47" s="1381" t="s">
        <v>869</v>
      </c>
      <c r="D47" s="1436" t="s">
        <v>94</v>
      </c>
      <c r="E47" s="1477" t="str">
        <f>+E4</f>
        <v>PARTICULARS</v>
      </c>
      <c r="F47" s="1436"/>
      <c r="G47" s="1381" t="s">
        <v>1022</v>
      </c>
      <c r="H47" s="1473" t="s">
        <v>1607</v>
      </c>
      <c r="I47" s="1381" t="s">
        <v>869</v>
      </c>
    </row>
    <row r="48" spans="1:10">
      <c r="A48" s="1475" t="s">
        <v>380</v>
      </c>
      <c r="B48" s="1475" t="s">
        <v>380</v>
      </c>
      <c r="C48" s="1475" t="s">
        <v>380</v>
      </c>
      <c r="D48" s="1476"/>
      <c r="E48" s="1476"/>
      <c r="F48" s="1476"/>
      <c r="G48" s="1475" t="s">
        <v>557</v>
      </c>
      <c r="H48" s="1475" t="s">
        <v>557</v>
      </c>
      <c r="I48" s="1475" t="s">
        <v>557</v>
      </c>
    </row>
    <row r="49" spans="1:10">
      <c r="A49" s="1429" t="s">
        <v>586</v>
      </c>
      <c r="B49" s="1430" t="s">
        <v>586</v>
      </c>
      <c r="C49" s="1429" t="s">
        <v>586</v>
      </c>
      <c r="D49" s="1431"/>
      <c r="E49" s="1432" t="s">
        <v>94</v>
      </c>
      <c r="F49" s="1431" t="s">
        <v>94</v>
      </c>
      <c r="G49" s="1429" t="s">
        <v>586</v>
      </c>
      <c r="H49" s="1430" t="s">
        <v>586</v>
      </c>
      <c r="I49" s="1429" t="s">
        <v>586</v>
      </c>
    </row>
    <row r="50" spans="1:10">
      <c r="A50" s="1433"/>
      <c r="C50" s="1433"/>
      <c r="D50" s="1427"/>
      <c r="E50" s="1461" t="s">
        <v>1630</v>
      </c>
      <c r="G50" s="1435"/>
      <c r="I50" s="1433"/>
    </row>
    <row r="51" spans="1:10">
      <c r="A51" s="1433">
        <v>867485</v>
      </c>
      <c r="B51" s="1013">
        <v>433742</v>
      </c>
      <c r="C51" s="1433">
        <f>+A51-B51</f>
        <v>433743</v>
      </c>
      <c r="E51" s="1437" t="s">
        <v>1609</v>
      </c>
      <c r="F51" s="1438">
        <v>701702712713</v>
      </c>
      <c r="G51" s="1437">
        <v>1017185</v>
      </c>
      <c r="H51" s="1439">
        <f>G51*J51</f>
        <v>0</v>
      </c>
      <c r="I51" s="1440">
        <f>G51-H51</f>
        <v>1017185</v>
      </c>
      <c r="J51" s="1441"/>
    </row>
    <row r="52" spans="1:10">
      <c r="A52" s="1433">
        <v>440558</v>
      </c>
      <c r="B52" s="1013">
        <v>220279</v>
      </c>
      <c r="C52" s="1433">
        <f t="shared" ref="C52:C64" si="6">+A52-B52</f>
        <v>220279</v>
      </c>
      <c r="E52" s="1437" t="s">
        <v>1610</v>
      </c>
      <c r="F52" s="1442" t="s">
        <v>1611</v>
      </c>
      <c r="G52" s="1437">
        <v>427474</v>
      </c>
      <c r="H52" s="1439">
        <f t="shared" ref="H52:H64" si="7">G52*J52</f>
        <v>0</v>
      </c>
      <c r="I52" s="1440">
        <f t="shared" ref="I52:I64" si="8">G52-H52</f>
        <v>427474</v>
      </c>
      <c r="J52" s="1441"/>
    </row>
    <row r="53" spans="1:10">
      <c r="A53" s="1433">
        <v>0</v>
      </c>
      <c r="B53" s="1013">
        <v>0</v>
      </c>
      <c r="C53" s="1433">
        <f t="shared" si="6"/>
        <v>0</v>
      </c>
      <c r="E53" s="1437" t="s">
        <v>1612</v>
      </c>
      <c r="F53" s="1443">
        <v>717</v>
      </c>
      <c r="G53" s="1437">
        <v>0</v>
      </c>
      <c r="H53" s="1439">
        <f t="shared" si="7"/>
        <v>0</v>
      </c>
      <c r="I53" s="1440">
        <f t="shared" si="8"/>
        <v>0</v>
      </c>
      <c r="J53" s="1441"/>
    </row>
    <row r="54" spans="1:10">
      <c r="A54" s="1433">
        <v>55054</v>
      </c>
      <c r="B54" s="1013">
        <v>27527</v>
      </c>
      <c r="C54" s="1433">
        <f t="shared" si="6"/>
        <v>27527</v>
      </c>
      <c r="E54" s="1437" t="s">
        <v>1613</v>
      </c>
      <c r="F54" s="1443">
        <v>718</v>
      </c>
      <c r="G54" s="1437">
        <v>59436</v>
      </c>
      <c r="H54" s="1439">
        <f t="shared" si="7"/>
        <v>0</v>
      </c>
      <c r="I54" s="1440">
        <f t="shared" si="8"/>
        <v>59436</v>
      </c>
      <c r="J54" s="1441"/>
    </row>
    <row r="55" spans="1:10">
      <c r="A55" s="1433">
        <v>262895</v>
      </c>
      <c r="B55" s="1013">
        <v>131447</v>
      </c>
      <c r="C55" s="1433">
        <f t="shared" si="6"/>
        <v>131448</v>
      </c>
      <c r="E55" s="1437" t="s">
        <v>1614</v>
      </c>
      <c r="F55" s="1443">
        <v>705</v>
      </c>
      <c r="G55" s="1437">
        <v>201756</v>
      </c>
      <c r="H55" s="1439">
        <f t="shared" si="7"/>
        <v>0</v>
      </c>
      <c r="I55" s="1440">
        <f t="shared" si="8"/>
        <v>201756</v>
      </c>
      <c r="J55" s="1441"/>
    </row>
    <row r="56" spans="1:10">
      <c r="A56" s="1433">
        <v>767087</v>
      </c>
      <c r="B56" s="1013">
        <v>383544</v>
      </c>
      <c r="C56" s="1433">
        <f t="shared" si="6"/>
        <v>383543</v>
      </c>
      <c r="E56" s="1437" t="s">
        <v>1615</v>
      </c>
      <c r="F56" s="1443">
        <v>709</v>
      </c>
      <c r="G56" s="1437">
        <v>736774</v>
      </c>
      <c r="H56" s="1439">
        <f t="shared" si="7"/>
        <v>0</v>
      </c>
      <c r="I56" s="1440">
        <f t="shared" si="8"/>
        <v>736774</v>
      </c>
      <c r="J56" s="1441"/>
    </row>
    <row r="57" spans="1:10">
      <c r="A57" s="1433">
        <v>873804</v>
      </c>
      <c r="B57" s="1013">
        <v>314569</v>
      </c>
      <c r="C57" s="1433">
        <f t="shared" si="6"/>
        <v>559235</v>
      </c>
      <c r="E57" s="1437" t="s">
        <v>1616</v>
      </c>
      <c r="F57" s="1442" t="s">
        <v>1617</v>
      </c>
      <c r="G57" s="1437">
        <v>359506</v>
      </c>
      <c r="H57" s="1439">
        <f t="shared" si="7"/>
        <v>0</v>
      </c>
      <c r="I57" s="1440">
        <f t="shared" si="8"/>
        <v>359506</v>
      </c>
      <c r="J57" s="1441"/>
    </row>
    <row r="58" spans="1:10">
      <c r="A58" s="1433">
        <v>35785531</v>
      </c>
      <c r="B58" s="1013">
        <v>16103489</v>
      </c>
      <c r="C58" s="1433">
        <f t="shared" si="6"/>
        <v>19682042</v>
      </c>
      <c r="E58" s="1437" t="s">
        <v>1618</v>
      </c>
      <c r="F58" s="1442" t="s">
        <v>1619</v>
      </c>
      <c r="G58" s="1437">
        <v>42706395</v>
      </c>
      <c r="H58" s="1439">
        <f t="shared" si="7"/>
        <v>0</v>
      </c>
      <c r="I58" s="1440">
        <f t="shared" si="8"/>
        <v>42706395</v>
      </c>
      <c r="J58" s="1441"/>
    </row>
    <row r="59" spans="1:10">
      <c r="A59" s="1433">
        <v>112612</v>
      </c>
      <c r="B59" s="1013">
        <v>24775</v>
      </c>
      <c r="C59" s="1433">
        <f t="shared" si="6"/>
        <v>87837</v>
      </c>
      <c r="E59" s="1437" t="s">
        <v>1620</v>
      </c>
      <c r="F59" s="1443">
        <v>715</v>
      </c>
      <c r="G59" s="1437">
        <v>124741</v>
      </c>
      <c r="H59" s="1439">
        <f t="shared" si="7"/>
        <v>0</v>
      </c>
      <c r="I59" s="1440">
        <f t="shared" si="8"/>
        <v>124741</v>
      </c>
      <c r="J59" s="1441"/>
    </row>
    <row r="60" spans="1:10">
      <c r="A60" s="1433">
        <v>147232</v>
      </c>
      <c r="B60" s="1013">
        <v>32391</v>
      </c>
      <c r="C60" s="1433">
        <f t="shared" si="6"/>
        <v>114841</v>
      </c>
      <c r="E60" s="1437" t="s">
        <v>1621</v>
      </c>
      <c r="F60" s="1443">
        <v>708</v>
      </c>
      <c r="G60" s="1437">
        <v>117471</v>
      </c>
      <c r="H60" s="1439">
        <f t="shared" si="7"/>
        <v>0</v>
      </c>
      <c r="I60" s="1440">
        <f t="shared" si="8"/>
        <v>117471</v>
      </c>
      <c r="J60" s="1441"/>
    </row>
    <row r="61" spans="1:10">
      <c r="A61" s="1433">
        <v>3473130</v>
      </c>
      <c r="B61" s="1013">
        <v>764089</v>
      </c>
      <c r="C61" s="1433">
        <f t="shared" si="6"/>
        <v>2709041</v>
      </c>
      <c r="E61" s="1437" t="s">
        <v>1622</v>
      </c>
      <c r="F61" s="1443">
        <v>734</v>
      </c>
      <c r="G61" s="1437">
        <v>4053671</v>
      </c>
      <c r="H61" s="1439">
        <f t="shared" si="7"/>
        <v>0</v>
      </c>
      <c r="I61" s="1440">
        <f t="shared" si="8"/>
        <v>4053671</v>
      </c>
      <c r="J61" s="1441"/>
    </row>
    <row r="62" spans="1:10">
      <c r="A62" s="1433">
        <v>190414</v>
      </c>
      <c r="B62" s="1013">
        <v>41891</v>
      </c>
      <c r="C62" s="1433">
        <f t="shared" si="6"/>
        <v>148523</v>
      </c>
      <c r="E62" s="1437" t="s">
        <v>1623</v>
      </c>
      <c r="F62" s="1443">
        <v>707</v>
      </c>
      <c r="G62" s="1437">
        <v>447191</v>
      </c>
      <c r="H62" s="1439">
        <f t="shared" si="7"/>
        <v>0</v>
      </c>
      <c r="I62" s="1440">
        <f t="shared" si="8"/>
        <v>447191</v>
      </c>
      <c r="J62" s="1441"/>
    </row>
    <row r="63" spans="1:10">
      <c r="A63" s="1433">
        <v>1709781</v>
      </c>
      <c r="B63" s="1013">
        <v>1025868</v>
      </c>
      <c r="C63" s="1433">
        <f t="shared" si="6"/>
        <v>683913</v>
      </c>
      <c r="E63" s="1437" t="s">
        <v>1624</v>
      </c>
      <c r="F63" s="1443">
        <v>706</v>
      </c>
      <c r="G63" s="1437">
        <v>2095763</v>
      </c>
      <c r="H63" s="1439">
        <f t="shared" si="7"/>
        <v>0</v>
      </c>
      <c r="I63" s="1440">
        <f t="shared" si="8"/>
        <v>2095763</v>
      </c>
      <c r="J63" s="1441"/>
    </row>
    <row r="64" spans="1:10">
      <c r="A64" s="1433">
        <v>39148375</v>
      </c>
      <c r="B64" s="1013">
        <v>19574188</v>
      </c>
      <c r="C64" s="1433">
        <f t="shared" si="6"/>
        <v>19574187</v>
      </c>
      <c r="E64" s="1437" t="s">
        <v>1096</v>
      </c>
      <c r="F64" s="1443">
        <v>700</v>
      </c>
      <c r="G64" s="1437">
        <v>40024017</v>
      </c>
      <c r="H64" s="1439">
        <f t="shared" si="7"/>
        <v>0</v>
      </c>
      <c r="I64" s="1440">
        <f t="shared" si="8"/>
        <v>40024017</v>
      </c>
      <c r="J64" s="1441"/>
    </row>
    <row r="65" spans="1:10">
      <c r="A65" s="1433"/>
      <c r="C65" s="1433"/>
      <c r="E65" s="1437"/>
      <c r="G65" s="1453"/>
      <c r="H65" s="1444"/>
      <c r="I65" s="1453"/>
    </row>
    <row r="66" spans="1:10">
      <c r="A66" s="1022">
        <f>SUM(A51:A64)</f>
        <v>83833958</v>
      </c>
      <c r="B66" s="1445">
        <f>SUM(B51:B64)</f>
        <v>39077799</v>
      </c>
      <c r="C66" s="1022">
        <f>SUM(C51:C64)</f>
        <v>44756159</v>
      </c>
      <c r="D66" s="1446"/>
      <c r="E66" s="1447" t="s">
        <v>1631</v>
      </c>
      <c r="F66" s="1445"/>
      <c r="G66" s="1022">
        <f>SUM(G51:G64)</f>
        <v>92371380</v>
      </c>
      <c r="H66" s="1448">
        <f>SUM(H51:H64)</f>
        <v>0</v>
      </c>
      <c r="I66" s="1449">
        <f>SUM(I51:I64)</f>
        <v>92371380</v>
      </c>
    </row>
    <row r="67" spans="1:10">
      <c r="A67" s="1462"/>
      <c r="B67" s="1456"/>
      <c r="C67" s="1462"/>
      <c r="D67" s="1458"/>
      <c r="E67" s="1463"/>
      <c r="F67" s="1456"/>
      <c r="G67" s="1450"/>
      <c r="H67" s="1435"/>
      <c r="I67" s="1450"/>
    </row>
    <row r="68" spans="1:10">
      <c r="A68" s="1433"/>
      <c r="C68" s="1433"/>
      <c r="D68" s="1427"/>
      <c r="E68" s="1451" t="s">
        <v>1632</v>
      </c>
      <c r="G68" s="1437"/>
      <c r="H68" s="1433"/>
      <c r="I68" s="1437"/>
    </row>
    <row r="69" spans="1:10">
      <c r="A69" s="1433">
        <v>3250</v>
      </c>
      <c r="B69" s="1013">
        <v>1625</v>
      </c>
      <c r="C69" s="1433">
        <f>+A69-B69</f>
        <v>1625</v>
      </c>
      <c r="E69" s="1437" t="s">
        <v>1609</v>
      </c>
      <c r="F69" s="1438">
        <v>701702712713</v>
      </c>
      <c r="G69" s="1437">
        <v>11200</v>
      </c>
      <c r="H69" s="1439">
        <f>G69*J69</f>
        <v>0</v>
      </c>
      <c r="I69" s="1440">
        <f>G69-H69</f>
        <v>11200</v>
      </c>
      <c r="J69" s="1441"/>
    </row>
    <row r="70" spans="1:10">
      <c r="A70" s="1433">
        <v>53674065</v>
      </c>
      <c r="B70" s="1013">
        <v>26837033</v>
      </c>
      <c r="C70" s="1433">
        <f t="shared" ref="C70:C81" si="9">+A70-B70</f>
        <v>26837032</v>
      </c>
      <c r="E70" s="1437" t="s">
        <v>1610</v>
      </c>
      <c r="F70" s="1442" t="s">
        <v>1611</v>
      </c>
      <c r="G70" s="1437">
        <v>49183210</v>
      </c>
      <c r="H70" s="1439">
        <f t="shared" ref="H70:H81" si="10">G70*J70</f>
        <v>0</v>
      </c>
      <c r="I70" s="1440">
        <f t="shared" ref="I70:I81" si="11">G70-H70</f>
        <v>49183210</v>
      </c>
      <c r="J70" s="1441"/>
    </row>
    <row r="71" spans="1:10">
      <c r="A71" s="1433">
        <v>0</v>
      </c>
      <c r="B71" s="1013">
        <v>0</v>
      </c>
      <c r="C71" s="1433">
        <f t="shared" si="9"/>
        <v>0</v>
      </c>
      <c r="E71" s="1437" t="s">
        <v>1612</v>
      </c>
      <c r="F71" s="1443">
        <v>717</v>
      </c>
      <c r="G71" s="1437">
        <v>0</v>
      </c>
      <c r="H71" s="1439">
        <f t="shared" si="10"/>
        <v>0</v>
      </c>
      <c r="I71" s="1440">
        <f t="shared" si="11"/>
        <v>0</v>
      </c>
    </row>
    <row r="72" spans="1:10">
      <c r="A72" s="1433">
        <v>0</v>
      </c>
      <c r="B72" s="1013">
        <v>0</v>
      </c>
      <c r="C72" s="1433">
        <f t="shared" si="9"/>
        <v>0</v>
      </c>
      <c r="E72" s="1437" t="s">
        <v>1613</v>
      </c>
      <c r="F72" s="1443">
        <v>718</v>
      </c>
      <c r="G72" s="1437">
        <v>0</v>
      </c>
      <c r="H72" s="1439">
        <f t="shared" si="10"/>
        <v>0</v>
      </c>
      <c r="I72" s="1440">
        <f t="shared" si="11"/>
        <v>0</v>
      </c>
    </row>
    <row r="73" spans="1:10">
      <c r="A73" s="1433">
        <v>2333</v>
      </c>
      <c r="B73" s="1013">
        <v>1166</v>
      </c>
      <c r="C73" s="1433">
        <f t="shared" si="9"/>
        <v>1167</v>
      </c>
      <c r="E73" s="1437" t="s">
        <v>1614</v>
      </c>
      <c r="F73" s="1443">
        <v>705</v>
      </c>
      <c r="G73" s="1437">
        <v>0</v>
      </c>
      <c r="H73" s="1439">
        <f t="shared" si="10"/>
        <v>0</v>
      </c>
      <c r="I73" s="1440">
        <f t="shared" si="11"/>
        <v>0</v>
      </c>
      <c r="J73" s="1464"/>
    </row>
    <row r="74" spans="1:10">
      <c r="A74" s="1433">
        <v>0</v>
      </c>
      <c r="B74" s="1013">
        <v>0</v>
      </c>
      <c r="C74" s="1433">
        <f t="shared" si="9"/>
        <v>0</v>
      </c>
      <c r="E74" s="1437" t="s">
        <v>1615</v>
      </c>
      <c r="F74" s="1443">
        <v>709</v>
      </c>
      <c r="G74" s="1437">
        <v>90568</v>
      </c>
      <c r="H74" s="1439">
        <f t="shared" si="10"/>
        <v>0</v>
      </c>
      <c r="I74" s="1440">
        <f t="shared" si="11"/>
        <v>90568</v>
      </c>
      <c r="J74" s="1441"/>
    </row>
    <row r="75" spans="1:10">
      <c r="A75" s="1433">
        <v>167344</v>
      </c>
      <c r="B75" s="1013">
        <v>60244</v>
      </c>
      <c r="C75" s="1433">
        <f t="shared" si="9"/>
        <v>107100</v>
      </c>
      <c r="E75" s="1437" t="s">
        <v>1616</v>
      </c>
      <c r="F75" s="1442" t="s">
        <v>1617</v>
      </c>
      <c r="G75" s="1437">
        <v>60469</v>
      </c>
      <c r="H75" s="1439">
        <f t="shared" si="10"/>
        <v>0</v>
      </c>
      <c r="I75" s="1440">
        <f t="shared" si="11"/>
        <v>60469</v>
      </c>
      <c r="J75" s="1441"/>
    </row>
    <row r="76" spans="1:10">
      <c r="A76" s="1433">
        <v>23896</v>
      </c>
      <c r="B76" s="1013">
        <v>10753</v>
      </c>
      <c r="C76" s="1433">
        <f t="shared" si="9"/>
        <v>13143</v>
      </c>
      <c r="E76" s="1437" t="s">
        <v>1618</v>
      </c>
      <c r="F76" s="1442" t="s">
        <v>1619</v>
      </c>
      <c r="G76" s="1437">
        <v>16384</v>
      </c>
      <c r="H76" s="1439">
        <f t="shared" si="10"/>
        <v>0</v>
      </c>
      <c r="I76" s="1440">
        <f t="shared" si="11"/>
        <v>16384</v>
      </c>
      <c r="J76" s="1441"/>
    </row>
    <row r="77" spans="1:10">
      <c r="A77" s="1433">
        <v>0</v>
      </c>
      <c r="B77" s="1013">
        <v>0</v>
      </c>
      <c r="C77" s="1433">
        <f t="shared" si="9"/>
        <v>0</v>
      </c>
      <c r="E77" s="1437" t="s">
        <v>1620</v>
      </c>
      <c r="F77" s="1443">
        <v>715</v>
      </c>
      <c r="G77" s="1437">
        <v>0</v>
      </c>
      <c r="H77" s="1439">
        <f t="shared" si="10"/>
        <v>0</v>
      </c>
      <c r="I77" s="1440">
        <f t="shared" si="11"/>
        <v>0</v>
      </c>
    </row>
    <row r="78" spans="1:10">
      <c r="A78" s="1433">
        <v>0</v>
      </c>
      <c r="B78" s="1013">
        <v>0</v>
      </c>
      <c r="C78" s="1433">
        <f t="shared" si="9"/>
        <v>0</v>
      </c>
      <c r="E78" s="1437" t="s">
        <v>1621</v>
      </c>
      <c r="F78" s="1443">
        <v>708</v>
      </c>
      <c r="G78" s="1437">
        <v>0</v>
      </c>
      <c r="H78" s="1439">
        <f t="shared" si="10"/>
        <v>0</v>
      </c>
      <c r="I78" s="1440">
        <f t="shared" si="11"/>
        <v>0</v>
      </c>
    </row>
    <row r="79" spans="1:10">
      <c r="A79" s="1433">
        <v>17568548</v>
      </c>
      <c r="B79" s="1013">
        <v>3865081</v>
      </c>
      <c r="C79" s="1433">
        <f t="shared" si="9"/>
        <v>13703467</v>
      </c>
      <c r="E79" s="1437" t="s">
        <v>1622</v>
      </c>
      <c r="F79" s="1443">
        <v>734</v>
      </c>
      <c r="G79" s="1437">
        <v>35077990</v>
      </c>
      <c r="H79" s="1439">
        <f t="shared" si="10"/>
        <v>0</v>
      </c>
      <c r="I79" s="1440">
        <f t="shared" si="11"/>
        <v>35077990</v>
      </c>
      <c r="J79" s="1441"/>
    </row>
    <row r="80" spans="1:10">
      <c r="A80" s="1433">
        <v>31092872</v>
      </c>
      <c r="B80" s="1013">
        <v>6840432</v>
      </c>
      <c r="C80" s="1433">
        <f>+A80-B80</f>
        <v>24252440</v>
      </c>
      <c r="E80" s="1437" t="s">
        <v>1623</v>
      </c>
      <c r="F80" s="1443">
        <v>707</v>
      </c>
      <c r="G80" s="1437">
        <v>14996790</v>
      </c>
      <c r="H80" s="1439">
        <f t="shared" si="10"/>
        <v>0</v>
      </c>
      <c r="I80" s="1440">
        <f t="shared" si="11"/>
        <v>14996790</v>
      </c>
      <c r="J80" s="1441"/>
    </row>
    <row r="81" spans="1:10">
      <c r="A81" s="1433">
        <v>75000</v>
      </c>
      <c r="B81" s="1013">
        <v>45000</v>
      </c>
      <c r="C81" s="1433">
        <f t="shared" si="9"/>
        <v>30000</v>
      </c>
      <c r="E81" s="1437" t="s">
        <v>1624</v>
      </c>
      <c r="F81" s="1443">
        <v>706</v>
      </c>
      <c r="G81" s="1437">
        <v>0</v>
      </c>
      <c r="H81" s="1439">
        <f t="shared" si="10"/>
        <v>0</v>
      </c>
      <c r="I81" s="1440">
        <f t="shared" si="11"/>
        <v>0</v>
      </c>
      <c r="J81" s="1441"/>
    </row>
    <row r="82" spans="1:10">
      <c r="A82" s="1433">
        <v>24303354</v>
      </c>
      <c r="B82" s="1013">
        <v>7980922</v>
      </c>
      <c r="C82" s="1433">
        <f>+A82-B82</f>
        <v>16322432</v>
      </c>
      <c r="E82" s="1437" t="s">
        <v>1096</v>
      </c>
      <c r="F82" s="1443">
        <v>700</v>
      </c>
      <c r="G82" s="1437">
        <v>33497060</v>
      </c>
      <c r="H82" s="1433">
        <v>11344881</v>
      </c>
      <c r="I82" s="1437">
        <f>G82-H82</f>
        <v>22152179</v>
      </c>
      <c r="J82" s="1465"/>
    </row>
    <row r="83" spans="1:10">
      <c r="A83" s="1433" t="s">
        <v>94</v>
      </c>
      <c r="C83" s="1433"/>
      <c r="E83" s="1437"/>
      <c r="G83" s="1437"/>
      <c r="H83" s="1433"/>
      <c r="I83" s="1437"/>
    </row>
    <row r="84" spans="1:10">
      <c r="A84" s="1022">
        <f>SUM(A69:A82)</f>
        <v>126910662</v>
      </c>
      <c r="B84" s="1445">
        <f>SUM(B69:B82)</f>
        <v>45642256</v>
      </c>
      <c r="C84" s="1022">
        <f>SUM(C69:C82)</f>
        <v>81268406</v>
      </c>
      <c r="D84" s="1446"/>
      <c r="E84" s="1447" t="s">
        <v>1633</v>
      </c>
      <c r="F84" s="1445"/>
      <c r="G84" s="1449">
        <f>SUM(G69:G82)</f>
        <v>132933671</v>
      </c>
      <c r="H84" s="1448">
        <f>SUM(H69:H82)</f>
        <v>11344881</v>
      </c>
      <c r="I84" s="1449">
        <f>SUM(I69:I82)</f>
        <v>121588790</v>
      </c>
    </row>
    <row r="85" spans="1:10">
      <c r="A85" s="1462"/>
      <c r="B85" s="1427" t="s">
        <v>94</v>
      </c>
      <c r="C85" s="1462"/>
      <c r="E85" s="1463"/>
      <c r="F85" s="1427"/>
      <c r="G85" s="1437"/>
      <c r="H85" s="1435"/>
      <c r="I85" s="1437"/>
    </row>
    <row r="86" spans="1:10">
      <c r="A86" s="1462">
        <v>20811310</v>
      </c>
      <c r="B86" s="1427">
        <v>10405655</v>
      </c>
      <c r="C86" s="1462">
        <f>+A86-B86</f>
        <v>10405655</v>
      </c>
      <c r="E86" s="1466" t="s">
        <v>1070</v>
      </c>
      <c r="F86" s="1427"/>
      <c r="G86" s="1437">
        <v>37021878</v>
      </c>
      <c r="H86" s="1433">
        <f>G86*J86</f>
        <v>0</v>
      </c>
      <c r="I86" s="1437">
        <f>G86-H86</f>
        <v>37021878</v>
      </c>
      <c r="J86" s="1441"/>
    </row>
    <row r="87" spans="1:10">
      <c r="A87" s="1433"/>
      <c r="C87" s="1433"/>
      <c r="E87" s="1453"/>
      <c r="G87" s="1453"/>
      <c r="H87" s="1444"/>
      <c r="I87" s="1453"/>
    </row>
    <row r="88" spans="1:10" ht="15.75" thickBot="1">
      <c r="A88" s="1467">
        <f>+A23+A41+A66+A84+A86</f>
        <v>1164975963</v>
      </c>
      <c r="B88" s="1468">
        <f>+B23+B41+B66+B84+B86</f>
        <v>472712106</v>
      </c>
      <c r="C88" s="1467">
        <f>+C23+C41+C66+C84+C86</f>
        <v>692263857</v>
      </c>
      <c r="D88" s="1469"/>
      <c r="E88" s="1468" t="s">
        <v>1634</v>
      </c>
      <c r="F88" s="1469"/>
      <c r="G88" s="1470">
        <f>+G23+G41+G66+G84+G86</f>
        <v>1369247884</v>
      </c>
      <c r="H88" s="1471">
        <f>+H23+H41+H66+H84+H86</f>
        <v>56626640</v>
      </c>
      <c r="I88" s="1470">
        <f>+I23+I41+I66+I84+I86</f>
        <v>1312621244</v>
      </c>
    </row>
    <row r="89" spans="1:10" ht="15.75" thickTop="1">
      <c r="A89" s="1013" t="s">
        <v>94</v>
      </c>
    </row>
  </sheetData>
  <mergeCells count="2">
    <mergeCell ref="H1:I1"/>
    <mergeCell ref="H45:I45"/>
  </mergeCells>
  <printOptions horizontalCentered="1" verticalCentered="1"/>
  <pageMargins left="0" right="0" top="0" bottom="0" header="0.31" footer="0.3"/>
  <pageSetup paperSize="5" scale="88" orientation="landscape" horizontalDpi="180" verticalDpi="180" r:id="rId1"/>
  <rowBreaks count="1" manualBreakCount="1">
    <brk id="43" max="8" man="1"/>
  </rowBreaks>
</worksheet>
</file>

<file path=xl/worksheets/sheet131.xml><?xml version="1.0" encoding="utf-8"?>
<worksheet xmlns="http://schemas.openxmlformats.org/spreadsheetml/2006/main" xmlns:r="http://schemas.openxmlformats.org/officeDocument/2006/relationships">
  <sheetPr codeName="Sheet110"/>
  <dimension ref="A1:N62"/>
  <sheetViews>
    <sheetView showGridLines="0" view="pageBreakPreview" zoomScale="60" zoomScaleNormal="80" workbookViewId="0">
      <selection activeCell="K5" sqref="K5:K14"/>
    </sheetView>
  </sheetViews>
  <sheetFormatPr defaultRowHeight="15.75"/>
  <cols>
    <col min="1" max="2" width="9.140625" style="254"/>
    <col min="3" max="3" width="37.28515625" style="254" customWidth="1"/>
    <col min="4" max="4" width="19.42578125" style="254" customWidth="1"/>
    <col min="5" max="5" width="14.5703125" style="254" customWidth="1"/>
    <col min="6" max="6" width="15.7109375" style="254" customWidth="1"/>
    <col min="7" max="7" width="24.7109375" style="254" customWidth="1"/>
    <col min="8" max="8" width="14.42578125" style="254" customWidth="1"/>
    <col min="9" max="9" width="14" style="254" customWidth="1"/>
    <col min="10" max="10" width="12.42578125" style="254" customWidth="1"/>
    <col min="11" max="11" width="38" style="254" customWidth="1"/>
    <col min="12" max="12" width="14.7109375" style="254" customWidth="1"/>
    <col min="13" max="13" width="21" style="254" customWidth="1"/>
    <col min="14" max="16384" width="9.140625" style="254"/>
  </cols>
  <sheetData>
    <row r="1" spans="2:11">
      <c r="D1" s="5483" t="s">
        <v>2395</v>
      </c>
      <c r="E1" s="5483"/>
      <c r="F1" s="5483"/>
      <c r="G1" s="5483"/>
      <c r="H1" s="5483"/>
      <c r="I1" s="5483"/>
      <c r="J1" s="5483"/>
    </row>
    <row r="2" spans="2:11">
      <c r="K2" s="258" t="s">
        <v>151</v>
      </c>
    </row>
    <row r="3" spans="2:11" ht="30" customHeight="1">
      <c r="B3" s="5435" t="s">
        <v>101</v>
      </c>
      <c r="C3" s="5435" t="s">
        <v>2344</v>
      </c>
      <c r="D3" s="5435" t="s">
        <v>2269</v>
      </c>
      <c r="E3" s="5447" t="s">
        <v>2383</v>
      </c>
      <c r="F3" s="5447"/>
      <c r="G3" s="5450" t="s">
        <v>2386</v>
      </c>
      <c r="H3" s="5435" t="s">
        <v>2387</v>
      </c>
      <c r="I3" s="5435" t="s">
        <v>2388</v>
      </c>
      <c r="J3" s="5450" t="s">
        <v>2406</v>
      </c>
      <c r="K3" s="5435" t="s">
        <v>2389</v>
      </c>
    </row>
    <row r="4" spans="2:11">
      <c r="B4" s="5436"/>
      <c r="C4" s="5436"/>
      <c r="D4" s="5436"/>
      <c r="E4" s="1288" t="s">
        <v>2384</v>
      </c>
      <c r="F4" s="1288" t="s">
        <v>2385</v>
      </c>
      <c r="G4" s="5452"/>
      <c r="H4" s="5436"/>
      <c r="I4" s="5436"/>
      <c r="J4" s="5452"/>
      <c r="K4" s="5436"/>
    </row>
    <row r="5" spans="2:11">
      <c r="B5" s="258">
        <v>1</v>
      </c>
      <c r="C5" s="6310" t="s">
        <v>2378</v>
      </c>
      <c r="D5" s="840">
        <v>0.1075</v>
      </c>
      <c r="E5" s="1290" t="s">
        <v>877</v>
      </c>
      <c r="F5" s="1290" t="s">
        <v>878</v>
      </c>
      <c r="G5" s="1413" t="e">
        <f>(#REF!)/100</f>
        <v>#REF!</v>
      </c>
      <c r="H5" s="1286" t="e">
        <f>(#REF!+#REF!)/100</f>
        <v>#REF!</v>
      </c>
      <c r="I5" s="1286" t="e">
        <f>(#REF!+#REF!)/100</f>
        <v>#REF!</v>
      </c>
      <c r="J5" s="1286" t="e">
        <f>(G5+H5-I5)/100</f>
        <v>#REF!</v>
      </c>
      <c r="K5" s="1286" t="e">
        <f>(#REF!+#REF!)/100</f>
        <v>#REF!</v>
      </c>
    </row>
    <row r="6" spans="2:11">
      <c r="B6" s="258">
        <f>B5+1</f>
        <v>2</v>
      </c>
      <c r="C6" s="6311"/>
      <c r="D6" s="840">
        <v>0.1075</v>
      </c>
      <c r="E6" s="1290" t="s">
        <v>879</v>
      </c>
      <c r="F6" s="1290" t="s">
        <v>880</v>
      </c>
      <c r="G6" s="1413" t="e">
        <f>(#REF!)/100</f>
        <v>#REF!</v>
      </c>
      <c r="H6" s="1286" t="e">
        <f>(#REF!+#REF!)/100</f>
        <v>#REF!</v>
      </c>
      <c r="I6" s="1286" t="e">
        <f>(#REF!+#REF!)/100</f>
        <v>#REF!</v>
      </c>
      <c r="J6" s="1286" t="e">
        <f>(G6+H6-I6)/100</f>
        <v>#REF!</v>
      </c>
      <c r="K6" s="1286" t="e">
        <f>(#REF!+#REF!)/100</f>
        <v>#REF!</v>
      </c>
    </row>
    <row r="7" spans="2:11">
      <c r="B7" s="841">
        <f t="shared" ref="B7:B15" si="0">B6+1</f>
        <v>3</v>
      </c>
      <c r="C7" s="841" t="s">
        <v>585</v>
      </c>
      <c r="D7" s="1419">
        <v>0.1065</v>
      </c>
      <c r="E7" s="842" t="s">
        <v>908</v>
      </c>
      <c r="F7" s="842" t="s">
        <v>909</v>
      </c>
      <c r="G7" s="1425" t="e">
        <f>(#REF!)/100</f>
        <v>#REF!</v>
      </c>
      <c r="H7" s="1415" t="e">
        <f>(#REF!+#REF!)/100</f>
        <v>#REF!</v>
      </c>
      <c r="I7" s="1415" t="e">
        <f>(#REF!+#REF!)/100</f>
        <v>#REF!</v>
      </c>
      <c r="J7" s="1415" t="e">
        <f>(G7+H7-I7)/100</f>
        <v>#REF!</v>
      </c>
      <c r="K7" s="1415" t="e">
        <f>(#REF!+#REF!)/100</f>
        <v>#REF!</v>
      </c>
    </row>
    <row r="8" spans="2:11">
      <c r="B8" s="258">
        <f t="shared" si="0"/>
        <v>4</v>
      </c>
      <c r="C8" s="6310" t="s">
        <v>2390</v>
      </c>
      <c r="D8" s="840">
        <v>0.1075</v>
      </c>
      <c r="E8" s="1290" t="s">
        <v>931</v>
      </c>
      <c r="F8" s="1290" t="s">
        <v>932</v>
      </c>
      <c r="G8" s="1286" t="e">
        <f>(#REF!)/100</f>
        <v>#REF!</v>
      </c>
      <c r="H8" s="1286" t="e">
        <f>(#REF!+#REF!)/100</f>
        <v>#REF!</v>
      </c>
      <c r="I8" s="1286" t="e">
        <f>(#REF!+#REF!)/100</f>
        <v>#REF!</v>
      </c>
      <c r="J8" s="1286" t="e">
        <f>(G8+H8-I8)/100</f>
        <v>#REF!</v>
      </c>
      <c r="K8" s="1286" t="e">
        <f>(#REF!+#REF!)/100</f>
        <v>#REF!</v>
      </c>
    </row>
    <row r="9" spans="2:11">
      <c r="B9" s="258">
        <f t="shared" si="0"/>
        <v>5</v>
      </c>
      <c r="C9" s="6315"/>
      <c r="D9" s="1420">
        <v>0.11</v>
      </c>
      <c r="E9" s="842" t="s">
        <v>880</v>
      </c>
      <c r="F9" s="842" t="s">
        <v>938</v>
      </c>
      <c r="G9" s="842">
        <v>0</v>
      </c>
      <c r="H9" s="1415" t="e">
        <f>(#REF!)/100</f>
        <v>#REF!</v>
      </c>
      <c r="I9" s="1415" t="e">
        <f>(#REF!)/100</f>
        <v>#REF!</v>
      </c>
      <c r="J9" s="1415" t="e">
        <f>(H9-I9)/100</f>
        <v>#REF!</v>
      </c>
      <c r="K9" s="1415" t="e">
        <f>(#REF!)/100</f>
        <v>#REF!</v>
      </c>
    </row>
    <row r="10" spans="2:11">
      <c r="B10" s="258">
        <f t="shared" si="0"/>
        <v>6</v>
      </c>
      <c r="C10" s="6311"/>
      <c r="D10" s="1382">
        <v>0.1075</v>
      </c>
      <c r="E10" s="1290" t="s">
        <v>933</v>
      </c>
      <c r="F10" s="1290" t="s">
        <v>928</v>
      </c>
      <c r="G10" s="1286" t="e">
        <f>(#REF!)/100</f>
        <v>#REF!</v>
      </c>
      <c r="H10" s="1286" t="e">
        <f>(#REF!)/100</f>
        <v>#REF!</v>
      </c>
      <c r="I10" s="1286" t="e">
        <f>(#REF!)/100</f>
        <v>#REF!</v>
      </c>
      <c r="J10" s="1286">
        <v>0</v>
      </c>
      <c r="K10" s="1286" t="e">
        <f>(#REF!)/100</f>
        <v>#REF!</v>
      </c>
    </row>
    <row r="11" spans="2:11">
      <c r="B11" s="258">
        <f t="shared" si="0"/>
        <v>7</v>
      </c>
      <c r="C11" s="258" t="s">
        <v>2391</v>
      </c>
      <c r="D11" s="840">
        <v>0.13500000000000001</v>
      </c>
      <c r="E11" s="1290" t="s">
        <v>953</v>
      </c>
      <c r="F11" s="1290" t="s">
        <v>954</v>
      </c>
      <c r="G11" s="1389" t="e">
        <f>(#REF!)/100</f>
        <v>#REF!</v>
      </c>
      <c r="H11" s="1286" t="e">
        <f>(#REF!+#REF!)/100</f>
        <v>#REF!</v>
      </c>
      <c r="I11" s="1286" t="e">
        <f>(#REF!+#REF!)/100</f>
        <v>#REF!</v>
      </c>
      <c r="J11" s="1286" t="e">
        <f>(G11+H11-I11)/100</f>
        <v>#REF!</v>
      </c>
      <c r="K11" s="1286" t="e">
        <f>(#REF!+#REF!)/100</f>
        <v>#REF!</v>
      </c>
    </row>
    <row r="12" spans="2:11">
      <c r="B12" s="841">
        <f t="shared" si="0"/>
        <v>8</v>
      </c>
      <c r="C12" s="841" t="s">
        <v>2392</v>
      </c>
      <c r="D12" s="1414">
        <v>0.14249999999999999</v>
      </c>
      <c r="E12" s="842" t="s">
        <v>957</v>
      </c>
      <c r="F12" s="842" t="s">
        <v>958</v>
      </c>
      <c r="G12" s="1415" t="e">
        <f>(#REF!)/100</f>
        <v>#REF!</v>
      </c>
      <c r="H12" s="1415" t="e">
        <f>(#REF!+#REF!)/100</f>
        <v>#REF!</v>
      </c>
      <c r="I12" s="1415" t="e">
        <f>(#REF!+#REF!)/100</f>
        <v>#REF!</v>
      </c>
      <c r="J12" s="1415" t="e">
        <f>(G12+H12-I12)/100</f>
        <v>#REF!</v>
      </c>
      <c r="K12" s="1415" t="e">
        <f>(#REF!+#REF!)/100</f>
        <v>#REF!</v>
      </c>
    </row>
    <row r="13" spans="2:11">
      <c r="B13" s="841">
        <f t="shared" si="0"/>
        <v>9</v>
      </c>
      <c r="C13" s="1416" t="s">
        <v>2393</v>
      </c>
      <c r="D13" s="1417" t="s">
        <v>960</v>
      </c>
      <c r="E13" s="1418" t="s">
        <v>961</v>
      </c>
      <c r="F13" s="842" t="s">
        <v>962</v>
      </c>
      <c r="G13" s="1415" t="e">
        <f>(#REF!)/100</f>
        <v>#REF!</v>
      </c>
      <c r="H13" s="1415" t="e">
        <f>(#REF!+#REF!)/100</f>
        <v>#REF!</v>
      </c>
      <c r="I13" s="1415" t="e">
        <f>(#REF!+#REF!)/100</f>
        <v>#REF!</v>
      </c>
      <c r="J13" s="1415" t="e">
        <f>(G13+H13-I13)/100</f>
        <v>#REF!</v>
      </c>
      <c r="K13" s="1415" t="e">
        <f>(#REF!+#REF!)/100</f>
        <v>#REF!</v>
      </c>
    </row>
    <row r="14" spans="2:11">
      <c r="B14" s="258">
        <f t="shared" si="0"/>
        <v>10</v>
      </c>
      <c r="C14" s="258" t="s">
        <v>2394</v>
      </c>
      <c r="D14" s="1388">
        <v>0.1</v>
      </c>
      <c r="E14" s="1290" t="s">
        <v>968</v>
      </c>
      <c r="F14" s="1290" t="s">
        <v>969</v>
      </c>
      <c r="G14" s="1286" t="e">
        <f>(#REF!)/100</f>
        <v>#REF!</v>
      </c>
      <c r="H14" s="1286" t="e">
        <f>(#REF!)/100</f>
        <v>#REF!</v>
      </c>
      <c r="I14" s="1286" t="e">
        <f>(#REF!)/100</f>
        <v>#REF!</v>
      </c>
      <c r="J14" s="1286" t="e">
        <f>(G14+H14-I14)/100</f>
        <v>#REF!</v>
      </c>
      <c r="K14" s="1286" t="e">
        <f>(#REF!)/100</f>
        <v>#REF!</v>
      </c>
    </row>
    <row r="15" spans="2:11">
      <c r="B15" s="258">
        <f t="shared" si="0"/>
        <v>11</v>
      </c>
      <c r="C15" s="258" t="s">
        <v>1639</v>
      </c>
      <c r="D15" s="5895"/>
      <c r="E15" s="6305"/>
      <c r="F15" s="6305"/>
      <c r="G15" s="6305"/>
      <c r="H15" s="6305"/>
      <c r="I15" s="6305"/>
      <c r="J15" s="5896"/>
      <c r="K15" s="809" t="e">
        <f>SUM(K5:K14)</f>
        <v>#REF!</v>
      </c>
    </row>
    <row r="17" spans="1:14">
      <c r="G17" s="906" t="s">
        <v>2427</v>
      </c>
      <c r="H17" s="1653"/>
      <c r="I17" s="1654"/>
    </row>
    <row r="19" spans="1:14" ht="19.5" customHeight="1">
      <c r="B19" s="1013"/>
      <c r="C19" s="1022" t="s">
        <v>2400</v>
      </c>
      <c r="D19" s="1013"/>
      <c r="E19" s="1013"/>
      <c r="F19" s="1022" t="s">
        <v>151</v>
      </c>
      <c r="G19" s="1013"/>
      <c r="H19" s="1013"/>
    </row>
    <row r="20" spans="1:14" ht="39" customHeight="1">
      <c r="A20" s="612"/>
      <c r="B20" s="1405"/>
      <c r="C20" s="1405"/>
      <c r="D20" s="1405"/>
      <c r="E20" s="1405"/>
      <c r="F20" s="1405"/>
      <c r="G20" s="1405"/>
      <c r="H20" s="1013"/>
    </row>
    <row r="21" spans="1:14" ht="29.25">
      <c r="B21" s="1385" t="s">
        <v>101</v>
      </c>
      <c r="C21" s="1018" t="s">
        <v>2344</v>
      </c>
      <c r="D21" s="1018" t="s">
        <v>2381</v>
      </c>
      <c r="E21" s="6262" t="s">
        <v>2383</v>
      </c>
      <c r="F21" s="6262"/>
      <c r="G21" s="1387" t="s">
        <v>2401</v>
      </c>
      <c r="H21" s="1013"/>
    </row>
    <row r="22" spans="1:14">
      <c r="B22" s="1404"/>
      <c r="C22" s="1386"/>
      <c r="D22" s="1386"/>
      <c r="E22" s="1406" t="s">
        <v>2384</v>
      </c>
      <c r="F22" s="1406" t="s">
        <v>2385</v>
      </c>
      <c r="G22" s="1407" t="s">
        <v>660</v>
      </c>
      <c r="H22" s="1013"/>
    </row>
    <row r="23" spans="1:14">
      <c r="B23" s="1316">
        <v>1</v>
      </c>
      <c r="C23" s="1321" t="s">
        <v>2396</v>
      </c>
      <c r="D23" s="1317"/>
      <c r="E23" s="1318"/>
      <c r="F23" s="1318"/>
      <c r="G23" s="1319"/>
      <c r="H23" s="1013"/>
    </row>
    <row r="24" spans="1:14">
      <c r="B24" s="1322">
        <f>B23+1</f>
        <v>2</v>
      </c>
      <c r="C24" s="6316" t="s">
        <v>2378</v>
      </c>
      <c r="D24" s="1320">
        <v>0.1075</v>
      </c>
      <c r="E24" s="1321" t="s">
        <v>873</v>
      </c>
      <c r="F24" s="1321" t="s">
        <v>874</v>
      </c>
      <c r="G24" s="1377">
        <v>12.815</v>
      </c>
      <c r="H24" s="1269"/>
    </row>
    <row r="25" spans="1:14">
      <c r="B25" s="1322">
        <f>B24+1</f>
        <v>3</v>
      </c>
      <c r="C25" s="6318"/>
      <c r="D25" s="1320">
        <v>0.1075</v>
      </c>
      <c r="E25" s="1321" t="s">
        <v>877</v>
      </c>
      <c r="F25" s="1321" t="s">
        <v>878</v>
      </c>
      <c r="G25" s="1378">
        <v>74.95</v>
      </c>
      <c r="H25" s="1269"/>
    </row>
    <row r="26" spans="1:14">
      <c r="B26" s="1322">
        <f>B25+1</f>
        <v>4</v>
      </c>
      <c r="C26" s="6317"/>
      <c r="D26" s="1320">
        <v>0.1075</v>
      </c>
      <c r="E26" s="1321" t="s">
        <v>879</v>
      </c>
      <c r="F26" s="1321" t="s">
        <v>880</v>
      </c>
      <c r="G26" s="1378">
        <v>74.95</v>
      </c>
      <c r="H26" s="1269"/>
      <c r="N26" s="264"/>
    </row>
    <row r="27" spans="1:14">
      <c r="B27" s="1322">
        <f>B26+1</f>
        <v>5</v>
      </c>
      <c r="C27" s="6316" t="s">
        <v>585</v>
      </c>
      <c r="D27" s="1320">
        <v>0.1075</v>
      </c>
      <c r="E27" s="1321" t="s">
        <v>908</v>
      </c>
      <c r="F27" s="1321" t="s">
        <v>909</v>
      </c>
      <c r="G27" s="1377">
        <v>58.8</v>
      </c>
      <c r="H27" s="1269"/>
    </row>
    <row r="28" spans="1:14">
      <c r="B28" s="1322">
        <f>B27+1</f>
        <v>6</v>
      </c>
      <c r="C28" s="6317"/>
      <c r="D28" s="1320">
        <v>0.1075</v>
      </c>
      <c r="E28" s="1316" t="s">
        <v>931</v>
      </c>
      <c r="F28" s="1316" t="s">
        <v>932</v>
      </c>
      <c r="G28" s="1377">
        <v>58.75</v>
      </c>
      <c r="H28" s="1269"/>
    </row>
    <row r="29" spans="1:14">
      <c r="B29" s="1322">
        <f t="shared" ref="B29:B35" si="1">B28+1</f>
        <v>7</v>
      </c>
      <c r="C29" s="1379" t="s">
        <v>2397</v>
      </c>
      <c r="D29" s="1329"/>
      <c r="E29" s="1330"/>
      <c r="F29" s="1330"/>
      <c r="G29" s="1380">
        <f>SUM(G24:G28)</f>
        <v>280.26499999999999</v>
      </c>
      <c r="H29" s="1269"/>
    </row>
    <row r="30" spans="1:14">
      <c r="B30" s="1322">
        <f t="shared" si="1"/>
        <v>8</v>
      </c>
      <c r="C30" s="1317" t="s">
        <v>2398</v>
      </c>
      <c r="D30" s="1321"/>
      <c r="E30" s="1321"/>
      <c r="F30" s="1321"/>
      <c r="G30" s="1401"/>
      <c r="H30" s="1269"/>
    </row>
    <row r="31" spans="1:14">
      <c r="B31" s="1322">
        <f t="shared" si="1"/>
        <v>9</v>
      </c>
      <c r="C31" s="1321" t="s">
        <v>2391</v>
      </c>
      <c r="D31" s="1320">
        <v>0.13500000000000001</v>
      </c>
      <c r="E31" s="1321" t="s">
        <v>953</v>
      </c>
      <c r="F31" s="1321" t="s">
        <v>954</v>
      </c>
      <c r="G31" s="1378">
        <v>57.5</v>
      </c>
      <c r="H31" s="1269"/>
    </row>
    <row r="32" spans="1:14">
      <c r="B32" s="1322">
        <f t="shared" si="1"/>
        <v>10</v>
      </c>
      <c r="C32" s="1323" t="s">
        <v>2380</v>
      </c>
      <c r="D32" s="1324" t="s">
        <v>956</v>
      </c>
      <c r="E32" s="1321" t="s">
        <v>957</v>
      </c>
      <c r="F32" s="1321" t="s">
        <v>958</v>
      </c>
      <c r="G32" s="1377">
        <v>1.5958003999999999</v>
      </c>
      <c r="H32" s="1269"/>
    </row>
    <row r="33" spans="2:8">
      <c r="B33" s="1322">
        <f t="shared" si="1"/>
        <v>11</v>
      </c>
      <c r="C33" s="1323" t="s">
        <v>2393</v>
      </c>
      <c r="D33" s="1321" t="s">
        <v>960</v>
      </c>
      <c r="E33" s="1321" t="s">
        <v>961</v>
      </c>
      <c r="F33" s="1321" t="s">
        <v>962</v>
      </c>
      <c r="G33" s="1377">
        <v>37.984999999999999</v>
      </c>
      <c r="H33" s="1269"/>
    </row>
    <row r="34" spans="2:8">
      <c r="B34" s="1322">
        <f t="shared" si="1"/>
        <v>12</v>
      </c>
      <c r="C34" s="1325" t="s">
        <v>2382</v>
      </c>
      <c r="D34" s="1321"/>
      <c r="E34" s="1321"/>
      <c r="F34" s="1321"/>
      <c r="G34" s="1377">
        <f>SUM(G31:G33)</f>
        <v>97.080800400000001</v>
      </c>
      <c r="H34" s="1269"/>
    </row>
    <row r="35" spans="2:8">
      <c r="B35" s="1408">
        <f t="shared" si="1"/>
        <v>13</v>
      </c>
      <c r="C35" s="1328" t="s">
        <v>260</v>
      </c>
      <c r="D35" s="1329"/>
      <c r="E35" s="1329"/>
      <c r="F35" s="1329"/>
      <c r="G35" s="1411">
        <f>G34+G29</f>
        <v>377.34580039999997</v>
      </c>
      <c r="H35" s="1269"/>
    </row>
    <row r="36" spans="2:8">
      <c r="B36" s="1410"/>
      <c r="G36" s="1412"/>
      <c r="H36" s="1357"/>
    </row>
    <row r="37" spans="2:8">
      <c r="B37" s="1409"/>
      <c r="G37" s="612"/>
      <c r="H37" s="1357"/>
    </row>
    <row r="38" spans="2:8">
      <c r="B38" s="1409"/>
      <c r="G38" s="612"/>
      <c r="H38" s="1357"/>
    </row>
    <row r="39" spans="2:8">
      <c r="C39" s="6312" t="s">
        <v>2407</v>
      </c>
      <c r="D39" s="6313"/>
      <c r="E39" s="6314"/>
      <c r="G39" s="612"/>
      <c r="H39" s="1357"/>
    </row>
    <row r="40" spans="2:8">
      <c r="G40" s="612"/>
      <c r="H40" s="1357"/>
    </row>
    <row r="41" spans="2:8">
      <c r="B41" s="1013"/>
      <c r="C41" s="1424" t="s">
        <v>151</v>
      </c>
      <c r="D41" s="5944" t="s">
        <v>2377</v>
      </c>
      <c r="E41" s="5944"/>
      <c r="G41" s="612"/>
      <c r="H41" s="1357"/>
    </row>
    <row r="42" spans="2:8">
      <c r="B42" s="5425" t="s">
        <v>1114</v>
      </c>
      <c r="C42" s="6263" t="s">
        <v>2344</v>
      </c>
      <c r="D42" s="6263" t="s">
        <v>2381</v>
      </c>
      <c r="E42" s="5425" t="s">
        <v>2343</v>
      </c>
      <c r="G42" s="612"/>
      <c r="H42" s="1357"/>
    </row>
    <row r="43" spans="2:8">
      <c r="B43" s="5425"/>
      <c r="C43" s="6263"/>
      <c r="D43" s="6263"/>
      <c r="E43" s="5425"/>
      <c r="G43" s="612"/>
      <c r="H43" s="1357"/>
    </row>
    <row r="44" spans="2:8">
      <c r="B44" s="1313">
        <v>1</v>
      </c>
      <c r="C44" s="1015" t="s">
        <v>2378</v>
      </c>
      <c r="D44" s="1312">
        <f>D24</f>
        <v>0.1075</v>
      </c>
      <c r="E44" s="1016">
        <f>G24</f>
        <v>12.815</v>
      </c>
      <c r="G44" s="612"/>
      <c r="H44" s="1357"/>
    </row>
    <row r="45" spans="2:8">
      <c r="B45" s="1313">
        <f>B44+1</f>
        <v>2</v>
      </c>
      <c r="C45" s="1309" t="s">
        <v>2379</v>
      </c>
      <c r="D45" s="1312">
        <f>D27</f>
        <v>0.1075</v>
      </c>
      <c r="E45" s="1402">
        <f>SUM(G27:G28)-63</f>
        <v>54.55</v>
      </c>
      <c r="G45" s="612"/>
      <c r="H45" s="1357"/>
    </row>
    <row r="46" spans="2:8">
      <c r="B46" s="1313">
        <f>B45+1</f>
        <v>3</v>
      </c>
      <c r="C46" s="1310" t="s">
        <v>2380</v>
      </c>
      <c r="D46" s="1313" t="str">
        <f>D32</f>
        <v>14.25%</v>
      </c>
      <c r="E46" s="1314">
        <f>G32</f>
        <v>1.5958003999999999</v>
      </c>
      <c r="G46" s="612"/>
      <c r="H46" s="1357"/>
    </row>
    <row r="47" spans="2:8">
      <c r="B47" s="1313">
        <f>B46+1</f>
        <v>4</v>
      </c>
      <c r="C47" s="1311" t="s">
        <v>2393</v>
      </c>
      <c r="D47" s="1312">
        <v>0.12</v>
      </c>
      <c r="E47" s="1403">
        <f>G33</f>
        <v>37.984999999999999</v>
      </c>
      <c r="G47" s="612"/>
      <c r="H47" s="1357"/>
    </row>
    <row r="48" spans="2:8">
      <c r="B48" s="1313">
        <f>B47+1</f>
        <v>5</v>
      </c>
      <c r="C48" s="1315" t="s">
        <v>2382</v>
      </c>
      <c r="D48" s="1015"/>
      <c r="E48" s="1331">
        <f>SUM(E44:E47)</f>
        <v>106.9458004</v>
      </c>
      <c r="G48" s="612"/>
      <c r="H48" s="1357"/>
    </row>
    <row r="49" spans="2:12">
      <c r="E49" s="264">
        <f>E48-E44</f>
        <v>94.130800399999998</v>
      </c>
      <c r="G49" s="612"/>
      <c r="H49" s="1357"/>
    </row>
    <row r="50" spans="2:12">
      <c r="B50" s="1409"/>
      <c r="G50" s="612"/>
      <c r="H50" s="1357"/>
    </row>
    <row r="53" spans="2:12">
      <c r="E53" s="5895" t="s">
        <v>2405</v>
      </c>
      <c r="F53" s="6305"/>
      <c r="G53" s="6305"/>
      <c r="H53" s="5896"/>
      <c r="J53" s="258" t="s">
        <v>151</v>
      </c>
    </row>
    <row r="54" spans="2:12">
      <c r="E54" s="1298"/>
      <c r="F54" s="1298"/>
      <c r="G54" s="1298"/>
      <c r="H54" s="1298"/>
      <c r="J54" s="612"/>
    </row>
    <row r="55" spans="2:12" ht="15.75" customHeight="1">
      <c r="B55" s="5435" t="s">
        <v>101</v>
      </c>
      <c r="C55" s="5435" t="s">
        <v>2344</v>
      </c>
      <c r="D55" s="5435" t="s">
        <v>2269</v>
      </c>
      <c r="E55" s="5444" t="s">
        <v>2383</v>
      </c>
      <c r="F55" s="5445"/>
      <c r="G55" s="5450" t="s">
        <v>2386</v>
      </c>
      <c r="H55" s="5435" t="s">
        <v>2387</v>
      </c>
      <c r="I55" s="5435" t="s">
        <v>2388</v>
      </c>
      <c r="J55" s="5450" t="s">
        <v>2406</v>
      </c>
      <c r="K55" s="5435" t="s">
        <v>2389</v>
      </c>
    </row>
    <row r="56" spans="2:12">
      <c r="B56" s="5436"/>
      <c r="C56" s="5436"/>
      <c r="D56" s="5436"/>
      <c r="E56" s="1288" t="s">
        <v>2384</v>
      </c>
      <c r="F56" s="1288" t="s">
        <v>2385</v>
      </c>
      <c r="G56" s="5452"/>
      <c r="H56" s="5436"/>
      <c r="I56" s="5436"/>
      <c r="J56" s="5452"/>
      <c r="K56" s="5436"/>
    </row>
    <row r="57" spans="2:12">
      <c r="B57" s="258">
        <v>1</v>
      </c>
      <c r="C57" s="258" t="s">
        <v>2392</v>
      </c>
      <c r="D57" s="1383">
        <v>0.14249999999999999</v>
      </c>
      <c r="E57" s="6306"/>
      <c r="F57" s="6307"/>
      <c r="G57" s="1297">
        <v>1.6</v>
      </c>
      <c r="H57" s="1297"/>
      <c r="I57" s="5979"/>
      <c r="J57" s="1297">
        <v>1.44</v>
      </c>
      <c r="K57" s="1290">
        <v>0.23</v>
      </c>
      <c r="L57" s="264"/>
    </row>
    <row r="58" spans="2:12">
      <c r="B58" s="258">
        <f>B57+1</f>
        <v>2</v>
      </c>
      <c r="C58" s="258" t="s">
        <v>2393</v>
      </c>
      <c r="D58" s="1384">
        <v>0.12</v>
      </c>
      <c r="E58" s="6308"/>
      <c r="F58" s="6309"/>
      <c r="G58" s="1297">
        <v>18.989999999999998</v>
      </c>
      <c r="H58" s="1297"/>
      <c r="I58" s="5980"/>
      <c r="J58" s="1297">
        <v>18.989999999999998</v>
      </c>
      <c r="K58" s="1290">
        <v>1.44</v>
      </c>
      <c r="L58" s="264"/>
    </row>
    <row r="59" spans="2:12">
      <c r="B59" s="258">
        <f>B58+1</f>
        <v>3</v>
      </c>
      <c r="C59" s="258" t="s">
        <v>2393</v>
      </c>
      <c r="D59" s="1384">
        <v>0.12</v>
      </c>
      <c r="E59" s="6308"/>
      <c r="F59" s="6309"/>
      <c r="G59" s="1297">
        <v>18.989999999999998</v>
      </c>
      <c r="H59" s="1297"/>
      <c r="I59" s="5980"/>
      <c r="J59" s="1297">
        <v>18.989999999999998</v>
      </c>
      <c r="K59" s="1290">
        <v>1.44</v>
      </c>
      <c r="L59" s="264"/>
    </row>
    <row r="60" spans="2:12" ht="31.5">
      <c r="B60" s="258">
        <f>B59+1</f>
        <v>4</v>
      </c>
      <c r="C60" s="481" t="s">
        <v>2403</v>
      </c>
      <c r="D60" s="1383">
        <v>0.1065</v>
      </c>
      <c r="E60" s="6308"/>
      <c r="F60" s="6309"/>
      <c r="G60" s="1426">
        <v>63</v>
      </c>
      <c r="H60" s="1297"/>
      <c r="I60" s="5980"/>
      <c r="J60" s="1297">
        <v>0</v>
      </c>
      <c r="K60" s="1290">
        <v>2.82</v>
      </c>
      <c r="L60" s="264"/>
    </row>
    <row r="61" spans="2:12" ht="31.5">
      <c r="B61" s="258">
        <f>B60+1</f>
        <v>5</v>
      </c>
      <c r="C61" s="481" t="s">
        <v>2404</v>
      </c>
      <c r="D61" s="1384">
        <v>0.11</v>
      </c>
      <c r="E61" s="6308"/>
      <c r="F61" s="6309"/>
      <c r="G61" s="1297"/>
      <c r="H61" s="1297">
        <v>90</v>
      </c>
      <c r="I61" s="5980"/>
      <c r="J61" s="1297">
        <v>67.45</v>
      </c>
      <c r="K61" s="1297">
        <v>2.5</v>
      </c>
      <c r="L61" s="264"/>
    </row>
    <row r="62" spans="2:12">
      <c r="B62" s="258">
        <f>B61+1</f>
        <v>6</v>
      </c>
      <c r="C62" s="1290" t="s">
        <v>47</v>
      </c>
      <c r="D62" s="1290"/>
      <c r="E62" s="5833"/>
      <c r="F62" s="5834"/>
      <c r="G62" s="1296">
        <f>SUM(G57:G61)</f>
        <v>102.58</v>
      </c>
      <c r="H62" s="1290"/>
      <c r="I62" s="5981"/>
      <c r="J62" s="1296">
        <f>SUM(J57:J61)</f>
        <v>106.87</v>
      </c>
      <c r="K62" s="1296">
        <f>SUM(K57:K61)</f>
        <v>8.43</v>
      </c>
    </row>
  </sheetData>
  <mergeCells count="34">
    <mergeCell ref="D1:J1"/>
    <mergeCell ref="B3:B4"/>
    <mergeCell ref="D3:D4"/>
    <mergeCell ref="G3:G4"/>
    <mergeCell ref="H3:H4"/>
    <mergeCell ref="I3:I4"/>
    <mergeCell ref="J3:J4"/>
    <mergeCell ref="E57:F62"/>
    <mergeCell ref="I57:I62"/>
    <mergeCell ref="K3:K4"/>
    <mergeCell ref="C3:C4"/>
    <mergeCell ref="C5:C6"/>
    <mergeCell ref="D15:J15"/>
    <mergeCell ref="E3:F3"/>
    <mergeCell ref="C39:E39"/>
    <mergeCell ref="I55:I56"/>
    <mergeCell ref="J55:J56"/>
    <mergeCell ref="K55:K56"/>
    <mergeCell ref="C8:C10"/>
    <mergeCell ref="E21:F21"/>
    <mergeCell ref="C27:C28"/>
    <mergeCell ref="C24:C26"/>
    <mergeCell ref="H55:H56"/>
    <mergeCell ref="B55:B56"/>
    <mergeCell ref="C55:C56"/>
    <mergeCell ref="D55:D56"/>
    <mergeCell ref="E55:F55"/>
    <mergeCell ref="G55:G56"/>
    <mergeCell ref="E53:H53"/>
    <mergeCell ref="D41:E41"/>
    <mergeCell ref="B42:B43"/>
    <mergeCell ref="C42:C43"/>
    <mergeCell ref="D42:D43"/>
    <mergeCell ref="E42:E43"/>
  </mergeCells>
  <pageMargins left="0.7" right="0.7" top="0.75" bottom="0.75" header="0.3" footer="0.3"/>
  <pageSetup paperSize="9" scale="39" orientation="portrait" r:id="rId1"/>
  <legacyDrawing r:id="rId2"/>
</worksheet>
</file>

<file path=xl/worksheets/sheet132.xml><?xml version="1.0" encoding="utf-8"?>
<worksheet xmlns="http://schemas.openxmlformats.org/spreadsheetml/2006/main" xmlns:r="http://schemas.openxmlformats.org/officeDocument/2006/relationships">
  <sheetPr codeName="Sheet111"/>
  <dimension ref="A1:I95"/>
  <sheetViews>
    <sheetView showGridLines="0" view="pageBreakPreview" topLeftCell="A3" zoomScale="80" zoomScaleSheetLayoutView="80" workbookViewId="0">
      <selection activeCell="B23" activeCellId="1" sqref="B57 B23"/>
    </sheetView>
  </sheetViews>
  <sheetFormatPr defaultRowHeight="12"/>
  <cols>
    <col min="1" max="1" width="14.42578125" style="2075" customWidth="1"/>
    <col min="2" max="2" width="16" style="2075" customWidth="1"/>
    <col min="3" max="3" width="14.28515625" style="2075" customWidth="1"/>
    <col min="4" max="4" width="55.140625" style="2075" customWidth="1"/>
    <col min="5" max="5" width="24" style="2075" hidden="1" customWidth="1"/>
    <col min="6" max="6" width="16.7109375" style="2075" customWidth="1"/>
    <col min="7" max="7" width="18.140625" style="2075" customWidth="1"/>
    <col min="8" max="8" width="16.5703125" style="2075" customWidth="1"/>
    <col min="9" max="9" width="10.28515625" style="2075" customWidth="1"/>
    <col min="10" max="10" width="9.140625" style="2075"/>
    <col min="11" max="11" width="14.28515625" style="2075" customWidth="1"/>
    <col min="12" max="255" width="9.140625" style="2075"/>
    <col min="256" max="256" width="14.42578125" style="2075" customWidth="1"/>
    <col min="257" max="257" width="16" style="2075" customWidth="1"/>
    <col min="258" max="258" width="14.28515625" style="2075" customWidth="1"/>
    <col min="259" max="259" width="2.42578125" style="2075" customWidth="1"/>
    <col min="260" max="260" width="55.140625" style="2075" customWidth="1"/>
    <col min="261" max="261" width="0" style="2075" hidden="1" customWidth="1"/>
    <col min="262" max="262" width="16.7109375" style="2075" customWidth="1"/>
    <col min="263" max="263" width="18.140625" style="2075" customWidth="1"/>
    <col min="264" max="264" width="16.5703125" style="2075" customWidth="1"/>
    <col min="265" max="265" width="10.28515625" style="2075" customWidth="1"/>
    <col min="266" max="266" width="9.140625" style="2075"/>
    <col min="267" max="267" width="14.28515625" style="2075" customWidth="1"/>
    <col min="268" max="511" width="9.140625" style="2075"/>
    <col min="512" max="512" width="14.42578125" style="2075" customWidth="1"/>
    <col min="513" max="513" width="16" style="2075" customWidth="1"/>
    <col min="514" max="514" width="14.28515625" style="2075" customWidth="1"/>
    <col min="515" max="515" width="2.42578125" style="2075" customWidth="1"/>
    <col min="516" max="516" width="55.140625" style="2075" customWidth="1"/>
    <col min="517" max="517" width="0" style="2075" hidden="1" customWidth="1"/>
    <col min="518" max="518" width="16.7109375" style="2075" customWidth="1"/>
    <col min="519" max="519" width="18.140625" style="2075" customWidth="1"/>
    <col min="520" max="520" width="16.5703125" style="2075" customWidth="1"/>
    <col min="521" max="521" width="10.28515625" style="2075" customWidth="1"/>
    <col min="522" max="522" width="9.140625" style="2075"/>
    <col min="523" max="523" width="14.28515625" style="2075" customWidth="1"/>
    <col min="524" max="767" width="9.140625" style="2075"/>
    <col min="768" max="768" width="14.42578125" style="2075" customWidth="1"/>
    <col min="769" max="769" width="16" style="2075" customWidth="1"/>
    <col min="770" max="770" width="14.28515625" style="2075" customWidth="1"/>
    <col min="771" max="771" width="2.42578125" style="2075" customWidth="1"/>
    <col min="772" max="772" width="55.140625" style="2075" customWidth="1"/>
    <col min="773" max="773" width="0" style="2075" hidden="1" customWidth="1"/>
    <col min="774" max="774" width="16.7109375" style="2075" customWidth="1"/>
    <col min="775" max="775" width="18.140625" style="2075" customWidth="1"/>
    <col min="776" max="776" width="16.5703125" style="2075" customWidth="1"/>
    <col min="777" max="777" width="10.28515625" style="2075" customWidth="1"/>
    <col min="778" max="778" width="9.140625" style="2075"/>
    <col min="779" max="779" width="14.28515625" style="2075" customWidth="1"/>
    <col min="780" max="1023" width="9.140625" style="2075"/>
    <col min="1024" max="1024" width="14.42578125" style="2075" customWidth="1"/>
    <col min="1025" max="1025" width="16" style="2075" customWidth="1"/>
    <col min="1026" max="1026" width="14.28515625" style="2075" customWidth="1"/>
    <col min="1027" max="1027" width="2.42578125" style="2075" customWidth="1"/>
    <col min="1028" max="1028" width="55.140625" style="2075" customWidth="1"/>
    <col min="1029" max="1029" width="0" style="2075" hidden="1" customWidth="1"/>
    <col min="1030" max="1030" width="16.7109375" style="2075" customWidth="1"/>
    <col min="1031" max="1031" width="18.140625" style="2075" customWidth="1"/>
    <col min="1032" max="1032" width="16.5703125" style="2075" customWidth="1"/>
    <col min="1033" max="1033" width="10.28515625" style="2075" customWidth="1"/>
    <col min="1034" max="1034" width="9.140625" style="2075"/>
    <col min="1035" max="1035" width="14.28515625" style="2075" customWidth="1"/>
    <col min="1036" max="1279" width="9.140625" style="2075"/>
    <col min="1280" max="1280" width="14.42578125" style="2075" customWidth="1"/>
    <col min="1281" max="1281" width="16" style="2075" customWidth="1"/>
    <col min="1282" max="1282" width="14.28515625" style="2075" customWidth="1"/>
    <col min="1283" max="1283" width="2.42578125" style="2075" customWidth="1"/>
    <col min="1284" max="1284" width="55.140625" style="2075" customWidth="1"/>
    <col min="1285" max="1285" width="0" style="2075" hidden="1" customWidth="1"/>
    <col min="1286" max="1286" width="16.7109375" style="2075" customWidth="1"/>
    <col min="1287" max="1287" width="18.140625" style="2075" customWidth="1"/>
    <col min="1288" max="1288" width="16.5703125" style="2075" customWidth="1"/>
    <col min="1289" max="1289" width="10.28515625" style="2075" customWidth="1"/>
    <col min="1290" max="1290" width="9.140625" style="2075"/>
    <col min="1291" max="1291" width="14.28515625" style="2075" customWidth="1"/>
    <col min="1292" max="1535" width="9.140625" style="2075"/>
    <col min="1536" max="1536" width="14.42578125" style="2075" customWidth="1"/>
    <col min="1537" max="1537" width="16" style="2075" customWidth="1"/>
    <col min="1538" max="1538" width="14.28515625" style="2075" customWidth="1"/>
    <col min="1539" max="1539" width="2.42578125" style="2075" customWidth="1"/>
    <col min="1540" max="1540" width="55.140625" style="2075" customWidth="1"/>
    <col min="1541" max="1541" width="0" style="2075" hidden="1" customWidth="1"/>
    <col min="1542" max="1542" width="16.7109375" style="2075" customWidth="1"/>
    <col min="1543" max="1543" width="18.140625" style="2075" customWidth="1"/>
    <col min="1544" max="1544" width="16.5703125" style="2075" customWidth="1"/>
    <col min="1545" max="1545" width="10.28515625" style="2075" customWidth="1"/>
    <col min="1546" max="1546" width="9.140625" style="2075"/>
    <col min="1547" max="1547" width="14.28515625" style="2075" customWidth="1"/>
    <col min="1548" max="1791" width="9.140625" style="2075"/>
    <col min="1792" max="1792" width="14.42578125" style="2075" customWidth="1"/>
    <col min="1793" max="1793" width="16" style="2075" customWidth="1"/>
    <col min="1794" max="1794" width="14.28515625" style="2075" customWidth="1"/>
    <col min="1795" max="1795" width="2.42578125" style="2075" customWidth="1"/>
    <col min="1796" max="1796" width="55.140625" style="2075" customWidth="1"/>
    <col min="1797" max="1797" width="0" style="2075" hidden="1" customWidth="1"/>
    <col min="1798" max="1798" width="16.7109375" style="2075" customWidth="1"/>
    <col min="1799" max="1799" width="18.140625" style="2075" customWidth="1"/>
    <col min="1800" max="1800" width="16.5703125" style="2075" customWidth="1"/>
    <col min="1801" max="1801" width="10.28515625" style="2075" customWidth="1"/>
    <col min="1802" max="1802" width="9.140625" style="2075"/>
    <col min="1803" max="1803" width="14.28515625" style="2075" customWidth="1"/>
    <col min="1804" max="2047" width="9.140625" style="2075"/>
    <col min="2048" max="2048" width="14.42578125" style="2075" customWidth="1"/>
    <col min="2049" max="2049" width="16" style="2075" customWidth="1"/>
    <col min="2050" max="2050" width="14.28515625" style="2075" customWidth="1"/>
    <col min="2051" max="2051" width="2.42578125" style="2075" customWidth="1"/>
    <col min="2052" max="2052" width="55.140625" style="2075" customWidth="1"/>
    <col min="2053" max="2053" width="0" style="2075" hidden="1" customWidth="1"/>
    <col min="2054" max="2054" width="16.7109375" style="2075" customWidth="1"/>
    <col min="2055" max="2055" width="18.140625" style="2075" customWidth="1"/>
    <col min="2056" max="2056" width="16.5703125" style="2075" customWidth="1"/>
    <col min="2057" max="2057" width="10.28515625" style="2075" customWidth="1"/>
    <col min="2058" max="2058" width="9.140625" style="2075"/>
    <col min="2059" max="2059" width="14.28515625" style="2075" customWidth="1"/>
    <col min="2060" max="2303" width="9.140625" style="2075"/>
    <col min="2304" max="2304" width="14.42578125" style="2075" customWidth="1"/>
    <col min="2305" max="2305" width="16" style="2075" customWidth="1"/>
    <col min="2306" max="2306" width="14.28515625" style="2075" customWidth="1"/>
    <col min="2307" max="2307" width="2.42578125" style="2075" customWidth="1"/>
    <col min="2308" max="2308" width="55.140625" style="2075" customWidth="1"/>
    <col min="2309" max="2309" width="0" style="2075" hidden="1" customWidth="1"/>
    <col min="2310" max="2310" width="16.7109375" style="2075" customWidth="1"/>
    <col min="2311" max="2311" width="18.140625" style="2075" customWidth="1"/>
    <col min="2312" max="2312" width="16.5703125" style="2075" customWidth="1"/>
    <col min="2313" max="2313" width="10.28515625" style="2075" customWidth="1"/>
    <col min="2314" max="2314" width="9.140625" style="2075"/>
    <col min="2315" max="2315" width="14.28515625" style="2075" customWidth="1"/>
    <col min="2316" max="2559" width="9.140625" style="2075"/>
    <col min="2560" max="2560" width="14.42578125" style="2075" customWidth="1"/>
    <col min="2561" max="2561" width="16" style="2075" customWidth="1"/>
    <col min="2562" max="2562" width="14.28515625" style="2075" customWidth="1"/>
    <col min="2563" max="2563" width="2.42578125" style="2075" customWidth="1"/>
    <col min="2564" max="2564" width="55.140625" style="2075" customWidth="1"/>
    <col min="2565" max="2565" width="0" style="2075" hidden="1" customWidth="1"/>
    <col min="2566" max="2566" width="16.7109375" style="2075" customWidth="1"/>
    <col min="2567" max="2567" width="18.140625" style="2075" customWidth="1"/>
    <col min="2568" max="2568" width="16.5703125" style="2075" customWidth="1"/>
    <col min="2569" max="2569" width="10.28515625" style="2075" customWidth="1"/>
    <col min="2570" max="2570" width="9.140625" style="2075"/>
    <col min="2571" max="2571" width="14.28515625" style="2075" customWidth="1"/>
    <col min="2572" max="2815" width="9.140625" style="2075"/>
    <col min="2816" max="2816" width="14.42578125" style="2075" customWidth="1"/>
    <col min="2817" max="2817" width="16" style="2075" customWidth="1"/>
    <col min="2818" max="2818" width="14.28515625" style="2075" customWidth="1"/>
    <col min="2819" max="2819" width="2.42578125" style="2075" customWidth="1"/>
    <col min="2820" max="2820" width="55.140625" style="2075" customWidth="1"/>
    <col min="2821" max="2821" width="0" style="2075" hidden="1" customWidth="1"/>
    <col min="2822" max="2822" width="16.7109375" style="2075" customWidth="1"/>
    <col min="2823" max="2823" width="18.140625" style="2075" customWidth="1"/>
    <col min="2824" max="2824" width="16.5703125" style="2075" customWidth="1"/>
    <col min="2825" max="2825" width="10.28515625" style="2075" customWidth="1"/>
    <col min="2826" max="2826" width="9.140625" style="2075"/>
    <col min="2827" max="2827" width="14.28515625" style="2075" customWidth="1"/>
    <col min="2828" max="3071" width="9.140625" style="2075"/>
    <col min="3072" max="3072" width="14.42578125" style="2075" customWidth="1"/>
    <col min="3073" max="3073" width="16" style="2075" customWidth="1"/>
    <col min="3074" max="3074" width="14.28515625" style="2075" customWidth="1"/>
    <col min="3075" max="3075" width="2.42578125" style="2075" customWidth="1"/>
    <col min="3076" max="3076" width="55.140625" style="2075" customWidth="1"/>
    <col min="3077" max="3077" width="0" style="2075" hidden="1" customWidth="1"/>
    <col min="3078" max="3078" width="16.7109375" style="2075" customWidth="1"/>
    <col min="3079" max="3079" width="18.140625" style="2075" customWidth="1"/>
    <col min="3080" max="3080" width="16.5703125" style="2075" customWidth="1"/>
    <col min="3081" max="3081" width="10.28515625" style="2075" customWidth="1"/>
    <col min="3082" max="3082" width="9.140625" style="2075"/>
    <col min="3083" max="3083" width="14.28515625" style="2075" customWidth="1"/>
    <col min="3084" max="3327" width="9.140625" style="2075"/>
    <col min="3328" max="3328" width="14.42578125" style="2075" customWidth="1"/>
    <col min="3329" max="3329" width="16" style="2075" customWidth="1"/>
    <col min="3330" max="3330" width="14.28515625" style="2075" customWidth="1"/>
    <col min="3331" max="3331" width="2.42578125" style="2075" customWidth="1"/>
    <col min="3332" max="3332" width="55.140625" style="2075" customWidth="1"/>
    <col min="3333" max="3333" width="0" style="2075" hidden="1" customWidth="1"/>
    <col min="3334" max="3334" width="16.7109375" style="2075" customWidth="1"/>
    <col min="3335" max="3335" width="18.140625" style="2075" customWidth="1"/>
    <col min="3336" max="3336" width="16.5703125" style="2075" customWidth="1"/>
    <col min="3337" max="3337" width="10.28515625" style="2075" customWidth="1"/>
    <col min="3338" max="3338" width="9.140625" style="2075"/>
    <col min="3339" max="3339" width="14.28515625" style="2075" customWidth="1"/>
    <col min="3340" max="3583" width="9.140625" style="2075"/>
    <col min="3584" max="3584" width="14.42578125" style="2075" customWidth="1"/>
    <col min="3585" max="3585" width="16" style="2075" customWidth="1"/>
    <col min="3586" max="3586" width="14.28515625" style="2075" customWidth="1"/>
    <col min="3587" max="3587" width="2.42578125" style="2075" customWidth="1"/>
    <col min="3588" max="3588" width="55.140625" style="2075" customWidth="1"/>
    <col min="3589" max="3589" width="0" style="2075" hidden="1" customWidth="1"/>
    <col min="3590" max="3590" width="16.7109375" style="2075" customWidth="1"/>
    <col min="3591" max="3591" width="18.140625" style="2075" customWidth="1"/>
    <col min="3592" max="3592" width="16.5703125" style="2075" customWidth="1"/>
    <col min="3593" max="3593" width="10.28515625" style="2075" customWidth="1"/>
    <col min="3594" max="3594" width="9.140625" style="2075"/>
    <col min="3595" max="3595" width="14.28515625" style="2075" customWidth="1"/>
    <col min="3596" max="3839" width="9.140625" style="2075"/>
    <col min="3840" max="3840" width="14.42578125" style="2075" customWidth="1"/>
    <col min="3841" max="3841" width="16" style="2075" customWidth="1"/>
    <col min="3842" max="3842" width="14.28515625" style="2075" customWidth="1"/>
    <col min="3843" max="3843" width="2.42578125" style="2075" customWidth="1"/>
    <col min="3844" max="3844" width="55.140625" style="2075" customWidth="1"/>
    <col min="3845" max="3845" width="0" style="2075" hidden="1" customWidth="1"/>
    <col min="3846" max="3846" width="16.7109375" style="2075" customWidth="1"/>
    <col min="3847" max="3847" width="18.140625" style="2075" customWidth="1"/>
    <col min="3848" max="3848" width="16.5703125" style="2075" customWidth="1"/>
    <col min="3849" max="3849" width="10.28515625" style="2075" customWidth="1"/>
    <col min="3850" max="3850" width="9.140625" style="2075"/>
    <col min="3851" max="3851" width="14.28515625" style="2075" customWidth="1"/>
    <col min="3852" max="4095" width="9.140625" style="2075"/>
    <col min="4096" max="4096" width="14.42578125" style="2075" customWidth="1"/>
    <col min="4097" max="4097" width="16" style="2075" customWidth="1"/>
    <col min="4098" max="4098" width="14.28515625" style="2075" customWidth="1"/>
    <col min="4099" max="4099" width="2.42578125" style="2075" customWidth="1"/>
    <col min="4100" max="4100" width="55.140625" style="2075" customWidth="1"/>
    <col min="4101" max="4101" width="0" style="2075" hidden="1" customWidth="1"/>
    <col min="4102" max="4102" width="16.7109375" style="2075" customWidth="1"/>
    <col min="4103" max="4103" width="18.140625" style="2075" customWidth="1"/>
    <col min="4104" max="4104" width="16.5703125" style="2075" customWidth="1"/>
    <col min="4105" max="4105" width="10.28515625" style="2075" customWidth="1"/>
    <col min="4106" max="4106" width="9.140625" style="2075"/>
    <col min="4107" max="4107" width="14.28515625" style="2075" customWidth="1"/>
    <col min="4108" max="4351" width="9.140625" style="2075"/>
    <col min="4352" max="4352" width="14.42578125" style="2075" customWidth="1"/>
    <col min="4353" max="4353" width="16" style="2075" customWidth="1"/>
    <col min="4354" max="4354" width="14.28515625" style="2075" customWidth="1"/>
    <col min="4355" max="4355" width="2.42578125" style="2075" customWidth="1"/>
    <col min="4356" max="4356" width="55.140625" style="2075" customWidth="1"/>
    <col min="4357" max="4357" width="0" style="2075" hidden="1" customWidth="1"/>
    <col min="4358" max="4358" width="16.7109375" style="2075" customWidth="1"/>
    <col min="4359" max="4359" width="18.140625" style="2075" customWidth="1"/>
    <col min="4360" max="4360" width="16.5703125" style="2075" customWidth="1"/>
    <col min="4361" max="4361" width="10.28515625" style="2075" customWidth="1"/>
    <col min="4362" max="4362" width="9.140625" style="2075"/>
    <col min="4363" max="4363" width="14.28515625" style="2075" customWidth="1"/>
    <col min="4364" max="4607" width="9.140625" style="2075"/>
    <col min="4608" max="4608" width="14.42578125" style="2075" customWidth="1"/>
    <col min="4609" max="4609" width="16" style="2075" customWidth="1"/>
    <col min="4610" max="4610" width="14.28515625" style="2075" customWidth="1"/>
    <col min="4611" max="4611" width="2.42578125" style="2075" customWidth="1"/>
    <col min="4612" max="4612" width="55.140625" style="2075" customWidth="1"/>
    <col min="4613" max="4613" width="0" style="2075" hidden="1" customWidth="1"/>
    <col min="4614" max="4614" width="16.7109375" style="2075" customWidth="1"/>
    <col min="4615" max="4615" width="18.140625" style="2075" customWidth="1"/>
    <col min="4616" max="4616" width="16.5703125" style="2075" customWidth="1"/>
    <col min="4617" max="4617" width="10.28515625" style="2075" customWidth="1"/>
    <col min="4618" max="4618" width="9.140625" style="2075"/>
    <col min="4619" max="4619" width="14.28515625" style="2075" customWidth="1"/>
    <col min="4620" max="4863" width="9.140625" style="2075"/>
    <col min="4864" max="4864" width="14.42578125" style="2075" customWidth="1"/>
    <col min="4865" max="4865" width="16" style="2075" customWidth="1"/>
    <col min="4866" max="4866" width="14.28515625" style="2075" customWidth="1"/>
    <col min="4867" max="4867" width="2.42578125" style="2075" customWidth="1"/>
    <col min="4868" max="4868" width="55.140625" style="2075" customWidth="1"/>
    <col min="4869" max="4869" width="0" style="2075" hidden="1" customWidth="1"/>
    <col min="4870" max="4870" width="16.7109375" style="2075" customWidth="1"/>
    <col min="4871" max="4871" width="18.140625" style="2075" customWidth="1"/>
    <col min="4872" max="4872" width="16.5703125" style="2075" customWidth="1"/>
    <col min="4873" max="4873" width="10.28515625" style="2075" customWidth="1"/>
    <col min="4874" max="4874" width="9.140625" style="2075"/>
    <col min="4875" max="4875" width="14.28515625" style="2075" customWidth="1"/>
    <col min="4876" max="5119" width="9.140625" style="2075"/>
    <col min="5120" max="5120" width="14.42578125" style="2075" customWidth="1"/>
    <col min="5121" max="5121" width="16" style="2075" customWidth="1"/>
    <col min="5122" max="5122" width="14.28515625" style="2075" customWidth="1"/>
    <col min="5123" max="5123" width="2.42578125" style="2075" customWidth="1"/>
    <col min="5124" max="5124" width="55.140625" style="2075" customWidth="1"/>
    <col min="5125" max="5125" width="0" style="2075" hidden="1" customWidth="1"/>
    <col min="5126" max="5126" width="16.7109375" style="2075" customWidth="1"/>
    <col min="5127" max="5127" width="18.140625" style="2075" customWidth="1"/>
    <col min="5128" max="5128" width="16.5703125" style="2075" customWidth="1"/>
    <col min="5129" max="5129" width="10.28515625" style="2075" customWidth="1"/>
    <col min="5130" max="5130" width="9.140625" style="2075"/>
    <col min="5131" max="5131" width="14.28515625" style="2075" customWidth="1"/>
    <col min="5132" max="5375" width="9.140625" style="2075"/>
    <col min="5376" max="5376" width="14.42578125" style="2075" customWidth="1"/>
    <col min="5377" max="5377" width="16" style="2075" customWidth="1"/>
    <col min="5378" max="5378" width="14.28515625" style="2075" customWidth="1"/>
    <col min="5379" max="5379" width="2.42578125" style="2075" customWidth="1"/>
    <col min="5380" max="5380" width="55.140625" style="2075" customWidth="1"/>
    <col min="5381" max="5381" width="0" style="2075" hidden="1" customWidth="1"/>
    <col min="5382" max="5382" width="16.7109375" style="2075" customWidth="1"/>
    <col min="5383" max="5383" width="18.140625" style="2075" customWidth="1"/>
    <col min="5384" max="5384" width="16.5703125" style="2075" customWidth="1"/>
    <col min="5385" max="5385" width="10.28515625" style="2075" customWidth="1"/>
    <col min="5386" max="5386" width="9.140625" style="2075"/>
    <col min="5387" max="5387" width="14.28515625" style="2075" customWidth="1"/>
    <col min="5388" max="5631" width="9.140625" style="2075"/>
    <col min="5632" max="5632" width="14.42578125" style="2075" customWidth="1"/>
    <col min="5633" max="5633" width="16" style="2075" customWidth="1"/>
    <col min="5634" max="5634" width="14.28515625" style="2075" customWidth="1"/>
    <col min="5635" max="5635" width="2.42578125" style="2075" customWidth="1"/>
    <col min="5636" max="5636" width="55.140625" style="2075" customWidth="1"/>
    <col min="5637" max="5637" width="0" style="2075" hidden="1" customWidth="1"/>
    <col min="5638" max="5638" width="16.7109375" style="2075" customWidth="1"/>
    <col min="5639" max="5639" width="18.140625" style="2075" customWidth="1"/>
    <col min="5640" max="5640" width="16.5703125" style="2075" customWidth="1"/>
    <col min="5641" max="5641" width="10.28515625" style="2075" customWidth="1"/>
    <col min="5642" max="5642" width="9.140625" style="2075"/>
    <col min="5643" max="5643" width="14.28515625" style="2075" customWidth="1"/>
    <col min="5644" max="5887" width="9.140625" style="2075"/>
    <col min="5888" max="5888" width="14.42578125" style="2075" customWidth="1"/>
    <col min="5889" max="5889" width="16" style="2075" customWidth="1"/>
    <col min="5890" max="5890" width="14.28515625" style="2075" customWidth="1"/>
    <col min="5891" max="5891" width="2.42578125" style="2075" customWidth="1"/>
    <col min="5892" max="5892" width="55.140625" style="2075" customWidth="1"/>
    <col min="5893" max="5893" width="0" style="2075" hidden="1" customWidth="1"/>
    <col min="5894" max="5894" width="16.7109375" style="2075" customWidth="1"/>
    <col min="5895" max="5895" width="18.140625" style="2075" customWidth="1"/>
    <col min="5896" max="5896" width="16.5703125" style="2075" customWidth="1"/>
    <col min="5897" max="5897" width="10.28515625" style="2075" customWidth="1"/>
    <col min="5898" max="5898" width="9.140625" style="2075"/>
    <col min="5899" max="5899" width="14.28515625" style="2075" customWidth="1"/>
    <col min="5900" max="6143" width="9.140625" style="2075"/>
    <col min="6144" max="6144" width="14.42578125" style="2075" customWidth="1"/>
    <col min="6145" max="6145" width="16" style="2075" customWidth="1"/>
    <col min="6146" max="6146" width="14.28515625" style="2075" customWidth="1"/>
    <col min="6147" max="6147" width="2.42578125" style="2075" customWidth="1"/>
    <col min="6148" max="6148" width="55.140625" style="2075" customWidth="1"/>
    <col min="6149" max="6149" width="0" style="2075" hidden="1" customWidth="1"/>
    <col min="6150" max="6150" width="16.7109375" style="2075" customWidth="1"/>
    <col min="6151" max="6151" width="18.140625" style="2075" customWidth="1"/>
    <col min="6152" max="6152" width="16.5703125" style="2075" customWidth="1"/>
    <col min="6153" max="6153" width="10.28515625" style="2075" customWidth="1"/>
    <col min="6154" max="6154" width="9.140625" style="2075"/>
    <col min="6155" max="6155" width="14.28515625" style="2075" customWidth="1"/>
    <col min="6156" max="6399" width="9.140625" style="2075"/>
    <col min="6400" max="6400" width="14.42578125" style="2075" customWidth="1"/>
    <col min="6401" max="6401" width="16" style="2075" customWidth="1"/>
    <col min="6402" max="6402" width="14.28515625" style="2075" customWidth="1"/>
    <col min="6403" max="6403" width="2.42578125" style="2075" customWidth="1"/>
    <col min="6404" max="6404" width="55.140625" style="2075" customWidth="1"/>
    <col min="6405" max="6405" width="0" style="2075" hidden="1" customWidth="1"/>
    <col min="6406" max="6406" width="16.7109375" style="2075" customWidth="1"/>
    <col min="6407" max="6407" width="18.140625" style="2075" customWidth="1"/>
    <col min="6408" max="6408" width="16.5703125" style="2075" customWidth="1"/>
    <col min="6409" max="6409" width="10.28515625" style="2075" customWidth="1"/>
    <col min="6410" max="6410" width="9.140625" style="2075"/>
    <col min="6411" max="6411" width="14.28515625" style="2075" customWidth="1"/>
    <col min="6412" max="6655" width="9.140625" style="2075"/>
    <col min="6656" max="6656" width="14.42578125" style="2075" customWidth="1"/>
    <col min="6657" max="6657" width="16" style="2075" customWidth="1"/>
    <col min="6658" max="6658" width="14.28515625" style="2075" customWidth="1"/>
    <col min="6659" max="6659" width="2.42578125" style="2075" customWidth="1"/>
    <col min="6660" max="6660" width="55.140625" style="2075" customWidth="1"/>
    <col min="6661" max="6661" width="0" style="2075" hidden="1" customWidth="1"/>
    <col min="6662" max="6662" width="16.7109375" style="2075" customWidth="1"/>
    <col min="6663" max="6663" width="18.140625" style="2075" customWidth="1"/>
    <col min="6664" max="6664" width="16.5703125" style="2075" customWidth="1"/>
    <col min="6665" max="6665" width="10.28515625" style="2075" customWidth="1"/>
    <col min="6666" max="6666" width="9.140625" style="2075"/>
    <col min="6667" max="6667" width="14.28515625" style="2075" customWidth="1"/>
    <col min="6668" max="6911" width="9.140625" style="2075"/>
    <col min="6912" max="6912" width="14.42578125" style="2075" customWidth="1"/>
    <col min="6913" max="6913" width="16" style="2075" customWidth="1"/>
    <col min="6914" max="6914" width="14.28515625" style="2075" customWidth="1"/>
    <col min="6915" max="6915" width="2.42578125" style="2075" customWidth="1"/>
    <col min="6916" max="6916" width="55.140625" style="2075" customWidth="1"/>
    <col min="6917" max="6917" width="0" style="2075" hidden="1" customWidth="1"/>
    <col min="6918" max="6918" width="16.7109375" style="2075" customWidth="1"/>
    <col min="6919" max="6919" width="18.140625" style="2075" customWidth="1"/>
    <col min="6920" max="6920" width="16.5703125" style="2075" customWidth="1"/>
    <col min="6921" max="6921" width="10.28515625" style="2075" customWidth="1"/>
    <col min="6922" max="6922" width="9.140625" style="2075"/>
    <col min="6923" max="6923" width="14.28515625" style="2075" customWidth="1"/>
    <col min="6924" max="7167" width="9.140625" style="2075"/>
    <col min="7168" max="7168" width="14.42578125" style="2075" customWidth="1"/>
    <col min="7169" max="7169" width="16" style="2075" customWidth="1"/>
    <col min="7170" max="7170" width="14.28515625" style="2075" customWidth="1"/>
    <col min="7171" max="7171" width="2.42578125" style="2075" customWidth="1"/>
    <col min="7172" max="7172" width="55.140625" style="2075" customWidth="1"/>
    <col min="7173" max="7173" width="0" style="2075" hidden="1" customWidth="1"/>
    <col min="7174" max="7174" width="16.7109375" style="2075" customWidth="1"/>
    <col min="7175" max="7175" width="18.140625" style="2075" customWidth="1"/>
    <col min="7176" max="7176" width="16.5703125" style="2075" customWidth="1"/>
    <col min="7177" max="7177" width="10.28515625" style="2075" customWidth="1"/>
    <col min="7178" max="7178" width="9.140625" style="2075"/>
    <col min="7179" max="7179" width="14.28515625" style="2075" customWidth="1"/>
    <col min="7180" max="7423" width="9.140625" style="2075"/>
    <col min="7424" max="7424" width="14.42578125" style="2075" customWidth="1"/>
    <col min="7425" max="7425" width="16" style="2075" customWidth="1"/>
    <col min="7426" max="7426" width="14.28515625" style="2075" customWidth="1"/>
    <col min="7427" max="7427" width="2.42578125" style="2075" customWidth="1"/>
    <col min="7428" max="7428" width="55.140625" style="2075" customWidth="1"/>
    <col min="7429" max="7429" width="0" style="2075" hidden="1" customWidth="1"/>
    <col min="7430" max="7430" width="16.7109375" style="2075" customWidth="1"/>
    <col min="7431" max="7431" width="18.140625" style="2075" customWidth="1"/>
    <col min="7432" max="7432" width="16.5703125" style="2075" customWidth="1"/>
    <col min="7433" max="7433" width="10.28515625" style="2075" customWidth="1"/>
    <col min="7434" max="7434" width="9.140625" style="2075"/>
    <col min="7435" max="7435" width="14.28515625" style="2075" customWidth="1"/>
    <col min="7436" max="7679" width="9.140625" style="2075"/>
    <col min="7680" max="7680" width="14.42578125" style="2075" customWidth="1"/>
    <col min="7681" max="7681" width="16" style="2075" customWidth="1"/>
    <col min="7682" max="7682" width="14.28515625" style="2075" customWidth="1"/>
    <col min="7683" max="7683" width="2.42578125" style="2075" customWidth="1"/>
    <col min="7684" max="7684" width="55.140625" style="2075" customWidth="1"/>
    <col min="7685" max="7685" width="0" style="2075" hidden="1" customWidth="1"/>
    <col min="7686" max="7686" width="16.7109375" style="2075" customWidth="1"/>
    <col min="7687" max="7687" width="18.140625" style="2075" customWidth="1"/>
    <col min="7688" max="7688" width="16.5703125" style="2075" customWidth="1"/>
    <col min="7689" max="7689" width="10.28515625" style="2075" customWidth="1"/>
    <col min="7690" max="7690" width="9.140625" style="2075"/>
    <col min="7691" max="7691" width="14.28515625" style="2075" customWidth="1"/>
    <col min="7692" max="7935" width="9.140625" style="2075"/>
    <col min="7936" max="7936" width="14.42578125" style="2075" customWidth="1"/>
    <col min="7937" max="7937" width="16" style="2075" customWidth="1"/>
    <col min="7938" max="7938" width="14.28515625" style="2075" customWidth="1"/>
    <col min="7939" max="7939" width="2.42578125" style="2075" customWidth="1"/>
    <col min="7940" max="7940" width="55.140625" style="2075" customWidth="1"/>
    <col min="7941" max="7941" width="0" style="2075" hidden="1" customWidth="1"/>
    <col min="7942" max="7942" width="16.7109375" style="2075" customWidth="1"/>
    <col min="7943" max="7943" width="18.140625" style="2075" customWidth="1"/>
    <col min="7944" max="7944" width="16.5703125" style="2075" customWidth="1"/>
    <col min="7945" max="7945" width="10.28515625" style="2075" customWidth="1"/>
    <col min="7946" max="7946" width="9.140625" style="2075"/>
    <col min="7947" max="7947" width="14.28515625" style="2075" customWidth="1"/>
    <col min="7948" max="8191" width="9.140625" style="2075"/>
    <col min="8192" max="8192" width="14.42578125" style="2075" customWidth="1"/>
    <col min="8193" max="8193" width="16" style="2075" customWidth="1"/>
    <col min="8194" max="8194" width="14.28515625" style="2075" customWidth="1"/>
    <col min="8195" max="8195" width="2.42578125" style="2075" customWidth="1"/>
    <col min="8196" max="8196" width="55.140625" style="2075" customWidth="1"/>
    <col min="8197" max="8197" width="0" style="2075" hidden="1" customWidth="1"/>
    <col min="8198" max="8198" width="16.7109375" style="2075" customWidth="1"/>
    <col min="8199" max="8199" width="18.140625" style="2075" customWidth="1"/>
    <col min="8200" max="8200" width="16.5703125" style="2075" customWidth="1"/>
    <col min="8201" max="8201" width="10.28515625" style="2075" customWidth="1"/>
    <col min="8202" max="8202" width="9.140625" style="2075"/>
    <col min="8203" max="8203" width="14.28515625" style="2075" customWidth="1"/>
    <col min="8204" max="8447" width="9.140625" style="2075"/>
    <col min="8448" max="8448" width="14.42578125" style="2075" customWidth="1"/>
    <col min="8449" max="8449" width="16" style="2075" customWidth="1"/>
    <col min="8450" max="8450" width="14.28515625" style="2075" customWidth="1"/>
    <col min="8451" max="8451" width="2.42578125" style="2075" customWidth="1"/>
    <col min="8452" max="8452" width="55.140625" style="2075" customWidth="1"/>
    <col min="8453" max="8453" width="0" style="2075" hidden="1" customWidth="1"/>
    <col min="8454" max="8454" width="16.7109375" style="2075" customWidth="1"/>
    <col min="8455" max="8455" width="18.140625" style="2075" customWidth="1"/>
    <col min="8456" max="8456" width="16.5703125" style="2075" customWidth="1"/>
    <col min="8457" max="8457" width="10.28515625" style="2075" customWidth="1"/>
    <col min="8458" max="8458" width="9.140625" style="2075"/>
    <col min="8459" max="8459" width="14.28515625" style="2075" customWidth="1"/>
    <col min="8460" max="8703" width="9.140625" style="2075"/>
    <col min="8704" max="8704" width="14.42578125" style="2075" customWidth="1"/>
    <col min="8705" max="8705" width="16" style="2075" customWidth="1"/>
    <col min="8706" max="8706" width="14.28515625" style="2075" customWidth="1"/>
    <col min="8707" max="8707" width="2.42578125" style="2075" customWidth="1"/>
    <col min="8708" max="8708" width="55.140625" style="2075" customWidth="1"/>
    <col min="8709" max="8709" width="0" style="2075" hidden="1" customWidth="1"/>
    <col min="8710" max="8710" width="16.7109375" style="2075" customWidth="1"/>
    <col min="8711" max="8711" width="18.140625" style="2075" customWidth="1"/>
    <col min="8712" max="8712" width="16.5703125" style="2075" customWidth="1"/>
    <col min="8713" max="8713" width="10.28515625" style="2075" customWidth="1"/>
    <col min="8714" max="8714" width="9.140625" style="2075"/>
    <col min="8715" max="8715" width="14.28515625" style="2075" customWidth="1"/>
    <col min="8716" max="8959" width="9.140625" style="2075"/>
    <col min="8960" max="8960" width="14.42578125" style="2075" customWidth="1"/>
    <col min="8961" max="8961" width="16" style="2075" customWidth="1"/>
    <col min="8962" max="8962" width="14.28515625" style="2075" customWidth="1"/>
    <col min="8963" max="8963" width="2.42578125" style="2075" customWidth="1"/>
    <col min="8964" max="8964" width="55.140625" style="2075" customWidth="1"/>
    <col min="8965" max="8965" width="0" style="2075" hidden="1" customWidth="1"/>
    <col min="8966" max="8966" width="16.7109375" style="2075" customWidth="1"/>
    <col min="8967" max="8967" width="18.140625" style="2075" customWidth="1"/>
    <col min="8968" max="8968" width="16.5703125" style="2075" customWidth="1"/>
    <col min="8969" max="8969" width="10.28515625" style="2075" customWidth="1"/>
    <col min="8970" max="8970" width="9.140625" style="2075"/>
    <col min="8971" max="8971" width="14.28515625" style="2075" customWidth="1"/>
    <col min="8972" max="9215" width="9.140625" style="2075"/>
    <col min="9216" max="9216" width="14.42578125" style="2075" customWidth="1"/>
    <col min="9217" max="9217" width="16" style="2075" customWidth="1"/>
    <col min="9218" max="9218" width="14.28515625" style="2075" customWidth="1"/>
    <col min="9219" max="9219" width="2.42578125" style="2075" customWidth="1"/>
    <col min="9220" max="9220" width="55.140625" style="2075" customWidth="1"/>
    <col min="9221" max="9221" width="0" style="2075" hidden="1" customWidth="1"/>
    <col min="9222" max="9222" width="16.7109375" style="2075" customWidth="1"/>
    <col min="9223" max="9223" width="18.140625" style="2075" customWidth="1"/>
    <col min="9224" max="9224" width="16.5703125" style="2075" customWidth="1"/>
    <col min="9225" max="9225" width="10.28515625" style="2075" customWidth="1"/>
    <col min="9226" max="9226" width="9.140625" style="2075"/>
    <col min="9227" max="9227" width="14.28515625" style="2075" customWidth="1"/>
    <col min="9228" max="9471" width="9.140625" style="2075"/>
    <col min="9472" max="9472" width="14.42578125" style="2075" customWidth="1"/>
    <col min="9473" max="9473" width="16" style="2075" customWidth="1"/>
    <col min="9474" max="9474" width="14.28515625" style="2075" customWidth="1"/>
    <col min="9475" max="9475" width="2.42578125" style="2075" customWidth="1"/>
    <col min="9476" max="9476" width="55.140625" style="2075" customWidth="1"/>
    <col min="9477" max="9477" width="0" style="2075" hidden="1" customWidth="1"/>
    <col min="9478" max="9478" width="16.7109375" style="2075" customWidth="1"/>
    <col min="9479" max="9479" width="18.140625" style="2075" customWidth="1"/>
    <col min="9480" max="9480" width="16.5703125" style="2075" customWidth="1"/>
    <col min="9481" max="9481" width="10.28515625" style="2075" customWidth="1"/>
    <col min="9482" max="9482" width="9.140625" style="2075"/>
    <col min="9483" max="9483" width="14.28515625" style="2075" customWidth="1"/>
    <col min="9484" max="9727" width="9.140625" style="2075"/>
    <col min="9728" max="9728" width="14.42578125" style="2075" customWidth="1"/>
    <col min="9729" max="9729" width="16" style="2075" customWidth="1"/>
    <col min="9730" max="9730" width="14.28515625" style="2075" customWidth="1"/>
    <col min="9731" max="9731" width="2.42578125" style="2075" customWidth="1"/>
    <col min="9732" max="9732" width="55.140625" style="2075" customWidth="1"/>
    <col min="9733" max="9733" width="0" style="2075" hidden="1" customWidth="1"/>
    <col min="9734" max="9734" width="16.7109375" style="2075" customWidth="1"/>
    <col min="9735" max="9735" width="18.140625" style="2075" customWidth="1"/>
    <col min="9736" max="9736" width="16.5703125" style="2075" customWidth="1"/>
    <col min="9737" max="9737" width="10.28515625" style="2075" customWidth="1"/>
    <col min="9738" max="9738" width="9.140625" style="2075"/>
    <col min="9739" max="9739" width="14.28515625" style="2075" customWidth="1"/>
    <col min="9740" max="9983" width="9.140625" style="2075"/>
    <col min="9984" max="9984" width="14.42578125" style="2075" customWidth="1"/>
    <col min="9985" max="9985" width="16" style="2075" customWidth="1"/>
    <col min="9986" max="9986" width="14.28515625" style="2075" customWidth="1"/>
    <col min="9987" max="9987" width="2.42578125" style="2075" customWidth="1"/>
    <col min="9988" max="9988" width="55.140625" style="2075" customWidth="1"/>
    <col min="9989" max="9989" width="0" style="2075" hidden="1" customWidth="1"/>
    <col min="9990" max="9990" width="16.7109375" style="2075" customWidth="1"/>
    <col min="9991" max="9991" width="18.140625" style="2075" customWidth="1"/>
    <col min="9992" max="9992" width="16.5703125" style="2075" customWidth="1"/>
    <col min="9993" max="9993" width="10.28515625" style="2075" customWidth="1"/>
    <col min="9994" max="9994" width="9.140625" style="2075"/>
    <col min="9995" max="9995" width="14.28515625" style="2075" customWidth="1"/>
    <col min="9996" max="10239" width="9.140625" style="2075"/>
    <col min="10240" max="10240" width="14.42578125" style="2075" customWidth="1"/>
    <col min="10241" max="10241" width="16" style="2075" customWidth="1"/>
    <col min="10242" max="10242" width="14.28515625" style="2075" customWidth="1"/>
    <col min="10243" max="10243" width="2.42578125" style="2075" customWidth="1"/>
    <col min="10244" max="10244" width="55.140625" style="2075" customWidth="1"/>
    <col min="10245" max="10245" width="0" style="2075" hidden="1" customWidth="1"/>
    <col min="10246" max="10246" width="16.7109375" style="2075" customWidth="1"/>
    <col min="10247" max="10247" width="18.140625" style="2075" customWidth="1"/>
    <col min="10248" max="10248" width="16.5703125" style="2075" customWidth="1"/>
    <col min="10249" max="10249" width="10.28515625" style="2075" customWidth="1"/>
    <col min="10250" max="10250" width="9.140625" style="2075"/>
    <col min="10251" max="10251" width="14.28515625" style="2075" customWidth="1"/>
    <col min="10252" max="10495" width="9.140625" style="2075"/>
    <col min="10496" max="10496" width="14.42578125" style="2075" customWidth="1"/>
    <col min="10497" max="10497" width="16" style="2075" customWidth="1"/>
    <col min="10498" max="10498" width="14.28515625" style="2075" customWidth="1"/>
    <col min="10499" max="10499" width="2.42578125" style="2075" customWidth="1"/>
    <col min="10500" max="10500" width="55.140625" style="2075" customWidth="1"/>
    <col min="10501" max="10501" width="0" style="2075" hidden="1" customWidth="1"/>
    <col min="10502" max="10502" width="16.7109375" style="2075" customWidth="1"/>
    <col min="10503" max="10503" width="18.140625" style="2075" customWidth="1"/>
    <col min="10504" max="10504" width="16.5703125" style="2075" customWidth="1"/>
    <col min="10505" max="10505" width="10.28515625" style="2075" customWidth="1"/>
    <col min="10506" max="10506" width="9.140625" style="2075"/>
    <col min="10507" max="10507" width="14.28515625" style="2075" customWidth="1"/>
    <col min="10508" max="10751" width="9.140625" style="2075"/>
    <col min="10752" max="10752" width="14.42578125" style="2075" customWidth="1"/>
    <col min="10753" max="10753" width="16" style="2075" customWidth="1"/>
    <col min="10754" max="10754" width="14.28515625" style="2075" customWidth="1"/>
    <col min="10755" max="10755" width="2.42578125" style="2075" customWidth="1"/>
    <col min="10756" max="10756" width="55.140625" style="2075" customWidth="1"/>
    <col min="10757" max="10757" width="0" style="2075" hidden="1" customWidth="1"/>
    <col min="10758" max="10758" width="16.7109375" style="2075" customWidth="1"/>
    <col min="10759" max="10759" width="18.140625" style="2075" customWidth="1"/>
    <col min="10760" max="10760" width="16.5703125" style="2075" customWidth="1"/>
    <col min="10761" max="10761" width="10.28515625" style="2075" customWidth="1"/>
    <col min="10762" max="10762" width="9.140625" style="2075"/>
    <col min="10763" max="10763" width="14.28515625" style="2075" customWidth="1"/>
    <col min="10764" max="11007" width="9.140625" style="2075"/>
    <col min="11008" max="11008" width="14.42578125" style="2075" customWidth="1"/>
    <col min="11009" max="11009" width="16" style="2075" customWidth="1"/>
    <col min="11010" max="11010" width="14.28515625" style="2075" customWidth="1"/>
    <col min="11011" max="11011" width="2.42578125" style="2075" customWidth="1"/>
    <col min="11012" max="11012" width="55.140625" style="2075" customWidth="1"/>
    <col min="11013" max="11013" width="0" style="2075" hidden="1" customWidth="1"/>
    <col min="11014" max="11014" width="16.7109375" style="2075" customWidth="1"/>
    <col min="11015" max="11015" width="18.140625" style="2075" customWidth="1"/>
    <col min="11016" max="11016" width="16.5703125" style="2075" customWidth="1"/>
    <col min="11017" max="11017" width="10.28515625" style="2075" customWidth="1"/>
    <col min="11018" max="11018" width="9.140625" style="2075"/>
    <col min="11019" max="11019" width="14.28515625" style="2075" customWidth="1"/>
    <col min="11020" max="11263" width="9.140625" style="2075"/>
    <col min="11264" max="11264" width="14.42578125" style="2075" customWidth="1"/>
    <col min="11265" max="11265" width="16" style="2075" customWidth="1"/>
    <col min="11266" max="11266" width="14.28515625" style="2075" customWidth="1"/>
    <col min="11267" max="11267" width="2.42578125" style="2075" customWidth="1"/>
    <col min="11268" max="11268" width="55.140625" style="2075" customWidth="1"/>
    <col min="11269" max="11269" width="0" style="2075" hidden="1" customWidth="1"/>
    <col min="11270" max="11270" width="16.7109375" style="2075" customWidth="1"/>
    <col min="11271" max="11271" width="18.140625" style="2075" customWidth="1"/>
    <col min="11272" max="11272" width="16.5703125" style="2075" customWidth="1"/>
    <col min="11273" max="11273" width="10.28515625" style="2075" customWidth="1"/>
    <col min="11274" max="11274" width="9.140625" style="2075"/>
    <col min="11275" max="11275" width="14.28515625" style="2075" customWidth="1"/>
    <col min="11276" max="11519" width="9.140625" style="2075"/>
    <col min="11520" max="11520" width="14.42578125" style="2075" customWidth="1"/>
    <col min="11521" max="11521" width="16" style="2075" customWidth="1"/>
    <col min="11522" max="11522" width="14.28515625" style="2075" customWidth="1"/>
    <col min="11523" max="11523" width="2.42578125" style="2075" customWidth="1"/>
    <col min="11524" max="11524" width="55.140625" style="2075" customWidth="1"/>
    <col min="11525" max="11525" width="0" style="2075" hidden="1" customWidth="1"/>
    <col min="11526" max="11526" width="16.7109375" style="2075" customWidth="1"/>
    <col min="11527" max="11527" width="18.140625" style="2075" customWidth="1"/>
    <col min="11528" max="11528" width="16.5703125" style="2075" customWidth="1"/>
    <col min="11529" max="11529" width="10.28515625" style="2075" customWidth="1"/>
    <col min="11530" max="11530" width="9.140625" style="2075"/>
    <col min="11531" max="11531" width="14.28515625" style="2075" customWidth="1"/>
    <col min="11532" max="11775" width="9.140625" style="2075"/>
    <col min="11776" max="11776" width="14.42578125" style="2075" customWidth="1"/>
    <col min="11777" max="11777" width="16" style="2075" customWidth="1"/>
    <col min="11778" max="11778" width="14.28515625" style="2075" customWidth="1"/>
    <col min="11779" max="11779" width="2.42578125" style="2075" customWidth="1"/>
    <col min="11780" max="11780" width="55.140625" style="2075" customWidth="1"/>
    <col min="11781" max="11781" width="0" style="2075" hidden="1" customWidth="1"/>
    <col min="11782" max="11782" width="16.7109375" style="2075" customWidth="1"/>
    <col min="11783" max="11783" width="18.140625" style="2075" customWidth="1"/>
    <col min="11784" max="11784" width="16.5703125" style="2075" customWidth="1"/>
    <col min="11785" max="11785" width="10.28515625" style="2075" customWidth="1"/>
    <col min="11786" max="11786" width="9.140625" style="2075"/>
    <col min="11787" max="11787" width="14.28515625" style="2075" customWidth="1"/>
    <col min="11788" max="12031" width="9.140625" style="2075"/>
    <col min="12032" max="12032" width="14.42578125" style="2075" customWidth="1"/>
    <col min="12033" max="12033" width="16" style="2075" customWidth="1"/>
    <col min="12034" max="12034" width="14.28515625" style="2075" customWidth="1"/>
    <col min="12035" max="12035" width="2.42578125" style="2075" customWidth="1"/>
    <col min="12036" max="12036" width="55.140625" style="2075" customWidth="1"/>
    <col min="12037" max="12037" width="0" style="2075" hidden="1" customWidth="1"/>
    <col min="12038" max="12038" width="16.7109375" style="2075" customWidth="1"/>
    <col min="12039" max="12039" width="18.140625" style="2075" customWidth="1"/>
    <col min="12040" max="12040" width="16.5703125" style="2075" customWidth="1"/>
    <col min="12041" max="12041" width="10.28515625" style="2075" customWidth="1"/>
    <col min="12042" max="12042" width="9.140625" style="2075"/>
    <col min="12043" max="12043" width="14.28515625" style="2075" customWidth="1"/>
    <col min="12044" max="12287" width="9.140625" style="2075"/>
    <col min="12288" max="12288" width="14.42578125" style="2075" customWidth="1"/>
    <col min="12289" max="12289" width="16" style="2075" customWidth="1"/>
    <col min="12290" max="12290" width="14.28515625" style="2075" customWidth="1"/>
    <col min="12291" max="12291" width="2.42578125" style="2075" customWidth="1"/>
    <col min="12292" max="12292" width="55.140625" style="2075" customWidth="1"/>
    <col min="12293" max="12293" width="0" style="2075" hidden="1" customWidth="1"/>
    <col min="12294" max="12294" width="16.7109375" style="2075" customWidth="1"/>
    <col min="12295" max="12295" width="18.140625" style="2075" customWidth="1"/>
    <col min="12296" max="12296" width="16.5703125" style="2075" customWidth="1"/>
    <col min="12297" max="12297" width="10.28515625" style="2075" customWidth="1"/>
    <col min="12298" max="12298" width="9.140625" style="2075"/>
    <col min="12299" max="12299" width="14.28515625" style="2075" customWidth="1"/>
    <col min="12300" max="12543" width="9.140625" style="2075"/>
    <col min="12544" max="12544" width="14.42578125" style="2075" customWidth="1"/>
    <col min="12545" max="12545" width="16" style="2075" customWidth="1"/>
    <col min="12546" max="12546" width="14.28515625" style="2075" customWidth="1"/>
    <col min="12547" max="12547" width="2.42578125" style="2075" customWidth="1"/>
    <col min="12548" max="12548" width="55.140625" style="2075" customWidth="1"/>
    <col min="12549" max="12549" width="0" style="2075" hidden="1" customWidth="1"/>
    <col min="12550" max="12550" width="16.7109375" style="2075" customWidth="1"/>
    <col min="12551" max="12551" width="18.140625" style="2075" customWidth="1"/>
    <col min="12552" max="12552" width="16.5703125" style="2075" customWidth="1"/>
    <col min="12553" max="12553" width="10.28515625" style="2075" customWidth="1"/>
    <col min="12554" max="12554" width="9.140625" style="2075"/>
    <col min="12555" max="12555" width="14.28515625" style="2075" customWidth="1"/>
    <col min="12556" max="12799" width="9.140625" style="2075"/>
    <col min="12800" max="12800" width="14.42578125" style="2075" customWidth="1"/>
    <col min="12801" max="12801" width="16" style="2075" customWidth="1"/>
    <col min="12802" max="12802" width="14.28515625" style="2075" customWidth="1"/>
    <col min="12803" max="12803" width="2.42578125" style="2075" customWidth="1"/>
    <col min="12804" max="12804" width="55.140625" style="2075" customWidth="1"/>
    <col min="12805" max="12805" width="0" style="2075" hidden="1" customWidth="1"/>
    <col min="12806" max="12806" width="16.7109375" style="2075" customWidth="1"/>
    <col min="12807" max="12807" width="18.140625" style="2075" customWidth="1"/>
    <col min="12808" max="12808" width="16.5703125" style="2075" customWidth="1"/>
    <col min="12809" max="12809" width="10.28515625" style="2075" customWidth="1"/>
    <col min="12810" max="12810" width="9.140625" style="2075"/>
    <col min="12811" max="12811" width="14.28515625" style="2075" customWidth="1"/>
    <col min="12812" max="13055" width="9.140625" style="2075"/>
    <col min="13056" max="13056" width="14.42578125" style="2075" customWidth="1"/>
    <col min="13057" max="13057" width="16" style="2075" customWidth="1"/>
    <col min="13058" max="13058" width="14.28515625" style="2075" customWidth="1"/>
    <col min="13059" max="13059" width="2.42578125" style="2075" customWidth="1"/>
    <col min="13060" max="13060" width="55.140625" style="2075" customWidth="1"/>
    <col min="13061" max="13061" width="0" style="2075" hidden="1" customWidth="1"/>
    <col min="13062" max="13062" width="16.7109375" style="2075" customWidth="1"/>
    <col min="13063" max="13063" width="18.140625" style="2075" customWidth="1"/>
    <col min="13064" max="13064" width="16.5703125" style="2075" customWidth="1"/>
    <col min="13065" max="13065" width="10.28515625" style="2075" customWidth="1"/>
    <col min="13066" max="13066" width="9.140625" style="2075"/>
    <col min="13067" max="13067" width="14.28515625" style="2075" customWidth="1"/>
    <col min="13068" max="13311" width="9.140625" style="2075"/>
    <col min="13312" max="13312" width="14.42578125" style="2075" customWidth="1"/>
    <col min="13313" max="13313" width="16" style="2075" customWidth="1"/>
    <col min="13314" max="13314" width="14.28515625" style="2075" customWidth="1"/>
    <col min="13315" max="13315" width="2.42578125" style="2075" customWidth="1"/>
    <col min="13316" max="13316" width="55.140625" style="2075" customWidth="1"/>
    <col min="13317" max="13317" width="0" style="2075" hidden="1" customWidth="1"/>
    <col min="13318" max="13318" width="16.7109375" style="2075" customWidth="1"/>
    <col min="13319" max="13319" width="18.140625" style="2075" customWidth="1"/>
    <col min="13320" max="13320" width="16.5703125" style="2075" customWidth="1"/>
    <col min="13321" max="13321" width="10.28515625" style="2075" customWidth="1"/>
    <col min="13322" max="13322" width="9.140625" style="2075"/>
    <col min="13323" max="13323" width="14.28515625" style="2075" customWidth="1"/>
    <col min="13324" max="13567" width="9.140625" style="2075"/>
    <col min="13568" max="13568" width="14.42578125" style="2075" customWidth="1"/>
    <col min="13569" max="13569" width="16" style="2075" customWidth="1"/>
    <col min="13570" max="13570" width="14.28515625" style="2075" customWidth="1"/>
    <col min="13571" max="13571" width="2.42578125" style="2075" customWidth="1"/>
    <col min="13572" max="13572" width="55.140625" style="2075" customWidth="1"/>
    <col min="13573" max="13573" width="0" style="2075" hidden="1" customWidth="1"/>
    <col min="13574" max="13574" width="16.7109375" style="2075" customWidth="1"/>
    <col min="13575" max="13575" width="18.140625" style="2075" customWidth="1"/>
    <col min="13576" max="13576" width="16.5703125" style="2075" customWidth="1"/>
    <col min="13577" max="13577" width="10.28515625" style="2075" customWidth="1"/>
    <col min="13578" max="13578" width="9.140625" style="2075"/>
    <col min="13579" max="13579" width="14.28515625" style="2075" customWidth="1"/>
    <col min="13580" max="13823" width="9.140625" style="2075"/>
    <col min="13824" max="13824" width="14.42578125" style="2075" customWidth="1"/>
    <col min="13825" max="13825" width="16" style="2075" customWidth="1"/>
    <col min="13826" max="13826" width="14.28515625" style="2075" customWidth="1"/>
    <col min="13827" max="13827" width="2.42578125" style="2075" customWidth="1"/>
    <col min="13828" max="13828" width="55.140625" style="2075" customWidth="1"/>
    <col min="13829" max="13829" width="0" style="2075" hidden="1" customWidth="1"/>
    <col min="13830" max="13830" width="16.7109375" style="2075" customWidth="1"/>
    <col min="13831" max="13831" width="18.140625" style="2075" customWidth="1"/>
    <col min="13832" max="13832" width="16.5703125" style="2075" customWidth="1"/>
    <col min="13833" max="13833" width="10.28515625" style="2075" customWidth="1"/>
    <col min="13834" max="13834" width="9.140625" style="2075"/>
    <col min="13835" max="13835" width="14.28515625" style="2075" customWidth="1"/>
    <col min="13836" max="14079" width="9.140625" style="2075"/>
    <col min="14080" max="14080" width="14.42578125" style="2075" customWidth="1"/>
    <col min="14081" max="14081" width="16" style="2075" customWidth="1"/>
    <col min="14082" max="14082" width="14.28515625" style="2075" customWidth="1"/>
    <col min="14083" max="14083" width="2.42578125" style="2075" customWidth="1"/>
    <col min="14084" max="14084" width="55.140625" style="2075" customWidth="1"/>
    <col min="14085" max="14085" width="0" style="2075" hidden="1" customWidth="1"/>
    <col min="14086" max="14086" width="16.7109375" style="2075" customWidth="1"/>
    <col min="14087" max="14087" width="18.140625" style="2075" customWidth="1"/>
    <col min="14088" max="14088" width="16.5703125" style="2075" customWidth="1"/>
    <col min="14089" max="14089" width="10.28515625" style="2075" customWidth="1"/>
    <col min="14090" max="14090" width="9.140625" style="2075"/>
    <col min="14091" max="14091" width="14.28515625" style="2075" customWidth="1"/>
    <col min="14092" max="14335" width="9.140625" style="2075"/>
    <col min="14336" max="14336" width="14.42578125" style="2075" customWidth="1"/>
    <col min="14337" max="14337" width="16" style="2075" customWidth="1"/>
    <col min="14338" max="14338" width="14.28515625" style="2075" customWidth="1"/>
    <col min="14339" max="14339" width="2.42578125" style="2075" customWidth="1"/>
    <col min="14340" max="14340" width="55.140625" style="2075" customWidth="1"/>
    <col min="14341" max="14341" width="0" style="2075" hidden="1" customWidth="1"/>
    <col min="14342" max="14342" width="16.7109375" style="2075" customWidth="1"/>
    <col min="14343" max="14343" width="18.140625" style="2075" customWidth="1"/>
    <col min="14344" max="14344" width="16.5703125" style="2075" customWidth="1"/>
    <col min="14345" max="14345" width="10.28515625" style="2075" customWidth="1"/>
    <col min="14346" max="14346" width="9.140625" style="2075"/>
    <col min="14347" max="14347" width="14.28515625" style="2075" customWidth="1"/>
    <col min="14348" max="14591" width="9.140625" style="2075"/>
    <col min="14592" max="14592" width="14.42578125" style="2075" customWidth="1"/>
    <col min="14593" max="14593" width="16" style="2075" customWidth="1"/>
    <col min="14594" max="14594" width="14.28515625" style="2075" customWidth="1"/>
    <col min="14595" max="14595" width="2.42578125" style="2075" customWidth="1"/>
    <col min="14596" max="14596" width="55.140625" style="2075" customWidth="1"/>
    <col min="14597" max="14597" width="0" style="2075" hidden="1" customWidth="1"/>
    <col min="14598" max="14598" width="16.7109375" style="2075" customWidth="1"/>
    <col min="14599" max="14599" width="18.140625" style="2075" customWidth="1"/>
    <col min="14600" max="14600" width="16.5703125" style="2075" customWidth="1"/>
    <col min="14601" max="14601" width="10.28515625" style="2075" customWidth="1"/>
    <col min="14602" max="14602" width="9.140625" style="2075"/>
    <col min="14603" max="14603" width="14.28515625" style="2075" customWidth="1"/>
    <col min="14604" max="14847" width="9.140625" style="2075"/>
    <col min="14848" max="14848" width="14.42578125" style="2075" customWidth="1"/>
    <col min="14849" max="14849" width="16" style="2075" customWidth="1"/>
    <col min="14850" max="14850" width="14.28515625" style="2075" customWidth="1"/>
    <col min="14851" max="14851" width="2.42578125" style="2075" customWidth="1"/>
    <col min="14852" max="14852" width="55.140625" style="2075" customWidth="1"/>
    <col min="14853" max="14853" width="0" style="2075" hidden="1" customWidth="1"/>
    <col min="14854" max="14854" width="16.7109375" style="2075" customWidth="1"/>
    <col min="14855" max="14855" width="18.140625" style="2075" customWidth="1"/>
    <col min="14856" max="14856" width="16.5703125" style="2075" customWidth="1"/>
    <col min="14857" max="14857" width="10.28515625" style="2075" customWidth="1"/>
    <col min="14858" max="14858" width="9.140625" style="2075"/>
    <col min="14859" max="14859" width="14.28515625" style="2075" customWidth="1"/>
    <col min="14860" max="15103" width="9.140625" style="2075"/>
    <col min="15104" max="15104" width="14.42578125" style="2075" customWidth="1"/>
    <col min="15105" max="15105" width="16" style="2075" customWidth="1"/>
    <col min="15106" max="15106" width="14.28515625" style="2075" customWidth="1"/>
    <col min="15107" max="15107" width="2.42578125" style="2075" customWidth="1"/>
    <col min="15108" max="15108" width="55.140625" style="2075" customWidth="1"/>
    <col min="15109" max="15109" width="0" style="2075" hidden="1" customWidth="1"/>
    <col min="15110" max="15110" width="16.7109375" style="2075" customWidth="1"/>
    <col min="15111" max="15111" width="18.140625" style="2075" customWidth="1"/>
    <col min="15112" max="15112" width="16.5703125" style="2075" customWidth="1"/>
    <col min="15113" max="15113" width="10.28515625" style="2075" customWidth="1"/>
    <col min="15114" max="15114" width="9.140625" style="2075"/>
    <col min="15115" max="15115" width="14.28515625" style="2075" customWidth="1"/>
    <col min="15116" max="15359" width="9.140625" style="2075"/>
    <col min="15360" max="15360" width="14.42578125" style="2075" customWidth="1"/>
    <col min="15361" max="15361" width="16" style="2075" customWidth="1"/>
    <col min="15362" max="15362" width="14.28515625" style="2075" customWidth="1"/>
    <col min="15363" max="15363" width="2.42578125" style="2075" customWidth="1"/>
    <col min="15364" max="15364" width="55.140625" style="2075" customWidth="1"/>
    <col min="15365" max="15365" width="0" style="2075" hidden="1" customWidth="1"/>
    <col min="15366" max="15366" width="16.7109375" style="2075" customWidth="1"/>
    <col min="15367" max="15367" width="18.140625" style="2075" customWidth="1"/>
    <col min="15368" max="15368" width="16.5703125" style="2075" customWidth="1"/>
    <col min="15369" max="15369" width="10.28515625" style="2075" customWidth="1"/>
    <col min="15370" max="15370" width="9.140625" style="2075"/>
    <col min="15371" max="15371" width="14.28515625" style="2075" customWidth="1"/>
    <col min="15372" max="15615" width="9.140625" style="2075"/>
    <col min="15616" max="15616" width="14.42578125" style="2075" customWidth="1"/>
    <col min="15617" max="15617" width="16" style="2075" customWidth="1"/>
    <col min="15618" max="15618" width="14.28515625" style="2075" customWidth="1"/>
    <col min="15619" max="15619" width="2.42578125" style="2075" customWidth="1"/>
    <col min="15620" max="15620" width="55.140625" style="2075" customWidth="1"/>
    <col min="15621" max="15621" width="0" style="2075" hidden="1" customWidth="1"/>
    <col min="15622" max="15622" width="16.7109375" style="2075" customWidth="1"/>
    <col min="15623" max="15623" width="18.140625" style="2075" customWidth="1"/>
    <col min="15624" max="15624" width="16.5703125" style="2075" customWidth="1"/>
    <col min="15625" max="15625" width="10.28515625" style="2075" customWidth="1"/>
    <col min="15626" max="15626" width="9.140625" style="2075"/>
    <col min="15627" max="15627" width="14.28515625" style="2075" customWidth="1"/>
    <col min="15628" max="15871" width="9.140625" style="2075"/>
    <col min="15872" max="15872" width="14.42578125" style="2075" customWidth="1"/>
    <col min="15873" max="15873" width="16" style="2075" customWidth="1"/>
    <col min="15874" max="15874" width="14.28515625" style="2075" customWidth="1"/>
    <col min="15875" max="15875" width="2.42578125" style="2075" customWidth="1"/>
    <col min="15876" max="15876" width="55.140625" style="2075" customWidth="1"/>
    <col min="15877" max="15877" width="0" style="2075" hidden="1" customWidth="1"/>
    <col min="15878" max="15878" width="16.7109375" style="2075" customWidth="1"/>
    <col min="15879" max="15879" width="18.140625" style="2075" customWidth="1"/>
    <col min="15880" max="15880" width="16.5703125" style="2075" customWidth="1"/>
    <col min="15881" max="15881" width="10.28515625" style="2075" customWidth="1"/>
    <col min="15882" max="15882" width="9.140625" style="2075"/>
    <col min="15883" max="15883" width="14.28515625" style="2075" customWidth="1"/>
    <col min="15884" max="16127" width="9.140625" style="2075"/>
    <col min="16128" max="16128" width="14.42578125" style="2075" customWidth="1"/>
    <col min="16129" max="16129" width="16" style="2075" customWidth="1"/>
    <col min="16130" max="16130" width="14.28515625" style="2075" customWidth="1"/>
    <col min="16131" max="16131" width="2.42578125" style="2075" customWidth="1"/>
    <col min="16132" max="16132" width="55.140625" style="2075" customWidth="1"/>
    <col min="16133" max="16133" width="0" style="2075" hidden="1" customWidth="1"/>
    <col min="16134" max="16134" width="16.7109375" style="2075" customWidth="1"/>
    <col min="16135" max="16135" width="18.140625" style="2075" customWidth="1"/>
    <col min="16136" max="16136" width="16.5703125" style="2075" customWidth="1"/>
    <col min="16137" max="16137" width="10.28515625" style="2075" customWidth="1"/>
    <col min="16138" max="16138" width="9.140625" style="2075"/>
    <col min="16139" max="16139" width="14.28515625" style="2075" customWidth="1"/>
    <col min="16140" max="16384" width="9.140625" style="2075"/>
  </cols>
  <sheetData>
    <row r="1" spans="1:9" ht="15" customHeight="1">
      <c r="D1" s="2076"/>
      <c r="G1" s="6319" t="s">
        <v>1605</v>
      </c>
      <c r="H1" s="6319"/>
    </row>
    <row r="2" spans="1:9">
      <c r="B2" s="2077" t="s">
        <v>2496</v>
      </c>
      <c r="D2" s="2078"/>
      <c r="H2" s="2076"/>
    </row>
    <row r="3" spans="1:9">
      <c r="B3" s="2076"/>
      <c r="H3" s="2076"/>
    </row>
    <row r="4" spans="1:9">
      <c r="A4" s="2079" t="s">
        <v>1022</v>
      </c>
      <c r="B4" s="2080" t="s">
        <v>1607</v>
      </c>
      <c r="C4" s="2079" t="s">
        <v>869</v>
      </c>
      <c r="D4" s="2081" t="s">
        <v>809</v>
      </c>
      <c r="E4" s="2082"/>
      <c r="F4" s="2079" t="s">
        <v>1022</v>
      </c>
      <c r="G4" s="2080" t="s">
        <v>1607</v>
      </c>
      <c r="H4" s="2079" t="s">
        <v>869</v>
      </c>
    </row>
    <row r="5" spans="1:9">
      <c r="A5" s="2083" t="s">
        <v>557</v>
      </c>
      <c r="B5" s="2083" t="s">
        <v>557</v>
      </c>
      <c r="C5" s="2083" t="s">
        <v>557</v>
      </c>
      <c r="D5" s="2084"/>
      <c r="E5" s="2084"/>
      <c r="F5" s="2083" t="s">
        <v>558</v>
      </c>
      <c r="G5" s="2083" t="s">
        <v>558</v>
      </c>
      <c r="H5" s="2083" t="s">
        <v>558</v>
      </c>
    </row>
    <row r="6" spans="1:9" hidden="1">
      <c r="A6" s="2085" t="s">
        <v>586</v>
      </c>
      <c r="B6" s="2086" t="s">
        <v>586</v>
      </c>
      <c r="C6" s="2085" t="s">
        <v>586</v>
      </c>
      <c r="D6" s="2087" t="s">
        <v>94</v>
      </c>
      <c r="E6" s="2088" t="s">
        <v>94</v>
      </c>
      <c r="F6" s="2085" t="s">
        <v>586</v>
      </c>
      <c r="G6" s="2086" t="s">
        <v>586</v>
      </c>
      <c r="H6" s="2085" t="s">
        <v>586</v>
      </c>
    </row>
    <row r="7" spans="1:9">
      <c r="A7" s="2089"/>
      <c r="C7" s="2089"/>
      <c r="D7" s="2090" t="s">
        <v>1608</v>
      </c>
      <c r="F7" s="2091"/>
      <c r="G7" s="2092"/>
      <c r="H7" s="2091"/>
    </row>
    <row r="8" spans="1:9">
      <c r="A8" s="1964">
        <v>56896396</v>
      </c>
      <c r="B8" s="2093">
        <v>28448198</v>
      </c>
      <c r="C8" s="2093">
        <v>28448198</v>
      </c>
      <c r="D8" s="1964" t="s">
        <v>1609</v>
      </c>
      <c r="E8" s="2094">
        <v>701702712713</v>
      </c>
      <c r="F8" s="1964">
        <v>53103735</v>
      </c>
      <c r="G8" s="2093">
        <v>26551868</v>
      </c>
      <c r="H8" s="2093">
        <f>F8-G8</f>
        <v>26551867</v>
      </c>
      <c r="I8" s="2095"/>
    </row>
    <row r="9" spans="1:9">
      <c r="A9" s="1964">
        <v>72639150</v>
      </c>
      <c r="B9" s="2093">
        <v>36319575</v>
      </c>
      <c r="C9" s="2093">
        <v>36319575</v>
      </c>
      <c r="D9" s="1964" t="s">
        <v>1610</v>
      </c>
      <c r="E9" s="2096" t="s">
        <v>1611</v>
      </c>
      <c r="F9" s="1964">
        <v>85006125</v>
      </c>
      <c r="G9" s="2093">
        <v>42503063</v>
      </c>
      <c r="H9" s="2093">
        <f t="shared" ref="H9:H21" si="0">F9-G9</f>
        <v>42503062</v>
      </c>
      <c r="I9" s="2095"/>
    </row>
    <row r="10" spans="1:9">
      <c r="A10" s="1964">
        <v>5927312</v>
      </c>
      <c r="B10" s="2093">
        <v>2963656</v>
      </c>
      <c r="C10" s="2093">
        <v>2963656</v>
      </c>
      <c r="D10" s="1964" t="s">
        <v>1612</v>
      </c>
      <c r="E10" s="2097">
        <v>717</v>
      </c>
      <c r="F10" s="1964">
        <v>8393218</v>
      </c>
      <c r="G10" s="2093">
        <v>4196609</v>
      </c>
      <c r="H10" s="2093">
        <f t="shared" si="0"/>
        <v>4196609</v>
      </c>
      <c r="I10" s="2095"/>
    </row>
    <row r="11" spans="1:9">
      <c r="A11" s="1964">
        <v>15973334</v>
      </c>
      <c r="B11" s="2093">
        <v>7986667</v>
      </c>
      <c r="C11" s="2093">
        <v>7986667</v>
      </c>
      <c r="D11" s="1964" t="s">
        <v>1613</v>
      </c>
      <c r="E11" s="2097">
        <v>718</v>
      </c>
      <c r="F11" s="1964">
        <v>15051141</v>
      </c>
      <c r="G11" s="2093">
        <v>7525570</v>
      </c>
      <c r="H11" s="2093">
        <f t="shared" si="0"/>
        <v>7525571</v>
      </c>
      <c r="I11" s="2095"/>
    </row>
    <row r="12" spans="1:9">
      <c r="A12" s="1964">
        <v>70678207</v>
      </c>
      <c r="B12" s="2093">
        <v>35339103.5</v>
      </c>
      <c r="C12" s="2093">
        <v>35339103.5</v>
      </c>
      <c r="D12" s="1964" t="s">
        <v>1614</v>
      </c>
      <c r="E12" s="2097">
        <v>705</v>
      </c>
      <c r="F12" s="1964">
        <v>82667115</v>
      </c>
      <c r="G12" s="2093">
        <v>41333558</v>
      </c>
      <c r="H12" s="2093">
        <f t="shared" si="0"/>
        <v>41333557</v>
      </c>
      <c r="I12" s="2095"/>
    </row>
    <row r="13" spans="1:9">
      <c r="A13" s="1964">
        <v>45462410</v>
      </c>
      <c r="B13" s="2093">
        <v>22731205</v>
      </c>
      <c r="C13" s="2093">
        <v>22731205</v>
      </c>
      <c r="D13" s="1964" t="s">
        <v>1615</v>
      </c>
      <c r="E13" s="2097">
        <v>709</v>
      </c>
      <c r="F13" s="1964">
        <v>65571164</v>
      </c>
      <c r="G13" s="2093">
        <v>32785582</v>
      </c>
      <c r="H13" s="2093">
        <f t="shared" si="0"/>
        <v>32785582</v>
      </c>
      <c r="I13" s="2095"/>
    </row>
    <row r="14" spans="1:9">
      <c r="A14" s="1964">
        <v>351999705</v>
      </c>
      <c r="B14" s="2093">
        <v>116159902.65000001</v>
      </c>
      <c r="C14" s="2093">
        <v>235839802.34999999</v>
      </c>
      <c r="D14" s="1964" t="s">
        <v>1616</v>
      </c>
      <c r="E14" s="2096" t="s">
        <v>1617</v>
      </c>
      <c r="F14" s="1964">
        <v>398331406</v>
      </c>
      <c r="G14" s="2093">
        <v>135432678</v>
      </c>
      <c r="H14" s="2093">
        <f t="shared" si="0"/>
        <v>262898728</v>
      </c>
      <c r="I14" s="2095"/>
    </row>
    <row r="15" spans="1:9">
      <c r="A15" s="1964">
        <v>68381598</v>
      </c>
      <c r="B15" s="2093">
        <v>30771719.100000001</v>
      </c>
      <c r="C15" s="2093">
        <v>37609878.899999999</v>
      </c>
      <c r="D15" s="1964" t="s">
        <v>1618</v>
      </c>
      <c r="E15" s="2096" t="s">
        <v>1619</v>
      </c>
      <c r="F15" s="1964">
        <v>95669366</v>
      </c>
      <c r="G15" s="2093">
        <v>43051214</v>
      </c>
      <c r="H15" s="2093">
        <f t="shared" si="0"/>
        <v>52618152</v>
      </c>
      <c r="I15" s="2095"/>
    </row>
    <row r="16" spans="1:9">
      <c r="A16" s="1964">
        <v>81514748</v>
      </c>
      <c r="B16" s="2093">
        <v>15487802.120000001</v>
      </c>
      <c r="C16" s="2093">
        <v>66026945.879999995</v>
      </c>
      <c r="D16" s="1964" t="s">
        <v>1620</v>
      </c>
      <c r="E16" s="2097">
        <v>715</v>
      </c>
      <c r="F16" s="1964">
        <v>96093119</v>
      </c>
      <c r="G16" s="2093">
        <v>18257693</v>
      </c>
      <c r="H16" s="2093">
        <f t="shared" si="0"/>
        <v>77835426</v>
      </c>
      <c r="I16" s="2095"/>
    </row>
    <row r="17" spans="1:9">
      <c r="A17" s="1964">
        <v>19686848</v>
      </c>
      <c r="B17" s="2093">
        <v>3740501.12</v>
      </c>
      <c r="C17" s="2093">
        <v>15946346.879999999</v>
      </c>
      <c r="D17" s="1964" t="s">
        <v>1621</v>
      </c>
      <c r="E17" s="2097">
        <v>708</v>
      </c>
      <c r="F17" s="1964">
        <v>33095962</v>
      </c>
      <c r="G17" s="2093">
        <v>6288233</v>
      </c>
      <c r="H17" s="2093">
        <f t="shared" si="0"/>
        <v>26807729</v>
      </c>
      <c r="I17" s="2095"/>
    </row>
    <row r="18" spans="1:9">
      <c r="A18" s="1964">
        <v>31566685</v>
      </c>
      <c r="B18" s="2093">
        <v>5997670.1500000004</v>
      </c>
      <c r="C18" s="2093">
        <v>25569014.850000001</v>
      </c>
      <c r="D18" s="1964" t="s">
        <v>1622</v>
      </c>
      <c r="E18" s="2097">
        <v>734</v>
      </c>
      <c r="F18" s="1964">
        <v>35266527</v>
      </c>
      <c r="G18" s="2093">
        <v>6700640</v>
      </c>
      <c r="H18" s="2093">
        <f t="shared" si="0"/>
        <v>28565887</v>
      </c>
      <c r="I18" s="2095"/>
    </row>
    <row r="19" spans="1:9">
      <c r="A19" s="1964">
        <v>92111229</v>
      </c>
      <c r="B19" s="2093">
        <v>17501133.510000002</v>
      </c>
      <c r="C19" s="2093">
        <v>74610095.489999995</v>
      </c>
      <c r="D19" s="1964" t="s">
        <v>1623</v>
      </c>
      <c r="E19" s="2097">
        <v>707</v>
      </c>
      <c r="F19" s="1964">
        <v>98173355</v>
      </c>
      <c r="G19" s="2093">
        <v>18652937</v>
      </c>
      <c r="H19" s="2093">
        <f t="shared" si="0"/>
        <v>79520418</v>
      </c>
      <c r="I19" s="2095"/>
    </row>
    <row r="20" spans="1:9">
      <c r="A20" s="1964">
        <v>76233956</v>
      </c>
      <c r="B20" s="2093">
        <v>45740373.600000001</v>
      </c>
      <c r="C20" s="2093">
        <v>30493582.399999999</v>
      </c>
      <c r="D20" s="1964" t="s">
        <v>1624</v>
      </c>
      <c r="E20" s="2097">
        <v>706</v>
      </c>
      <c r="F20" s="1964">
        <v>89087247</v>
      </c>
      <c r="G20" s="2093">
        <v>53452348</v>
      </c>
      <c r="H20" s="2093">
        <f t="shared" si="0"/>
        <v>35634899</v>
      </c>
      <c r="I20" s="2095"/>
    </row>
    <row r="21" spans="1:9">
      <c r="A21" s="1964">
        <v>0</v>
      </c>
      <c r="B21" s="2093">
        <v>0</v>
      </c>
      <c r="C21" s="2093">
        <v>0</v>
      </c>
      <c r="D21" s="1964" t="s">
        <v>1096</v>
      </c>
      <c r="E21" s="2097">
        <v>700</v>
      </c>
      <c r="F21" s="1964">
        <v>62124</v>
      </c>
      <c r="G21" s="2093">
        <v>31062</v>
      </c>
      <c r="H21" s="2093">
        <f t="shared" si="0"/>
        <v>31062</v>
      </c>
      <c r="I21" s="2095"/>
    </row>
    <row r="22" spans="1:9">
      <c r="A22" s="2089"/>
      <c r="B22" s="2098"/>
      <c r="C22" s="2099"/>
      <c r="D22" s="2100"/>
      <c r="E22" s="2101"/>
      <c r="F22" s="2102"/>
      <c r="G22" s="2088"/>
      <c r="H22" s="2102"/>
      <c r="I22" s="2103"/>
    </row>
    <row r="23" spans="1:9">
      <c r="A23" s="2104">
        <f>SUM(A8:A21)</f>
        <v>989071578</v>
      </c>
      <c r="B23" s="2105">
        <f>SUM(B8:B21)</f>
        <v>369187506.75</v>
      </c>
      <c r="C23" s="2106">
        <f>SUM(C8:C21)</f>
        <v>619884071.25</v>
      </c>
      <c r="D23" s="2107" t="s">
        <v>1625</v>
      </c>
      <c r="E23" s="2108"/>
      <c r="F23" s="2104">
        <f>SUM(F8:F21)</f>
        <v>1155571604</v>
      </c>
      <c r="G23" s="2106">
        <f>SUM(G8:G21)</f>
        <v>436763055</v>
      </c>
      <c r="H23" s="2109">
        <f>SUM(H8:H21)</f>
        <v>718808549</v>
      </c>
      <c r="I23" s="2103"/>
    </row>
    <row r="24" spans="1:9">
      <c r="A24" s="2089"/>
      <c r="C24" s="2089"/>
      <c r="D24" s="2110"/>
      <c r="F24" s="2110"/>
      <c r="G24" s="2100"/>
      <c r="H24" s="2110"/>
      <c r="I24" s="2103"/>
    </row>
    <row r="25" spans="1:9">
      <c r="A25" s="2089"/>
      <c r="C25" s="2089"/>
      <c r="D25" s="2111" t="s">
        <v>1626</v>
      </c>
      <c r="F25" s="2100"/>
      <c r="G25" s="2100"/>
      <c r="H25" s="2100"/>
    </row>
    <row r="26" spans="1:9">
      <c r="A26" s="1964">
        <v>3697044</v>
      </c>
      <c r="B26" s="2093">
        <v>1848522</v>
      </c>
      <c r="C26" s="2093">
        <v>1848522</v>
      </c>
      <c r="D26" s="1964" t="s">
        <v>1609</v>
      </c>
      <c r="E26" s="2094">
        <v>701702712713</v>
      </c>
      <c r="F26" s="1964">
        <v>3569938</v>
      </c>
      <c r="G26" s="2093">
        <v>1784969</v>
      </c>
      <c r="H26" s="2093">
        <f t="shared" ref="H26:H38" si="1">F26-G26</f>
        <v>1784969</v>
      </c>
      <c r="I26" s="2103"/>
    </row>
    <row r="27" spans="1:9">
      <c r="A27" s="1964">
        <v>3028985</v>
      </c>
      <c r="B27" s="2093">
        <v>1514492.5</v>
      </c>
      <c r="C27" s="2093">
        <v>1514492.5</v>
      </c>
      <c r="D27" s="1964" t="s">
        <v>1610</v>
      </c>
      <c r="E27" s="2096" t="s">
        <v>1611</v>
      </c>
      <c r="F27" s="1964">
        <v>1969364</v>
      </c>
      <c r="G27" s="2093">
        <v>984682</v>
      </c>
      <c r="H27" s="2093">
        <f t="shared" si="1"/>
        <v>984682</v>
      </c>
      <c r="I27" s="2103"/>
    </row>
    <row r="28" spans="1:9">
      <c r="A28" s="1964">
        <v>939104</v>
      </c>
      <c r="B28" s="2093">
        <v>469552</v>
      </c>
      <c r="C28" s="2093">
        <v>469552</v>
      </c>
      <c r="D28" s="1964" t="s">
        <v>1612</v>
      </c>
      <c r="E28" s="2097">
        <v>717</v>
      </c>
      <c r="F28" s="1964">
        <v>962608</v>
      </c>
      <c r="G28" s="2093">
        <v>481304</v>
      </c>
      <c r="H28" s="2093">
        <f t="shared" si="1"/>
        <v>481304</v>
      </c>
      <c r="I28" s="2103"/>
    </row>
    <row r="29" spans="1:9">
      <c r="A29" s="1964">
        <v>1761528</v>
      </c>
      <c r="B29" s="2093">
        <v>880764</v>
      </c>
      <c r="C29" s="2093">
        <v>880764</v>
      </c>
      <c r="D29" s="1964" t="s">
        <v>1613</v>
      </c>
      <c r="E29" s="2097">
        <v>718</v>
      </c>
      <c r="F29" s="1964">
        <v>2466081</v>
      </c>
      <c r="G29" s="2093">
        <v>1233040</v>
      </c>
      <c r="H29" s="2093">
        <f t="shared" si="1"/>
        <v>1233041</v>
      </c>
      <c r="I29" s="2103"/>
    </row>
    <row r="30" spans="1:9">
      <c r="A30" s="1964">
        <v>325557</v>
      </c>
      <c r="B30" s="2093">
        <v>162778.5</v>
      </c>
      <c r="C30" s="2093">
        <v>162778.5</v>
      </c>
      <c r="D30" s="1964" t="s">
        <v>1614</v>
      </c>
      <c r="E30" s="2097">
        <v>705</v>
      </c>
      <c r="F30" s="1964">
        <v>266464</v>
      </c>
      <c r="G30" s="2093">
        <v>133232</v>
      </c>
      <c r="H30" s="2093">
        <f t="shared" si="1"/>
        <v>133232</v>
      </c>
      <c r="I30" s="2103"/>
    </row>
    <row r="31" spans="1:9">
      <c r="A31" s="1964">
        <v>2708908</v>
      </c>
      <c r="B31" s="2093">
        <v>1354454</v>
      </c>
      <c r="C31" s="2093">
        <v>1354454</v>
      </c>
      <c r="D31" s="1964" t="s">
        <v>1615</v>
      </c>
      <c r="E31" s="2097">
        <v>709</v>
      </c>
      <c r="F31" s="1964">
        <v>3482944</v>
      </c>
      <c r="G31" s="2093">
        <v>1741472</v>
      </c>
      <c r="H31" s="2093">
        <v>1741472</v>
      </c>
      <c r="I31" s="2103"/>
    </row>
    <row r="32" spans="1:9">
      <c r="A32" s="1964">
        <v>3861746</v>
      </c>
      <c r="B32" s="2093">
        <v>1274376.1800000002</v>
      </c>
      <c r="C32" s="2093">
        <v>2587369.8199999998</v>
      </c>
      <c r="D32" s="1964" t="s">
        <v>1616</v>
      </c>
      <c r="E32" s="2096" t="s">
        <v>1617</v>
      </c>
      <c r="F32" s="1964">
        <v>3585959</v>
      </c>
      <c r="G32" s="2093">
        <v>1219226</v>
      </c>
      <c r="H32" s="2093">
        <f t="shared" si="1"/>
        <v>2366733</v>
      </c>
      <c r="I32" s="2103"/>
    </row>
    <row r="33" spans="1:9">
      <c r="A33" s="1964">
        <v>3350362</v>
      </c>
      <c r="B33" s="2093">
        <v>1507662.9000000001</v>
      </c>
      <c r="C33" s="2093">
        <v>1842699.0999999999</v>
      </c>
      <c r="D33" s="1964" t="s">
        <v>1618</v>
      </c>
      <c r="E33" s="2096" t="s">
        <v>1619</v>
      </c>
      <c r="F33" s="1964">
        <v>4028220</v>
      </c>
      <c r="G33" s="2093">
        <v>1812699</v>
      </c>
      <c r="H33" s="2093">
        <f t="shared" si="1"/>
        <v>2215521</v>
      </c>
      <c r="I33" s="2103"/>
    </row>
    <row r="34" spans="1:9">
      <c r="A34" s="1964">
        <v>359695</v>
      </c>
      <c r="B34" s="2093">
        <v>68342.05</v>
      </c>
      <c r="C34" s="2093">
        <v>291352.95</v>
      </c>
      <c r="D34" s="1964" t="s">
        <v>1620</v>
      </c>
      <c r="E34" s="2097">
        <v>715</v>
      </c>
      <c r="F34" s="1964">
        <v>484931</v>
      </c>
      <c r="G34" s="2093">
        <v>92137</v>
      </c>
      <c r="H34" s="2093">
        <f t="shared" si="1"/>
        <v>392794</v>
      </c>
      <c r="I34" s="2103"/>
    </row>
    <row r="35" spans="1:9">
      <c r="A35" s="1964">
        <v>1940449</v>
      </c>
      <c r="B35" s="2093">
        <v>368685.31</v>
      </c>
      <c r="C35" s="2093">
        <v>1571763.69</v>
      </c>
      <c r="D35" s="1964" t="s">
        <v>1621</v>
      </c>
      <c r="E35" s="2097">
        <v>708</v>
      </c>
      <c r="F35" s="1964">
        <v>1829466</v>
      </c>
      <c r="G35" s="2093">
        <v>347599</v>
      </c>
      <c r="H35" s="2093">
        <f t="shared" si="1"/>
        <v>1481867</v>
      </c>
      <c r="I35" s="2103"/>
    </row>
    <row r="36" spans="1:9">
      <c r="A36" s="1964">
        <v>1835354</v>
      </c>
      <c r="B36" s="2093">
        <v>348717.26</v>
      </c>
      <c r="C36" s="2093">
        <v>1486636.74</v>
      </c>
      <c r="D36" s="1964" t="s">
        <v>1622</v>
      </c>
      <c r="E36" s="2097">
        <v>734</v>
      </c>
      <c r="F36" s="1964">
        <v>1696420</v>
      </c>
      <c r="G36" s="2093">
        <v>322320</v>
      </c>
      <c r="H36" s="2093">
        <f t="shared" si="1"/>
        <v>1374100</v>
      </c>
      <c r="I36" s="2103"/>
    </row>
    <row r="37" spans="1:9">
      <c r="A37" s="1964">
        <v>1426900</v>
      </c>
      <c r="B37" s="2093">
        <v>271111</v>
      </c>
      <c r="C37" s="2093">
        <v>1155789</v>
      </c>
      <c r="D37" s="1964" t="s">
        <v>1623</v>
      </c>
      <c r="E37" s="2097">
        <v>707</v>
      </c>
      <c r="F37" s="1964">
        <v>1572478</v>
      </c>
      <c r="G37" s="2093">
        <v>298771</v>
      </c>
      <c r="H37" s="2093">
        <f t="shared" si="1"/>
        <v>1273707</v>
      </c>
      <c r="I37" s="2103"/>
    </row>
    <row r="38" spans="1:9">
      <c r="A38" s="1964">
        <v>3818638</v>
      </c>
      <c r="B38" s="2093">
        <v>2291182.7999999998</v>
      </c>
      <c r="C38" s="2093">
        <v>1527455.2000000002</v>
      </c>
      <c r="D38" s="1964" t="s">
        <v>1624</v>
      </c>
      <c r="E38" s="2097">
        <v>706</v>
      </c>
      <c r="F38" s="1964">
        <v>4347510</v>
      </c>
      <c r="G38" s="2093">
        <v>2608506</v>
      </c>
      <c r="H38" s="2093">
        <f t="shared" si="1"/>
        <v>1739004</v>
      </c>
      <c r="I38" s="2103"/>
    </row>
    <row r="39" spans="1:9">
      <c r="A39" s="2093">
        <v>88795107</v>
      </c>
      <c r="B39" s="2093">
        <v>45281759</v>
      </c>
      <c r="C39" s="2093">
        <v>43513348</v>
      </c>
      <c r="D39" s="1964" t="s">
        <v>1096</v>
      </c>
      <c r="E39" s="2097">
        <v>700</v>
      </c>
      <c r="F39" s="2093">
        <v>90401029</v>
      </c>
      <c r="G39" s="2093">
        <f>46300286-1</f>
        <v>46300285</v>
      </c>
      <c r="H39" s="2093">
        <f>F39-G39</f>
        <v>44100744</v>
      </c>
      <c r="I39" s="2103"/>
    </row>
    <row r="40" spans="1:9">
      <c r="A40" s="2089" t="s">
        <v>94</v>
      </c>
      <c r="B40" s="2098"/>
      <c r="C40" s="2099"/>
      <c r="D40" s="2112"/>
      <c r="E40" s="2088"/>
      <c r="F40" s="2112"/>
      <c r="G40" s="2113"/>
      <c r="H40" s="2112"/>
    </row>
    <row r="41" spans="1:9">
      <c r="A41" s="2104">
        <f>SUM(A26:A39)</f>
        <v>117849377</v>
      </c>
      <c r="B41" s="2105">
        <f>SUM(B26:B39)</f>
        <v>57642399.5</v>
      </c>
      <c r="C41" s="2106">
        <f>SUM(C26:C39)</f>
        <v>60206977.5</v>
      </c>
      <c r="D41" s="2114" t="s">
        <v>1627</v>
      </c>
      <c r="E41" s="2087"/>
      <c r="F41" s="2106">
        <f>SUM(F26:F39)</f>
        <v>120663412</v>
      </c>
      <c r="G41" s="2106">
        <f>SUM(G26:G39)</f>
        <v>59360242</v>
      </c>
      <c r="H41" s="2106">
        <f>SUM(H26:H39)</f>
        <v>61303170</v>
      </c>
      <c r="I41" s="2076"/>
    </row>
    <row r="42" spans="1:9">
      <c r="A42" s="2115"/>
      <c r="B42" s="2116"/>
      <c r="C42" s="2116"/>
      <c r="D42" s="2116"/>
      <c r="E42" s="2116"/>
      <c r="F42" s="2116" t="s">
        <v>94</v>
      </c>
      <c r="G42" s="2116"/>
      <c r="H42" s="2117" t="s">
        <v>94</v>
      </c>
      <c r="I42" s="2076"/>
    </row>
    <row r="43" spans="1:9">
      <c r="B43" s="2115"/>
      <c r="C43" s="2115"/>
      <c r="D43" s="2115"/>
      <c r="E43" s="2115"/>
      <c r="F43" s="2115"/>
      <c r="G43" s="2115"/>
      <c r="H43" s="2118" t="s">
        <v>1628</v>
      </c>
      <c r="I43" s="2076"/>
    </row>
    <row r="44" spans="1:9">
      <c r="A44" s="2115"/>
      <c r="B44" s="2115"/>
      <c r="C44" s="2115"/>
      <c r="D44" s="2115"/>
      <c r="E44" s="2115"/>
      <c r="F44" s="2115"/>
      <c r="G44" s="2115"/>
      <c r="H44" s="2115"/>
      <c r="I44" s="2076"/>
    </row>
    <row r="45" spans="1:9">
      <c r="B45" s="2115"/>
      <c r="C45" s="2115"/>
      <c r="D45" s="2119"/>
      <c r="E45" s="2115"/>
      <c r="F45" s="2115"/>
      <c r="G45" s="6320" t="s">
        <v>1629</v>
      </c>
      <c r="H45" s="6320"/>
      <c r="I45" s="2076"/>
    </row>
    <row r="46" spans="1:9">
      <c r="B46" s="2115"/>
      <c r="C46" s="2115"/>
      <c r="D46" s="2119"/>
      <c r="E46" s="2115"/>
      <c r="F46" s="2115"/>
      <c r="G46" s="2120"/>
      <c r="H46" s="2120"/>
      <c r="I46" s="2076"/>
    </row>
    <row r="47" spans="1:9">
      <c r="A47" s="2121" t="s">
        <v>1022</v>
      </c>
      <c r="B47" s="2122" t="s">
        <v>1607</v>
      </c>
      <c r="C47" s="2121" t="s">
        <v>869</v>
      </c>
      <c r="D47" s="2123" t="str">
        <f>+D4</f>
        <v>PARTICULARS</v>
      </c>
      <c r="E47" s="2092"/>
      <c r="F47" s="2121" t="s">
        <v>1022</v>
      </c>
      <c r="G47" s="2122" t="s">
        <v>1607</v>
      </c>
      <c r="H47" s="2121" t="s">
        <v>869</v>
      </c>
    </row>
    <row r="48" spans="1:9">
      <c r="A48" s="2124" t="str">
        <f>A5</f>
        <v>2012-13</v>
      </c>
      <c r="B48" s="2124" t="str">
        <f>B5</f>
        <v>2012-13</v>
      </c>
      <c r="C48" s="2124" t="str">
        <f>C5</f>
        <v>2012-13</v>
      </c>
      <c r="D48" s="2125"/>
      <c r="E48" s="2125"/>
      <c r="F48" s="2124" t="str">
        <f>F5</f>
        <v>2013-14</v>
      </c>
      <c r="G48" s="2124" t="str">
        <f>G5</f>
        <v>2013-14</v>
      </c>
      <c r="H48" s="2124" t="str">
        <f>H5</f>
        <v>2013-14</v>
      </c>
    </row>
    <row r="49" spans="1:9">
      <c r="A49" s="2085" t="s">
        <v>586</v>
      </c>
      <c r="B49" s="2086" t="s">
        <v>586</v>
      </c>
      <c r="C49" s="2085" t="s">
        <v>586</v>
      </c>
      <c r="D49" s="2087" t="s">
        <v>94</v>
      </c>
      <c r="E49" s="2088" t="s">
        <v>94</v>
      </c>
      <c r="F49" s="2085" t="s">
        <v>586</v>
      </c>
      <c r="G49" s="2086" t="s">
        <v>586</v>
      </c>
      <c r="H49" s="2085" t="s">
        <v>586</v>
      </c>
    </row>
    <row r="50" spans="1:9">
      <c r="A50" s="2089"/>
      <c r="C50" s="2089"/>
      <c r="D50" s="2126" t="s">
        <v>1630</v>
      </c>
      <c r="F50" s="2091"/>
      <c r="H50" s="2089"/>
    </row>
    <row r="51" spans="1:9">
      <c r="A51" s="1964">
        <v>1017185</v>
      </c>
      <c r="B51" s="2093">
        <v>508592.5</v>
      </c>
      <c r="C51" s="2093">
        <v>508592.5</v>
      </c>
      <c r="D51" s="1964" t="s">
        <v>1609</v>
      </c>
      <c r="E51" s="2094">
        <v>701702712713</v>
      </c>
      <c r="F51" s="1964">
        <v>849957</v>
      </c>
      <c r="G51" s="2093">
        <v>424978</v>
      </c>
      <c r="H51" s="2093">
        <f>F51-G51</f>
        <v>424979</v>
      </c>
      <c r="I51" s="2103"/>
    </row>
    <row r="52" spans="1:9">
      <c r="A52" s="1964">
        <v>427474</v>
      </c>
      <c r="B52" s="2093">
        <v>213737</v>
      </c>
      <c r="C52" s="2093">
        <v>213737</v>
      </c>
      <c r="D52" s="1964" t="s">
        <v>1610</v>
      </c>
      <c r="E52" s="2096" t="s">
        <v>1611</v>
      </c>
      <c r="F52" s="1964">
        <v>478647</v>
      </c>
      <c r="G52" s="2093">
        <v>239323</v>
      </c>
      <c r="H52" s="2093">
        <f t="shared" ref="H52:H64" si="2">F52-G52</f>
        <v>239324</v>
      </c>
      <c r="I52" s="2103"/>
    </row>
    <row r="53" spans="1:9">
      <c r="A53" s="1964">
        <v>0</v>
      </c>
      <c r="B53" s="2093">
        <v>0</v>
      </c>
      <c r="C53" s="2093">
        <v>0</v>
      </c>
      <c r="D53" s="1964" t="s">
        <v>1612</v>
      </c>
      <c r="E53" s="2097">
        <v>717</v>
      </c>
      <c r="F53" s="1964">
        <v>34510</v>
      </c>
      <c r="G53" s="2093">
        <v>17255</v>
      </c>
      <c r="H53" s="2093">
        <f t="shared" si="2"/>
        <v>17255</v>
      </c>
      <c r="I53" s="2103"/>
    </row>
    <row r="54" spans="1:9">
      <c r="A54" s="1964">
        <v>59436</v>
      </c>
      <c r="B54" s="2093">
        <v>29718</v>
      </c>
      <c r="C54" s="2093">
        <v>29718</v>
      </c>
      <c r="D54" s="1964" t="s">
        <v>1613</v>
      </c>
      <c r="E54" s="2097">
        <v>718</v>
      </c>
      <c r="F54" s="1964">
        <v>222126</v>
      </c>
      <c r="G54" s="2093">
        <v>111063</v>
      </c>
      <c r="H54" s="2093">
        <f t="shared" si="2"/>
        <v>111063</v>
      </c>
      <c r="I54" s="2103"/>
    </row>
    <row r="55" spans="1:9">
      <c r="A55" s="1964">
        <v>201756</v>
      </c>
      <c r="B55" s="2093">
        <v>100878</v>
      </c>
      <c r="C55" s="2093">
        <v>100878</v>
      </c>
      <c r="D55" s="1964" t="s">
        <v>1614</v>
      </c>
      <c r="E55" s="2097">
        <v>705</v>
      </c>
      <c r="F55" s="1964">
        <v>94089</v>
      </c>
      <c r="G55" s="2093">
        <v>47044</v>
      </c>
      <c r="H55" s="2093">
        <f t="shared" si="2"/>
        <v>47045</v>
      </c>
      <c r="I55" s="2103"/>
    </row>
    <row r="56" spans="1:9">
      <c r="A56" s="1964">
        <v>736774</v>
      </c>
      <c r="B56" s="2093">
        <v>368387</v>
      </c>
      <c r="C56" s="2093">
        <v>368387</v>
      </c>
      <c r="D56" s="1964" t="s">
        <v>1615</v>
      </c>
      <c r="E56" s="2097">
        <v>709</v>
      </c>
      <c r="F56" s="1964">
        <v>887711</v>
      </c>
      <c r="G56" s="2093">
        <v>443856</v>
      </c>
      <c r="H56" s="2093">
        <f t="shared" si="2"/>
        <v>443855</v>
      </c>
      <c r="I56" s="2103"/>
    </row>
    <row r="57" spans="1:9">
      <c r="A57" s="1964">
        <v>359506</v>
      </c>
      <c r="B57" s="2093">
        <v>118636.98000000001</v>
      </c>
      <c r="C57" s="2093">
        <v>240869.02</v>
      </c>
      <c r="D57" s="1964" t="s">
        <v>1616</v>
      </c>
      <c r="E57" s="2096" t="s">
        <v>1617</v>
      </c>
      <c r="F57" s="1964">
        <v>1390363</v>
      </c>
      <c r="G57" s="2093">
        <v>472724</v>
      </c>
      <c r="H57" s="2093">
        <f t="shared" si="2"/>
        <v>917639</v>
      </c>
      <c r="I57" s="2103"/>
    </row>
    <row r="58" spans="1:9">
      <c r="A58" s="1964">
        <v>42706395</v>
      </c>
      <c r="B58" s="2093">
        <v>19217877.75</v>
      </c>
      <c r="C58" s="2093">
        <v>23488517.25</v>
      </c>
      <c r="D58" s="1964" t="s">
        <v>1618</v>
      </c>
      <c r="E58" s="2096" t="s">
        <v>1619</v>
      </c>
      <c r="F58" s="1964">
        <v>38739416</v>
      </c>
      <c r="G58" s="2093">
        <v>17432737</v>
      </c>
      <c r="H58" s="2093">
        <f t="shared" si="2"/>
        <v>21306679</v>
      </c>
      <c r="I58" s="2103"/>
    </row>
    <row r="59" spans="1:9">
      <c r="A59" s="1964">
        <v>124741</v>
      </c>
      <c r="B59" s="2093">
        <v>23700.79</v>
      </c>
      <c r="C59" s="2093">
        <v>101040.20999999999</v>
      </c>
      <c r="D59" s="1964" t="s">
        <v>1620</v>
      </c>
      <c r="E59" s="2097">
        <v>715</v>
      </c>
      <c r="F59" s="1964">
        <v>370407</v>
      </c>
      <c r="G59" s="2093">
        <v>70377</v>
      </c>
      <c r="H59" s="2093">
        <f t="shared" si="2"/>
        <v>300030</v>
      </c>
      <c r="I59" s="2103"/>
    </row>
    <row r="60" spans="1:9">
      <c r="A60" s="1964">
        <v>117471</v>
      </c>
      <c r="B60" s="2093">
        <v>22319.49</v>
      </c>
      <c r="C60" s="2093">
        <v>95151.51</v>
      </c>
      <c r="D60" s="1964" t="s">
        <v>1621</v>
      </c>
      <c r="E60" s="2097">
        <v>708</v>
      </c>
      <c r="F60" s="1964">
        <v>235323</v>
      </c>
      <c r="G60" s="2093">
        <v>44711</v>
      </c>
      <c r="H60" s="2093">
        <f t="shared" si="2"/>
        <v>190612</v>
      </c>
      <c r="I60" s="2103"/>
    </row>
    <row r="61" spans="1:9">
      <c r="A61" s="1964">
        <v>4053671</v>
      </c>
      <c r="B61" s="2093">
        <v>770197.49</v>
      </c>
      <c r="C61" s="2093">
        <v>3283473.51</v>
      </c>
      <c r="D61" s="1964" t="s">
        <v>1622</v>
      </c>
      <c r="E61" s="2097">
        <v>734</v>
      </c>
      <c r="F61" s="1964">
        <v>2782730</v>
      </c>
      <c r="G61" s="2093">
        <v>528719</v>
      </c>
      <c r="H61" s="2093">
        <f t="shared" si="2"/>
        <v>2254011</v>
      </c>
      <c r="I61" s="2103"/>
    </row>
    <row r="62" spans="1:9">
      <c r="A62" s="1964">
        <v>447191</v>
      </c>
      <c r="B62" s="2093">
        <v>84966.290000000008</v>
      </c>
      <c r="C62" s="2093">
        <v>362224.70999999996</v>
      </c>
      <c r="D62" s="1964" t="s">
        <v>1623</v>
      </c>
      <c r="E62" s="2097">
        <v>707</v>
      </c>
      <c r="F62" s="1964">
        <v>538042</v>
      </c>
      <c r="G62" s="2093">
        <v>102228</v>
      </c>
      <c r="H62" s="2093">
        <f t="shared" si="2"/>
        <v>435814</v>
      </c>
      <c r="I62" s="2103"/>
    </row>
    <row r="63" spans="1:9">
      <c r="A63" s="1964">
        <v>2095763</v>
      </c>
      <c r="B63" s="2093">
        <v>1257457.8</v>
      </c>
      <c r="C63" s="2093">
        <v>838305.2</v>
      </c>
      <c r="D63" s="1964" t="s">
        <v>1624</v>
      </c>
      <c r="E63" s="2097">
        <v>706</v>
      </c>
      <c r="F63" s="1964">
        <v>1623206</v>
      </c>
      <c r="G63" s="2093">
        <f>973923+1</f>
        <v>973924</v>
      </c>
      <c r="H63" s="2093">
        <f>F63-G63</f>
        <v>649282</v>
      </c>
      <c r="I63" s="2103"/>
    </row>
    <row r="64" spans="1:9">
      <c r="A64" s="1964">
        <v>40024017</v>
      </c>
      <c r="B64" s="2093">
        <v>20012008.5</v>
      </c>
      <c r="C64" s="2093">
        <v>20012008.5</v>
      </c>
      <c r="D64" s="1964" t="s">
        <v>1096</v>
      </c>
      <c r="E64" s="2097">
        <v>700</v>
      </c>
      <c r="F64" s="1964">
        <v>66657580</v>
      </c>
      <c r="G64" s="2093">
        <v>33328790</v>
      </c>
      <c r="H64" s="2093">
        <f t="shared" si="2"/>
        <v>33328790</v>
      </c>
      <c r="I64" s="2103"/>
    </row>
    <row r="65" spans="1:9">
      <c r="A65" s="2089"/>
      <c r="B65" s="2098"/>
      <c r="C65" s="2099"/>
      <c r="D65" s="2100"/>
      <c r="F65" s="2112"/>
      <c r="G65" s="2102"/>
      <c r="H65" s="2112"/>
    </row>
    <row r="66" spans="1:9">
      <c r="A66" s="2104">
        <f>SUM(A51:A64)</f>
        <v>92371380</v>
      </c>
      <c r="B66" s="2105">
        <f>SUM(B51:B64)</f>
        <v>42728477.589999996</v>
      </c>
      <c r="C66" s="2106">
        <f>SUM(C51:C64)</f>
        <v>49642902.409999996</v>
      </c>
      <c r="D66" s="2107" t="s">
        <v>1631</v>
      </c>
      <c r="E66" s="2108"/>
      <c r="F66" s="2104">
        <f>SUM(F51:F64)</f>
        <v>114904107</v>
      </c>
      <c r="G66" s="2105">
        <f>SUM(G51:G64)</f>
        <v>54237729</v>
      </c>
      <c r="H66" s="2106">
        <f>SUM(H51:H64)</f>
        <v>60666378</v>
      </c>
    </row>
    <row r="67" spans="1:9">
      <c r="A67" s="2127"/>
      <c r="B67" s="2115"/>
      <c r="C67" s="2127"/>
      <c r="D67" s="2128"/>
      <c r="E67" s="2115"/>
      <c r="F67" s="2110"/>
      <c r="G67" s="2091"/>
      <c r="H67" s="2110"/>
    </row>
    <row r="68" spans="1:9">
      <c r="A68" s="2089"/>
      <c r="C68" s="2089"/>
      <c r="D68" s="2111" t="s">
        <v>1632</v>
      </c>
      <c r="F68" s="2100"/>
      <c r="G68" s="2089"/>
      <c r="H68" s="2100"/>
    </row>
    <row r="69" spans="1:9">
      <c r="A69" s="1964">
        <v>11200</v>
      </c>
      <c r="B69" s="2093">
        <v>5600</v>
      </c>
      <c r="C69" s="2093">
        <v>5600</v>
      </c>
      <c r="D69" s="1964" t="s">
        <v>1609</v>
      </c>
      <c r="E69" s="2094">
        <v>701702712713</v>
      </c>
      <c r="F69" s="1964">
        <v>11750</v>
      </c>
      <c r="G69" s="2093">
        <v>5875</v>
      </c>
      <c r="H69" s="2093">
        <f>F69-G69</f>
        <v>5875</v>
      </c>
      <c r="I69" s="2103"/>
    </row>
    <row r="70" spans="1:9">
      <c r="A70" s="1964">
        <v>49183210</v>
      </c>
      <c r="B70" s="2093">
        <v>24591605</v>
      </c>
      <c r="C70" s="2093">
        <v>24591605</v>
      </c>
      <c r="D70" s="1964" t="s">
        <v>1610</v>
      </c>
      <c r="E70" s="2096" t="s">
        <v>1611</v>
      </c>
      <c r="F70" s="1964">
        <v>38467568</v>
      </c>
      <c r="G70" s="2093">
        <v>19233784</v>
      </c>
      <c r="H70" s="2093">
        <f t="shared" ref="H70:H81" si="3">F70-G70</f>
        <v>19233784</v>
      </c>
      <c r="I70" s="2103"/>
    </row>
    <row r="71" spans="1:9">
      <c r="A71" s="1964">
        <v>0</v>
      </c>
      <c r="B71" s="2093">
        <v>0</v>
      </c>
      <c r="C71" s="2093">
        <v>0</v>
      </c>
      <c r="D71" s="1964" t="s">
        <v>1612</v>
      </c>
      <c r="E71" s="2097">
        <v>717</v>
      </c>
      <c r="F71" s="1964">
        <v>9104</v>
      </c>
      <c r="G71" s="2093">
        <v>4552</v>
      </c>
      <c r="H71" s="2093">
        <f t="shared" si="3"/>
        <v>4552</v>
      </c>
      <c r="I71" s="2103"/>
    </row>
    <row r="72" spans="1:9">
      <c r="A72" s="1964">
        <v>0</v>
      </c>
      <c r="B72" s="2093">
        <v>0</v>
      </c>
      <c r="C72" s="2093">
        <v>0</v>
      </c>
      <c r="D72" s="1964" t="s">
        <v>1613</v>
      </c>
      <c r="E72" s="2097">
        <v>718</v>
      </c>
      <c r="F72" s="1964">
        <v>0</v>
      </c>
      <c r="G72" s="2093">
        <v>0</v>
      </c>
      <c r="H72" s="2093">
        <f t="shared" si="3"/>
        <v>0</v>
      </c>
      <c r="I72" s="2103"/>
    </row>
    <row r="73" spans="1:9">
      <c r="A73" s="1964">
        <v>0</v>
      </c>
      <c r="B73" s="2093">
        <v>0</v>
      </c>
      <c r="C73" s="2093">
        <v>0</v>
      </c>
      <c r="D73" s="1964" t="s">
        <v>1614</v>
      </c>
      <c r="E73" s="2097">
        <v>705</v>
      </c>
      <c r="F73" s="1964">
        <v>0</v>
      </c>
      <c r="G73" s="2093">
        <v>0</v>
      </c>
      <c r="H73" s="2093">
        <f t="shared" si="3"/>
        <v>0</v>
      </c>
      <c r="I73" s="2103"/>
    </row>
    <row r="74" spans="1:9">
      <c r="A74" s="1964">
        <v>90568</v>
      </c>
      <c r="B74" s="2093">
        <v>45284</v>
      </c>
      <c r="C74" s="2093">
        <v>45284</v>
      </c>
      <c r="D74" s="1964" t="s">
        <v>1615</v>
      </c>
      <c r="E74" s="2097">
        <v>709</v>
      </c>
      <c r="F74" s="1964">
        <v>19329</v>
      </c>
      <c r="G74" s="2093">
        <v>9665</v>
      </c>
      <c r="H74" s="2093">
        <f t="shared" si="3"/>
        <v>9664</v>
      </c>
      <c r="I74" s="2103"/>
    </row>
    <row r="75" spans="1:9">
      <c r="A75" s="1964">
        <v>60469</v>
      </c>
      <c r="B75" s="2093">
        <v>19954.77</v>
      </c>
      <c r="C75" s="2093">
        <v>40514.229999999996</v>
      </c>
      <c r="D75" s="1964" t="s">
        <v>1616</v>
      </c>
      <c r="E75" s="2096" t="s">
        <v>1617</v>
      </c>
      <c r="F75" s="1964">
        <v>114593</v>
      </c>
      <c r="G75" s="2093">
        <v>38962</v>
      </c>
      <c r="H75" s="2093">
        <f t="shared" si="3"/>
        <v>75631</v>
      </c>
      <c r="I75" s="2103"/>
    </row>
    <row r="76" spans="1:9">
      <c r="A76" s="1964">
        <v>16384</v>
      </c>
      <c r="B76" s="2093">
        <v>7372.8</v>
      </c>
      <c r="C76" s="2093">
        <v>9011.2000000000007</v>
      </c>
      <c r="D76" s="1964" t="s">
        <v>1618</v>
      </c>
      <c r="E76" s="2096" t="s">
        <v>1619</v>
      </c>
      <c r="F76" s="1964">
        <v>0</v>
      </c>
      <c r="G76" s="2093">
        <v>0</v>
      </c>
      <c r="H76" s="2093">
        <f t="shared" si="3"/>
        <v>0</v>
      </c>
      <c r="I76" s="2103"/>
    </row>
    <row r="77" spans="1:9">
      <c r="A77" s="1964">
        <v>0</v>
      </c>
      <c r="B77" s="2093">
        <v>0</v>
      </c>
      <c r="C77" s="2093">
        <v>0</v>
      </c>
      <c r="D77" s="1964" t="s">
        <v>1620</v>
      </c>
      <c r="E77" s="2097">
        <v>715</v>
      </c>
      <c r="F77" s="1964">
        <v>0</v>
      </c>
      <c r="G77" s="2093">
        <v>0</v>
      </c>
      <c r="H77" s="2093">
        <f t="shared" si="3"/>
        <v>0</v>
      </c>
      <c r="I77" s="2103"/>
    </row>
    <row r="78" spans="1:9">
      <c r="A78" s="1964">
        <v>0</v>
      </c>
      <c r="B78" s="2093">
        <v>0</v>
      </c>
      <c r="C78" s="2093">
        <v>0</v>
      </c>
      <c r="D78" s="1964" t="s">
        <v>1621</v>
      </c>
      <c r="E78" s="2097">
        <v>708</v>
      </c>
      <c r="F78" s="1964">
        <v>0</v>
      </c>
      <c r="G78" s="2093">
        <v>0</v>
      </c>
      <c r="H78" s="2093">
        <f t="shared" si="3"/>
        <v>0</v>
      </c>
      <c r="I78" s="2103"/>
    </row>
    <row r="79" spans="1:9">
      <c r="A79" s="1964">
        <v>35077990</v>
      </c>
      <c r="B79" s="2093">
        <v>6664818.0999999996</v>
      </c>
      <c r="C79" s="2093">
        <v>28413171.899999999</v>
      </c>
      <c r="D79" s="1964" t="s">
        <v>1622</v>
      </c>
      <c r="E79" s="2097">
        <v>734</v>
      </c>
      <c r="F79" s="1964">
        <v>33717980</v>
      </c>
      <c r="G79" s="2093">
        <v>6406416</v>
      </c>
      <c r="H79" s="2093">
        <f t="shared" si="3"/>
        <v>27311564</v>
      </c>
      <c r="I79" s="2103"/>
    </row>
    <row r="80" spans="1:9">
      <c r="A80" s="1964">
        <v>14996790</v>
      </c>
      <c r="B80" s="2093">
        <v>2849390.1</v>
      </c>
      <c r="C80" s="2093">
        <v>12147399.9</v>
      </c>
      <c r="D80" s="1964" t="s">
        <v>1623</v>
      </c>
      <c r="E80" s="2097">
        <v>707</v>
      </c>
      <c r="F80" s="1964">
        <v>17668525</v>
      </c>
      <c r="G80" s="2093">
        <v>3357020</v>
      </c>
      <c r="H80" s="2093">
        <f t="shared" si="3"/>
        <v>14311505</v>
      </c>
      <c r="I80" s="2103"/>
    </row>
    <row r="81" spans="1:9">
      <c r="A81" s="1964">
        <v>0</v>
      </c>
      <c r="B81" s="2093">
        <v>0</v>
      </c>
      <c r="C81" s="2093">
        <v>0</v>
      </c>
      <c r="D81" s="1964" t="s">
        <v>1624</v>
      </c>
      <c r="E81" s="2097">
        <v>706</v>
      </c>
      <c r="F81" s="1964">
        <v>2906</v>
      </c>
      <c r="G81" s="2093">
        <v>1744</v>
      </c>
      <c r="H81" s="2093">
        <f t="shared" si="3"/>
        <v>1162</v>
      </c>
      <c r="I81" s="2103"/>
    </row>
    <row r="82" spans="1:9">
      <c r="A82" s="1964">
        <v>33497060</v>
      </c>
      <c r="B82" s="2093">
        <v>11344881</v>
      </c>
      <c r="C82" s="2093">
        <v>22152179</v>
      </c>
      <c r="D82" s="1964" t="s">
        <v>1096</v>
      </c>
      <c r="E82" s="2097">
        <v>700</v>
      </c>
      <c r="F82" s="1964">
        <v>42559716</v>
      </c>
      <c r="G82" s="1964">
        <v>16493154</v>
      </c>
      <c r="H82" s="1964">
        <f>F82-G82</f>
        <v>26066562</v>
      </c>
      <c r="I82" s="2103"/>
    </row>
    <row r="83" spans="1:9">
      <c r="A83" s="2089" t="s">
        <v>94</v>
      </c>
      <c r="B83" s="2098"/>
      <c r="C83" s="2099"/>
      <c r="D83" s="2100"/>
      <c r="F83" s="2100"/>
      <c r="G83" s="2089"/>
      <c r="H83" s="2100"/>
    </row>
    <row r="84" spans="1:9">
      <c r="A84" s="2104">
        <f>SUM(A69:A82)</f>
        <v>132933671</v>
      </c>
      <c r="B84" s="2105">
        <f>SUM(B69:B82)</f>
        <v>45528905.770000003</v>
      </c>
      <c r="C84" s="2106">
        <f>SUM(C69:C82)</f>
        <v>87404765.229999989</v>
      </c>
      <c r="D84" s="2107" t="s">
        <v>1633</v>
      </c>
      <c r="E84" s="2108"/>
      <c r="F84" s="2106">
        <f>SUM(F69:F82)</f>
        <v>132571471</v>
      </c>
      <c r="G84" s="2106">
        <f>SUM(G69:G82)</f>
        <v>45551172</v>
      </c>
      <c r="H84" s="2106">
        <f>SUM(H69:H82)</f>
        <v>87020299</v>
      </c>
    </row>
    <row r="85" spans="1:9">
      <c r="A85" s="2127"/>
      <c r="B85" s="2076" t="s">
        <v>94</v>
      </c>
      <c r="C85" s="2127"/>
      <c r="D85" s="2128"/>
      <c r="E85" s="2076"/>
      <c r="F85" s="2100"/>
      <c r="G85" s="2091"/>
      <c r="H85" s="2100"/>
    </row>
    <row r="86" spans="1:9">
      <c r="A86" s="1964">
        <v>37021878</v>
      </c>
      <c r="B86" s="2104">
        <v>18510939</v>
      </c>
      <c r="C86" s="2104">
        <v>18510939</v>
      </c>
      <c r="D86" s="2104" t="s">
        <v>1070</v>
      </c>
      <c r="E86" s="2104"/>
      <c r="F86" s="1964">
        <v>30282981</v>
      </c>
      <c r="G86" s="1964">
        <v>15141491</v>
      </c>
      <c r="H86" s="1964">
        <f>F86-G86</f>
        <v>15141490</v>
      </c>
      <c r="I86" s="2103"/>
    </row>
    <row r="87" spans="1:9">
      <c r="A87" s="2089"/>
      <c r="C87" s="2089"/>
      <c r="D87" s="2112"/>
      <c r="F87" s="2112"/>
      <c r="G87" s="2102"/>
      <c r="H87" s="2112"/>
    </row>
    <row r="88" spans="1:9" ht="12.75" thickBot="1">
      <c r="A88" s="2129">
        <f>+A23+A41+A66+A84+A86</f>
        <v>1369247884</v>
      </c>
      <c r="B88" s="2130">
        <f>+B23+B41+B66+B84+B86</f>
        <v>533598228.60999995</v>
      </c>
      <c r="C88" s="2131">
        <f>+C23+C41+C66+C84+C86</f>
        <v>835649655.38999999</v>
      </c>
      <c r="D88" s="2132" t="s">
        <v>1634</v>
      </c>
      <c r="E88" s="2133"/>
      <c r="F88" s="2131">
        <f>+F23+F41+F66+F84+F86</f>
        <v>1553993575</v>
      </c>
      <c r="G88" s="2130">
        <f>+G23+G41+G66+G84+G86</f>
        <v>611053689</v>
      </c>
      <c r="H88" s="2131">
        <f>+H23+H41+H66+H84+H86</f>
        <v>942939886</v>
      </c>
    </row>
    <row r="89" spans="1:9" ht="12.75" thickTop="1">
      <c r="A89" s="2075" t="s">
        <v>94</v>
      </c>
    </row>
    <row r="95" spans="1:9" ht="9" customHeight="1"/>
  </sheetData>
  <mergeCells count="2">
    <mergeCell ref="G1:H1"/>
    <mergeCell ref="G45:H45"/>
  </mergeCells>
  <printOptions horizontalCentered="1" verticalCentered="1"/>
  <pageMargins left="0" right="0" top="0" bottom="0" header="0.31496062992125984" footer="0.31496062992125984"/>
  <pageSetup paperSize="9" scale="82" orientation="landscape" horizontalDpi="180" verticalDpi="180" r:id="rId1"/>
  <rowBreaks count="1" manualBreakCount="1">
    <brk id="43" max="8" man="1"/>
  </rowBreaks>
</worksheet>
</file>

<file path=xl/worksheets/sheet133.xml><?xml version="1.0" encoding="utf-8"?>
<worksheet xmlns="http://schemas.openxmlformats.org/spreadsheetml/2006/main" xmlns:r="http://schemas.openxmlformats.org/officeDocument/2006/relationships">
  <sheetPr codeName="Sheet112"/>
  <dimension ref="B1:Q56"/>
  <sheetViews>
    <sheetView showGridLines="0" workbookViewId="0">
      <selection activeCell="B23" activeCellId="1" sqref="B57 B23"/>
    </sheetView>
  </sheetViews>
  <sheetFormatPr defaultRowHeight="15"/>
  <cols>
    <col min="1" max="2" width="9.140625" style="1013"/>
    <col min="3" max="3" width="13.85546875" style="1013" customWidth="1"/>
    <col min="4" max="4" width="13.42578125" style="1013" customWidth="1"/>
    <col min="5" max="6" width="9.140625" style="1013"/>
    <col min="7" max="7" width="6" style="1013" customWidth="1"/>
    <col min="8" max="10" width="9.140625" style="1013"/>
    <col min="11" max="11" width="15" style="1013" customWidth="1"/>
    <col min="12" max="13" width="9.140625" style="1013"/>
    <col min="14" max="14" width="16.7109375" style="1013" customWidth="1"/>
    <col min="15" max="15" width="11.7109375" style="1013" customWidth="1"/>
    <col min="16" max="16" width="9.140625" style="1013"/>
    <col min="17" max="17" width="10.85546875" style="1013" customWidth="1"/>
    <col min="18" max="16384" width="9.140625" style="1013"/>
  </cols>
  <sheetData>
    <row r="1" spans="2:17">
      <c r="B1" s="5944" t="s">
        <v>2855</v>
      </c>
      <c r="C1" s="5944"/>
      <c r="D1" s="5944"/>
    </row>
    <row r="3" spans="2:17" ht="28.5">
      <c r="B3" s="3463" t="s">
        <v>101</v>
      </c>
      <c r="C3" s="3463" t="s">
        <v>2723</v>
      </c>
      <c r="D3" s="3463" t="s">
        <v>2724</v>
      </c>
      <c r="H3" s="5427" t="s">
        <v>2851</v>
      </c>
      <c r="I3" s="5429"/>
      <c r="J3" s="5429"/>
      <c r="K3" s="5428"/>
      <c r="M3" s="5425" t="s">
        <v>2725</v>
      </c>
      <c r="N3" s="5425"/>
      <c r="O3" s="5425"/>
      <c r="P3" s="5425"/>
      <c r="Q3" s="5425"/>
    </row>
    <row r="4" spans="2:17">
      <c r="B4" s="3437">
        <v>1</v>
      </c>
      <c r="C4" s="3464" t="s">
        <v>2726</v>
      </c>
      <c r="D4" s="3464">
        <v>14.75</v>
      </c>
      <c r="H4" s="5982" t="s">
        <v>2245</v>
      </c>
      <c r="I4" s="5982"/>
      <c r="J4" s="5982" t="s">
        <v>2727</v>
      </c>
      <c r="K4" s="5982"/>
      <c r="M4" s="5982" t="s">
        <v>2245</v>
      </c>
      <c r="N4" s="5982"/>
      <c r="O4" s="3443" t="s">
        <v>2847</v>
      </c>
      <c r="P4" s="5982" t="s">
        <v>2727</v>
      </c>
      <c r="Q4" s="5982"/>
    </row>
    <row r="5" spans="2:17">
      <c r="B5" s="3437">
        <f>B4+1</f>
        <v>2</v>
      </c>
      <c r="C5" s="3464" t="s">
        <v>2728</v>
      </c>
      <c r="D5" s="3464">
        <v>14.55</v>
      </c>
      <c r="H5" s="6324">
        <v>41730</v>
      </c>
      <c r="I5" s="5944"/>
      <c r="J5" s="6325">
        <f>D8</f>
        <v>14.75</v>
      </c>
      <c r="K5" s="6325"/>
      <c r="M5" s="6321" t="s">
        <v>2848</v>
      </c>
      <c r="N5" s="5944"/>
      <c r="O5" s="3442">
        <v>179</v>
      </c>
      <c r="P5" s="5944">
        <f>D8</f>
        <v>14.75</v>
      </c>
      <c r="Q5" s="5944"/>
    </row>
    <row r="6" spans="2:17">
      <c r="B6" s="3437">
        <f t="shared" ref="B6:B56" si="0">B5+1</f>
        <v>3</v>
      </c>
      <c r="C6" s="3464" t="s">
        <v>2729</v>
      </c>
      <c r="D6" s="3464">
        <v>14.45</v>
      </c>
      <c r="H6" s="6324">
        <v>41760</v>
      </c>
      <c r="I6" s="5944"/>
      <c r="J6" s="6325">
        <f>D8</f>
        <v>14.75</v>
      </c>
      <c r="K6" s="6325"/>
      <c r="M6" s="6321" t="s">
        <v>2849</v>
      </c>
      <c r="N6" s="5944"/>
      <c r="O6" s="3442">
        <v>130</v>
      </c>
      <c r="P6" s="5944">
        <f>D7</f>
        <v>14.5</v>
      </c>
      <c r="Q6" s="5944"/>
    </row>
    <row r="7" spans="2:17" ht="27" customHeight="1">
      <c r="B7" s="3437">
        <f t="shared" si="0"/>
        <v>4</v>
      </c>
      <c r="C7" s="3464" t="s">
        <v>2730</v>
      </c>
      <c r="D7" s="3464">
        <v>14.5</v>
      </c>
      <c r="H7" s="6324">
        <v>41791</v>
      </c>
      <c r="I7" s="5944"/>
      <c r="J7" s="6325">
        <f>D8</f>
        <v>14.75</v>
      </c>
      <c r="K7" s="6325"/>
      <c r="M7" s="5944" t="s">
        <v>2850</v>
      </c>
      <c r="N7" s="5944"/>
      <c r="O7" s="3442">
        <v>56</v>
      </c>
      <c r="P7" s="5944">
        <f>D6</f>
        <v>14.45</v>
      </c>
      <c r="Q7" s="5944"/>
    </row>
    <row r="8" spans="2:17" ht="27" customHeight="1">
      <c r="B8" s="3437">
        <f t="shared" si="0"/>
        <v>5</v>
      </c>
      <c r="C8" s="3464" t="s">
        <v>2731</v>
      </c>
      <c r="D8" s="3464">
        <v>14.75</v>
      </c>
      <c r="H8" s="6324">
        <v>41821</v>
      </c>
      <c r="I8" s="5944"/>
      <c r="J8" s="6325">
        <f>D8</f>
        <v>14.75</v>
      </c>
      <c r="K8" s="6325"/>
      <c r="M8" s="5971" t="s">
        <v>2742</v>
      </c>
      <c r="N8" s="5971"/>
      <c r="O8" s="5970">
        <f>(O5*P5+O6*P6+O7*P7)/SUM(O5:O7)</f>
        <v>14.614931506849315</v>
      </c>
      <c r="P8" s="5970"/>
      <c r="Q8" s="5970"/>
    </row>
    <row r="9" spans="2:17" ht="27" customHeight="1">
      <c r="B9" s="3437">
        <f t="shared" si="0"/>
        <v>6</v>
      </c>
      <c r="C9" s="3464" t="s">
        <v>2732</v>
      </c>
      <c r="D9" s="3464">
        <v>14.25</v>
      </c>
      <c r="H9" s="6324">
        <v>41852</v>
      </c>
      <c r="I9" s="5944"/>
      <c r="J9" s="6325">
        <f>D8</f>
        <v>14.75</v>
      </c>
      <c r="K9" s="6325"/>
    </row>
    <row r="10" spans="2:17" ht="27" customHeight="1">
      <c r="B10" s="3437">
        <f t="shared" si="0"/>
        <v>7</v>
      </c>
      <c r="C10" s="3464" t="s">
        <v>2733</v>
      </c>
      <c r="D10" s="3464">
        <v>14</v>
      </c>
      <c r="H10" s="6324">
        <v>41883</v>
      </c>
      <c r="I10" s="5944"/>
      <c r="J10" s="6325">
        <f>AVERAGE(D8,D7)</f>
        <v>14.625</v>
      </c>
      <c r="K10" s="6325"/>
    </row>
    <row r="11" spans="2:17" ht="27" customHeight="1">
      <c r="B11" s="3437">
        <f t="shared" si="0"/>
        <v>8</v>
      </c>
      <c r="C11" s="3464" t="s">
        <v>2734</v>
      </c>
      <c r="D11" s="3464">
        <v>13.25</v>
      </c>
      <c r="H11" s="6324">
        <v>41913</v>
      </c>
      <c r="I11" s="5944"/>
      <c r="J11" s="6325">
        <f>AVERAGE(D8,D7)</f>
        <v>14.625</v>
      </c>
      <c r="K11" s="6325"/>
    </row>
    <row r="12" spans="2:17" ht="27" customHeight="1">
      <c r="B12" s="3437">
        <f t="shared" si="0"/>
        <v>9</v>
      </c>
      <c r="C12" s="3464" t="s">
        <v>2735</v>
      </c>
      <c r="D12" s="3464">
        <v>13</v>
      </c>
      <c r="H12" s="6324">
        <v>41944</v>
      </c>
      <c r="I12" s="5944"/>
      <c r="J12" s="6325">
        <f>D7</f>
        <v>14.5</v>
      </c>
      <c r="K12" s="6325"/>
    </row>
    <row r="13" spans="2:17" ht="27" customHeight="1">
      <c r="B13" s="3437">
        <f t="shared" si="0"/>
        <v>10</v>
      </c>
      <c r="C13" s="3464" t="s">
        <v>2736</v>
      </c>
      <c r="D13" s="3464">
        <v>12.75</v>
      </c>
      <c r="H13" s="6324">
        <v>41974</v>
      </c>
      <c r="I13" s="5944"/>
      <c r="J13" s="6325">
        <f>D7</f>
        <v>14.5</v>
      </c>
      <c r="K13" s="6325"/>
    </row>
    <row r="14" spans="2:17" ht="27" customHeight="1">
      <c r="B14" s="3437">
        <f t="shared" si="0"/>
        <v>11</v>
      </c>
      <c r="C14" s="3464" t="s">
        <v>2737</v>
      </c>
      <c r="D14" s="3464">
        <v>12.5</v>
      </c>
      <c r="H14" s="6324">
        <v>42005</v>
      </c>
      <c r="I14" s="5944"/>
      <c r="J14" s="6325">
        <f>D7</f>
        <v>14.5</v>
      </c>
      <c r="K14" s="6325"/>
    </row>
    <row r="15" spans="2:17" ht="27" customHeight="1">
      <c r="B15" s="3437">
        <f t="shared" si="0"/>
        <v>12</v>
      </c>
      <c r="C15" s="3464" t="s">
        <v>2738</v>
      </c>
      <c r="D15" s="3464">
        <v>12.25</v>
      </c>
      <c r="H15" s="6324">
        <v>42036</v>
      </c>
      <c r="I15" s="5944"/>
      <c r="J15" s="6325">
        <f>AVERAGE(D7,D6)</f>
        <v>14.475</v>
      </c>
      <c r="K15" s="6325"/>
    </row>
    <row r="16" spans="2:17" ht="27" customHeight="1">
      <c r="B16" s="3437">
        <f t="shared" si="0"/>
        <v>13</v>
      </c>
      <c r="C16" s="3464" t="s">
        <v>2739</v>
      </c>
      <c r="D16" s="3464">
        <v>11.75</v>
      </c>
      <c r="H16" s="6324">
        <v>42064</v>
      </c>
      <c r="I16" s="5944"/>
      <c r="J16" s="6325">
        <f>D6</f>
        <v>14.45</v>
      </c>
      <c r="K16" s="6325"/>
    </row>
    <row r="17" spans="2:11" ht="27" customHeight="1">
      <c r="B17" s="3437">
        <f t="shared" si="0"/>
        <v>14</v>
      </c>
      <c r="C17" s="3464" t="s">
        <v>2740</v>
      </c>
      <c r="D17" s="3464">
        <v>12.25</v>
      </c>
      <c r="H17" s="6324">
        <v>42095</v>
      </c>
      <c r="I17" s="5944"/>
      <c r="J17" s="6325">
        <f>D6</f>
        <v>14.45</v>
      </c>
      <c r="K17" s="6325"/>
    </row>
    <row r="18" spans="2:11" ht="27" customHeight="1">
      <c r="B18" s="3437">
        <f t="shared" si="0"/>
        <v>15</v>
      </c>
      <c r="C18" s="3464" t="s">
        <v>2741</v>
      </c>
      <c r="D18" s="3464">
        <v>13</v>
      </c>
      <c r="H18" s="6324" t="s">
        <v>2852</v>
      </c>
      <c r="I18" s="5944"/>
      <c r="J18" s="6325">
        <f>AVERAGE(J5:K17)</f>
        <v>14.605769230769228</v>
      </c>
      <c r="K18" s="6325"/>
    </row>
    <row r="19" spans="2:11" ht="27" customHeight="1">
      <c r="B19" s="3437">
        <f t="shared" si="0"/>
        <v>16</v>
      </c>
      <c r="C19" s="3464" t="s">
        <v>2743</v>
      </c>
      <c r="D19" s="3464">
        <v>13.75</v>
      </c>
      <c r="H19" s="6323"/>
      <c r="I19" s="6322"/>
      <c r="J19" s="6322"/>
      <c r="K19" s="6322"/>
    </row>
    <row r="20" spans="2:11" ht="27" customHeight="1">
      <c r="B20" s="3437">
        <f t="shared" si="0"/>
        <v>17</v>
      </c>
      <c r="C20" s="3464" t="s">
        <v>2744</v>
      </c>
      <c r="D20" s="3464">
        <v>12.75</v>
      </c>
      <c r="H20" s="6323"/>
      <c r="I20" s="6322"/>
      <c r="J20" s="6322"/>
      <c r="K20" s="6322"/>
    </row>
    <row r="21" spans="2:11" ht="27" customHeight="1">
      <c r="B21" s="3437">
        <f t="shared" si="0"/>
        <v>18</v>
      </c>
      <c r="C21" s="3464" t="s">
        <v>2745</v>
      </c>
      <c r="D21" s="3464">
        <v>12.25</v>
      </c>
      <c r="H21" s="6323"/>
      <c r="I21" s="6322"/>
      <c r="J21" s="6322"/>
      <c r="K21" s="6322"/>
    </row>
    <row r="22" spans="2:11" ht="27" customHeight="1">
      <c r="B22" s="3437">
        <f t="shared" si="0"/>
        <v>19</v>
      </c>
      <c r="C22" s="3464" t="s">
        <v>2746</v>
      </c>
      <c r="D22" s="3464">
        <v>12.5</v>
      </c>
      <c r="H22" s="6323"/>
      <c r="I22" s="6322"/>
      <c r="J22" s="6322"/>
      <c r="K22" s="6322"/>
    </row>
    <row r="23" spans="2:11" ht="27" customHeight="1">
      <c r="B23" s="3437">
        <f t="shared" si="0"/>
        <v>20</v>
      </c>
      <c r="C23" s="3464" t="s">
        <v>2747</v>
      </c>
      <c r="D23" s="3464">
        <v>12.75</v>
      </c>
      <c r="H23" s="6323"/>
      <c r="I23" s="6322"/>
      <c r="J23" s="6322"/>
      <c r="K23" s="6322"/>
    </row>
    <row r="24" spans="2:11" ht="27" customHeight="1">
      <c r="B24" s="3437">
        <f t="shared" si="0"/>
        <v>21</v>
      </c>
      <c r="C24" s="3464" t="s">
        <v>2748</v>
      </c>
      <c r="D24" s="3464">
        <v>12.25</v>
      </c>
      <c r="H24" s="6323"/>
      <c r="I24" s="6322"/>
      <c r="J24" s="6322"/>
      <c r="K24" s="6322"/>
    </row>
    <row r="25" spans="2:11" ht="27" customHeight="1">
      <c r="B25" s="3437">
        <f t="shared" si="0"/>
        <v>22</v>
      </c>
      <c r="C25" s="3464" t="s">
        <v>2749</v>
      </c>
      <c r="D25" s="3464">
        <v>11.5</v>
      </c>
      <c r="H25" s="6323"/>
      <c r="I25" s="6322"/>
      <c r="J25" s="6322"/>
      <c r="K25" s="6322"/>
    </row>
    <row r="26" spans="2:11" ht="27" customHeight="1">
      <c r="B26" s="3437">
        <f t="shared" si="0"/>
        <v>23</v>
      </c>
      <c r="C26" s="3464" t="s">
        <v>2750</v>
      </c>
      <c r="D26" s="3464">
        <v>11</v>
      </c>
      <c r="H26" s="6323"/>
      <c r="I26" s="6322"/>
      <c r="J26" s="6322"/>
      <c r="K26" s="6322"/>
    </row>
    <row r="27" spans="2:11" ht="27" customHeight="1">
      <c r="B27" s="3437">
        <f t="shared" si="0"/>
        <v>24</v>
      </c>
      <c r="C27" s="3464" t="s">
        <v>2751</v>
      </c>
      <c r="D27" s="3464">
        <v>10.75</v>
      </c>
      <c r="H27" s="6323"/>
      <c r="I27" s="6322"/>
      <c r="J27" s="6322"/>
      <c r="K27" s="6322"/>
    </row>
    <row r="28" spans="2:11" ht="27" customHeight="1">
      <c r="B28" s="3437">
        <f t="shared" si="0"/>
        <v>25</v>
      </c>
      <c r="C28" s="3464" t="s">
        <v>2752</v>
      </c>
      <c r="D28" s="3464">
        <v>10.25</v>
      </c>
      <c r="H28" s="6323"/>
      <c r="I28" s="6322"/>
      <c r="J28" s="6322"/>
      <c r="K28" s="6322"/>
    </row>
    <row r="29" spans="2:11" ht="27" customHeight="1">
      <c r="B29" s="3437">
        <f t="shared" si="0"/>
        <v>26</v>
      </c>
      <c r="C29" s="3464" t="s">
        <v>2753</v>
      </c>
      <c r="D29" s="3464">
        <v>10.5</v>
      </c>
      <c r="H29" s="6323"/>
      <c r="I29" s="6322"/>
      <c r="J29" s="6322"/>
      <c r="K29" s="6322"/>
    </row>
    <row r="30" spans="2:11">
      <c r="B30" s="3437">
        <f t="shared" si="0"/>
        <v>27</v>
      </c>
      <c r="C30" s="3464" t="s">
        <v>2754</v>
      </c>
      <c r="D30" s="3464">
        <v>10.75</v>
      </c>
      <c r="H30" s="6322"/>
      <c r="I30" s="6322"/>
      <c r="J30" s="6322"/>
      <c r="K30" s="6322"/>
    </row>
    <row r="31" spans="2:11">
      <c r="B31" s="3437">
        <f t="shared" si="0"/>
        <v>28</v>
      </c>
      <c r="C31" s="3464" t="s">
        <v>2755</v>
      </c>
      <c r="D31" s="3464">
        <v>11</v>
      </c>
      <c r="H31" s="6322"/>
      <c r="I31" s="6322"/>
      <c r="J31" s="6322"/>
      <c r="K31" s="6322"/>
    </row>
    <row r="32" spans="2:11">
      <c r="B32" s="3437">
        <f t="shared" si="0"/>
        <v>29</v>
      </c>
      <c r="C32" s="3464" t="s">
        <v>2756</v>
      </c>
      <c r="D32" s="3464">
        <v>11.5</v>
      </c>
      <c r="H32" s="6322"/>
      <c r="I32" s="6322"/>
      <c r="J32" s="6322"/>
      <c r="K32" s="6322"/>
    </row>
    <row r="33" spans="2:11">
      <c r="B33" s="3437">
        <f t="shared" si="0"/>
        <v>30</v>
      </c>
      <c r="C33" s="3464" t="s">
        <v>2757</v>
      </c>
      <c r="D33" s="3464">
        <v>12</v>
      </c>
      <c r="H33" s="6322"/>
      <c r="I33" s="6322"/>
      <c r="J33" s="6322"/>
      <c r="K33" s="6322"/>
    </row>
    <row r="34" spans="2:11">
      <c r="B34" s="3437">
        <f t="shared" si="0"/>
        <v>31</v>
      </c>
      <c r="C34" s="3464" t="s">
        <v>2758</v>
      </c>
      <c r="D34" s="3464">
        <v>11.25</v>
      </c>
      <c r="H34" s="6322"/>
      <c r="I34" s="6322"/>
      <c r="J34" s="6322"/>
      <c r="K34" s="6322"/>
    </row>
    <row r="35" spans="2:11">
      <c r="B35" s="3437">
        <f t="shared" si="0"/>
        <v>32</v>
      </c>
      <c r="C35" s="3464" t="s">
        <v>2759</v>
      </c>
      <c r="D35" s="3464">
        <v>12</v>
      </c>
      <c r="H35" s="6322"/>
      <c r="I35" s="6322"/>
      <c r="J35" s="6322"/>
      <c r="K35" s="6322"/>
    </row>
    <row r="36" spans="2:11">
      <c r="B36" s="3437">
        <f t="shared" si="0"/>
        <v>33</v>
      </c>
      <c r="C36" s="3464" t="s">
        <v>2760</v>
      </c>
      <c r="D36" s="3464">
        <v>13</v>
      </c>
      <c r="H36" s="6322"/>
      <c r="I36" s="6322"/>
      <c r="J36" s="6322"/>
      <c r="K36" s="6322"/>
    </row>
    <row r="37" spans="2:11">
      <c r="B37" s="3437">
        <f t="shared" si="0"/>
        <v>34</v>
      </c>
      <c r="C37" s="3464" t="s">
        <v>2761</v>
      </c>
      <c r="D37" s="3464">
        <v>13.5</v>
      </c>
      <c r="H37" s="6322"/>
      <c r="I37" s="6322"/>
      <c r="J37" s="6322"/>
      <c r="K37" s="6322"/>
    </row>
    <row r="38" spans="2:11">
      <c r="B38" s="3437">
        <f t="shared" si="0"/>
        <v>35</v>
      </c>
      <c r="C38" s="3464" t="s">
        <v>2762</v>
      </c>
      <c r="D38" s="3464">
        <v>14</v>
      </c>
      <c r="H38" s="6322"/>
      <c r="I38" s="6322"/>
      <c r="J38" s="6322"/>
      <c r="K38" s="6322"/>
    </row>
    <row r="39" spans="2:11">
      <c r="B39" s="3437">
        <f t="shared" si="0"/>
        <v>36</v>
      </c>
      <c r="C39" s="3464" t="s">
        <v>2763</v>
      </c>
      <c r="D39" s="3464">
        <v>13</v>
      </c>
      <c r="H39" s="6322"/>
      <c r="I39" s="6322"/>
      <c r="J39" s="6322"/>
      <c r="K39" s="6322"/>
    </row>
    <row r="40" spans="2:11">
      <c r="B40" s="3437">
        <f t="shared" si="0"/>
        <v>37</v>
      </c>
      <c r="C40" s="3464" t="s">
        <v>2764</v>
      </c>
      <c r="D40" s="3464">
        <v>13.5</v>
      </c>
      <c r="H40" s="6322"/>
      <c r="I40" s="6322"/>
      <c r="J40" s="6322"/>
      <c r="K40" s="6322"/>
    </row>
    <row r="41" spans="2:11">
      <c r="B41" s="3437">
        <f t="shared" si="0"/>
        <v>38</v>
      </c>
      <c r="C41" s="3464" t="s">
        <v>2765</v>
      </c>
      <c r="D41" s="3464">
        <v>14</v>
      </c>
      <c r="H41" s="6322"/>
      <c r="I41" s="6322"/>
      <c r="J41" s="6322"/>
      <c r="K41" s="6322"/>
    </row>
    <row r="42" spans="2:11">
      <c r="B42" s="3437">
        <f t="shared" si="0"/>
        <v>39</v>
      </c>
      <c r="C42" s="3464" t="s">
        <v>2766</v>
      </c>
      <c r="D42" s="3464">
        <v>14.5</v>
      </c>
      <c r="H42" s="6322"/>
      <c r="I42" s="6322"/>
      <c r="J42" s="6322"/>
      <c r="K42" s="6322"/>
    </row>
    <row r="43" spans="2:11">
      <c r="B43" s="3437">
        <f t="shared" si="0"/>
        <v>40</v>
      </c>
      <c r="C43" s="3464" t="s">
        <v>2767</v>
      </c>
      <c r="D43" s="3464">
        <v>15.5</v>
      </c>
      <c r="H43" s="6322"/>
      <c r="I43" s="6322"/>
      <c r="J43" s="6322"/>
      <c r="K43" s="6322"/>
    </row>
    <row r="44" spans="2:11">
      <c r="B44" s="3437">
        <f t="shared" si="0"/>
        <v>41</v>
      </c>
      <c r="C44" s="3464" t="s">
        <v>2768</v>
      </c>
      <c r="D44" s="3464">
        <v>16</v>
      </c>
      <c r="H44" s="6322"/>
      <c r="I44" s="6322"/>
      <c r="J44" s="6322"/>
      <c r="K44" s="6322"/>
    </row>
    <row r="45" spans="2:11">
      <c r="B45" s="3437">
        <f t="shared" si="0"/>
        <v>42</v>
      </c>
      <c r="C45" s="3464" t="s">
        <v>2769</v>
      </c>
      <c r="D45" s="3464">
        <v>16.5</v>
      </c>
      <c r="H45" s="6322"/>
      <c r="I45" s="6322"/>
      <c r="J45" s="6322"/>
      <c r="K45" s="6322"/>
    </row>
    <row r="46" spans="2:11">
      <c r="B46" s="3437">
        <f t="shared" si="0"/>
        <v>43</v>
      </c>
      <c r="C46" s="3464" t="s">
        <v>2770</v>
      </c>
      <c r="D46" s="3464">
        <v>15.5</v>
      </c>
      <c r="H46" s="6322"/>
      <c r="I46" s="6322"/>
      <c r="J46" s="6322"/>
      <c r="K46" s="6322"/>
    </row>
    <row r="47" spans="2:11">
      <c r="B47" s="3437">
        <f t="shared" si="0"/>
        <v>44</v>
      </c>
      <c r="C47" s="3464" t="s">
        <v>2771</v>
      </c>
      <c r="D47" s="3464">
        <v>15</v>
      </c>
      <c r="H47" s="6322"/>
      <c r="I47" s="6322"/>
      <c r="J47" s="6322"/>
      <c r="K47" s="6322"/>
    </row>
    <row r="48" spans="2:11">
      <c r="B48" s="3437">
        <f t="shared" si="0"/>
        <v>45</v>
      </c>
      <c r="C48" s="3464" t="s">
        <v>2772</v>
      </c>
      <c r="D48" s="3464">
        <v>14</v>
      </c>
      <c r="H48" s="6322"/>
      <c r="I48" s="6322"/>
      <c r="J48" s="6322"/>
      <c r="K48" s="6322"/>
    </row>
    <row r="49" spans="2:11">
      <c r="B49" s="3437">
        <f t="shared" si="0"/>
        <v>46</v>
      </c>
      <c r="C49" s="3464" t="s">
        <v>2773</v>
      </c>
      <c r="D49" s="3464">
        <v>15</v>
      </c>
      <c r="H49" s="6322"/>
      <c r="I49" s="6322"/>
      <c r="J49" s="6322"/>
      <c r="K49" s="6322"/>
    </row>
    <row r="50" spans="2:11">
      <c r="B50" s="3437">
        <f t="shared" si="0"/>
        <v>47</v>
      </c>
      <c r="C50" s="3464" t="s">
        <v>2774</v>
      </c>
      <c r="D50" s="3464">
        <v>16</v>
      </c>
      <c r="H50" s="6322"/>
      <c r="I50" s="6322"/>
      <c r="J50" s="6322"/>
      <c r="K50" s="6322"/>
    </row>
    <row r="51" spans="2:11">
      <c r="B51" s="3437">
        <f t="shared" si="0"/>
        <v>48</v>
      </c>
      <c r="C51" s="3464" t="s">
        <v>2775</v>
      </c>
      <c r="D51" s="3464">
        <v>17</v>
      </c>
      <c r="H51" s="6322"/>
      <c r="I51" s="6322"/>
      <c r="J51" s="6322"/>
      <c r="K51" s="6322"/>
    </row>
    <row r="52" spans="2:11">
      <c r="B52" s="3437">
        <f t="shared" si="0"/>
        <v>49</v>
      </c>
      <c r="C52" s="3464" t="s">
        <v>2776</v>
      </c>
      <c r="D52" s="3464">
        <v>18</v>
      </c>
      <c r="H52" s="6322"/>
      <c r="I52" s="6322"/>
      <c r="J52" s="6322"/>
      <c r="K52" s="6322"/>
    </row>
    <row r="53" spans="2:11">
      <c r="B53" s="3437">
        <f t="shared" si="0"/>
        <v>50</v>
      </c>
      <c r="C53" s="3464" t="s">
        <v>2777</v>
      </c>
      <c r="D53" s="3464">
        <v>19</v>
      </c>
      <c r="H53" s="6322"/>
      <c r="I53" s="6322"/>
      <c r="J53" s="6322"/>
      <c r="K53" s="6322"/>
    </row>
    <row r="54" spans="2:11">
      <c r="B54" s="3437">
        <f t="shared" si="0"/>
        <v>51</v>
      </c>
      <c r="C54" s="3464" t="s">
        <v>2778</v>
      </c>
      <c r="D54" s="3464">
        <v>20</v>
      </c>
      <c r="H54" s="6322"/>
      <c r="I54" s="6322"/>
      <c r="J54" s="6322"/>
      <c r="K54" s="6322"/>
    </row>
    <row r="55" spans="2:11">
      <c r="B55" s="3437">
        <f t="shared" si="0"/>
        <v>52</v>
      </c>
      <c r="C55" s="3464" t="s">
        <v>2779</v>
      </c>
      <c r="D55" s="3464">
        <v>18.5</v>
      </c>
      <c r="H55" s="6322"/>
      <c r="I55" s="6322"/>
      <c r="J55" s="6322"/>
      <c r="K55" s="6322"/>
    </row>
    <row r="56" spans="2:11">
      <c r="B56" s="3437">
        <f t="shared" si="0"/>
        <v>53</v>
      </c>
      <c r="C56" s="3464" t="s">
        <v>2780</v>
      </c>
      <c r="D56" s="3464">
        <v>17</v>
      </c>
      <c r="H56" s="6322"/>
      <c r="I56" s="6322"/>
      <c r="J56" s="1458"/>
      <c r="K56" s="1458"/>
    </row>
  </sheetData>
  <mergeCells count="118">
    <mergeCell ref="B1:D1"/>
    <mergeCell ref="H7:I7"/>
    <mergeCell ref="J7:K7"/>
    <mergeCell ref="H8:I8"/>
    <mergeCell ref="J8:K8"/>
    <mergeCell ref="H9:I9"/>
    <mergeCell ref="J9:K9"/>
    <mergeCell ref="H3:K3"/>
    <mergeCell ref="H4:I4"/>
    <mergeCell ref="J4:K4"/>
    <mergeCell ref="H5:I5"/>
    <mergeCell ref="J5:K5"/>
    <mergeCell ref="H6:I6"/>
    <mergeCell ref="J6:K6"/>
    <mergeCell ref="H13:I13"/>
    <mergeCell ref="J13:K13"/>
    <mergeCell ref="H14:I14"/>
    <mergeCell ref="J14:K14"/>
    <mergeCell ref="H15:I15"/>
    <mergeCell ref="J15:K15"/>
    <mergeCell ref="H10:I10"/>
    <mergeCell ref="J10:K10"/>
    <mergeCell ref="H11:I11"/>
    <mergeCell ref="J11:K11"/>
    <mergeCell ref="H12:I12"/>
    <mergeCell ref="J12:K12"/>
    <mergeCell ref="H19:I19"/>
    <mergeCell ref="J19:K19"/>
    <mergeCell ref="H20:I20"/>
    <mergeCell ref="J20:K20"/>
    <mergeCell ref="H21:I21"/>
    <mergeCell ref="J21:K21"/>
    <mergeCell ref="H16:I16"/>
    <mergeCell ref="J16:K16"/>
    <mergeCell ref="H17:I17"/>
    <mergeCell ref="J17:K17"/>
    <mergeCell ref="H18:I18"/>
    <mergeCell ref="J18:K18"/>
    <mergeCell ref="H25:I25"/>
    <mergeCell ref="J25:K25"/>
    <mergeCell ref="H26:I26"/>
    <mergeCell ref="J26:K26"/>
    <mergeCell ref="H27:I27"/>
    <mergeCell ref="J27:K27"/>
    <mergeCell ref="H22:I22"/>
    <mergeCell ref="J22:K22"/>
    <mergeCell ref="H23:I23"/>
    <mergeCell ref="J23:K23"/>
    <mergeCell ref="H24:I24"/>
    <mergeCell ref="J24:K24"/>
    <mergeCell ref="H31:I31"/>
    <mergeCell ref="J31:K31"/>
    <mergeCell ref="H32:I32"/>
    <mergeCell ref="J32:K32"/>
    <mergeCell ref="H33:I33"/>
    <mergeCell ref="J33:K33"/>
    <mergeCell ref="H28:I28"/>
    <mergeCell ref="J28:K28"/>
    <mergeCell ref="H29:I29"/>
    <mergeCell ref="J29:K29"/>
    <mergeCell ref="H30:I30"/>
    <mergeCell ref="J30:K30"/>
    <mergeCell ref="H37:I37"/>
    <mergeCell ref="J37:K37"/>
    <mergeCell ref="H38:I38"/>
    <mergeCell ref="J38:K38"/>
    <mergeCell ref="H39:I39"/>
    <mergeCell ref="J39:K39"/>
    <mergeCell ref="H34:I34"/>
    <mergeCell ref="J34:K34"/>
    <mergeCell ref="H35:I35"/>
    <mergeCell ref="J35:K35"/>
    <mergeCell ref="H36:I36"/>
    <mergeCell ref="J36:K36"/>
    <mergeCell ref="H43:I43"/>
    <mergeCell ref="J43:K43"/>
    <mergeCell ref="H44:I44"/>
    <mergeCell ref="J44:K44"/>
    <mergeCell ref="H45:I45"/>
    <mergeCell ref="J45:K45"/>
    <mergeCell ref="H40:I40"/>
    <mergeCell ref="J40:K40"/>
    <mergeCell ref="H41:I41"/>
    <mergeCell ref="J41:K41"/>
    <mergeCell ref="H42:I42"/>
    <mergeCell ref="J42:K42"/>
    <mergeCell ref="H49:I49"/>
    <mergeCell ref="J49:K49"/>
    <mergeCell ref="H50:I50"/>
    <mergeCell ref="J50:K50"/>
    <mergeCell ref="H51:I51"/>
    <mergeCell ref="J51:K51"/>
    <mergeCell ref="H46:I46"/>
    <mergeCell ref="J46:K46"/>
    <mergeCell ref="H47:I47"/>
    <mergeCell ref="J47:K47"/>
    <mergeCell ref="H48:I48"/>
    <mergeCell ref="J48:K48"/>
    <mergeCell ref="H55:I55"/>
    <mergeCell ref="J55:K55"/>
    <mergeCell ref="H56:I56"/>
    <mergeCell ref="H52:I52"/>
    <mergeCell ref="J52:K52"/>
    <mergeCell ref="H53:I53"/>
    <mergeCell ref="J53:K53"/>
    <mergeCell ref="H54:I54"/>
    <mergeCell ref="J54:K54"/>
    <mergeCell ref="M8:N8"/>
    <mergeCell ref="O8:Q8"/>
    <mergeCell ref="M3:Q3"/>
    <mergeCell ref="M4:N4"/>
    <mergeCell ref="P4:Q4"/>
    <mergeCell ref="M5:N5"/>
    <mergeCell ref="P5:Q5"/>
    <mergeCell ref="M6:N6"/>
    <mergeCell ref="P6:Q6"/>
    <mergeCell ref="M7:N7"/>
    <mergeCell ref="P7:Q7"/>
  </mergeCells>
  <pageMargins left="0.7" right="0.7" top="0.75" bottom="0.75" header="0.3" footer="0.3"/>
  <pageSetup paperSize="9" orientation="portrait" verticalDpi="0" r:id="rId1"/>
</worksheet>
</file>

<file path=xl/worksheets/sheet134.xml><?xml version="1.0" encoding="utf-8"?>
<worksheet xmlns="http://schemas.openxmlformats.org/spreadsheetml/2006/main" xmlns:r="http://schemas.openxmlformats.org/officeDocument/2006/relationships">
  <sheetPr codeName="Sheet113">
    <pageSetUpPr fitToPage="1"/>
  </sheetPr>
  <dimension ref="A6:P113"/>
  <sheetViews>
    <sheetView topLeftCell="A14" zoomScaleSheetLayoutView="67" workbookViewId="0">
      <selection activeCell="B23" activeCellId="1" sqref="B57 B23"/>
    </sheetView>
  </sheetViews>
  <sheetFormatPr defaultRowHeight="12.75"/>
  <cols>
    <col min="1" max="1" width="4.140625" style="18" customWidth="1"/>
    <col min="2" max="2" width="45.140625" style="18" customWidth="1"/>
    <col min="3" max="3" width="11.5703125" style="18" customWidth="1"/>
    <col min="4" max="4" width="0" style="18" hidden="1" customWidth="1"/>
    <col min="5" max="5" width="11.140625" style="18" customWidth="1"/>
    <col min="6" max="7" width="6.28515625" style="18" customWidth="1"/>
    <col min="8" max="8" width="6" style="18" customWidth="1"/>
    <col min="9" max="9" width="8.7109375" style="18" customWidth="1"/>
    <col min="10" max="10" width="9.140625" style="18"/>
    <col min="11" max="11" width="9" style="18" bestFit="1" customWidth="1"/>
    <col min="12" max="12" width="9.85546875" style="18" customWidth="1"/>
    <col min="13" max="13" width="10.5703125" style="18" customWidth="1"/>
    <col min="14" max="14" width="5.5703125" style="18" customWidth="1"/>
    <col min="15" max="256" width="9.140625" style="18"/>
    <col min="257" max="257" width="4.140625" style="18" customWidth="1"/>
    <col min="258" max="258" width="45.140625" style="18" customWidth="1"/>
    <col min="259" max="259" width="11.5703125" style="18" customWidth="1"/>
    <col min="260" max="260" width="0" style="18" hidden="1" customWidth="1"/>
    <col min="261" max="261" width="11.140625" style="18" customWidth="1"/>
    <col min="262" max="263" width="6.28515625" style="18" customWidth="1"/>
    <col min="264" max="264" width="6" style="18" customWidth="1"/>
    <col min="265" max="265" width="8.7109375" style="18" customWidth="1"/>
    <col min="266" max="266" width="9.140625" style="18"/>
    <col min="267" max="267" width="9" style="18" bestFit="1" customWidth="1"/>
    <col min="268" max="268" width="9.85546875" style="18" customWidth="1"/>
    <col min="269" max="269" width="10.5703125" style="18" customWidth="1"/>
    <col min="270" max="270" width="5.5703125" style="18" customWidth="1"/>
    <col min="271" max="512" width="9.140625" style="18"/>
    <col min="513" max="513" width="4.140625" style="18" customWidth="1"/>
    <col min="514" max="514" width="45.140625" style="18" customWidth="1"/>
    <col min="515" max="515" width="11.5703125" style="18" customWidth="1"/>
    <col min="516" max="516" width="0" style="18" hidden="1" customWidth="1"/>
    <col min="517" max="517" width="11.140625" style="18" customWidth="1"/>
    <col min="518" max="519" width="6.28515625" style="18" customWidth="1"/>
    <col min="520" max="520" width="6" style="18" customWidth="1"/>
    <col min="521" max="521" width="8.7109375" style="18" customWidth="1"/>
    <col min="522" max="522" width="9.140625" style="18"/>
    <col min="523" max="523" width="9" style="18" bestFit="1" customWidth="1"/>
    <col min="524" max="524" width="9.85546875" style="18" customWidth="1"/>
    <col min="525" max="525" width="10.5703125" style="18" customWidth="1"/>
    <col min="526" max="526" width="5.5703125" style="18" customWidth="1"/>
    <col min="527" max="768" width="9.140625" style="18"/>
    <col min="769" max="769" width="4.140625" style="18" customWidth="1"/>
    <col min="770" max="770" width="45.140625" style="18" customWidth="1"/>
    <col min="771" max="771" width="11.5703125" style="18" customWidth="1"/>
    <col min="772" max="772" width="0" style="18" hidden="1" customWidth="1"/>
    <col min="773" max="773" width="11.140625" style="18" customWidth="1"/>
    <col min="774" max="775" width="6.28515625" style="18" customWidth="1"/>
    <col min="776" max="776" width="6" style="18" customWidth="1"/>
    <col min="777" max="777" width="8.7109375" style="18" customWidth="1"/>
    <col min="778" max="778" width="9.140625" style="18"/>
    <col min="779" max="779" width="9" style="18" bestFit="1" customWidth="1"/>
    <col min="780" max="780" width="9.85546875" style="18" customWidth="1"/>
    <col min="781" max="781" width="10.5703125" style="18" customWidth="1"/>
    <col min="782" max="782" width="5.5703125" style="18" customWidth="1"/>
    <col min="783" max="1024" width="9.140625" style="18"/>
    <col min="1025" max="1025" width="4.140625" style="18" customWidth="1"/>
    <col min="1026" max="1026" width="45.140625" style="18" customWidth="1"/>
    <col min="1027" max="1027" width="11.5703125" style="18" customWidth="1"/>
    <col min="1028" max="1028" width="0" style="18" hidden="1" customWidth="1"/>
    <col min="1029" max="1029" width="11.140625" style="18" customWidth="1"/>
    <col min="1030" max="1031" width="6.28515625" style="18" customWidth="1"/>
    <col min="1032" max="1032" width="6" style="18" customWidth="1"/>
    <col min="1033" max="1033" width="8.7109375" style="18" customWidth="1"/>
    <col min="1034" max="1034" width="9.140625" style="18"/>
    <col min="1035" max="1035" width="9" style="18" bestFit="1" customWidth="1"/>
    <col min="1036" max="1036" width="9.85546875" style="18" customWidth="1"/>
    <col min="1037" max="1037" width="10.5703125" style="18" customWidth="1"/>
    <col min="1038" max="1038" width="5.5703125" style="18" customWidth="1"/>
    <col min="1039" max="1280" width="9.140625" style="18"/>
    <col min="1281" max="1281" width="4.140625" style="18" customWidth="1"/>
    <col min="1282" max="1282" width="45.140625" style="18" customWidth="1"/>
    <col min="1283" max="1283" width="11.5703125" style="18" customWidth="1"/>
    <col min="1284" max="1284" width="0" style="18" hidden="1" customWidth="1"/>
    <col min="1285" max="1285" width="11.140625" style="18" customWidth="1"/>
    <col min="1286" max="1287" width="6.28515625" style="18" customWidth="1"/>
    <col min="1288" max="1288" width="6" style="18" customWidth="1"/>
    <col min="1289" max="1289" width="8.7109375" style="18" customWidth="1"/>
    <col min="1290" max="1290" width="9.140625" style="18"/>
    <col min="1291" max="1291" width="9" style="18" bestFit="1" customWidth="1"/>
    <col min="1292" max="1292" width="9.85546875" style="18" customWidth="1"/>
    <col min="1293" max="1293" width="10.5703125" style="18" customWidth="1"/>
    <col min="1294" max="1294" width="5.5703125" style="18" customWidth="1"/>
    <col min="1295" max="1536" width="9.140625" style="18"/>
    <col min="1537" max="1537" width="4.140625" style="18" customWidth="1"/>
    <col min="1538" max="1538" width="45.140625" style="18" customWidth="1"/>
    <col min="1539" max="1539" width="11.5703125" style="18" customWidth="1"/>
    <col min="1540" max="1540" width="0" style="18" hidden="1" customWidth="1"/>
    <col min="1541" max="1541" width="11.140625" style="18" customWidth="1"/>
    <col min="1542" max="1543" width="6.28515625" style="18" customWidth="1"/>
    <col min="1544" max="1544" width="6" style="18" customWidth="1"/>
    <col min="1545" max="1545" width="8.7109375" style="18" customWidth="1"/>
    <col min="1546" max="1546" width="9.140625" style="18"/>
    <col min="1547" max="1547" width="9" style="18" bestFit="1" customWidth="1"/>
    <col min="1548" max="1548" width="9.85546875" style="18" customWidth="1"/>
    <col min="1549" max="1549" width="10.5703125" style="18" customWidth="1"/>
    <col min="1550" max="1550" width="5.5703125" style="18" customWidth="1"/>
    <col min="1551" max="1792" width="9.140625" style="18"/>
    <col min="1793" max="1793" width="4.140625" style="18" customWidth="1"/>
    <col min="1794" max="1794" width="45.140625" style="18" customWidth="1"/>
    <col min="1795" max="1795" width="11.5703125" style="18" customWidth="1"/>
    <col min="1796" max="1796" width="0" style="18" hidden="1" customWidth="1"/>
    <col min="1797" max="1797" width="11.140625" style="18" customWidth="1"/>
    <col min="1798" max="1799" width="6.28515625" style="18" customWidth="1"/>
    <col min="1800" max="1800" width="6" style="18" customWidth="1"/>
    <col min="1801" max="1801" width="8.7109375" style="18" customWidth="1"/>
    <col min="1802" max="1802" width="9.140625" style="18"/>
    <col min="1803" max="1803" width="9" style="18" bestFit="1" customWidth="1"/>
    <col min="1804" max="1804" width="9.85546875" style="18" customWidth="1"/>
    <col min="1805" max="1805" width="10.5703125" style="18" customWidth="1"/>
    <col min="1806" max="1806" width="5.5703125" style="18" customWidth="1"/>
    <col min="1807" max="2048" width="9.140625" style="18"/>
    <col min="2049" max="2049" width="4.140625" style="18" customWidth="1"/>
    <col min="2050" max="2050" width="45.140625" style="18" customWidth="1"/>
    <col min="2051" max="2051" width="11.5703125" style="18" customWidth="1"/>
    <col min="2052" max="2052" width="0" style="18" hidden="1" customWidth="1"/>
    <col min="2053" max="2053" width="11.140625" style="18" customWidth="1"/>
    <col min="2054" max="2055" width="6.28515625" style="18" customWidth="1"/>
    <col min="2056" max="2056" width="6" style="18" customWidth="1"/>
    <col min="2057" max="2057" width="8.7109375" style="18" customWidth="1"/>
    <col min="2058" max="2058" width="9.140625" style="18"/>
    <col min="2059" max="2059" width="9" style="18" bestFit="1" customWidth="1"/>
    <col min="2060" max="2060" width="9.85546875" style="18" customWidth="1"/>
    <col min="2061" max="2061" width="10.5703125" style="18" customWidth="1"/>
    <col min="2062" max="2062" width="5.5703125" style="18" customWidth="1"/>
    <col min="2063" max="2304" width="9.140625" style="18"/>
    <col min="2305" max="2305" width="4.140625" style="18" customWidth="1"/>
    <col min="2306" max="2306" width="45.140625" style="18" customWidth="1"/>
    <col min="2307" max="2307" width="11.5703125" style="18" customWidth="1"/>
    <col min="2308" max="2308" width="0" style="18" hidden="1" customWidth="1"/>
    <col min="2309" max="2309" width="11.140625" style="18" customWidth="1"/>
    <col min="2310" max="2311" width="6.28515625" style="18" customWidth="1"/>
    <col min="2312" max="2312" width="6" style="18" customWidth="1"/>
    <col min="2313" max="2313" width="8.7109375" style="18" customWidth="1"/>
    <col min="2314" max="2314" width="9.140625" style="18"/>
    <col min="2315" max="2315" width="9" style="18" bestFit="1" customWidth="1"/>
    <col min="2316" max="2316" width="9.85546875" style="18" customWidth="1"/>
    <col min="2317" max="2317" width="10.5703125" style="18" customWidth="1"/>
    <col min="2318" max="2318" width="5.5703125" style="18" customWidth="1"/>
    <col min="2319" max="2560" width="9.140625" style="18"/>
    <col min="2561" max="2561" width="4.140625" style="18" customWidth="1"/>
    <col min="2562" max="2562" width="45.140625" style="18" customWidth="1"/>
    <col min="2563" max="2563" width="11.5703125" style="18" customWidth="1"/>
    <col min="2564" max="2564" width="0" style="18" hidden="1" customWidth="1"/>
    <col min="2565" max="2565" width="11.140625" style="18" customWidth="1"/>
    <col min="2566" max="2567" width="6.28515625" style="18" customWidth="1"/>
    <col min="2568" max="2568" width="6" style="18" customWidth="1"/>
    <col min="2569" max="2569" width="8.7109375" style="18" customWidth="1"/>
    <col min="2570" max="2570" width="9.140625" style="18"/>
    <col min="2571" max="2571" width="9" style="18" bestFit="1" customWidth="1"/>
    <col min="2572" max="2572" width="9.85546875" style="18" customWidth="1"/>
    <col min="2573" max="2573" width="10.5703125" style="18" customWidth="1"/>
    <col min="2574" max="2574" width="5.5703125" style="18" customWidth="1"/>
    <col min="2575" max="2816" width="9.140625" style="18"/>
    <col min="2817" max="2817" width="4.140625" style="18" customWidth="1"/>
    <col min="2818" max="2818" width="45.140625" style="18" customWidth="1"/>
    <col min="2819" max="2819" width="11.5703125" style="18" customWidth="1"/>
    <col min="2820" max="2820" width="0" style="18" hidden="1" customWidth="1"/>
    <col min="2821" max="2821" width="11.140625" style="18" customWidth="1"/>
    <col min="2822" max="2823" width="6.28515625" style="18" customWidth="1"/>
    <col min="2824" max="2824" width="6" style="18" customWidth="1"/>
    <col min="2825" max="2825" width="8.7109375" style="18" customWidth="1"/>
    <col min="2826" max="2826" width="9.140625" style="18"/>
    <col min="2827" max="2827" width="9" style="18" bestFit="1" customWidth="1"/>
    <col min="2828" max="2828" width="9.85546875" style="18" customWidth="1"/>
    <col min="2829" max="2829" width="10.5703125" style="18" customWidth="1"/>
    <col min="2830" max="2830" width="5.5703125" style="18" customWidth="1"/>
    <col min="2831" max="3072" width="9.140625" style="18"/>
    <col min="3073" max="3073" width="4.140625" style="18" customWidth="1"/>
    <col min="3074" max="3074" width="45.140625" style="18" customWidth="1"/>
    <col min="3075" max="3075" width="11.5703125" style="18" customWidth="1"/>
    <col min="3076" max="3076" width="0" style="18" hidden="1" customWidth="1"/>
    <col min="3077" max="3077" width="11.140625" style="18" customWidth="1"/>
    <col min="3078" max="3079" width="6.28515625" style="18" customWidth="1"/>
    <col min="3080" max="3080" width="6" style="18" customWidth="1"/>
    <col min="3081" max="3081" width="8.7109375" style="18" customWidth="1"/>
    <col min="3082" max="3082" width="9.140625" style="18"/>
    <col min="3083" max="3083" width="9" style="18" bestFit="1" customWidth="1"/>
    <col min="3084" max="3084" width="9.85546875" style="18" customWidth="1"/>
    <col min="3085" max="3085" width="10.5703125" style="18" customWidth="1"/>
    <col min="3086" max="3086" width="5.5703125" style="18" customWidth="1"/>
    <col min="3087" max="3328" width="9.140625" style="18"/>
    <col min="3329" max="3329" width="4.140625" style="18" customWidth="1"/>
    <col min="3330" max="3330" width="45.140625" style="18" customWidth="1"/>
    <col min="3331" max="3331" width="11.5703125" style="18" customWidth="1"/>
    <col min="3332" max="3332" width="0" style="18" hidden="1" customWidth="1"/>
    <col min="3333" max="3333" width="11.140625" style="18" customWidth="1"/>
    <col min="3334" max="3335" width="6.28515625" style="18" customWidth="1"/>
    <col min="3336" max="3336" width="6" style="18" customWidth="1"/>
    <col min="3337" max="3337" width="8.7109375" style="18" customWidth="1"/>
    <col min="3338" max="3338" width="9.140625" style="18"/>
    <col min="3339" max="3339" width="9" style="18" bestFit="1" customWidth="1"/>
    <col min="3340" max="3340" width="9.85546875" style="18" customWidth="1"/>
    <col min="3341" max="3341" width="10.5703125" style="18" customWidth="1"/>
    <col min="3342" max="3342" width="5.5703125" style="18" customWidth="1"/>
    <col min="3343" max="3584" width="9.140625" style="18"/>
    <col min="3585" max="3585" width="4.140625" style="18" customWidth="1"/>
    <col min="3586" max="3586" width="45.140625" style="18" customWidth="1"/>
    <col min="3587" max="3587" width="11.5703125" style="18" customWidth="1"/>
    <col min="3588" max="3588" width="0" style="18" hidden="1" customWidth="1"/>
    <col min="3589" max="3589" width="11.140625" style="18" customWidth="1"/>
    <col min="3590" max="3591" width="6.28515625" style="18" customWidth="1"/>
    <col min="3592" max="3592" width="6" style="18" customWidth="1"/>
    <col min="3593" max="3593" width="8.7109375" style="18" customWidth="1"/>
    <col min="3594" max="3594" width="9.140625" style="18"/>
    <col min="3595" max="3595" width="9" style="18" bestFit="1" customWidth="1"/>
    <col min="3596" max="3596" width="9.85546875" style="18" customWidth="1"/>
    <col min="3597" max="3597" width="10.5703125" style="18" customWidth="1"/>
    <col min="3598" max="3598" width="5.5703125" style="18" customWidth="1"/>
    <col min="3599" max="3840" width="9.140625" style="18"/>
    <col min="3841" max="3841" width="4.140625" style="18" customWidth="1"/>
    <col min="3842" max="3842" width="45.140625" style="18" customWidth="1"/>
    <col min="3843" max="3843" width="11.5703125" style="18" customWidth="1"/>
    <col min="3844" max="3844" width="0" style="18" hidden="1" customWidth="1"/>
    <col min="3845" max="3845" width="11.140625" style="18" customWidth="1"/>
    <col min="3846" max="3847" width="6.28515625" style="18" customWidth="1"/>
    <col min="3848" max="3848" width="6" style="18" customWidth="1"/>
    <col min="3849" max="3849" width="8.7109375" style="18" customWidth="1"/>
    <col min="3850" max="3850" width="9.140625" style="18"/>
    <col min="3851" max="3851" width="9" style="18" bestFit="1" customWidth="1"/>
    <col min="3852" max="3852" width="9.85546875" style="18" customWidth="1"/>
    <col min="3853" max="3853" width="10.5703125" style="18" customWidth="1"/>
    <col min="3854" max="3854" width="5.5703125" style="18" customWidth="1"/>
    <col min="3855" max="4096" width="9.140625" style="18"/>
    <col min="4097" max="4097" width="4.140625" style="18" customWidth="1"/>
    <col min="4098" max="4098" width="45.140625" style="18" customWidth="1"/>
    <col min="4099" max="4099" width="11.5703125" style="18" customWidth="1"/>
    <col min="4100" max="4100" width="0" style="18" hidden="1" customWidth="1"/>
    <col min="4101" max="4101" width="11.140625" style="18" customWidth="1"/>
    <col min="4102" max="4103" width="6.28515625" style="18" customWidth="1"/>
    <col min="4104" max="4104" width="6" style="18" customWidth="1"/>
    <col min="4105" max="4105" width="8.7109375" style="18" customWidth="1"/>
    <col min="4106" max="4106" width="9.140625" style="18"/>
    <col min="4107" max="4107" width="9" style="18" bestFit="1" customWidth="1"/>
    <col min="4108" max="4108" width="9.85546875" style="18" customWidth="1"/>
    <col min="4109" max="4109" width="10.5703125" style="18" customWidth="1"/>
    <col min="4110" max="4110" width="5.5703125" style="18" customWidth="1"/>
    <col min="4111" max="4352" width="9.140625" style="18"/>
    <col min="4353" max="4353" width="4.140625" style="18" customWidth="1"/>
    <col min="4354" max="4354" width="45.140625" style="18" customWidth="1"/>
    <col min="4355" max="4355" width="11.5703125" style="18" customWidth="1"/>
    <col min="4356" max="4356" width="0" style="18" hidden="1" customWidth="1"/>
    <col min="4357" max="4357" width="11.140625" style="18" customWidth="1"/>
    <col min="4358" max="4359" width="6.28515625" style="18" customWidth="1"/>
    <col min="4360" max="4360" width="6" style="18" customWidth="1"/>
    <col min="4361" max="4361" width="8.7109375" style="18" customWidth="1"/>
    <col min="4362" max="4362" width="9.140625" style="18"/>
    <col min="4363" max="4363" width="9" style="18" bestFit="1" customWidth="1"/>
    <col min="4364" max="4364" width="9.85546875" style="18" customWidth="1"/>
    <col min="4365" max="4365" width="10.5703125" style="18" customWidth="1"/>
    <col min="4366" max="4366" width="5.5703125" style="18" customWidth="1"/>
    <col min="4367" max="4608" width="9.140625" style="18"/>
    <col min="4609" max="4609" width="4.140625" style="18" customWidth="1"/>
    <col min="4610" max="4610" width="45.140625" style="18" customWidth="1"/>
    <col min="4611" max="4611" width="11.5703125" style="18" customWidth="1"/>
    <col min="4612" max="4612" width="0" style="18" hidden="1" customWidth="1"/>
    <col min="4613" max="4613" width="11.140625" style="18" customWidth="1"/>
    <col min="4614" max="4615" width="6.28515625" style="18" customWidth="1"/>
    <col min="4616" max="4616" width="6" style="18" customWidth="1"/>
    <col min="4617" max="4617" width="8.7109375" style="18" customWidth="1"/>
    <col min="4618" max="4618" width="9.140625" style="18"/>
    <col min="4619" max="4619" width="9" style="18" bestFit="1" customWidth="1"/>
    <col min="4620" max="4620" width="9.85546875" style="18" customWidth="1"/>
    <col min="4621" max="4621" width="10.5703125" style="18" customWidth="1"/>
    <col min="4622" max="4622" width="5.5703125" style="18" customWidth="1"/>
    <col min="4623" max="4864" width="9.140625" style="18"/>
    <col min="4865" max="4865" width="4.140625" style="18" customWidth="1"/>
    <col min="4866" max="4866" width="45.140625" style="18" customWidth="1"/>
    <col min="4867" max="4867" width="11.5703125" style="18" customWidth="1"/>
    <col min="4868" max="4868" width="0" style="18" hidden="1" customWidth="1"/>
    <col min="4869" max="4869" width="11.140625" style="18" customWidth="1"/>
    <col min="4870" max="4871" width="6.28515625" style="18" customWidth="1"/>
    <col min="4872" max="4872" width="6" style="18" customWidth="1"/>
    <col min="4873" max="4873" width="8.7109375" style="18" customWidth="1"/>
    <col min="4874" max="4874" width="9.140625" style="18"/>
    <col min="4875" max="4875" width="9" style="18" bestFit="1" customWidth="1"/>
    <col min="4876" max="4876" width="9.85546875" style="18" customWidth="1"/>
    <col min="4877" max="4877" width="10.5703125" style="18" customWidth="1"/>
    <col min="4878" max="4878" width="5.5703125" style="18" customWidth="1"/>
    <col min="4879" max="5120" width="9.140625" style="18"/>
    <col min="5121" max="5121" width="4.140625" style="18" customWidth="1"/>
    <col min="5122" max="5122" width="45.140625" style="18" customWidth="1"/>
    <col min="5123" max="5123" width="11.5703125" style="18" customWidth="1"/>
    <col min="5124" max="5124" width="0" style="18" hidden="1" customWidth="1"/>
    <col min="5125" max="5125" width="11.140625" style="18" customWidth="1"/>
    <col min="5126" max="5127" width="6.28515625" style="18" customWidth="1"/>
    <col min="5128" max="5128" width="6" style="18" customWidth="1"/>
    <col min="5129" max="5129" width="8.7109375" style="18" customWidth="1"/>
    <col min="5130" max="5130" width="9.140625" style="18"/>
    <col min="5131" max="5131" width="9" style="18" bestFit="1" customWidth="1"/>
    <col min="5132" max="5132" width="9.85546875" style="18" customWidth="1"/>
    <col min="5133" max="5133" width="10.5703125" style="18" customWidth="1"/>
    <col min="5134" max="5134" width="5.5703125" style="18" customWidth="1"/>
    <col min="5135" max="5376" width="9.140625" style="18"/>
    <col min="5377" max="5377" width="4.140625" style="18" customWidth="1"/>
    <col min="5378" max="5378" width="45.140625" style="18" customWidth="1"/>
    <col min="5379" max="5379" width="11.5703125" style="18" customWidth="1"/>
    <col min="5380" max="5380" width="0" style="18" hidden="1" customWidth="1"/>
    <col min="5381" max="5381" width="11.140625" style="18" customWidth="1"/>
    <col min="5382" max="5383" width="6.28515625" style="18" customWidth="1"/>
    <col min="5384" max="5384" width="6" style="18" customWidth="1"/>
    <col min="5385" max="5385" width="8.7109375" style="18" customWidth="1"/>
    <col min="5386" max="5386" width="9.140625" style="18"/>
    <col min="5387" max="5387" width="9" style="18" bestFit="1" customWidth="1"/>
    <col min="5388" max="5388" width="9.85546875" style="18" customWidth="1"/>
    <col min="5389" max="5389" width="10.5703125" style="18" customWidth="1"/>
    <col min="5390" max="5390" width="5.5703125" style="18" customWidth="1"/>
    <col min="5391" max="5632" width="9.140625" style="18"/>
    <col min="5633" max="5633" width="4.140625" style="18" customWidth="1"/>
    <col min="5634" max="5634" width="45.140625" style="18" customWidth="1"/>
    <col min="5635" max="5635" width="11.5703125" style="18" customWidth="1"/>
    <col min="5636" max="5636" width="0" style="18" hidden="1" customWidth="1"/>
    <col min="5637" max="5637" width="11.140625" style="18" customWidth="1"/>
    <col min="5638" max="5639" width="6.28515625" style="18" customWidth="1"/>
    <col min="5640" max="5640" width="6" style="18" customWidth="1"/>
    <col min="5641" max="5641" width="8.7109375" style="18" customWidth="1"/>
    <col min="5642" max="5642" width="9.140625" style="18"/>
    <col min="5643" max="5643" width="9" style="18" bestFit="1" customWidth="1"/>
    <col min="5644" max="5644" width="9.85546875" style="18" customWidth="1"/>
    <col min="5645" max="5645" width="10.5703125" style="18" customWidth="1"/>
    <col min="5646" max="5646" width="5.5703125" style="18" customWidth="1"/>
    <col min="5647" max="5888" width="9.140625" style="18"/>
    <col min="5889" max="5889" width="4.140625" style="18" customWidth="1"/>
    <col min="5890" max="5890" width="45.140625" style="18" customWidth="1"/>
    <col min="5891" max="5891" width="11.5703125" style="18" customWidth="1"/>
    <col min="5892" max="5892" width="0" style="18" hidden="1" customWidth="1"/>
    <col min="5893" max="5893" width="11.140625" style="18" customWidth="1"/>
    <col min="5894" max="5895" width="6.28515625" style="18" customWidth="1"/>
    <col min="5896" max="5896" width="6" style="18" customWidth="1"/>
    <col min="5897" max="5897" width="8.7109375" style="18" customWidth="1"/>
    <col min="5898" max="5898" width="9.140625" style="18"/>
    <col min="5899" max="5899" width="9" style="18" bestFit="1" customWidth="1"/>
    <col min="5900" max="5900" width="9.85546875" style="18" customWidth="1"/>
    <col min="5901" max="5901" width="10.5703125" style="18" customWidth="1"/>
    <col min="5902" max="5902" width="5.5703125" style="18" customWidth="1"/>
    <col min="5903" max="6144" width="9.140625" style="18"/>
    <col min="6145" max="6145" width="4.140625" style="18" customWidth="1"/>
    <col min="6146" max="6146" width="45.140625" style="18" customWidth="1"/>
    <col min="6147" max="6147" width="11.5703125" style="18" customWidth="1"/>
    <col min="6148" max="6148" width="0" style="18" hidden="1" customWidth="1"/>
    <col min="6149" max="6149" width="11.140625" style="18" customWidth="1"/>
    <col min="6150" max="6151" width="6.28515625" style="18" customWidth="1"/>
    <col min="6152" max="6152" width="6" style="18" customWidth="1"/>
    <col min="6153" max="6153" width="8.7109375" style="18" customWidth="1"/>
    <col min="6154" max="6154" width="9.140625" style="18"/>
    <col min="6155" max="6155" width="9" style="18" bestFit="1" customWidth="1"/>
    <col min="6156" max="6156" width="9.85546875" style="18" customWidth="1"/>
    <col min="6157" max="6157" width="10.5703125" style="18" customWidth="1"/>
    <col min="6158" max="6158" width="5.5703125" style="18" customWidth="1"/>
    <col min="6159" max="6400" width="9.140625" style="18"/>
    <col min="6401" max="6401" width="4.140625" style="18" customWidth="1"/>
    <col min="6402" max="6402" width="45.140625" style="18" customWidth="1"/>
    <col min="6403" max="6403" width="11.5703125" style="18" customWidth="1"/>
    <col min="6404" max="6404" width="0" style="18" hidden="1" customWidth="1"/>
    <col min="6405" max="6405" width="11.140625" style="18" customWidth="1"/>
    <col min="6406" max="6407" width="6.28515625" style="18" customWidth="1"/>
    <col min="6408" max="6408" width="6" style="18" customWidth="1"/>
    <col min="6409" max="6409" width="8.7109375" style="18" customWidth="1"/>
    <col min="6410" max="6410" width="9.140625" style="18"/>
    <col min="6411" max="6411" width="9" style="18" bestFit="1" customWidth="1"/>
    <col min="6412" max="6412" width="9.85546875" style="18" customWidth="1"/>
    <col min="6413" max="6413" width="10.5703125" style="18" customWidth="1"/>
    <col min="6414" max="6414" width="5.5703125" style="18" customWidth="1"/>
    <col min="6415" max="6656" width="9.140625" style="18"/>
    <col min="6657" max="6657" width="4.140625" style="18" customWidth="1"/>
    <col min="6658" max="6658" width="45.140625" style="18" customWidth="1"/>
    <col min="6659" max="6659" width="11.5703125" style="18" customWidth="1"/>
    <col min="6660" max="6660" width="0" style="18" hidden="1" customWidth="1"/>
    <col min="6661" max="6661" width="11.140625" style="18" customWidth="1"/>
    <col min="6662" max="6663" width="6.28515625" style="18" customWidth="1"/>
    <col min="6664" max="6664" width="6" style="18" customWidth="1"/>
    <col min="6665" max="6665" width="8.7109375" style="18" customWidth="1"/>
    <col min="6666" max="6666" width="9.140625" style="18"/>
    <col min="6667" max="6667" width="9" style="18" bestFit="1" customWidth="1"/>
    <col min="6668" max="6668" width="9.85546875" style="18" customWidth="1"/>
    <col min="6669" max="6669" width="10.5703125" style="18" customWidth="1"/>
    <col min="6670" max="6670" width="5.5703125" style="18" customWidth="1"/>
    <col min="6671" max="6912" width="9.140625" style="18"/>
    <col min="6913" max="6913" width="4.140625" style="18" customWidth="1"/>
    <col min="6914" max="6914" width="45.140625" style="18" customWidth="1"/>
    <col min="6915" max="6915" width="11.5703125" style="18" customWidth="1"/>
    <col min="6916" max="6916" width="0" style="18" hidden="1" customWidth="1"/>
    <col min="6917" max="6917" width="11.140625" style="18" customWidth="1"/>
    <col min="6918" max="6919" width="6.28515625" style="18" customWidth="1"/>
    <col min="6920" max="6920" width="6" style="18" customWidth="1"/>
    <col min="6921" max="6921" width="8.7109375" style="18" customWidth="1"/>
    <col min="6922" max="6922" width="9.140625" style="18"/>
    <col min="6923" max="6923" width="9" style="18" bestFit="1" customWidth="1"/>
    <col min="6924" max="6924" width="9.85546875" style="18" customWidth="1"/>
    <col min="6925" max="6925" width="10.5703125" style="18" customWidth="1"/>
    <col min="6926" max="6926" width="5.5703125" style="18" customWidth="1"/>
    <col min="6927" max="7168" width="9.140625" style="18"/>
    <col min="7169" max="7169" width="4.140625" style="18" customWidth="1"/>
    <col min="7170" max="7170" width="45.140625" style="18" customWidth="1"/>
    <col min="7171" max="7171" width="11.5703125" style="18" customWidth="1"/>
    <col min="7172" max="7172" width="0" style="18" hidden="1" customWidth="1"/>
    <col min="7173" max="7173" width="11.140625" style="18" customWidth="1"/>
    <col min="7174" max="7175" width="6.28515625" style="18" customWidth="1"/>
    <col min="7176" max="7176" width="6" style="18" customWidth="1"/>
    <col min="7177" max="7177" width="8.7109375" style="18" customWidth="1"/>
    <col min="7178" max="7178" width="9.140625" style="18"/>
    <col min="7179" max="7179" width="9" style="18" bestFit="1" customWidth="1"/>
    <col min="7180" max="7180" width="9.85546875" style="18" customWidth="1"/>
    <col min="7181" max="7181" width="10.5703125" style="18" customWidth="1"/>
    <col min="7182" max="7182" width="5.5703125" style="18" customWidth="1"/>
    <col min="7183" max="7424" width="9.140625" style="18"/>
    <col min="7425" max="7425" width="4.140625" style="18" customWidth="1"/>
    <col min="7426" max="7426" width="45.140625" style="18" customWidth="1"/>
    <col min="7427" max="7427" width="11.5703125" style="18" customWidth="1"/>
    <col min="7428" max="7428" width="0" style="18" hidden="1" customWidth="1"/>
    <col min="7429" max="7429" width="11.140625" style="18" customWidth="1"/>
    <col min="7430" max="7431" width="6.28515625" style="18" customWidth="1"/>
    <col min="7432" max="7432" width="6" style="18" customWidth="1"/>
    <col min="7433" max="7433" width="8.7109375" style="18" customWidth="1"/>
    <col min="7434" max="7434" width="9.140625" style="18"/>
    <col min="7435" max="7435" width="9" style="18" bestFit="1" customWidth="1"/>
    <col min="7436" max="7436" width="9.85546875" style="18" customWidth="1"/>
    <col min="7437" max="7437" width="10.5703125" style="18" customWidth="1"/>
    <col min="7438" max="7438" width="5.5703125" style="18" customWidth="1"/>
    <col min="7439" max="7680" width="9.140625" style="18"/>
    <col min="7681" max="7681" width="4.140625" style="18" customWidth="1"/>
    <col min="7682" max="7682" width="45.140625" style="18" customWidth="1"/>
    <col min="7683" max="7683" width="11.5703125" style="18" customWidth="1"/>
    <col min="7684" max="7684" width="0" style="18" hidden="1" customWidth="1"/>
    <col min="7685" max="7685" width="11.140625" style="18" customWidth="1"/>
    <col min="7686" max="7687" width="6.28515625" style="18" customWidth="1"/>
    <col min="7688" max="7688" width="6" style="18" customWidth="1"/>
    <col min="7689" max="7689" width="8.7109375" style="18" customWidth="1"/>
    <col min="7690" max="7690" width="9.140625" style="18"/>
    <col min="7691" max="7691" width="9" style="18" bestFit="1" customWidth="1"/>
    <col min="7692" max="7692" width="9.85546875" style="18" customWidth="1"/>
    <col min="7693" max="7693" width="10.5703125" style="18" customWidth="1"/>
    <col min="7694" max="7694" width="5.5703125" style="18" customWidth="1"/>
    <col min="7695" max="7936" width="9.140625" style="18"/>
    <col min="7937" max="7937" width="4.140625" style="18" customWidth="1"/>
    <col min="7938" max="7938" width="45.140625" style="18" customWidth="1"/>
    <col min="7939" max="7939" width="11.5703125" style="18" customWidth="1"/>
    <col min="7940" max="7940" width="0" style="18" hidden="1" customWidth="1"/>
    <col min="7941" max="7941" width="11.140625" style="18" customWidth="1"/>
    <col min="7942" max="7943" width="6.28515625" style="18" customWidth="1"/>
    <col min="7944" max="7944" width="6" style="18" customWidth="1"/>
    <col min="7945" max="7945" width="8.7109375" style="18" customWidth="1"/>
    <col min="7946" max="7946" width="9.140625" style="18"/>
    <col min="7947" max="7947" width="9" style="18" bestFit="1" customWidth="1"/>
    <col min="7948" max="7948" width="9.85546875" style="18" customWidth="1"/>
    <col min="7949" max="7949" width="10.5703125" style="18" customWidth="1"/>
    <col min="7950" max="7950" width="5.5703125" style="18" customWidth="1"/>
    <col min="7951" max="8192" width="9.140625" style="18"/>
    <col min="8193" max="8193" width="4.140625" style="18" customWidth="1"/>
    <col min="8194" max="8194" width="45.140625" style="18" customWidth="1"/>
    <col min="8195" max="8195" width="11.5703125" style="18" customWidth="1"/>
    <col min="8196" max="8196" width="0" style="18" hidden="1" customWidth="1"/>
    <col min="8197" max="8197" width="11.140625" style="18" customWidth="1"/>
    <col min="8198" max="8199" width="6.28515625" style="18" customWidth="1"/>
    <col min="8200" max="8200" width="6" style="18" customWidth="1"/>
    <col min="8201" max="8201" width="8.7109375" style="18" customWidth="1"/>
    <col min="8202" max="8202" width="9.140625" style="18"/>
    <col min="8203" max="8203" width="9" style="18" bestFit="1" customWidth="1"/>
    <col min="8204" max="8204" width="9.85546875" style="18" customWidth="1"/>
    <col min="8205" max="8205" width="10.5703125" style="18" customWidth="1"/>
    <col min="8206" max="8206" width="5.5703125" style="18" customWidth="1"/>
    <col min="8207" max="8448" width="9.140625" style="18"/>
    <col min="8449" max="8449" width="4.140625" style="18" customWidth="1"/>
    <col min="8450" max="8450" width="45.140625" style="18" customWidth="1"/>
    <col min="8451" max="8451" width="11.5703125" style="18" customWidth="1"/>
    <col min="8452" max="8452" width="0" style="18" hidden="1" customWidth="1"/>
    <col min="8453" max="8453" width="11.140625" style="18" customWidth="1"/>
    <col min="8454" max="8455" width="6.28515625" style="18" customWidth="1"/>
    <col min="8456" max="8456" width="6" style="18" customWidth="1"/>
    <col min="8457" max="8457" width="8.7109375" style="18" customWidth="1"/>
    <col min="8458" max="8458" width="9.140625" style="18"/>
    <col min="8459" max="8459" width="9" style="18" bestFit="1" customWidth="1"/>
    <col min="8460" max="8460" width="9.85546875" style="18" customWidth="1"/>
    <col min="8461" max="8461" width="10.5703125" style="18" customWidth="1"/>
    <col min="8462" max="8462" width="5.5703125" style="18" customWidth="1"/>
    <col min="8463" max="8704" width="9.140625" style="18"/>
    <col min="8705" max="8705" width="4.140625" style="18" customWidth="1"/>
    <col min="8706" max="8706" width="45.140625" style="18" customWidth="1"/>
    <col min="8707" max="8707" width="11.5703125" style="18" customWidth="1"/>
    <col min="8708" max="8708" width="0" style="18" hidden="1" customWidth="1"/>
    <col min="8709" max="8709" width="11.140625" style="18" customWidth="1"/>
    <col min="8710" max="8711" width="6.28515625" style="18" customWidth="1"/>
    <col min="8712" max="8712" width="6" style="18" customWidth="1"/>
    <col min="8713" max="8713" width="8.7109375" style="18" customWidth="1"/>
    <col min="8714" max="8714" width="9.140625" style="18"/>
    <col min="8715" max="8715" width="9" style="18" bestFit="1" customWidth="1"/>
    <col min="8716" max="8716" width="9.85546875" style="18" customWidth="1"/>
    <col min="8717" max="8717" width="10.5703125" style="18" customWidth="1"/>
    <col min="8718" max="8718" width="5.5703125" style="18" customWidth="1"/>
    <col min="8719" max="8960" width="9.140625" style="18"/>
    <col min="8961" max="8961" width="4.140625" style="18" customWidth="1"/>
    <col min="8962" max="8962" width="45.140625" style="18" customWidth="1"/>
    <col min="8963" max="8963" width="11.5703125" style="18" customWidth="1"/>
    <col min="8964" max="8964" width="0" style="18" hidden="1" customWidth="1"/>
    <col min="8965" max="8965" width="11.140625" style="18" customWidth="1"/>
    <col min="8966" max="8967" width="6.28515625" style="18" customWidth="1"/>
    <col min="8968" max="8968" width="6" style="18" customWidth="1"/>
    <col min="8969" max="8969" width="8.7109375" style="18" customWidth="1"/>
    <col min="8970" max="8970" width="9.140625" style="18"/>
    <col min="8971" max="8971" width="9" style="18" bestFit="1" customWidth="1"/>
    <col min="8972" max="8972" width="9.85546875" style="18" customWidth="1"/>
    <col min="8973" max="8973" width="10.5703125" style="18" customWidth="1"/>
    <col min="8974" max="8974" width="5.5703125" style="18" customWidth="1"/>
    <col min="8975" max="9216" width="9.140625" style="18"/>
    <col min="9217" max="9217" width="4.140625" style="18" customWidth="1"/>
    <col min="9218" max="9218" width="45.140625" style="18" customWidth="1"/>
    <col min="9219" max="9219" width="11.5703125" style="18" customWidth="1"/>
    <col min="9220" max="9220" width="0" style="18" hidden="1" customWidth="1"/>
    <col min="9221" max="9221" width="11.140625" style="18" customWidth="1"/>
    <col min="9222" max="9223" width="6.28515625" style="18" customWidth="1"/>
    <col min="9224" max="9224" width="6" style="18" customWidth="1"/>
    <col min="9225" max="9225" width="8.7109375" style="18" customWidth="1"/>
    <col min="9226" max="9226" width="9.140625" style="18"/>
    <col min="9227" max="9227" width="9" style="18" bestFit="1" customWidth="1"/>
    <col min="9228" max="9228" width="9.85546875" style="18" customWidth="1"/>
    <col min="9229" max="9229" width="10.5703125" style="18" customWidth="1"/>
    <col min="9230" max="9230" width="5.5703125" style="18" customWidth="1"/>
    <col min="9231" max="9472" width="9.140625" style="18"/>
    <col min="9473" max="9473" width="4.140625" style="18" customWidth="1"/>
    <col min="9474" max="9474" width="45.140625" style="18" customWidth="1"/>
    <col min="9475" max="9475" width="11.5703125" style="18" customWidth="1"/>
    <col min="9476" max="9476" width="0" style="18" hidden="1" customWidth="1"/>
    <col min="9477" max="9477" width="11.140625" style="18" customWidth="1"/>
    <col min="9478" max="9479" width="6.28515625" style="18" customWidth="1"/>
    <col min="9480" max="9480" width="6" style="18" customWidth="1"/>
    <col min="9481" max="9481" width="8.7109375" style="18" customWidth="1"/>
    <col min="9482" max="9482" width="9.140625" style="18"/>
    <col min="9483" max="9483" width="9" style="18" bestFit="1" customWidth="1"/>
    <col min="9484" max="9484" width="9.85546875" style="18" customWidth="1"/>
    <col min="9485" max="9485" width="10.5703125" style="18" customWidth="1"/>
    <col min="9486" max="9486" width="5.5703125" style="18" customWidth="1"/>
    <col min="9487" max="9728" width="9.140625" style="18"/>
    <col min="9729" max="9729" width="4.140625" style="18" customWidth="1"/>
    <col min="9730" max="9730" width="45.140625" style="18" customWidth="1"/>
    <col min="9731" max="9731" width="11.5703125" style="18" customWidth="1"/>
    <col min="9732" max="9732" width="0" style="18" hidden="1" customWidth="1"/>
    <col min="9733" max="9733" width="11.140625" style="18" customWidth="1"/>
    <col min="9734" max="9735" width="6.28515625" style="18" customWidth="1"/>
    <col min="9736" max="9736" width="6" style="18" customWidth="1"/>
    <col min="9737" max="9737" width="8.7109375" style="18" customWidth="1"/>
    <col min="9738" max="9738" width="9.140625" style="18"/>
    <col min="9739" max="9739" width="9" style="18" bestFit="1" customWidth="1"/>
    <col min="9740" max="9740" width="9.85546875" style="18" customWidth="1"/>
    <col min="9741" max="9741" width="10.5703125" style="18" customWidth="1"/>
    <col min="9742" max="9742" width="5.5703125" style="18" customWidth="1"/>
    <col min="9743" max="9984" width="9.140625" style="18"/>
    <col min="9985" max="9985" width="4.140625" style="18" customWidth="1"/>
    <col min="9986" max="9986" width="45.140625" style="18" customWidth="1"/>
    <col min="9987" max="9987" width="11.5703125" style="18" customWidth="1"/>
    <col min="9988" max="9988" width="0" style="18" hidden="1" customWidth="1"/>
    <col min="9989" max="9989" width="11.140625" style="18" customWidth="1"/>
    <col min="9990" max="9991" width="6.28515625" style="18" customWidth="1"/>
    <col min="9992" max="9992" width="6" style="18" customWidth="1"/>
    <col min="9993" max="9993" width="8.7109375" style="18" customWidth="1"/>
    <col min="9994" max="9994" width="9.140625" style="18"/>
    <col min="9995" max="9995" width="9" style="18" bestFit="1" customWidth="1"/>
    <col min="9996" max="9996" width="9.85546875" style="18" customWidth="1"/>
    <col min="9997" max="9997" width="10.5703125" style="18" customWidth="1"/>
    <col min="9998" max="9998" width="5.5703125" style="18" customWidth="1"/>
    <col min="9999" max="10240" width="9.140625" style="18"/>
    <col min="10241" max="10241" width="4.140625" style="18" customWidth="1"/>
    <col min="10242" max="10242" width="45.140625" style="18" customWidth="1"/>
    <col min="10243" max="10243" width="11.5703125" style="18" customWidth="1"/>
    <col min="10244" max="10244" width="0" style="18" hidden="1" customWidth="1"/>
    <col min="10245" max="10245" width="11.140625" style="18" customWidth="1"/>
    <col min="10246" max="10247" width="6.28515625" style="18" customWidth="1"/>
    <col min="10248" max="10248" width="6" style="18" customWidth="1"/>
    <col min="10249" max="10249" width="8.7109375" style="18" customWidth="1"/>
    <col min="10250" max="10250" width="9.140625" style="18"/>
    <col min="10251" max="10251" width="9" style="18" bestFit="1" customWidth="1"/>
    <col min="10252" max="10252" width="9.85546875" style="18" customWidth="1"/>
    <col min="10253" max="10253" width="10.5703125" style="18" customWidth="1"/>
    <col min="10254" max="10254" width="5.5703125" style="18" customWidth="1"/>
    <col min="10255" max="10496" width="9.140625" style="18"/>
    <col min="10497" max="10497" width="4.140625" style="18" customWidth="1"/>
    <col min="10498" max="10498" width="45.140625" style="18" customWidth="1"/>
    <col min="10499" max="10499" width="11.5703125" style="18" customWidth="1"/>
    <col min="10500" max="10500" width="0" style="18" hidden="1" customWidth="1"/>
    <col min="10501" max="10501" width="11.140625" style="18" customWidth="1"/>
    <col min="10502" max="10503" width="6.28515625" style="18" customWidth="1"/>
    <col min="10504" max="10504" width="6" style="18" customWidth="1"/>
    <col min="10505" max="10505" width="8.7109375" style="18" customWidth="1"/>
    <col min="10506" max="10506" width="9.140625" style="18"/>
    <col min="10507" max="10507" width="9" style="18" bestFit="1" customWidth="1"/>
    <col min="10508" max="10508" width="9.85546875" style="18" customWidth="1"/>
    <col min="10509" max="10509" width="10.5703125" style="18" customWidth="1"/>
    <col min="10510" max="10510" width="5.5703125" style="18" customWidth="1"/>
    <col min="10511" max="10752" width="9.140625" style="18"/>
    <col min="10753" max="10753" width="4.140625" style="18" customWidth="1"/>
    <col min="10754" max="10754" width="45.140625" style="18" customWidth="1"/>
    <col min="10755" max="10755" width="11.5703125" style="18" customWidth="1"/>
    <col min="10756" max="10756" width="0" style="18" hidden="1" customWidth="1"/>
    <col min="10757" max="10757" width="11.140625" style="18" customWidth="1"/>
    <col min="10758" max="10759" width="6.28515625" style="18" customWidth="1"/>
    <col min="10760" max="10760" width="6" style="18" customWidth="1"/>
    <col min="10761" max="10761" width="8.7109375" style="18" customWidth="1"/>
    <col min="10762" max="10762" width="9.140625" style="18"/>
    <col min="10763" max="10763" width="9" style="18" bestFit="1" customWidth="1"/>
    <col min="10764" max="10764" width="9.85546875" style="18" customWidth="1"/>
    <col min="10765" max="10765" width="10.5703125" style="18" customWidth="1"/>
    <col min="10766" max="10766" width="5.5703125" style="18" customWidth="1"/>
    <col min="10767" max="11008" width="9.140625" style="18"/>
    <col min="11009" max="11009" width="4.140625" style="18" customWidth="1"/>
    <col min="11010" max="11010" width="45.140625" style="18" customWidth="1"/>
    <col min="11011" max="11011" width="11.5703125" style="18" customWidth="1"/>
    <col min="11012" max="11012" width="0" style="18" hidden="1" customWidth="1"/>
    <col min="11013" max="11013" width="11.140625" style="18" customWidth="1"/>
    <col min="11014" max="11015" width="6.28515625" style="18" customWidth="1"/>
    <col min="11016" max="11016" width="6" style="18" customWidth="1"/>
    <col min="11017" max="11017" width="8.7109375" style="18" customWidth="1"/>
    <col min="11018" max="11018" width="9.140625" style="18"/>
    <col min="11019" max="11019" width="9" style="18" bestFit="1" customWidth="1"/>
    <col min="11020" max="11020" width="9.85546875" style="18" customWidth="1"/>
    <col min="11021" max="11021" width="10.5703125" style="18" customWidth="1"/>
    <col min="11022" max="11022" width="5.5703125" style="18" customWidth="1"/>
    <col min="11023" max="11264" width="9.140625" style="18"/>
    <col min="11265" max="11265" width="4.140625" style="18" customWidth="1"/>
    <col min="11266" max="11266" width="45.140625" style="18" customWidth="1"/>
    <col min="11267" max="11267" width="11.5703125" style="18" customWidth="1"/>
    <col min="11268" max="11268" width="0" style="18" hidden="1" customWidth="1"/>
    <col min="11269" max="11269" width="11.140625" style="18" customWidth="1"/>
    <col min="11270" max="11271" width="6.28515625" style="18" customWidth="1"/>
    <col min="11272" max="11272" width="6" style="18" customWidth="1"/>
    <col min="11273" max="11273" width="8.7109375" style="18" customWidth="1"/>
    <col min="11274" max="11274" width="9.140625" style="18"/>
    <col min="11275" max="11275" width="9" style="18" bestFit="1" customWidth="1"/>
    <col min="11276" max="11276" width="9.85546875" style="18" customWidth="1"/>
    <col min="11277" max="11277" width="10.5703125" style="18" customWidth="1"/>
    <col min="11278" max="11278" width="5.5703125" style="18" customWidth="1"/>
    <col min="11279" max="11520" width="9.140625" style="18"/>
    <col min="11521" max="11521" width="4.140625" style="18" customWidth="1"/>
    <col min="11522" max="11522" width="45.140625" style="18" customWidth="1"/>
    <col min="11523" max="11523" width="11.5703125" style="18" customWidth="1"/>
    <col min="11524" max="11524" width="0" style="18" hidden="1" customWidth="1"/>
    <col min="11525" max="11525" width="11.140625" style="18" customWidth="1"/>
    <col min="11526" max="11527" width="6.28515625" style="18" customWidth="1"/>
    <col min="11528" max="11528" width="6" style="18" customWidth="1"/>
    <col min="11529" max="11529" width="8.7109375" style="18" customWidth="1"/>
    <col min="11530" max="11530" width="9.140625" style="18"/>
    <col min="11531" max="11531" width="9" style="18" bestFit="1" customWidth="1"/>
    <col min="11532" max="11532" width="9.85546875" style="18" customWidth="1"/>
    <col min="11533" max="11533" width="10.5703125" style="18" customWidth="1"/>
    <col min="11534" max="11534" width="5.5703125" style="18" customWidth="1"/>
    <col min="11535" max="11776" width="9.140625" style="18"/>
    <col min="11777" max="11777" width="4.140625" style="18" customWidth="1"/>
    <col min="11778" max="11778" width="45.140625" style="18" customWidth="1"/>
    <col min="11779" max="11779" width="11.5703125" style="18" customWidth="1"/>
    <col min="11780" max="11780" width="0" style="18" hidden="1" customWidth="1"/>
    <col min="11781" max="11781" width="11.140625" style="18" customWidth="1"/>
    <col min="11782" max="11783" width="6.28515625" style="18" customWidth="1"/>
    <col min="11784" max="11784" width="6" style="18" customWidth="1"/>
    <col min="11785" max="11785" width="8.7109375" style="18" customWidth="1"/>
    <col min="11786" max="11786" width="9.140625" style="18"/>
    <col min="11787" max="11787" width="9" style="18" bestFit="1" customWidth="1"/>
    <col min="11788" max="11788" width="9.85546875" style="18" customWidth="1"/>
    <col min="11789" max="11789" width="10.5703125" style="18" customWidth="1"/>
    <col min="11790" max="11790" width="5.5703125" style="18" customWidth="1"/>
    <col min="11791" max="12032" width="9.140625" style="18"/>
    <col min="12033" max="12033" width="4.140625" style="18" customWidth="1"/>
    <col min="12034" max="12034" width="45.140625" style="18" customWidth="1"/>
    <col min="12035" max="12035" width="11.5703125" style="18" customWidth="1"/>
    <col min="12036" max="12036" width="0" style="18" hidden="1" customWidth="1"/>
    <col min="12037" max="12037" width="11.140625" style="18" customWidth="1"/>
    <col min="12038" max="12039" width="6.28515625" style="18" customWidth="1"/>
    <col min="12040" max="12040" width="6" style="18" customWidth="1"/>
    <col min="12041" max="12041" width="8.7109375" style="18" customWidth="1"/>
    <col min="12042" max="12042" width="9.140625" style="18"/>
    <col min="12043" max="12043" width="9" style="18" bestFit="1" customWidth="1"/>
    <col min="12044" max="12044" width="9.85546875" style="18" customWidth="1"/>
    <col min="12045" max="12045" width="10.5703125" style="18" customWidth="1"/>
    <col min="12046" max="12046" width="5.5703125" style="18" customWidth="1"/>
    <col min="12047" max="12288" width="9.140625" style="18"/>
    <col min="12289" max="12289" width="4.140625" style="18" customWidth="1"/>
    <col min="12290" max="12290" width="45.140625" style="18" customWidth="1"/>
    <col min="12291" max="12291" width="11.5703125" style="18" customWidth="1"/>
    <col min="12292" max="12292" width="0" style="18" hidden="1" customWidth="1"/>
    <col min="12293" max="12293" width="11.140625" style="18" customWidth="1"/>
    <col min="12294" max="12295" width="6.28515625" style="18" customWidth="1"/>
    <col min="12296" max="12296" width="6" style="18" customWidth="1"/>
    <col min="12297" max="12297" width="8.7109375" style="18" customWidth="1"/>
    <col min="12298" max="12298" width="9.140625" style="18"/>
    <col min="12299" max="12299" width="9" style="18" bestFit="1" customWidth="1"/>
    <col min="12300" max="12300" width="9.85546875" style="18" customWidth="1"/>
    <col min="12301" max="12301" width="10.5703125" style="18" customWidth="1"/>
    <col min="12302" max="12302" width="5.5703125" style="18" customWidth="1"/>
    <col min="12303" max="12544" width="9.140625" style="18"/>
    <col min="12545" max="12545" width="4.140625" style="18" customWidth="1"/>
    <col min="12546" max="12546" width="45.140625" style="18" customWidth="1"/>
    <col min="12547" max="12547" width="11.5703125" style="18" customWidth="1"/>
    <col min="12548" max="12548" width="0" style="18" hidden="1" customWidth="1"/>
    <col min="12549" max="12549" width="11.140625" style="18" customWidth="1"/>
    <col min="12550" max="12551" width="6.28515625" style="18" customWidth="1"/>
    <col min="12552" max="12552" width="6" style="18" customWidth="1"/>
    <col min="12553" max="12553" width="8.7109375" style="18" customWidth="1"/>
    <col min="12554" max="12554" width="9.140625" style="18"/>
    <col min="12555" max="12555" width="9" style="18" bestFit="1" customWidth="1"/>
    <col min="12556" max="12556" width="9.85546875" style="18" customWidth="1"/>
    <col min="12557" max="12557" width="10.5703125" style="18" customWidth="1"/>
    <col min="12558" max="12558" width="5.5703125" style="18" customWidth="1"/>
    <col min="12559" max="12800" width="9.140625" style="18"/>
    <col min="12801" max="12801" width="4.140625" style="18" customWidth="1"/>
    <col min="12802" max="12802" width="45.140625" style="18" customWidth="1"/>
    <col min="12803" max="12803" width="11.5703125" style="18" customWidth="1"/>
    <col min="12804" max="12804" width="0" style="18" hidden="1" customWidth="1"/>
    <col min="12805" max="12805" width="11.140625" style="18" customWidth="1"/>
    <col min="12806" max="12807" width="6.28515625" style="18" customWidth="1"/>
    <col min="12808" max="12808" width="6" style="18" customWidth="1"/>
    <col min="12809" max="12809" width="8.7109375" style="18" customWidth="1"/>
    <col min="12810" max="12810" width="9.140625" style="18"/>
    <col min="12811" max="12811" width="9" style="18" bestFit="1" customWidth="1"/>
    <col min="12812" max="12812" width="9.85546875" style="18" customWidth="1"/>
    <col min="12813" max="12813" width="10.5703125" style="18" customWidth="1"/>
    <col min="12814" max="12814" width="5.5703125" style="18" customWidth="1"/>
    <col min="12815" max="13056" width="9.140625" style="18"/>
    <col min="13057" max="13057" width="4.140625" style="18" customWidth="1"/>
    <col min="13058" max="13058" width="45.140625" style="18" customWidth="1"/>
    <col min="13059" max="13059" width="11.5703125" style="18" customWidth="1"/>
    <col min="13060" max="13060" width="0" style="18" hidden="1" customWidth="1"/>
    <col min="13061" max="13061" width="11.140625" style="18" customWidth="1"/>
    <col min="13062" max="13063" width="6.28515625" style="18" customWidth="1"/>
    <col min="13064" max="13064" width="6" style="18" customWidth="1"/>
    <col min="13065" max="13065" width="8.7109375" style="18" customWidth="1"/>
    <col min="13066" max="13066" width="9.140625" style="18"/>
    <col min="13067" max="13067" width="9" style="18" bestFit="1" customWidth="1"/>
    <col min="13068" max="13068" width="9.85546875" style="18" customWidth="1"/>
    <col min="13069" max="13069" width="10.5703125" style="18" customWidth="1"/>
    <col min="13070" max="13070" width="5.5703125" style="18" customWidth="1"/>
    <col min="13071" max="13312" width="9.140625" style="18"/>
    <col min="13313" max="13313" width="4.140625" style="18" customWidth="1"/>
    <col min="13314" max="13314" width="45.140625" style="18" customWidth="1"/>
    <col min="13315" max="13315" width="11.5703125" style="18" customWidth="1"/>
    <col min="13316" max="13316" width="0" style="18" hidden="1" customWidth="1"/>
    <col min="13317" max="13317" width="11.140625" style="18" customWidth="1"/>
    <col min="13318" max="13319" width="6.28515625" style="18" customWidth="1"/>
    <col min="13320" max="13320" width="6" style="18" customWidth="1"/>
    <col min="13321" max="13321" width="8.7109375" style="18" customWidth="1"/>
    <col min="13322" max="13322" width="9.140625" style="18"/>
    <col min="13323" max="13323" width="9" style="18" bestFit="1" customWidth="1"/>
    <col min="13324" max="13324" width="9.85546875" style="18" customWidth="1"/>
    <col min="13325" max="13325" width="10.5703125" style="18" customWidth="1"/>
    <col min="13326" max="13326" width="5.5703125" style="18" customWidth="1"/>
    <col min="13327" max="13568" width="9.140625" style="18"/>
    <col min="13569" max="13569" width="4.140625" style="18" customWidth="1"/>
    <col min="13570" max="13570" width="45.140625" style="18" customWidth="1"/>
    <col min="13571" max="13571" width="11.5703125" style="18" customWidth="1"/>
    <col min="13572" max="13572" width="0" style="18" hidden="1" customWidth="1"/>
    <col min="13573" max="13573" width="11.140625" style="18" customWidth="1"/>
    <col min="13574" max="13575" width="6.28515625" style="18" customWidth="1"/>
    <col min="13576" max="13576" width="6" style="18" customWidth="1"/>
    <col min="13577" max="13577" width="8.7109375" style="18" customWidth="1"/>
    <col min="13578" max="13578" width="9.140625" style="18"/>
    <col min="13579" max="13579" width="9" style="18" bestFit="1" customWidth="1"/>
    <col min="13580" max="13580" width="9.85546875" style="18" customWidth="1"/>
    <col min="13581" max="13581" width="10.5703125" style="18" customWidth="1"/>
    <col min="13582" max="13582" width="5.5703125" style="18" customWidth="1"/>
    <col min="13583" max="13824" width="9.140625" style="18"/>
    <col min="13825" max="13825" width="4.140625" style="18" customWidth="1"/>
    <col min="13826" max="13826" width="45.140625" style="18" customWidth="1"/>
    <col min="13827" max="13827" width="11.5703125" style="18" customWidth="1"/>
    <col min="13828" max="13828" width="0" style="18" hidden="1" customWidth="1"/>
    <col min="13829" max="13829" width="11.140625" style="18" customWidth="1"/>
    <col min="13830" max="13831" width="6.28515625" style="18" customWidth="1"/>
    <col min="13832" max="13832" width="6" style="18" customWidth="1"/>
    <col min="13833" max="13833" width="8.7109375" style="18" customWidth="1"/>
    <col min="13834" max="13834" width="9.140625" style="18"/>
    <col min="13835" max="13835" width="9" style="18" bestFit="1" customWidth="1"/>
    <col min="13836" max="13836" width="9.85546875" style="18" customWidth="1"/>
    <col min="13837" max="13837" width="10.5703125" style="18" customWidth="1"/>
    <col min="13838" max="13838" width="5.5703125" style="18" customWidth="1"/>
    <col min="13839" max="14080" width="9.140625" style="18"/>
    <col min="14081" max="14081" width="4.140625" style="18" customWidth="1"/>
    <col min="14082" max="14082" width="45.140625" style="18" customWidth="1"/>
    <col min="14083" max="14083" width="11.5703125" style="18" customWidth="1"/>
    <col min="14084" max="14084" width="0" style="18" hidden="1" customWidth="1"/>
    <col min="14085" max="14085" width="11.140625" style="18" customWidth="1"/>
    <col min="14086" max="14087" width="6.28515625" style="18" customWidth="1"/>
    <col min="14088" max="14088" width="6" style="18" customWidth="1"/>
    <col min="14089" max="14089" width="8.7109375" style="18" customWidth="1"/>
    <col min="14090" max="14090" width="9.140625" style="18"/>
    <col min="14091" max="14091" width="9" style="18" bestFit="1" customWidth="1"/>
    <col min="14092" max="14092" width="9.85546875" style="18" customWidth="1"/>
    <col min="14093" max="14093" width="10.5703125" style="18" customWidth="1"/>
    <col min="14094" max="14094" width="5.5703125" style="18" customWidth="1"/>
    <col min="14095" max="14336" width="9.140625" style="18"/>
    <col min="14337" max="14337" width="4.140625" style="18" customWidth="1"/>
    <col min="14338" max="14338" width="45.140625" style="18" customWidth="1"/>
    <col min="14339" max="14339" width="11.5703125" style="18" customWidth="1"/>
    <col min="14340" max="14340" width="0" style="18" hidden="1" customWidth="1"/>
    <col min="14341" max="14341" width="11.140625" style="18" customWidth="1"/>
    <col min="14342" max="14343" width="6.28515625" style="18" customWidth="1"/>
    <col min="14344" max="14344" width="6" style="18" customWidth="1"/>
    <col min="14345" max="14345" width="8.7109375" style="18" customWidth="1"/>
    <col min="14346" max="14346" width="9.140625" style="18"/>
    <col min="14347" max="14347" width="9" style="18" bestFit="1" customWidth="1"/>
    <col min="14348" max="14348" width="9.85546875" style="18" customWidth="1"/>
    <col min="14349" max="14349" width="10.5703125" style="18" customWidth="1"/>
    <col min="14350" max="14350" width="5.5703125" style="18" customWidth="1"/>
    <col min="14351" max="14592" width="9.140625" style="18"/>
    <col min="14593" max="14593" width="4.140625" style="18" customWidth="1"/>
    <col min="14594" max="14594" width="45.140625" style="18" customWidth="1"/>
    <col min="14595" max="14595" width="11.5703125" style="18" customWidth="1"/>
    <col min="14596" max="14596" width="0" style="18" hidden="1" customWidth="1"/>
    <col min="14597" max="14597" width="11.140625" style="18" customWidth="1"/>
    <col min="14598" max="14599" width="6.28515625" style="18" customWidth="1"/>
    <col min="14600" max="14600" width="6" style="18" customWidth="1"/>
    <col min="14601" max="14601" width="8.7109375" style="18" customWidth="1"/>
    <col min="14602" max="14602" width="9.140625" style="18"/>
    <col min="14603" max="14603" width="9" style="18" bestFit="1" customWidth="1"/>
    <col min="14604" max="14604" width="9.85546875" style="18" customWidth="1"/>
    <col min="14605" max="14605" width="10.5703125" style="18" customWidth="1"/>
    <col min="14606" max="14606" width="5.5703125" style="18" customWidth="1"/>
    <col min="14607" max="14848" width="9.140625" style="18"/>
    <col min="14849" max="14849" width="4.140625" style="18" customWidth="1"/>
    <col min="14850" max="14850" width="45.140625" style="18" customWidth="1"/>
    <col min="14851" max="14851" width="11.5703125" style="18" customWidth="1"/>
    <col min="14852" max="14852" width="0" style="18" hidden="1" customWidth="1"/>
    <col min="14853" max="14853" width="11.140625" style="18" customWidth="1"/>
    <col min="14854" max="14855" width="6.28515625" style="18" customWidth="1"/>
    <col min="14856" max="14856" width="6" style="18" customWidth="1"/>
    <col min="14857" max="14857" width="8.7109375" style="18" customWidth="1"/>
    <col min="14858" max="14858" width="9.140625" style="18"/>
    <col min="14859" max="14859" width="9" style="18" bestFit="1" customWidth="1"/>
    <col min="14860" max="14860" width="9.85546875" style="18" customWidth="1"/>
    <col min="14861" max="14861" width="10.5703125" style="18" customWidth="1"/>
    <col min="14862" max="14862" width="5.5703125" style="18" customWidth="1"/>
    <col min="14863" max="15104" width="9.140625" style="18"/>
    <col min="15105" max="15105" width="4.140625" style="18" customWidth="1"/>
    <col min="15106" max="15106" width="45.140625" style="18" customWidth="1"/>
    <col min="15107" max="15107" width="11.5703125" style="18" customWidth="1"/>
    <col min="15108" max="15108" width="0" style="18" hidden="1" customWidth="1"/>
    <col min="15109" max="15109" width="11.140625" style="18" customWidth="1"/>
    <col min="15110" max="15111" width="6.28515625" style="18" customWidth="1"/>
    <col min="15112" max="15112" width="6" style="18" customWidth="1"/>
    <col min="15113" max="15113" width="8.7109375" style="18" customWidth="1"/>
    <col min="15114" max="15114" width="9.140625" style="18"/>
    <col min="15115" max="15115" width="9" style="18" bestFit="1" customWidth="1"/>
    <col min="15116" max="15116" width="9.85546875" style="18" customWidth="1"/>
    <col min="15117" max="15117" width="10.5703125" style="18" customWidth="1"/>
    <col min="15118" max="15118" width="5.5703125" style="18" customWidth="1"/>
    <col min="15119" max="15360" width="9.140625" style="18"/>
    <col min="15361" max="15361" width="4.140625" style="18" customWidth="1"/>
    <col min="15362" max="15362" width="45.140625" style="18" customWidth="1"/>
    <col min="15363" max="15363" width="11.5703125" style="18" customWidth="1"/>
    <col min="15364" max="15364" width="0" style="18" hidden="1" customWidth="1"/>
    <col min="15365" max="15365" width="11.140625" style="18" customWidth="1"/>
    <col min="15366" max="15367" width="6.28515625" style="18" customWidth="1"/>
    <col min="15368" max="15368" width="6" style="18" customWidth="1"/>
    <col min="15369" max="15369" width="8.7109375" style="18" customWidth="1"/>
    <col min="15370" max="15370" width="9.140625" style="18"/>
    <col min="15371" max="15371" width="9" style="18" bestFit="1" customWidth="1"/>
    <col min="15372" max="15372" width="9.85546875" style="18" customWidth="1"/>
    <col min="15373" max="15373" width="10.5703125" style="18" customWidth="1"/>
    <col min="15374" max="15374" width="5.5703125" style="18" customWidth="1"/>
    <col min="15375" max="15616" width="9.140625" style="18"/>
    <col min="15617" max="15617" width="4.140625" style="18" customWidth="1"/>
    <col min="15618" max="15618" width="45.140625" style="18" customWidth="1"/>
    <col min="15619" max="15619" width="11.5703125" style="18" customWidth="1"/>
    <col min="15620" max="15620" width="0" style="18" hidden="1" customWidth="1"/>
    <col min="15621" max="15621" width="11.140625" style="18" customWidth="1"/>
    <col min="15622" max="15623" width="6.28515625" style="18" customWidth="1"/>
    <col min="15624" max="15624" width="6" style="18" customWidth="1"/>
    <col min="15625" max="15625" width="8.7109375" style="18" customWidth="1"/>
    <col min="15626" max="15626" width="9.140625" style="18"/>
    <col min="15627" max="15627" width="9" style="18" bestFit="1" customWidth="1"/>
    <col min="15628" max="15628" width="9.85546875" style="18" customWidth="1"/>
    <col min="15629" max="15629" width="10.5703125" style="18" customWidth="1"/>
    <col min="15630" max="15630" width="5.5703125" style="18" customWidth="1"/>
    <col min="15631" max="15872" width="9.140625" style="18"/>
    <col min="15873" max="15873" width="4.140625" style="18" customWidth="1"/>
    <col min="15874" max="15874" width="45.140625" style="18" customWidth="1"/>
    <col min="15875" max="15875" width="11.5703125" style="18" customWidth="1"/>
    <col min="15876" max="15876" width="0" style="18" hidden="1" customWidth="1"/>
    <col min="15877" max="15877" width="11.140625" style="18" customWidth="1"/>
    <col min="15878" max="15879" width="6.28515625" style="18" customWidth="1"/>
    <col min="15880" max="15880" width="6" style="18" customWidth="1"/>
    <col min="15881" max="15881" width="8.7109375" style="18" customWidth="1"/>
    <col min="15882" max="15882" width="9.140625" style="18"/>
    <col min="15883" max="15883" width="9" style="18" bestFit="1" customWidth="1"/>
    <col min="15884" max="15884" width="9.85546875" style="18" customWidth="1"/>
    <col min="15885" max="15885" width="10.5703125" style="18" customWidth="1"/>
    <col min="15886" max="15886" width="5.5703125" style="18" customWidth="1"/>
    <col min="15887" max="16128" width="9.140625" style="18"/>
    <col min="16129" max="16129" width="4.140625" style="18" customWidth="1"/>
    <col min="16130" max="16130" width="45.140625" style="18" customWidth="1"/>
    <col min="16131" max="16131" width="11.5703125" style="18" customWidth="1"/>
    <col min="16132" max="16132" width="0" style="18" hidden="1" customWidth="1"/>
    <col min="16133" max="16133" width="11.140625" style="18" customWidth="1"/>
    <col min="16134" max="16135" width="6.28515625" style="18" customWidth="1"/>
    <col min="16136" max="16136" width="6" style="18" customWidth="1"/>
    <col min="16137" max="16137" width="8.7109375" style="18" customWidth="1"/>
    <col min="16138" max="16138" width="9.140625" style="18"/>
    <col min="16139" max="16139" width="9" style="18" bestFit="1" customWidth="1"/>
    <col min="16140" max="16140" width="9.85546875" style="18" customWidth="1"/>
    <col min="16141" max="16141" width="10.5703125" style="18" customWidth="1"/>
    <col min="16142" max="16142" width="5.5703125" style="18" customWidth="1"/>
    <col min="16143" max="16384" width="9.140625" style="18"/>
  </cols>
  <sheetData>
    <row r="6" spans="1:13">
      <c r="M6" s="19"/>
    </row>
    <row r="7" spans="1:13">
      <c r="B7" s="3590" t="s">
        <v>653</v>
      </c>
    </row>
    <row r="8" spans="1:13">
      <c r="B8" s="3590"/>
      <c r="G8" s="3590" t="s">
        <v>435</v>
      </c>
    </row>
    <row r="9" spans="1:13" ht="16.5" thickBot="1">
      <c r="A9" s="88"/>
      <c r="B9" s="89"/>
      <c r="C9" s="89" t="s">
        <v>94</v>
      </c>
      <c r="D9" s="89"/>
      <c r="E9" s="89" t="s">
        <v>654</v>
      </c>
      <c r="F9" s="20"/>
      <c r="G9" s="20"/>
      <c r="H9" s="20"/>
      <c r="I9" s="20"/>
      <c r="J9" s="3591"/>
      <c r="K9" s="3592"/>
      <c r="L9" s="3592"/>
      <c r="M9" s="3593"/>
    </row>
    <row r="10" spans="1:13" ht="15.75">
      <c r="A10" s="90" t="s">
        <v>450</v>
      </c>
      <c r="B10" s="90" t="s">
        <v>81</v>
      </c>
      <c r="C10" s="91" t="s">
        <v>655</v>
      </c>
      <c r="D10" s="90" t="s">
        <v>656</v>
      </c>
      <c r="E10" s="3594" t="s">
        <v>314</v>
      </c>
      <c r="F10" s="3595" t="s">
        <v>341</v>
      </c>
      <c r="G10" s="3596" t="s">
        <v>657</v>
      </c>
      <c r="H10" s="3597" t="s">
        <v>492</v>
      </c>
      <c r="I10" s="3596" t="s">
        <v>658</v>
      </c>
      <c r="J10" s="3598" t="s">
        <v>658</v>
      </c>
      <c r="K10" s="3598" t="s">
        <v>658</v>
      </c>
      <c r="L10" s="3598" t="s">
        <v>658</v>
      </c>
      <c r="M10" s="3599"/>
    </row>
    <row r="11" spans="1:13" ht="15.75">
      <c r="A11" s="3600" t="s">
        <v>452</v>
      </c>
      <c r="B11" s="3600"/>
      <c r="C11" s="3601" t="s">
        <v>452</v>
      </c>
      <c r="D11" s="3602" t="s">
        <v>659</v>
      </c>
      <c r="E11" s="3603" t="s">
        <v>380</v>
      </c>
      <c r="F11" s="28"/>
      <c r="G11" s="28"/>
      <c r="H11" s="19" t="s">
        <v>263</v>
      </c>
      <c r="I11" s="28" t="s">
        <v>660</v>
      </c>
      <c r="J11" s="28" t="s">
        <v>660</v>
      </c>
      <c r="K11" s="28" t="s">
        <v>660</v>
      </c>
      <c r="L11" s="28" t="s">
        <v>660</v>
      </c>
      <c r="M11" s="3604" t="s">
        <v>260</v>
      </c>
    </row>
    <row r="12" spans="1:13" ht="15.75">
      <c r="A12" s="92"/>
      <c r="B12" s="3605"/>
      <c r="C12" s="3605"/>
      <c r="D12" s="3605"/>
      <c r="E12" s="92"/>
      <c r="F12" s="33"/>
      <c r="G12" s="33"/>
      <c r="H12" s="3606"/>
      <c r="I12" s="33" t="s">
        <v>661</v>
      </c>
      <c r="J12" s="33" t="s">
        <v>662</v>
      </c>
      <c r="K12" s="33" t="s">
        <v>663</v>
      </c>
      <c r="L12" s="33" t="s">
        <v>267</v>
      </c>
      <c r="M12" s="33"/>
    </row>
    <row r="13" spans="1:13" ht="31.5">
      <c r="A13" s="93">
        <v>1</v>
      </c>
      <c r="B13" s="94" t="s">
        <v>664</v>
      </c>
      <c r="C13" s="95">
        <v>8</v>
      </c>
      <c r="D13" s="96">
        <v>2323.67</v>
      </c>
      <c r="E13" s="3607">
        <v>2189.2199999999998</v>
      </c>
      <c r="F13" s="21" t="s">
        <v>94</v>
      </c>
      <c r="G13" s="21" t="s">
        <v>94</v>
      </c>
      <c r="H13" s="3608" t="s">
        <v>94</v>
      </c>
      <c r="I13" s="3609">
        <f>'[44]Power Purchase'!O47</f>
        <v>689.15000000000009</v>
      </c>
      <c r="J13" s="3609">
        <f>'[44]Power Purchase'!P47</f>
        <v>698.28</v>
      </c>
      <c r="K13" s="3609">
        <f>'[44]Power Purchase'!Q47</f>
        <v>646.39</v>
      </c>
      <c r="L13" s="3609">
        <f>'[44]Power Purchase'!R47</f>
        <v>592.66000000000008</v>
      </c>
      <c r="M13" s="29">
        <f>I13+J13+K13+L13</f>
        <v>2626.4800000000005</v>
      </c>
    </row>
    <row r="14" spans="1:13" ht="15.75">
      <c r="A14" s="92">
        <v>2</v>
      </c>
      <c r="B14" s="97" t="s">
        <v>199</v>
      </c>
      <c r="C14" s="98" t="s">
        <v>665</v>
      </c>
      <c r="D14" s="3610">
        <v>242.72</v>
      </c>
      <c r="E14" s="3611">
        <f>E15+E16+E17</f>
        <v>341.68000000000006</v>
      </c>
      <c r="F14" s="21"/>
      <c r="G14" s="21"/>
      <c r="H14" s="3612"/>
      <c r="I14" s="3613">
        <f>I15+I16+I17</f>
        <v>65.790000000000006</v>
      </c>
      <c r="J14" s="3613">
        <f>J15+J16+J17</f>
        <v>103.89</v>
      </c>
      <c r="K14" s="3613">
        <f>K15+K16+K17</f>
        <v>113.46000000000001</v>
      </c>
      <c r="L14" s="3613">
        <f>L15+L16+L17</f>
        <v>107.61</v>
      </c>
      <c r="M14" s="3613">
        <f t="shared" ref="M14:M47" si="0">I14+J14+K14+L14</f>
        <v>390.75</v>
      </c>
    </row>
    <row r="15" spans="1:13" ht="15.75">
      <c r="A15" s="92">
        <f>+A14+0.1</f>
        <v>2.1</v>
      </c>
      <c r="B15" s="97" t="s">
        <v>179</v>
      </c>
      <c r="C15" s="98" t="s">
        <v>94</v>
      </c>
      <c r="D15" s="3610">
        <v>142.94</v>
      </c>
      <c r="E15" s="3614">
        <v>220.75</v>
      </c>
      <c r="F15" s="28"/>
      <c r="G15" s="28"/>
      <c r="H15" s="32"/>
      <c r="I15" s="3615">
        <v>43.36</v>
      </c>
      <c r="J15" s="3615">
        <v>71.13</v>
      </c>
      <c r="K15" s="3615">
        <v>86.51</v>
      </c>
      <c r="L15" s="3615">
        <f>'[44]A&amp;G'!J115</f>
        <v>51.629999999999995</v>
      </c>
      <c r="M15" s="29">
        <f t="shared" si="0"/>
        <v>252.63</v>
      </c>
    </row>
    <row r="16" spans="1:13" ht="15.75">
      <c r="A16" s="92">
        <f>+A15+0.1</f>
        <v>2.2000000000000002</v>
      </c>
      <c r="B16" s="97" t="s">
        <v>181</v>
      </c>
      <c r="C16" s="98" t="s">
        <v>94</v>
      </c>
      <c r="D16" s="3610">
        <v>72.510000000000005</v>
      </c>
      <c r="E16" s="3614">
        <v>85.09</v>
      </c>
      <c r="F16" s="21"/>
      <c r="G16" s="21"/>
      <c r="H16" s="3612"/>
      <c r="I16" s="29">
        <v>14.82</v>
      </c>
      <c r="J16" s="29">
        <v>20.86</v>
      </c>
      <c r="K16" s="29">
        <v>17.53</v>
      </c>
      <c r="L16" s="29">
        <f>'[44]A&amp;G'!J45</f>
        <v>42.210000000000008</v>
      </c>
      <c r="M16" s="29">
        <f t="shared" si="0"/>
        <v>95.420000000000016</v>
      </c>
    </row>
    <row r="17" spans="1:16" ht="15.75">
      <c r="A17" s="92">
        <f>+A16+0.1</f>
        <v>2.3000000000000003</v>
      </c>
      <c r="B17" s="97" t="s">
        <v>183</v>
      </c>
      <c r="C17" s="98" t="s">
        <v>94</v>
      </c>
      <c r="D17" s="3610">
        <v>27.28</v>
      </c>
      <c r="E17" s="3614">
        <v>35.840000000000003</v>
      </c>
      <c r="F17" s="28"/>
      <c r="G17" s="28"/>
      <c r="H17" s="32"/>
      <c r="I17" s="3615">
        <v>7.61</v>
      </c>
      <c r="J17" s="3615">
        <v>11.9</v>
      </c>
      <c r="K17" s="3615">
        <v>9.42</v>
      </c>
      <c r="L17" s="3615">
        <f>'[44]A&amp;G'!J73</f>
        <v>13.77</v>
      </c>
      <c r="M17" s="29">
        <f t="shared" si="0"/>
        <v>42.7</v>
      </c>
    </row>
    <row r="18" spans="1:16" ht="31.5">
      <c r="A18" s="92">
        <v>3</v>
      </c>
      <c r="B18" s="97" t="s">
        <v>200</v>
      </c>
      <c r="C18" s="98" t="s">
        <v>94</v>
      </c>
      <c r="D18" s="3610">
        <v>42.78</v>
      </c>
      <c r="E18" s="3614">
        <v>60.46</v>
      </c>
      <c r="F18" s="21"/>
      <c r="G18" s="21"/>
      <c r="H18" s="3612"/>
      <c r="I18" s="21">
        <v>0</v>
      </c>
      <c r="J18" s="21">
        <v>0</v>
      </c>
      <c r="K18" s="21">
        <v>94.73</v>
      </c>
      <c r="L18" s="21">
        <v>-3.57</v>
      </c>
      <c r="M18" s="29">
        <f t="shared" si="0"/>
        <v>91.160000000000011</v>
      </c>
    </row>
    <row r="19" spans="1:16" ht="31.5">
      <c r="A19" s="92">
        <v>4</v>
      </c>
      <c r="B19" s="97" t="s">
        <v>201</v>
      </c>
      <c r="C19" s="98">
        <v>10</v>
      </c>
      <c r="D19" s="3610">
        <v>14.83</v>
      </c>
      <c r="E19" s="3614">
        <v>11.01</v>
      </c>
      <c r="F19" s="28"/>
      <c r="G19" s="28"/>
      <c r="H19" s="32"/>
      <c r="I19" s="3615">
        <v>1.38</v>
      </c>
      <c r="J19" s="3615">
        <v>0.93</v>
      </c>
      <c r="K19" s="3615">
        <v>0.46</v>
      </c>
      <c r="L19" s="3615">
        <v>5.66</v>
      </c>
      <c r="M19" s="29">
        <f t="shared" si="0"/>
        <v>8.43</v>
      </c>
    </row>
    <row r="20" spans="1:16" ht="15.75">
      <c r="A20" s="92">
        <v>5</v>
      </c>
      <c r="B20" s="97" t="s">
        <v>666</v>
      </c>
      <c r="C20" s="98" t="s">
        <v>94</v>
      </c>
      <c r="D20" s="3610">
        <v>3.94</v>
      </c>
      <c r="E20" s="3614">
        <v>0</v>
      </c>
      <c r="F20" s="21"/>
      <c r="G20" s="21"/>
      <c r="H20" s="3612"/>
      <c r="I20" s="21">
        <v>0</v>
      </c>
      <c r="J20" s="21">
        <v>0</v>
      </c>
      <c r="K20" s="21">
        <v>0</v>
      </c>
      <c r="L20" s="21">
        <v>0</v>
      </c>
      <c r="M20" s="29">
        <f t="shared" si="0"/>
        <v>0</v>
      </c>
    </row>
    <row r="21" spans="1:16" ht="15.75">
      <c r="A21" s="92">
        <v>5.0999999999999996</v>
      </c>
      <c r="B21" s="97" t="s">
        <v>667</v>
      </c>
      <c r="C21" s="98">
        <v>11</v>
      </c>
      <c r="D21" s="3610">
        <v>0</v>
      </c>
      <c r="E21" s="3614">
        <v>22.55</v>
      </c>
      <c r="F21" s="28"/>
      <c r="G21" s="28"/>
      <c r="H21" s="32"/>
      <c r="I21" s="28">
        <v>8.42</v>
      </c>
      <c r="J21" s="28">
        <v>9.27</v>
      </c>
      <c r="K21" s="3615">
        <v>3.67</v>
      </c>
      <c r="L21" s="3615">
        <v>2.79</v>
      </c>
      <c r="M21" s="29">
        <f t="shared" si="0"/>
        <v>24.15</v>
      </c>
    </row>
    <row r="22" spans="1:16" ht="15.75">
      <c r="A22" s="92">
        <v>5.2</v>
      </c>
      <c r="B22" s="97" t="s">
        <v>204</v>
      </c>
      <c r="C22" s="98"/>
      <c r="D22" s="3610">
        <v>14.13</v>
      </c>
      <c r="E22" s="3614">
        <v>14.29</v>
      </c>
      <c r="F22" s="21"/>
      <c r="G22" s="21"/>
      <c r="H22" s="3612"/>
      <c r="I22" s="21">
        <v>0</v>
      </c>
      <c r="J22" s="21">
        <v>0</v>
      </c>
      <c r="K22" s="21">
        <v>0</v>
      </c>
      <c r="L22" s="21">
        <v>23.18</v>
      </c>
      <c r="M22" s="29">
        <f t="shared" si="0"/>
        <v>23.18</v>
      </c>
      <c r="N22" s="23"/>
    </row>
    <row r="23" spans="1:16" ht="15.75">
      <c r="A23" s="92">
        <v>6</v>
      </c>
      <c r="B23" s="97" t="s">
        <v>205</v>
      </c>
      <c r="C23" s="98" t="s">
        <v>94</v>
      </c>
      <c r="D23" s="3610">
        <v>0.04</v>
      </c>
      <c r="E23" s="3614">
        <v>0</v>
      </c>
      <c r="F23" s="28"/>
      <c r="G23" s="28"/>
      <c r="H23" s="32"/>
      <c r="I23" s="28">
        <v>0</v>
      </c>
      <c r="J23" s="28">
        <v>0</v>
      </c>
      <c r="K23" s="28">
        <v>0</v>
      </c>
      <c r="L23" s="28">
        <v>5.69</v>
      </c>
      <c r="M23" s="29">
        <f t="shared" si="0"/>
        <v>5.69</v>
      </c>
      <c r="N23" s="23"/>
    </row>
    <row r="24" spans="1:16" ht="15.75">
      <c r="A24" s="92">
        <v>7</v>
      </c>
      <c r="B24" s="97" t="s">
        <v>668</v>
      </c>
      <c r="C24" s="98" t="s">
        <v>94</v>
      </c>
      <c r="D24" s="3610">
        <v>0</v>
      </c>
      <c r="E24" s="3614">
        <v>54.5</v>
      </c>
      <c r="F24" s="21"/>
      <c r="G24" s="21"/>
      <c r="H24" s="3612"/>
      <c r="I24" s="21">
        <v>16.16</v>
      </c>
      <c r="J24" s="29">
        <v>21.4</v>
      </c>
      <c r="K24" s="21">
        <v>21.85</v>
      </c>
      <c r="L24" s="21">
        <v>18.97</v>
      </c>
      <c r="M24" s="29">
        <f t="shared" si="0"/>
        <v>78.38</v>
      </c>
      <c r="N24" s="23"/>
      <c r="O24" s="3616"/>
      <c r="P24" s="23"/>
    </row>
    <row r="25" spans="1:16" ht="15.75">
      <c r="A25" s="92">
        <v>8</v>
      </c>
      <c r="B25" s="97" t="s">
        <v>207</v>
      </c>
      <c r="C25" s="98">
        <v>12</v>
      </c>
      <c r="D25" s="3610">
        <v>0</v>
      </c>
      <c r="E25" s="3614">
        <v>0</v>
      </c>
      <c r="F25" s="28"/>
      <c r="G25" s="28"/>
      <c r="H25" s="32"/>
      <c r="I25" s="28">
        <v>0</v>
      </c>
      <c r="J25" s="28">
        <v>0</v>
      </c>
      <c r="K25" s="28">
        <v>0</v>
      </c>
      <c r="L25" s="28">
        <v>0</v>
      </c>
      <c r="M25" s="29">
        <f t="shared" si="0"/>
        <v>0</v>
      </c>
    </row>
    <row r="26" spans="1:16" ht="15.75">
      <c r="A26" s="92">
        <v>9</v>
      </c>
      <c r="B26" s="97" t="s">
        <v>669</v>
      </c>
      <c r="C26" s="98" t="s">
        <v>94</v>
      </c>
      <c r="D26" s="3610">
        <v>108.78</v>
      </c>
      <c r="E26" s="3614">
        <v>107.85</v>
      </c>
      <c r="F26" s="21"/>
      <c r="G26" s="21"/>
      <c r="H26" s="3612"/>
      <c r="I26" s="29">
        <v>26.97</v>
      </c>
      <c r="J26" s="29">
        <v>26.96</v>
      </c>
      <c r="K26" s="29">
        <v>26.96</v>
      </c>
      <c r="L26" s="29">
        <v>26.96</v>
      </c>
      <c r="M26" s="29">
        <f t="shared" si="0"/>
        <v>107.85</v>
      </c>
    </row>
    <row r="27" spans="1:16" ht="15.75">
      <c r="A27" s="92">
        <v>10</v>
      </c>
      <c r="B27" s="97" t="s">
        <v>670</v>
      </c>
      <c r="C27" s="98" t="s">
        <v>94</v>
      </c>
      <c r="D27" s="3610">
        <v>109.61</v>
      </c>
      <c r="E27" s="3614">
        <v>127.64</v>
      </c>
      <c r="F27" s="3596"/>
      <c r="G27" s="28"/>
      <c r="H27" s="32"/>
      <c r="I27" s="3617">
        <v>38.46</v>
      </c>
      <c r="J27" s="3617">
        <v>51.54</v>
      </c>
      <c r="K27" s="3617">
        <v>51.54</v>
      </c>
      <c r="L27" s="3617">
        <v>51.67</v>
      </c>
      <c r="M27" s="29">
        <f t="shared" si="0"/>
        <v>193.20999999999998</v>
      </c>
    </row>
    <row r="28" spans="1:16" ht="15.75">
      <c r="A28" s="92">
        <v>11</v>
      </c>
      <c r="B28" s="97" t="s">
        <v>622</v>
      </c>
      <c r="C28" s="98" t="s">
        <v>94</v>
      </c>
      <c r="D28" s="3610">
        <v>0.74</v>
      </c>
      <c r="E28" s="3614">
        <v>0.96</v>
      </c>
      <c r="F28" s="21"/>
      <c r="G28" s="21"/>
      <c r="H28" s="3612"/>
      <c r="I28" s="3618">
        <v>0.23</v>
      </c>
      <c r="J28" s="3618">
        <v>0.15</v>
      </c>
      <c r="K28" s="3618">
        <v>0.22</v>
      </c>
      <c r="L28" s="3618">
        <v>0.15</v>
      </c>
      <c r="M28" s="29">
        <f t="shared" si="0"/>
        <v>0.75</v>
      </c>
    </row>
    <row r="29" spans="1:16" ht="15.75">
      <c r="A29" s="92">
        <v>11</v>
      </c>
      <c r="B29" s="97" t="s">
        <v>208</v>
      </c>
      <c r="C29" s="98" t="s">
        <v>94</v>
      </c>
      <c r="D29" s="3610">
        <v>3.11</v>
      </c>
      <c r="E29" s="3614">
        <v>4.34</v>
      </c>
      <c r="F29" s="28"/>
      <c r="G29" s="28"/>
      <c r="H29" s="32"/>
      <c r="I29" s="3617">
        <v>0</v>
      </c>
      <c r="J29" s="3617">
        <v>0</v>
      </c>
      <c r="K29" s="3617">
        <v>0</v>
      </c>
      <c r="L29" s="3617">
        <v>4.62</v>
      </c>
      <c r="M29" s="29">
        <f t="shared" si="0"/>
        <v>4.62</v>
      </c>
    </row>
    <row r="30" spans="1:16" ht="31.5">
      <c r="A30" s="92">
        <v>12</v>
      </c>
      <c r="B30" s="97" t="s">
        <v>671</v>
      </c>
      <c r="C30" s="98" t="s">
        <v>94</v>
      </c>
      <c r="D30" s="3610">
        <v>0</v>
      </c>
      <c r="E30" s="3614">
        <v>0</v>
      </c>
      <c r="F30" s="21"/>
      <c r="G30" s="21"/>
      <c r="H30" s="3612"/>
      <c r="I30" s="3618">
        <v>0</v>
      </c>
      <c r="J30" s="3618">
        <v>0</v>
      </c>
      <c r="K30" s="3619">
        <v>0</v>
      </c>
      <c r="L30" s="3618">
        <v>0</v>
      </c>
      <c r="M30" s="29">
        <f t="shared" si="0"/>
        <v>0</v>
      </c>
    </row>
    <row r="31" spans="1:16" ht="15.75">
      <c r="A31" s="92">
        <v>13</v>
      </c>
      <c r="B31" s="97" t="s">
        <v>672</v>
      </c>
      <c r="C31" s="98"/>
      <c r="D31" s="3610">
        <v>0</v>
      </c>
      <c r="E31" s="3614">
        <v>0</v>
      </c>
      <c r="F31" s="28"/>
      <c r="G31" s="28"/>
      <c r="H31" s="32"/>
      <c r="I31" s="28">
        <v>0</v>
      </c>
      <c r="J31" s="28">
        <v>0</v>
      </c>
      <c r="K31" s="28">
        <v>0</v>
      </c>
      <c r="L31" s="28">
        <v>0</v>
      </c>
      <c r="M31" s="29">
        <f t="shared" si="0"/>
        <v>0</v>
      </c>
    </row>
    <row r="32" spans="1:16" ht="15.75">
      <c r="A32" s="92">
        <v>14</v>
      </c>
      <c r="B32" s="97" t="s">
        <v>673</v>
      </c>
      <c r="C32" s="98"/>
      <c r="D32" s="3610">
        <v>0</v>
      </c>
      <c r="E32" s="3614">
        <v>0</v>
      </c>
      <c r="F32" s="21"/>
      <c r="G32" s="21"/>
      <c r="H32" s="3612"/>
      <c r="I32" s="21">
        <v>0</v>
      </c>
      <c r="J32" s="21">
        <v>0</v>
      </c>
      <c r="K32" s="21">
        <v>0</v>
      </c>
      <c r="L32" s="21">
        <v>0</v>
      </c>
      <c r="M32" s="29">
        <f t="shared" si="0"/>
        <v>0</v>
      </c>
    </row>
    <row r="33" spans="1:13" ht="15.75">
      <c r="A33" s="92">
        <v>15</v>
      </c>
      <c r="B33" s="97" t="s">
        <v>674</v>
      </c>
      <c r="C33" s="98"/>
      <c r="D33" s="3610">
        <v>0</v>
      </c>
      <c r="E33" s="3614">
        <v>0</v>
      </c>
      <c r="F33" s="28"/>
      <c r="G33" s="28" t="s">
        <v>94</v>
      </c>
      <c r="H33" s="32"/>
      <c r="I33" s="28">
        <v>0</v>
      </c>
      <c r="J33" s="28">
        <v>0</v>
      </c>
      <c r="K33" s="28">
        <v>0</v>
      </c>
      <c r="L33" s="28">
        <v>0</v>
      </c>
      <c r="M33" s="29">
        <f t="shared" si="0"/>
        <v>0</v>
      </c>
    </row>
    <row r="34" spans="1:13" ht="15.75">
      <c r="A34" s="3620">
        <v>15</v>
      </c>
      <c r="B34" s="97" t="s">
        <v>209</v>
      </c>
      <c r="C34" s="3621"/>
      <c r="D34" s="3622">
        <f t="shared" ref="D34:I34" si="1">SUM(D13:D33)-D14</f>
        <v>2864.360000000001</v>
      </c>
      <c r="E34" s="3607">
        <v>2934.5</v>
      </c>
      <c r="F34" s="3607">
        <f t="shared" si="1"/>
        <v>0</v>
      </c>
      <c r="G34" s="3607">
        <f t="shared" si="1"/>
        <v>0</v>
      </c>
      <c r="H34" s="3607">
        <f t="shared" si="1"/>
        <v>0</v>
      </c>
      <c r="I34" s="3607">
        <f t="shared" si="1"/>
        <v>846.56000000000017</v>
      </c>
      <c r="J34" s="3607">
        <f>SUM(J13:J33)-J14</f>
        <v>912.41999999999985</v>
      </c>
      <c r="K34" s="3607">
        <f>SUM(K13:K33)-K14</f>
        <v>959.28</v>
      </c>
      <c r="L34" s="3607">
        <f>SUM(L13:L33)-L14</f>
        <v>836.39</v>
      </c>
      <c r="M34" s="3613">
        <f>I34+J34+K34+L34</f>
        <v>3554.65</v>
      </c>
    </row>
    <row r="35" spans="1:13" ht="15.75">
      <c r="A35" s="92">
        <v>16</v>
      </c>
      <c r="B35" s="97" t="s">
        <v>252</v>
      </c>
      <c r="C35" s="95" t="s">
        <v>94</v>
      </c>
      <c r="D35" s="3623">
        <v>100.53</v>
      </c>
      <c r="E35" s="3607">
        <v>122.02</v>
      </c>
      <c r="F35" s="28"/>
      <c r="G35" s="28"/>
      <c r="H35" s="32"/>
      <c r="I35" s="28">
        <v>0</v>
      </c>
      <c r="J35" s="28">
        <v>0</v>
      </c>
      <c r="K35" s="28">
        <v>0</v>
      </c>
      <c r="L35" s="28">
        <v>125.82</v>
      </c>
      <c r="M35" s="29">
        <f>L35</f>
        <v>125.82</v>
      </c>
    </row>
    <row r="36" spans="1:13" ht="16.5" thickBot="1">
      <c r="A36" s="3624">
        <v>17</v>
      </c>
      <c r="B36" s="3625" t="s">
        <v>210</v>
      </c>
      <c r="C36" s="99" t="s">
        <v>94</v>
      </c>
      <c r="D36" s="3626">
        <v>4.91</v>
      </c>
      <c r="E36" s="3627">
        <v>5.28</v>
      </c>
      <c r="F36" s="3596"/>
      <c r="G36" s="3596"/>
      <c r="H36" s="3608"/>
      <c r="I36" s="3596">
        <v>0</v>
      </c>
      <c r="J36" s="3596">
        <v>0</v>
      </c>
      <c r="K36" s="3596">
        <v>0</v>
      </c>
      <c r="L36" s="3596">
        <v>5.28</v>
      </c>
      <c r="M36" s="29">
        <f t="shared" si="0"/>
        <v>5.28</v>
      </c>
    </row>
    <row r="37" spans="1:13" ht="16.5" thickBot="1">
      <c r="A37" s="3628">
        <v>15</v>
      </c>
      <c r="B37" s="3629" t="s">
        <v>211</v>
      </c>
      <c r="C37" s="3630"/>
      <c r="D37" s="3631">
        <f t="shared" ref="D37:I37" si="2">SUM(D34:D36)</f>
        <v>2969.8000000000011</v>
      </c>
      <c r="E37" s="3632">
        <v>3061.8</v>
      </c>
      <c r="F37" s="3632">
        <f t="shared" si="2"/>
        <v>0</v>
      </c>
      <c r="G37" s="3632">
        <f t="shared" si="2"/>
        <v>0</v>
      </c>
      <c r="H37" s="3632">
        <f t="shared" si="2"/>
        <v>0</v>
      </c>
      <c r="I37" s="3632">
        <f t="shared" si="2"/>
        <v>846.56000000000017</v>
      </c>
      <c r="J37" s="3632">
        <f>SUM(J34:J36)</f>
        <v>912.41999999999985</v>
      </c>
      <c r="K37" s="3632">
        <f>SUM(K34:K36)</f>
        <v>959.28</v>
      </c>
      <c r="L37" s="3632">
        <f>SUM(L34:L36)</f>
        <v>967.49</v>
      </c>
      <c r="M37" s="3632">
        <f>SUM(M34:M36)</f>
        <v>3685.7500000000005</v>
      </c>
    </row>
    <row r="38" spans="1:13" ht="16.5" thickBot="1">
      <c r="A38" s="3633"/>
      <c r="B38" s="97" t="s">
        <v>675</v>
      </c>
      <c r="C38" s="3634"/>
      <c r="D38" s="3635">
        <v>72.62</v>
      </c>
      <c r="E38" s="3636">
        <v>0</v>
      </c>
      <c r="F38" s="33"/>
      <c r="G38" s="33"/>
      <c r="H38" s="22"/>
      <c r="I38" s="33">
        <v>0</v>
      </c>
      <c r="J38" s="33">
        <v>0</v>
      </c>
      <c r="K38" s="33">
        <v>0</v>
      </c>
      <c r="L38" s="33">
        <v>0</v>
      </c>
      <c r="M38" s="29">
        <f t="shared" si="0"/>
        <v>0</v>
      </c>
    </row>
    <row r="39" spans="1:13" ht="15.75">
      <c r="A39" s="3633"/>
      <c r="B39" s="97" t="s">
        <v>676</v>
      </c>
      <c r="C39" s="95"/>
      <c r="D39" s="3637">
        <v>276.38</v>
      </c>
      <c r="E39" s="3638">
        <v>0</v>
      </c>
      <c r="F39" s="28"/>
      <c r="G39" s="28"/>
      <c r="H39" s="32"/>
      <c r="I39" s="28">
        <v>0</v>
      </c>
      <c r="J39" s="28">
        <v>0</v>
      </c>
      <c r="K39" s="28">
        <v>0</v>
      </c>
      <c r="L39" s="28">
        <v>0</v>
      </c>
      <c r="M39" s="29">
        <f t="shared" si="0"/>
        <v>0</v>
      </c>
    </row>
    <row r="40" spans="1:13" ht="15.75">
      <c r="A40" s="3633"/>
      <c r="B40" s="97" t="s">
        <v>677</v>
      </c>
      <c r="C40" s="100"/>
      <c r="D40" s="3607">
        <v>-38.76</v>
      </c>
      <c r="E40" s="3607">
        <v>0</v>
      </c>
      <c r="F40" s="21"/>
      <c r="G40" s="21"/>
      <c r="H40" s="3612"/>
      <c r="I40" s="21">
        <v>0</v>
      </c>
      <c r="J40" s="21">
        <v>0</v>
      </c>
      <c r="K40" s="21">
        <v>0</v>
      </c>
      <c r="L40" s="21">
        <v>0</v>
      </c>
      <c r="M40" s="29">
        <f t="shared" si="0"/>
        <v>0</v>
      </c>
    </row>
    <row r="41" spans="1:13" ht="15.75">
      <c r="A41" s="93"/>
      <c r="B41" s="97" t="s">
        <v>47</v>
      </c>
      <c r="C41" s="95"/>
      <c r="D41" s="3610">
        <f>SUM(D37:D40)</f>
        <v>3280.0400000000009</v>
      </c>
      <c r="E41" s="101">
        <v>0</v>
      </c>
      <c r="F41" s="33"/>
      <c r="G41" s="33"/>
      <c r="H41" s="22"/>
      <c r="I41" s="33">
        <v>0</v>
      </c>
      <c r="J41" s="33">
        <v>0</v>
      </c>
      <c r="K41" s="33">
        <v>0</v>
      </c>
      <c r="L41" s="33">
        <v>0</v>
      </c>
      <c r="M41" s="29">
        <f t="shared" si="0"/>
        <v>0</v>
      </c>
    </row>
    <row r="42" spans="1:13" ht="15.75">
      <c r="A42" s="3620">
        <v>16</v>
      </c>
      <c r="B42" s="97" t="s">
        <v>212</v>
      </c>
      <c r="C42" s="95" t="s">
        <v>94</v>
      </c>
      <c r="D42" s="3623">
        <v>55.53</v>
      </c>
      <c r="E42" s="3607">
        <v>48.09</v>
      </c>
      <c r="F42" s="21"/>
      <c r="G42" s="21"/>
      <c r="H42" s="3612"/>
      <c r="I42" s="21">
        <v>13.45</v>
      </c>
      <c r="J42" s="21">
        <v>12.92</v>
      </c>
      <c r="K42" s="31">
        <v>14.5</v>
      </c>
      <c r="L42" s="31">
        <v>19.62</v>
      </c>
      <c r="M42" s="29">
        <f>I42+J42+K42+L42</f>
        <v>60.489999999999995</v>
      </c>
    </row>
    <row r="43" spans="1:13" ht="15.75">
      <c r="A43" s="92">
        <v>17</v>
      </c>
      <c r="B43" s="97" t="s">
        <v>678</v>
      </c>
      <c r="C43" s="99"/>
      <c r="D43" s="102"/>
      <c r="E43" s="103"/>
      <c r="F43" s="28"/>
      <c r="G43" s="28"/>
      <c r="H43" s="32"/>
      <c r="I43" s="28" t="s">
        <v>94</v>
      </c>
      <c r="J43" s="28" t="s">
        <v>94</v>
      </c>
      <c r="K43" s="28" t="s">
        <v>94</v>
      </c>
      <c r="L43" s="28" t="s">
        <v>94</v>
      </c>
      <c r="M43" s="29"/>
    </row>
    <row r="44" spans="1:13" ht="15.75">
      <c r="A44" s="92">
        <v>18</v>
      </c>
      <c r="B44" s="97" t="s">
        <v>679</v>
      </c>
      <c r="C44" s="99"/>
      <c r="D44" s="102"/>
      <c r="E44" s="103">
        <v>0</v>
      </c>
      <c r="F44" s="21"/>
      <c r="G44" s="21"/>
      <c r="H44" s="3612"/>
      <c r="I44" s="21"/>
      <c r="J44" s="21"/>
      <c r="K44" s="21"/>
      <c r="L44" s="21"/>
      <c r="M44" s="29">
        <f t="shared" si="0"/>
        <v>0</v>
      </c>
    </row>
    <row r="45" spans="1:13" ht="15.75">
      <c r="A45" s="92">
        <v>19</v>
      </c>
      <c r="B45" s="97" t="s">
        <v>680</v>
      </c>
      <c r="C45" s="99"/>
      <c r="D45" s="102"/>
      <c r="E45" s="103"/>
      <c r="F45" s="28"/>
      <c r="G45" s="28"/>
      <c r="H45" s="32"/>
      <c r="I45" s="28" t="s">
        <v>94</v>
      </c>
      <c r="J45" s="28" t="s">
        <v>94</v>
      </c>
      <c r="K45" s="28" t="s">
        <v>94</v>
      </c>
      <c r="L45" s="28" t="s">
        <v>94</v>
      </c>
      <c r="M45" s="29"/>
    </row>
    <row r="46" spans="1:13" ht="31.5">
      <c r="A46" s="92">
        <v>20</v>
      </c>
      <c r="B46" s="97" t="s">
        <v>681</v>
      </c>
      <c r="C46" s="99"/>
      <c r="D46" s="102"/>
      <c r="E46" s="103"/>
      <c r="F46" s="21"/>
      <c r="G46" s="21"/>
      <c r="H46" s="3612"/>
      <c r="I46" s="21"/>
      <c r="J46" s="21"/>
      <c r="K46" s="21"/>
      <c r="L46" s="21"/>
      <c r="M46" s="3607"/>
    </row>
    <row r="47" spans="1:13" ht="15.75">
      <c r="A47" s="104"/>
      <c r="B47" s="105"/>
      <c r="C47" s="106"/>
      <c r="D47" s="107"/>
      <c r="E47" s="108">
        <v>0</v>
      </c>
      <c r="F47" s="28"/>
      <c r="G47" s="28"/>
      <c r="H47" s="32"/>
      <c r="I47" s="28"/>
      <c r="J47" s="28"/>
      <c r="K47" s="28"/>
      <c r="L47" s="28"/>
      <c r="M47" s="29">
        <f t="shared" si="0"/>
        <v>0</v>
      </c>
    </row>
    <row r="48" spans="1:13" ht="15.75">
      <c r="A48" s="3639">
        <v>21</v>
      </c>
      <c r="B48" s="3640" t="s">
        <v>682</v>
      </c>
      <c r="C48" s="109"/>
      <c r="D48" s="3622">
        <f>D41-D42</f>
        <v>3224.5100000000007</v>
      </c>
      <c r="E48" s="3607">
        <v>3013.71</v>
      </c>
      <c r="F48" s="21"/>
      <c r="G48" s="21"/>
      <c r="H48" s="3612"/>
      <c r="I48" s="3607">
        <f>I37-I42</f>
        <v>833.11000000000013</v>
      </c>
      <c r="J48" s="3607">
        <f>J37-J42</f>
        <v>899.49999999999989</v>
      </c>
      <c r="K48" s="3607">
        <f>K37-K42</f>
        <v>944.78</v>
      </c>
      <c r="L48" s="3607">
        <f>L37-L42</f>
        <v>947.87</v>
      </c>
      <c r="M48" s="3607">
        <f>M37-M42</f>
        <v>3625.2600000000007</v>
      </c>
    </row>
    <row r="49" spans="1:15" ht="15">
      <c r="A49" s="110"/>
      <c r="B49" s="111"/>
      <c r="C49" s="112"/>
      <c r="D49" s="113"/>
      <c r="E49" s="113"/>
      <c r="F49" s="3641"/>
      <c r="G49" s="3641"/>
      <c r="H49" s="3596"/>
      <c r="I49" s="28" t="s">
        <v>277</v>
      </c>
      <c r="J49" s="28" t="s">
        <v>277</v>
      </c>
      <c r="K49" s="28" t="s">
        <v>277</v>
      </c>
      <c r="L49" s="28" t="s">
        <v>277</v>
      </c>
      <c r="M49" s="29"/>
    </row>
    <row r="50" spans="1:15" ht="15.75">
      <c r="A50" s="3642">
        <v>22</v>
      </c>
      <c r="B50" s="3643" t="s">
        <v>683</v>
      </c>
      <c r="C50" s="3644"/>
      <c r="D50" s="3645"/>
      <c r="E50" s="3646">
        <v>2561.89</v>
      </c>
      <c r="F50" s="3645"/>
      <c r="G50" s="3645"/>
      <c r="H50" s="21"/>
      <c r="I50" s="3613">
        <v>795.43</v>
      </c>
      <c r="J50" s="3647">
        <v>1057.6400000000001</v>
      </c>
      <c r="K50" s="3613">
        <v>1018</v>
      </c>
      <c r="L50" s="3647">
        <v>765.86</v>
      </c>
      <c r="M50" s="29">
        <f>I50+J50+K50+L50</f>
        <v>3636.9300000000003</v>
      </c>
      <c r="N50" s="29"/>
      <c r="O50" s="23"/>
    </row>
    <row r="51" spans="1:15">
      <c r="A51" s="28"/>
      <c r="B51" s="19"/>
      <c r="C51" s="3648"/>
      <c r="D51" s="3649"/>
      <c r="E51" s="3649">
        <v>0</v>
      </c>
      <c r="F51" s="3649"/>
      <c r="G51" s="3649"/>
      <c r="H51" s="28"/>
      <c r="I51" s="28" t="s">
        <v>94</v>
      </c>
      <c r="J51" s="28" t="s">
        <v>94</v>
      </c>
      <c r="K51" s="28" t="s">
        <v>94</v>
      </c>
      <c r="L51" s="28" t="s">
        <v>94</v>
      </c>
      <c r="M51" s="29">
        <f>M49-M47</f>
        <v>0</v>
      </c>
    </row>
    <row r="52" spans="1:15">
      <c r="A52" s="3647">
        <v>23</v>
      </c>
      <c r="B52" s="3650" t="s">
        <v>684</v>
      </c>
      <c r="C52" s="3644"/>
      <c r="D52" s="3645"/>
      <c r="E52" s="3651">
        <v>-451.82000000000016</v>
      </c>
      <c r="F52" s="3646"/>
      <c r="G52" s="3646" t="s">
        <v>94</v>
      </c>
      <c r="H52" s="3647"/>
      <c r="I52" s="3651">
        <f>I50-I48</f>
        <v>-37.680000000000177</v>
      </c>
      <c r="J52" s="3651">
        <f>J50-J48</f>
        <v>158.14000000000021</v>
      </c>
      <c r="K52" s="3613">
        <f>K50-K48</f>
        <v>73.220000000000027</v>
      </c>
      <c r="L52" s="3613">
        <f>L50-L48</f>
        <v>-182.01</v>
      </c>
      <c r="M52" s="3613">
        <f>M50-M48</f>
        <v>11.669999999999618</v>
      </c>
    </row>
    <row r="53" spans="1:15">
      <c r="I53" s="18" t="s">
        <v>94</v>
      </c>
      <c r="J53" s="18" t="s">
        <v>94</v>
      </c>
      <c r="L53" s="23"/>
    </row>
    <row r="54" spans="1:15">
      <c r="B54" s="24" t="s">
        <v>295</v>
      </c>
      <c r="L54" s="18" t="s">
        <v>94</v>
      </c>
    </row>
    <row r="55" spans="1:15">
      <c r="B55" s="24" t="s">
        <v>296</v>
      </c>
    </row>
    <row r="60" spans="1:15">
      <c r="B60" s="18" t="s">
        <v>94</v>
      </c>
    </row>
    <row r="61" spans="1:15">
      <c r="B61" s="18" t="s">
        <v>94</v>
      </c>
    </row>
    <row r="73" spans="1:9">
      <c r="I73" s="18" t="s">
        <v>94</v>
      </c>
    </row>
    <row r="74" spans="1:9">
      <c r="A74" s="18" t="s">
        <v>685</v>
      </c>
    </row>
    <row r="75" spans="1:9">
      <c r="A75" s="18" t="s">
        <v>94</v>
      </c>
    </row>
    <row r="77" spans="1:9">
      <c r="A77" s="18" t="s">
        <v>94</v>
      </c>
    </row>
    <row r="78" spans="1:9">
      <c r="A78" s="18" t="s">
        <v>94</v>
      </c>
    </row>
    <row r="79" spans="1:9">
      <c r="A79" s="18" t="s">
        <v>94</v>
      </c>
    </row>
    <row r="80" spans="1:9">
      <c r="A80" s="18" t="s">
        <v>94</v>
      </c>
    </row>
    <row r="81" spans="1:1">
      <c r="A81" s="18" t="s">
        <v>94</v>
      </c>
    </row>
    <row r="82" spans="1:1">
      <c r="A82" s="18" t="s">
        <v>94</v>
      </c>
    </row>
    <row r="83" spans="1:1">
      <c r="A83" s="18" t="s">
        <v>94</v>
      </c>
    </row>
    <row r="84" spans="1:1">
      <c r="A84" s="18" t="s">
        <v>94</v>
      </c>
    </row>
    <row r="85" spans="1:1">
      <c r="A85" s="18" t="s">
        <v>94</v>
      </c>
    </row>
    <row r="86" spans="1:1">
      <c r="A86" s="18" t="s">
        <v>686</v>
      </c>
    </row>
    <row r="87" spans="1:1">
      <c r="A87" s="18" t="s">
        <v>94</v>
      </c>
    </row>
    <row r="88" spans="1:1">
      <c r="A88" s="18" t="s">
        <v>94</v>
      </c>
    </row>
    <row r="89" spans="1:1">
      <c r="A89" s="18" t="s">
        <v>94</v>
      </c>
    </row>
    <row r="90" spans="1:1">
      <c r="A90" s="18" t="s">
        <v>94</v>
      </c>
    </row>
    <row r="91" spans="1:1">
      <c r="A91" s="18" t="s">
        <v>94</v>
      </c>
    </row>
    <row r="92" spans="1:1">
      <c r="A92" s="18" t="s">
        <v>94</v>
      </c>
    </row>
    <row r="93" spans="1:1">
      <c r="A93" s="18" t="s">
        <v>94</v>
      </c>
    </row>
    <row r="94" spans="1:1">
      <c r="A94" s="18" t="s">
        <v>94</v>
      </c>
    </row>
    <row r="95" spans="1:1">
      <c r="A95" s="18" t="s">
        <v>94</v>
      </c>
    </row>
    <row r="96" spans="1:1">
      <c r="A96" s="18" t="s">
        <v>94</v>
      </c>
    </row>
    <row r="97" spans="1:1">
      <c r="A97" s="18" t="s">
        <v>94</v>
      </c>
    </row>
    <row r="98" spans="1:1">
      <c r="A98" s="18" t="s">
        <v>94</v>
      </c>
    </row>
    <row r="99" spans="1:1">
      <c r="A99" s="18" t="s">
        <v>94</v>
      </c>
    </row>
    <row r="100" spans="1:1">
      <c r="A100" s="18" t="s">
        <v>94</v>
      </c>
    </row>
    <row r="101" spans="1:1">
      <c r="A101" s="18" t="s">
        <v>94</v>
      </c>
    </row>
    <row r="102" spans="1:1">
      <c r="A102" s="18" t="s">
        <v>94</v>
      </c>
    </row>
    <row r="103" spans="1:1">
      <c r="A103" s="18" t="s">
        <v>94</v>
      </c>
    </row>
    <row r="104" spans="1:1">
      <c r="A104" s="18" t="s">
        <v>94</v>
      </c>
    </row>
    <row r="105" spans="1:1">
      <c r="A105" s="18" t="s">
        <v>94</v>
      </c>
    </row>
    <row r="106" spans="1:1">
      <c r="A106" s="18" t="s">
        <v>94</v>
      </c>
    </row>
    <row r="107" spans="1:1">
      <c r="A107" s="18" t="s">
        <v>94</v>
      </c>
    </row>
    <row r="108" spans="1:1">
      <c r="A108" s="18" t="s">
        <v>94</v>
      </c>
    </row>
    <row r="109" spans="1:1">
      <c r="A109" s="18" t="s">
        <v>94</v>
      </c>
    </row>
    <row r="110" spans="1:1">
      <c r="A110" s="18" t="s">
        <v>94</v>
      </c>
    </row>
    <row r="111" spans="1:1">
      <c r="A111" s="18" t="s">
        <v>94</v>
      </c>
    </row>
    <row r="112" spans="1:1">
      <c r="A112" s="18" t="s">
        <v>94</v>
      </c>
    </row>
    <row r="113" spans="1:1">
      <c r="A113" s="18" t="s">
        <v>94</v>
      </c>
    </row>
  </sheetData>
  <sheetProtection selectLockedCells="1" selectUnlockedCells="1"/>
  <pageMargins left="0.27013888888888898" right="0.3" top="1" bottom="1" header="0.51180555555555596" footer="0.51180555555555596"/>
  <pageSetup paperSize="9" scale="69" firstPageNumber="0" orientation="portrait" horizontalDpi="300" verticalDpi="300" r:id="rId1"/>
  <headerFooter alignWithMargins="0"/>
  <legacyDrawing r:id="rId2"/>
</worksheet>
</file>

<file path=xl/worksheets/sheet135.xml><?xml version="1.0" encoding="utf-8"?>
<worksheet xmlns="http://schemas.openxmlformats.org/spreadsheetml/2006/main" xmlns:r="http://schemas.openxmlformats.org/officeDocument/2006/relationships">
  <sheetPr codeName="Sheet114">
    <tabColor theme="1" tint="4.9989318521683403E-2"/>
  </sheetPr>
  <dimension ref="B1:G25"/>
  <sheetViews>
    <sheetView showGridLines="0" workbookViewId="0">
      <selection activeCell="A37" sqref="A37:XFD37"/>
    </sheetView>
  </sheetViews>
  <sheetFormatPr defaultRowHeight="15"/>
  <cols>
    <col min="3" max="3" width="27.7109375" customWidth="1"/>
    <col min="4" max="4" width="14.7109375" customWidth="1"/>
    <col min="5" max="5" width="12.28515625" customWidth="1"/>
    <col min="12" max="12" width="10.85546875" customWidth="1"/>
  </cols>
  <sheetData>
    <row r="1" spans="2:7">
      <c r="C1" s="3429" t="s">
        <v>2844</v>
      </c>
    </row>
    <row r="2" spans="2:7">
      <c r="E2" t="s">
        <v>2843</v>
      </c>
    </row>
    <row r="3" spans="2:7" ht="46.5" customHeight="1">
      <c r="B3" s="3430" t="s">
        <v>101</v>
      </c>
      <c r="C3" s="3430" t="s">
        <v>491</v>
      </c>
      <c r="D3" s="3430" t="s">
        <v>82</v>
      </c>
      <c r="E3" s="3430" t="s">
        <v>1845</v>
      </c>
    </row>
    <row r="4" spans="2:7" ht="20.25" customHeight="1">
      <c r="B4" s="3429">
        <v>1</v>
      </c>
      <c r="C4" s="3356" t="s">
        <v>2821</v>
      </c>
      <c r="D4" s="3428">
        <f>'E6 -2012-13'!Y34/10^7</f>
        <v>126.2490523095</v>
      </c>
      <c r="E4" s="3428">
        <f>(('E6 Summury_2013-14'!AG20/2)+('E6 Summury_2013-14'!AG34))/10^7-(0.73+0.83)</f>
        <v>99.945659300000003</v>
      </c>
      <c r="G4" s="911"/>
    </row>
    <row r="5" spans="2:7" ht="38.25" customHeight="1">
      <c r="B5" s="3427">
        <f>B4+1</f>
        <v>2</v>
      </c>
      <c r="C5" s="3452" t="s">
        <v>2820</v>
      </c>
      <c r="D5" s="3428">
        <v>0.83</v>
      </c>
      <c r="E5" s="3427">
        <v>1.31</v>
      </c>
    </row>
    <row r="6" spans="2:7">
      <c r="B6" s="3427">
        <f>B5+1</f>
        <v>3</v>
      </c>
      <c r="C6" s="3453" t="s">
        <v>2812</v>
      </c>
      <c r="D6" s="3428">
        <f>D4+D5</f>
        <v>127.0790523095</v>
      </c>
      <c r="E6" s="3428">
        <f>E4+E5</f>
        <v>101.2556593</v>
      </c>
    </row>
    <row r="8" spans="2:7" s="3462" customFormat="1" ht="15.75" thickBot="1"/>
    <row r="9" spans="2:7" s="1660" customFormat="1" ht="15.75" thickBot="1">
      <c r="B9" s="6326" t="s">
        <v>2846</v>
      </c>
      <c r="C9" s="6327"/>
      <c r="D9" s="6327"/>
      <c r="E9" s="6328"/>
    </row>
    <row r="11" spans="2:7">
      <c r="C11" s="3429" t="s">
        <v>82</v>
      </c>
      <c r="D11" t="s">
        <v>2843</v>
      </c>
    </row>
    <row r="12" spans="2:7" ht="30">
      <c r="B12" s="1715" t="s">
        <v>1858</v>
      </c>
      <c r="C12" s="1715" t="s">
        <v>81</v>
      </c>
      <c r="D12" s="1715" t="s">
        <v>2815</v>
      </c>
    </row>
    <row r="13" spans="2:7">
      <c r="B13" s="1676">
        <v>1</v>
      </c>
      <c r="C13" s="908" t="s">
        <v>2696</v>
      </c>
      <c r="D13" s="1676">
        <v>8.3699999999999992</v>
      </c>
    </row>
    <row r="14" spans="2:7">
      <c r="B14" s="1676">
        <f>B13+1</f>
        <v>2</v>
      </c>
      <c r="C14" s="908" t="s">
        <v>2816</v>
      </c>
      <c r="D14" s="1676">
        <v>0</v>
      </c>
    </row>
    <row r="15" spans="2:7">
      <c r="B15" s="1676">
        <f>B14+1</f>
        <v>3</v>
      </c>
      <c r="C15" s="908" t="s">
        <v>608</v>
      </c>
      <c r="D15" s="1676">
        <v>83.09</v>
      </c>
    </row>
    <row r="16" spans="2:7">
      <c r="B16" s="1676">
        <f>B15+1</f>
        <v>4</v>
      </c>
      <c r="C16" s="908" t="s">
        <v>2817</v>
      </c>
      <c r="D16" s="1676">
        <v>35.61</v>
      </c>
    </row>
    <row r="17" spans="2:4">
      <c r="B17" s="1676">
        <f>B16+1</f>
        <v>5</v>
      </c>
      <c r="C17" s="1719" t="s">
        <v>47</v>
      </c>
      <c r="D17" s="1717">
        <v>127.07</v>
      </c>
    </row>
    <row r="19" spans="2:4">
      <c r="C19" s="3429" t="s">
        <v>1845</v>
      </c>
      <c r="D19" t="s">
        <v>2843</v>
      </c>
    </row>
    <row r="20" spans="2:4" ht="30">
      <c r="B20" s="1715" t="s">
        <v>1858</v>
      </c>
      <c r="C20" s="1715" t="s">
        <v>81</v>
      </c>
      <c r="D20" s="1715" t="s">
        <v>2845</v>
      </c>
    </row>
    <row r="21" spans="2:4">
      <c r="B21" s="1676">
        <v>1</v>
      </c>
      <c r="C21" s="908" t="s">
        <v>2696</v>
      </c>
      <c r="D21" s="1676">
        <v>8.24</v>
      </c>
    </row>
    <row r="22" spans="2:4">
      <c r="B22" s="1676">
        <f>B21+1</f>
        <v>2</v>
      </c>
      <c r="C22" s="908" t="s">
        <v>2816</v>
      </c>
      <c r="D22" s="1676">
        <v>0</v>
      </c>
    </row>
    <row r="23" spans="2:4">
      <c r="B23" s="1676">
        <f>B22+1</f>
        <v>3</v>
      </c>
      <c r="C23" s="908" t="s">
        <v>608</v>
      </c>
      <c r="D23" s="1676">
        <v>65.11</v>
      </c>
    </row>
    <row r="24" spans="2:4">
      <c r="B24" s="1676">
        <f>B23+1</f>
        <v>4</v>
      </c>
      <c r="C24" s="908" t="s">
        <v>2817</v>
      </c>
      <c r="D24" s="1676">
        <v>27.91</v>
      </c>
    </row>
    <row r="25" spans="2:4">
      <c r="B25" s="1676">
        <f>B24+1</f>
        <v>5</v>
      </c>
      <c r="C25" s="1719" t="s">
        <v>47</v>
      </c>
      <c r="D25" s="1717">
        <v>101.26</v>
      </c>
    </row>
  </sheetData>
  <mergeCells count="1">
    <mergeCell ref="B9:E9"/>
  </mergeCells>
  <pageMargins left="0.7" right="0.7" top="0.75" bottom="0.75" header="0.3" footer="0.3"/>
</worksheet>
</file>

<file path=xl/worksheets/sheet136.xml><?xml version="1.0" encoding="utf-8"?>
<worksheet xmlns="http://schemas.openxmlformats.org/spreadsheetml/2006/main" xmlns:r="http://schemas.openxmlformats.org/officeDocument/2006/relationships">
  <sheetPr codeName="Sheet115">
    <tabColor theme="1" tint="4.9989318521683403E-2"/>
  </sheetPr>
  <dimension ref="B1:M34"/>
  <sheetViews>
    <sheetView showGridLines="0" view="pageBreakPreview" zoomScale="60" zoomScaleNormal="80" workbookViewId="0">
      <pane xSplit="3" ySplit="6" topLeftCell="D7" activePane="bottomRight" state="frozen"/>
      <selection activeCell="A37" sqref="A37:XFD37"/>
      <selection pane="topRight" activeCell="A37" sqref="A37:XFD37"/>
      <selection pane="bottomLeft" activeCell="A37" sqref="A37:XFD37"/>
      <selection pane="bottomRight" activeCell="A37" sqref="A37:XFD37"/>
    </sheetView>
  </sheetViews>
  <sheetFormatPr defaultRowHeight="15.75"/>
  <cols>
    <col min="1" max="2" width="9.140625" style="781"/>
    <col min="3" max="3" width="27.42578125" style="781" customWidth="1"/>
    <col min="4" max="4" width="29.28515625" style="3495" customWidth="1"/>
    <col min="5" max="5" width="13.7109375" style="781" customWidth="1"/>
    <col min="6" max="6" width="14.140625" style="781" bestFit="1" customWidth="1"/>
    <col min="7" max="7" width="22.7109375" style="781" customWidth="1"/>
    <col min="8" max="8" width="33.7109375" style="781" customWidth="1"/>
    <col min="9" max="11" width="9.140625" style="781"/>
    <col min="12" max="12" width="13.5703125" style="876" customWidth="1"/>
    <col min="13" max="16384" width="9.140625" style="781"/>
  </cols>
  <sheetData>
    <row r="1" spans="2:13" ht="15.75" hidden="1" customHeight="1">
      <c r="D1" s="6332" t="s">
        <v>2697</v>
      </c>
      <c r="E1" s="6333"/>
      <c r="F1" s="6333"/>
      <c r="G1" s="6333"/>
      <c r="H1" s="6334"/>
    </row>
    <row r="2" spans="2:13" ht="15" customHeight="1">
      <c r="D2" s="6335"/>
      <c r="E2" s="5487"/>
      <c r="F2" s="5487"/>
      <c r="G2" s="5487"/>
      <c r="H2" s="6336"/>
    </row>
    <row r="4" spans="2:13" s="260" customFormat="1" ht="56.25" customHeight="1">
      <c r="B4" s="5435" t="s">
        <v>651</v>
      </c>
      <c r="C4" s="3486"/>
      <c r="D4" s="6329" t="s">
        <v>95</v>
      </c>
      <c r="E4" s="5480" t="s">
        <v>755</v>
      </c>
      <c r="F4" s="5480"/>
      <c r="G4" s="3483" t="s">
        <v>1043</v>
      </c>
      <c r="H4" s="5480" t="s">
        <v>2615</v>
      </c>
      <c r="L4" s="3487"/>
    </row>
    <row r="5" spans="2:13" s="260" customFormat="1" ht="15.75" customHeight="1">
      <c r="B5" s="5449"/>
      <c r="C5" s="3488"/>
      <c r="D5" s="6330"/>
      <c r="E5" s="5484" t="s">
        <v>82</v>
      </c>
      <c r="F5" s="5485"/>
      <c r="G5" s="5486"/>
      <c r="H5" s="5480"/>
      <c r="L5" s="3489"/>
    </row>
    <row r="6" spans="2:13" s="260" customFormat="1">
      <c r="B6" s="5436"/>
      <c r="C6" s="3490"/>
      <c r="D6" s="6331"/>
      <c r="E6" s="3482" t="s">
        <v>83</v>
      </c>
      <c r="F6" s="3482" t="s">
        <v>151</v>
      </c>
      <c r="G6" s="3482" t="s">
        <v>151</v>
      </c>
      <c r="H6" s="3482" t="s">
        <v>151</v>
      </c>
      <c r="L6" s="3489"/>
    </row>
    <row r="7" spans="2:13" ht="31.5" customHeight="1">
      <c r="B7" s="877">
        <v>1</v>
      </c>
      <c r="C7" s="6343" t="s">
        <v>822</v>
      </c>
      <c r="D7" s="1487" t="s">
        <v>245</v>
      </c>
      <c r="E7" s="811">
        <v>5083.97</v>
      </c>
      <c r="F7" s="811">
        <v>2739.21</v>
      </c>
      <c r="G7" s="6340">
        <f>'E2 2012-13'!E8/10^7</f>
        <v>2590.4646219000001</v>
      </c>
      <c r="H7" s="809">
        <f>CostOfPowerPurchase!S30</f>
        <v>2454.84</v>
      </c>
      <c r="L7" s="882"/>
    </row>
    <row r="8" spans="2:13">
      <c r="B8" s="877">
        <f>B7+1</f>
        <v>2</v>
      </c>
      <c r="C8" s="6344"/>
      <c r="D8" s="3363" t="s">
        <v>248</v>
      </c>
      <c r="E8" s="811"/>
      <c r="F8" s="891">
        <f>'F2'!G20</f>
        <v>-312.19</v>
      </c>
      <c r="G8" s="6341"/>
      <c r="H8" s="891">
        <f>CostOfPowerPurchase!S22</f>
        <v>-315.43</v>
      </c>
      <c r="L8" s="882"/>
    </row>
    <row r="9" spans="2:13" ht="31.5">
      <c r="B9" s="877">
        <f t="shared" ref="B9:B16" si="0">B8+1</f>
        <v>3</v>
      </c>
      <c r="C9" s="6344"/>
      <c r="D9" s="3363" t="s">
        <v>249</v>
      </c>
      <c r="E9" s="811"/>
      <c r="F9" s="811">
        <f>'F2'!G26</f>
        <v>0</v>
      </c>
      <c r="G9" s="6341"/>
      <c r="H9" s="880">
        <f>CostOfPowerPurchase!S33</f>
        <v>45.870000000000005</v>
      </c>
      <c r="L9" s="882"/>
    </row>
    <row r="10" spans="2:13" ht="31.5" customHeight="1">
      <c r="B10" s="877">
        <f t="shared" si="0"/>
        <v>4</v>
      </c>
      <c r="C10" s="6344"/>
      <c r="D10" s="1487" t="s">
        <v>246</v>
      </c>
      <c r="E10" s="811"/>
      <c r="F10" s="811">
        <f>'F2'!G13</f>
        <v>0</v>
      </c>
      <c r="G10" s="6341"/>
      <c r="H10" s="6337">
        <v>122.86000000000001</v>
      </c>
      <c r="L10" s="881"/>
      <c r="M10" s="883"/>
    </row>
    <row r="11" spans="2:13">
      <c r="B11" s="877">
        <f t="shared" si="0"/>
        <v>5</v>
      </c>
      <c r="C11" s="6344"/>
      <c r="D11" s="1487" t="s">
        <v>97</v>
      </c>
      <c r="E11" s="811"/>
      <c r="F11" s="811"/>
      <c r="G11" s="6341"/>
      <c r="H11" s="6338"/>
      <c r="L11" s="882"/>
    </row>
    <row r="12" spans="2:13" ht="33" customHeight="1">
      <c r="B12" s="877">
        <f t="shared" si="0"/>
        <v>6</v>
      </c>
      <c r="C12" s="6344"/>
      <c r="D12" s="1487" t="s">
        <v>1847</v>
      </c>
      <c r="E12" s="811"/>
      <c r="F12" s="811"/>
      <c r="G12" s="6341"/>
      <c r="H12" s="6338"/>
      <c r="L12" s="882"/>
    </row>
    <row r="13" spans="2:13" ht="33" customHeight="1">
      <c r="B13" s="877">
        <f t="shared" si="0"/>
        <v>7</v>
      </c>
      <c r="C13" s="6344"/>
      <c r="D13" s="1487" t="s">
        <v>2063</v>
      </c>
      <c r="E13" s="811"/>
      <c r="F13" s="811">
        <f>'F2'!G15</f>
        <v>122.27</v>
      </c>
      <c r="G13" s="6341"/>
      <c r="H13" s="6338"/>
      <c r="L13" s="882"/>
    </row>
    <row r="14" spans="2:13">
      <c r="B14" s="877">
        <f t="shared" si="0"/>
        <v>8</v>
      </c>
      <c r="C14" s="6344"/>
      <c r="D14" s="271" t="s">
        <v>365</v>
      </c>
      <c r="E14" s="811"/>
      <c r="F14" s="811"/>
      <c r="G14" s="6341"/>
      <c r="H14" s="814">
        <f>CostOfPowerPurchase!S31</f>
        <v>284.36</v>
      </c>
      <c r="L14" s="881"/>
    </row>
    <row r="15" spans="2:13">
      <c r="B15" s="877">
        <f t="shared" si="0"/>
        <v>9</v>
      </c>
      <c r="C15" s="6344"/>
      <c r="D15" s="271" t="s">
        <v>367</v>
      </c>
      <c r="E15" s="811"/>
      <c r="F15" s="811"/>
      <c r="G15" s="6341"/>
      <c r="H15" s="891">
        <f>CostOfPowerPurchase!S34</f>
        <v>-1.66</v>
      </c>
      <c r="L15" s="882"/>
    </row>
    <row r="16" spans="2:13">
      <c r="B16" s="877">
        <f t="shared" si="0"/>
        <v>10</v>
      </c>
      <c r="C16" s="6345"/>
      <c r="D16" s="271" t="s">
        <v>368</v>
      </c>
      <c r="E16" s="811"/>
      <c r="F16" s="811"/>
      <c r="G16" s="6342"/>
      <c r="H16" s="891">
        <f>CostOfPowerPurchase!S35</f>
        <v>-0.12</v>
      </c>
      <c r="L16" s="882"/>
    </row>
    <row r="17" spans="2:12">
      <c r="B17" s="884"/>
      <c r="C17" s="878"/>
      <c r="D17" s="3492" t="s">
        <v>605</v>
      </c>
      <c r="E17" s="887"/>
      <c r="F17" s="887">
        <f>SUM(F7,F8,F13)</f>
        <v>2549.29</v>
      </c>
      <c r="G17" s="888">
        <f>G7</f>
        <v>2590.4646219000001</v>
      </c>
      <c r="H17" s="879">
        <f>SUM(H7:H16)</f>
        <v>2590.7200000000007</v>
      </c>
      <c r="L17" s="882"/>
    </row>
    <row r="18" spans="2:12" ht="31.5">
      <c r="B18" s="877">
        <f>B16+1</f>
        <v>11</v>
      </c>
      <c r="C18" s="6343" t="s">
        <v>2861</v>
      </c>
      <c r="D18" s="1359" t="s">
        <v>247</v>
      </c>
      <c r="E18" s="811"/>
      <c r="F18" s="811">
        <f>'F2'!G18</f>
        <v>33.69</v>
      </c>
      <c r="G18" s="6340">
        <f>'E2 2012-13'!E9/10^7</f>
        <v>36.773176499999998</v>
      </c>
      <c r="H18" s="809">
        <f>CostOfPowerPurchase!S18</f>
        <v>36.89</v>
      </c>
      <c r="L18" s="882"/>
    </row>
    <row r="19" spans="2:12">
      <c r="B19" s="877">
        <f>B18+1</f>
        <v>12</v>
      </c>
      <c r="C19" s="6344"/>
      <c r="D19" s="1487" t="s">
        <v>99</v>
      </c>
      <c r="E19" s="811"/>
      <c r="F19" s="891">
        <f>'F2'!G19</f>
        <v>-1.1324955999999999</v>
      </c>
      <c r="G19" s="6341"/>
      <c r="H19" s="891">
        <v>-1.1324955999999999</v>
      </c>
      <c r="L19" s="882"/>
    </row>
    <row r="20" spans="2:12">
      <c r="B20" s="877">
        <f>B19+1</f>
        <v>13</v>
      </c>
      <c r="C20" s="6345"/>
      <c r="D20" s="3363" t="s">
        <v>743</v>
      </c>
      <c r="E20" s="875"/>
      <c r="F20" s="811">
        <f>'F2'!G23</f>
        <v>0.75</v>
      </c>
      <c r="G20" s="6342"/>
      <c r="H20" s="811">
        <v>0.75</v>
      </c>
      <c r="L20" s="892"/>
    </row>
    <row r="21" spans="2:12">
      <c r="B21" s="884"/>
      <c r="C21" s="884"/>
      <c r="D21" s="3493" t="s">
        <v>605</v>
      </c>
      <c r="E21" s="889"/>
      <c r="F21" s="887">
        <f>F18+F19+F20</f>
        <v>33.307504399999999</v>
      </c>
      <c r="G21" s="890">
        <f>G18</f>
        <v>36.773176499999998</v>
      </c>
      <c r="H21" s="887">
        <f>SUM(H18:H20)</f>
        <v>36.507504400000002</v>
      </c>
      <c r="L21" s="882"/>
    </row>
    <row r="22" spans="2:12" ht="31.5">
      <c r="B22" s="877">
        <f>B20+1</f>
        <v>14</v>
      </c>
      <c r="C22" s="885" t="s">
        <v>2064</v>
      </c>
      <c r="D22" s="3494" t="s">
        <v>2064</v>
      </c>
      <c r="E22" s="875"/>
      <c r="F22" s="811">
        <v>193.08</v>
      </c>
      <c r="G22" s="813">
        <f>'E2 2012-13'!E10/10^7</f>
        <v>193.20680200000001</v>
      </c>
      <c r="H22" s="875"/>
      <c r="L22" s="881"/>
    </row>
    <row r="23" spans="2:12">
      <c r="B23" s="877">
        <f>B22+1</f>
        <v>15</v>
      </c>
      <c r="C23" s="885" t="s">
        <v>746</v>
      </c>
      <c r="D23" s="3494" t="s">
        <v>746</v>
      </c>
      <c r="E23" s="875"/>
      <c r="F23" s="811">
        <v>107.85</v>
      </c>
      <c r="G23" s="813">
        <f>'E2 2012-13'!E11/10^7</f>
        <v>107.85</v>
      </c>
      <c r="H23" s="875"/>
      <c r="L23" s="881"/>
    </row>
    <row r="24" spans="2:12">
      <c r="B24" s="877">
        <f>B23+1</f>
        <v>16</v>
      </c>
      <c r="C24" s="877"/>
      <c r="D24" s="3363" t="s">
        <v>752</v>
      </c>
      <c r="E24" s="811"/>
      <c r="F24" s="811"/>
      <c r="G24" s="813"/>
      <c r="H24" s="875"/>
      <c r="L24" s="881"/>
    </row>
    <row r="25" spans="2:12">
      <c r="B25" s="877">
        <f>B24+1</f>
        <v>17</v>
      </c>
      <c r="C25" s="6083" t="s">
        <v>605</v>
      </c>
      <c r="D25" s="6083"/>
      <c r="E25" s="875"/>
      <c r="F25" s="875">
        <f>F23+F22+F21+F17</f>
        <v>2883.5275044</v>
      </c>
      <c r="G25" s="6337">
        <f>SUM(G23,G22,G21,G17)</f>
        <v>2928.2946004</v>
      </c>
      <c r="H25" s="6337">
        <f>H21+H17+G22+G23</f>
        <v>2928.2843064000008</v>
      </c>
      <c r="K25" s="870"/>
      <c r="L25" s="881"/>
    </row>
    <row r="26" spans="2:12">
      <c r="B26" s="877">
        <f>B25+1</f>
        <v>18</v>
      </c>
      <c r="C26" s="3491" t="s">
        <v>747</v>
      </c>
      <c r="D26" s="3491"/>
      <c r="E26" s="875"/>
      <c r="F26" s="811">
        <v>3.2</v>
      </c>
      <c r="G26" s="6338"/>
      <c r="H26" s="6338"/>
      <c r="L26" s="881"/>
    </row>
    <row r="27" spans="2:12">
      <c r="B27" s="877">
        <f>B26+1</f>
        <v>19</v>
      </c>
      <c r="C27" s="6083" t="s">
        <v>2065</v>
      </c>
      <c r="D27" s="6083"/>
      <c r="E27" s="875"/>
      <c r="F27" s="809">
        <f>F25+F26</f>
        <v>2886.7275043999998</v>
      </c>
      <c r="G27" s="6339"/>
      <c r="H27" s="6339"/>
    </row>
    <row r="28" spans="2:12">
      <c r="H28" s="886"/>
    </row>
    <row r="29" spans="2:12">
      <c r="H29" s="886"/>
    </row>
    <row r="30" spans="2:12">
      <c r="H30" s="886"/>
    </row>
    <row r="31" spans="2:12">
      <c r="H31" s="886"/>
    </row>
    <row r="32" spans="2:12">
      <c r="H32" s="886"/>
    </row>
    <row r="33" spans="8:8">
      <c r="H33" s="886"/>
    </row>
    <row r="34" spans="8:8">
      <c r="H34" s="886"/>
    </row>
  </sheetData>
  <mergeCells count="15">
    <mergeCell ref="D1:H2"/>
    <mergeCell ref="H25:H27"/>
    <mergeCell ref="G7:G16"/>
    <mergeCell ref="G18:G20"/>
    <mergeCell ref="C25:D25"/>
    <mergeCell ref="C27:D27"/>
    <mergeCell ref="G25:G27"/>
    <mergeCell ref="H10:H13"/>
    <mergeCell ref="C7:C16"/>
    <mergeCell ref="C18:C20"/>
    <mergeCell ref="B4:B6"/>
    <mergeCell ref="D4:D6"/>
    <mergeCell ref="E4:F4"/>
    <mergeCell ref="H4:H5"/>
    <mergeCell ref="E5:G5"/>
  </mergeCells>
  <pageMargins left="0.7" right="0.7" top="0.75" bottom="0.75" header="0.3" footer="0.3"/>
  <pageSetup scale="46" orientation="portrait" r:id="rId1"/>
</worksheet>
</file>

<file path=xl/worksheets/sheet137.xml><?xml version="1.0" encoding="utf-8"?>
<worksheet xmlns="http://schemas.openxmlformats.org/spreadsheetml/2006/main" xmlns:r="http://schemas.openxmlformats.org/officeDocument/2006/relationships">
  <sheetPr codeName="Sheet116">
    <tabColor theme="1" tint="4.9989318521683403E-2"/>
  </sheetPr>
  <dimension ref="A1:S40"/>
  <sheetViews>
    <sheetView showGridLines="0" view="pageBreakPreview" zoomScale="70" zoomScaleNormal="70" zoomScaleSheetLayoutView="70" workbookViewId="0">
      <pane xSplit="5" ySplit="4" topLeftCell="F12" activePane="bottomRight" state="frozen"/>
      <selection activeCell="A37" sqref="A37:XFD37"/>
      <selection pane="topRight" activeCell="A37" sqref="A37:XFD37"/>
      <selection pane="bottomLeft" activeCell="A37" sqref="A37:XFD37"/>
      <selection pane="bottomRight" activeCell="A37" sqref="A37:XFD37"/>
    </sheetView>
  </sheetViews>
  <sheetFormatPr defaultRowHeight="15"/>
  <cols>
    <col min="1" max="1" width="3.7109375" style="1109" customWidth="1"/>
    <col min="2" max="3" width="0" style="1109" hidden="1" customWidth="1"/>
    <col min="4" max="4" width="11.140625" style="1109" customWidth="1"/>
    <col min="5" max="5" width="35.140625" style="1109" customWidth="1"/>
    <col min="6" max="6" width="10.140625" style="1109" customWidth="1"/>
    <col min="7" max="7" width="12.7109375" style="1109" customWidth="1"/>
    <col min="8" max="8" width="10.85546875" style="1109" customWidth="1"/>
    <col min="9" max="9" width="10.7109375" style="1109" customWidth="1"/>
    <col min="10" max="10" width="10.5703125" style="1109" customWidth="1"/>
    <col min="11" max="11" width="11.42578125" style="1109" customWidth="1"/>
    <col min="12" max="12" width="7.42578125" style="1109" customWidth="1"/>
    <col min="13" max="13" width="6.5703125" style="1109" customWidth="1"/>
    <col min="14" max="14" width="7.28515625" style="1109" customWidth="1"/>
    <col min="15" max="15" width="11.42578125" style="1109" customWidth="1"/>
    <col min="16" max="16" width="10.85546875" style="1109" customWidth="1"/>
    <col min="17" max="17" width="9.7109375" style="1109" customWidth="1"/>
    <col min="18" max="18" width="12.7109375" style="1109" customWidth="1"/>
    <col min="19" max="19" width="11.28515625" style="1109" customWidth="1"/>
    <col min="20" max="256" width="9.140625" style="1109"/>
    <col min="257" max="257" width="3.7109375" style="1109" customWidth="1"/>
    <col min="258" max="259" width="0" style="1109" hidden="1" customWidth="1"/>
    <col min="260" max="260" width="11.140625" style="1109" customWidth="1"/>
    <col min="261" max="261" width="35.140625" style="1109" customWidth="1"/>
    <col min="262" max="263" width="8" style="1109" customWidth="1"/>
    <col min="264" max="264" width="8.42578125" style="1109" customWidth="1"/>
    <col min="265" max="265" width="8" style="1109" customWidth="1"/>
    <col min="266" max="266" width="8.140625" style="1109" customWidth="1"/>
    <col min="267" max="267" width="8.5703125" style="1109" customWidth="1"/>
    <col min="268" max="268" width="3.42578125" style="1109" customWidth="1"/>
    <col min="269" max="269" width="2.85546875" style="1109" customWidth="1"/>
    <col min="270" max="270" width="3.28515625" style="1109" customWidth="1"/>
    <col min="271" max="271" width="7.5703125" style="1109" customWidth="1"/>
    <col min="272" max="272" width="9.28515625" style="1109" customWidth="1"/>
    <col min="273" max="273" width="8" style="1109" customWidth="1"/>
    <col min="274" max="274" width="10.85546875" style="1109" customWidth="1"/>
    <col min="275" max="275" width="11.28515625" style="1109" customWidth="1"/>
    <col min="276" max="512" width="9.140625" style="1109"/>
    <col min="513" max="513" width="3.7109375" style="1109" customWidth="1"/>
    <col min="514" max="515" width="0" style="1109" hidden="1" customWidth="1"/>
    <col min="516" max="516" width="11.140625" style="1109" customWidth="1"/>
    <col min="517" max="517" width="35.140625" style="1109" customWidth="1"/>
    <col min="518" max="519" width="8" style="1109" customWidth="1"/>
    <col min="520" max="520" width="8.42578125" style="1109" customWidth="1"/>
    <col min="521" max="521" width="8" style="1109" customWidth="1"/>
    <col min="522" max="522" width="8.140625" style="1109" customWidth="1"/>
    <col min="523" max="523" width="8.5703125" style="1109" customWidth="1"/>
    <col min="524" max="524" width="3.42578125" style="1109" customWidth="1"/>
    <col min="525" max="525" width="2.85546875" style="1109" customWidth="1"/>
    <col min="526" max="526" width="3.28515625" style="1109" customWidth="1"/>
    <col min="527" max="527" width="7.5703125" style="1109" customWidth="1"/>
    <col min="528" max="528" width="9.28515625" style="1109" customWidth="1"/>
    <col min="529" max="529" width="8" style="1109" customWidth="1"/>
    <col min="530" max="530" width="10.85546875" style="1109" customWidth="1"/>
    <col min="531" max="531" width="11.28515625" style="1109" customWidth="1"/>
    <col min="532" max="768" width="9.140625" style="1109"/>
    <col min="769" max="769" width="3.7109375" style="1109" customWidth="1"/>
    <col min="770" max="771" width="0" style="1109" hidden="1" customWidth="1"/>
    <col min="772" max="772" width="11.140625" style="1109" customWidth="1"/>
    <col min="773" max="773" width="35.140625" style="1109" customWidth="1"/>
    <col min="774" max="775" width="8" style="1109" customWidth="1"/>
    <col min="776" max="776" width="8.42578125" style="1109" customWidth="1"/>
    <col min="777" max="777" width="8" style="1109" customWidth="1"/>
    <col min="778" max="778" width="8.140625" style="1109" customWidth="1"/>
    <col min="779" max="779" width="8.5703125" style="1109" customWidth="1"/>
    <col min="780" max="780" width="3.42578125" style="1109" customWidth="1"/>
    <col min="781" max="781" width="2.85546875" style="1109" customWidth="1"/>
    <col min="782" max="782" width="3.28515625" style="1109" customWidth="1"/>
    <col min="783" max="783" width="7.5703125" style="1109" customWidth="1"/>
    <col min="784" max="784" width="9.28515625" style="1109" customWidth="1"/>
    <col min="785" max="785" width="8" style="1109" customWidth="1"/>
    <col min="786" max="786" width="10.85546875" style="1109" customWidth="1"/>
    <col min="787" max="787" width="11.28515625" style="1109" customWidth="1"/>
    <col min="788" max="1024" width="9.140625" style="1109"/>
    <col min="1025" max="1025" width="3.7109375" style="1109" customWidth="1"/>
    <col min="1026" max="1027" width="0" style="1109" hidden="1" customWidth="1"/>
    <col min="1028" max="1028" width="11.140625" style="1109" customWidth="1"/>
    <col min="1029" max="1029" width="35.140625" style="1109" customWidth="1"/>
    <col min="1030" max="1031" width="8" style="1109" customWidth="1"/>
    <col min="1032" max="1032" width="8.42578125" style="1109" customWidth="1"/>
    <col min="1033" max="1033" width="8" style="1109" customWidth="1"/>
    <col min="1034" max="1034" width="8.140625" style="1109" customWidth="1"/>
    <col min="1035" max="1035" width="8.5703125" style="1109" customWidth="1"/>
    <col min="1036" max="1036" width="3.42578125" style="1109" customWidth="1"/>
    <col min="1037" max="1037" width="2.85546875" style="1109" customWidth="1"/>
    <col min="1038" max="1038" width="3.28515625" style="1109" customWidth="1"/>
    <col min="1039" max="1039" width="7.5703125" style="1109" customWidth="1"/>
    <col min="1040" max="1040" width="9.28515625" style="1109" customWidth="1"/>
    <col min="1041" max="1041" width="8" style="1109" customWidth="1"/>
    <col min="1042" max="1042" width="10.85546875" style="1109" customWidth="1"/>
    <col min="1043" max="1043" width="11.28515625" style="1109" customWidth="1"/>
    <col min="1044" max="1280" width="9.140625" style="1109"/>
    <col min="1281" max="1281" width="3.7109375" style="1109" customWidth="1"/>
    <col min="1282" max="1283" width="0" style="1109" hidden="1" customWidth="1"/>
    <col min="1284" max="1284" width="11.140625" style="1109" customWidth="1"/>
    <col min="1285" max="1285" width="35.140625" style="1109" customWidth="1"/>
    <col min="1286" max="1287" width="8" style="1109" customWidth="1"/>
    <col min="1288" max="1288" width="8.42578125" style="1109" customWidth="1"/>
    <col min="1289" max="1289" width="8" style="1109" customWidth="1"/>
    <col min="1290" max="1290" width="8.140625" style="1109" customWidth="1"/>
    <col min="1291" max="1291" width="8.5703125" style="1109" customWidth="1"/>
    <col min="1292" max="1292" width="3.42578125" style="1109" customWidth="1"/>
    <col min="1293" max="1293" width="2.85546875" style="1109" customWidth="1"/>
    <col min="1294" max="1294" width="3.28515625" style="1109" customWidth="1"/>
    <col min="1295" max="1295" width="7.5703125" style="1109" customWidth="1"/>
    <col min="1296" max="1296" width="9.28515625" style="1109" customWidth="1"/>
    <col min="1297" max="1297" width="8" style="1109" customWidth="1"/>
    <col min="1298" max="1298" width="10.85546875" style="1109" customWidth="1"/>
    <col min="1299" max="1299" width="11.28515625" style="1109" customWidth="1"/>
    <col min="1300" max="1536" width="9.140625" style="1109"/>
    <col min="1537" max="1537" width="3.7109375" style="1109" customWidth="1"/>
    <col min="1538" max="1539" width="0" style="1109" hidden="1" customWidth="1"/>
    <col min="1540" max="1540" width="11.140625" style="1109" customWidth="1"/>
    <col min="1541" max="1541" width="35.140625" style="1109" customWidth="1"/>
    <col min="1542" max="1543" width="8" style="1109" customWidth="1"/>
    <col min="1544" max="1544" width="8.42578125" style="1109" customWidth="1"/>
    <col min="1545" max="1545" width="8" style="1109" customWidth="1"/>
    <col min="1546" max="1546" width="8.140625" style="1109" customWidth="1"/>
    <col min="1547" max="1547" width="8.5703125" style="1109" customWidth="1"/>
    <col min="1548" max="1548" width="3.42578125" style="1109" customWidth="1"/>
    <col min="1549" max="1549" width="2.85546875" style="1109" customWidth="1"/>
    <col min="1550" max="1550" width="3.28515625" style="1109" customWidth="1"/>
    <col min="1551" max="1551" width="7.5703125" style="1109" customWidth="1"/>
    <col min="1552" max="1552" width="9.28515625" style="1109" customWidth="1"/>
    <col min="1553" max="1553" width="8" style="1109" customWidth="1"/>
    <col min="1554" max="1554" width="10.85546875" style="1109" customWidth="1"/>
    <col min="1555" max="1555" width="11.28515625" style="1109" customWidth="1"/>
    <col min="1556" max="1792" width="9.140625" style="1109"/>
    <col min="1793" max="1793" width="3.7109375" style="1109" customWidth="1"/>
    <col min="1794" max="1795" width="0" style="1109" hidden="1" customWidth="1"/>
    <col min="1796" max="1796" width="11.140625" style="1109" customWidth="1"/>
    <col min="1797" max="1797" width="35.140625" style="1109" customWidth="1"/>
    <col min="1798" max="1799" width="8" style="1109" customWidth="1"/>
    <col min="1800" max="1800" width="8.42578125" style="1109" customWidth="1"/>
    <col min="1801" max="1801" width="8" style="1109" customWidth="1"/>
    <col min="1802" max="1802" width="8.140625" style="1109" customWidth="1"/>
    <col min="1803" max="1803" width="8.5703125" style="1109" customWidth="1"/>
    <col min="1804" max="1804" width="3.42578125" style="1109" customWidth="1"/>
    <col min="1805" max="1805" width="2.85546875" style="1109" customWidth="1"/>
    <col min="1806" max="1806" width="3.28515625" style="1109" customWidth="1"/>
    <col min="1807" max="1807" width="7.5703125" style="1109" customWidth="1"/>
    <col min="1808" max="1808" width="9.28515625" style="1109" customWidth="1"/>
    <col min="1809" max="1809" width="8" style="1109" customWidth="1"/>
    <col min="1810" max="1810" width="10.85546875" style="1109" customWidth="1"/>
    <col min="1811" max="1811" width="11.28515625" style="1109" customWidth="1"/>
    <col min="1812" max="2048" width="9.140625" style="1109"/>
    <col min="2049" max="2049" width="3.7109375" style="1109" customWidth="1"/>
    <col min="2050" max="2051" width="0" style="1109" hidden="1" customWidth="1"/>
    <col min="2052" max="2052" width="11.140625" style="1109" customWidth="1"/>
    <col min="2053" max="2053" width="35.140625" style="1109" customWidth="1"/>
    <col min="2054" max="2055" width="8" style="1109" customWidth="1"/>
    <col min="2056" max="2056" width="8.42578125" style="1109" customWidth="1"/>
    <col min="2057" max="2057" width="8" style="1109" customWidth="1"/>
    <col min="2058" max="2058" width="8.140625" style="1109" customWidth="1"/>
    <col min="2059" max="2059" width="8.5703125" style="1109" customWidth="1"/>
    <col min="2060" max="2060" width="3.42578125" style="1109" customWidth="1"/>
    <col min="2061" max="2061" width="2.85546875" style="1109" customWidth="1"/>
    <col min="2062" max="2062" width="3.28515625" style="1109" customWidth="1"/>
    <col min="2063" max="2063" width="7.5703125" style="1109" customWidth="1"/>
    <col min="2064" max="2064" width="9.28515625" style="1109" customWidth="1"/>
    <col min="2065" max="2065" width="8" style="1109" customWidth="1"/>
    <col min="2066" max="2066" width="10.85546875" style="1109" customWidth="1"/>
    <col min="2067" max="2067" width="11.28515625" style="1109" customWidth="1"/>
    <col min="2068" max="2304" width="9.140625" style="1109"/>
    <col min="2305" max="2305" width="3.7109375" style="1109" customWidth="1"/>
    <col min="2306" max="2307" width="0" style="1109" hidden="1" customWidth="1"/>
    <col min="2308" max="2308" width="11.140625" style="1109" customWidth="1"/>
    <col min="2309" max="2309" width="35.140625" style="1109" customWidth="1"/>
    <col min="2310" max="2311" width="8" style="1109" customWidth="1"/>
    <col min="2312" max="2312" width="8.42578125" style="1109" customWidth="1"/>
    <col min="2313" max="2313" width="8" style="1109" customWidth="1"/>
    <col min="2314" max="2314" width="8.140625" style="1109" customWidth="1"/>
    <col min="2315" max="2315" width="8.5703125" style="1109" customWidth="1"/>
    <col min="2316" max="2316" width="3.42578125" style="1109" customWidth="1"/>
    <col min="2317" max="2317" width="2.85546875" style="1109" customWidth="1"/>
    <col min="2318" max="2318" width="3.28515625" style="1109" customWidth="1"/>
    <col min="2319" max="2319" width="7.5703125" style="1109" customWidth="1"/>
    <col min="2320" max="2320" width="9.28515625" style="1109" customWidth="1"/>
    <col min="2321" max="2321" width="8" style="1109" customWidth="1"/>
    <col min="2322" max="2322" width="10.85546875" style="1109" customWidth="1"/>
    <col min="2323" max="2323" width="11.28515625" style="1109" customWidth="1"/>
    <col min="2324" max="2560" width="9.140625" style="1109"/>
    <col min="2561" max="2561" width="3.7109375" style="1109" customWidth="1"/>
    <col min="2562" max="2563" width="0" style="1109" hidden="1" customWidth="1"/>
    <col min="2564" max="2564" width="11.140625" style="1109" customWidth="1"/>
    <col min="2565" max="2565" width="35.140625" style="1109" customWidth="1"/>
    <col min="2566" max="2567" width="8" style="1109" customWidth="1"/>
    <col min="2568" max="2568" width="8.42578125" style="1109" customWidth="1"/>
    <col min="2569" max="2569" width="8" style="1109" customWidth="1"/>
    <col min="2570" max="2570" width="8.140625" style="1109" customWidth="1"/>
    <col min="2571" max="2571" width="8.5703125" style="1109" customWidth="1"/>
    <col min="2572" max="2572" width="3.42578125" style="1109" customWidth="1"/>
    <col min="2573" max="2573" width="2.85546875" style="1109" customWidth="1"/>
    <col min="2574" max="2574" width="3.28515625" style="1109" customWidth="1"/>
    <col min="2575" max="2575" width="7.5703125" style="1109" customWidth="1"/>
    <col min="2576" max="2576" width="9.28515625" style="1109" customWidth="1"/>
    <col min="2577" max="2577" width="8" style="1109" customWidth="1"/>
    <col min="2578" max="2578" width="10.85546875" style="1109" customWidth="1"/>
    <col min="2579" max="2579" width="11.28515625" style="1109" customWidth="1"/>
    <col min="2580" max="2816" width="9.140625" style="1109"/>
    <col min="2817" max="2817" width="3.7109375" style="1109" customWidth="1"/>
    <col min="2818" max="2819" width="0" style="1109" hidden="1" customWidth="1"/>
    <col min="2820" max="2820" width="11.140625" style="1109" customWidth="1"/>
    <col min="2821" max="2821" width="35.140625" style="1109" customWidth="1"/>
    <col min="2822" max="2823" width="8" style="1109" customWidth="1"/>
    <col min="2824" max="2824" width="8.42578125" style="1109" customWidth="1"/>
    <col min="2825" max="2825" width="8" style="1109" customWidth="1"/>
    <col min="2826" max="2826" width="8.140625" style="1109" customWidth="1"/>
    <col min="2827" max="2827" width="8.5703125" style="1109" customWidth="1"/>
    <col min="2828" max="2828" width="3.42578125" style="1109" customWidth="1"/>
    <col min="2829" max="2829" width="2.85546875" style="1109" customWidth="1"/>
    <col min="2830" max="2830" width="3.28515625" style="1109" customWidth="1"/>
    <col min="2831" max="2831" width="7.5703125" style="1109" customWidth="1"/>
    <col min="2832" max="2832" width="9.28515625" style="1109" customWidth="1"/>
    <col min="2833" max="2833" width="8" style="1109" customWidth="1"/>
    <col min="2834" max="2834" width="10.85546875" style="1109" customWidth="1"/>
    <col min="2835" max="2835" width="11.28515625" style="1109" customWidth="1"/>
    <col min="2836" max="3072" width="9.140625" style="1109"/>
    <col min="3073" max="3073" width="3.7109375" style="1109" customWidth="1"/>
    <col min="3074" max="3075" width="0" style="1109" hidden="1" customWidth="1"/>
    <col min="3076" max="3076" width="11.140625" style="1109" customWidth="1"/>
    <col min="3077" max="3077" width="35.140625" style="1109" customWidth="1"/>
    <col min="3078" max="3079" width="8" style="1109" customWidth="1"/>
    <col min="3080" max="3080" width="8.42578125" style="1109" customWidth="1"/>
    <col min="3081" max="3081" width="8" style="1109" customWidth="1"/>
    <col min="3082" max="3082" width="8.140625" style="1109" customWidth="1"/>
    <col min="3083" max="3083" width="8.5703125" style="1109" customWidth="1"/>
    <col min="3084" max="3084" width="3.42578125" style="1109" customWidth="1"/>
    <col min="3085" max="3085" width="2.85546875" style="1109" customWidth="1"/>
    <col min="3086" max="3086" width="3.28515625" style="1109" customWidth="1"/>
    <col min="3087" max="3087" width="7.5703125" style="1109" customWidth="1"/>
    <col min="3088" max="3088" width="9.28515625" style="1109" customWidth="1"/>
    <col min="3089" max="3089" width="8" style="1109" customWidth="1"/>
    <col min="3090" max="3090" width="10.85546875" style="1109" customWidth="1"/>
    <col min="3091" max="3091" width="11.28515625" style="1109" customWidth="1"/>
    <col min="3092" max="3328" width="9.140625" style="1109"/>
    <col min="3329" max="3329" width="3.7109375" style="1109" customWidth="1"/>
    <col min="3330" max="3331" width="0" style="1109" hidden="1" customWidth="1"/>
    <col min="3332" max="3332" width="11.140625" style="1109" customWidth="1"/>
    <col min="3333" max="3333" width="35.140625" style="1109" customWidth="1"/>
    <col min="3334" max="3335" width="8" style="1109" customWidth="1"/>
    <col min="3336" max="3336" width="8.42578125" style="1109" customWidth="1"/>
    <col min="3337" max="3337" width="8" style="1109" customWidth="1"/>
    <col min="3338" max="3338" width="8.140625" style="1109" customWidth="1"/>
    <col min="3339" max="3339" width="8.5703125" style="1109" customWidth="1"/>
    <col min="3340" max="3340" width="3.42578125" style="1109" customWidth="1"/>
    <col min="3341" max="3341" width="2.85546875" style="1109" customWidth="1"/>
    <col min="3342" max="3342" width="3.28515625" style="1109" customWidth="1"/>
    <col min="3343" max="3343" width="7.5703125" style="1109" customWidth="1"/>
    <col min="3344" max="3344" width="9.28515625" style="1109" customWidth="1"/>
    <col min="3345" max="3345" width="8" style="1109" customWidth="1"/>
    <col min="3346" max="3346" width="10.85546875" style="1109" customWidth="1"/>
    <col min="3347" max="3347" width="11.28515625" style="1109" customWidth="1"/>
    <col min="3348" max="3584" width="9.140625" style="1109"/>
    <col min="3585" max="3585" width="3.7109375" style="1109" customWidth="1"/>
    <col min="3586" max="3587" width="0" style="1109" hidden="1" customWidth="1"/>
    <col min="3588" max="3588" width="11.140625" style="1109" customWidth="1"/>
    <col min="3589" max="3589" width="35.140625" style="1109" customWidth="1"/>
    <col min="3590" max="3591" width="8" style="1109" customWidth="1"/>
    <col min="3592" max="3592" width="8.42578125" style="1109" customWidth="1"/>
    <col min="3593" max="3593" width="8" style="1109" customWidth="1"/>
    <col min="3594" max="3594" width="8.140625" style="1109" customWidth="1"/>
    <col min="3595" max="3595" width="8.5703125" style="1109" customWidth="1"/>
    <col min="3596" max="3596" width="3.42578125" style="1109" customWidth="1"/>
    <col min="3597" max="3597" width="2.85546875" style="1109" customWidth="1"/>
    <col min="3598" max="3598" width="3.28515625" style="1109" customWidth="1"/>
    <col min="3599" max="3599" width="7.5703125" style="1109" customWidth="1"/>
    <col min="3600" max="3600" width="9.28515625" style="1109" customWidth="1"/>
    <col min="3601" max="3601" width="8" style="1109" customWidth="1"/>
    <col min="3602" max="3602" width="10.85546875" style="1109" customWidth="1"/>
    <col min="3603" max="3603" width="11.28515625" style="1109" customWidth="1"/>
    <col min="3604" max="3840" width="9.140625" style="1109"/>
    <col min="3841" max="3841" width="3.7109375" style="1109" customWidth="1"/>
    <col min="3842" max="3843" width="0" style="1109" hidden="1" customWidth="1"/>
    <col min="3844" max="3844" width="11.140625" style="1109" customWidth="1"/>
    <col min="3845" max="3845" width="35.140625" style="1109" customWidth="1"/>
    <col min="3846" max="3847" width="8" style="1109" customWidth="1"/>
    <col min="3848" max="3848" width="8.42578125" style="1109" customWidth="1"/>
    <col min="3849" max="3849" width="8" style="1109" customWidth="1"/>
    <col min="3850" max="3850" width="8.140625" style="1109" customWidth="1"/>
    <col min="3851" max="3851" width="8.5703125" style="1109" customWidth="1"/>
    <col min="3852" max="3852" width="3.42578125" style="1109" customWidth="1"/>
    <col min="3853" max="3853" width="2.85546875" style="1109" customWidth="1"/>
    <col min="3854" max="3854" width="3.28515625" style="1109" customWidth="1"/>
    <col min="3855" max="3855" width="7.5703125" style="1109" customWidth="1"/>
    <col min="3856" max="3856" width="9.28515625" style="1109" customWidth="1"/>
    <col min="3857" max="3857" width="8" style="1109" customWidth="1"/>
    <col min="3858" max="3858" width="10.85546875" style="1109" customWidth="1"/>
    <col min="3859" max="3859" width="11.28515625" style="1109" customWidth="1"/>
    <col min="3860" max="4096" width="9.140625" style="1109"/>
    <col min="4097" max="4097" width="3.7109375" style="1109" customWidth="1"/>
    <col min="4098" max="4099" width="0" style="1109" hidden="1" customWidth="1"/>
    <col min="4100" max="4100" width="11.140625" style="1109" customWidth="1"/>
    <col min="4101" max="4101" width="35.140625" style="1109" customWidth="1"/>
    <col min="4102" max="4103" width="8" style="1109" customWidth="1"/>
    <col min="4104" max="4104" width="8.42578125" style="1109" customWidth="1"/>
    <col min="4105" max="4105" width="8" style="1109" customWidth="1"/>
    <col min="4106" max="4106" width="8.140625" style="1109" customWidth="1"/>
    <col min="4107" max="4107" width="8.5703125" style="1109" customWidth="1"/>
    <col min="4108" max="4108" width="3.42578125" style="1109" customWidth="1"/>
    <col min="4109" max="4109" width="2.85546875" style="1109" customWidth="1"/>
    <col min="4110" max="4110" width="3.28515625" style="1109" customWidth="1"/>
    <col min="4111" max="4111" width="7.5703125" style="1109" customWidth="1"/>
    <col min="4112" max="4112" width="9.28515625" style="1109" customWidth="1"/>
    <col min="4113" max="4113" width="8" style="1109" customWidth="1"/>
    <col min="4114" max="4114" width="10.85546875" style="1109" customWidth="1"/>
    <col min="4115" max="4115" width="11.28515625" style="1109" customWidth="1"/>
    <col min="4116" max="4352" width="9.140625" style="1109"/>
    <col min="4353" max="4353" width="3.7109375" style="1109" customWidth="1"/>
    <col min="4354" max="4355" width="0" style="1109" hidden="1" customWidth="1"/>
    <col min="4356" max="4356" width="11.140625" style="1109" customWidth="1"/>
    <col min="4357" max="4357" width="35.140625" style="1109" customWidth="1"/>
    <col min="4358" max="4359" width="8" style="1109" customWidth="1"/>
    <col min="4360" max="4360" width="8.42578125" style="1109" customWidth="1"/>
    <col min="4361" max="4361" width="8" style="1109" customWidth="1"/>
    <col min="4362" max="4362" width="8.140625" style="1109" customWidth="1"/>
    <col min="4363" max="4363" width="8.5703125" style="1109" customWidth="1"/>
    <col min="4364" max="4364" width="3.42578125" style="1109" customWidth="1"/>
    <col min="4365" max="4365" width="2.85546875" style="1109" customWidth="1"/>
    <col min="4366" max="4366" width="3.28515625" style="1109" customWidth="1"/>
    <col min="4367" max="4367" width="7.5703125" style="1109" customWidth="1"/>
    <col min="4368" max="4368" width="9.28515625" style="1109" customWidth="1"/>
    <col min="4369" max="4369" width="8" style="1109" customWidth="1"/>
    <col min="4370" max="4370" width="10.85546875" style="1109" customWidth="1"/>
    <col min="4371" max="4371" width="11.28515625" style="1109" customWidth="1"/>
    <col min="4372" max="4608" width="9.140625" style="1109"/>
    <col min="4609" max="4609" width="3.7109375" style="1109" customWidth="1"/>
    <col min="4610" max="4611" width="0" style="1109" hidden="1" customWidth="1"/>
    <col min="4612" max="4612" width="11.140625" style="1109" customWidth="1"/>
    <col min="4613" max="4613" width="35.140625" style="1109" customWidth="1"/>
    <col min="4614" max="4615" width="8" style="1109" customWidth="1"/>
    <col min="4616" max="4616" width="8.42578125" style="1109" customWidth="1"/>
    <col min="4617" max="4617" width="8" style="1109" customWidth="1"/>
    <col min="4618" max="4618" width="8.140625" style="1109" customWidth="1"/>
    <col min="4619" max="4619" width="8.5703125" style="1109" customWidth="1"/>
    <col min="4620" max="4620" width="3.42578125" style="1109" customWidth="1"/>
    <col min="4621" max="4621" width="2.85546875" style="1109" customWidth="1"/>
    <col min="4622" max="4622" width="3.28515625" style="1109" customWidth="1"/>
    <col min="4623" max="4623" width="7.5703125" style="1109" customWidth="1"/>
    <col min="4624" max="4624" width="9.28515625" style="1109" customWidth="1"/>
    <col min="4625" max="4625" width="8" style="1109" customWidth="1"/>
    <col min="4626" max="4626" width="10.85546875" style="1109" customWidth="1"/>
    <col min="4627" max="4627" width="11.28515625" style="1109" customWidth="1"/>
    <col min="4628" max="4864" width="9.140625" style="1109"/>
    <col min="4865" max="4865" width="3.7109375" style="1109" customWidth="1"/>
    <col min="4866" max="4867" width="0" style="1109" hidden="1" customWidth="1"/>
    <col min="4868" max="4868" width="11.140625" style="1109" customWidth="1"/>
    <col min="4869" max="4869" width="35.140625" style="1109" customWidth="1"/>
    <col min="4870" max="4871" width="8" style="1109" customWidth="1"/>
    <col min="4872" max="4872" width="8.42578125" style="1109" customWidth="1"/>
    <col min="4873" max="4873" width="8" style="1109" customWidth="1"/>
    <col min="4874" max="4874" width="8.140625" style="1109" customWidth="1"/>
    <col min="4875" max="4875" width="8.5703125" style="1109" customWidth="1"/>
    <col min="4876" max="4876" width="3.42578125" style="1109" customWidth="1"/>
    <col min="4877" max="4877" width="2.85546875" style="1109" customWidth="1"/>
    <col min="4878" max="4878" width="3.28515625" style="1109" customWidth="1"/>
    <col min="4879" max="4879" width="7.5703125" style="1109" customWidth="1"/>
    <col min="4880" max="4880" width="9.28515625" style="1109" customWidth="1"/>
    <col min="4881" max="4881" width="8" style="1109" customWidth="1"/>
    <col min="4882" max="4882" width="10.85546875" style="1109" customWidth="1"/>
    <col min="4883" max="4883" width="11.28515625" style="1109" customWidth="1"/>
    <col min="4884" max="5120" width="9.140625" style="1109"/>
    <col min="5121" max="5121" width="3.7109375" style="1109" customWidth="1"/>
    <col min="5122" max="5123" width="0" style="1109" hidden="1" customWidth="1"/>
    <col min="5124" max="5124" width="11.140625" style="1109" customWidth="1"/>
    <col min="5125" max="5125" width="35.140625" style="1109" customWidth="1"/>
    <col min="5126" max="5127" width="8" style="1109" customWidth="1"/>
    <col min="5128" max="5128" width="8.42578125" style="1109" customWidth="1"/>
    <col min="5129" max="5129" width="8" style="1109" customWidth="1"/>
    <col min="5130" max="5130" width="8.140625" style="1109" customWidth="1"/>
    <col min="5131" max="5131" width="8.5703125" style="1109" customWidth="1"/>
    <col min="5132" max="5132" width="3.42578125" style="1109" customWidth="1"/>
    <col min="5133" max="5133" width="2.85546875" style="1109" customWidth="1"/>
    <col min="5134" max="5134" width="3.28515625" style="1109" customWidth="1"/>
    <col min="5135" max="5135" width="7.5703125" style="1109" customWidth="1"/>
    <col min="5136" max="5136" width="9.28515625" style="1109" customWidth="1"/>
    <col min="5137" max="5137" width="8" style="1109" customWidth="1"/>
    <col min="5138" max="5138" width="10.85546875" style="1109" customWidth="1"/>
    <col min="5139" max="5139" width="11.28515625" style="1109" customWidth="1"/>
    <col min="5140" max="5376" width="9.140625" style="1109"/>
    <col min="5377" max="5377" width="3.7109375" style="1109" customWidth="1"/>
    <col min="5378" max="5379" width="0" style="1109" hidden="1" customWidth="1"/>
    <col min="5380" max="5380" width="11.140625" style="1109" customWidth="1"/>
    <col min="5381" max="5381" width="35.140625" style="1109" customWidth="1"/>
    <col min="5382" max="5383" width="8" style="1109" customWidth="1"/>
    <col min="5384" max="5384" width="8.42578125" style="1109" customWidth="1"/>
    <col min="5385" max="5385" width="8" style="1109" customWidth="1"/>
    <col min="5386" max="5386" width="8.140625" style="1109" customWidth="1"/>
    <col min="5387" max="5387" width="8.5703125" style="1109" customWidth="1"/>
    <col min="5388" max="5388" width="3.42578125" style="1109" customWidth="1"/>
    <col min="5389" max="5389" width="2.85546875" style="1109" customWidth="1"/>
    <col min="5390" max="5390" width="3.28515625" style="1109" customWidth="1"/>
    <col min="5391" max="5391" width="7.5703125" style="1109" customWidth="1"/>
    <col min="5392" max="5392" width="9.28515625" style="1109" customWidth="1"/>
    <col min="5393" max="5393" width="8" style="1109" customWidth="1"/>
    <col min="5394" max="5394" width="10.85546875" style="1109" customWidth="1"/>
    <col min="5395" max="5395" width="11.28515625" style="1109" customWidth="1"/>
    <col min="5396" max="5632" width="9.140625" style="1109"/>
    <col min="5633" max="5633" width="3.7109375" style="1109" customWidth="1"/>
    <col min="5634" max="5635" width="0" style="1109" hidden="1" customWidth="1"/>
    <col min="5636" max="5636" width="11.140625" style="1109" customWidth="1"/>
    <col min="5637" max="5637" width="35.140625" style="1109" customWidth="1"/>
    <col min="5638" max="5639" width="8" style="1109" customWidth="1"/>
    <col min="5640" max="5640" width="8.42578125" style="1109" customWidth="1"/>
    <col min="5641" max="5641" width="8" style="1109" customWidth="1"/>
    <col min="5642" max="5642" width="8.140625" style="1109" customWidth="1"/>
    <col min="5643" max="5643" width="8.5703125" style="1109" customWidth="1"/>
    <col min="5644" max="5644" width="3.42578125" style="1109" customWidth="1"/>
    <col min="5645" max="5645" width="2.85546875" style="1109" customWidth="1"/>
    <col min="5646" max="5646" width="3.28515625" style="1109" customWidth="1"/>
    <col min="5647" max="5647" width="7.5703125" style="1109" customWidth="1"/>
    <col min="5648" max="5648" width="9.28515625" style="1109" customWidth="1"/>
    <col min="5649" max="5649" width="8" style="1109" customWidth="1"/>
    <col min="5650" max="5650" width="10.85546875" style="1109" customWidth="1"/>
    <col min="5651" max="5651" width="11.28515625" style="1109" customWidth="1"/>
    <col min="5652" max="5888" width="9.140625" style="1109"/>
    <col min="5889" max="5889" width="3.7109375" style="1109" customWidth="1"/>
    <col min="5890" max="5891" width="0" style="1109" hidden="1" customWidth="1"/>
    <col min="5892" max="5892" width="11.140625" style="1109" customWidth="1"/>
    <col min="5893" max="5893" width="35.140625" style="1109" customWidth="1"/>
    <col min="5894" max="5895" width="8" style="1109" customWidth="1"/>
    <col min="5896" max="5896" width="8.42578125" style="1109" customWidth="1"/>
    <col min="5897" max="5897" width="8" style="1109" customWidth="1"/>
    <col min="5898" max="5898" width="8.140625" style="1109" customWidth="1"/>
    <col min="5899" max="5899" width="8.5703125" style="1109" customWidth="1"/>
    <col min="5900" max="5900" width="3.42578125" style="1109" customWidth="1"/>
    <col min="5901" max="5901" width="2.85546875" style="1109" customWidth="1"/>
    <col min="5902" max="5902" width="3.28515625" style="1109" customWidth="1"/>
    <col min="5903" max="5903" width="7.5703125" style="1109" customWidth="1"/>
    <col min="5904" max="5904" width="9.28515625" style="1109" customWidth="1"/>
    <col min="5905" max="5905" width="8" style="1109" customWidth="1"/>
    <col min="5906" max="5906" width="10.85546875" style="1109" customWidth="1"/>
    <col min="5907" max="5907" width="11.28515625" style="1109" customWidth="1"/>
    <col min="5908" max="6144" width="9.140625" style="1109"/>
    <col min="6145" max="6145" width="3.7109375" style="1109" customWidth="1"/>
    <col min="6146" max="6147" width="0" style="1109" hidden="1" customWidth="1"/>
    <col min="6148" max="6148" width="11.140625" style="1109" customWidth="1"/>
    <col min="6149" max="6149" width="35.140625" style="1109" customWidth="1"/>
    <col min="6150" max="6151" width="8" style="1109" customWidth="1"/>
    <col min="6152" max="6152" width="8.42578125" style="1109" customWidth="1"/>
    <col min="6153" max="6153" width="8" style="1109" customWidth="1"/>
    <col min="6154" max="6154" width="8.140625" style="1109" customWidth="1"/>
    <col min="6155" max="6155" width="8.5703125" style="1109" customWidth="1"/>
    <col min="6156" max="6156" width="3.42578125" style="1109" customWidth="1"/>
    <col min="6157" max="6157" width="2.85546875" style="1109" customWidth="1"/>
    <col min="6158" max="6158" width="3.28515625" style="1109" customWidth="1"/>
    <col min="6159" max="6159" width="7.5703125" style="1109" customWidth="1"/>
    <col min="6160" max="6160" width="9.28515625" style="1109" customWidth="1"/>
    <col min="6161" max="6161" width="8" style="1109" customWidth="1"/>
    <col min="6162" max="6162" width="10.85546875" style="1109" customWidth="1"/>
    <col min="6163" max="6163" width="11.28515625" style="1109" customWidth="1"/>
    <col min="6164" max="6400" width="9.140625" style="1109"/>
    <col min="6401" max="6401" width="3.7109375" style="1109" customWidth="1"/>
    <col min="6402" max="6403" width="0" style="1109" hidden="1" customWidth="1"/>
    <col min="6404" max="6404" width="11.140625" style="1109" customWidth="1"/>
    <col min="6405" max="6405" width="35.140625" style="1109" customWidth="1"/>
    <col min="6406" max="6407" width="8" style="1109" customWidth="1"/>
    <col min="6408" max="6408" width="8.42578125" style="1109" customWidth="1"/>
    <col min="6409" max="6409" width="8" style="1109" customWidth="1"/>
    <col min="6410" max="6410" width="8.140625" style="1109" customWidth="1"/>
    <col min="6411" max="6411" width="8.5703125" style="1109" customWidth="1"/>
    <col min="6412" max="6412" width="3.42578125" style="1109" customWidth="1"/>
    <col min="6413" max="6413" width="2.85546875" style="1109" customWidth="1"/>
    <col min="6414" max="6414" width="3.28515625" style="1109" customWidth="1"/>
    <col min="6415" max="6415" width="7.5703125" style="1109" customWidth="1"/>
    <col min="6416" max="6416" width="9.28515625" style="1109" customWidth="1"/>
    <col min="6417" max="6417" width="8" style="1109" customWidth="1"/>
    <col min="6418" max="6418" width="10.85546875" style="1109" customWidth="1"/>
    <col min="6419" max="6419" width="11.28515625" style="1109" customWidth="1"/>
    <col min="6420" max="6656" width="9.140625" style="1109"/>
    <col min="6657" max="6657" width="3.7109375" style="1109" customWidth="1"/>
    <col min="6658" max="6659" width="0" style="1109" hidden="1" customWidth="1"/>
    <col min="6660" max="6660" width="11.140625" style="1109" customWidth="1"/>
    <col min="6661" max="6661" width="35.140625" style="1109" customWidth="1"/>
    <col min="6662" max="6663" width="8" style="1109" customWidth="1"/>
    <col min="6664" max="6664" width="8.42578125" style="1109" customWidth="1"/>
    <col min="6665" max="6665" width="8" style="1109" customWidth="1"/>
    <col min="6666" max="6666" width="8.140625" style="1109" customWidth="1"/>
    <col min="6667" max="6667" width="8.5703125" style="1109" customWidth="1"/>
    <col min="6668" max="6668" width="3.42578125" style="1109" customWidth="1"/>
    <col min="6669" max="6669" width="2.85546875" style="1109" customWidth="1"/>
    <col min="6670" max="6670" width="3.28515625" style="1109" customWidth="1"/>
    <col min="6671" max="6671" width="7.5703125" style="1109" customWidth="1"/>
    <col min="6672" max="6672" width="9.28515625" style="1109" customWidth="1"/>
    <col min="6673" max="6673" width="8" style="1109" customWidth="1"/>
    <col min="6674" max="6674" width="10.85546875" style="1109" customWidth="1"/>
    <col min="6675" max="6675" width="11.28515625" style="1109" customWidth="1"/>
    <col min="6676" max="6912" width="9.140625" style="1109"/>
    <col min="6913" max="6913" width="3.7109375" style="1109" customWidth="1"/>
    <col min="6914" max="6915" width="0" style="1109" hidden="1" customWidth="1"/>
    <col min="6916" max="6916" width="11.140625" style="1109" customWidth="1"/>
    <col min="6917" max="6917" width="35.140625" style="1109" customWidth="1"/>
    <col min="6918" max="6919" width="8" style="1109" customWidth="1"/>
    <col min="6920" max="6920" width="8.42578125" style="1109" customWidth="1"/>
    <col min="6921" max="6921" width="8" style="1109" customWidth="1"/>
    <col min="6922" max="6922" width="8.140625" style="1109" customWidth="1"/>
    <col min="6923" max="6923" width="8.5703125" style="1109" customWidth="1"/>
    <col min="6924" max="6924" width="3.42578125" style="1109" customWidth="1"/>
    <col min="6925" max="6925" width="2.85546875" style="1109" customWidth="1"/>
    <col min="6926" max="6926" width="3.28515625" style="1109" customWidth="1"/>
    <col min="6927" max="6927" width="7.5703125" style="1109" customWidth="1"/>
    <col min="6928" max="6928" width="9.28515625" style="1109" customWidth="1"/>
    <col min="6929" max="6929" width="8" style="1109" customWidth="1"/>
    <col min="6930" max="6930" width="10.85546875" style="1109" customWidth="1"/>
    <col min="6931" max="6931" width="11.28515625" style="1109" customWidth="1"/>
    <col min="6932" max="7168" width="9.140625" style="1109"/>
    <col min="7169" max="7169" width="3.7109375" style="1109" customWidth="1"/>
    <col min="7170" max="7171" width="0" style="1109" hidden="1" customWidth="1"/>
    <col min="7172" max="7172" width="11.140625" style="1109" customWidth="1"/>
    <col min="7173" max="7173" width="35.140625" style="1109" customWidth="1"/>
    <col min="7174" max="7175" width="8" style="1109" customWidth="1"/>
    <col min="7176" max="7176" width="8.42578125" style="1109" customWidth="1"/>
    <col min="7177" max="7177" width="8" style="1109" customWidth="1"/>
    <col min="7178" max="7178" width="8.140625" style="1109" customWidth="1"/>
    <col min="7179" max="7179" width="8.5703125" style="1109" customWidth="1"/>
    <col min="7180" max="7180" width="3.42578125" style="1109" customWidth="1"/>
    <col min="7181" max="7181" width="2.85546875" style="1109" customWidth="1"/>
    <col min="7182" max="7182" width="3.28515625" style="1109" customWidth="1"/>
    <col min="7183" max="7183" width="7.5703125" style="1109" customWidth="1"/>
    <col min="7184" max="7184" width="9.28515625" style="1109" customWidth="1"/>
    <col min="7185" max="7185" width="8" style="1109" customWidth="1"/>
    <col min="7186" max="7186" width="10.85546875" style="1109" customWidth="1"/>
    <col min="7187" max="7187" width="11.28515625" style="1109" customWidth="1"/>
    <col min="7188" max="7424" width="9.140625" style="1109"/>
    <col min="7425" max="7425" width="3.7109375" style="1109" customWidth="1"/>
    <col min="7426" max="7427" width="0" style="1109" hidden="1" customWidth="1"/>
    <col min="7428" max="7428" width="11.140625" style="1109" customWidth="1"/>
    <col min="7429" max="7429" width="35.140625" style="1109" customWidth="1"/>
    <col min="7430" max="7431" width="8" style="1109" customWidth="1"/>
    <col min="7432" max="7432" width="8.42578125" style="1109" customWidth="1"/>
    <col min="7433" max="7433" width="8" style="1109" customWidth="1"/>
    <col min="7434" max="7434" width="8.140625" style="1109" customWidth="1"/>
    <col min="7435" max="7435" width="8.5703125" style="1109" customWidth="1"/>
    <col min="7436" max="7436" width="3.42578125" style="1109" customWidth="1"/>
    <col min="7437" max="7437" width="2.85546875" style="1109" customWidth="1"/>
    <col min="7438" max="7438" width="3.28515625" style="1109" customWidth="1"/>
    <col min="7439" max="7439" width="7.5703125" style="1109" customWidth="1"/>
    <col min="7440" max="7440" width="9.28515625" style="1109" customWidth="1"/>
    <col min="7441" max="7441" width="8" style="1109" customWidth="1"/>
    <col min="7442" max="7442" width="10.85546875" style="1109" customWidth="1"/>
    <col min="7443" max="7443" width="11.28515625" style="1109" customWidth="1"/>
    <col min="7444" max="7680" width="9.140625" style="1109"/>
    <col min="7681" max="7681" width="3.7109375" style="1109" customWidth="1"/>
    <col min="7682" max="7683" width="0" style="1109" hidden="1" customWidth="1"/>
    <col min="7684" max="7684" width="11.140625" style="1109" customWidth="1"/>
    <col min="7685" max="7685" width="35.140625" style="1109" customWidth="1"/>
    <col min="7686" max="7687" width="8" style="1109" customWidth="1"/>
    <col min="7688" max="7688" width="8.42578125" style="1109" customWidth="1"/>
    <col min="7689" max="7689" width="8" style="1109" customWidth="1"/>
    <col min="7690" max="7690" width="8.140625" style="1109" customWidth="1"/>
    <col min="7691" max="7691" width="8.5703125" style="1109" customWidth="1"/>
    <col min="7692" max="7692" width="3.42578125" style="1109" customWidth="1"/>
    <col min="7693" max="7693" width="2.85546875" style="1109" customWidth="1"/>
    <col min="7694" max="7694" width="3.28515625" style="1109" customWidth="1"/>
    <col min="7695" max="7695" width="7.5703125" style="1109" customWidth="1"/>
    <col min="7696" max="7696" width="9.28515625" style="1109" customWidth="1"/>
    <col min="7697" max="7697" width="8" style="1109" customWidth="1"/>
    <col min="7698" max="7698" width="10.85546875" style="1109" customWidth="1"/>
    <col min="7699" max="7699" width="11.28515625" style="1109" customWidth="1"/>
    <col min="7700" max="7936" width="9.140625" style="1109"/>
    <col min="7937" max="7937" width="3.7109375" style="1109" customWidth="1"/>
    <col min="7938" max="7939" width="0" style="1109" hidden="1" customWidth="1"/>
    <col min="7940" max="7940" width="11.140625" style="1109" customWidth="1"/>
    <col min="7941" max="7941" width="35.140625" style="1109" customWidth="1"/>
    <col min="7942" max="7943" width="8" style="1109" customWidth="1"/>
    <col min="7944" max="7944" width="8.42578125" style="1109" customWidth="1"/>
    <col min="7945" max="7945" width="8" style="1109" customWidth="1"/>
    <col min="7946" max="7946" width="8.140625" style="1109" customWidth="1"/>
    <col min="7947" max="7947" width="8.5703125" style="1109" customWidth="1"/>
    <col min="7948" max="7948" width="3.42578125" style="1109" customWidth="1"/>
    <col min="7949" max="7949" width="2.85546875" style="1109" customWidth="1"/>
    <col min="7950" max="7950" width="3.28515625" style="1109" customWidth="1"/>
    <col min="7951" max="7951" width="7.5703125" style="1109" customWidth="1"/>
    <col min="7952" max="7952" width="9.28515625" style="1109" customWidth="1"/>
    <col min="7953" max="7953" width="8" style="1109" customWidth="1"/>
    <col min="7954" max="7954" width="10.85546875" style="1109" customWidth="1"/>
    <col min="7955" max="7955" width="11.28515625" style="1109" customWidth="1"/>
    <col min="7956" max="8192" width="9.140625" style="1109"/>
    <col min="8193" max="8193" width="3.7109375" style="1109" customWidth="1"/>
    <col min="8194" max="8195" width="0" style="1109" hidden="1" customWidth="1"/>
    <col min="8196" max="8196" width="11.140625" style="1109" customWidth="1"/>
    <col min="8197" max="8197" width="35.140625" style="1109" customWidth="1"/>
    <col min="8198" max="8199" width="8" style="1109" customWidth="1"/>
    <col min="8200" max="8200" width="8.42578125" style="1109" customWidth="1"/>
    <col min="8201" max="8201" width="8" style="1109" customWidth="1"/>
    <col min="8202" max="8202" width="8.140625" style="1109" customWidth="1"/>
    <col min="8203" max="8203" width="8.5703125" style="1109" customWidth="1"/>
    <col min="8204" max="8204" width="3.42578125" style="1109" customWidth="1"/>
    <col min="8205" max="8205" width="2.85546875" style="1109" customWidth="1"/>
    <col min="8206" max="8206" width="3.28515625" style="1109" customWidth="1"/>
    <col min="8207" max="8207" width="7.5703125" style="1109" customWidth="1"/>
    <col min="8208" max="8208" width="9.28515625" style="1109" customWidth="1"/>
    <col min="8209" max="8209" width="8" style="1109" customWidth="1"/>
    <col min="8210" max="8210" width="10.85546875" style="1109" customWidth="1"/>
    <col min="8211" max="8211" width="11.28515625" style="1109" customWidth="1"/>
    <col min="8212" max="8448" width="9.140625" style="1109"/>
    <col min="8449" max="8449" width="3.7109375" style="1109" customWidth="1"/>
    <col min="8450" max="8451" width="0" style="1109" hidden="1" customWidth="1"/>
    <col min="8452" max="8452" width="11.140625" style="1109" customWidth="1"/>
    <col min="8453" max="8453" width="35.140625" style="1109" customWidth="1"/>
    <col min="8454" max="8455" width="8" style="1109" customWidth="1"/>
    <col min="8456" max="8456" width="8.42578125" style="1109" customWidth="1"/>
    <col min="8457" max="8457" width="8" style="1109" customWidth="1"/>
    <col min="8458" max="8458" width="8.140625" style="1109" customWidth="1"/>
    <col min="8459" max="8459" width="8.5703125" style="1109" customWidth="1"/>
    <col min="8460" max="8460" width="3.42578125" style="1109" customWidth="1"/>
    <col min="8461" max="8461" width="2.85546875" style="1109" customWidth="1"/>
    <col min="8462" max="8462" width="3.28515625" style="1109" customWidth="1"/>
    <col min="8463" max="8463" width="7.5703125" style="1109" customWidth="1"/>
    <col min="8464" max="8464" width="9.28515625" style="1109" customWidth="1"/>
    <col min="8465" max="8465" width="8" style="1109" customWidth="1"/>
    <col min="8466" max="8466" width="10.85546875" style="1109" customWidth="1"/>
    <col min="8467" max="8467" width="11.28515625" style="1109" customWidth="1"/>
    <col min="8468" max="8704" width="9.140625" style="1109"/>
    <col min="8705" max="8705" width="3.7109375" style="1109" customWidth="1"/>
    <col min="8706" max="8707" width="0" style="1109" hidden="1" customWidth="1"/>
    <col min="8708" max="8708" width="11.140625" style="1109" customWidth="1"/>
    <col min="8709" max="8709" width="35.140625" style="1109" customWidth="1"/>
    <col min="8710" max="8711" width="8" style="1109" customWidth="1"/>
    <col min="8712" max="8712" width="8.42578125" style="1109" customWidth="1"/>
    <col min="8713" max="8713" width="8" style="1109" customWidth="1"/>
    <col min="8714" max="8714" width="8.140625" style="1109" customWidth="1"/>
    <col min="8715" max="8715" width="8.5703125" style="1109" customWidth="1"/>
    <col min="8716" max="8716" width="3.42578125" style="1109" customWidth="1"/>
    <col min="8717" max="8717" width="2.85546875" style="1109" customWidth="1"/>
    <col min="8718" max="8718" width="3.28515625" style="1109" customWidth="1"/>
    <col min="8719" max="8719" width="7.5703125" style="1109" customWidth="1"/>
    <col min="8720" max="8720" width="9.28515625" style="1109" customWidth="1"/>
    <col min="8721" max="8721" width="8" style="1109" customWidth="1"/>
    <col min="8722" max="8722" width="10.85546875" style="1109" customWidth="1"/>
    <col min="8723" max="8723" width="11.28515625" style="1109" customWidth="1"/>
    <col min="8724" max="8960" width="9.140625" style="1109"/>
    <col min="8961" max="8961" width="3.7109375" style="1109" customWidth="1"/>
    <col min="8962" max="8963" width="0" style="1109" hidden="1" customWidth="1"/>
    <col min="8964" max="8964" width="11.140625" style="1109" customWidth="1"/>
    <col min="8965" max="8965" width="35.140625" style="1109" customWidth="1"/>
    <col min="8966" max="8967" width="8" style="1109" customWidth="1"/>
    <col min="8968" max="8968" width="8.42578125" style="1109" customWidth="1"/>
    <col min="8969" max="8969" width="8" style="1109" customWidth="1"/>
    <col min="8970" max="8970" width="8.140625" style="1109" customWidth="1"/>
    <col min="8971" max="8971" width="8.5703125" style="1109" customWidth="1"/>
    <col min="8972" max="8972" width="3.42578125" style="1109" customWidth="1"/>
    <col min="8973" max="8973" width="2.85546875" style="1109" customWidth="1"/>
    <col min="8974" max="8974" width="3.28515625" style="1109" customWidth="1"/>
    <col min="8975" max="8975" width="7.5703125" style="1109" customWidth="1"/>
    <col min="8976" max="8976" width="9.28515625" style="1109" customWidth="1"/>
    <col min="8977" max="8977" width="8" style="1109" customWidth="1"/>
    <col min="8978" max="8978" width="10.85546875" style="1109" customWidth="1"/>
    <col min="8979" max="8979" width="11.28515625" style="1109" customWidth="1"/>
    <col min="8980" max="9216" width="9.140625" style="1109"/>
    <col min="9217" max="9217" width="3.7109375" style="1109" customWidth="1"/>
    <col min="9218" max="9219" width="0" style="1109" hidden="1" customWidth="1"/>
    <col min="9220" max="9220" width="11.140625" style="1109" customWidth="1"/>
    <col min="9221" max="9221" width="35.140625" style="1109" customWidth="1"/>
    <col min="9222" max="9223" width="8" style="1109" customWidth="1"/>
    <col min="9224" max="9224" width="8.42578125" style="1109" customWidth="1"/>
    <col min="9225" max="9225" width="8" style="1109" customWidth="1"/>
    <col min="9226" max="9226" width="8.140625" style="1109" customWidth="1"/>
    <col min="9227" max="9227" width="8.5703125" style="1109" customWidth="1"/>
    <col min="9228" max="9228" width="3.42578125" style="1109" customWidth="1"/>
    <col min="9229" max="9229" width="2.85546875" style="1109" customWidth="1"/>
    <col min="9230" max="9230" width="3.28515625" style="1109" customWidth="1"/>
    <col min="9231" max="9231" width="7.5703125" style="1109" customWidth="1"/>
    <col min="9232" max="9232" width="9.28515625" style="1109" customWidth="1"/>
    <col min="9233" max="9233" width="8" style="1109" customWidth="1"/>
    <col min="9234" max="9234" width="10.85546875" style="1109" customWidth="1"/>
    <col min="9235" max="9235" width="11.28515625" style="1109" customWidth="1"/>
    <col min="9236" max="9472" width="9.140625" style="1109"/>
    <col min="9473" max="9473" width="3.7109375" style="1109" customWidth="1"/>
    <col min="9474" max="9475" width="0" style="1109" hidden="1" customWidth="1"/>
    <col min="9476" max="9476" width="11.140625" style="1109" customWidth="1"/>
    <col min="9477" max="9477" width="35.140625" style="1109" customWidth="1"/>
    <col min="9478" max="9479" width="8" style="1109" customWidth="1"/>
    <col min="9480" max="9480" width="8.42578125" style="1109" customWidth="1"/>
    <col min="9481" max="9481" width="8" style="1109" customWidth="1"/>
    <col min="9482" max="9482" width="8.140625" style="1109" customWidth="1"/>
    <col min="9483" max="9483" width="8.5703125" style="1109" customWidth="1"/>
    <col min="9484" max="9484" width="3.42578125" style="1109" customWidth="1"/>
    <col min="9485" max="9485" width="2.85546875" style="1109" customWidth="1"/>
    <col min="9486" max="9486" width="3.28515625" style="1109" customWidth="1"/>
    <col min="9487" max="9487" width="7.5703125" style="1109" customWidth="1"/>
    <col min="9488" max="9488" width="9.28515625" style="1109" customWidth="1"/>
    <col min="9489" max="9489" width="8" style="1109" customWidth="1"/>
    <col min="9490" max="9490" width="10.85546875" style="1109" customWidth="1"/>
    <col min="9491" max="9491" width="11.28515625" style="1109" customWidth="1"/>
    <col min="9492" max="9728" width="9.140625" style="1109"/>
    <col min="9729" max="9729" width="3.7109375" style="1109" customWidth="1"/>
    <col min="9730" max="9731" width="0" style="1109" hidden="1" customWidth="1"/>
    <col min="9732" max="9732" width="11.140625" style="1109" customWidth="1"/>
    <col min="9733" max="9733" width="35.140625" style="1109" customWidth="1"/>
    <col min="9734" max="9735" width="8" style="1109" customWidth="1"/>
    <col min="9736" max="9736" width="8.42578125" style="1109" customWidth="1"/>
    <col min="9737" max="9737" width="8" style="1109" customWidth="1"/>
    <col min="9738" max="9738" width="8.140625" style="1109" customWidth="1"/>
    <col min="9739" max="9739" width="8.5703125" style="1109" customWidth="1"/>
    <col min="9740" max="9740" width="3.42578125" style="1109" customWidth="1"/>
    <col min="9741" max="9741" width="2.85546875" style="1109" customWidth="1"/>
    <col min="9742" max="9742" width="3.28515625" style="1109" customWidth="1"/>
    <col min="9743" max="9743" width="7.5703125" style="1109" customWidth="1"/>
    <col min="9744" max="9744" width="9.28515625" style="1109" customWidth="1"/>
    <col min="9745" max="9745" width="8" style="1109" customWidth="1"/>
    <col min="9746" max="9746" width="10.85546875" style="1109" customWidth="1"/>
    <col min="9747" max="9747" width="11.28515625" style="1109" customWidth="1"/>
    <col min="9748" max="9984" width="9.140625" style="1109"/>
    <col min="9985" max="9985" width="3.7109375" style="1109" customWidth="1"/>
    <col min="9986" max="9987" width="0" style="1109" hidden="1" customWidth="1"/>
    <col min="9988" max="9988" width="11.140625" style="1109" customWidth="1"/>
    <col min="9989" max="9989" width="35.140625" style="1109" customWidth="1"/>
    <col min="9990" max="9991" width="8" style="1109" customWidth="1"/>
    <col min="9992" max="9992" width="8.42578125" style="1109" customWidth="1"/>
    <col min="9993" max="9993" width="8" style="1109" customWidth="1"/>
    <col min="9994" max="9994" width="8.140625" style="1109" customWidth="1"/>
    <col min="9995" max="9995" width="8.5703125" style="1109" customWidth="1"/>
    <col min="9996" max="9996" width="3.42578125" style="1109" customWidth="1"/>
    <col min="9997" max="9997" width="2.85546875" style="1109" customWidth="1"/>
    <col min="9998" max="9998" width="3.28515625" style="1109" customWidth="1"/>
    <col min="9999" max="9999" width="7.5703125" style="1109" customWidth="1"/>
    <col min="10000" max="10000" width="9.28515625" style="1109" customWidth="1"/>
    <col min="10001" max="10001" width="8" style="1109" customWidth="1"/>
    <col min="10002" max="10002" width="10.85546875" style="1109" customWidth="1"/>
    <col min="10003" max="10003" width="11.28515625" style="1109" customWidth="1"/>
    <col min="10004" max="10240" width="9.140625" style="1109"/>
    <col min="10241" max="10241" width="3.7109375" style="1109" customWidth="1"/>
    <col min="10242" max="10243" width="0" style="1109" hidden="1" customWidth="1"/>
    <col min="10244" max="10244" width="11.140625" style="1109" customWidth="1"/>
    <col min="10245" max="10245" width="35.140625" style="1109" customWidth="1"/>
    <col min="10246" max="10247" width="8" style="1109" customWidth="1"/>
    <col min="10248" max="10248" width="8.42578125" style="1109" customWidth="1"/>
    <col min="10249" max="10249" width="8" style="1109" customWidth="1"/>
    <col min="10250" max="10250" width="8.140625" style="1109" customWidth="1"/>
    <col min="10251" max="10251" width="8.5703125" style="1109" customWidth="1"/>
    <col min="10252" max="10252" width="3.42578125" style="1109" customWidth="1"/>
    <col min="10253" max="10253" width="2.85546875" style="1109" customWidth="1"/>
    <col min="10254" max="10254" width="3.28515625" style="1109" customWidth="1"/>
    <col min="10255" max="10255" width="7.5703125" style="1109" customWidth="1"/>
    <col min="10256" max="10256" width="9.28515625" style="1109" customWidth="1"/>
    <col min="10257" max="10257" width="8" style="1109" customWidth="1"/>
    <col min="10258" max="10258" width="10.85546875" style="1109" customWidth="1"/>
    <col min="10259" max="10259" width="11.28515625" style="1109" customWidth="1"/>
    <col min="10260" max="10496" width="9.140625" style="1109"/>
    <col min="10497" max="10497" width="3.7109375" style="1109" customWidth="1"/>
    <col min="10498" max="10499" width="0" style="1109" hidden="1" customWidth="1"/>
    <col min="10500" max="10500" width="11.140625" style="1109" customWidth="1"/>
    <col min="10501" max="10501" width="35.140625" style="1109" customWidth="1"/>
    <col min="10502" max="10503" width="8" style="1109" customWidth="1"/>
    <col min="10504" max="10504" width="8.42578125" style="1109" customWidth="1"/>
    <col min="10505" max="10505" width="8" style="1109" customWidth="1"/>
    <col min="10506" max="10506" width="8.140625" style="1109" customWidth="1"/>
    <col min="10507" max="10507" width="8.5703125" style="1109" customWidth="1"/>
    <col min="10508" max="10508" width="3.42578125" style="1109" customWidth="1"/>
    <col min="10509" max="10509" width="2.85546875" style="1109" customWidth="1"/>
    <col min="10510" max="10510" width="3.28515625" style="1109" customWidth="1"/>
    <col min="10511" max="10511" width="7.5703125" style="1109" customWidth="1"/>
    <col min="10512" max="10512" width="9.28515625" style="1109" customWidth="1"/>
    <col min="10513" max="10513" width="8" style="1109" customWidth="1"/>
    <col min="10514" max="10514" width="10.85546875" style="1109" customWidth="1"/>
    <col min="10515" max="10515" width="11.28515625" style="1109" customWidth="1"/>
    <col min="10516" max="10752" width="9.140625" style="1109"/>
    <col min="10753" max="10753" width="3.7109375" style="1109" customWidth="1"/>
    <col min="10754" max="10755" width="0" style="1109" hidden="1" customWidth="1"/>
    <col min="10756" max="10756" width="11.140625" style="1109" customWidth="1"/>
    <col min="10757" max="10757" width="35.140625" style="1109" customWidth="1"/>
    <col min="10758" max="10759" width="8" style="1109" customWidth="1"/>
    <col min="10760" max="10760" width="8.42578125" style="1109" customWidth="1"/>
    <col min="10761" max="10761" width="8" style="1109" customWidth="1"/>
    <col min="10762" max="10762" width="8.140625" style="1109" customWidth="1"/>
    <col min="10763" max="10763" width="8.5703125" style="1109" customWidth="1"/>
    <col min="10764" max="10764" width="3.42578125" style="1109" customWidth="1"/>
    <col min="10765" max="10765" width="2.85546875" style="1109" customWidth="1"/>
    <col min="10766" max="10766" width="3.28515625" style="1109" customWidth="1"/>
    <col min="10767" max="10767" width="7.5703125" style="1109" customWidth="1"/>
    <col min="10768" max="10768" width="9.28515625" style="1109" customWidth="1"/>
    <col min="10769" max="10769" width="8" style="1109" customWidth="1"/>
    <col min="10770" max="10770" width="10.85546875" style="1109" customWidth="1"/>
    <col min="10771" max="10771" width="11.28515625" style="1109" customWidth="1"/>
    <col min="10772" max="11008" width="9.140625" style="1109"/>
    <col min="11009" max="11009" width="3.7109375" style="1109" customWidth="1"/>
    <col min="11010" max="11011" width="0" style="1109" hidden="1" customWidth="1"/>
    <col min="11012" max="11012" width="11.140625" style="1109" customWidth="1"/>
    <col min="11013" max="11013" width="35.140625" style="1109" customWidth="1"/>
    <col min="11014" max="11015" width="8" style="1109" customWidth="1"/>
    <col min="11016" max="11016" width="8.42578125" style="1109" customWidth="1"/>
    <col min="11017" max="11017" width="8" style="1109" customWidth="1"/>
    <col min="11018" max="11018" width="8.140625" style="1109" customWidth="1"/>
    <col min="11019" max="11019" width="8.5703125" style="1109" customWidth="1"/>
    <col min="11020" max="11020" width="3.42578125" style="1109" customWidth="1"/>
    <col min="11021" max="11021" width="2.85546875" style="1109" customWidth="1"/>
    <col min="11022" max="11022" width="3.28515625" style="1109" customWidth="1"/>
    <col min="11023" max="11023" width="7.5703125" style="1109" customWidth="1"/>
    <col min="11024" max="11024" width="9.28515625" style="1109" customWidth="1"/>
    <col min="11025" max="11025" width="8" style="1109" customWidth="1"/>
    <col min="11026" max="11026" width="10.85546875" style="1109" customWidth="1"/>
    <col min="11027" max="11027" width="11.28515625" style="1109" customWidth="1"/>
    <col min="11028" max="11264" width="9.140625" style="1109"/>
    <col min="11265" max="11265" width="3.7109375" style="1109" customWidth="1"/>
    <col min="11266" max="11267" width="0" style="1109" hidden="1" customWidth="1"/>
    <col min="11268" max="11268" width="11.140625" style="1109" customWidth="1"/>
    <col min="11269" max="11269" width="35.140625" style="1109" customWidth="1"/>
    <col min="11270" max="11271" width="8" style="1109" customWidth="1"/>
    <col min="11272" max="11272" width="8.42578125" style="1109" customWidth="1"/>
    <col min="11273" max="11273" width="8" style="1109" customWidth="1"/>
    <col min="11274" max="11274" width="8.140625" style="1109" customWidth="1"/>
    <col min="11275" max="11275" width="8.5703125" style="1109" customWidth="1"/>
    <col min="11276" max="11276" width="3.42578125" style="1109" customWidth="1"/>
    <col min="11277" max="11277" width="2.85546875" style="1109" customWidth="1"/>
    <col min="11278" max="11278" width="3.28515625" style="1109" customWidth="1"/>
    <col min="11279" max="11279" width="7.5703125" style="1109" customWidth="1"/>
    <col min="11280" max="11280" width="9.28515625" style="1109" customWidth="1"/>
    <col min="11281" max="11281" width="8" style="1109" customWidth="1"/>
    <col min="11282" max="11282" width="10.85546875" style="1109" customWidth="1"/>
    <col min="11283" max="11283" width="11.28515625" style="1109" customWidth="1"/>
    <col min="11284" max="11520" width="9.140625" style="1109"/>
    <col min="11521" max="11521" width="3.7109375" style="1109" customWidth="1"/>
    <col min="11522" max="11523" width="0" style="1109" hidden="1" customWidth="1"/>
    <col min="11524" max="11524" width="11.140625" style="1109" customWidth="1"/>
    <col min="11525" max="11525" width="35.140625" style="1109" customWidth="1"/>
    <col min="11526" max="11527" width="8" style="1109" customWidth="1"/>
    <col min="11528" max="11528" width="8.42578125" style="1109" customWidth="1"/>
    <col min="11529" max="11529" width="8" style="1109" customWidth="1"/>
    <col min="11530" max="11530" width="8.140625" style="1109" customWidth="1"/>
    <col min="11531" max="11531" width="8.5703125" style="1109" customWidth="1"/>
    <col min="11532" max="11532" width="3.42578125" style="1109" customWidth="1"/>
    <col min="11533" max="11533" width="2.85546875" style="1109" customWidth="1"/>
    <col min="11534" max="11534" width="3.28515625" style="1109" customWidth="1"/>
    <col min="11535" max="11535" width="7.5703125" style="1109" customWidth="1"/>
    <col min="11536" max="11536" width="9.28515625" style="1109" customWidth="1"/>
    <col min="11537" max="11537" width="8" style="1109" customWidth="1"/>
    <col min="11538" max="11538" width="10.85546875" style="1109" customWidth="1"/>
    <col min="11539" max="11539" width="11.28515625" style="1109" customWidth="1"/>
    <col min="11540" max="11776" width="9.140625" style="1109"/>
    <col min="11777" max="11777" width="3.7109375" style="1109" customWidth="1"/>
    <col min="11778" max="11779" width="0" style="1109" hidden="1" customWidth="1"/>
    <col min="11780" max="11780" width="11.140625" style="1109" customWidth="1"/>
    <col min="11781" max="11781" width="35.140625" style="1109" customWidth="1"/>
    <col min="11782" max="11783" width="8" style="1109" customWidth="1"/>
    <col min="11784" max="11784" width="8.42578125" style="1109" customWidth="1"/>
    <col min="11785" max="11785" width="8" style="1109" customWidth="1"/>
    <col min="11786" max="11786" width="8.140625" style="1109" customWidth="1"/>
    <col min="11787" max="11787" width="8.5703125" style="1109" customWidth="1"/>
    <col min="11788" max="11788" width="3.42578125" style="1109" customWidth="1"/>
    <col min="11789" max="11789" width="2.85546875" style="1109" customWidth="1"/>
    <col min="11790" max="11790" width="3.28515625" style="1109" customWidth="1"/>
    <col min="11791" max="11791" width="7.5703125" style="1109" customWidth="1"/>
    <col min="11792" max="11792" width="9.28515625" style="1109" customWidth="1"/>
    <col min="11793" max="11793" width="8" style="1109" customWidth="1"/>
    <col min="11794" max="11794" width="10.85546875" style="1109" customWidth="1"/>
    <col min="11795" max="11795" width="11.28515625" style="1109" customWidth="1"/>
    <col min="11796" max="12032" width="9.140625" style="1109"/>
    <col min="12033" max="12033" width="3.7109375" style="1109" customWidth="1"/>
    <col min="12034" max="12035" width="0" style="1109" hidden="1" customWidth="1"/>
    <col min="12036" max="12036" width="11.140625" style="1109" customWidth="1"/>
    <col min="12037" max="12037" width="35.140625" style="1109" customWidth="1"/>
    <col min="12038" max="12039" width="8" style="1109" customWidth="1"/>
    <col min="12040" max="12040" width="8.42578125" style="1109" customWidth="1"/>
    <col min="12041" max="12041" width="8" style="1109" customWidth="1"/>
    <col min="12042" max="12042" width="8.140625" style="1109" customWidth="1"/>
    <col min="12043" max="12043" width="8.5703125" style="1109" customWidth="1"/>
    <col min="12044" max="12044" width="3.42578125" style="1109" customWidth="1"/>
    <col min="12045" max="12045" width="2.85546875" style="1109" customWidth="1"/>
    <col min="12046" max="12046" width="3.28515625" style="1109" customWidth="1"/>
    <col min="12047" max="12047" width="7.5703125" style="1109" customWidth="1"/>
    <col min="12048" max="12048" width="9.28515625" style="1109" customWidth="1"/>
    <col min="12049" max="12049" width="8" style="1109" customWidth="1"/>
    <col min="12050" max="12050" width="10.85546875" style="1109" customWidth="1"/>
    <col min="12051" max="12051" width="11.28515625" style="1109" customWidth="1"/>
    <col min="12052" max="12288" width="9.140625" style="1109"/>
    <col min="12289" max="12289" width="3.7109375" style="1109" customWidth="1"/>
    <col min="12290" max="12291" width="0" style="1109" hidden="1" customWidth="1"/>
    <col min="12292" max="12292" width="11.140625" style="1109" customWidth="1"/>
    <col min="12293" max="12293" width="35.140625" style="1109" customWidth="1"/>
    <col min="12294" max="12295" width="8" style="1109" customWidth="1"/>
    <col min="12296" max="12296" width="8.42578125" style="1109" customWidth="1"/>
    <col min="12297" max="12297" width="8" style="1109" customWidth="1"/>
    <col min="12298" max="12298" width="8.140625" style="1109" customWidth="1"/>
    <col min="12299" max="12299" width="8.5703125" style="1109" customWidth="1"/>
    <col min="12300" max="12300" width="3.42578125" style="1109" customWidth="1"/>
    <col min="12301" max="12301" width="2.85546875" style="1109" customWidth="1"/>
    <col min="12302" max="12302" width="3.28515625" style="1109" customWidth="1"/>
    <col min="12303" max="12303" width="7.5703125" style="1109" customWidth="1"/>
    <col min="12304" max="12304" width="9.28515625" style="1109" customWidth="1"/>
    <col min="12305" max="12305" width="8" style="1109" customWidth="1"/>
    <col min="12306" max="12306" width="10.85546875" style="1109" customWidth="1"/>
    <col min="12307" max="12307" width="11.28515625" style="1109" customWidth="1"/>
    <col min="12308" max="12544" width="9.140625" style="1109"/>
    <col min="12545" max="12545" width="3.7109375" style="1109" customWidth="1"/>
    <col min="12546" max="12547" width="0" style="1109" hidden="1" customWidth="1"/>
    <col min="12548" max="12548" width="11.140625" style="1109" customWidth="1"/>
    <col min="12549" max="12549" width="35.140625" style="1109" customWidth="1"/>
    <col min="12550" max="12551" width="8" style="1109" customWidth="1"/>
    <col min="12552" max="12552" width="8.42578125" style="1109" customWidth="1"/>
    <col min="12553" max="12553" width="8" style="1109" customWidth="1"/>
    <col min="12554" max="12554" width="8.140625" style="1109" customWidth="1"/>
    <col min="12555" max="12555" width="8.5703125" style="1109" customWidth="1"/>
    <col min="12556" max="12556" width="3.42578125" style="1109" customWidth="1"/>
    <col min="12557" max="12557" width="2.85546875" style="1109" customWidth="1"/>
    <col min="12558" max="12558" width="3.28515625" style="1109" customWidth="1"/>
    <col min="12559" max="12559" width="7.5703125" style="1109" customWidth="1"/>
    <col min="12560" max="12560" width="9.28515625" style="1109" customWidth="1"/>
    <col min="12561" max="12561" width="8" style="1109" customWidth="1"/>
    <col min="12562" max="12562" width="10.85546875" style="1109" customWidth="1"/>
    <col min="12563" max="12563" width="11.28515625" style="1109" customWidth="1"/>
    <col min="12564" max="12800" width="9.140625" style="1109"/>
    <col min="12801" max="12801" width="3.7109375" style="1109" customWidth="1"/>
    <col min="12802" max="12803" width="0" style="1109" hidden="1" customWidth="1"/>
    <col min="12804" max="12804" width="11.140625" style="1109" customWidth="1"/>
    <col min="12805" max="12805" width="35.140625" style="1109" customWidth="1"/>
    <col min="12806" max="12807" width="8" style="1109" customWidth="1"/>
    <col min="12808" max="12808" width="8.42578125" style="1109" customWidth="1"/>
    <col min="12809" max="12809" width="8" style="1109" customWidth="1"/>
    <col min="12810" max="12810" width="8.140625" style="1109" customWidth="1"/>
    <col min="12811" max="12811" width="8.5703125" style="1109" customWidth="1"/>
    <col min="12812" max="12812" width="3.42578125" style="1109" customWidth="1"/>
    <col min="12813" max="12813" width="2.85546875" style="1109" customWidth="1"/>
    <col min="12814" max="12814" width="3.28515625" style="1109" customWidth="1"/>
    <col min="12815" max="12815" width="7.5703125" style="1109" customWidth="1"/>
    <col min="12816" max="12816" width="9.28515625" style="1109" customWidth="1"/>
    <col min="12817" max="12817" width="8" style="1109" customWidth="1"/>
    <col min="12818" max="12818" width="10.85546875" style="1109" customWidth="1"/>
    <col min="12819" max="12819" width="11.28515625" style="1109" customWidth="1"/>
    <col min="12820" max="13056" width="9.140625" style="1109"/>
    <col min="13057" max="13057" width="3.7109375" style="1109" customWidth="1"/>
    <col min="13058" max="13059" width="0" style="1109" hidden="1" customWidth="1"/>
    <col min="13060" max="13060" width="11.140625" style="1109" customWidth="1"/>
    <col min="13061" max="13061" width="35.140625" style="1109" customWidth="1"/>
    <col min="13062" max="13063" width="8" style="1109" customWidth="1"/>
    <col min="13064" max="13064" width="8.42578125" style="1109" customWidth="1"/>
    <col min="13065" max="13065" width="8" style="1109" customWidth="1"/>
    <col min="13066" max="13066" width="8.140625" style="1109" customWidth="1"/>
    <col min="13067" max="13067" width="8.5703125" style="1109" customWidth="1"/>
    <col min="13068" max="13068" width="3.42578125" style="1109" customWidth="1"/>
    <col min="13069" max="13069" width="2.85546875" style="1109" customWidth="1"/>
    <col min="13070" max="13070" width="3.28515625" style="1109" customWidth="1"/>
    <col min="13071" max="13071" width="7.5703125" style="1109" customWidth="1"/>
    <col min="13072" max="13072" width="9.28515625" style="1109" customWidth="1"/>
    <col min="13073" max="13073" width="8" style="1109" customWidth="1"/>
    <col min="13074" max="13074" width="10.85546875" style="1109" customWidth="1"/>
    <col min="13075" max="13075" width="11.28515625" style="1109" customWidth="1"/>
    <col min="13076" max="13312" width="9.140625" style="1109"/>
    <col min="13313" max="13313" width="3.7109375" style="1109" customWidth="1"/>
    <col min="13314" max="13315" width="0" style="1109" hidden="1" customWidth="1"/>
    <col min="13316" max="13316" width="11.140625" style="1109" customWidth="1"/>
    <col min="13317" max="13317" width="35.140625" style="1109" customWidth="1"/>
    <col min="13318" max="13319" width="8" style="1109" customWidth="1"/>
    <col min="13320" max="13320" width="8.42578125" style="1109" customWidth="1"/>
    <col min="13321" max="13321" width="8" style="1109" customWidth="1"/>
    <col min="13322" max="13322" width="8.140625" style="1109" customWidth="1"/>
    <col min="13323" max="13323" width="8.5703125" style="1109" customWidth="1"/>
    <col min="13324" max="13324" width="3.42578125" style="1109" customWidth="1"/>
    <col min="13325" max="13325" width="2.85546875" style="1109" customWidth="1"/>
    <col min="13326" max="13326" width="3.28515625" style="1109" customWidth="1"/>
    <col min="13327" max="13327" width="7.5703125" style="1109" customWidth="1"/>
    <col min="13328" max="13328" width="9.28515625" style="1109" customWidth="1"/>
    <col min="13329" max="13329" width="8" style="1109" customWidth="1"/>
    <col min="13330" max="13330" width="10.85546875" style="1109" customWidth="1"/>
    <col min="13331" max="13331" width="11.28515625" style="1109" customWidth="1"/>
    <col min="13332" max="13568" width="9.140625" style="1109"/>
    <col min="13569" max="13569" width="3.7109375" style="1109" customWidth="1"/>
    <col min="13570" max="13571" width="0" style="1109" hidden="1" customWidth="1"/>
    <col min="13572" max="13572" width="11.140625" style="1109" customWidth="1"/>
    <col min="13573" max="13573" width="35.140625" style="1109" customWidth="1"/>
    <col min="13574" max="13575" width="8" style="1109" customWidth="1"/>
    <col min="13576" max="13576" width="8.42578125" style="1109" customWidth="1"/>
    <col min="13577" max="13577" width="8" style="1109" customWidth="1"/>
    <col min="13578" max="13578" width="8.140625" style="1109" customWidth="1"/>
    <col min="13579" max="13579" width="8.5703125" style="1109" customWidth="1"/>
    <col min="13580" max="13580" width="3.42578125" style="1109" customWidth="1"/>
    <col min="13581" max="13581" width="2.85546875" style="1109" customWidth="1"/>
    <col min="13582" max="13582" width="3.28515625" style="1109" customWidth="1"/>
    <col min="13583" max="13583" width="7.5703125" style="1109" customWidth="1"/>
    <col min="13584" max="13584" width="9.28515625" style="1109" customWidth="1"/>
    <col min="13585" max="13585" width="8" style="1109" customWidth="1"/>
    <col min="13586" max="13586" width="10.85546875" style="1109" customWidth="1"/>
    <col min="13587" max="13587" width="11.28515625" style="1109" customWidth="1"/>
    <col min="13588" max="13824" width="9.140625" style="1109"/>
    <col min="13825" max="13825" width="3.7109375" style="1109" customWidth="1"/>
    <col min="13826" max="13827" width="0" style="1109" hidden="1" customWidth="1"/>
    <col min="13828" max="13828" width="11.140625" style="1109" customWidth="1"/>
    <col min="13829" max="13829" width="35.140625" style="1109" customWidth="1"/>
    <col min="13830" max="13831" width="8" style="1109" customWidth="1"/>
    <col min="13832" max="13832" width="8.42578125" style="1109" customWidth="1"/>
    <col min="13833" max="13833" width="8" style="1109" customWidth="1"/>
    <col min="13834" max="13834" width="8.140625" style="1109" customWidth="1"/>
    <col min="13835" max="13835" width="8.5703125" style="1109" customWidth="1"/>
    <col min="13836" max="13836" width="3.42578125" style="1109" customWidth="1"/>
    <col min="13837" max="13837" width="2.85546875" style="1109" customWidth="1"/>
    <col min="13838" max="13838" width="3.28515625" style="1109" customWidth="1"/>
    <col min="13839" max="13839" width="7.5703125" style="1109" customWidth="1"/>
    <col min="13840" max="13840" width="9.28515625" style="1109" customWidth="1"/>
    <col min="13841" max="13841" width="8" style="1109" customWidth="1"/>
    <col min="13842" max="13842" width="10.85546875" style="1109" customWidth="1"/>
    <col min="13843" max="13843" width="11.28515625" style="1109" customWidth="1"/>
    <col min="13844" max="14080" width="9.140625" style="1109"/>
    <col min="14081" max="14081" width="3.7109375" style="1109" customWidth="1"/>
    <col min="14082" max="14083" width="0" style="1109" hidden="1" customWidth="1"/>
    <col min="14084" max="14084" width="11.140625" style="1109" customWidth="1"/>
    <col min="14085" max="14085" width="35.140625" style="1109" customWidth="1"/>
    <col min="14086" max="14087" width="8" style="1109" customWidth="1"/>
    <col min="14088" max="14088" width="8.42578125" style="1109" customWidth="1"/>
    <col min="14089" max="14089" width="8" style="1109" customWidth="1"/>
    <col min="14090" max="14090" width="8.140625" style="1109" customWidth="1"/>
    <col min="14091" max="14091" width="8.5703125" style="1109" customWidth="1"/>
    <col min="14092" max="14092" width="3.42578125" style="1109" customWidth="1"/>
    <col min="14093" max="14093" width="2.85546875" style="1109" customWidth="1"/>
    <col min="14094" max="14094" width="3.28515625" style="1109" customWidth="1"/>
    <col min="14095" max="14095" width="7.5703125" style="1109" customWidth="1"/>
    <col min="14096" max="14096" width="9.28515625" style="1109" customWidth="1"/>
    <col min="14097" max="14097" width="8" style="1109" customWidth="1"/>
    <col min="14098" max="14098" width="10.85546875" style="1109" customWidth="1"/>
    <col min="14099" max="14099" width="11.28515625" style="1109" customWidth="1"/>
    <col min="14100" max="14336" width="9.140625" style="1109"/>
    <col min="14337" max="14337" width="3.7109375" style="1109" customWidth="1"/>
    <col min="14338" max="14339" width="0" style="1109" hidden="1" customWidth="1"/>
    <col min="14340" max="14340" width="11.140625" style="1109" customWidth="1"/>
    <col min="14341" max="14341" width="35.140625" style="1109" customWidth="1"/>
    <col min="14342" max="14343" width="8" style="1109" customWidth="1"/>
    <col min="14344" max="14344" width="8.42578125" style="1109" customWidth="1"/>
    <col min="14345" max="14345" width="8" style="1109" customWidth="1"/>
    <col min="14346" max="14346" width="8.140625" style="1109" customWidth="1"/>
    <col min="14347" max="14347" width="8.5703125" style="1109" customWidth="1"/>
    <col min="14348" max="14348" width="3.42578125" style="1109" customWidth="1"/>
    <col min="14349" max="14349" width="2.85546875" style="1109" customWidth="1"/>
    <col min="14350" max="14350" width="3.28515625" style="1109" customWidth="1"/>
    <col min="14351" max="14351" width="7.5703125" style="1109" customWidth="1"/>
    <col min="14352" max="14352" width="9.28515625" style="1109" customWidth="1"/>
    <col min="14353" max="14353" width="8" style="1109" customWidth="1"/>
    <col min="14354" max="14354" width="10.85546875" style="1109" customWidth="1"/>
    <col min="14355" max="14355" width="11.28515625" style="1109" customWidth="1"/>
    <col min="14356" max="14592" width="9.140625" style="1109"/>
    <col min="14593" max="14593" width="3.7109375" style="1109" customWidth="1"/>
    <col min="14594" max="14595" width="0" style="1109" hidden="1" customWidth="1"/>
    <col min="14596" max="14596" width="11.140625" style="1109" customWidth="1"/>
    <col min="14597" max="14597" width="35.140625" style="1109" customWidth="1"/>
    <col min="14598" max="14599" width="8" style="1109" customWidth="1"/>
    <col min="14600" max="14600" width="8.42578125" style="1109" customWidth="1"/>
    <col min="14601" max="14601" width="8" style="1109" customWidth="1"/>
    <col min="14602" max="14602" width="8.140625" style="1109" customWidth="1"/>
    <col min="14603" max="14603" width="8.5703125" style="1109" customWidth="1"/>
    <col min="14604" max="14604" width="3.42578125" style="1109" customWidth="1"/>
    <col min="14605" max="14605" width="2.85546875" style="1109" customWidth="1"/>
    <col min="14606" max="14606" width="3.28515625" style="1109" customWidth="1"/>
    <col min="14607" max="14607" width="7.5703125" style="1109" customWidth="1"/>
    <col min="14608" max="14608" width="9.28515625" style="1109" customWidth="1"/>
    <col min="14609" max="14609" width="8" style="1109" customWidth="1"/>
    <col min="14610" max="14610" width="10.85546875" style="1109" customWidth="1"/>
    <col min="14611" max="14611" width="11.28515625" style="1109" customWidth="1"/>
    <col min="14612" max="14848" width="9.140625" style="1109"/>
    <col min="14849" max="14849" width="3.7109375" style="1109" customWidth="1"/>
    <col min="14850" max="14851" width="0" style="1109" hidden="1" customWidth="1"/>
    <col min="14852" max="14852" width="11.140625" style="1109" customWidth="1"/>
    <col min="14853" max="14853" width="35.140625" style="1109" customWidth="1"/>
    <col min="14854" max="14855" width="8" style="1109" customWidth="1"/>
    <col min="14856" max="14856" width="8.42578125" style="1109" customWidth="1"/>
    <col min="14857" max="14857" width="8" style="1109" customWidth="1"/>
    <col min="14858" max="14858" width="8.140625" style="1109" customWidth="1"/>
    <col min="14859" max="14859" width="8.5703125" style="1109" customWidth="1"/>
    <col min="14860" max="14860" width="3.42578125" style="1109" customWidth="1"/>
    <col min="14861" max="14861" width="2.85546875" style="1109" customWidth="1"/>
    <col min="14862" max="14862" width="3.28515625" style="1109" customWidth="1"/>
    <col min="14863" max="14863" width="7.5703125" style="1109" customWidth="1"/>
    <col min="14864" max="14864" width="9.28515625" style="1109" customWidth="1"/>
    <col min="14865" max="14865" width="8" style="1109" customWidth="1"/>
    <col min="14866" max="14866" width="10.85546875" style="1109" customWidth="1"/>
    <col min="14867" max="14867" width="11.28515625" style="1109" customWidth="1"/>
    <col min="14868" max="15104" width="9.140625" style="1109"/>
    <col min="15105" max="15105" width="3.7109375" style="1109" customWidth="1"/>
    <col min="15106" max="15107" width="0" style="1109" hidden="1" customWidth="1"/>
    <col min="15108" max="15108" width="11.140625" style="1109" customWidth="1"/>
    <col min="15109" max="15109" width="35.140625" style="1109" customWidth="1"/>
    <col min="15110" max="15111" width="8" style="1109" customWidth="1"/>
    <col min="15112" max="15112" width="8.42578125" style="1109" customWidth="1"/>
    <col min="15113" max="15113" width="8" style="1109" customWidth="1"/>
    <col min="15114" max="15114" width="8.140625" style="1109" customWidth="1"/>
    <col min="15115" max="15115" width="8.5703125" style="1109" customWidth="1"/>
    <col min="15116" max="15116" width="3.42578125" style="1109" customWidth="1"/>
    <col min="15117" max="15117" width="2.85546875" style="1109" customWidth="1"/>
    <col min="15118" max="15118" width="3.28515625" style="1109" customWidth="1"/>
    <col min="15119" max="15119" width="7.5703125" style="1109" customWidth="1"/>
    <col min="15120" max="15120" width="9.28515625" style="1109" customWidth="1"/>
    <col min="15121" max="15121" width="8" style="1109" customWidth="1"/>
    <col min="15122" max="15122" width="10.85546875" style="1109" customWidth="1"/>
    <col min="15123" max="15123" width="11.28515625" style="1109" customWidth="1"/>
    <col min="15124" max="15360" width="9.140625" style="1109"/>
    <col min="15361" max="15361" width="3.7109375" style="1109" customWidth="1"/>
    <col min="15362" max="15363" width="0" style="1109" hidden="1" customWidth="1"/>
    <col min="15364" max="15364" width="11.140625" style="1109" customWidth="1"/>
    <col min="15365" max="15365" width="35.140625" style="1109" customWidth="1"/>
    <col min="15366" max="15367" width="8" style="1109" customWidth="1"/>
    <col min="15368" max="15368" width="8.42578125" style="1109" customWidth="1"/>
    <col min="15369" max="15369" width="8" style="1109" customWidth="1"/>
    <col min="15370" max="15370" width="8.140625" style="1109" customWidth="1"/>
    <col min="15371" max="15371" width="8.5703125" style="1109" customWidth="1"/>
    <col min="15372" max="15372" width="3.42578125" style="1109" customWidth="1"/>
    <col min="15373" max="15373" width="2.85546875" style="1109" customWidth="1"/>
    <col min="15374" max="15374" width="3.28515625" style="1109" customWidth="1"/>
    <col min="15375" max="15375" width="7.5703125" style="1109" customWidth="1"/>
    <col min="15376" max="15376" width="9.28515625" style="1109" customWidth="1"/>
    <col min="15377" max="15377" width="8" style="1109" customWidth="1"/>
    <col min="15378" max="15378" width="10.85546875" style="1109" customWidth="1"/>
    <col min="15379" max="15379" width="11.28515625" style="1109" customWidth="1"/>
    <col min="15380" max="15616" width="9.140625" style="1109"/>
    <col min="15617" max="15617" width="3.7109375" style="1109" customWidth="1"/>
    <col min="15618" max="15619" width="0" style="1109" hidden="1" customWidth="1"/>
    <col min="15620" max="15620" width="11.140625" style="1109" customWidth="1"/>
    <col min="15621" max="15621" width="35.140625" style="1109" customWidth="1"/>
    <col min="15622" max="15623" width="8" style="1109" customWidth="1"/>
    <col min="15624" max="15624" width="8.42578125" style="1109" customWidth="1"/>
    <col min="15625" max="15625" width="8" style="1109" customWidth="1"/>
    <col min="15626" max="15626" width="8.140625" style="1109" customWidth="1"/>
    <col min="15627" max="15627" width="8.5703125" style="1109" customWidth="1"/>
    <col min="15628" max="15628" width="3.42578125" style="1109" customWidth="1"/>
    <col min="15629" max="15629" width="2.85546875" style="1109" customWidth="1"/>
    <col min="15630" max="15630" width="3.28515625" style="1109" customWidth="1"/>
    <col min="15631" max="15631" width="7.5703125" style="1109" customWidth="1"/>
    <col min="15632" max="15632" width="9.28515625" style="1109" customWidth="1"/>
    <col min="15633" max="15633" width="8" style="1109" customWidth="1"/>
    <col min="15634" max="15634" width="10.85546875" style="1109" customWidth="1"/>
    <col min="15635" max="15635" width="11.28515625" style="1109" customWidth="1"/>
    <col min="15636" max="15872" width="9.140625" style="1109"/>
    <col min="15873" max="15873" width="3.7109375" style="1109" customWidth="1"/>
    <col min="15874" max="15875" width="0" style="1109" hidden="1" customWidth="1"/>
    <col min="15876" max="15876" width="11.140625" style="1109" customWidth="1"/>
    <col min="15877" max="15877" width="35.140625" style="1109" customWidth="1"/>
    <col min="15878" max="15879" width="8" style="1109" customWidth="1"/>
    <col min="15880" max="15880" width="8.42578125" style="1109" customWidth="1"/>
    <col min="15881" max="15881" width="8" style="1109" customWidth="1"/>
    <col min="15882" max="15882" width="8.140625" style="1109" customWidth="1"/>
    <col min="15883" max="15883" width="8.5703125" style="1109" customWidth="1"/>
    <col min="15884" max="15884" width="3.42578125" style="1109" customWidth="1"/>
    <col min="15885" max="15885" width="2.85546875" style="1109" customWidth="1"/>
    <col min="15886" max="15886" width="3.28515625" style="1109" customWidth="1"/>
    <col min="15887" max="15887" width="7.5703125" style="1109" customWidth="1"/>
    <col min="15888" max="15888" width="9.28515625" style="1109" customWidth="1"/>
    <col min="15889" max="15889" width="8" style="1109" customWidth="1"/>
    <col min="15890" max="15890" width="10.85546875" style="1109" customWidth="1"/>
    <col min="15891" max="15891" width="11.28515625" style="1109" customWidth="1"/>
    <col min="15892" max="16128" width="9.140625" style="1109"/>
    <col min="16129" max="16129" width="3.7109375" style="1109" customWidth="1"/>
    <col min="16130" max="16131" width="0" style="1109" hidden="1" customWidth="1"/>
    <col min="16132" max="16132" width="11.140625" style="1109" customWidth="1"/>
    <col min="16133" max="16133" width="35.140625" style="1109" customWidth="1"/>
    <col min="16134" max="16135" width="8" style="1109" customWidth="1"/>
    <col min="16136" max="16136" width="8.42578125" style="1109" customWidth="1"/>
    <col min="16137" max="16137" width="8" style="1109" customWidth="1"/>
    <col min="16138" max="16138" width="8.140625" style="1109" customWidth="1"/>
    <col min="16139" max="16139" width="8.5703125" style="1109" customWidth="1"/>
    <col min="16140" max="16140" width="3.42578125" style="1109" customWidth="1"/>
    <col min="16141" max="16141" width="2.85546875" style="1109" customWidth="1"/>
    <col min="16142" max="16142" width="3.28515625" style="1109" customWidth="1"/>
    <col min="16143" max="16143" width="7.5703125" style="1109" customWidth="1"/>
    <col min="16144" max="16144" width="9.28515625" style="1109" customWidth="1"/>
    <col min="16145" max="16145" width="8" style="1109" customWidth="1"/>
    <col min="16146" max="16146" width="10.85546875" style="1109" customWidth="1"/>
    <col min="16147" max="16147" width="11.28515625" style="1109" customWidth="1"/>
    <col min="16148" max="16384" width="9.140625" style="1109"/>
  </cols>
  <sheetData>
    <row r="1" spans="1:19">
      <c r="A1" s="1108" t="s">
        <v>690</v>
      </c>
      <c r="B1" s="1108"/>
      <c r="C1" s="1108"/>
      <c r="D1" s="1108"/>
      <c r="K1" s="1162"/>
      <c r="L1" s="1162"/>
      <c r="M1" s="1162"/>
      <c r="N1" s="1162"/>
      <c r="O1" s="1162"/>
      <c r="P1" s="1162"/>
      <c r="Q1" s="1162"/>
      <c r="R1" s="1162"/>
    </row>
    <row r="2" spans="1:19" ht="71.25" customHeight="1">
      <c r="A2" s="6352" t="s">
        <v>84</v>
      </c>
      <c r="B2" s="6352" t="s">
        <v>330</v>
      </c>
      <c r="C2" s="6352" t="s">
        <v>331</v>
      </c>
      <c r="D2" s="6352" t="s">
        <v>332</v>
      </c>
      <c r="E2" s="6352" t="s">
        <v>81</v>
      </c>
      <c r="F2" s="2767" t="s">
        <v>333</v>
      </c>
      <c r="G2" s="2768" t="s">
        <v>264</v>
      </c>
      <c r="H2" s="2768" t="s">
        <v>265</v>
      </c>
      <c r="I2" s="2768" t="s">
        <v>266</v>
      </c>
      <c r="J2" s="2767" t="s">
        <v>334</v>
      </c>
      <c r="K2" s="2767" t="s">
        <v>335</v>
      </c>
      <c r="L2" s="6352" t="s">
        <v>336</v>
      </c>
      <c r="M2" s="6352"/>
      <c r="N2" s="6352"/>
      <c r="O2" s="6352"/>
      <c r="P2" s="6352"/>
      <c r="Q2" s="6352"/>
      <c r="R2" s="6352"/>
      <c r="S2" s="2769"/>
    </row>
    <row r="3" spans="1:19">
      <c r="A3" s="6352"/>
      <c r="B3" s="6352"/>
      <c r="C3" s="6352"/>
      <c r="D3" s="6352"/>
      <c r="E3" s="6352"/>
      <c r="F3" s="2767" t="s">
        <v>94</v>
      </c>
      <c r="G3" s="2767" t="s">
        <v>96</v>
      </c>
      <c r="H3" s="2767" t="s">
        <v>96</v>
      </c>
      <c r="I3" s="2767" t="s">
        <v>96</v>
      </c>
      <c r="J3" s="2767" t="s">
        <v>96</v>
      </c>
      <c r="K3" s="2767" t="s">
        <v>337</v>
      </c>
      <c r="L3" s="2767" t="s">
        <v>94</v>
      </c>
      <c r="M3" s="2770"/>
      <c r="N3" s="2770"/>
      <c r="O3" s="2771" t="s">
        <v>264</v>
      </c>
      <c r="P3" s="2771" t="s">
        <v>265</v>
      </c>
      <c r="Q3" s="2771" t="s">
        <v>266</v>
      </c>
      <c r="R3" s="2772" t="s">
        <v>338</v>
      </c>
      <c r="S3" s="2771"/>
    </row>
    <row r="4" spans="1:19" ht="42.75">
      <c r="A4" s="6352"/>
      <c r="B4" s="6352"/>
      <c r="C4" s="6352"/>
      <c r="D4" s="6352"/>
      <c r="E4" s="6352"/>
      <c r="F4" s="2773" t="s">
        <v>339</v>
      </c>
      <c r="G4" s="2773" t="s">
        <v>340</v>
      </c>
      <c r="H4" s="2773" t="s">
        <v>340</v>
      </c>
      <c r="I4" s="2773" t="s">
        <v>340</v>
      </c>
      <c r="J4" s="2773" t="s">
        <v>340</v>
      </c>
      <c r="K4" s="2773" t="s">
        <v>340</v>
      </c>
      <c r="L4" s="2767" t="s">
        <v>341</v>
      </c>
      <c r="M4" s="2767" t="s">
        <v>342</v>
      </c>
      <c r="N4" s="2767" t="s">
        <v>343</v>
      </c>
      <c r="O4" s="2774" t="s">
        <v>344</v>
      </c>
      <c r="P4" s="2774" t="s">
        <v>344</v>
      </c>
      <c r="Q4" s="2774" t="s">
        <v>344</v>
      </c>
      <c r="R4" s="2774" t="s">
        <v>344</v>
      </c>
      <c r="S4" s="2773" t="s">
        <v>260</v>
      </c>
    </row>
    <row r="5" spans="1:19">
      <c r="A5" s="2775"/>
      <c r="B5" s="2775"/>
      <c r="C5" s="2775"/>
      <c r="D5" s="2775"/>
      <c r="E5" s="2776" t="s">
        <v>345</v>
      </c>
      <c r="F5" s="2775"/>
      <c r="G5" s="2775"/>
      <c r="H5" s="2775"/>
      <c r="I5" s="2775"/>
      <c r="J5" s="2775"/>
      <c r="K5" s="2775"/>
      <c r="L5" s="2775"/>
      <c r="M5" s="2777"/>
      <c r="N5" s="2777"/>
      <c r="O5" s="2778"/>
      <c r="P5" s="2778"/>
      <c r="Q5" s="2778"/>
      <c r="R5" s="2778"/>
      <c r="S5" s="119"/>
    </row>
    <row r="6" spans="1:19" hidden="1">
      <c r="A6" s="2779">
        <v>1</v>
      </c>
      <c r="B6" s="2780"/>
      <c r="C6" s="2780"/>
      <c r="D6" s="2780"/>
      <c r="E6" s="2781" t="s">
        <v>346</v>
      </c>
      <c r="F6" s="2782"/>
      <c r="G6" s="2782"/>
      <c r="H6" s="2782"/>
      <c r="I6" s="2782"/>
      <c r="J6" s="2782"/>
      <c r="K6" s="2782"/>
      <c r="L6" s="2780"/>
      <c r="M6" s="2783"/>
      <c r="N6" s="2783"/>
      <c r="O6" s="2783"/>
      <c r="P6" s="2783"/>
      <c r="Q6" s="2783"/>
      <c r="R6" s="2783"/>
      <c r="S6" s="119"/>
    </row>
    <row r="7" spans="1:19" hidden="1">
      <c r="A7" s="2779"/>
      <c r="B7" s="2780"/>
      <c r="C7" s="2780"/>
      <c r="D7" s="2780"/>
      <c r="E7" s="2784" t="s">
        <v>347</v>
      </c>
      <c r="F7" s="2782"/>
      <c r="G7" s="2782"/>
      <c r="H7" s="2782"/>
      <c r="I7" s="2782"/>
      <c r="J7" s="2782"/>
      <c r="K7" s="2782"/>
      <c r="L7" s="2783"/>
      <c r="M7" s="2783"/>
      <c r="N7" s="2783"/>
      <c r="O7" s="2785"/>
      <c r="P7" s="2785"/>
      <c r="Q7" s="2785"/>
      <c r="R7" s="2785"/>
      <c r="S7" s="119"/>
    </row>
    <row r="8" spans="1:19" hidden="1">
      <c r="A8" s="2779"/>
      <c r="B8" s="2780"/>
      <c r="C8" s="2780"/>
      <c r="D8" s="2780"/>
      <c r="E8" s="2784" t="s">
        <v>348</v>
      </c>
      <c r="F8" s="2782"/>
      <c r="G8" s="2782"/>
      <c r="H8" s="2782"/>
      <c r="I8" s="2782"/>
      <c r="J8" s="2782"/>
      <c r="K8" s="2782"/>
      <c r="L8" s="2783"/>
      <c r="M8" s="2783"/>
      <c r="N8" s="2783"/>
      <c r="O8" s="2783"/>
      <c r="P8" s="2783"/>
      <c r="Q8" s="2783"/>
      <c r="R8" s="2783"/>
      <c r="S8" s="119"/>
    </row>
    <row r="9" spans="1:19" hidden="1">
      <c r="A9" s="2779">
        <v>2</v>
      </c>
      <c r="B9" s="2780"/>
      <c r="C9" s="2780"/>
      <c r="D9" s="2780"/>
      <c r="E9" s="2781" t="s">
        <v>349</v>
      </c>
      <c r="F9" s="2782"/>
      <c r="G9" s="2782"/>
      <c r="H9" s="2782"/>
      <c r="I9" s="2782"/>
      <c r="J9" s="2782"/>
      <c r="K9" s="2782"/>
      <c r="L9" s="2783"/>
      <c r="M9" s="2783"/>
      <c r="N9" s="2783"/>
      <c r="O9" s="2783"/>
      <c r="P9" s="2783"/>
      <c r="Q9" s="2783"/>
      <c r="R9" s="2783"/>
      <c r="S9" s="119"/>
    </row>
    <row r="10" spans="1:19" hidden="1">
      <c r="A10" s="2779"/>
      <c r="B10" s="2780"/>
      <c r="C10" s="2780"/>
      <c r="D10" s="2780"/>
      <c r="E10" s="2784" t="s">
        <v>347</v>
      </c>
      <c r="F10" s="2782"/>
      <c r="G10" s="2782"/>
      <c r="H10" s="2782"/>
      <c r="I10" s="2782"/>
      <c r="J10" s="2782"/>
      <c r="K10" s="2782"/>
      <c r="L10" s="2783"/>
      <c r="M10" s="2783"/>
      <c r="N10" s="2783"/>
      <c r="O10" s="2783"/>
      <c r="P10" s="2783"/>
      <c r="Q10" s="2783"/>
      <c r="R10" s="2783"/>
      <c r="S10" s="119"/>
    </row>
    <row r="11" spans="1:19" hidden="1">
      <c r="A11" s="2779"/>
      <c r="B11" s="2780"/>
      <c r="C11" s="2780"/>
      <c r="D11" s="2780"/>
      <c r="E11" s="2784" t="s">
        <v>348</v>
      </c>
      <c r="F11" s="2782"/>
      <c r="G11" s="2782"/>
      <c r="H11" s="2782"/>
      <c r="I11" s="2782"/>
      <c r="J11" s="2782"/>
      <c r="K11" s="2782"/>
      <c r="L11" s="2783"/>
      <c r="M11" s="2783"/>
      <c r="N11" s="2783"/>
      <c r="O11" s="2783"/>
      <c r="P11" s="2783"/>
      <c r="Q11" s="2783"/>
      <c r="R11" s="2783"/>
      <c r="S11" s="119"/>
    </row>
    <row r="12" spans="1:19">
      <c r="A12" s="2779">
        <v>3</v>
      </c>
      <c r="B12" s="2780"/>
      <c r="C12" s="2780"/>
      <c r="D12" s="6346">
        <v>219.84</v>
      </c>
      <c r="E12" s="2781" t="s">
        <v>93</v>
      </c>
      <c r="F12" s="2786">
        <v>112.69999999999999</v>
      </c>
      <c r="G12" s="2779">
        <v>2.56</v>
      </c>
      <c r="H12" s="2779">
        <v>17.3</v>
      </c>
      <c r="I12" s="2779">
        <v>37.26</v>
      </c>
      <c r="J12" s="2779">
        <v>47.54</v>
      </c>
      <c r="K12" s="2786">
        <f>G12+H12+I12+J12</f>
        <v>104.66</v>
      </c>
      <c r="L12" s="2783"/>
      <c r="M12" s="2783"/>
      <c r="N12" s="2783"/>
      <c r="O12" s="2787">
        <v>1.48</v>
      </c>
      <c r="P12" s="2787">
        <v>9.3800000000000008</v>
      </c>
      <c r="Q12" s="2787">
        <v>19.71</v>
      </c>
      <c r="R12" s="2787">
        <v>92.29</v>
      </c>
      <c r="S12" s="2016">
        <f>O12+P12+Q12+R12</f>
        <v>122.86000000000001</v>
      </c>
    </row>
    <row r="13" spans="1:19">
      <c r="A13" s="2779"/>
      <c r="B13" s="2788"/>
      <c r="C13" s="2788"/>
      <c r="D13" s="6347"/>
      <c r="E13" s="2784" t="s">
        <v>350</v>
      </c>
      <c r="F13" s="2779"/>
      <c r="G13" s="2779"/>
      <c r="H13" s="2779"/>
      <c r="I13" s="2779"/>
      <c r="J13" s="2779"/>
      <c r="K13" s="2786"/>
      <c r="L13" s="2783"/>
      <c r="M13" s="2783"/>
      <c r="N13" s="2783"/>
      <c r="O13" s="2783"/>
      <c r="P13" s="2783"/>
      <c r="Q13" s="2783"/>
      <c r="R13" s="2783"/>
      <c r="S13" s="2016"/>
    </row>
    <row r="14" spans="1:19">
      <c r="A14" s="2779"/>
      <c r="B14" s="2780"/>
      <c r="C14" s="2780"/>
      <c r="D14" s="6347"/>
      <c r="E14" s="2784" t="s">
        <v>351</v>
      </c>
      <c r="F14" s="2779"/>
      <c r="G14" s="2779"/>
      <c r="H14" s="2779"/>
      <c r="I14" s="2779"/>
      <c r="J14" s="2779"/>
      <c r="K14" s="2786"/>
      <c r="L14" s="2783"/>
      <c r="M14" s="2783"/>
      <c r="N14" s="2783"/>
      <c r="O14" s="2783"/>
      <c r="P14" s="2783"/>
      <c r="Q14" s="2783"/>
      <c r="R14" s="2783"/>
      <c r="S14" s="2016"/>
    </row>
    <row r="15" spans="1:19">
      <c r="A15" s="2779"/>
      <c r="B15" s="2789"/>
      <c r="C15" s="2789"/>
      <c r="D15" s="6347"/>
      <c r="E15" s="2784" t="s">
        <v>352</v>
      </c>
      <c r="F15" s="2786"/>
      <c r="G15" s="2786"/>
      <c r="H15" s="2786"/>
      <c r="I15" s="2786"/>
      <c r="J15" s="2786"/>
      <c r="K15" s="2786"/>
      <c r="L15" s="2783"/>
      <c r="M15" s="2783"/>
      <c r="N15" s="2783"/>
      <c r="O15" s="2783"/>
      <c r="P15" s="2783"/>
      <c r="Q15" s="2783"/>
      <c r="R15" s="2783"/>
      <c r="S15" s="2016"/>
    </row>
    <row r="16" spans="1:19">
      <c r="A16" s="119"/>
      <c r="B16" s="2790">
        <v>0.90769999999999995</v>
      </c>
      <c r="C16" s="2790">
        <f>5.3413</f>
        <v>5.3413000000000004</v>
      </c>
      <c r="D16" s="6347"/>
      <c r="E16" s="1704" t="s">
        <v>353</v>
      </c>
      <c r="F16" s="2786"/>
      <c r="G16" s="2786" t="s">
        <v>94</v>
      </c>
      <c r="H16" s="2786" t="s">
        <v>94</v>
      </c>
      <c r="I16" s="2786" t="s">
        <v>94</v>
      </c>
      <c r="J16" s="2786" t="s">
        <v>94</v>
      </c>
      <c r="K16" s="2016"/>
      <c r="L16" s="2783"/>
      <c r="M16" s="2783"/>
      <c r="N16" s="2783"/>
      <c r="O16" s="2783"/>
      <c r="P16" s="2783"/>
      <c r="Q16" s="2783"/>
      <c r="R16" s="2783"/>
      <c r="S16" s="2016"/>
    </row>
    <row r="17" spans="1:19">
      <c r="A17" s="119"/>
      <c r="B17" s="2015"/>
      <c r="C17" s="2015"/>
      <c r="D17" s="6348"/>
      <c r="E17" s="1704" t="s">
        <v>354</v>
      </c>
      <c r="F17" s="1930"/>
      <c r="G17" s="1930"/>
      <c r="H17" s="1930"/>
      <c r="I17" s="1930"/>
      <c r="J17" s="1930"/>
      <c r="K17" s="2016"/>
      <c r="L17" s="2783"/>
      <c r="M17" s="2783"/>
      <c r="N17" s="2783"/>
      <c r="O17" s="2783"/>
      <c r="P17" s="2783"/>
      <c r="Q17" s="2783"/>
      <c r="R17" s="2783"/>
      <c r="S17" s="2016"/>
    </row>
    <row r="18" spans="1:19">
      <c r="A18" s="1930">
        <v>4</v>
      </c>
      <c r="B18" s="2015"/>
      <c r="C18" s="2015"/>
      <c r="D18" s="6349">
        <v>88</v>
      </c>
      <c r="E18" s="2791" t="s">
        <v>355</v>
      </c>
      <c r="F18" s="2787">
        <v>34.68</v>
      </c>
      <c r="G18" s="2787">
        <v>43.31</v>
      </c>
      <c r="H18" s="2787">
        <v>14.68</v>
      </c>
      <c r="I18" s="2787">
        <v>21.66</v>
      </c>
      <c r="J18" s="2787">
        <v>3.99</v>
      </c>
      <c r="K18" s="2786">
        <f>G18+H18+I18+J18</f>
        <v>83.64</v>
      </c>
      <c r="L18" s="2783"/>
      <c r="M18" s="2783"/>
      <c r="N18" s="2783"/>
      <c r="O18" s="2787">
        <v>16.28</v>
      </c>
      <c r="P18" s="2787">
        <v>5.4</v>
      </c>
      <c r="Q18" s="2787">
        <v>9.9499999999999993</v>
      </c>
      <c r="R18" s="2787">
        <v>5.26</v>
      </c>
      <c r="S18" s="2016">
        <f>O18+P18+Q18+R18</f>
        <v>36.89</v>
      </c>
    </row>
    <row r="19" spans="1:19">
      <c r="A19" s="119"/>
      <c r="B19" s="2015"/>
      <c r="C19" s="2015"/>
      <c r="D19" s="6350"/>
      <c r="E19" s="2784" t="s">
        <v>347</v>
      </c>
      <c r="F19" s="1930"/>
      <c r="G19" s="1930"/>
      <c r="H19" s="1930"/>
      <c r="I19" s="1930"/>
      <c r="J19" s="1930"/>
      <c r="K19" s="2016"/>
      <c r="L19" s="2783"/>
      <c r="M19" s="2783"/>
      <c r="N19" s="2783"/>
      <c r="O19" s="2783"/>
      <c r="P19" s="2783"/>
      <c r="Q19" s="2783"/>
      <c r="R19" s="2783"/>
      <c r="S19" s="2016"/>
    </row>
    <row r="20" spans="1:19">
      <c r="A20" s="119"/>
      <c r="B20" s="2015"/>
      <c r="C20" s="2015"/>
      <c r="D20" s="6351"/>
      <c r="E20" s="2784" t="s">
        <v>348</v>
      </c>
      <c r="F20" s="1930"/>
      <c r="G20" s="1930"/>
      <c r="H20" s="1930"/>
      <c r="I20" s="1930"/>
      <c r="J20" s="1930"/>
      <c r="K20" s="2016"/>
      <c r="L20" s="2783"/>
      <c r="M20" s="2783"/>
      <c r="N20" s="2783"/>
      <c r="O20" s="2783"/>
      <c r="P20" s="2783"/>
      <c r="Q20" s="2783"/>
      <c r="R20" s="2783"/>
      <c r="S20" s="2016"/>
    </row>
    <row r="21" spans="1:19">
      <c r="A21" s="1930">
        <v>5</v>
      </c>
      <c r="B21" s="2015"/>
      <c r="C21" s="2015"/>
      <c r="D21" s="2015"/>
      <c r="E21" s="2791" t="s">
        <v>356</v>
      </c>
      <c r="F21" s="1930"/>
      <c r="G21" s="1930" t="s">
        <v>94</v>
      </c>
      <c r="H21" s="1930" t="s">
        <v>94</v>
      </c>
      <c r="I21" s="1930" t="s">
        <v>94</v>
      </c>
      <c r="J21" s="1930" t="s">
        <v>94</v>
      </c>
      <c r="K21" s="2016"/>
      <c r="L21" s="2783"/>
      <c r="M21" s="2783"/>
      <c r="N21" s="2783"/>
      <c r="O21" s="2783"/>
      <c r="P21" s="2783"/>
      <c r="Q21" s="2783"/>
      <c r="R21" s="2783"/>
      <c r="S21" s="2016"/>
    </row>
    <row r="22" spans="1:19">
      <c r="A22" s="1930">
        <v>6</v>
      </c>
      <c r="B22" s="2015"/>
      <c r="C22" s="2015"/>
      <c r="D22" s="2792">
        <v>-558.28</v>
      </c>
      <c r="E22" s="2781" t="s">
        <v>357</v>
      </c>
      <c r="F22" s="2787">
        <v>-415.5</v>
      </c>
      <c r="G22" s="2787">
        <v>-63.4</v>
      </c>
      <c r="H22" s="2787">
        <v>-54.57</v>
      </c>
      <c r="I22" s="2787">
        <v>-140.80000000000001</v>
      </c>
      <c r="J22" s="2787">
        <v>-97.19</v>
      </c>
      <c r="K22" s="2786">
        <f>G22+H22+I22+J22</f>
        <v>-355.96</v>
      </c>
      <c r="L22" s="2783"/>
      <c r="M22" s="2783"/>
      <c r="N22" s="2783"/>
      <c r="O22" s="2787">
        <v>-71.05</v>
      </c>
      <c r="P22" s="2787">
        <v>-79.36</v>
      </c>
      <c r="Q22" s="2787">
        <v>-107.77</v>
      </c>
      <c r="R22" s="2787">
        <v>-57.25</v>
      </c>
      <c r="S22" s="2016">
        <f>O22+P22+Q22+R22</f>
        <v>-315.43</v>
      </c>
    </row>
    <row r="23" spans="1:19">
      <c r="A23" s="1930"/>
      <c r="B23" s="2015"/>
      <c r="C23" s="2015"/>
      <c r="D23" s="2015"/>
      <c r="E23" s="2784" t="s">
        <v>348</v>
      </c>
      <c r="F23" s="1930"/>
      <c r="G23" s="1930"/>
      <c r="H23" s="1930"/>
      <c r="I23" s="1930"/>
      <c r="J23" s="1930"/>
      <c r="K23" s="2016"/>
      <c r="L23" s="2783"/>
      <c r="M23" s="2783"/>
      <c r="N23" s="2783"/>
      <c r="O23" s="2783"/>
      <c r="P23" s="2783"/>
      <c r="Q23" s="2783"/>
      <c r="R23" s="2783"/>
      <c r="S23" s="2016"/>
    </row>
    <row r="24" spans="1:19" hidden="1">
      <c r="A24" s="1930">
        <v>7</v>
      </c>
      <c r="B24" s="2015"/>
      <c r="C24" s="2015"/>
      <c r="D24" s="2015"/>
      <c r="E24" s="2791" t="s">
        <v>358</v>
      </c>
      <c r="F24" s="1930"/>
      <c r="G24" s="1930"/>
      <c r="H24" s="1930"/>
      <c r="I24" s="1930"/>
      <c r="J24" s="1930"/>
      <c r="K24" s="2016"/>
      <c r="L24" s="2783"/>
      <c r="M24" s="2783"/>
      <c r="N24" s="2783"/>
      <c r="O24" s="2783"/>
      <c r="P24" s="2783"/>
      <c r="Q24" s="2783"/>
      <c r="R24" s="2783"/>
      <c r="S24" s="2016"/>
    </row>
    <row r="25" spans="1:19" hidden="1">
      <c r="A25" s="1930"/>
      <c r="B25" s="2793">
        <f>19.293791+9.837649</f>
        <v>29.131439999999998</v>
      </c>
      <c r="C25" s="2793">
        <f>15.207471+10.948192</f>
        <v>26.155663000000001</v>
      </c>
      <c r="D25" s="2793"/>
      <c r="E25" s="2784" t="s">
        <v>359</v>
      </c>
      <c r="F25" s="2787"/>
      <c r="G25" s="2787" t="s">
        <v>94</v>
      </c>
      <c r="H25" s="2787" t="s">
        <v>94</v>
      </c>
      <c r="I25" s="2787" t="s">
        <v>94</v>
      </c>
      <c r="J25" s="2787" t="s">
        <v>94</v>
      </c>
      <c r="K25" s="2016"/>
      <c r="L25" s="2783"/>
      <c r="M25" s="2783"/>
      <c r="N25" s="2783"/>
      <c r="O25" s="2783"/>
      <c r="P25" s="2783"/>
      <c r="Q25" s="2783"/>
      <c r="R25" s="2783"/>
      <c r="S25" s="2016"/>
    </row>
    <row r="26" spans="1:19" hidden="1">
      <c r="A26" s="119"/>
      <c r="B26" s="2793">
        <v>-13.357416000000001</v>
      </c>
      <c r="C26" s="2793">
        <v>-15.149838000000001</v>
      </c>
      <c r="D26" s="2793"/>
      <c r="E26" s="2784" t="s">
        <v>360</v>
      </c>
      <c r="F26" s="2787"/>
      <c r="G26" s="2787" t="s">
        <v>94</v>
      </c>
      <c r="H26" s="2787" t="s">
        <v>94</v>
      </c>
      <c r="I26" s="2787" t="s">
        <v>94</v>
      </c>
      <c r="J26" s="2787" t="s">
        <v>94</v>
      </c>
      <c r="K26" s="2016"/>
      <c r="L26" s="2783"/>
      <c r="M26" s="2783"/>
      <c r="N26" s="2783"/>
      <c r="O26" s="2783"/>
      <c r="P26" s="2783"/>
      <c r="Q26" s="2783"/>
      <c r="R26" s="2783"/>
      <c r="S26" s="2016"/>
    </row>
    <row r="27" spans="1:19" hidden="1">
      <c r="A27" s="1930">
        <v>8</v>
      </c>
      <c r="B27" s="2793"/>
      <c r="C27" s="2793"/>
      <c r="D27" s="119"/>
      <c r="E27" s="2794" t="s">
        <v>361</v>
      </c>
      <c r="F27" s="2787"/>
      <c r="G27" s="2787"/>
      <c r="H27" s="2787"/>
      <c r="I27" s="2787"/>
      <c r="J27" s="2787"/>
      <c r="K27" s="2016"/>
      <c r="L27" s="2783"/>
      <c r="M27" s="2783"/>
      <c r="N27" s="2783"/>
      <c r="O27" s="2783"/>
      <c r="P27" s="2783"/>
      <c r="Q27" s="2783"/>
      <c r="R27" s="2783"/>
      <c r="S27" s="2016"/>
    </row>
    <row r="28" spans="1:19" hidden="1">
      <c r="A28" s="119"/>
      <c r="B28" s="2793"/>
      <c r="C28" s="2015"/>
      <c r="D28" s="119">
        <v>0</v>
      </c>
      <c r="E28" s="2794" t="s">
        <v>362</v>
      </c>
      <c r="F28" s="1930">
        <v>0</v>
      </c>
      <c r="G28" s="1930">
        <v>0</v>
      </c>
      <c r="H28" s="1930">
        <v>0</v>
      </c>
      <c r="I28" s="1930">
        <v>0</v>
      </c>
      <c r="J28" s="1930">
        <v>0</v>
      </c>
      <c r="K28" s="2786">
        <f>G28+H28+I28+J28</f>
        <v>0</v>
      </c>
      <c r="L28" s="2783"/>
      <c r="M28" s="2783"/>
      <c r="N28" s="2783"/>
      <c r="O28" s="2787">
        <v>0</v>
      </c>
      <c r="P28" s="2787">
        <v>0</v>
      </c>
      <c r="Q28" s="2787">
        <v>0</v>
      </c>
      <c r="R28" s="2787">
        <v>0</v>
      </c>
      <c r="S28" s="2016">
        <f>O28+P28+Q28+R28</f>
        <v>0</v>
      </c>
    </row>
    <row r="29" spans="1:19">
      <c r="A29" s="1930">
        <v>9</v>
      </c>
      <c r="B29" s="2015"/>
      <c r="C29" s="2015"/>
      <c r="D29" s="2015"/>
      <c r="E29" s="2791" t="s">
        <v>363</v>
      </c>
      <c r="F29" s="1930"/>
      <c r="G29" s="1930"/>
      <c r="H29" s="1930"/>
      <c r="I29" s="1930"/>
      <c r="J29" s="1930"/>
      <c r="K29" s="2016"/>
      <c r="L29" s="2783"/>
      <c r="M29" s="2783"/>
      <c r="N29" s="2783"/>
      <c r="O29" s="2783"/>
      <c r="P29" s="2783"/>
      <c r="Q29" s="2783"/>
      <c r="R29" s="2783"/>
      <c r="S29" s="2016"/>
    </row>
    <row r="30" spans="1:19" ht="28.5">
      <c r="A30" s="1930">
        <v>10</v>
      </c>
      <c r="B30" s="2790">
        <f>419.14823</f>
        <v>419.14823000000001</v>
      </c>
      <c r="C30" s="2790">
        <v>416.70526899999999</v>
      </c>
      <c r="D30" s="2780">
        <v>4431.9799999999996</v>
      </c>
      <c r="E30" s="2781" t="s">
        <v>364</v>
      </c>
      <c r="F30" s="2786">
        <v>2216.6400000000003</v>
      </c>
      <c r="G30" s="2786">
        <v>1171.96</v>
      </c>
      <c r="H30" s="2786">
        <v>1116.8699999999999</v>
      </c>
      <c r="I30" s="2786">
        <v>1113.6600000000001</v>
      </c>
      <c r="J30" s="2786">
        <v>962.09</v>
      </c>
      <c r="K30" s="2786">
        <f>G30+H30+I30+J30</f>
        <v>4364.58</v>
      </c>
      <c r="L30" s="2783"/>
      <c r="M30" s="2783"/>
      <c r="N30" s="2783"/>
      <c r="O30" s="2787">
        <v>659.72</v>
      </c>
      <c r="P30" s="2787">
        <v>670.7</v>
      </c>
      <c r="Q30" s="2787">
        <v>644.03</v>
      </c>
      <c r="R30" s="2787">
        <v>480.39</v>
      </c>
      <c r="S30" s="2016">
        <f t="shared" ref="S30:S36" si="0">O30+P30+Q30+R30</f>
        <v>2454.84</v>
      </c>
    </row>
    <row r="31" spans="1:19">
      <c r="A31" s="1930">
        <v>11</v>
      </c>
      <c r="B31" s="2790">
        <v>40.11</v>
      </c>
      <c r="C31" s="2790">
        <v>61.825600000000001</v>
      </c>
      <c r="D31" s="2780">
        <v>678.41000000000008</v>
      </c>
      <c r="E31" s="2781" t="s">
        <v>365</v>
      </c>
      <c r="F31" s="2786">
        <v>244.63</v>
      </c>
      <c r="G31" s="2786">
        <v>199.38</v>
      </c>
      <c r="H31" s="2786">
        <v>189.01</v>
      </c>
      <c r="I31" s="2786">
        <v>171.47</v>
      </c>
      <c r="J31" s="2786">
        <v>159.52000000000001</v>
      </c>
      <c r="K31" s="2786">
        <f>G31+H31+I31+J31</f>
        <v>719.38</v>
      </c>
      <c r="L31" s="2783"/>
      <c r="M31" s="2783"/>
      <c r="N31" s="2783"/>
      <c r="O31" s="2787">
        <v>83.18</v>
      </c>
      <c r="P31" s="2787">
        <v>78.16</v>
      </c>
      <c r="Q31" s="2787">
        <v>67.98</v>
      </c>
      <c r="R31" s="2787">
        <v>55.04</v>
      </c>
      <c r="S31" s="2016">
        <f t="shared" si="0"/>
        <v>284.36</v>
      </c>
    </row>
    <row r="32" spans="1:19">
      <c r="A32" s="1930">
        <v>12</v>
      </c>
      <c r="B32" s="2790"/>
      <c r="C32" s="2790"/>
      <c r="D32" s="2780">
        <v>-10.84</v>
      </c>
      <c r="E32" s="2781" t="s">
        <v>366</v>
      </c>
      <c r="F32" s="2786">
        <v>-3.93</v>
      </c>
      <c r="G32" s="2786">
        <v>-0.84</v>
      </c>
      <c r="H32" s="2786">
        <v>-0.85</v>
      </c>
      <c r="I32" s="2786">
        <v>-0.51</v>
      </c>
      <c r="J32" s="2786">
        <v>0</v>
      </c>
      <c r="K32" s="2786">
        <f>G32+H32+I32+J32</f>
        <v>-2.2000000000000002</v>
      </c>
      <c r="L32" s="2783"/>
      <c r="M32" s="2783"/>
      <c r="N32" s="2783"/>
      <c r="O32" s="2787">
        <v>-0.46</v>
      </c>
      <c r="P32" s="2787">
        <v>-0.44</v>
      </c>
      <c r="Q32" s="2787">
        <v>-0.23</v>
      </c>
      <c r="R32" s="2787">
        <v>0</v>
      </c>
      <c r="S32" s="2016">
        <f t="shared" si="0"/>
        <v>-1.1300000000000001</v>
      </c>
    </row>
    <row r="33" spans="1:19">
      <c r="A33" s="1930">
        <v>13</v>
      </c>
      <c r="B33" s="2790"/>
      <c r="C33" s="2790"/>
      <c r="D33" s="2780"/>
      <c r="E33" s="2781" t="s">
        <v>367</v>
      </c>
      <c r="F33" s="2786"/>
      <c r="G33" s="2786"/>
      <c r="H33" s="2786"/>
      <c r="I33" s="2786"/>
      <c r="J33" s="2786"/>
      <c r="K33" s="2786"/>
      <c r="L33" s="2783"/>
      <c r="M33" s="2783"/>
      <c r="N33" s="2783"/>
      <c r="O33" s="2787">
        <v>0</v>
      </c>
      <c r="P33" s="2787">
        <v>14.44</v>
      </c>
      <c r="Q33" s="2787">
        <v>12.72</v>
      </c>
      <c r="R33" s="2787">
        <v>18.71</v>
      </c>
      <c r="S33" s="2016">
        <f t="shared" si="0"/>
        <v>45.870000000000005</v>
      </c>
    </row>
    <row r="34" spans="1:19">
      <c r="A34" s="1930">
        <v>14</v>
      </c>
      <c r="B34" s="2790"/>
      <c r="C34" s="2790"/>
      <c r="D34" s="2780"/>
      <c r="E34" s="2781" t="s">
        <v>368</v>
      </c>
      <c r="F34" s="2786"/>
      <c r="G34" s="2786"/>
      <c r="H34" s="2786"/>
      <c r="I34" s="2786"/>
      <c r="J34" s="2786"/>
      <c r="K34" s="2786"/>
      <c r="L34" s="2783"/>
      <c r="M34" s="2783"/>
      <c r="N34" s="2783"/>
      <c r="O34" s="2787">
        <v>0</v>
      </c>
      <c r="P34" s="2787">
        <v>0</v>
      </c>
      <c r="Q34" s="2787">
        <v>0</v>
      </c>
      <c r="R34" s="2787">
        <v>-1.66</v>
      </c>
      <c r="S34" s="2016">
        <f t="shared" si="0"/>
        <v>-1.66</v>
      </c>
    </row>
    <row r="35" spans="1:19">
      <c r="A35" s="1930"/>
      <c r="B35" s="2790"/>
      <c r="C35" s="2790"/>
      <c r="D35" s="2780"/>
      <c r="E35" s="2781" t="s">
        <v>369</v>
      </c>
      <c r="F35" s="2786"/>
      <c r="G35" s="2786"/>
      <c r="H35" s="2786"/>
      <c r="I35" s="2786"/>
      <c r="J35" s="2786"/>
      <c r="K35" s="2786"/>
      <c r="L35" s="2783"/>
      <c r="M35" s="2783"/>
      <c r="N35" s="2783"/>
      <c r="O35" s="2787">
        <v>0</v>
      </c>
      <c r="P35" s="2787">
        <v>0</v>
      </c>
      <c r="Q35" s="2787">
        <v>0</v>
      </c>
      <c r="R35" s="2787">
        <v>-0.12</v>
      </c>
      <c r="S35" s="2016">
        <f t="shared" si="0"/>
        <v>-0.12</v>
      </c>
    </row>
    <row r="36" spans="1:19">
      <c r="A36" s="2015" t="s">
        <v>94</v>
      </c>
      <c r="B36" s="2790">
        <f>SUM(B13:B31)</f>
        <v>475.939954</v>
      </c>
      <c r="C36" s="2790">
        <f>SUM(C13:C31)</f>
        <v>494.877994</v>
      </c>
      <c r="D36" s="2780">
        <v>4849.1100000000006</v>
      </c>
      <c r="E36" s="2780"/>
      <c r="F36" s="2786">
        <v>2189.2199999999998</v>
      </c>
      <c r="G36" s="2786">
        <f>SUM(G12:G32)</f>
        <v>1352.97</v>
      </c>
      <c r="H36" s="2786">
        <f>SUM(H12:H32)</f>
        <v>1282.44</v>
      </c>
      <c r="I36" s="2786">
        <f>SUM(I12:I32)</f>
        <v>1202.74</v>
      </c>
      <c r="J36" s="2786">
        <f>SUM(J12:J32)</f>
        <v>1075.95</v>
      </c>
      <c r="K36" s="2786">
        <f>G36+H36+I36+J36</f>
        <v>4914.0999999999995</v>
      </c>
      <c r="L36" s="2786" t="s">
        <v>94</v>
      </c>
      <c r="M36" s="2786" t="s">
        <v>277</v>
      </c>
      <c r="N36" s="2786" t="s">
        <v>94</v>
      </c>
      <c r="O36" s="2786">
        <f>SUM(O12:O35)</f>
        <v>689.15000000000009</v>
      </c>
      <c r="P36" s="2786">
        <f>SUM(P12:P35)</f>
        <v>698.28</v>
      </c>
      <c r="Q36" s="2786">
        <f>SUM(Q12:Q35)</f>
        <v>646.39</v>
      </c>
      <c r="R36" s="2786">
        <f>SUM(R12:R35)</f>
        <v>592.66000000000008</v>
      </c>
      <c r="S36" s="2016">
        <f t="shared" si="0"/>
        <v>2626.4800000000005</v>
      </c>
    </row>
    <row r="37" spans="1:19">
      <c r="A37" s="119"/>
      <c r="B37" s="2790">
        <f>SUM(B36:B36)</f>
        <v>475.939954</v>
      </c>
      <c r="C37" s="2790">
        <f>SUM(C36:C36)</f>
        <v>494.877994</v>
      </c>
      <c r="D37" s="2780"/>
      <c r="E37" s="2781" t="s">
        <v>94</v>
      </c>
      <c r="F37" s="2786"/>
      <c r="G37" s="2786" t="s">
        <v>94</v>
      </c>
      <c r="H37" s="2786" t="s">
        <v>94</v>
      </c>
      <c r="I37" s="2786" t="s">
        <v>94</v>
      </c>
      <c r="J37" s="2786" t="s">
        <v>94</v>
      </c>
      <c r="K37" s="119"/>
      <c r="L37" s="2783"/>
      <c r="M37" s="2783"/>
      <c r="N37" s="2783"/>
      <c r="O37" s="2783"/>
      <c r="P37" s="2783"/>
      <c r="Q37" s="2783"/>
      <c r="R37" s="2783"/>
      <c r="S37" s="119"/>
    </row>
    <row r="38" spans="1:19">
      <c r="S38" s="1153"/>
    </row>
    <row r="39" spans="1:19">
      <c r="D39" s="1708"/>
    </row>
    <row r="40" spans="1:19">
      <c r="D40" s="1708"/>
    </row>
  </sheetData>
  <sheetProtection selectLockedCells="1" selectUnlockedCells="1"/>
  <mergeCells count="8">
    <mergeCell ref="D12:D17"/>
    <mergeCell ref="D18:D20"/>
    <mergeCell ref="L2:R2"/>
    <mergeCell ref="A2:A4"/>
    <mergeCell ref="B2:B4"/>
    <mergeCell ref="C2:C4"/>
    <mergeCell ref="D2:D4"/>
    <mergeCell ref="E2:E4"/>
  </mergeCells>
  <pageMargins left="0.35433070866141736" right="0.15748031496062992" top="0.74803149606299213" bottom="0.74803149606299213" header="0.51181102362204722" footer="0.51181102362204722"/>
  <pageSetup paperSize="9" scale="50" firstPageNumber="0" orientation="portrait" horizontalDpi="300" verticalDpi="300" r:id="rId1"/>
  <headerFooter alignWithMargins="0"/>
</worksheet>
</file>

<file path=xl/worksheets/sheet138.xml><?xml version="1.0" encoding="utf-8"?>
<worksheet xmlns="http://schemas.openxmlformats.org/spreadsheetml/2006/main" xmlns:r="http://schemas.openxmlformats.org/officeDocument/2006/relationships">
  <sheetPr codeName="Sheet117">
    <tabColor theme="1" tint="4.9989318521683403E-2"/>
  </sheetPr>
  <dimension ref="A1:L114"/>
  <sheetViews>
    <sheetView showGridLines="0" view="pageBreakPreview" topLeftCell="A5" zoomScale="70" zoomScaleSheetLayoutView="70" workbookViewId="0">
      <selection activeCell="A37" sqref="A37:XFD37"/>
    </sheetView>
  </sheetViews>
  <sheetFormatPr defaultRowHeight="15"/>
  <cols>
    <col min="1" max="1" width="8.85546875" style="30" customWidth="1"/>
    <col min="2" max="2" width="45.85546875" style="30" customWidth="1"/>
    <col min="3" max="3" width="16.28515625" style="30" customWidth="1"/>
    <col min="4" max="4" width="11.140625" style="30" hidden="1" customWidth="1"/>
    <col min="5" max="5" width="16.140625" style="30" hidden="1" customWidth="1"/>
    <col min="6" max="6" width="8.7109375" style="30" hidden="1" customWidth="1"/>
    <col min="7" max="7" width="8" style="30" customWidth="1"/>
    <col min="8" max="8" width="8.42578125" style="30" customWidth="1"/>
    <col min="9" max="9" width="8" style="30" customWidth="1"/>
    <col min="10" max="10" width="9" style="30" customWidth="1"/>
    <col min="11" max="11" width="14.5703125" style="30" customWidth="1"/>
    <col min="12" max="12" width="7" style="30" customWidth="1"/>
    <col min="13" max="13" width="26.140625" style="30" customWidth="1"/>
    <col min="14" max="18" width="9.140625" style="30"/>
    <col min="19" max="19" width="11.28515625" style="30" customWidth="1"/>
    <col min="20" max="20" width="10.7109375" style="30" customWidth="1"/>
    <col min="21" max="256" width="9.140625" style="30"/>
    <col min="257" max="257" width="8.85546875" style="30" customWidth="1"/>
    <col min="258" max="258" width="45.85546875" style="30" customWidth="1"/>
    <col min="259" max="259" width="16.28515625" style="30" customWidth="1"/>
    <col min="260" max="260" width="5.42578125" style="30" customWidth="1"/>
    <col min="261" max="261" width="6.85546875" style="30" customWidth="1"/>
    <col min="262" max="262" width="6.5703125" style="30" customWidth="1"/>
    <col min="263" max="263" width="8" style="30" customWidth="1"/>
    <col min="264" max="264" width="8.42578125" style="30" customWidth="1"/>
    <col min="265" max="265" width="8" style="30" customWidth="1"/>
    <col min="266" max="266" width="9" style="30" customWidth="1"/>
    <col min="267" max="267" width="11.7109375" style="30" customWidth="1"/>
    <col min="268" max="268" width="7" style="30" customWidth="1"/>
    <col min="269" max="269" width="26.140625" style="30" customWidth="1"/>
    <col min="270" max="274" width="9.140625" style="30"/>
    <col min="275" max="275" width="11.28515625" style="30" customWidth="1"/>
    <col min="276" max="276" width="10.7109375" style="30" customWidth="1"/>
    <col min="277" max="512" width="9.140625" style="30"/>
    <col min="513" max="513" width="8.85546875" style="30" customWidth="1"/>
    <col min="514" max="514" width="45.85546875" style="30" customWidth="1"/>
    <col min="515" max="515" width="16.28515625" style="30" customWidth="1"/>
    <col min="516" max="516" width="5.42578125" style="30" customWidth="1"/>
    <col min="517" max="517" width="6.85546875" style="30" customWidth="1"/>
    <col min="518" max="518" width="6.5703125" style="30" customWidth="1"/>
    <col min="519" max="519" width="8" style="30" customWidth="1"/>
    <col min="520" max="520" width="8.42578125" style="30" customWidth="1"/>
    <col min="521" max="521" width="8" style="30" customWidth="1"/>
    <col min="522" max="522" width="9" style="30" customWidth="1"/>
    <col min="523" max="523" width="11.7109375" style="30" customWidth="1"/>
    <col min="524" max="524" width="7" style="30" customWidth="1"/>
    <col min="525" max="525" width="26.140625" style="30" customWidth="1"/>
    <col min="526" max="530" width="9.140625" style="30"/>
    <col min="531" max="531" width="11.28515625" style="30" customWidth="1"/>
    <col min="532" max="532" width="10.7109375" style="30" customWidth="1"/>
    <col min="533" max="768" width="9.140625" style="30"/>
    <col min="769" max="769" width="8.85546875" style="30" customWidth="1"/>
    <col min="770" max="770" width="45.85546875" style="30" customWidth="1"/>
    <col min="771" max="771" width="16.28515625" style="30" customWidth="1"/>
    <col min="772" max="772" width="5.42578125" style="30" customWidth="1"/>
    <col min="773" max="773" width="6.85546875" style="30" customWidth="1"/>
    <col min="774" max="774" width="6.5703125" style="30" customWidth="1"/>
    <col min="775" max="775" width="8" style="30" customWidth="1"/>
    <col min="776" max="776" width="8.42578125" style="30" customWidth="1"/>
    <col min="777" max="777" width="8" style="30" customWidth="1"/>
    <col min="778" max="778" width="9" style="30" customWidth="1"/>
    <col min="779" max="779" width="11.7109375" style="30" customWidth="1"/>
    <col min="780" max="780" width="7" style="30" customWidth="1"/>
    <col min="781" max="781" width="26.140625" style="30" customWidth="1"/>
    <col min="782" max="786" width="9.140625" style="30"/>
    <col min="787" max="787" width="11.28515625" style="30" customWidth="1"/>
    <col min="788" max="788" width="10.7109375" style="30" customWidth="1"/>
    <col min="789" max="1024" width="9.140625" style="30"/>
    <col min="1025" max="1025" width="8.85546875" style="30" customWidth="1"/>
    <col min="1026" max="1026" width="45.85546875" style="30" customWidth="1"/>
    <col min="1027" max="1027" width="16.28515625" style="30" customWidth="1"/>
    <col min="1028" max="1028" width="5.42578125" style="30" customWidth="1"/>
    <col min="1029" max="1029" width="6.85546875" style="30" customWidth="1"/>
    <col min="1030" max="1030" width="6.5703125" style="30" customWidth="1"/>
    <col min="1031" max="1031" width="8" style="30" customWidth="1"/>
    <col min="1032" max="1032" width="8.42578125" style="30" customWidth="1"/>
    <col min="1033" max="1033" width="8" style="30" customWidth="1"/>
    <col min="1034" max="1034" width="9" style="30" customWidth="1"/>
    <col min="1035" max="1035" width="11.7109375" style="30" customWidth="1"/>
    <col min="1036" max="1036" width="7" style="30" customWidth="1"/>
    <col min="1037" max="1037" width="26.140625" style="30" customWidth="1"/>
    <col min="1038" max="1042" width="9.140625" style="30"/>
    <col min="1043" max="1043" width="11.28515625" style="30" customWidth="1"/>
    <col min="1044" max="1044" width="10.7109375" style="30" customWidth="1"/>
    <col min="1045" max="1280" width="9.140625" style="30"/>
    <col min="1281" max="1281" width="8.85546875" style="30" customWidth="1"/>
    <col min="1282" max="1282" width="45.85546875" style="30" customWidth="1"/>
    <col min="1283" max="1283" width="16.28515625" style="30" customWidth="1"/>
    <col min="1284" max="1284" width="5.42578125" style="30" customWidth="1"/>
    <col min="1285" max="1285" width="6.85546875" style="30" customWidth="1"/>
    <col min="1286" max="1286" width="6.5703125" style="30" customWidth="1"/>
    <col min="1287" max="1287" width="8" style="30" customWidth="1"/>
    <col min="1288" max="1288" width="8.42578125" style="30" customWidth="1"/>
    <col min="1289" max="1289" width="8" style="30" customWidth="1"/>
    <col min="1290" max="1290" width="9" style="30" customWidth="1"/>
    <col min="1291" max="1291" width="11.7109375" style="30" customWidth="1"/>
    <col min="1292" max="1292" width="7" style="30" customWidth="1"/>
    <col min="1293" max="1293" width="26.140625" style="30" customWidth="1"/>
    <col min="1294" max="1298" width="9.140625" style="30"/>
    <col min="1299" max="1299" width="11.28515625" style="30" customWidth="1"/>
    <col min="1300" max="1300" width="10.7109375" style="30" customWidth="1"/>
    <col min="1301" max="1536" width="9.140625" style="30"/>
    <col min="1537" max="1537" width="8.85546875" style="30" customWidth="1"/>
    <col min="1538" max="1538" width="45.85546875" style="30" customWidth="1"/>
    <col min="1539" max="1539" width="16.28515625" style="30" customWidth="1"/>
    <col min="1540" max="1540" width="5.42578125" style="30" customWidth="1"/>
    <col min="1541" max="1541" width="6.85546875" style="30" customWidth="1"/>
    <col min="1542" max="1542" width="6.5703125" style="30" customWidth="1"/>
    <col min="1543" max="1543" width="8" style="30" customWidth="1"/>
    <col min="1544" max="1544" width="8.42578125" style="30" customWidth="1"/>
    <col min="1545" max="1545" width="8" style="30" customWidth="1"/>
    <col min="1546" max="1546" width="9" style="30" customWidth="1"/>
    <col min="1547" max="1547" width="11.7109375" style="30" customWidth="1"/>
    <col min="1548" max="1548" width="7" style="30" customWidth="1"/>
    <col min="1549" max="1549" width="26.140625" style="30" customWidth="1"/>
    <col min="1550" max="1554" width="9.140625" style="30"/>
    <col min="1555" max="1555" width="11.28515625" style="30" customWidth="1"/>
    <col min="1556" max="1556" width="10.7109375" style="30" customWidth="1"/>
    <col min="1557" max="1792" width="9.140625" style="30"/>
    <col min="1793" max="1793" width="8.85546875" style="30" customWidth="1"/>
    <col min="1794" max="1794" width="45.85546875" style="30" customWidth="1"/>
    <col min="1795" max="1795" width="16.28515625" style="30" customWidth="1"/>
    <col min="1796" max="1796" width="5.42578125" style="30" customWidth="1"/>
    <col min="1797" max="1797" width="6.85546875" style="30" customWidth="1"/>
    <col min="1798" max="1798" width="6.5703125" style="30" customWidth="1"/>
    <col min="1799" max="1799" width="8" style="30" customWidth="1"/>
    <col min="1800" max="1800" width="8.42578125" style="30" customWidth="1"/>
    <col min="1801" max="1801" width="8" style="30" customWidth="1"/>
    <col min="1802" max="1802" width="9" style="30" customWidth="1"/>
    <col min="1803" max="1803" width="11.7109375" style="30" customWidth="1"/>
    <col min="1804" max="1804" width="7" style="30" customWidth="1"/>
    <col min="1805" max="1805" width="26.140625" style="30" customWidth="1"/>
    <col min="1806" max="1810" width="9.140625" style="30"/>
    <col min="1811" max="1811" width="11.28515625" style="30" customWidth="1"/>
    <col min="1812" max="1812" width="10.7109375" style="30" customWidth="1"/>
    <col min="1813" max="2048" width="9.140625" style="30"/>
    <col min="2049" max="2049" width="8.85546875" style="30" customWidth="1"/>
    <col min="2050" max="2050" width="45.85546875" style="30" customWidth="1"/>
    <col min="2051" max="2051" width="16.28515625" style="30" customWidth="1"/>
    <col min="2052" max="2052" width="5.42578125" style="30" customWidth="1"/>
    <col min="2053" max="2053" width="6.85546875" style="30" customWidth="1"/>
    <col min="2054" max="2054" width="6.5703125" style="30" customWidth="1"/>
    <col min="2055" max="2055" width="8" style="30" customWidth="1"/>
    <col min="2056" max="2056" width="8.42578125" style="30" customWidth="1"/>
    <col min="2057" max="2057" width="8" style="30" customWidth="1"/>
    <col min="2058" max="2058" width="9" style="30" customWidth="1"/>
    <col min="2059" max="2059" width="11.7109375" style="30" customWidth="1"/>
    <col min="2060" max="2060" width="7" style="30" customWidth="1"/>
    <col min="2061" max="2061" width="26.140625" style="30" customWidth="1"/>
    <col min="2062" max="2066" width="9.140625" style="30"/>
    <col min="2067" max="2067" width="11.28515625" style="30" customWidth="1"/>
    <col min="2068" max="2068" width="10.7109375" style="30" customWidth="1"/>
    <col min="2069" max="2304" width="9.140625" style="30"/>
    <col min="2305" max="2305" width="8.85546875" style="30" customWidth="1"/>
    <col min="2306" max="2306" width="45.85546875" style="30" customWidth="1"/>
    <col min="2307" max="2307" width="16.28515625" style="30" customWidth="1"/>
    <col min="2308" max="2308" width="5.42578125" style="30" customWidth="1"/>
    <col min="2309" max="2309" width="6.85546875" style="30" customWidth="1"/>
    <col min="2310" max="2310" width="6.5703125" style="30" customWidth="1"/>
    <col min="2311" max="2311" width="8" style="30" customWidth="1"/>
    <col min="2312" max="2312" width="8.42578125" style="30" customWidth="1"/>
    <col min="2313" max="2313" width="8" style="30" customWidth="1"/>
    <col min="2314" max="2314" width="9" style="30" customWidth="1"/>
    <col min="2315" max="2315" width="11.7109375" style="30" customWidth="1"/>
    <col min="2316" max="2316" width="7" style="30" customWidth="1"/>
    <col min="2317" max="2317" width="26.140625" style="30" customWidth="1"/>
    <col min="2318" max="2322" width="9.140625" style="30"/>
    <col min="2323" max="2323" width="11.28515625" style="30" customWidth="1"/>
    <col min="2324" max="2324" width="10.7109375" style="30" customWidth="1"/>
    <col min="2325" max="2560" width="9.140625" style="30"/>
    <col min="2561" max="2561" width="8.85546875" style="30" customWidth="1"/>
    <col min="2562" max="2562" width="45.85546875" style="30" customWidth="1"/>
    <col min="2563" max="2563" width="16.28515625" style="30" customWidth="1"/>
    <col min="2564" max="2564" width="5.42578125" style="30" customWidth="1"/>
    <col min="2565" max="2565" width="6.85546875" style="30" customWidth="1"/>
    <col min="2566" max="2566" width="6.5703125" style="30" customWidth="1"/>
    <col min="2567" max="2567" width="8" style="30" customWidth="1"/>
    <col min="2568" max="2568" width="8.42578125" style="30" customWidth="1"/>
    <col min="2569" max="2569" width="8" style="30" customWidth="1"/>
    <col min="2570" max="2570" width="9" style="30" customWidth="1"/>
    <col min="2571" max="2571" width="11.7109375" style="30" customWidth="1"/>
    <col min="2572" max="2572" width="7" style="30" customWidth="1"/>
    <col min="2573" max="2573" width="26.140625" style="30" customWidth="1"/>
    <col min="2574" max="2578" width="9.140625" style="30"/>
    <col min="2579" max="2579" width="11.28515625" style="30" customWidth="1"/>
    <col min="2580" max="2580" width="10.7109375" style="30" customWidth="1"/>
    <col min="2581" max="2816" width="9.140625" style="30"/>
    <col min="2817" max="2817" width="8.85546875" style="30" customWidth="1"/>
    <col min="2818" max="2818" width="45.85546875" style="30" customWidth="1"/>
    <col min="2819" max="2819" width="16.28515625" style="30" customWidth="1"/>
    <col min="2820" max="2820" width="5.42578125" style="30" customWidth="1"/>
    <col min="2821" max="2821" width="6.85546875" style="30" customWidth="1"/>
    <col min="2822" max="2822" width="6.5703125" style="30" customWidth="1"/>
    <col min="2823" max="2823" width="8" style="30" customWidth="1"/>
    <col min="2824" max="2824" width="8.42578125" style="30" customWidth="1"/>
    <col min="2825" max="2825" width="8" style="30" customWidth="1"/>
    <col min="2826" max="2826" width="9" style="30" customWidth="1"/>
    <col min="2827" max="2827" width="11.7109375" style="30" customWidth="1"/>
    <col min="2828" max="2828" width="7" style="30" customWidth="1"/>
    <col min="2829" max="2829" width="26.140625" style="30" customWidth="1"/>
    <col min="2830" max="2834" width="9.140625" style="30"/>
    <col min="2835" max="2835" width="11.28515625" style="30" customWidth="1"/>
    <col min="2836" max="2836" width="10.7109375" style="30" customWidth="1"/>
    <col min="2837" max="3072" width="9.140625" style="30"/>
    <col min="3073" max="3073" width="8.85546875" style="30" customWidth="1"/>
    <col min="3074" max="3074" width="45.85546875" style="30" customWidth="1"/>
    <col min="3075" max="3075" width="16.28515625" style="30" customWidth="1"/>
    <col min="3076" max="3076" width="5.42578125" style="30" customWidth="1"/>
    <col min="3077" max="3077" width="6.85546875" style="30" customWidth="1"/>
    <col min="3078" max="3078" width="6.5703125" style="30" customWidth="1"/>
    <col min="3079" max="3079" width="8" style="30" customWidth="1"/>
    <col min="3080" max="3080" width="8.42578125" style="30" customWidth="1"/>
    <col min="3081" max="3081" width="8" style="30" customWidth="1"/>
    <col min="3082" max="3082" width="9" style="30" customWidth="1"/>
    <col min="3083" max="3083" width="11.7109375" style="30" customWidth="1"/>
    <col min="3084" max="3084" width="7" style="30" customWidth="1"/>
    <col min="3085" max="3085" width="26.140625" style="30" customWidth="1"/>
    <col min="3086" max="3090" width="9.140625" style="30"/>
    <col min="3091" max="3091" width="11.28515625" style="30" customWidth="1"/>
    <col min="3092" max="3092" width="10.7109375" style="30" customWidth="1"/>
    <col min="3093" max="3328" width="9.140625" style="30"/>
    <col min="3329" max="3329" width="8.85546875" style="30" customWidth="1"/>
    <col min="3330" max="3330" width="45.85546875" style="30" customWidth="1"/>
    <col min="3331" max="3331" width="16.28515625" style="30" customWidth="1"/>
    <col min="3332" max="3332" width="5.42578125" style="30" customWidth="1"/>
    <col min="3333" max="3333" width="6.85546875" style="30" customWidth="1"/>
    <col min="3334" max="3334" width="6.5703125" style="30" customWidth="1"/>
    <col min="3335" max="3335" width="8" style="30" customWidth="1"/>
    <col min="3336" max="3336" width="8.42578125" style="30" customWidth="1"/>
    <col min="3337" max="3337" width="8" style="30" customWidth="1"/>
    <col min="3338" max="3338" width="9" style="30" customWidth="1"/>
    <col min="3339" max="3339" width="11.7109375" style="30" customWidth="1"/>
    <col min="3340" max="3340" width="7" style="30" customWidth="1"/>
    <col min="3341" max="3341" width="26.140625" style="30" customWidth="1"/>
    <col min="3342" max="3346" width="9.140625" style="30"/>
    <col min="3347" max="3347" width="11.28515625" style="30" customWidth="1"/>
    <col min="3348" max="3348" width="10.7109375" style="30" customWidth="1"/>
    <col min="3349" max="3584" width="9.140625" style="30"/>
    <col min="3585" max="3585" width="8.85546875" style="30" customWidth="1"/>
    <col min="3586" max="3586" width="45.85546875" style="30" customWidth="1"/>
    <col min="3587" max="3587" width="16.28515625" style="30" customWidth="1"/>
    <col min="3588" max="3588" width="5.42578125" style="30" customWidth="1"/>
    <col min="3589" max="3589" width="6.85546875" style="30" customWidth="1"/>
    <col min="3590" max="3590" width="6.5703125" style="30" customWidth="1"/>
    <col min="3591" max="3591" width="8" style="30" customWidth="1"/>
    <col min="3592" max="3592" width="8.42578125" style="30" customWidth="1"/>
    <col min="3593" max="3593" width="8" style="30" customWidth="1"/>
    <col min="3594" max="3594" width="9" style="30" customWidth="1"/>
    <col min="3595" max="3595" width="11.7109375" style="30" customWidth="1"/>
    <col min="3596" max="3596" width="7" style="30" customWidth="1"/>
    <col min="3597" max="3597" width="26.140625" style="30" customWidth="1"/>
    <col min="3598" max="3602" width="9.140625" style="30"/>
    <col min="3603" max="3603" width="11.28515625" style="30" customWidth="1"/>
    <col min="3604" max="3604" width="10.7109375" style="30" customWidth="1"/>
    <col min="3605" max="3840" width="9.140625" style="30"/>
    <col min="3841" max="3841" width="8.85546875" style="30" customWidth="1"/>
    <col min="3842" max="3842" width="45.85546875" style="30" customWidth="1"/>
    <col min="3843" max="3843" width="16.28515625" style="30" customWidth="1"/>
    <col min="3844" max="3844" width="5.42578125" style="30" customWidth="1"/>
    <col min="3845" max="3845" width="6.85546875" style="30" customWidth="1"/>
    <col min="3846" max="3846" width="6.5703125" style="30" customWidth="1"/>
    <col min="3847" max="3847" width="8" style="30" customWidth="1"/>
    <col min="3848" max="3848" width="8.42578125" style="30" customWidth="1"/>
    <col min="3849" max="3849" width="8" style="30" customWidth="1"/>
    <col min="3850" max="3850" width="9" style="30" customWidth="1"/>
    <col min="3851" max="3851" width="11.7109375" style="30" customWidth="1"/>
    <col min="3852" max="3852" width="7" style="30" customWidth="1"/>
    <col min="3853" max="3853" width="26.140625" style="30" customWidth="1"/>
    <col min="3854" max="3858" width="9.140625" style="30"/>
    <col min="3859" max="3859" width="11.28515625" style="30" customWidth="1"/>
    <col min="3860" max="3860" width="10.7109375" style="30" customWidth="1"/>
    <col min="3861" max="4096" width="9.140625" style="30"/>
    <col min="4097" max="4097" width="8.85546875" style="30" customWidth="1"/>
    <col min="4098" max="4098" width="45.85546875" style="30" customWidth="1"/>
    <col min="4099" max="4099" width="16.28515625" style="30" customWidth="1"/>
    <col min="4100" max="4100" width="5.42578125" style="30" customWidth="1"/>
    <col min="4101" max="4101" width="6.85546875" style="30" customWidth="1"/>
    <col min="4102" max="4102" width="6.5703125" style="30" customWidth="1"/>
    <col min="4103" max="4103" width="8" style="30" customWidth="1"/>
    <col min="4104" max="4104" width="8.42578125" style="30" customWidth="1"/>
    <col min="4105" max="4105" width="8" style="30" customWidth="1"/>
    <col min="4106" max="4106" width="9" style="30" customWidth="1"/>
    <col min="4107" max="4107" width="11.7109375" style="30" customWidth="1"/>
    <col min="4108" max="4108" width="7" style="30" customWidth="1"/>
    <col min="4109" max="4109" width="26.140625" style="30" customWidth="1"/>
    <col min="4110" max="4114" width="9.140625" style="30"/>
    <col min="4115" max="4115" width="11.28515625" style="30" customWidth="1"/>
    <col min="4116" max="4116" width="10.7109375" style="30" customWidth="1"/>
    <col min="4117" max="4352" width="9.140625" style="30"/>
    <col min="4353" max="4353" width="8.85546875" style="30" customWidth="1"/>
    <col min="4354" max="4354" width="45.85546875" style="30" customWidth="1"/>
    <col min="4355" max="4355" width="16.28515625" style="30" customWidth="1"/>
    <col min="4356" max="4356" width="5.42578125" style="30" customWidth="1"/>
    <col min="4357" max="4357" width="6.85546875" style="30" customWidth="1"/>
    <col min="4358" max="4358" width="6.5703125" style="30" customWidth="1"/>
    <col min="4359" max="4359" width="8" style="30" customWidth="1"/>
    <col min="4360" max="4360" width="8.42578125" style="30" customWidth="1"/>
    <col min="4361" max="4361" width="8" style="30" customWidth="1"/>
    <col min="4362" max="4362" width="9" style="30" customWidth="1"/>
    <col min="4363" max="4363" width="11.7109375" style="30" customWidth="1"/>
    <col min="4364" max="4364" width="7" style="30" customWidth="1"/>
    <col min="4365" max="4365" width="26.140625" style="30" customWidth="1"/>
    <col min="4366" max="4370" width="9.140625" style="30"/>
    <col min="4371" max="4371" width="11.28515625" style="30" customWidth="1"/>
    <col min="4372" max="4372" width="10.7109375" style="30" customWidth="1"/>
    <col min="4373" max="4608" width="9.140625" style="30"/>
    <col min="4609" max="4609" width="8.85546875" style="30" customWidth="1"/>
    <col min="4610" max="4610" width="45.85546875" style="30" customWidth="1"/>
    <col min="4611" max="4611" width="16.28515625" style="30" customWidth="1"/>
    <col min="4612" max="4612" width="5.42578125" style="30" customWidth="1"/>
    <col min="4613" max="4613" width="6.85546875" style="30" customWidth="1"/>
    <col min="4614" max="4614" width="6.5703125" style="30" customWidth="1"/>
    <col min="4615" max="4615" width="8" style="30" customWidth="1"/>
    <col min="4616" max="4616" width="8.42578125" style="30" customWidth="1"/>
    <col min="4617" max="4617" width="8" style="30" customWidth="1"/>
    <col min="4618" max="4618" width="9" style="30" customWidth="1"/>
    <col min="4619" max="4619" width="11.7109375" style="30" customWidth="1"/>
    <col min="4620" max="4620" width="7" style="30" customWidth="1"/>
    <col min="4621" max="4621" width="26.140625" style="30" customWidth="1"/>
    <col min="4622" max="4626" width="9.140625" style="30"/>
    <col min="4627" max="4627" width="11.28515625" style="30" customWidth="1"/>
    <col min="4628" max="4628" width="10.7109375" style="30" customWidth="1"/>
    <col min="4629" max="4864" width="9.140625" style="30"/>
    <col min="4865" max="4865" width="8.85546875" style="30" customWidth="1"/>
    <col min="4866" max="4866" width="45.85546875" style="30" customWidth="1"/>
    <col min="4867" max="4867" width="16.28515625" style="30" customWidth="1"/>
    <col min="4868" max="4868" width="5.42578125" style="30" customWidth="1"/>
    <col min="4869" max="4869" width="6.85546875" style="30" customWidth="1"/>
    <col min="4870" max="4870" width="6.5703125" style="30" customWidth="1"/>
    <col min="4871" max="4871" width="8" style="30" customWidth="1"/>
    <col min="4872" max="4872" width="8.42578125" style="30" customWidth="1"/>
    <col min="4873" max="4873" width="8" style="30" customWidth="1"/>
    <col min="4874" max="4874" width="9" style="30" customWidth="1"/>
    <col min="4875" max="4875" width="11.7109375" style="30" customWidth="1"/>
    <col min="4876" max="4876" width="7" style="30" customWidth="1"/>
    <col min="4877" max="4877" width="26.140625" style="30" customWidth="1"/>
    <col min="4878" max="4882" width="9.140625" style="30"/>
    <col min="4883" max="4883" width="11.28515625" style="30" customWidth="1"/>
    <col min="4884" max="4884" width="10.7109375" style="30" customWidth="1"/>
    <col min="4885" max="5120" width="9.140625" style="30"/>
    <col min="5121" max="5121" width="8.85546875" style="30" customWidth="1"/>
    <col min="5122" max="5122" width="45.85546875" style="30" customWidth="1"/>
    <col min="5123" max="5123" width="16.28515625" style="30" customWidth="1"/>
    <col min="5124" max="5124" width="5.42578125" style="30" customWidth="1"/>
    <col min="5125" max="5125" width="6.85546875" style="30" customWidth="1"/>
    <col min="5126" max="5126" width="6.5703125" style="30" customWidth="1"/>
    <col min="5127" max="5127" width="8" style="30" customWidth="1"/>
    <col min="5128" max="5128" width="8.42578125" style="30" customWidth="1"/>
    <col min="5129" max="5129" width="8" style="30" customWidth="1"/>
    <col min="5130" max="5130" width="9" style="30" customWidth="1"/>
    <col min="5131" max="5131" width="11.7109375" style="30" customWidth="1"/>
    <col min="5132" max="5132" width="7" style="30" customWidth="1"/>
    <col min="5133" max="5133" width="26.140625" style="30" customWidth="1"/>
    <col min="5134" max="5138" width="9.140625" style="30"/>
    <col min="5139" max="5139" width="11.28515625" style="30" customWidth="1"/>
    <col min="5140" max="5140" width="10.7109375" style="30" customWidth="1"/>
    <col min="5141" max="5376" width="9.140625" style="30"/>
    <col min="5377" max="5377" width="8.85546875" style="30" customWidth="1"/>
    <col min="5378" max="5378" width="45.85546875" style="30" customWidth="1"/>
    <col min="5379" max="5379" width="16.28515625" style="30" customWidth="1"/>
    <col min="5380" max="5380" width="5.42578125" style="30" customWidth="1"/>
    <col min="5381" max="5381" width="6.85546875" style="30" customWidth="1"/>
    <col min="5382" max="5382" width="6.5703125" style="30" customWidth="1"/>
    <col min="5383" max="5383" width="8" style="30" customWidth="1"/>
    <col min="5384" max="5384" width="8.42578125" style="30" customWidth="1"/>
    <col min="5385" max="5385" width="8" style="30" customWidth="1"/>
    <col min="5386" max="5386" width="9" style="30" customWidth="1"/>
    <col min="5387" max="5387" width="11.7109375" style="30" customWidth="1"/>
    <col min="5388" max="5388" width="7" style="30" customWidth="1"/>
    <col min="5389" max="5389" width="26.140625" style="30" customWidth="1"/>
    <col min="5390" max="5394" width="9.140625" style="30"/>
    <col min="5395" max="5395" width="11.28515625" style="30" customWidth="1"/>
    <col min="5396" max="5396" width="10.7109375" style="30" customWidth="1"/>
    <col min="5397" max="5632" width="9.140625" style="30"/>
    <col min="5633" max="5633" width="8.85546875" style="30" customWidth="1"/>
    <col min="5634" max="5634" width="45.85546875" style="30" customWidth="1"/>
    <col min="5635" max="5635" width="16.28515625" style="30" customWidth="1"/>
    <col min="5636" max="5636" width="5.42578125" style="30" customWidth="1"/>
    <col min="5637" max="5637" width="6.85546875" style="30" customWidth="1"/>
    <col min="5638" max="5638" width="6.5703125" style="30" customWidth="1"/>
    <col min="5639" max="5639" width="8" style="30" customWidth="1"/>
    <col min="5640" max="5640" width="8.42578125" style="30" customWidth="1"/>
    <col min="5641" max="5641" width="8" style="30" customWidth="1"/>
    <col min="5642" max="5642" width="9" style="30" customWidth="1"/>
    <col min="5643" max="5643" width="11.7109375" style="30" customWidth="1"/>
    <col min="5644" max="5644" width="7" style="30" customWidth="1"/>
    <col min="5645" max="5645" width="26.140625" style="30" customWidth="1"/>
    <col min="5646" max="5650" width="9.140625" style="30"/>
    <col min="5651" max="5651" width="11.28515625" style="30" customWidth="1"/>
    <col min="5652" max="5652" width="10.7109375" style="30" customWidth="1"/>
    <col min="5653" max="5888" width="9.140625" style="30"/>
    <col min="5889" max="5889" width="8.85546875" style="30" customWidth="1"/>
    <col min="5890" max="5890" width="45.85546875" style="30" customWidth="1"/>
    <col min="5891" max="5891" width="16.28515625" style="30" customWidth="1"/>
    <col min="5892" max="5892" width="5.42578125" style="30" customWidth="1"/>
    <col min="5893" max="5893" width="6.85546875" style="30" customWidth="1"/>
    <col min="5894" max="5894" width="6.5703125" style="30" customWidth="1"/>
    <col min="5895" max="5895" width="8" style="30" customWidth="1"/>
    <col min="5896" max="5896" width="8.42578125" style="30" customWidth="1"/>
    <col min="5897" max="5897" width="8" style="30" customWidth="1"/>
    <col min="5898" max="5898" width="9" style="30" customWidth="1"/>
    <col min="5899" max="5899" width="11.7109375" style="30" customWidth="1"/>
    <col min="5900" max="5900" width="7" style="30" customWidth="1"/>
    <col min="5901" max="5901" width="26.140625" style="30" customWidth="1"/>
    <col min="5902" max="5906" width="9.140625" style="30"/>
    <col min="5907" max="5907" width="11.28515625" style="30" customWidth="1"/>
    <col min="5908" max="5908" width="10.7109375" style="30" customWidth="1"/>
    <col min="5909" max="6144" width="9.140625" style="30"/>
    <col min="6145" max="6145" width="8.85546875" style="30" customWidth="1"/>
    <col min="6146" max="6146" width="45.85546875" style="30" customWidth="1"/>
    <col min="6147" max="6147" width="16.28515625" style="30" customWidth="1"/>
    <col min="6148" max="6148" width="5.42578125" style="30" customWidth="1"/>
    <col min="6149" max="6149" width="6.85546875" style="30" customWidth="1"/>
    <col min="6150" max="6150" width="6.5703125" style="30" customWidth="1"/>
    <col min="6151" max="6151" width="8" style="30" customWidth="1"/>
    <col min="6152" max="6152" width="8.42578125" style="30" customWidth="1"/>
    <col min="6153" max="6153" width="8" style="30" customWidth="1"/>
    <col min="6154" max="6154" width="9" style="30" customWidth="1"/>
    <col min="6155" max="6155" width="11.7109375" style="30" customWidth="1"/>
    <col min="6156" max="6156" width="7" style="30" customWidth="1"/>
    <col min="6157" max="6157" width="26.140625" style="30" customWidth="1"/>
    <col min="6158" max="6162" width="9.140625" style="30"/>
    <col min="6163" max="6163" width="11.28515625" style="30" customWidth="1"/>
    <col min="6164" max="6164" width="10.7109375" style="30" customWidth="1"/>
    <col min="6165" max="6400" width="9.140625" style="30"/>
    <col min="6401" max="6401" width="8.85546875" style="30" customWidth="1"/>
    <col min="6402" max="6402" width="45.85546875" style="30" customWidth="1"/>
    <col min="6403" max="6403" width="16.28515625" style="30" customWidth="1"/>
    <col min="6404" max="6404" width="5.42578125" style="30" customWidth="1"/>
    <col min="6405" max="6405" width="6.85546875" style="30" customWidth="1"/>
    <col min="6406" max="6406" width="6.5703125" style="30" customWidth="1"/>
    <col min="6407" max="6407" width="8" style="30" customWidth="1"/>
    <col min="6408" max="6408" width="8.42578125" style="30" customWidth="1"/>
    <col min="6409" max="6409" width="8" style="30" customWidth="1"/>
    <col min="6410" max="6410" width="9" style="30" customWidth="1"/>
    <col min="6411" max="6411" width="11.7109375" style="30" customWidth="1"/>
    <col min="6412" max="6412" width="7" style="30" customWidth="1"/>
    <col min="6413" max="6413" width="26.140625" style="30" customWidth="1"/>
    <col min="6414" max="6418" width="9.140625" style="30"/>
    <col min="6419" max="6419" width="11.28515625" style="30" customWidth="1"/>
    <col min="6420" max="6420" width="10.7109375" style="30" customWidth="1"/>
    <col min="6421" max="6656" width="9.140625" style="30"/>
    <col min="6657" max="6657" width="8.85546875" style="30" customWidth="1"/>
    <col min="6658" max="6658" width="45.85546875" style="30" customWidth="1"/>
    <col min="6659" max="6659" width="16.28515625" style="30" customWidth="1"/>
    <col min="6660" max="6660" width="5.42578125" style="30" customWidth="1"/>
    <col min="6661" max="6661" width="6.85546875" style="30" customWidth="1"/>
    <col min="6662" max="6662" width="6.5703125" style="30" customWidth="1"/>
    <col min="6663" max="6663" width="8" style="30" customWidth="1"/>
    <col min="6664" max="6664" width="8.42578125" style="30" customWidth="1"/>
    <col min="6665" max="6665" width="8" style="30" customWidth="1"/>
    <col min="6666" max="6666" width="9" style="30" customWidth="1"/>
    <col min="6667" max="6667" width="11.7109375" style="30" customWidth="1"/>
    <col min="6668" max="6668" width="7" style="30" customWidth="1"/>
    <col min="6669" max="6669" width="26.140625" style="30" customWidth="1"/>
    <col min="6670" max="6674" width="9.140625" style="30"/>
    <col min="6675" max="6675" width="11.28515625" style="30" customWidth="1"/>
    <col min="6676" max="6676" width="10.7109375" style="30" customWidth="1"/>
    <col min="6677" max="6912" width="9.140625" style="30"/>
    <col min="6913" max="6913" width="8.85546875" style="30" customWidth="1"/>
    <col min="6914" max="6914" width="45.85546875" style="30" customWidth="1"/>
    <col min="6915" max="6915" width="16.28515625" style="30" customWidth="1"/>
    <col min="6916" max="6916" width="5.42578125" style="30" customWidth="1"/>
    <col min="6917" max="6917" width="6.85546875" style="30" customWidth="1"/>
    <col min="6918" max="6918" width="6.5703125" style="30" customWidth="1"/>
    <col min="6919" max="6919" width="8" style="30" customWidth="1"/>
    <col min="6920" max="6920" width="8.42578125" style="30" customWidth="1"/>
    <col min="6921" max="6921" width="8" style="30" customWidth="1"/>
    <col min="6922" max="6922" width="9" style="30" customWidth="1"/>
    <col min="6923" max="6923" width="11.7109375" style="30" customWidth="1"/>
    <col min="6924" max="6924" width="7" style="30" customWidth="1"/>
    <col min="6925" max="6925" width="26.140625" style="30" customWidth="1"/>
    <col min="6926" max="6930" width="9.140625" style="30"/>
    <col min="6931" max="6931" width="11.28515625" style="30" customWidth="1"/>
    <col min="6932" max="6932" width="10.7109375" style="30" customWidth="1"/>
    <col min="6933" max="7168" width="9.140625" style="30"/>
    <col min="7169" max="7169" width="8.85546875" style="30" customWidth="1"/>
    <col min="7170" max="7170" width="45.85546875" style="30" customWidth="1"/>
    <col min="7171" max="7171" width="16.28515625" style="30" customWidth="1"/>
    <col min="7172" max="7172" width="5.42578125" style="30" customWidth="1"/>
    <col min="7173" max="7173" width="6.85546875" style="30" customWidth="1"/>
    <col min="7174" max="7174" width="6.5703125" style="30" customWidth="1"/>
    <col min="7175" max="7175" width="8" style="30" customWidth="1"/>
    <col min="7176" max="7176" width="8.42578125" style="30" customWidth="1"/>
    <col min="7177" max="7177" width="8" style="30" customWidth="1"/>
    <col min="7178" max="7178" width="9" style="30" customWidth="1"/>
    <col min="7179" max="7179" width="11.7109375" style="30" customWidth="1"/>
    <col min="7180" max="7180" width="7" style="30" customWidth="1"/>
    <col min="7181" max="7181" width="26.140625" style="30" customWidth="1"/>
    <col min="7182" max="7186" width="9.140625" style="30"/>
    <col min="7187" max="7187" width="11.28515625" style="30" customWidth="1"/>
    <col min="7188" max="7188" width="10.7109375" style="30" customWidth="1"/>
    <col min="7189" max="7424" width="9.140625" style="30"/>
    <col min="7425" max="7425" width="8.85546875" style="30" customWidth="1"/>
    <col min="7426" max="7426" width="45.85546875" style="30" customWidth="1"/>
    <col min="7427" max="7427" width="16.28515625" style="30" customWidth="1"/>
    <col min="7428" max="7428" width="5.42578125" style="30" customWidth="1"/>
    <col min="7429" max="7429" width="6.85546875" style="30" customWidth="1"/>
    <col min="7430" max="7430" width="6.5703125" style="30" customWidth="1"/>
    <col min="7431" max="7431" width="8" style="30" customWidth="1"/>
    <col min="7432" max="7432" width="8.42578125" style="30" customWidth="1"/>
    <col min="7433" max="7433" width="8" style="30" customWidth="1"/>
    <col min="7434" max="7434" width="9" style="30" customWidth="1"/>
    <col min="7435" max="7435" width="11.7109375" style="30" customWidth="1"/>
    <col min="7436" max="7436" width="7" style="30" customWidth="1"/>
    <col min="7437" max="7437" width="26.140625" style="30" customWidth="1"/>
    <col min="7438" max="7442" width="9.140625" style="30"/>
    <col min="7443" max="7443" width="11.28515625" style="30" customWidth="1"/>
    <col min="7444" max="7444" width="10.7109375" style="30" customWidth="1"/>
    <col min="7445" max="7680" width="9.140625" style="30"/>
    <col min="7681" max="7681" width="8.85546875" style="30" customWidth="1"/>
    <col min="7682" max="7682" width="45.85546875" style="30" customWidth="1"/>
    <col min="7683" max="7683" width="16.28515625" style="30" customWidth="1"/>
    <col min="7684" max="7684" width="5.42578125" style="30" customWidth="1"/>
    <col min="7685" max="7685" width="6.85546875" style="30" customWidth="1"/>
    <col min="7686" max="7686" width="6.5703125" style="30" customWidth="1"/>
    <col min="7687" max="7687" width="8" style="30" customWidth="1"/>
    <col min="7688" max="7688" width="8.42578125" style="30" customWidth="1"/>
    <col min="7689" max="7689" width="8" style="30" customWidth="1"/>
    <col min="7690" max="7690" width="9" style="30" customWidth="1"/>
    <col min="7691" max="7691" width="11.7109375" style="30" customWidth="1"/>
    <col min="7692" max="7692" width="7" style="30" customWidth="1"/>
    <col min="7693" max="7693" width="26.140625" style="30" customWidth="1"/>
    <col min="7694" max="7698" width="9.140625" style="30"/>
    <col min="7699" max="7699" width="11.28515625" style="30" customWidth="1"/>
    <col min="7700" max="7700" width="10.7109375" style="30" customWidth="1"/>
    <col min="7701" max="7936" width="9.140625" style="30"/>
    <col min="7937" max="7937" width="8.85546875" style="30" customWidth="1"/>
    <col min="7938" max="7938" width="45.85546875" style="30" customWidth="1"/>
    <col min="7939" max="7939" width="16.28515625" style="30" customWidth="1"/>
    <col min="7940" max="7940" width="5.42578125" style="30" customWidth="1"/>
    <col min="7941" max="7941" width="6.85546875" style="30" customWidth="1"/>
    <col min="7942" max="7942" width="6.5703125" style="30" customWidth="1"/>
    <col min="7943" max="7943" width="8" style="30" customWidth="1"/>
    <col min="7944" max="7944" width="8.42578125" style="30" customWidth="1"/>
    <col min="7945" max="7945" width="8" style="30" customWidth="1"/>
    <col min="7946" max="7946" width="9" style="30" customWidth="1"/>
    <col min="7947" max="7947" width="11.7109375" style="30" customWidth="1"/>
    <col min="7948" max="7948" width="7" style="30" customWidth="1"/>
    <col min="7949" max="7949" width="26.140625" style="30" customWidth="1"/>
    <col min="7950" max="7954" width="9.140625" style="30"/>
    <col min="7955" max="7955" width="11.28515625" style="30" customWidth="1"/>
    <col min="7956" max="7956" width="10.7109375" style="30" customWidth="1"/>
    <col min="7957" max="8192" width="9.140625" style="30"/>
    <col min="8193" max="8193" width="8.85546875" style="30" customWidth="1"/>
    <col min="8194" max="8194" width="45.85546875" style="30" customWidth="1"/>
    <col min="8195" max="8195" width="16.28515625" style="30" customWidth="1"/>
    <col min="8196" max="8196" width="5.42578125" style="30" customWidth="1"/>
    <col min="8197" max="8197" width="6.85546875" style="30" customWidth="1"/>
    <col min="8198" max="8198" width="6.5703125" style="30" customWidth="1"/>
    <col min="8199" max="8199" width="8" style="30" customWidth="1"/>
    <col min="8200" max="8200" width="8.42578125" style="30" customWidth="1"/>
    <col min="8201" max="8201" width="8" style="30" customWidth="1"/>
    <col min="8202" max="8202" width="9" style="30" customWidth="1"/>
    <col min="8203" max="8203" width="11.7109375" style="30" customWidth="1"/>
    <col min="8204" max="8204" width="7" style="30" customWidth="1"/>
    <col min="8205" max="8205" width="26.140625" style="30" customWidth="1"/>
    <col min="8206" max="8210" width="9.140625" style="30"/>
    <col min="8211" max="8211" width="11.28515625" style="30" customWidth="1"/>
    <col min="8212" max="8212" width="10.7109375" style="30" customWidth="1"/>
    <col min="8213" max="8448" width="9.140625" style="30"/>
    <col min="8449" max="8449" width="8.85546875" style="30" customWidth="1"/>
    <col min="8450" max="8450" width="45.85546875" style="30" customWidth="1"/>
    <col min="8451" max="8451" width="16.28515625" style="30" customWidth="1"/>
    <col min="8452" max="8452" width="5.42578125" style="30" customWidth="1"/>
    <col min="8453" max="8453" width="6.85546875" style="30" customWidth="1"/>
    <col min="8454" max="8454" width="6.5703125" style="30" customWidth="1"/>
    <col min="8455" max="8455" width="8" style="30" customWidth="1"/>
    <col min="8456" max="8456" width="8.42578125" style="30" customWidth="1"/>
    <col min="8457" max="8457" width="8" style="30" customWidth="1"/>
    <col min="8458" max="8458" width="9" style="30" customWidth="1"/>
    <col min="8459" max="8459" width="11.7109375" style="30" customWidth="1"/>
    <col min="8460" max="8460" width="7" style="30" customWidth="1"/>
    <col min="8461" max="8461" width="26.140625" style="30" customWidth="1"/>
    <col min="8462" max="8466" width="9.140625" style="30"/>
    <col min="8467" max="8467" width="11.28515625" style="30" customWidth="1"/>
    <col min="8468" max="8468" width="10.7109375" style="30" customWidth="1"/>
    <col min="8469" max="8704" width="9.140625" style="30"/>
    <col min="8705" max="8705" width="8.85546875" style="30" customWidth="1"/>
    <col min="8706" max="8706" width="45.85546875" style="30" customWidth="1"/>
    <col min="8707" max="8707" width="16.28515625" style="30" customWidth="1"/>
    <col min="8708" max="8708" width="5.42578125" style="30" customWidth="1"/>
    <col min="8709" max="8709" width="6.85546875" style="30" customWidth="1"/>
    <col min="8710" max="8710" width="6.5703125" style="30" customWidth="1"/>
    <col min="8711" max="8711" width="8" style="30" customWidth="1"/>
    <col min="8712" max="8712" width="8.42578125" style="30" customWidth="1"/>
    <col min="8713" max="8713" width="8" style="30" customWidth="1"/>
    <col min="8714" max="8714" width="9" style="30" customWidth="1"/>
    <col min="8715" max="8715" width="11.7109375" style="30" customWidth="1"/>
    <col min="8716" max="8716" width="7" style="30" customWidth="1"/>
    <col min="8717" max="8717" width="26.140625" style="30" customWidth="1"/>
    <col min="8718" max="8722" width="9.140625" style="30"/>
    <col min="8723" max="8723" width="11.28515625" style="30" customWidth="1"/>
    <col min="8724" max="8724" width="10.7109375" style="30" customWidth="1"/>
    <col min="8725" max="8960" width="9.140625" style="30"/>
    <col min="8961" max="8961" width="8.85546875" style="30" customWidth="1"/>
    <col min="8962" max="8962" width="45.85546875" style="30" customWidth="1"/>
    <col min="8963" max="8963" width="16.28515625" style="30" customWidth="1"/>
    <col min="8964" max="8964" width="5.42578125" style="30" customWidth="1"/>
    <col min="8965" max="8965" width="6.85546875" style="30" customWidth="1"/>
    <col min="8966" max="8966" width="6.5703125" style="30" customWidth="1"/>
    <col min="8967" max="8967" width="8" style="30" customWidth="1"/>
    <col min="8968" max="8968" width="8.42578125" style="30" customWidth="1"/>
    <col min="8969" max="8969" width="8" style="30" customWidth="1"/>
    <col min="8970" max="8970" width="9" style="30" customWidth="1"/>
    <col min="8971" max="8971" width="11.7109375" style="30" customWidth="1"/>
    <col min="8972" max="8972" width="7" style="30" customWidth="1"/>
    <col min="8973" max="8973" width="26.140625" style="30" customWidth="1"/>
    <col min="8974" max="8978" width="9.140625" style="30"/>
    <col min="8979" max="8979" width="11.28515625" style="30" customWidth="1"/>
    <col min="8980" max="8980" width="10.7109375" style="30" customWidth="1"/>
    <col min="8981" max="9216" width="9.140625" style="30"/>
    <col min="9217" max="9217" width="8.85546875" style="30" customWidth="1"/>
    <col min="9218" max="9218" width="45.85546875" style="30" customWidth="1"/>
    <col min="9219" max="9219" width="16.28515625" style="30" customWidth="1"/>
    <col min="9220" max="9220" width="5.42578125" style="30" customWidth="1"/>
    <col min="9221" max="9221" width="6.85546875" style="30" customWidth="1"/>
    <col min="9222" max="9222" width="6.5703125" style="30" customWidth="1"/>
    <col min="9223" max="9223" width="8" style="30" customWidth="1"/>
    <col min="9224" max="9224" width="8.42578125" style="30" customWidth="1"/>
    <col min="9225" max="9225" width="8" style="30" customWidth="1"/>
    <col min="9226" max="9226" width="9" style="30" customWidth="1"/>
    <col min="9227" max="9227" width="11.7109375" style="30" customWidth="1"/>
    <col min="9228" max="9228" width="7" style="30" customWidth="1"/>
    <col min="9229" max="9229" width="26.140625" style="30" customWidth="1"/>
    <col min="9230" max="9234" width="9.140625" style="30"/>
    <col min="9235" max="9235" width="11.28515625" style="30" customWidth="1"/>
    <col min="9236" max="9236" width="10.7109375" style="30" customWidth="1"/>
    <col min="9237" max="9472" width="9.140625" style="30"/>
    <col min="9473" max="9473" width="8.85546875" style="30" customWidth="1"/>
    <col min="9474" max="9474" width="45.85546875" style="30" customWidth="1"/>
    <col min="9475" max="9475" width="16.28515625" style="30" customWidth="1"/>
    <col min="9476" max="9476" width="5.42578125" style="30" customWidth="1"/>
    <col min="9477" max="9477" width="6.85546875" style="30" customWidth="1"/>
    <col min="9478" max="9478" width="6.5703125" style="30" customWidth="1"/>
    <col min="9479" max="9479" width="8" style="30" customWidth="1"/>
    <col min="9480" max="9480" width="8.42578125" style="30" customWidth="1"/>
    <col min="9481" max="9481" width="8" style="30" customWidth="1"/>
    <col min="9482" max="9482" width="9" style="30" customWidth="1"/>
    <col min="9483" max="9483" width="11.7109375" style="30" customWidth="1"/>
    <col min="9484" max="9484" width="7" style="30" customWidth="1"/>
    <col min="9485" max="9485" width="26.140625" style="30" customWidth="1"/>
    <col min="9486" max="9490" width="9.140625" style="30"/>
    <col min="9491" max="9491" width="11.28515625" style="30" customWidth="1"/>
    <col min="9492" max="9492" width="10.7109375" style="30" customWidth="1"/>
    <col min="9493" max="9728" width="9.140625" style="30"/>
    <col min="9729" max="9729" width="8.85546875" style="30" customWidth="1"/>
    <col min="9730" max="9730" width="45.85546875" style="30" customWidth="1"/>
    <col min="9731" max="9731" width="16.28515625" style="30" customWidth="1"/>
    <col min="9732" max="9732" width="5.42578125" style="30" customWidth="1"/>
    <col min="9733" max="9733" width="6.85546875" style="30" customWidth="1"/>
    <col min="9734" max="9734" width="6.5703125" style="30" customWidth="1"/>
    <col min="9735" max="9735" width="8" style="30" customWidth="1"/>
    <col min="9736" max="9736" width="8.42578125" style="30" customWidth="1"/>
    <col min="9737" max="9737" width="8" style="30" customWidth="1"/>
    <col min="9738" max="9738" width="9" style="30" customWidth="1"/>
    <col min="9739" max="9739" width="11.7109375" style="30" customWidth="1"/>
    <col min="9740" max="9740" width="7" style="30" customWidth="1"/>
    <col min="9741" max="9741" width="26.140625" style="30" customWidth="1"/>
    <col min="9742" max="9746" width="9.140625" style="30"/>
    <col min="9747" max="9747" width="11.28515625" style="30" customWidth="1"/>
    <col min="9748" max="9748" width="10.7109375" style="30" customWidth="1"/>
    <col min="9749" max="9984" width="9.140625" style="30"/>
    <col min="9985" max="9985" width="8.85546875" style="30" customWidth="1"/>
    <col min="9986" max="9986" width="45.85546875" style="30" customWidth="1"/>
    <col min="9987" max="9987" width="16.28515625" style="30" customWidth="1"/>
    <col min="9988" max="9988" width="5.42578125" style="30" customWidth="1"/>
    <col min="9989" max="9989" width="6.85546875" style="30" customWidth="1"/>
    <col min="9990" max="9990" width="6.5703125" style="30" customWidth="1"/>
    <col min="9991" max="9991" width="8" style="30" customWidth="1"/>
    <col min="9992" max="9992" width="8.42578125" style="30" customWidth="1"/>
    <col min="9993" max="9993" width="8" style="30" customWidth="1"/>
    <col min="9994" max="9994" width="9" style="30" customWidth="1"/>
    <col min="9995" max="9995" width="11.7109375" style="30" customWidth="1"/>
    <col min="9996" max="9996" width="7" style="30" customWidth="1"/>
    <col min="9997" max="9997" width="26.140625" style="30" customWidth="1"/>
    <col min="9998" max="10002" width="9.140625" style="30"/>
    <col min="10003" max="10003" width="11.28515625" style="30" customWidth="1"/>
    <col min="10004" max="10004" width="10.7109375" style="30" customWidth="1"/>
    <col min="10005" max="10240" width="9.140625" style="30"/>
    <col min="10241" max="10241" width="8.85546875" style="30" customWidth="1"/>
    <col min="10242" max="10242" width="45.85546875" style="30" customWidth="1"/>
    <col min="10243" max="10243" width="16.28515625" style="30" customWidth="1"/>
    <col min="10244" max="10244" width="5.42578125" style="30" customWidth="1"/>
    <col min="10245" max="10245" width="6.85546875" style="30" customWidth="1"/>
    <col min="10246" max="10246" width="6.5703125" style="30" customWidth="1"/>
    <col min="10247" max="10247" width="8" style="30" customWidth="1"/>
    <col min="10248" max="10248" width="8.42578125" style="30" customWidth="1"/>
    <col min="10249" max="10249" width="8" style="30" customWidth="1"/>
    <col min="10250" max="10250" width="9" style="30" customWidth="1"/>
    <col min="10251" max="10251" width="11.7109375" style="30" customWidth="1"/>
    <col min="10252" max="10252" width="7" style="30" customWidth="1"/>
    <col min="10253" max="10253" width="26.140625" style="30" customWidth="1"/>
    <col min="10254" max="10258" width="9.140625" style="30"/>
    <col min="10259" max="10259" width="11.28515625" style="30" customWidth="1"/>
    <col min="10260" max="10260" width="10.7109375" style="30" customWidth="1"/>
    <col min="10261" max="10496" width="9.140625" style="30"/>
    <col min="10497" max="10497" width="8.85546875" style="30" customWidth="1"/>
    <col min="10498" max="10498" width="45.85546875" style="30" customWidth="1"/>
    <col min="10499" max="10499" width="16.28515625" style="30" customWidth="1"/>
    <col min="10500" max="10500" width="5.42578125" style="30" customWidth="1"/>
    <col min="10501" max="10501" width="6.85546875" style="30" customWidth="1"/>
    <col min="10502" max="10502" width="6.5703125" style="30" customWidth="1"/>
    <col min="10503" max="10503" width="8" style="30" customWidth="1"/>
    <col min="10504" max="10504" width="8.42578125" style="30" customWidth="1"/>
    <col min="10505" max="10505" width="8" style="30" customWidth="1"/>
    <col min="10506" max="10506" width="9" style="30" customWidth="1"/>
    <col min="10507" max="10507" width="11.7109375" style="30" customWidth="1"/>
    <col min="10508" max="10508" width="7" style="30" customWidth="1"/>
    <col min="10509" max="10509" width="26.140625" style="30" customWidth="1"/>
    <col min="10510" max="10514" width="9.140625" style="30"/>
    <col min="10515" max="10515" width="11.28515625" style="30" customWidth="1"/>
    <col min="10516" max="10516" width="10.7109375" style="30" customWidth="1"/>
    <col min="10517" max="10752" width="9.140625" style="30"/>
    <col min="10753" max="10753" width="8.85546875" style="30" customWidth="1"/>
    <col min="10754" max="10754" width="45.85546875" style="30" customWidth="1"/>
    <col min="10755" max="10755" width="16.28515625" style="30" customWidth="1"/>
    <col min="10756" max="10756" width="5.42578125" style="30" customWidth="1"/>
    <col min="10757" max="10757" width="6.85546875" style="30" customWidth="1"/>
    <col min="10758" max="10758" width="6.5703125" style="30" customWidth="1"/>
    <col min="10759" max="10759" width="8" style="30" customWidth="1"/>
    <col min="10760" max="10760" width="8.42578125" style="30" customWidth="1"/>
    <col min="10761" max="10761" width="8" style="30" customWidth="1"/>
    <col min="10762" max="10762" width="9" style="30" customWidth="1"/>
    <col min="10763" max="10763" width="11.7109375" style="30" customWidth="1"/>
    <col min="10764" max="10764" width="7" style="30" customWidth="1"/>
    <col min="10765" max="10765" width="26.140625" style="30" customWidth="1"/>
    <col min="10766" max="10770" width="9.140625" style="30"/>
    <col min="10771" max="10771" width="11.28515625" style="30" customWidth="1"/>
    <col min="10772" max="10772" width="10.7109375" style="30" customWidth="1"/>
    <col min="10773" max="11008" width="9.140625" style="30"/>
    <col min="11009" max="11009" width="8.85546875" style="30" customWidth="1"/>
    <col min="11010" max="11010" width="45.85546875" style="30" customWidth="1"/>
    <col min="11011" max="11011" width="16.28515625" style="30" customWidth="1"/>
    <col min="11012" max="11012" width="5.42578125" style="30" customWidth="1"/>
    <col min="11013" max="11013" width="6.85546875" style="30" customWidth="1"/>
    <col min="11014" max="11014" width="6.5703125" style="30" customWidth="1"/>
    <col min="11015" max="11015" width="8" style="30" customWidth="1"/>
    <col min="11016" max="11016" width="8.42578125" style="30" customWidth="1"/>
    <col min="11017" max="11017" width="8" style="30" customWidth="1"/>
    <col min="11018" max="11018" width="9" style="30" customWidth="1"/>
    <col min="11019" max="11019" width="11.7109375" style="30" customWidth="1"/>
    <col min="11020" max="11020" width="7" style="30" customWidth="1"/>
    <col min="11021" max="11021" width="26.140625" style="30" customWidth="1"/>
    <col min="11022" max="11026" width="9.140625" style="30"/>
    <col min="11027" max="11027" width="11.28515625" style="30" customWidth="1"/>
    <col min="11028" max="11028" width="10.7109375" style="30" customWidth="1"/>
    <col min="11029" max="11264" width="9.140625" style="30"/>
    <col min="11265" max="11265" width="8.85546875" style="30" customWidth="1"/>
    <col min="11266" max="11266" width="45.85546875" style="30" customWidth="1"/>
    <col min="11267" max="11267" width="16.28515625" style="30" customWidth="1"/>
    <col min="11268" max="11268" width="5.42578125" style="30" customWidth="1"/>
    <col min="11269" max="11269" width="6.85546875" style="30" customWidth="1"/>
    <col min="11270" max="11270" width="6.5703125" style="30" customWidth="1"/>
    <col min="11271" max="11271" width="8" style="30" customWidth="1"/>
    <col min="11272" max="11272" width="8.42578125" style="30" customWidth="1"/>
    <col min="11273" max="11273" width="8" style="30" customWidth="1"/>
    <col min="11274" max="11274" width="9" style="30" customWidth="1"/>
    <col min="11275" max="11275" width="11.7109375" style="30" customWidth="1"/>
    <col min="11276" max="11276" width="7" style="30" customWidth="1"/>
    <col min="11277" max="11277" width="26.140625" style="30" customWidth="1"/>
    <col min="11278" max="11282" width="9.140625" style="30"/>
    <col min="11283" max="11283" width="11.28515625" style="30" customWidth="1"/>
    <col min="11284" max="11284" width="10.7109375" style="30" customWidth="1"/>
    <col min="11285" max="11520" width="9.140625" style="30"/>
    <col min="11521" max="11521" width="8.85546875" style="30" customWidth="1"/>
    <col min="11522" max="11522" width="45.85546875" style="30" customWidth="1"/>
    <col min="11523" max="11523" width="16.28515625" style="30" customWidth="1"/>
    <col min="11524" max="11524" width="5.42578125" style="30" customWidth="1"/>
    <col min="11525" max="11525" width="6.85546875" style="30" customWidth="1"/>
    <col min="11526" max="11526" width="6.5703125" style="30" customWidth="1"/>
    <col min="11527" max="11527" width="8" style="30" customWidth="1"/>
    <col min="11528" max="11528" width="8.42578125" style="30" customWidth="1"/>
    <col min="11529" max="11529" width="8" style="30" customWidth="1"/>
    <col min="11530" max="11530" width="9" style="30" customWidth="1"/>
    <col min="11531" max="11531" width="11.7109375" style="30" customWidth="1"/>
    <col min="11532" max="11532" width="7" style="30" customWidth="1"/>
    <col min="11533" max="11533" width="26.140625" style="30" customWidth="1"/>
    <col min="11534" max="11538" width="9.140625" style="30"/>
    <col min="11539" max="11539" width="11.28515625" style="30" customWidth="1"/>
    <col min="11540" max="11540" width="10.7109375" style="30" customWidth="1"/>
    <col min="11541" max="11776" width="9.140625" style="30"/>
    <col min="11777" max="11777" width="8.85546875" style="30" customWidth="1"/>
    <col min="11778" max="11778" width="45.85546875" style="30" customWidth="1"/>
    <col min="11779" max="11779" width="16.28515625" style="30" customWidth="1"/>
    <col min="11780" max="11780" width="5.42578125" style="30" customWidth="1"/>
    <col min="11781" max="11781" width="6.85546875" style="30" customWidth="1"/>
    <col min="11782" max="11782" width="6.5703125" style="30" customWidth="1"/>
    <col min="11783" max="11783" width="8" style="30" customWidth="1"/>
    <col min="11784" max="11784" width="8.42578125" style="30" customWidth="1"/>
    <col min="11785" max="11785" width="8" style="30" customWidth="1"/>
    <col min="11786" max="11786" width="9" style="30" customWidth="1"/>
    <col min="11787" max="11787" width="11.7109375" style="30" customWidth="1"/>
    <col min="11788" max="11788" width="7" style="30" customWidth="1"/>
    <col min="11789" max="11789" width="26.140625" style="30" customWidth="1"/>
    <col min="11790" max="11794" width="9.140625" style="30"/>
    <col min="11795" max="11795" width="11.28515625" style="30" customWidth="1"/>
    <col min="11796" max="11796" width="10.7109375" style="30" customWidth="1"/>
    <col min="11797" max="12032" width="9.140625" style="30"/>
    <col min="12033" max="12033" width="8.85546875" style="30" customWidth="1"/>
    <col min="12034" max="12034" width="45.85546875" style="30" customWidth="1"/>
    <col min="12035" max="12035" width="16.28515625" style="30" customWidth="1"/>
    <col min="12036" max="12036" width="5.42578125" style="30" customWidth="1"/>
    <col min="12037" max="12037" width="6.85546875" style="30" customWidth="1"/>
    <col min="12038" max="12038" width="6.5703125" style="30" customWidth="1"/>
    <col min="12039" max="12039" width="8" style="30" customWidth="1"/>
    <col min="12040" max="12040" width="8.42578125" style="30" customWidth="1"/>
    <col min="12041" max="12041" width="8" style="30" customWidth="1"/>
    <col min="12042" max="12042" width="9" style="30" customWidth="1"/>
    <col min="12043" max="12043" width="11.7109375" style="30" customWidth="1"/>
    <col min="12044" max="12044" width="7" style="30" customWidth="1"/>
    <col min="12045" max="12045" width="26.140625" style="30" customWidth="1"/>
    <col min="12046" max="12050" width="9.140625" style="30"/>
    <col min="12051" max="12051" width="11.28515625" style="30" customWidth="1"/>
    <col min="12052" max="12052" width="10.7109375" style="30" customWidth="1"/>
    <col min="12053" max="12288" width="9.140625" style="30"/>
    <col min="12289" max="12289" width="8.85546875" style="30" customWidth="1"/>
    <col min="12290" max="12290" width="45.85546875" style="30" customWidth="1"/>
    <col min="12291" max="12291" width="16.28515625" style="30" customWidth="1"/>
    <col min="12292" max="12292" width="5.42578125" style="30" customWidth="1"/>
    <col min="12293" max="12293" width="6.85546875" style="30" customWidth="1"/>
    <col min="12294" max="12294" width="6.5703125" style="30" customWidth="1"/>
    <col min="12295" max="12295" width="8" style="30" customWidth="1"/>
    <col min="12296" max="12296" width="8.42578125" style="30" customWidth="1"/>
    <col min="12297" max="12297" width="8" style="30" customWidth="1"/>
    <col min="12298" max="12298" width="9" style="30" customWidth="1"/>
    <col min="12299" max="12299" width="11.7109375" style="30" customWidth="1"/>
    <col min="12300" max="12300" width="7" style="30" customWidth="1"/>
    <col min="12301" max="12301" width="26.140625" style="30" customWidth="1"/>
    <col min="12302" max="12306" width="9.140625" style="30"/>
    <col min="12307" max="12307" width="11.28515625" style="30" customWidth="1"/>
    <col min="12308" max="12308" width="10.7109375" style="30" customWidth="1"/>
    <col min="12309" max="12544" width="9.140625" style="30"/>
    <col min="12545" max="12545" width="8.85546875" style="30" customWidth="1"/>
    <col min="12546" max="12546" width="45.85546875" style="30" customWidth="1"/>
    <col min="12547" max="12547" width="16.28515625" style="30" customWidth="1"/>
    <col min="12548" max="12548" width="5.42578125" style="30" customWidth="1"/>
    <col min="12549" max="12549" width="6.85546875" style="30" customWidth="1"/>
    <col min="12550" max="12550" width="6.5703125" style="30" customWidth="1"/>
    <col min="12551" max="12551" width="8" style="30" customWidth="1"/>
    <col min="12552" max="12552" width="8.42578125" style="30" customWidth="1"/>
    <col min="12553" max="12553" width="8" style="30" customWidth="1"/>
    <col min="12554" max="12554" width="9" style="30" customWidth="1"/>
    <col min="12555" max="12555" width="11.7109375" style="30" customWidth="1"/>
    <col min="12556" max="12556" width="7" style="30" customWidth="1"/>
    <col min="12557" max="12557" width="26.140625" style="30" customWidth="1"/>
    <col min="12558" max="12562" width="9.140625" style="30"/>
    <col min="12563" max="12563" width="11.28515625" style="30" customWidth="1"/>
    <col min="12564" max="12564" width="10.7109375" style="30" customWidth="1"/>
    <col min="12565" max="12800" width="9.140625" style="30"/>
    <col min="12801" max="12801" width="8.85546875" style="30" customWidth="1"/>
    <col min="12802" max="12802" width="45.85546875" style="30" customWidth="1"/>
    <col min="12803" max="12803" width="16.28515625" style="30" customWidth="1"/>
    <col min="12804" max="12804" width="5.42578125" style="30" customWidth="1"/>
    <col min="12805" max="12805" width="6.85546875" style="30" customWidth="1"/>
    <col min="12806" max="12806" width="6.5703125" style="30" customWidth="1"/>
    <col min="12807" max="12807" width="8" style="30" customWidth="1"/>
    <col min="12808" max="12808" width="8.42578125" style="30" customWidth="1"/>
    <col min="12809" max="12809" width="8" style="30" customWidth="1"/>
    <col min="12810" max="12810" width="9" style="30" customWidth="1"/>
    <col min="12811" max="12811" width="11.7109375" style="30" customWidth="1"/>
    <col min="12812" max="12812" width="7" style="30" customWidth="1"/>
    <col min="12813" max="12813" width="26.140625" style="30" customWidth="1"/>
    <col min="12814" max="12818" width="9.140625" style="30"/>
    <col min="12819" max="12819" width="11.28515625" style="30" customWidth="1"/>
    <col min="12820" max="12820" width="10.7109375" style="30" customWidth="1"/>
    <col min="12821" max="13056" width="9.140625" style="30"/>
    <col min="13057" max="13057" width="8.85546875" style="30" customWidth="1"/>
    <col min="13058" max="13058" width="45.85546875" style="30" customWidth="1"/>
    <col min="13059" max="13059" width="16.28515625" style="30" customWidth="1"/>
    <col min="13060" max="13060" width="5.42578125" style="30" customWidth="1"/>
    <col min="13061" max="13061" width="6.85546875" style="30" customWidth="1"/>
    <col min="13062" max="13062" width="6.5703125" style="30" customWidth="1"/>
    <col min="13063" max="13063" width="8" style="30" customWidth="1"/>
    <col min="13064" max="13064" width="8.42578125" style="30" customWidth="1"/>
    <col min="13065" max="13065" width="8" style="30" customWidth="1"/>
    <col min="13066" max="13066" width="9" style="30" customWidth="1"/>
    <col min="13067" max="13067" width="11.7109375" style="30" customWidth="1"/>
    <col min="13068" max="13068" width="7" style="30" customWidth="1"/>
    <col min="13069" max="13069" width="26.140625" style="30" customWidth="1"/>
    <col min="13070" max="13074" width="9.140625" style="30"/>
    <col min="13075" max="13075" width="11.28515625" style="30" customWidth="1"/>
    <col min="13076" max="13076" width="10.7109375" style="30" customWidth="1"/>
    <col min="13077" max="13312" width="9.140625" style="30"/>
    <col min="13313" max="13313" width="8.85546875" style="30" customWidth="1"/>
    <col min="13314" max="13314" width="45.85546875" style="30" customWidth="1"/>
    <col min="13315" max="13315" width="16.28515625" style="30" customWidth="1"/>
    <col min="13316" max="13316" width="5.42578125" style="30" customWidth="1"/>
    <col min="13317" max="13317" width="6.85546875" style="30" customWidth="1"/>
    <col min="13318" max="13318" width="6.5703125" style="30" customWidth="1"/>
    <col min="13319" max="13319" width="8" style="30" customWidth="1"/>
    <col min="13320" max="13320" width="8.42578125" style="30" customWidth="1"/>
    <col min="13321" max="13321" width="8" style="30" customWidth="1"/>
    <col min="13322" max="13322" width="9" style="30" customWidth="1"/>
    <col min="13323" max="13323" width="11.7109375" style="30" customWidth="1"/>
    <col min="13324" max="13324" width="7" style="30" customWidth="1"/>
    <col min="13325" max="13325" width="26.140625" style="30" customWidth="1"/>
    <col min="13326" max="13330" width="9.140625" style="30"/>
    <col min="13331" max="13331" width="11.28515625" style="30" customWidth="1"/>
    <col min="13332" max="13332" width="10.7109375" style="30" customWidth="1"/>
    <col min="13333" max="13568" width="9.140625" style="30"/>
    <col min="13569" max="13569" width="8.85546875" style="30" customWidth="1"/>
    <col min="13570" max="13570" width="45.85546875" style="30" customWidth="1"/>
    <col min="13571" max="13571" width="16.28515625" style="30" customWidth="1"/>
    <col min="13572" max="13572" width="5.42578125" style="30" customWidth="1"/>
    <col min="13573" max="13573" width="6.85546875" style="30" customWidth="1"/>
    <col min="13574" max="13574" width="6.5703125" style="30" customWidth="1"/>
    <col min="13575" max="13575" width="8" style="30" customWidth="1"/>
    <col min="13576" max="13576" width="8.42578125" style="30" customWidth="1"/>
    <col min="13577" max="13577" width="8" style="30" customWidth="1"/>
    <col min="13578" max="13578" width="9" style="30" customWidth="1"/>
    <col min="13579" max="13579" width="11.7109375" style="30" customWidth="1"/>
    <col min="13580" max="13580" width="7" style="30" customWidth="1"/>
    <col min="13581" max="13581" width="26.140625" style="30" customWidth="1"/>
    <col min="13582" max="13586" width="9.140625" style="30"/>
    <col min="13587" max="13587" width="11.28515625" style="30" customWidth="1"/>
    <col min="13588" max="13588" width="10.7109375" style="30" customWidth="1"/>
    <col min="13589" max="13824" width="9.140625" style="30"/>
    <col min="13825" max="13825" width="8.85546875" style="30" customWidth="1"/>
    <col min="13826" max="13826" width="45.85546875" style="30" customWidth="1"/>
    <col min="13827" max="13827" width="16.28515625" style="30" customWidth="1"/>
    <col min="13828" max="13828" width="5.42578125" style="30" customWidth="1"/>
    <col min="13829" max="13829" width="6.85546875" style="30" customWidth="1"/>
    <col min="13830" max="13830" width="6.5703125" style="30" customWidth="1"/>
    <col min="13831" max="13831" width="8" style="30" customWidth="1"/>
    <col min="13832" max="13832" width="8.42578125" style="30" customWidth="1"/>
    <col min="13833" max="13833" width="8" style="30" customWidth="1"/>
    <col min="13834" max="13834" width="9" style="30" customWidth="1"/>
    <col min="13835" max="13835" width="11.7109375" style="30" customWidth="1"/>
    <col min="13836" max="13836" width="7" style="30" customWidth="1"/>
    <col min="13837" max="13837" width="26.140625" style="30" customWidth="1"/>
    <col min="13838" max="13842" width="9.140625" style="30"/>
    <col min="13843" max="13843" width="11.28515625" style="30" customWidth="1"/>
    <col min="13844" max="13844" width="10.7109375" style="30" customWidth="1"/>
    <col min="13845" max="14080" width="9.140625" style="30"/>
    <col min="14081" max="14081" width="8.85546875" style="30" customWidth="1"/>
    <col min="14082" max="14082" width="45.85546875" style="30" customWidth="1"/>
    <col min="14083" max="14083" width="16.28515625" style="30" customWidth="1"/>
    <col min="14084" max="14084" width="5.42578125" style="30" customWidth="1"/>
    <col min="14085" max="14085" width="6.85546875" style="30" customWidth="1"/>
    <col min="14086" max="14086" width="6.5703125" style="30" customWidth="1"/>
    <col min="14087" max="14087" width="8" style="30" customWidth="1"/>
    <col min="14088" max="14088" width="8.42578125" style="30" customWidth="1"/>
    <col min="14089" max="14089" width="8" style="30" customWidth="1"/>
    <col min="14090" max="14090" width="9" style="30" customWidth="1"/>
    <col min="14091" max="14091" width="11.7109375" style="30" customWidth="1"/>
    <col min="14092" max="14092" width="7" style="30" customWidth="1"/>
    <col min="14093" max="14093" width="26.140625" style="30" customWidth="1"/>
    <col min="14094" max="14098" width="9.140625" style="30"/>
    <col min="14099" max="14099" width="11.28515625" style="30" customWidth="1"/>
    <col min="14100" max="14100" width="10.7109375" style="30" customWidth="1"/>
    <col min="14101" max="14336" width="9.140625" style="30"/>
    <col min="14337" max="14337" width="8.85546875" style="30" customWidth="1"/>
    <col min="14338" max="14338" width="45.85546875" style="30" customWidth="1"/>
    <col min="14339" max="14339" width="16.28515625" style="30" customWidth="1"/>
    <col min="14340" max="14340" width="5.42578125" style="30" customWidth="1"/>
    <col min="14341" max="14341" width="6.85546875" style="30" customWidth="1"/>
    <col min="14342" max="14342" width="6.5703125" style="30" customWidth="1"/>
    <col min="14343" max="14343" width="8" style="30" customWidth="1"/>
    <col min="14344" max="14344" width="8.42578125" style="30" customWidth="1"/>
    <col min="14345" max="14345" width="8" style="30" customWidth="1"/>
    <col min="14346" max="14346" width="9" style="30" customWidth="1"/>
    <col min="14347" max="14347" width="11.7109375" style="30" customWidth="1"/>
    <col min="14348" max="14348" width="7" style="30" customWidth="1"/>
    <col min="14349" max="14349" width="26.140625" style="30" customWidth="1"/>
    <col min="14350" max="14354" width="9.140625" style="30"/>
    <col min="14355" max="14355" width="11.28515625" style="30" customWidth="1"/>
    <col min="14356" max="14356" width="10.7109375" style="30" customWidth="1"/>
    <col min="14357" max="14592" width="9.140625" style="30"/>
    <col min="14593" max="14593" width="8.85546875" style="30" customWidth="1"/>
    <col min="14594" max="14594" width="45.85546875" style="30" customWidth="1"/>
    <col min="14595" max="14595" width="16.28515625" style="30" customWidth="1"/>
    <col min="14596" max="14596" width="5.42578125" style="30" customWidth="1"/>
    <col min="14597" max="14597" width="6.85546875" style="30" customWidth="1"/>
    <col min="14598" max="14598" width="6.5703125" style="30" customWidth="1"/>
    <col min="14599" max="14599" width="8" style="30" customWidth="1"/>
    <col min="14600" max="14600" width="8.42578125" style="30" customWidth="1"/>
    <col min="14601" max="14601" width="8" style="30" customWidth="1"/>
    <col min="14602" max="14602" width="9" style="30" customWidth="1"/>
    <col min="14603" max="14603" width="11.7109375" style="30" customWidth="1"/>
    <col min="14604" max="14604" width="7" style="30" customWidth="1"/>
    <col min="14605" max="14605" width="26.140625" style="30" customWidth="1"/>
    <col min="14606" max="14610" width="9.140625" style="30"/>
    <col min="14611" max="14611" width="11.28515625" style="30" customWidth="1"/>
    <col min="14612" max="14612" width="10.7109375" style="30" customWidth="1"/>
    <col min="14613" max="14848" width="9.140625" style="30"/>
    <col min="14849" max="14849" width="8.85546875" style="30" customWidth="1"/>
    <col min="14850" max="14850" width="45.85546875" style="30" customWidth="1"/>
    <col min="14851" max="14851" width="16.28515625" style="30" customWidth="1"/>
    <col min="14852" max="14852" width="5.42578125" style="30" customWidth="1"/>
    <col min="14853" max="14853" width="6.85546875" style="30" customWidth="1"/>
    <col min="14854" max="14854" width="6.5703125" style="30" customWidth="1"/>
    <col min="14855" max="14855" width="8" style="30" customWidth="1"/>
    <col min="14856" max="14856" width="8.42578125" style="30" customWidth="1"/>
    <col min="14857" max="14857" width="8" style="30" customWidth="1"/>
    <col min="14858" max="14858" width="9" style="30" customWidth="1"/>
    <col min="14859" max="14859" width="11.7109375" style="30" customWidth="1"/>
    <col min="14860" max="14860" width="7" style="30" customWidth="1"/>
    <col min="14861" max="14861" width="26.140625" style="30" customWidth="1"/>
    <col min="14862" max="14866" width="9.140625" style="30"/>
    <col min="14867" max="14867" width="11.28515625" style="30" customWidth="1"/>
    <col min="14868" max="14868" width="10.7109375" style="30" customWidth="1"/>
    <col min="14869" max="15104" width="9.140625" style="30"/>
    <col min="15105" max="15105" width="8.85546875" style="30" customWidth="1"/>
    <col min="15106" max="15106" width="45.85546875" style="30" customWidth="1"/>
    <col min="15107" max="15107" width="16.28515625" style="30" customWidth="1"/>
    <col min="15108" max="15108" width="5.42578125" style="30" customWidth="1"/>
    <col min="15109" max="15109" width="6.85546875" style="30" customWidth="1"/>
    <col min="15110" max="15110" width="6.5703125" style="30" customWidth="1"/>
    <col min="15111" max="15111" width="8" style="30" customWidth="1"/>
    <col min="15112" max="15112" width="8.42578125" style="30" customWidth="1"/>
    <col min="15113" max="15113" width="8" style="30" customWidth="1"/>
    <col min="15114" max="15114" width="9" style="30" customWidth="1"/>
    <col min="15115" max="15115" width="11.7109375" style="30" customWidth="1"/>
    <col min="15116" max="15116" width="7" style="30" customWidth="1"/>
    <col min="15117" max="15117" width="26.140625" style="30" customWidth="1"/>
    <col min="15118" max="15122" width="9.140625" style="30"/>
    <col min="15123" max="15123" width="11.28515625" style="30" customWidth="1"/>
    <col min="15124" max="15124" width="10.7109375" style="30" customWidth="1"/>
    <col min="15125" max="15360" width="9.140625" style="30"/>
    <col min="15361" max="15361" width="8.85546875" style="30" customWidth="1"/>
    <col min="15362" max="15362" width="45.85546875" style="30" customWidth="1"/>
    <col min="15363" max="15363" width="16.28515625" style="30" customWidth="1"/>
    <col min="15364" max="15364" width="5.42578125" style="30" customWidth="1"/>
    <col min="15365" max="15365" width="6.85546875" style="30" customWidth="1"/>
    <col min="15366" max="15366" width="6.5703125" style="30" customWidth="1"/>
    <col min="15367" max="15367" width="8" style="30" customWidth="1"/>
    <col min="15368" max="15368" width="8.42578125" style="30" customWidth="1"/>
    <col min="15369" max="15369" width="8" style="30" customWidth="1"/>
    <col min="15370" max="15370" width="9" style="30" customWidth="1"/>
    <col min="15371" max="15371" width="11.7109375" style="30" customWidth="1"/>
    <col min="15372" max="15372" width="7" style="30" customWidth="1"/>
    <col min="15373" max="15373" width="26.140625" style="30" customWidth="1"/>
    <col min="15374" max="15378" width="9.140625" style="30"/>
    <col min="15379" max="15379" width="11.28515625" style="30" customWidth="1"/>
    <col min="15380" max="15380" width="10.7109375" style="30" customWidth="1"/>
    <col min="15381" max="15616" width="9.140625" style="30"/>
    <col min="15617" max="15617" width="8.85546875" style="30" customWidth="1"/>
    <col min="15618" max="15618" width="45.85546875" style="30" customWidth="1"/>
    <col min="15619" max="15619" width="16.28515625" style="30" customWidth="1"/>
    <col min="15620" max="15620" width="5.42578125" style="30" customWidth="1"/>
    <col min="15621" max="15621" width="6.85546875" style="30" customWidth="1"/>
    <col min="15622" max="15622" width="6.5703125" style="30" customWidth="1"/>
    <col min="15623" max="15623" width="8" style="30" customWidth="1"/>
    <col min="15624" max="15624" width="8.42578125" style="30" customWidth="1"/>
    <col min="15625" max="15625" width="8" style="30" customWidth="1"/>
    <col min="15626" max="15626" width="9" style="30" customWidth="1"/>
    <col min="15627" max="15627" width="11.7109375" style="30" customWidth="1"/>
    <col min="15628" max="15628" width="7" style="30" customWidth="1"/>
    <col min="15629" max="15629" width="26.140625" style="30" customWidth="1"/>
    <col min="15630" max="15634" width="9.140625" style="30"/>
    <col min="15635" max="15635" width="11.28515625" style="30" customWidth="1"/>
    <col min="15636" max="15636" width="10.7109375" style="30" customWidth="1"/>
    <col min="15637" max="15872" width="9.140625" style="30"/>
    <col min="15873" max="15873" width="8.85546875" style="30" customWidth="1"/>
    <col min="15874" max="15874" width="45.85546875" style="30" customWidth="1"/>
    <col min="15875" max="15875" width="16.28515625" style="30" customWidth="1"/>
    <col min="15876" max="15876" width="5.42578125" style="30" customWidth="1"/>
    <col min="15877" max="15877" width="6.85546875" style="30" customWidth="1"/>
    <col min="15878" max="15878" width="6.5703125" style="30" customWidth="1"/>
    <col min="15879" max="15879" width="8" style="30" customWidth="1"/>
    <col min="15880" max="15880" width="8.42578125" style="30" customWidth="1"/>
    <col min="15881" max="15881" width="8" style="30" customWidth="1"/>
    <col min="15882" max="15882" width="9" style="30" customWidth="1"/>
    <col min="15883" max="15883" width="11.7109375" style="30" customWidth="1"/>
    <col min="15884" max="15884" width="7" style="30" customWidth="1"/>
    <col min="15885" max="15885" width="26.140625" style="30" customWidth="1"/>
    <col min="15886" max="15890" width="9.140625" style="30"/>
    <col min="15891" max="15891" width="11.28515625" style="30" customWidth="1"/>
    <col min="15892" max="15892" width="10.7109375" style="30" customWidth="1"/>
    <col min="15893" max="16128" width="9.140625" style="30"/>
    <col min="16129" max="16129" width="8.85546875" style="30" customWidth="1"/>
    <col min="16130" max="16130" width="45.85546875" style="30" customWidth="1"/>
    <col min="16131" max="16131" width="16.28515625" style="30" customWidth="1"/>
    <col min="16132" max="16132" width="5.42578125" style="30" customWidth="1"/>
    <col min="16133" max="16133" width="6.85546875" style="30" customWidth="1"/>
    <col min="16134" max="16134" width="6.5703125" style="30" customWidth="1"/>
    <col min="16135" max="16135" width="8" style="30" customWidth="1"/>
    <col min="16136" max="16136" width="8.42578125" style="30" customWidth="1"/>
    <col min="16137" max="16137" width="8" style="30" customWidth="1"/>
    <col min="16138" max="16138" width="9" style="30" customWidth="1"/>
    <col min="16139" max="16139" width="11.7109375" style="30" customWidth="1"/>
    <col min="16140" max="16140" width="7" style="30" customWidth="1"/>
    <col min="16141" max="16141" width="26.140625" style="30" customWidth="1"/>
    <col min="16142" max="16146" width="9.140625" style="30"/>
    <col min="16147" max="16147" width="11.28515625" style="30" customWidth="1"/>
    <col min="16148" max="16148" width="10.7109375" style="30" customWidth="1"/>
    <col min="16149" max="16384" width="9.140625" style="30"/>
  </cols>
  <sheetData>
    <row r="1" spans="1:11" ht="15.75">
      <c r="A1" s="1070"/>
      <c r="B1" s="1071" t="s">
        <v>253</v>
      </c>
      <c r="C1" s="1070"/>
      <c r="D1" s="1070"/>
      <c r="E1" s="1070"/>
      <c r="F1" s="1070"/>
      <c r="G1" s="1070"/>
      <c r="H1" s="1070"/>
      <c r="I1" s="1070"/>
      <c r="J1" s="1070"/>
    </row>
    <row r="2" spans="1:11" ht="12.75" customHeight="1">
      <c r="A2" s="5809" t="s">
        <v>101</v>
      </c>
      <c r="B2" s="5809" t="s">
        <v>81</v>
      </c>
      <c r="C2" s="1010" t="s">
        <v>94</v>
      </c>
      <c r="D2" s="1072"/>
      <c r="E2" s="1072"/>
      <c r="F2" s="1073" t="s">
        <v>254</v>
      </c>
      <c r="G2" s="6353"/>
      <c r="H2" s="6354"/>
      <c r="I2" s="6354"/>
      <c r="J2" s="6355"/>
      <c r="K2" s="1072"/>
    </row>
    <row r="3" spans="1:11" ht="15.75">
      <c r="A3" s="5809"/>
      <c r="B3" s="5809"/>
      <c r="C3" s="1010" t="s">
        <v>255</v>
      </c>
      <c r="D3" s="1072" t="s">
        <v>256</v>
      </c>
      <c r="E3" s="1072"/>
      <c r="F3" s="1072"/>
      <c r="G3" s="6356"/>
      <c r="H3" s="6357"/>
      <c r="I3" s="6357"/>
      <c r="J3" s="6358"/>
      <c r="K3" s="1073"/>
    </row>
    <row r="4" spans="1:11" ht="15.75">
      <c r="A4" s="5809"/>
      <c r="B4" s="5809"/>
      <c r="C4" s="1010" t="s">
        <v>98</v>
      </c>
      <c r="D4" s="1074" t="s">
        <v>257</v>
      </c>
      <c r="E4" s="1075" t="s">
        <v>258</v>
      </c>
      <c r="F4" s="1074" t="s">
        <v>94</v>
      </c>
      <c r="G4" s="1074"/>
      <c r="H4" s="1072" t="s">
        <v>259</v>
      </c>
      <c r="I4" s="1074"/>
      <c r="J4" s="1072"/>
      <c r="K4" s="1073" t="s">
        <v>260</v>
      </c>
    </row>
    <row r="5" spans="1:11" ht="15.75">
      <c r="A5" s="249"/>
      <c r="B5" s="249"/>
      <c r="C5" s="249"/>
      <c r="D5" s="1076" t="s">
        <v>261</v>
      </c>
      <c r="E5" s="1077" t="s">
        <v>262</v>
      </c>
      <c r="F5" s="1076" t="s">
        <v>263</v>
      </c>
      <c r="G5" s="1076" t="s">
        <v>264</v>
      </c>
      <c r="H5" s="1076" t="s">
        <v>265</v>
      </c>
      <c r="I5" s="1076" t="s">
        <v>266</v>
      </c>
      <c r="J5" s="1076" t="s">
        <v>267</v>
      </c>
      <c r="K5" s="1076"/>
    </row>
    <row r="6" spans="1:11" ht="15.75">
      <c r="A6" s="249">
        <v>1</v>
      </c>
      <c r="B6" s="1079" t="s">
        <v>122</v>
      </c>
      <c r="C6" s="918">
        <v>2.95</v>
      </c>
      <c r="D6" s="1079" t="s">
        <v>94</v>
      </c>
      <c r="E6" s="1079"/>
      <c r="F6" s="249" t="s">
        <v>94</v>
      </c>
      <c r="G6" s="918">
        <v>0</v>
      </c>
      <c r="H6" s="918">
        <v>1.17</v>
      </c>
      <c r="I6" s="918">
        <v>0.03</v>
      </c>
      <c r="J6" s="918">
        <v>0.22</v>
      </c>
      <c r="K6" s="273">
        <f>G6+H6+I6+J6</f>
        <v>1.42</v>
      </c>
    </row>
    <row r="7" spans="1:11" ht="15.75">
      <c r="A7" s="249">
        <f>A6+1</f>
        <v>2</v>
      </c>
      <c r="B7" s="350" t="s">
        <v>123</v>
      </c>
      <c r="C7" s="918">
        <v>0.45</v>
      </c>
      <c r="D7" s="350" t="s">
        <v>94</v>
      </c>
      <c r="E7" s="350"/>
      <c r="F7" s="249" t="s">
        <v>94</v>
      </c>
      <c r="G7" s="918">
        <v>0</v>
      </c>
      <c r="H7" s="918">
        <v>0</v>
      </c>
      <c r="I7" s="918">
        <v>0</v>
      </c>
      <c r="J7" s="918">
        <v>0.37</v>
      </c>
      <c r="K7" s="273">
        <f t="shared" ref="K7:K43" si="0">G7+H7+I7+J7</f>
        <v>0.37</v>
      </c>
    </row>
    <row r="8" spans="1:11" ht="15.75">
      <c r="A8" s="249">
        <f t="shared" ref="A8:A44" si="1">A7+1</f>
        <v>3</v>
      </c>
      <c r="B8" s="350" t="s">
        <v>124</v>
      </c>
      <c r="C8" s="918">
        <v>3.4000000000000004</v>
      </c>
      <c r="D8" s="350" t="s">
        <v>94</v>
      </c>
      <c r="E8" s="350" t="s">
        <v>94</v>
      </c>
      <c r="F8" s="249" t="s">
        <v>94</v>
      </c>
      <c r="G8" s="918">
        <v>0.34</v>
      </c>
      <c r="H8" s="918">
        <v>0.17</v>
      </c>
      <c r="I8" s="918">
        <v>0.28000000000000003</v>
      </c>
      <c r="J8" s="918">
        <v>3.54</v>
      </c>
      <c r="K8" s="273">
        <f t="shared" si="0"/>
        <v>4.33</v>
      </c>
    </row>
    <row r="9" spans="1:11" ht="15.75">
      <c r="A9" s="249">
        <f t="shared" si="1"/>
        <v>4</v>
      </c>
      <c r="B9" s="350" t="s">
        <v>125</v>
      </c>
      <c r="C9" s="918">
        <v>0.99</v>
      </c>
      <c r="D9" s="350" t="s">
        <v>94</v>
      </c>
      <c r="E9" s="350"/>
      <c r="F9" s="918" t="s">
        <v>94</v>
      </c>
      <c r="G9" s="918">
        <v>0.3</v>
      </c>
      <c r="H9" s="918">
        <v>0.19</v>
      </c>
      <c r="I9" s="918">
        <v>0.09</v>
      </c>
      <c r="J9" s="918">
        <v>0.53</v>
      </c>
      <c r="K9" s="273">
        <f t="shared" si="0"/>
        <v>1.1099999999999999</v>
      </c>
    </row>
    <row r="10" spans="1:11" ht="15.75">
      <c r="A10" s="249">
        <f t="shared" si="1"/>
        <v>5</v>
      </c>
      <c r="B10" s="350" t="s">
        <v>126</v>
      </c>
      <c r="C10" s="918">
        <v>0.24</v>
      </c>
      <c r="D10" s="350" t="s">
        <v>94</v>
      </c>
      <c r="E10" s="350"/>
      <c r="F10" s="249" t="s">
        <v>94</v>
      </c>
      <c r="G10" s="918">
        <v>0.25</v>
      </c>
      <c r="H10" s="918">
        <v>0.09</v>
      </c>
      <c r="I10" s="918">
        <v>0</v>
      </c>
      <c r="J10" s="918">
        <v>0.22</v>
      </c>
      <c r="K10" s="273">
        <f t="shared" si="0"/>
        <v>0.55999999999999994</v>
      </c>
    </row>
    <row r="11" spans="1:11" ht="15.75">
      <c r="A11" s="249">
        <f t="shared" si="1"/>
        <v>6</v>
      </c>
      <c r="B11" s="350" t="s">
        <v>268</v>
      </c>
      <c r="C11" s="918">
        <v>0</v>
      </c>
      <c r="D11" s="350" t="s">
        <v>94</v>
      </c>
      <c r="E11" s="350"/>
      <c r="F11" s="249" t="s">
        <v>94</v>
      </c>
      <c r="G11" s="918">
        <v>0</v>
      </c>
      <c r="H11" s="918">
        <v>0</v>
      </c>
      <c r="I11" s="918">
        <v>0</v>
      </c>
      <c r="J11" s="918">
        <v>0</v>
      </c>
      <c r="K11" s="273">
        <f t="shared" si="0"/>
        <v>0</v>
      </c>
    </row>
    <row r="12" spans="1:11" ht="15.75">
      <c r="A12" s="249">
        <f t="shared" si="1"/>
        <v>7</v>
      </c>
      <c r="B12" s="350" t="s">
        <v>127</v>
      </c>
      <c r="C12" s="918">
        <v>5.21</v>
      </c>
      <c r="D12" s="350" t="s">
        <v>94</v>
      </c>
      <c r="E12" s="350"/>
      <c r="F12" s="249" t="s">
        <v>94</v>
      </c>
      <c r="G12" s="918">
        <v>1.41</v>
      </c>
      <c r="H12" s="918">
        <v>1.76</v>
      </c>
      <c r="I12" s="918">
        <v>1.87</v>
      </c>
      <c r="J12" s="918">
        <v>1.54</v>
      </c>
      <c r="K12" s="273">
        <f t="shared" si="0"/>
        <v>6.58</v>
      </c>
    </row>
    <row r="13" spans="1:11" ht="15.75">
      <c r="A13" s="249">
        <f t="shared" si="1"/>
        <v>8</v>
      </c>
      <c r="B13" s="350" t="s">
        <v>269</v>
      </c>
      <c r="C13" s="918">
        <v>0</v>
      </c>
      <c r="D13" s="350" t="s">
        <v>94</v>
      </c>
      <c r="E13" s="350"/>
      <c r="F13" s="249" t="s">
        <v>94</v>
      </c>
      <c r="G13" s="918">
        <v>0</v>
      </c>
      <c r="H13" s="918">
        <v>0</v>
      </c>
      <c r="I13" s="918">
        <v>0</v>
      </c>
      <c r="J13" s="918">
        <v>0</v>
      </c>
      <c r="K13" s="273">
        <f t="shared" si="0"/>
        <v>0</v>
      </c>
    </row>
    <row r="14" spans="1:11" ht="15.75">
      <c r="A14" s="249">
        <f t="shared" si="1"/>
        <v>9</v>
      </c>
      <c r="B14" s="350" t="s">
        <v>128</v>
      </c>
      <c r="C14" s="918">
        <v>10.34</v>
      </c>
      <c r="D14" s="350" t="s">
        <v>94</v>
      </c>
      <c r="E14" s="350"/>
      <c r="F14" s="918" t="s">
        <v>94</v>
      </c>
      <c r="G14" s="918">
        <v>2.82</v>
      </c>
      <c r="H14" s="918">
        <v>3.51</v>
      </c>
      <c r="I14" s="918">
        <v>3.13</v>
      </c>
      <c r="J14" s="918">
        <v>2.2999999999999998</v>
      </c>
      <c r="K14" s="273">
        <f t="shared" si="0"/>
        <v>11.760000000000002</v>
      </c>
    </row>
    <row r="15" spans="1:11" ht="15.75" hidden="1">
      <c r="A15" s="249">
        <f t="shared" si="1"/>
        <v>10</v>
      </c>
      <c r="B15" s="350" t="s">
        <v>270</v>
      </c>
      <c r="C15" s="918">
        <v>0</v>
      </c>
      <c r="D15" s="350" t="s">
        <v>94</v>
      </c>
      <c r="E15" s="350"/>
      <c r="F15" s="249" t="s">
        <v>94</v>
      </c>
      <c r="G15" s="918">
        <v>0</v>
      </c>
      <c r="H15" s="918">
        <v>0</v>
      </c>
      <c r="I15" s="918">
        <v>0</v>
      </c>
      <c r="J15" s="918">
        <v>0</v>
      </c>
      <c r="K15" s="273">
        <f t="shared" si="0"/>
        <v>0</v>
      </c>
    </row>
    <row r="16" spans="1:11" ht="15.75" hidden="1">
      <c r="A16" s="249">
        <f t="shared" si="1"/>
        <v>11</v>
      </c>
      <c r="B16" s="350" t="s">
        <v>271</v>
      </c>
      <c r="C16" s="918">
        <v>0</v>
      </c>
      <c r="D16" s="350" t="s">
        <v>94</v>
      </c>
      <c r="E16" s="350"/>
      <c r="F16" s="249" t="s">
        <v>94</v>
      </c>
      <c r="G16" s="918">
        <v>0</v>
      </c>
      <c r="H16" s="918">
        <v>0</v>
      </c>
      <c r="I16" s="918">
        <v>0</v>
      </c>
      <c r="J16" s="918">
        <v>0</v>
      </c>
      <c r="K16" s="273">
        <f t="shared" si="0"/>
        <v>0</v>
      </c>
    </row>
    <row r="17" spans="1:11" ht="15.75" hidden="1">
      <c r="A17" s="249">
        <f t="shared" si="1"/>
        <v>12</v>
      </c>
      <c r="B17" s="350" t="s">
        <v>272</v>
      </c>
      <c r="C17" s="918">
        <v>0</v>
      </c>
      <c r="D17" s="350" t="s">
        <v>94</v>
      </c>
      <c r="E17" s="350"/>
      <c r="F17" s="249" t="s">
        <v>94</v>
      </c>
      <c r="G17" s="918">
        <v>0</v>
      </c>
      <c r="H17" s="918">
        <v>0</v>
      </c>
      <c r="I17" s="918">
        <v>0</v>
      </c>
      <c r="J17" s="918">
        <v>0</v>
      </c>
      <c r="K17" s="273">
        <f t="shared" si="0"/>
        <v>0</v>
      </c>
    </row>
    <row r="18" spans="1:11" ht="15.75" hidden="1">
      <c r="A18" s="249">
        <f t="shared" si="1"/>
        <v>13</v>
      </c>
      <c r="B18" s="350" t="s">
        <v>273</v>
      </c>
      <c r="C18" s="918">
        <v>0</v>
      </c>
      <c r="D18" s="350" t="s">
        <v>94</v>
      </c>
      <c r="E18" s="350"/>
      <c r="F18" s="249" t="s">
        <v>94</v>
      </c>
      <c r="G18" s="918">
        <v>0</v>
      </c>
      <c r="H18" s="918">
        <v>0</v>
      </c>
      <c r="I18" s="918">
        <v>0</v>
      </c>
      <c r="J18" s="918">
        <v>0</v>
      </c>
      <c r="K18" s="273">
        <f t="shared" si="0"/>
        <v>0</v>
      </c>
    </row>
    <row r="19" spans="1:11" ht="15.75">
      <c r="A19" s="249">
        <f t="shared" si="1"/>
        <v>14</v>
      </c>
      <c r="B19" s="350" t="s">
        <v>129</v>
      </c>
      <c r="C19" s="918">
        <v>2.3200000000000003</v>
      </c>
      <c r="D19" s="350" t="s">
        <v>94</v>
      </c>
      <c r="E19" s="350"/>
      <c r="F19" s="249" t="s">
        <v>94</v>
      </c>
      <c r="G19" s="918">
        <v>0.51</v>
      </c>
      <c r="H19" s="918">
        <v>0.55000000000000004</v>
      </c>
      <c r="I19" s="918">
        <v>0.3</v>
      </c>
      <c r="J19" s="918">
        <v>0.59</v>
      </c>
      <c r="K19" s="273">
        <f t="shared" si="0"/>
        <v>1.9500000000000002</v>
      </c>
    </row>
    <row r="20" spans="1:11" ht="15.75">
      <c r="A20" s="249">
        <f t="shared" si="1"/>
        <v>15</v>
      </c>
      <c r="B20" s="350" t="s">
        <v>130</v>
      </c>
      <c r="C20" s="918">
        <v>1.59</v>
      </c>
      <c r="D20" s="350" t="s">
        <v>94</v>
      </c>
      <c r="E20" s="350"/>
      <c r="F20" s="249" t="s">
        <v>94</v>
      </c>
      <c r="G20" s="918">
        <v>0.14000000000000001</v>
      </c>
      <c r="H20" s="918">
        <v>0.23</v>
      </c>
      <c r="I20" s="918">
        <v>0.05</v>
      </c>
      <c r="J20" s="918">
        <v>1.37</v>
      </c>
      <c r="K20" s="273">
        <f t="shared" si="0"/>
        <v>1.79</v>
      </c>
    </row>
    <row r="21" spans="1:11" ht="15.75" hidden="1">
      <c r="A21" s="249">
        <f t="shared" si="1"/>
        <v>16</v>
      </c>
      <c r="B21" s="350" t="s">
        <v>274</v>
      </c>
      <c r="C21" s="918">
        <v>0</v>
      </c>
      <c r="D21" s="350" t="s">
        <v>94</v>
      </c>
      <c r="E21" s="350"/>
      <c r="F21" s="249" t="s">
        <v>94</v>
      </c>
      <c r="G21" s="918">
        <v>0</v>
      </c>
      <c r="H21" s="918">
        <v>0</v>
      </c>
      <c r="I21" s="918">
        <v>0</v>
      </c>
      <c r="J21" s="918">
        <v>0</v>
      </c>
      <c r="K21" s="273">
        <f t="shared" si="0"/>
        <v>0</v>
      </c>
    </row>
    <row r="22" spans="1:11" ht="15.75" hidden="1">
      <c r="A22" s="249">
        <f t="shared" si="1"/>
        <v>17</v>
      </c>
      <c r="B22" s="350" t="s">
        <v>275</v>
      </c>
      <c r="C22" s="918">
        <v>0</v>
      </c>
      <c r="D22" s="350" t="s">
        <v>94</v>
      </c>
      <c r="E22" s="350"/>
      <c r="F22" s="249" t="s">
        <v>94</v>
      </c>
      <c r="G22" s="918">
        <v>0</v>
      </c>
      <c r="H22" s="918">
        <v>0</v>
      </c>
      <c r="I22" s="918">
        <v>0</v>
      </c>
      <c r="J22" s="918">
        <v>0</v>
      </c>
      <c r="K22" s="273">
        <f t="shared" si="0"/>
        <v>0</v>
      </c>
    </row>
    <row r="23" spans="1:11" ht="15.75">
      <c r="A23" s="249">
        <f t="shared" si="1"/>
        <v>18</v>
      </c>
      <c r="B23" s="350" t="s">
        <v>131</v>
      </c>
      <c r="C23" s="918">
        <v>2.19</v>
      </c>
      <c r="D23" s="350" t="s">
        <v>94</v>
      </c>
      <c r="E23" s="350"/>
      <c r="F23" s="249" t="s">
        <v>94</v>
      </c>
      <c r="G23" s="918">
        <v>0.15</v>
      </c>
      <c r="H23" s="918">
        <v>0.1</v>
      </c>
      <c r="I23" s="918">
        <v>7.0000000000000007E-2</v>
      </c>
      <c r="J23" s="918">
        <v>2.2799999999999998</v>
      </c>
      <c r="K23" s="273">
        <f t="shared" si="0"/>
        <v>2.5999999999999996</v>
      </c>
    </row>
    <row r="24" spans="1:11" ht="15.75">
      <c r="A24" s="249">
        <f t="shared" si="1"/>
        <v>19</v>
      </c>
      <c r="B24" s="350" t="s">
        <v>276</v>
      </c>
      <c r="C24" s="918">
        <v>3.46</v>
      </c>
      <c r="D24" s="350" t="s">
        <v>94</v>
      </c>
      <c r="E24" s="350"/>
      <c r="F24" s="249" t="s">
        <v>277</v>
      </c>
      <c r="G24" s="918">
        <v>0.25</v>
      </c>
      <c r="H24" s="918">
        <v>0.17</v>
      </c>
      <c r="I24" s="918">
        <v>0</v>
      </c>
      <c r="J24" s="918">
        <v>4.25</v>
      </c>
      <c r="K24" s="273">
        <f t="shared" si="0"/>
        <v>4.67</v>
      </c>
    </row>
    <row r="25" spans="1:11" ht="15.75" hidden="1">
      <c r="A25" s="249">
        <f t="shared" si="1"/>
        <v>20</v>
      </c>
      <c r="B25" s="350" t="s">
        <v>278</v>
      </c>
      <c r="C25" s="918">
        <v>0</v>
      </c>
      <c r="D25" s="350" t="s">
        <v>94</v>
      </c>
      <c r="E25" s="350"/>
      <c r="F25" s="249" t="s">
        <v>94</v>
      </c>
      <c r="G25" s="918">
        <v>0</v>
      </c>
      <c r="H25" s="918">
        <v>0</v>
      </c>
      <c r="I25" s="918">
        <v>0</v>
      </c>
      <c r="J25" s="918">
        <v>0</v>
      </c>
      <c r="K25" s="273">
        <f t="shared" si="0"/>
        <v>0</v>
      </c>
    </row>
    <row r="26" spans="1:11" ht="15.75" hidden="1">
      <c r="A26" s="249">
        <f t="shared" si="1"/>
        <v>21</v>
      </c>
      <c r="B26" s="350" t="s">
        <v>279</v>
      </c>
      <c r="C26" s="918">
        <v>0</v>
      </c>
      <c r="D26" s="350" t="s">
        <v>94</v>
      </c>
      <c r="E26" s="350"/>
      <c r="F26" s="249" t="s">
        <v>94</v>
      </c>
      <c r="G26" s="918">
        <v>0</v>
      </c>
      <c r="H26" s="918">
        <v>0</v>
      </c>
      <c r="I26" s="918">
        <v>0</v>
      </c>
      <c r="J26" s="918">
        <v>0</v>
      </c>
      <c r="K26" s="273">
        <f t="shared" si="0"/>
        <v>0</v>
      </c>
    </row>
    <row r="27" spans="1:11" ht="15.75" hidden="1">
      <c r="A27" s="249">
        <f t="shared" si="1"/>
        <v>22</v>
      </c>
      <c r="B27" s="350" t="s">
        <v>280</v>
      </c>
      <c r="C27" s="918">
        <v>0</v>
      </c>
      <c r="D27" s="350" t="s">
        <v>94</v>
      </c>
      <c r="E27" s="350"/>
      <c r="F27" s="249" t="s">
        <v>94</v>
      </c>
      <c r="G27" s="918">
        <v>0</v>
      </c>
      <c r="H27" s="918">
        <v>0</v>
      </c>
      <c r="I27" s="918">
        <v>0</v>
      </c>
      <c r="J27" s="918">
        <v>0</v>
      </c>
      <c r="K27" s="273">
        <f t="shared" si="0"/>
        <v>0</v>
      </c>
    </row>
    <row r="28" spans="1:11" ht="15.75" hidden="1">
      <c r="A28" s="249">
        <f t="shared" si="1"/>
        <v>23</v>
      </c>
      <c r="B28" s="350" t="s">
        <v>281</v>
      </c>
      <c r="C28" s="918">
        <v>0</v>
      </c>
      <c r="D28" s="350" t="s">
        <v>94</v>
      </c>
      <c r="E28" s="350"/>
      <c r="F28" s="249" t="s">
        <v>94</v>
      </c>
      <c r="G28" s="918">
        <v>0</v>
      </c>
      <c r="H28" s="918">
        <v>0</v>
      </c>
      <c r="I28" s="918">
        <v>0</v>
      </c>
      <c r="J28" s="918">
        <v>0</v>
      </c>
      <c r="K28" s="273">
        <f t="shared" si="0"/>
        <v>0</v>
      </c>
    </row>
    <row r="29" spans="1:11" ht="15.75" hidden="1">
      <c r="A29" s="249">
        <f t="shared" si="1"/>
        <v>24</v>
      </c>
      <c r="B29" s="350" t="s">
        <v>282</v>
      </c>
      <c r="C29" s="918">
        <v>0</v>
      </c>
      <c r="D29" s="350" t="s">
        <v>94</v>
      </c>
      <c r="E29" s="350"/>
      <c r="F29" s="249" t="s">
        <v>94</v>
      </c>
      <c r="G29" s="918">
        <v>0</v>
      </c>
      <c r="H29" s="918">
        <v>0</v>
      </c>
      <c r="I29" s="918">
        <v>0</v>
      </c>
      <c r="J29" s="918">
        <v>0</v>
      </c>
      <c r="K29" s="273">
        <f t="shared" si="0"/>
        <v>0</v>
      </c>
    </row>
    <row r="30" spans="1:11" ht="15.75" hidden="1">
      <c r="A30" s="249">
        <f t="shared" si="1"/>
        <v>25</v>
      </c>
      <c r="B30" s="350" t="s">
        <v>283</v>
      </c>
      <c r="C30" s="918">
        <v>0</v>
      </c>
      <c r="D30" s="350" t="s">
        <v>94</v>
      </c>
      <c r="E30" s="350"/>
      <c r="F30" s="249" t="s">
        <v>94</v>
      </c>
      <c r="G30" s="918">
        <v>0</v>
      </c>
      <c r="H30" s="918">
        <v>0</v>
      </c>
      <c r="I30" s="918">
        <v>0</v>
      </c>
      <c r="J30" s="918">
        <v>0</v>
      </c>
      <c r="K30" s="273">
        <f t="shared" si="0"/>
        <v>0</v>
      </c>
    </row>
    <row r="31" spans="1:11" ht="15.75">
      <c r="A31" s="249">
        <f t="shared" si="1"/>
        <v>26</v>
      </c>
      <c r="B31" s="350" t="s">
        <v>134</v>
      </c>
      <c r="C31" s="918">
        <v>0.27</v>
      </c>
      <c r="D31" s="350" t="s">
        <v>94</v>
      </c>
      <c r="E31" s="350"/>
      <c r="F31" s="249" t="s">
        <v>94</v>
      </c>
      <c r="G31" s="918">
        <v>0.01</v>
      </c>
      <c r="H31" s="918">
        <v>0.95</v>
      </c>
      <c r="I31" s="918">
        <v>0.01</v>
      </c>
      <c r="J31" s="918">
        <v>0.01</v>
      </c>
      <c r="K31" s="273">
        <f t="shared" si="0"/>
        <v>0.98</v>
      </c>
    </row>
    <row r="32" spans="1:11" ht="15.75" hidden="1">
      <c r="A32" s="249">
        <f t="shared" si="1"/>
        <v>27</v>
      </c>
      <c r="B32" s="350" t="s">
        <v>284</v>
      </c>
      <c r="C32" s="918">
        <v>0</v>
      </c>
      <c r="D32" s="350" t="s">
        <v>94</v>
      </c>
      <c r="E32" s="350"/>
      <c r="F32" s="249" t="s">
        <v>94</v>
      </c>
      <c r="G32" s="918">
        <v>0</v>
      </c>
      <c r="H32" s="918">
        <v>0</v>
      </c>
      <c r="I32" s="918">
        <v>0</v>
      </c>
      <c r="J32" s="918">
        <v>0</v>
      </c>
      <c r="K32" s="273">
        <f t="shared" si="0"/>
        <v>0</v>
      </c>
    </row>
    <row r="33" spans="1:12" ht="15.75" hidden="1">
      <c r="A33" s="249">
        <f t="shared" si="1"/>
        <v>28</v>
      </c>
      <c r="B33" s="350" t="s">
        <v>285</v>
      </c>
      <c r="C33" s="918">
        <v>0</v>
      </c>
      <c r="D33" s="350" t="s">
        <v>94</v>
      </c>
      <c r="E33" s="350"/>
      <c r="F33" s="918" t="s">
        <v>94</v>
      </c>
      <c r="G33" s="918">
        <v>0</v>
      </c>
      <c r="H33" s="918">
        <v>0</v>
      </c>
      <c r="I33" s="918">
        <v>0</v>
      </c>
      <c r="J33" s="918">
        <v>0</v>
      </c>
      <c r="K33" s="273">
        <f t="shared" si="0"/>
        <v>0</v>
      </c>
    </row>
    <row r="34" spans="1:12" ht="15.75" hidden="1">
      <c r="A34" s="249">
        <f t="shared" si="1"/>
        <v>29</v>
      </c>
      <c r="B34" s="350" t="s">
        <v>286</v>
      </c>
      <c r="C34" s="918">
        <v>0</v>
      </c>
      <c r="D34" s="350" t="s">
        <v>94</v>
      </c>
      <c r="E34" s="350"/>
      <c r="F34" s="249" t="s">
        <v>94</v>
      </c>
      <c r="G34" s="918">
        <v>0</v>
      </c>
      <c r="H34" s="918">
        <v>0</v>
      </c>
      <c r="I34" s="918">
        <v>0</v>
      </c>
      <c r="J34" s="918">
        <v>0</v>
      </c>
      <c r="K34" s="273">
        <f t="shared" si="0"/>
        <v>0</v>
      </c>
    </row>
    <row r="35" spans="1:12" ht="15.75">
      <c r="A35" s="249">
        <f t="shared" si="1"/>
        <v>30</v>
      </c>
      <c r="B35" s="350" t="s">
        <v>135</v>
      </c>
      <c r="C35" s="918">
        <v>8.44</v>
      </c>
      <c r="D35" s="350" t="s">
        <v>94</v>
      </c>
      <c r="E35" s="350"/>
      <c r="F35" s="249" t="s">
        <v>94</v>
      </c>
      <c r="G35" s="1080">
        <v>0</v>
      </c>
      <c r="H35" s="1080">
        <v>0</v>
      </c>
      <c r="I35" s="1080">
        <v>0</v>
      </c>
      <c r="J35" s="1080">
        <v>8.0500000000000007</v>
      </c>
      <c r="K35" s="273">
        <f t="shared" si="0"/>
        <v>8.0500000000000007</v>
      </c>
    </row>
    <row r="36" spans="1:12" ht="15.75" hidden="1">
      <c r="A36" s="249">
        <f t="shared" si="1"/>
        <v>31</v>
      </c>
      <c r="B36" s="350" t="s">
        <v>287</v>
      </c>
      <c r="C36" s="918">
        <v>0</v>
      </c>
      <c r="D36" s="350" t="s">
        <v>94</v>
      </c>
      <c r="E36" s="350"/>
      <c r="F36" s="249" t="s">
        <v>94</v>
      </c>
      <c r="G36" s="918">
        <v>0</v>
      </c>
      <c r="H36" s="918">
        <v>0</v>
      </c>
      <c r="I36" s="918">
        <v>0</v>
      </c>
      <c r="J36" s="918">
        <v>0</v>
      </c>
      <c r="K36" s="273">
        <f t="shared" si="0"/>
        <v>0</v>
      </c>
    </row>
    <row r="37" spans="1:12" ht="15.75" hidden="1">
      <c r="A37" s="249">
        <f t="shared" si="1"/>
        <v>32</v>
      </c>
      <c r="B37" s="350" t="s">
        <v>288</v>
      </c>
      <c r="C37" s="918">
        <v>0</v>
      </c>
      <c r="D37" s="350" t="s">
        <v>94</v>
      </c>
      <c r="E37" s="350"/>
      <c r="F37" s="249" t="s">
        <v>94</v>
      </c>
      <c r="G37" s="918">
        <v>0</v>
      </c>
      <c r="H37" s="918">
        <v>0</v>
      </c>
      <c r="I37" s="918">
        <v>0</v>
      </c>
      <c r="J37" s="918">
        <v>0</v>
      </c>
      <c r="K37" s="273">
        <f t="shared" si="0"/>
        <v>0</v>
      </c>
    </row>
    <row r="38" spans="1:12" ht="15.75" hidden="1">
      <c r="A38" s="249">
        <f t="shared" si="1"/>
        <v>33</v>
      </c>
      <c r="B38" s="350" t="s">
        <v>289</v>
      </c>
      <c r="C38" s="918">
        <v>0</v>
      </c>
      <c r="D38" s="350" t="s">
        <v>94</v>
      </c>
      <c r="E38" s="350"/>
      <c r="F38" s="249" t="s">
        <v>94</v>
      </c>
      <c r="G38" s="918">
        <v>0</v>
      </c>
      <c r="H38" s="918">
        <v>0</v>
      </c>
      <c r="I38" s="918">
        <v>0</v>
      </c>
      <c r="J38" s="918">
        <v>0</v>
      </c>
      <c r="K38" s="273">
        <f t="shared" si="0"/>
        <v>0</v>
      </c>
    </row>
    <row r="39" spans="1:12" ht="15.75">
      <c r="A39" s="249">
        <f t="shared" si="1"/>
        <v>34</v>
      </c>
      <c r="B39" s="1081" t="s">
        <v>290</v>
      </c>
      <c r="C39" s="1082">
        <v>6.31</v>
      </c>
      <c r="D39" s="1081" t="s">
        <v>94</v>
      </c>
      <c r="E39" s="1081"/>
      <c r="F39" s="250" t="s">
        <v>94</v>
      </c>
      <c r="G39" s="918">
        <v>1.51</v>
      </c>
      <c r="H39" s="918">
        <v>1.92</v>
      </c>
      <c r="I39" s="918">
        <v>2.58</v>
      </c>
      <c r="J39" s="918">
        <v>1.64</v>
      </c>
      <c r="K39" s="273">
        <f t="shared" si="0"/>
        <v>7.6499999999999995</v>
      </c>
    </row>
    <row r="40" spans="1:12" ht="15.75">
      <c r="A40" s="249">
        <f t="shared" si="1"/>
        <v>35</v>
      </c>
      <c r="B40" s="350" t="s">
        <v>137</v>
      </c>
      <c r="C40" s="918">
        <v>36.93</v>
      </c>
      <c r="D40" s="350" t="s">
        <v>94</v>
      </c>
      <c r="E40" s="350"/>
      <c r="F40" s="918" t="s">
        <v>94</v>
      </c>
      <c r="G40" s="918">
        <v>7.14</v>
      </c>
      <c r="H40" s="918">
        <v>10.039999999999999</v>
      </c>
      <c r="I40" s="918">
        <v>9.1199999999999992</v>
      </c>
      <c r="J40" s="918">
        <v>15.3</v>
      </c>
      <c r="K40" s="273">
        <f t="shared" si="0"/>
        <v>41.599999999999994</v>
      </c>
    </row>
    <row r="41" spans="1:12" ht="15.75">
      <c r="A41" s="249">
        <f t="shared" si="1"/>
        <v>36</v>
      </c>
      <c r="B41" s="362" t="s">
        <v>138</v>
      </c>
      <c r="C41" s="1083">
        <v>85.09</v>
      </c>
      <c r="D41" s="362" t="s">
        <v>94</v>
      </c>
      <c r="E41" s="1084"/>
      <c r="F41" s="1085" t="s">
        <v>94</v>
      </c>
      <c r="G41" s="1083">
        <f>SUM(G6:G40)</f>
        <v>14.829999999999998</v>
      </c>
      <c r="H41" s="1085">
        <f>SUM(H6:H40)</f>
        <v>20.849999999999998</v>
      </c>
      <c r="I41" s="1083">
        <f>SUM(I6:I40)</f>
        <v>17.53</v>
      </c>
      <c r="J41" s="1083">
        <f>SUM(J6:J40)</f>
        <v>42.210000000000008</v>
      </c>
      <c r="K41" s="273">
        <f t="shared" si="0"/>
        <v>95.42</v>
      </c>
    </row>
    <row r="42" spans="1:12" ht="15.75" hidden="1">
      <c r="A42" s="249">
        <f t="shared" si="1"/>
        <v>37</v>
      </c>
      <c r="B42" s="269" t="s">
        <v>291</v>
      </c>
      <c r="C42" s="918">
        <v>0</v>
      </c>
      <c r="D42" s="269" t="s">
        <v>94</v>
      </c>
      <c r="E42" s="269"/>
      <c r="F42" s="249" t="s">
        <v>94</v>
      </c>
      <c r="G42" s="249">
        <v>0</v>
      </c>
      <c r="H42" s="249">
        <v>0</v>
      </c>
      <c r="I42" s="249">
        <v>0</v>
      </c>
      <c r="J42" s="249">
        <v>0</v>
      </c>
      <c r="K42" s="273">
        <f t="shared" si="0"/>
        <v>0</v>
      </c>
    </row>
    <row r="43" spans="1:12" ht="15.75">
      <c r="A43" s="249">
        <f t="shared" si="1"/>
        <v>38</v>
      </c>
      <c r="B43" s="1085" t="s">
        <v>292</v>
      </c>
      <c r="C43" s="1083">
        <v>85.09</v>
      </c>
      <c r="D43" s="1085" t="s">
        <v>94</v>
      </c>
      <c r="E43" s="1085"/>
      <c r="F43" s="249" t="s">
        <v>94</v>
      </c>
      <c r="G43" s="1085">
        <f>SUM(G41+G42)</f>
        <v>14.829999999999998</v>
      </c>
      <c r="H43" s="1083">
        <f>SUM(H41+H42)</f>
        <v>20.849999999999998</v>
      </c>
      <c r="I43" s="1083">
        <f>SUM(I41+I42)</f>
        <v>17.53</v>
      </c>
      <c r="J43" s="1083">
        <f>SUM(J41+J42)</f>
        <v>42.210000000000008</v>
      </c>
      <c r="K43" s="273">
        <f t="shared" si="0"/>
        <v>95.42</v>
      </c>
      <c r="L43" s="478"/>
    </row>
    <row r="44" spans="1:12" ht="15.75">
      <c r="A44" s="249">
        <f t="shared" si="1"/>
        <v>39</v>
      </c>
      <c r="B44" s="350" t="s">
        <v>293</v>
      </c>
      <c r="C44" s="249" t="s">
        <v>94</v>
      </c>
      <c r="D44" s="350" t="s">
        <v>94</v>
      </c>
      <c r="E44" s="350"/>
      <c r="F44" s="249" t="s">
        <v>94</v>
      </c>
      <c r="G44" s="249"/>
      <c r="H44" s="249"/>
      <c r="I44" s="249"/>
      <c r="J44" s="249"/>
      <c r="K44" s="269"/>
    </row>
    <row r="45" spans="1:12" ht="15.75">
      <c r="A45" s="249">
        <f>A44+1</f>
        <v>40</v>
      </c>
      <c r="B45" s="350" t="s">
        <v>294</v>
      </c>
      <c r="C45" s="249" t="s">
        <v>94</v>
      </c>
      <c r="D45" s="350" t="s">
        <v>94</v>
      </c>
      <c r="E45" s="350"/>
      <c r="F45" s="249" t="s">
        <v>94</v>
      </c>
      <c r="G45" s="249"/>
      <c r="H45" s="249"/>
      <c r="I45" s="249"/>
      <c r="J45" s="249"/>
      <c r="K45" s="1076"/>
    </row>
    <row r="46" spans="1:12" ht="15.75">
      <c r="B46" s="1086"/>
      <c r="D46" s="30" t="s">
        <v>94</v>
      </c>
    </row>
    <row r="47" spans="1:12" ht="15.75">
      <c r="B47" s="1086"/>
    </row>
    <row r="49" spans="1:11" ht="15.75">
      <c r="B49" s="1087" t="s">
        <v>297</v>
      </c>
    </row>
    <row r="51" spans="1:11" ht="12.75" customHeight="1">
      <c r="A51" s="5809" t="s">
        <v>101</v>
      </c>
      <c r="B51" s="5809" t="s">
        <v>81</v>
      </c>
      <c r="C51" s="1010" t="s">
        <v>94</v>
      </c>
      <c r="D51" s="1072"/>
      <c r="E51" s="1072"/>
      <c r="F51" s="1073" t="s">
        <v>298</v>
      </c>
      <c r="G51" s="6353"/>
      <c r="H51" s="6354"/>
      <c r="I51" s="6354"/>
      <c r="J51" s="6355"/>
      <c r="K51" s="1073"/>
    </row>
    <row r="52" spans="1:11" ht="15.75">
      <c r="A52" s="5809"/>
      <c r="B52" s="5809"/>
      <c r="C52" s="1010" t="s">
        <v>255</v>
      </c>
      <c r="D52" s="1072" t="s">
        <v>256</v>
      </c>
      <c r="E52" s="1072"/>
      <c r="F52" s="1072"/>
      <c r="G52" s="6356"/>
      <c r="H52" s="6357"/>
      <c r="I52" s="6357"/>
      <c r="J52" s="6358"/>
      <c r="K52" s="1072"/>
    </row>
    <row r="53" spans="1:11" ht="15.75">
      <c r="A53" s="5809"/>
      <c r="B53" s="5809"/>
      <c r="C53" s="1010" t="s">
        <v>98</v>
      </c>
      <c r="D53" s="1074" t="s">
        <v>257</v>
      </c>
      <c r="E53" s="1075" t="s">
        <v>258</v>
      </c>
      <c r="F53" s="1074" t="s">
        <v>94</v>
      </c>
      <c r="G53" s="1074"/>
      <c r="H53" s="1072" t="s">
        <v>259</v>
      </c>
      <c r="I53" s="1074"/>
      <c r="J53" s="1072"/>
      <c r="K53" s="1073" t="s">
        <v>260</v>
      </c>
    </row>
    <row r="54" spans="1:11" ht="15.75">
      <c r="A54" s="1088"/>
      <c r="B54" s="1088"/>
      <c r="C54" s="1088"/>
      <c r="D54" s="1072" t="s">
        <v>261</v>
      </c>
      <c r="E54" s="1072" t="s">
        <v>262</v>
      </c>
      <c r="F54" s="1072" t="s">
        <v>263</v>
      </c>
      <c r="G54" s="1073" t="s">
        <v>264</v>
      </c>
      <c r="H54" s="1073" t="s">
        <v>265</v>
      </c>
      <c r="I54" s="1073" t="s">
        <v>266</v>
      </c>
      <c r="J54" s="1073" t="s">
        <v>267</v>
      </c>
      <c r="K54" s="1072"/>
    </row>
    <row r="55" spans="1:11" ht="15.75">
      <c r="A55" s="1089"/>
      <c r="B55" s="1011"/>
      <c r="C55" s="1090"/>
      <c r="D55" s="1011"/>
      <c r="E55" s="1011" t="s">
        <v>94</v>
      </c>
      <c r="F55" s="1090" t="s">
        <v>94</v>
      </c>
      <c r="G55" s="1090"/>
      <c r="H55" s="1090"/>
      <c r="I55" s="1090"/>
      <c r="J55" s="1090"/>
      <c r="K55" s="1076"/>
    </row>
    <row r="56" spans="1:11" ht="15.75">
      <c r="A56" s="249">
        <v>1</v>
      </c>
      <c r="B56" s="350" t="s">
        <v>299</v>
      </c>
      <c r="C56" s="918">
        <v>4.9499999999999993</v>
      </c>
      <c r="D56" s="1091" t="s">
        <v>94</v>
      </c>
      <c r="E56" s="350"/>
      <c r="F56" s="918" t="s">
        <v>94</v>
      </c>
      <c r="G56" s="918">
        <v>0.91</v>
      </c>
      <c r="H56" s="918">
        <v>2.44</v>
      </c>
      <c r="I56" s="918">
        <v>1.81</v>
      </c>
      <c r="J56" s="918">
        <v>1.38</v>
      </c>
      <c r="K56" s="273">
        <f>G56+H56+I56+J56</f>
        <v>6.54</v>
      </c>
    </row>
    <row r="57" spans="1:11" ht="15.75">
      <c r="A57" s="249">
        <f>A56+1</f>
        <v>2</v>
      </c>
      <c r="B57" s="350" t="s">
        <v>300</v>
      </c>
      <c r="C57" s="918">
        <v>6.0000000000000005E-2</v>
      </c>
      <c r="D57" s="1091" t="s">
        <v>94</v>
      </c>
      <c r="E57" s="350"/>
      <c r="F57" s="918" t="s">
        <v>94</v>
      </c>
      <c r="G57" s="918">
        <v>0.02</v>
      </c>
      <c r="H57" s="918">
        <v>0.02</v>
      </c>
      <c r="I57" s="918">
        <v>0.02</v>
      </c>
      <c r="J57" s="918">
        <v>0.12</v>
      </c>
      <c r="K57" s="273">
        <f t="shared" ref="K57:K71" si="2">G57+H57+I57+J57</f>
        <v>0.18</v>
      </c>
    </row>
    <row r="58" spans="1:11" ht="15.75">
      <c r="A58" s="249">
        <f t="shared" ref="A58:A75" si="3">A57+1</f>
        <v>3</v>
      </c>
      <c r="B58" s="350" t="s">
        <v>141</v>
      </c>
      <c r="C58" s="918">
        <v>0.03</v>
      </c>
      <c r="D58" s="1091" t="s">
        <v>94</v>
      </c>
      <c r="E58" s="350"/>
      <c r="F58" s="918" t="s">
        <v>94</v>
      </c>
      <c r="G58" s="918">
        <v>0</v>
      </c>
      <c r="H58" s="918">
        <v>0</v>
      </c>
      <c r="I58" s="918">
        <v>0</v>
      </c>
      <c r="J58" s="918">
        <v>0.01</v>
      </c>
      <c r="K58" s="273">
        <f t="shared" si="2"/>
        <v>0.01</v>
      </c>
    </row>
    <row r="59" spans="1:11" ht="15.75">
      <c r="A59" s="249">
        <f t="shared" si="3"/>
        <v>4</v>
      </c>
      <c r="B59" s="350" t="s">
        <v>142</v>
      </c>
      <c r="C59" s="918">
        <v>0.16</v>
      </c>
      <c r="D59" s="1091" t="s">
        <v>94</v>
      </c>
      <c r="E59" s="350"/>
      <c r="F59" s="918" t="s">
        <v>277</v>
      </c>
      <c r="G59" s="918">
        <v>0.05</v>
      </c>
      <c r="H59" s="918">
        <v>0.03</v>
      </c>
      <c r="I59" s="918">
        <v>0.02</v>
      </c>
      <c r="J59" s="918">
        <v>0.02</v>
      </c>
      <c r="K59" s="273">
        <f t="shared" si="2"/>
        <v>0.12000000000000001</v>
      </c>
    </row>
    <row r="60" spans="1:11" ht="15.75">
      <c r="A60" s="249">
        <f t="shared" si="3"/>
        <v>5</v>
      </c>
      <c r="B60" s="350" t="s">
        <v>301</v>
      </c>
      <c r="C60" s="918">
        <v>8.09</v>
      </c>
      <c r="D60" s="1091" t="s">
        <v>94</v>
      </c>
      <c r="E60" s="350"/>
      <c r="F60" s="918" t="s">
        <v>94</v>
      </c>
      <c r="G60" s="918">
        <v>0.6</v>
      </c>
      <c r="H60" s="918">
        <v>0.68</v>
      </c>
      <c r="I60" s="918">
        <v>1.57</v>
      </c>
      <c r="J60" s="918">
        <v>1.93</v>
      </c>
      <c r="K60" s="273">
        <f t="shared" si="2"/>
        <v>4.78</v>
      </c>
    </row>
    <row r="61" spans="1:11" ht="15.75">
      <c r="A61" s="249">
        <f t="shared" si="3"/>
        <v>6</v>
      </c>
      <c r="B61" s="350" t="s">
        <v>302</v>
      </c>
      <c r="C61" s="918">
        <v>5.7100000000000009</v>
      </c>
      <c r="D61" s="1091" t="s">
        <v>94</v>
      </c>
      <c r="E61" s="350"/>
      <c r="F61" s="918" t="s">
        <v>94</v>
      </c>
      <c r="G61" s="918">
        <v>0.03</v>
      </c>
      <c r="H61" s="918">
        <v>3.98</v>
      </c>
      <c r="I61" s="918">
        <v>0.8</v>
      </c>
      <c r="J61" s="918">
        <v>7.59</v>
      </c>
      <c r="K61" s="273">
        <f t="shared" si="2"/>
        <v>12.399999999999999</v>
      </c>
    </row>
    <row r="62" spans="1:11" ht="15.75">
      <c r="A62" s="249">
        <f t="shared" si="3"/>
        <v>7</v>
      </c>
      <c r="B62" s="350" t="s">
        <v>303</v>
      </c>
      <c r="C62" s="918">
        <v>14.2</v>
      </c>
      <c r="D62" s="1091" t="s">
        <v>94</v>
      </c>
      <c r="E62" s="350"/>
      <c r="F62" s="918" t="s">
        <v>94</v>
      </c>
      <c r="G62" s="918">
        <v>4.9800000000000004</v>
      </c>
      <c r="H62" s="918">
        <v>3.74</v>
      </c>
      <c r="I62" s="918">
        <v>2.64</v>
      </c>
      <c r="J62" s="918">
        <v>0.7</v>
      </c>
      <c r="K62" s="273">
        <f t="shared" si="2"/>
        <v>12.06</v>
      </c>
    </row>
    <row r="63" spans="1:11" ht="15.75">
      <c r="A63" s="249">
        <f t="shared" si="3"/>
        <v>8</v>
      </c>
      <c r="B63" s="350" t="s">
        <v>145</v>
      </c>
      <c r="C63" s="918">
        <v>2.5499999999999998</v>
      </c>
      <c r="D63" s="1091" t="s">
        <v>94</v>
      </c>
      <c r="E63" s="350"/>
      <c r="F63" s="918" t="s">
        <v>94</v>
      </c>
      <c r="G63" s="918">
        <v>1.01</v>
      </c>
      <c r="H63" s="918">
        <v>0.96</v>
      </c>
      <c r="I63" s="918">
        <v>0.76</v>
      </c>
      <c r="J63" s="918">
        <v>0.74</v>
      </c>
      <c r="K63" s="273">
        <f t="shared" si="2"/>
        <v>3.4699999999999998</v>
      </c>
    </row>
    <row r="64" spans="1:11" ht="15.75">
      <c r="A64" s="249">
        <f t="shared" si="3"/>
        <v>9</v>
      </c>
      <c r="B64" s="350" t="s">
        <v>146</v>
      </c>
      <c r="C64" s="918">
        <v>0.09</v>
      </c>
      <c r="D64" s="1091" t="s">
        <v>277</v>
      </c>
      <c r="E64" s="350"/>
      <c r="F64" s="918" t="s">
        <v>94</v>
      </c>
      <c r="G64" s="918">
        <v>0.01</v>
      </c>
      <c r="H64" s="918">
        <v>0.02</v>
      </c>
      <c r="I64" s="918">
        <v>0.02</v>
      </c>
      <c r="J64" s="918">
        <v>0.02</v>
      </c>
      <c r="K64" s="273">
        <f t="shared" si="2"/>
        <v>7.0000000000000007E-2</v>
      </c>
    </row>
    <row r="65" spans="1:11" ht="15.75" hidden="1">
      <c r="A65" s="249">
        <f t="shared" si="3"/>
        <v>10</v>
      </c>
      <c r="B65" s="350" t="s">
        <v>304</v>
      </c>
      <c r="C65" s="918">
        <v>0</v>
      </c>
      <c r="D65" s="1091" t="s">
        <v>94</v>
      </c>
      <c r="E65" s="350"/>
      <c r="F65" s="918" t="s">
        <v>94</v>
      </c>
      <c r="G65" s="918">
        <v>0</v>
      </c>
      <c r="H65" s="918">
        <v>0</v>
      </c>
      <c r="I65" s="918">
        <v>0</v>
      </c>
      <c r="J65" s="918">
        <v>0</v>
      </c>
      <c r="K65" s="273">
        <f t="shared" si="2"/>
        <v>0</v>
      </c>
    </row>
    <row r="66" spans="1:11" ht="15.75" hidden="1">
      <c r="A66" s="249">
        <f t="shared" si="3"/>
        <v>11</v>
      </c>
      <c r="B66" s="350" t="s">
        <v>305</v>
      </c>
      <c r="C66" s="918">
        <v>0</v>
      </c>
      <c r="D66" s="1091" t="s">
        <v>94</v>
      </c>
      <c r="E66" s="350"/>
      <c r="F66" s="918" t="s">
        <v>94</v>
      </c>
      <c r="G66" s="918">
        <v>0</v>
      </c>
      <c r="H66" s="918">
        <v>0</v>
      </c>
      <c r="I66" s="918">
        <v>0</v>
      </c>
      <c r="J66" s="918">
        <v>0</v>
      </c>
      <c r="K66" s="273">
        <f t="shared" si="2"/>
        <v>0</v>
      </c>
    </row>
    <row r="67" spans="1:11" ht="15.75" hidden="1">
      <c r="A67" s="249">
        <f t="shared" si="3"/>
        <v>12</v>
      </c>
      <c r="B67" s="350" t="s">
        <v>306</v>
      </c>
      <c r="C67" s="918">
        <v>0</v>
      </c>
      <c r="D67" s="1091" t="s">
        <v>94</v>
      </c>
      <c r="E67" s="350"/>
      <c r="F67" s="918" t="s">
        <v>94</v>
      </c>
      <c r="G67" s="918">
        <v>0</v>
      </c>
      <c r="H67" s="918">
        <v>0</v>
      </c>
      <c r="I67" s="918">
        <v>0</v>
      </c>
      <c r="J67" s="918">
        <v>0</v>
      </c>
      <c r="K67" s="273">
        <f t="shared" si="2"/>
        <v>0</v>
      </c>
    </row>
    <row r="68" spans="1:11" ht="15.75">
      <c r="A68" s="249">
        <f t="shared" si="3"/>
        <v>13</v>
      </c>
      <c r="B68" s="350" t="s">
        <v>307</v>
      </c>
      <c r="C68" s="918">
        <v>0</v>
      </c>
      <c r="D68" s="1091"/>
      <c r="E68" s="350"/>
      <c r="F68" s="918"/>
      <c r="G68" s="918">
        <v>0</v>
      </c>
      <c r="H68" s="918">
        <v>0.03</v>
      </c>
      <c r="I68" s="918">
        <v>1.78</v>
      </c>
      <c r="J68" s="918">
        <v>1.26</v>
      </c>
      <c r="K68" s="273">
        <f t="shared" si="2"/>
        <v>3.0700000000000003</v>
      </c>
    </row>
    <row r="69" spans="1:11" ht="15.75">
      <c r="A69" s="249">
        <f t="shared" si="3"/>
        <v>14</v>
      </c>
      <c r="B69" s="362" t="s">
        <v>308</v>
      </c>
      <c r="C69" s="1083">
        <v>35.840000000000003</v>
      </c>
      <c r="D69" s="1091" t="s">
        <v>94</v>
      </c>
      <c r="E69" s="1084" t="s">
        <v>94</v>
      </c>
      <c r="F69" s="1083" t="s">
        <v>94</v>
      </c>
      <c r="G69" s="1083">
        <f>SUM(G56:G68)</f>
        <v>7.61</v>
      </c>
      <c r="H69" s="1083">
        <f>SUM(H56:H68)</f>
        <v>11.9</v>
      </c>
      <c r="I69" s="1083">
        <f>SUM(I56:I68)</f>
        <v>9.4199999999999982</v>
      </c>
      <c r="J69" s="1083">
        <f>SUM(J56:J68)</f>
        <v>13.77</v>
      </c>
      <c r="K69" s="272">
        <f t="shared" si="2"/>
        <v>42.7</v>
      </c>
    </row>
    <row r="70" spans="1:11" ht="15.75">
      <c r="A70" s="249">
        <f t="shared" si="3"/>
        <v>15</v>
      </c>
      <c r="B70" s="269" t="s">
        <v>119</v>
      </c>
      <c r="C70" s="249"/>
      <c r="D70" s="1091" t="s">
        <v>94</v>
      </c>
      <c r="E70" s="269" t="s">
        <v>94</v>
      </c>
      <c r="F70" s="249" t="s">
        <v>94</v>
      </c>
      <c r="G70" s="249"/>
      <c r="H70" s="249"/>
      <c r="I70" s="249"/>
      <c r="J70" s="249"/>
      <c r="K70" s="273"/>
    </row>
    <row r="71" spans="1:11" ht="15.75">
      <c r="A71" s="249">
        <f t="shared" si="3"/>
        <v>16</v>
      </c>
      <c r="B71" s="1085" t="s">
        <v>309</v>
      </c>
      <c r="C71" s="1083">
        <v>35.840000000000003</v>
      </c>
      <c r="D71" s="1091" t="s">
        <v>94</v>
      </c>
      <c r="E71" s="1083" t="s">
        <v>94</v>
      </c>
      <c r="F71" s="1083" t="s">
        <v>94</v>
      </c>
      <c r="G71" s="1083">
        <f>G69-G70</f>
        <v>7.61</v>
      </c>
      <c r="H71" s="1083">
        <f>H69-H70</f>
        <v>11.9</v>
      </c>
      <c r="I71" s="1083">
        <f>I69-I70</f>
        <v>9.4199999999999982</v>
      </c>
      <c r="J71" s="1083">
        <f>J69-J70</f>
        <v>13.77</v>
      </c>
      <c r="K71" s="272">
        <f t="shared" si="2"/>
        <v>42.7</v>
      </c>
    </row>
    <row r="72" spans="1:11" ht="15.75">
      <c r="A72" s="249">
        <f t="shared" si="3"/>
        <v>17</v>
      </c>
      <c r="B72" s="1079" t="s">
        <v>310</v>
      </c>
      <c r="C72" s="249">
        <v>1738.51</v>
      </c>
      <c r="D72" s="1079"/>
      <c r="E72" s="1079"/>
      <c r="F72" s="249" t="s">
        <v>94</v>
      </c>
      <c r="G72" s="249"/>
      <c r="H72" s="249"/>
      <c r="I72" s="249"/>
      <c r="J72" s="249"/>
      <c r="K72" s="1076">
        <v>1851.38</v>
      </c>
    </row>
    <row r="73" spans="1:11" ht="15.75">
      <c r="A73" s="249">
        <f t="shared" si="3"/>
        <v>18</v>
      </c>
      <c r="B73" s="1079" t="s">
        <v>311</v>
      </c>
      <c r="C73" s="1092">
        <f>C71/C72</f>
        <v>2.061535452772777E-2</v>
      </c>
      <c r="D73" s="1079"/>
      <c r="E73" s="1079"/>
      <c r="F73" s="1092" t="s">
        <v>94</v>
      </c>
      <c r="G73" s="1092"/>
      <c r="H73" s="1092"/>
      <c r="I73" s="1092"/>
      <c r="J73" s="249"/>
      <c r="K73" s="1093">
        <f>K71/K72</f>
        <v>2.3063876675776987E-2</v>
      </c>
    </row>
    <row r="74" spans="1:11" ht="15.75">
      <c r="A74" s="249">
        <f t="shared" si="3"/>
        <v>19</v>
      </c>
      <c r="B74" s="350" t="s">
        <v>293</v>
      </c>
      <c r="C74" s="350" t="s">
        <v>94</v>
      </c>
      <c r="D74" s="350"/>
      <c r="E74" s="350"/>
      <c r="F74" s="249"/>
      <c r="G74" s="249"/>
      <c r="H74" s="249"/>
      <c r="I74" s="249"/>
      <c r="J74" s="249"/>
      <c r="K74" s="1076"/>
    </row>
    <row r="75" spans="1:11" ht="15.75">
      <c r="A75" s="249">
        <f t="shared" si="3"/>
        <v>20</v>
      </c>
      <c r="B75" s="350" t="s">
        <v>294</v>
      </c>
      <c r="C75" s="350" t="s">
        <v>94</v>
      </c>
      <c r="D75" s="350"/>
      <c r="E75" s="350"/>
      <c r="F75" s="249"/>
      <c r="G75" s="249"/>
      <c r="H75" s="249"/>
      <c r="I75" s="249"/>
      <c r="J75" s="249"/>
      <c r="K75" s="1076"/>
    </row>
    <row r="76" spans="1:11" ht="15.75">
      <c r="B76" s="1086"/>
    </row>
    <row r="77" spans="1:11" ht="15.75">
      <c r="B77" s="1086"/>
    </row>
    <row r="78" spans="1:11" ht="15.75">
      <c r="A78" s="1070"/>
      <c r="B78" s="1071" t="s">
        <v>312</v>
      </c>
      <c r="C78" s="1070"/>
      <c r="D78" s="1070"/>
      <c r="E78" s="1070"/>
      <c r="F78" s="1070"/>
      <c r="G78" s="1070"/>
      <c r="H78" s="1070"/>
      <c r="I78" s="1070"/>
      <c r="J78" s="1070"/>
    </row>
    <row r="79" spans="1:11" ht="15.75">
      <c r="A79" s="1070"/>
      <c r="B79" s="1070"/>
      <c r="C79" s="1070"/>
      <c r="D79" s="1070"/>
      <c r="E79" s="1070"/>
      <c r="F79" s="1070"/>
      <c r="G79" s="1070"/>
      <c r="H79" s="1070"/>
      <c r="I79" s="1070"/>
      <c r="J79" s="1070"/>
    </row>
    <row r="80" spans="1:11" ht="12.75" customHeight="1">
      <c r="A80" s="5809" t="s">
        <v>101</v>
      </c>
      <c r="B80" s="5809" t="s">
        <v>81</v>
      </c>
      <c r="C80" s="1010" t="s">
        <v>94</v>
      </c>
      <c r="D80" s="1072"/>
      <c r="E80" s="1072"/>
      <c r="F80" s="1073" t="s">
        <v>313</v>
      </c>
      <c r="G80" s="6353"/>
      <c r="H80" s="6354"/>
      <c r="I80" s="6354"/>
      <c r="J80" s="6355"/>
      <c r="K80" s="1073"/>
    </row>
    <row r="81" spans="1:11" ht="15.75">
      <c r="A81" s="5809"/>
      <c r="B81" s="5809"/>
      <c r="C81" s="1010" t="s">
        <v>255</v>
      </c>
      <c r="D81" s="1072" t="s">
        <v>256</v>
      </c>
      <c r="E81" s="1072"/>
      <c r="F81" s="1072"/>
      <c r="G81" s="6356"/>
      <c r="H81" s="6357"/>
      <c r="I81" s="6357"/>
      <c r="J81" s="6358"/>
      <c r="K81" s="1072"/>
    </row>
    <row r="82" spans="1:11">
      <c r="A82" s="5809"/>
      <c r="B82" s="5809"/>
      <c r="C82" s="1074" t="s">
        <v>314</v>
      </c>
      <c r="D82" s="1074" t="s">
        <v>257</v>
      </c>
      <c r="E82" s="1075" t="s">
        <v>258</v>
      </c>
      <c r="F82" s="1074" t="s">
        <v>94</v>
      </c>
      <c r="G82" s="1074"/>
      <c r="H82" s="1072" t="s">
        <v>315</v>
      </c>
      <c r="I82" s="1074"/>
      <c r="J82" s="1072"/>
      <c r="K82" s="1072" t="s">
        <v>260</v>
      </c>
    </row>
    <row r="83" spans="1:11" ht="15.75">
      <c r="A83" s="249"/>
      <c r="B83" s="249"/>
      <c r="C83" s="249"/>
      <c r="D83" s="1076" t="s">
        <v>261</v>
      </c>
      <c r="E83" s="1076" t="s">
        <v>262</v>
      </c>
      <c r="F83" s="1076" t="s">
        <v>263</v>
      </c>
      <c r="G83" s="1078" t="s">
        <v>264</v>
      </c>
      <c r="H83" s="1078" t="s">
        <v>265</v>
      </c>
      <c r="I83" s="1078" t="s">
        <v>266</v>
      </c>
      <c r="J83" s="1094" t="s">
        <v>267</v>
      </c>
      <c r="K83" s="1076"/>
    </row>
    <row r="84" spans="1:11" ht="15.75">
      <c r="A84" s="249">
        <v>1</v>
      </c>
      <c r="B84" s="269" t="s">
        <v>102</v>
      </c>
      <c r="C84" s="918">
        <v>65.209999999999994</v>
      </c>
      <c r="D84" s="1076" t="s">
        <v>94</v>
      </c>
      <c r="E84" s="1076" t="s">
        <v>94</v>
      </c>
      <c r="F84" s="1076" t="s">
        <v>94</v>
      </c>
      <c r="G84" s="918">
        <v>11.01</v>
      </c>
      <c r="H84" s="918">
        <v>27.01</v>
      </c>
      <c r="I84" s="918">
        <v>36.85</v>
      </c>
      <c r="J84" s="918">
        <v>27.88</v>
      </c>
      <c r="K84" s="479">
        <f>G84+H84+I84+J84</f>
        <v>102.75</v>
      </c>
    </row>
    <row r="85" spans="1:11" ht="15.75">
      <c r="A85" s="249">
        <f>A84+1</f>
        <v>2</v>
      </c>
      <c r="B85" s="269" t="s">
        <v>103</v>
      </c>
      <c r="C85" s="1080">
        <v>94.41</v>
      </c>
      <c r="D85" s="1076"/>
      <c r="E85" s="1076"/>
      <c r="F85" s="1076"/>
      <c r="G85" s="918">
        <v>18.690000000000001</v>
      </c>
      <c r="H85" s="918">
        <v>27.66</v>
      </c>
      <c r="I85" s="918">
        <v>30.86</v>
      </c>
      <c r="J85" s="918">
        <v>17.02</v>
      </c>
      <c r="K85" s="273">
        <f t="shared" ref="K85:K112" si="4">G85+H85+I85+J85</f>
        <v>94.23</v>
      </c>
    </row>
    <row r="86" spans="1:11" ht="15.75">
      <c r="A86" s="249">
        <f t="shared" ref="A86:A112" si="5">A85+1</f>
        <v>3</v>
      </c>
      <c r="B86" s="249" t="s">
        <v>104</v>
      </c>
      <c r="C86" s="918">
        <v>9.7900000000000009</v>
      </c>
      <c r="D86" s="1076"/>
      <c r="E86" s="1076"/>
      <c r="F86" s="1076"/>
      <c r="G86" s="918">
        <v>2.4900000000000002</v>
      </c>
      <c r="H86" s="918">
        <v>4.67</v>
      </c>
      <c r="I86" s="918">
        <v>5.78</v>
      </c>
      <c r="J86" s="918">
        <v>6.59</v>
      </c>
      <c r="K86" s="273">
        <f t="shared" si="4"/>
        <v>19.53</v>
      </c>
    </row>
    <row r="87" spans="1:11" ht="15.75">
      <c r="A87" s="249">
        <f t="shared" si="5"/>
        <v>4</v>
      </c>
      <c r="B87" s="269" t="s">
        <v>105</v>
      </c>
      <c r="C87" s="918">
        <v>0.43</v>
      </c>
      <c r="D87" s="1076"/>
      <c r="E87" s="1076"/>
      <c r="F87" s="1076"/>
      <c r="G87" s="918">
        <v>0.11</v>
      </c>
      <c r="H87" s="918">
        <v>0.11</v>
      </c>
      <c r="I87" s="918">
        <v>0.11</v>
      </c>
      <c r="J87" s="918">
        <v>0.28999999999999998</v>
      </c>
      <c r="K87" s="273">
        <f t="shared" si="4"/>
        <v>0.62</v>
      </c>
    </row>
    <row r="88" spans="1:11" ht="15.75">
      <c r="A88" s="249">
        <f t="shared" si="5"/>
        <v>5</v>
      </c>
      <c r="B88" s="269" t="s">
        <v>106</v>
      </c>
      <c r="C88" s="918">
        <v>1.52</v>
      </c>
      <c r="D88" s="1076"/>
      <c r="E88" s="1076"/>
      <c r="F88" s="1076"/>
      <c r="G88" s="918">
        <v>0.14000000000000001</v>
      </c>
      <c r="H88" s="918">
        <v>0.43</v>
      </c>
      <c r="I88" s="918">
        <v>1.72</v>
      </c>
      <c r="J88" s="918">
        <v>0.89</v>
      </c>
      <c r="K88" s="273">
        <f t="shared" si="4"/>
        <v>3.18</v>
      </c>
    </row>
    <row r="89" spans="1:11" ht="15.75">
      <c r="A89" s="249">
        <f t="shared" si="5"/>
        <v>6</v>
      </c>
      <c r="B89" s="249" t="s">
        <v>107</v>
      </c>
      <c r="C89" s="918">
        <v>2.81</v>
      </c>
      <c r="D89" s="1076"/>
      <c r="E89" s="1076"/>
      <c r="F89" s="1076"/>
      <c r="G89" s="918">
        <v>0.5</v>
      </c>
      <c r="H89" s="918">
        <v>0.32</v>
      </c>
      <c r="I89" s="918">
        <v>1.0900000000000001</v>
      </c>
      <c r="J89" s="918">
        <v>0.89</v>
      </c>
      <c r="K89" s="273">
        <f t="shared" si="4"/>
        <v>2.8000000000000003</v>
      </c>
    </row>
    <row r="90" spans="1:11" ht="15.75" hidden="1">
      <c r="A90" s="249">
        <f t="shared" si="5"/>
        <v>7</v>
      </c>
      <c r="B90" s="269" t="s">
        <v>316</v>
      </c>
      <c r="C90" s="918">
        <v>0</v>
      </c>
      <c r="D90" s="1076"/>
      <c r="E90" s="1076"/>
      <c r="F90" s="1076"/>
      <c r="G90" s="918">
        <v>0</v>
      </c>
      <c r="H90" s="918">
        <v>0</v>
      </c>
      <c r="I90" s="918">
        <v>0</v>
      </c>
      <c r="J90" s="918">
        <v>0</v>
      </c>
      <c r="K90" s="273">
        <f t="shared" si="4"/>
        <v>0</v>
      </c>
    </row>
    <row r="91" spans="1:11" ht="15.75">
      <c r="A91" s="249">
        <f t="shared" si="5"/>
        <v>8</v>
      </c>
      <c r="B91" s="269" t="s">
        <v>108</v>
      </c>
      <c r="C91" s="918">
        <v>3.76</v>
      </c>
      <c r="D91" s="1076"/>
      <c r="E91" s="1076"/>
      <c r="F91" s="1076"/>
      <c r="G91" s="918">
        <v>0.95</v>
      </c>
      <c r="H91" s="918">
        <v>1.1599999999999999</v>
      </c>
      <c r="I91" s="918">
        <v>1.26</v>
      </c>
      <c r="J91" s="918">
        <v>1.26</v>
      </c>
      <c r="K91" s="273">
        <f t="shared" si="4"/>
        <v>4.63</v>
      </c>
    </row>
    <row r="92" spans="1:11" ht="15.75">
      <c r="A92" s="249">
        <f t="shared" si="5"/>
        <v>9</v>
      </c>
      <c r="B92" s="269" t="s">
        <v>109</v>
      </c>
      <c r="C92" s="918">
        <v>4.62</v>
      </c>
      <c r="D92" s="1076"/>
      <c r="E92" s="1076"/>
      <c r="F92" s="1076"/>
      <c r="G92" s="918">
        <v>1.44</v>
      </c>
      <c r="H92" s="918">
        <v>1.58</v>
      </c>
      <c r="I92" s="918">
        <v>1.1200000000000001</v>
      </c>
      <c r="J92" s="918">
        <v>1.77</v>
      </c>
      <c r="K92" s="273">
        <f t="shared" si="4"/>
        <v>5.91</v>
      </c>
    </row>
    <row r="93" spans="1:11" ht="15.75">
      <c r="A93" s="249">
        <f t="shared" si="5"/>
        <v>10</v>
      </c>
      <c r="B93" s="269" t="s">
        <v>110</v>
      </c>
      <c r="C93" s="273">
        <v>4.03</v>
      </c>
      <c r="D93" s="1076"/>
      <c r="E93" s="1076"/>
      <c r="F93" s="1076"/>
      <c r="G93" s="918">
        <v>0</v>
      </c>
      <c r="H93" s="918">
        <v>0</v>
      </c>
      <c r="I93" s="918">
        <v>0</v>
      </c>
      <c r="J93" s="918">
        <v>0.01</v>
      </c>
      <c r="K93" s="273">
        <f t="shared" si="4"/>
        <v>0.01</v>
      </c>
    </row>
    <row r="94" spans="1:11" ht="15.75">
      <c r="A94" s="249">
        <f t="shared" si="5"/>
        <v>11</v>
      </c>
      <c r="B94" s="269" t="s">
        <v>317</v>
      </c>
      <c r="C94" s="479">
        <v>9.52</v>
      </c>
      <c r="D94" s="1076"/>
      <c r="E94" s="1076"/>
      <c r="F94" s="1076"/>
      <c r="G94" s="918">
        <v>0.32</v>
      </c>
      <c r="H94" s="918">
        <v>0.11</v>
      </c>
      <c r="I94" s="918">
        <v>-0.02</v>
      </c>
      <c r="J94" s="918">
        <v>-0.01</v>
      </c>
      <c r="K94" s="273">
        <f t="shared" si="4"/>
        <v>0.39999999999999997</v>
      </c>
    </row>
    <row r="95" spans="1:11" ht="15.75">
      <c r="A95" s="249">
        <f t="shared" si="5"/>
        <v>12</v>
      </c>
      <c r="B95" s="269" t="s">
        <v>318</v>
      </c>
      <c r="C95" s="479">
        <v>0</v>
      </c>
      <c r="D95" s="1076"/>
      <c r="E95" s="1076"/>
      <c r="F95" s="1076"/>
      <c r="G95" s="918">
        <v>0</v>
      </c>
      <c r="H95" s="918">
        <v>0</v>
      </c>
      <c r="I95" s="918">
        <v>0</v>
      </c>
      <c r="J95" s="918">
        <v>0</v>
      </c>
      <c r="K95" s="273">
        <f t="shared" si="4"/>
        <v>0</v>
      </c>
    </row>
    <row r="96" spans="1:11" ht="15.75">
      <c r="A96" s="249">
        <f t="shared" si="5"/>
        <v>13</v>
      </c>
      <c r="B96" s="269" t="s">
        <v>319</v>
      </c>
      <c r="C96" s="479">
        <v>10.98</v>
      </c>
      <c r="D96" s="1076"/>
      <c r="E96" s="1076"/>
      <c r="F96" s="1076"/>
      <c r="G96" s="918">
        <v>3.39</v>
      </c>
      <c r="H96" s="918">
        <v>3.25</v>
      </c>
      <c r="I96" s="918">
        <v>3.49</v>
      </c>
      <c r="J96" s="918">
        <v>2.6</v>
      </c>
      <c r="K96" s="273">
        <f t="shared" si="4"/>
        <v>12.73</v>
      </c>
    </row>
    <row r="97" spans="1:11" ht="15.75" hidden="1">
      <c r="A97" s="249">
        <f t="shared" si="5"/>
        <v>14</v>
      </c>
      <c r="B97" s="269" t="s">
        <v>113</v>
      </c>
      <c r="C97" s="479">
        <v>0</v>
      </c>
      <c r="D97" s="1076"/>
      <c r="E97" s="1076"/>
      <c r="F97" s="1076"/>
      <c r="G97" s="918">
        <v>0</v>
      </c>
      <c r="H97" s="918">
        <v>0</v>
      </c>
      <c r="I97" s="918">
        <v>0</v>
      </c>
      <c r="J97" s="918">
        <v>0</v>
      </c>
      <c r="K97" s="273">
        <f t="shared" si="4"/>
        <v>0</v>
      </c>
    </row>
    <row r="98" spans="1:11" ht="15.75" hidden="1">
      <c r="A98" s="249">
        <f t="shared" si="5"/>
        <v>15</v>
      </c>
      <c r="B98" s="269" t="s">
        <v>320</v>
      </c>
      <c r="C98" s="479">
        <v>0</v>
      </c>
      <c r="D98" s="1076"/>
      <c r="E98" s="1076"/>
      <c r="F98" s="1076" t="s">
        <v>94</v>
      </c>
      <c r="G98" s="918">
        <v>0</v>
      </c>
      <c r="H98" s="918">
        <v>0</v>
      </c>
      <c r="I98" s="918">
        <v>0</v>
      </c>
      <c r="J98" s="918">
        <v>0</v>
      </c>
      <c r="K98" s="273">
        <f t="shared" si="4"/>
        <v>0</v>
      </c>
    </row>
    <row r="99" spans="1:11" ht="15.75" hidden="1">
      <c r="A99" s="249">
        <f t="shared" si="5"/>
        <v>16</v>
      </c>
      <c r="B99" s="269" t="s">
        <v>321</v>
      </c>
      <c r="C99" s="918">
        <v>0</v>
      </c>
      <c r="D99" s="1076"/>
      <c r="E99" s="1076"/>
      <c r="F99" s="1076"/>
      <c r="G99" s="918">
        <v>0</v>
      </c>
      <c r="H99" s="918">
        <v>0</v>
      </c>
      <c r="I99" s="918">
        <v>0</v>
      </c>
      <c r="J99" s="918">
        <v>0</v>
      </c>
      <c r="K99" s="273">
        <f t="shared" si="4"/>
        <v>0</v>
      </c>
    </row>
    <row r="100" spans="1:11" ht="15.75" hidden="1">
      <c r="A100" s="249">
        <f t="shared" si="5"/>
        <v>17</v>
      </c>
      <c r="B100" s="269" t="s">
        <v>322</v>
      </c>
      <c r="C100" s="1095">
        <v>0</v>
      </c>
      <c r="D100" s="1076"/>
      <c r="E100" s="1076"/>
      <c r="F100" s="1076"/>
      <c r="G100" s="918">
        <v>0</v>
      </c>
      <c r="H100" s="918">
        <v>0</v>
      </c>
      <c r="I100" s="918">
        <v>0</v>
      </c>
      <c r="J100" s="918">
        <v>0</v>
      </c>
      <c r="K100" s="273">
        <f t="shared" si="4"/>
        <v>0</v>
      </c>
    </row>
    <row r="101" spans="1:11" ht="15.75" hidden="1">
      <c r="A101" s="249">
        <f t="shared" si="5"/>
        <v>18</v>
      </c>
      <c r="B101" s="269" t="s">
        <v>323</v>
      </c>
      <c r="C101" s="1095">
        <v>0</v>
      </c>
      <c r="D101" s="1076"/>
      <c r="E101" s="1076"/>
      <c r="F101" s="1076"/>
      <c r="G101" s="918">
        <v>0</v>
      </c>
      <c r="H101" s="918">
        <v>0</v>
      </c>
      <c r="I101" s="918">
        <v>0</v>
      </c>
      <c r="J101" s="918">
        <v>0</v>
      </c>
      <c r="K101" s="273">
        <f t="shared" si="4"/>
        <v>0</v>
      </c>
    </row>
    <row r="102" spans="1:11" ht="15.75" hidden="1">
      <c r="A102" s="249">
        <f t="shared" si="5"/>
        <v>19</v>
      </c>
      <c r="B102" s="269" t="s">
        <v>324</v>
      </c>
      <c r="C102" s="1095">
        <v>0</v>
      </c>
      <c r="D102" s="1076"/>
      <c r="E102" s="1076"/>
      <c r="F102" s="1076"/>
      <c r="G102" s="918">
        <v>0</v>
      </c>
      <c r="H102" s="918">
        <v>0</v>
      </c>
      <c r="I102" s="918">
        <v>0</v>
      </c>
      <c r="J102" s="918">
        <v>0</v>
      </c>
      <c r="K102" s="273">
        <f t="shared" si="4"/>
        <v>0</v>
      </c>
    </row>
    <row r="103" spans="1:11" ht="15.75">
      <c r="A103" s="249">
        <f t="shared" si="5"/>
        <v>20</v>
      </c>
      <c r="B103" s="269" t="s">
        <v>115</v>
      </c>
      <c r="C103" s="1095">
        <v>19.64</v>
      </c>
      <c r="D103" s="1076"/>
      <c r="E103" s="1076"/>
      <c r="F103" s="1076"/>
      <c r="G103" s="918">
        <v>5.26</v>
      </c>
      <c r="H103" s="918">
        <v>5.82</v>
      </c>
      <c r="I103" s="918">
        <v>6.25</v>
      </c>
      <c r="J103" s="918">
        <v>6.28</v>
      </c>
      <c r="K103" s="273">
        <f t="shared" si="4"/>
        <v>23.61</v>
      </c>
    </row>
    <row r="104" spans="1:11" ht="15.75" hidden="1">
      <c r="A104" s="249">
        <f t="shared" si="5"/>
        <v>21</v>
      </c>
      <c r="B104" s="269" t="s">
        <v>325</v>
      </c>
      <c r="C104" s="1095">
        <v>0</v>
      </c>
      <c r="D104" s="1076"/>
      <c r="E104" s="1076"/>
      <c r="F104" s="1076"/>
      <c r="G104" s="918">
        <v>0</v>
      </c>
      <c r="H104" s="918">
        <v>0</v>
      </c>
      <c r="I104" s="918">
        <v>0</v>
      </c>
      <c r="J104" s="918">
        <v>0</v>
      </c>
      <c r="K104" s="273">
        <f t="shared" si="4"/>
        <v>0</v>
      </c>
    </row>
    <row r="105" spans="1:11" ht="15.75" hidden="1">
      <c r="A105" s="249">
        <f t="shared" si="5"/>
        <v>22</v>
      </c>
      <c r="B105" s="269" t="s">
        <v>326</v>
      </c>
      <c r="C105" s="1095">
        <v>0</v>
      </c>
      <c r="D105" s="1076"/>
      <c r="E105" s="1076"/>
      <c r="F105" s="1076"/>
      <c r="G105" s="918">
        <v>0</v>
      </c>
      <c r="H105" s="918">
        <v>0</v>
      </c>
      <c r="I105" s="918">
        <v>0</v>
      </c>
      <c r="J105" s="918">
        <v>0</v>
      </c>
      <c r="K105" s="273">
        <f t="shared" si="4"/>
        <v>0</v>
      </c>
    </row>
    <row r="106" spans="1:11" ht="15.75">
      <c r="A106" s="249">
        <f t="shared" si="5"/>
        <v>23</v>
      </c>
      <c r="B106" s="269" t="s">
        <v>116</v>
      </c>
      <c r="C106" s="918">
        <v>10.29</v>
      </c>
      <c r="D106" s="1076"/>
      <c r="E106" s="1076"/>
      <c r="F106" s="1076"/>
      <c r="G106" s="918">
        <v>1.74</v>
      </c>
      <c r="H106" s="918">
        <v>4.3</v>
      </c>
      <c r="I106" s="918">
        <v>3.79</v>
      </c>
      <c r="J106" s="918">
        <v>3.97</v>
      </c>
      <c r="K106" s="273">
        <f t="shared" si="4"/>
        <v>13.8</v>
      </c>
    </row>
    <row r="107" spans="1:11" ht="15.75" hidden="1">
      <c r="A107" s="249">
        <f t="shared" si="5"/>
        <v>24</v>
      </c>
      <c r="B107" s="269" t="s">
        <v>327</v>
      </c>
      <c r="C107" s="918">
        <v>0</v>
      </c>
      <c r="D107" s="1076"/>
      <c r="E107" s="1076"/>
      <c r="F107" s="1076"/>
      <c r="G107" s="918">
        <v>0</v>
      </c>
      <c r="H107" s="918">
        <v>0</v>
      </c>
      <c r="I107" s="918">
        <v>0</v>
      </c>
      <c r="J107" s="918">
        <v>0</v>
      </c>
      <c r="K107" s="273">
        <f t="shared" si="4"/>
        <v>0</v>
      </c>
    </row>
    <row r="108" spans="1:11" ht="15.75">
      <c r="A108" s="249">
        <f t="shared" si="5"/>
        <v>25</v>
      </c>
      <c r="B108" s="269" t="s">
        <v>117</v>
      </c>
      <c r="C108" s="918">
        <v>2.57</v>
      </c>
      <c r="D108" s="1076"/>
      <c r="E108" s="1076"/>
      <c r="F108" s="1076"/>
      <c r="G108" s="918">
        <v>0</v>
      </c>
      <c r="H108" s="918">
        <v>0</v>
      </c>
      <c r="I108" s="918">
        <v>0</v>
      </c>
      <c r="J108" s="918">
        <v>0</v>
      </c>
      <c r="K108" s="273">
        <f t="shared" si="4"/>
        <v>0</v>
      </c>
    </row>
    <row r="109" spans="1:11" ht="15.75">
      <c r="A109" s="249">
        <f t="shared" si="5"/>
        <v>26</v>
      </c>
      <c r="B109" s="777" t="s">
        <v>118</v>
      </c>
      <c r="C109" s="1083">
        <v>239.58</v>
      </c>
      <c r="D109" s="1076"/>
      <c r="E109" s="1076"/>
      <c r="F109" s="1076"/>
      <c r="G109" s="1083">
        <f>SUM(G84:G108)</f>
        <v>46.040000000000006</v>
      </c>
      <c r="H109" s="1083">
        <f>SUM(H84:H108)</f>
        <v>76.42</v>
      </c>
      <c r="I109" s="1083">
        <f>SUM(I84:I108)</f>
        <v>92.300000000000026</v>
      </c>
      <c r="J109" s="1083">
        <f>SUM(J84:J108)</f>
        <v>69.44</v>
      </c>
      <c r="K109" s="272">
        <f t="shared" si="4"/>
        <v>284.20000000000005</v>
      </c>
    </row>
    <row r="110" spans="1:11" ht="15.75">
      <c r="A110" s="249">
        <f t="shared" si="5"/>
        <v>27</v>
      </c>
      <c r="B110" s="269" t="s">
        <v>328</v>
      </c>
      <c r="C110" s="918">
        <v>0</v>
      </c>
      <c r="D110" s="1076"/>
      <c r="E110" s="1076"/>
      <c r="F110" s="1076"/>
      <c r="G110" s="918">
        <v>0</v>
      </c>
      <c r="H110" s="918">
        <v>0</v>
      </c>
      <c r="I110" s="918">
        <v>0</v>
      </c>
      <c r="J110" s="918">
        <v>0</v>
      </c>
      <c r="K110" s="273">
        <f t="shared" si="4"/>
        <v>0</v>
      </c>
    </row>
    <row r="111" spans="1:11" ht="15.75">
      <c r="A111" s="249">
        <f t="shared" si="5"/>
        <v>28</v>
      </c>
      <c r="B111" s="269" t="s">
        <v>329</v>
      </c>
      <c r="C111" s="918">
        <v>18.829999999999998</v>
      </c>
      <c r="D111" s="1076"/>
      <c r="E111" s="1076"/>
      <c r="F111" s="1076"/>
      <c r="G111" s="918">
        <v>2.68</v>
      </c>
      <c r="H111" s="918">
        <v>5.29</v>
      </c>
      <c r="I111" s="918">
        <v>5.79</v>
      </c>
      <c r="J111" s="918">
        <v>17.809999999999999</v>
      </c>
      <c r="K111" s="273">
        <f t="shared" si="4"/>
        <v>31.57</v>
      </c>
    </row>
    <row r="112" spans="1:11" ht="15.75">
      <c r="A112" s="249">
        <f t="shared" si="5"/>
        <v>29</v>
      </c>
      <c r="B112" s="1096"/>
      <c r="C112" s="1083">
        <v>220.75</v>
      </c>
      <c r="D112" s="1076"/>
      <c r="E112" s="1076"/>
      <c r="F112" s="1076"/>
      <c r="G112" s="1083">
        <f>G109-G111</f>
        <v>43.360000000000007</v>
      </c>
      <c r="H112" s="1083">
        <f>H109-H111</f>
        <v>71.13</v>
      </c>
      <c r="I112" s="1083">
        <f>I109-I111</f>
        <v>86.510000000000019</v>
      </c>
      <c r="J112" s="1083">
        <f>J109-J111</f>
        <v>51.629999999999995</v>
      </c>
      <c r="K112" s="272">
        <f t="shared" si="4"/>
        <v>252.63000000000002</v>
      </c>
    </row>
    <row r="113" spans="2:2" ht="15.75">
      <c r="B113" s="1086"/>
    </row>
    <row r="114" spans="2:2" ht="15.75">
      <c r="B114" s="1086"/>
    </row>
  </sheetData>
  <sheetProtection selectLockedCells="1" selectUnlockedCells="1"/>
  <mergeCells count="9">
    <mergeCell ref="G2:J3"/>
    <mergeCell ref="G51:J52"/>
    <mergeCell ref="G80:J81"/>
    <mergeCell ref="A2:A4"/>
    <mergeCell ref="B2:B4"/>
    <mergeCell ref="A51:A53"/>
    <mergeCell ref="B51:B53"/>
    <mergeCell ref="A80:A82"/>
    <mergeCell ref="B80:B82"/>
  </mergeCells>
  <pageMargins left="0.15748031496062992" right="0.15748031496062992" top="0.98425196850393704" bottom="0.98425196850393704" header="0.51181102362204722" footer="0.51181102362204722"/>
  <pageSetup paperSize="9" scale="47" firstPageNumber="0" orientation="portrait" horizontalDpi="300" verticalDpi="300" r:id="rId1"/>
  <headerFooter alignWithMargins="0"/>
  <legacyDrawing r:id="rId2"/>
</worksheet>
</file>

<file path=xl/worksheets/sheet139.xml><?xml version="1.0" encoding="utf-8"?>
<worksheet xmlns="http://schemas.openxmlformats.org/spreadsheetml/2006/main" xmlns:r="http://schemas.openxmlformats.org/officeDocument/2006/relationships">
  <sheetPr codeName="Sheet118">
    <tabColor theme="1" tint="4.9989318521683403E-2"/>
  </sheetPr>
  <dimension ref="A1:G90"/>
  <sheetViews>
    <sheetView showGridLines="0" view="pageBreakPreview" zoomScale="70" zoomScaleNormal="70" zoomScaleSheetLayoutView="70" workbookViewId="0">
      <selection activeCell="E20" sqref="E20"/>
    </sheetView>
  </sheetViews>
  <sheetFormatPr defaultRowHeight="15.75"/>
  <cols>
    <col min="1" max="1" width="22.140625" style="254" customWidth="1"/>
    <col min="2" max="2" width="23.140625" style="254" customWidth="1"/>
    <col min="3" max="3" width="20.7109375" style="254" customWidth="1"/>
    <col min="4" max="4" width="21.5703125" style="254" customWidth="1"/>
    <col min="5" max="5" width="17.28515625" style="254" customWidth="1"/>
    <col min="6" max="6" width="9.140625" style="254" customWidth="1"/>
    <col min="7" max="7" width="11.140625" style="254" customWidth="1"/>
    <col min="8" max="8" width="12.140625" style="254" customWidth="1"/>
    <col min="9" max="16384" width="9.140625" style="254"/>
  </cols>
  <sheetData>
    <row r="1" spans="1:7" ht="16.5" thickBot="1"/>
    <row r="2" spans="1:7" ht="21" customHeight="1">
      <c r="B2" s="5505" t="s">
        <v>2376</v>
      </c>
      <c r="C2" s="5507"/>
      <c r="G2" s="1358" t="s">
        <v>151</v>
      </c>
    </row>
    <row r="3" spans="1:7">
      <c r="A3" s="6365" t="s">
        <v>220</v>
      </c>
      <c r="B3" s="6365" t="s">
        <v>81</v>
      </c>
      <c r="C3" s="6370" t="s">
        <v>1850</v>
      </c>
      <c r="D3" s="6370" t="s">
        <v>1851</v>
      </c>
      <c r="E3" s="6370" t="s">
        <v>1852</v>
      </c>
      <c r="F3" s="6365" t="s">
        <v>231</v>
      </c>
      <c r="G3" s="6365"/>
    </row>
    <row r="4" spans="1:7">
      <c r="A4" s="6365"/>
      <c r="B4" s="6365"/>
      <c r="C4" s="6370"/>
      <c r="D4" s="6370"/>
      <c r="E4" s="6370"/>
      <c r="F4" s="6365"/>
      <c r="G4" s="6365"/>
    </row>
    <row r="5" spans="1:7">
      <c r="A5" s="6365"/>
      <c r="B5" s="6365"/>
      <c r="C5" s="6370"/>
      <c r="D5" s="6370"/>
      <c r="E5" s="6370"/>
      <c r="F5" s="6365"/>
      <c r="G5" s="6365"/>
    </row>
    <row r="6" spans="1:7" ht="1.5" customHeight="1">
      <c r="A6" s="6365"/>
      <c r="B6" s="6365"/>
      <c r="C6" s="6370"/>
      <c r="D6" s="6370"/>
      <c r="E6" s="6370"/>
      <c r="F6" s="6365"/>
      <c r="G6" s="6365"/>
    </row>
    <row r="7" spans="1:7" ht="20.25" hidden="1" customHeight="1">
      <c r="A7" s="6365"/>
      <c r="B7" s="6365"/>
      <c r="C7" s="6370"/>
      <c r="D7" s="6370"/>
      <c r="E7" s="6370"/>
      <c r="F7" s="6365"/>
      <c r="G7" s="6365"/>
    </row>
    <row r="8" spans="1:7" ht="2.25" hidden="1" customHeight="1">
      <c r="A8" s="6365"/>
      <c r="B8" s="6365"/>
      <c r="C8" s="6370"/>
      <c r="D8" s="6370"/>
      <c r="E8" s="6370"/>
      <c r="F8" s="6365"/>
      <c r="G8" s="6365"/>
    </row>
    <row r="9" spans="1:7" hidden="1">
      <c r="A9" s="6365"/>
      <c r="B9" s="6365"/>
      <c r="C9" s="6370"/>
      <c r="D9" s="6370"/>
      <c r="E9" s="6370"/>
      <c r="F9" s="6365"/>
      <c r="G9" s="6365"/>
    </row>
    <row r="10" spans="1:7" hidden="1">
      <c r="A10" s="6365"/>
      <c r="B10" s="6365"/>
      <c r="C10" s="6370"/>
      <c r="D10" s="6370"/>
      <c r="E10" s="6370"/>
      <c r="F10" s="6365"/>
      <c r="G10" s="6365"/>
    </row>
    <row r="11" spans="1:7">
      <c r="A11" s="1363">
        <v>1</v>
      </c>
      <c r="B11" s="1360" t="s">
        <v>102</v>
      </c>
      <c r="C11" s="5890"/>
      <c r="D11" s="6089"/>
      <c r="E11" s="1502">
        <v>128.87</v>
      </c>
      <c r="F11" s="6366"/>
      <c r="G11" s="6367"/>
    </row>
    <row r="12" spans="1:7" ht="31.5" customHeight="1">
      <c r="A12" s="1363">
        <v>2</v>
      </c>
      <c r="B12" s="1360" t="s">
        <v>103</v>
      </c>
      <c r="C12" s="5891"/>
      <c r="D12" s="6090"/>
      <c r="E12" s="1502">
        <v>107.36</v>
      </c>
      <c r="F12" s="5898"/>
      <c r="G12" s="5900"/>
    </row>
    <row r="13" spans="1:7" ht="18" customHeight="1">
      <c r="A13" s="1363">
        <v>3</v>
      </c>
      <c r="B13" s="1360" t="s">
        <v>104</v>
      </c>
      <c r="C13" s="5891"/>
      <c r="D13" s="6090"/>
      <c r="E13" s="1502">
        <v>26.27</v>
      </c>
      <c r="F13" s="5898"/>
      <c r="G13" s="5900"/>
    </row>
    <row r="14" spans="1:7" ht="19.5" customHeight="1">
      <c r="A14" s="1363">
        <v>4</v>
      </c>
      <c r="B14" s="1360" t="s">
        <v>105</v>
      </c>
      <c r="C14" s="5891"/>
      <c r="D14" s="6090"/>
      <c r="E14" s="1502">
        <v>1.1499999999999999</v>
      </c>
      <c r="F14" s="5898"/>
      <c r="G14" s="5900"/>
    </row>
    <row r="15" spans="1:7" ht="15.75" customHeight="1">
      <c r="A15" s="1363">
        <v>5</v>
      </c>
      <c r="B15" s="1360" t="s">
        <v>106</v>
      </c>
      <c r="C15" s="5891"/>
      <c r="D15" s="6090"/>
      <c r="E15" s="1502">
        <v>3.63</v>
      </c>
      <c r="F15" s="5898"/>
      <c r="G15" s="5900"/>
    </row>
    <row r="16" spans="1:7" ht="17.25" customHeight="1">
      <c r="A16" s="1363">
        <v>6</v>
      </c>
      <c r="B16" s="1360" t="s">
        <v>107</v>
      </c>
      <c r="C16" s="5891"/>
      <c r="D16" s="6090"/>
      <c r="E16" s="1502">
        <v>5.92</v>
      </c>
      <c r="F16" s="5898"/>
      <c r="G16" s="5900"/>
    </row>
    <row r="17" spans="1:7" ht="20.25" customHeight="1">
      <c r="A17" s="1363">
        <v>8</v>
      </c>
      <c r="B17" s="1360" t="s">
        <v>108</v>
      </c>
      <c r="C17" s="5891"/>
      <c r="D17" s="6090"/>
      <c r="E17" s="1502">
        <v>4.9800000000000004</v>
      </c>
      <c r="F17" s="5898"/>
      <c r="G17" s="5900"/>
    </row>
    <row r="18" spans="1:7" ht="21.75" customHeight="1">
      <c r="A18" s="1363">
        <v>9</v>
      </c>
      <c r="B18" s="1360" t="s">
        <v>109</v>
      </c>
      <c r="C18" s="5891"/>
      <c r="D18" s="6090"/>
      <c r="E18" s="1502">
        <v>10.6</v>
      </c>
      <c r="F18" s="5898"/>
      <c r="G18" s="5900"/>
    </row>
    <row r="19" spans="1:7" ht="27" customHeight="1">
      <c r="A19" s="1363">
        <v>10</v>
      </c>
      <c r="B19" s="1360" t="s">
        <v>110</v>
      </c>
      <c r="C19" s="5891"/>
      <c r="D19" s="6090"/>
      <c r="E19" s="1502">
        <v>0</v>
      </c>
      <c r="F19" s="5898"/>
      <c r="G19" s="5900"/>
    </row>
    <row r="20" spans="1:7" ht="33.75" customHeight="1">
      <c r="A20" s="1363">
        <v>11</v>
      </c>
      <c r="B20" s="1360" t="s">
        <v>111</v>
      </c>
      <c r="C20" s="5891"/>
      <c r="D20" s="6090"/>
      <c r="E20" s="1502">
        <v>10.97</v>
      </c>
      <c r="F20" s="5898"/>
      <c r="G20" s="5900"/>
    </row>
    <row r="21" spans="1:7" ht="30.75" customHeight="1">
      <c r="A21" s="1363">
        <v>12</v>
      </c>
      <c r="B21" s="1360" t="s">
        <v>112</v>
      </c>
      <c r="C21" s="5891"/>
      <c r="D21" s="6090"/>
      <c r="E21" s="1502">
        <v>10.199999999999999</v>
      </c>
      <c r="F21" s="5898"/>
      <c r="G21" s="5900"/>
    </row>
    <row r="22" spans="1:7" ht="33" customHeight="1">
      <c r="A22" s="1363">
        <v>13</v>
      </c>
      <c r="B22" s="1360" t="s">
        <v>113</v>
      </c>
      <c r="C22" s="5891"/>
      <c r="D22" s="6090"/>
      <c r="E22" s="1502">
        <v>0</v>
      </c>
      <c r="F22" s="5898"/>
      <c r="G22" s="5900"/>
    </row>
    <row r="23" spans="1:7" ht="26.25" customHeight="1">
      <c r="A23" s="1363">
        <v>14</v>
      </c>
      <c r="B23" s="1360" t="s">
        <v>114</v>
      </c>
      <c r="C23" s="5891"/>
      <c r="D23" s="6090"/>
      <c r="E23" s="1502">
        <v>0</v>
      </c>
      <c r="F23" s="5898"/>
      <c r="G23" s="5900"/>
    </row>
    <row r="24" spans="1:7" ht="35.25" customHeight="1">
      <c r="A24" s="1363">
        <v>15</v>
      </c>
      <c r="B24" s="1360" t="s">
        <v>115</v>
      </c>
      <c r="C24" s="5891"/>
      <c r="D24" s="6090"/>
      <c r="E24" s="1502">
        <v>28.5</v>
      </c>
      <c r="F24" s="5898"/>
      <c r="G24" s="5900"/>
    </row>
    <row r="25" spans="1:7" ht="22.5" customHeight="1">
      <c r="A25" s="1363">
        <v>16</v>
      </c>
      <c r="B25" s="1360" t="s">
        <v>116</v>
      </c>
      <c r="C25" s="5891"/>
      <c r="D25" s="6090"/>
      <c r="E25" s="1502">
        <v>21.04</v>
      </c>
      <c r="F25" s="5898"/>
      <c r="G25" s="5900"/>
    </row>
    <row r="26" spans="1:7" ht="27" customHeight="1">
      <c r="A26" s="1363">
        <v>17</v>
      </c>
      <c r="B26" s="1360" t="s">
        <v>117</v>
      </c>
      <c r="C26" s="5891"/>
      <c r="D26" s="6090"/>
      <c r="E26" s="1502">
        <v>0</v>
      </c>
      <c r="F26" s="5898"/>
      <c r="G26" s="5900"/>
    </row>
    <row r="27" spans="1:7" ht="34.5" customHeight="1">
      <c r="A27" s="1364">
        <v>18</v>
      </c>
      <c r="B27" s="1362" t="s">
        <v>118</v>
      </c>
      <c r="C27" s="5891"/>
      <c r="D27" s="6090"/>
      <c r="E27" s="1283">
        <v>359.49</v>
      </c>
      <c r="F27" s="5898"/>
      <c r="G27" s="5900"/>
    </row>
    <row r="28" spans="1:7" ht="36.75" customHeight="1">
      <c r="A28" s="1363">
        <v>19</v>
      </c>
      <c r="B28" s="1360" t="s">
        <v>119</v>
      </c>
      <c r="C28" s="5891"/>
      <c r="D28" s="6090"/>
      <c r="E28" s="1502"/>
      <c r="F28" s="5898"/>
      <c r="G28" s="5900"/>
    </row>
    <row r="29" spans="1:7" ht="78.75" customHeight="1">
      <c r="A29" s="1363">
        <v>20</v>
      </c>
      <c r="B29" s="1063" t="s">
        <v>1853</v>
      </c>
      <c r="C29" s="5892"/>
      <c r="D29" s="6091"/>
      <c r="E29" s="1502">
        <v>37.39</v>
      </c>
      <c r="F29" s="6368"/>
      <c r="G29" s="6369"/>
    </row>
    <row r="30" spans="1:7" ht="31.5">
      <c r="A30" s="1364">
        <v>20</v>
      </c>
      <c r="B30" s="1361" t="s">
        <v>121</v>
      </c>
      <c r="C30" s="1283">
        <v>293.66000000000003</v>
      </c>
      <c r="D30" s="905">
        <v>245.74</v>
      </c>
      <c r="E30" s="1283">
        <v>322.10000000000002</v>
      </c>
      <c r="F30" s="5418">
        <v>-28.44</v>
      </c>
      <c r="G30" s="5418"/>
    </row>
    <row r="32" spans="1:7">
      <c r="A32" s="5483" t="s">
        <v>2375</v>
      </c>
      <c r="B32" s="5483"/>
      <c r="C32" s="1296" t="s">
        <v>151</v>
      </c>
      <c r="D32" s="258"/>
      <c r="E32" s="258"/>
    </row>
    <row r="33" spans="1:5">
      <c r="A33" s="5480" t="s">
        <v>81</v>
      </c>
      <c r="B33" s="5480" t="s">
        <v>1854</v>
      </c>
      <c r="C33" s="5480" t="s">
        <v>1855</v>
      </c>
      <c r="D33" s="5480" t="s">
        <v>1856</v>
      </c>
      <c r="E33" s="5480" t="s">
        <v>604</v>
      </c>
    </row>
    <row r="34" spans="1:5">
      <c r="A34" s="5480"/>
      <c r="B34" s="5480"/>
      <c r="C34" s="5480"/>
      <c r="D34" s="5480"/>
      <c r="E34" s="5480"/>
    </row>
    <row r="35" spans="1:5">
      <c r="A35" s="5480"/>
      <c r="B35" s="5480"/>
      <c r="C35" s="5480"/>
      <c r="D35" s="5480"/>
      <c r="E35" s="5480"/>
    </row>
    <row r="36" spans="1:5">
      <c r="A36" s="5480"/>
      <c r="B36" s="5480"/>
      <c r="C36" s="5480"/>
      <c r="D36" s="5480"/>
      <c r="E36" s="5480"/>
    </row>
    <row r="37" spans="1:5">
      <c r="A37" s="5480"/>
      <c r="B37" s="5480"/>
      <c r="C37" s="5480"/>
      <c r="D37" s="5480"/>
      <c r="E37" s="5480"/>
    </row>
    <row r="38" spans="1:5">
      <c r="A38" s="5480"/>
      <c r="B38" s="5480"/>
      <c r="C38" s="5480"/>
      <c r="D38" s="5480"/>
      <c r="E38" s="5480"/>
    </row>
    <row r="39" spans="1:5">
      <c r="A39" s="5480"/>
      <c r="B39" s="5480"/>
      <c r="C39" s="5480"/>
      <c r="D39" s="5480"/>
      <c r="E39" s="5480"/>
    </row>
    <row r="40" spans="1:5">
      <c r="A40" s="481" t="s">
        <v>122</v>
      </c>
      <c r="B40" s="6359"/>
      <c r="C40" s="6359"/>
      <c r="D40" s="483">
        <v>0.36</v>
      </c>
      <c r="E40" s="6359"/>
    </row>
    <row r="41" spans="1:5">
      <c r="A41" s="481" t="s">
        <v>123</v>
      </c>
      <c r="B41" s="6360"/>
      <c r="C41" s="6360"/>
      <c r="D41" s="483">
        <v>0.34</v>
      </c>
      <c r="E41" s="6360"/>
    </row>
    <row r="42" spans="1:5" ht="31.5">
      <c r="A42" s="481" t="s">
        <v>124</v>
      </c>
      <c r="B42" s="6360"/>
      <c r="C42" s="6360"/>
      <c r="D42" s="483">
        <v>4.9400000000000004</v>
      </c>
      <c r="E42" s="6360"/>
    </row>
    <row r="43" spans="1:5" ht="31.5">
      <c r="A43" s="481" t="s">
        <v>125</v>
      </c>
      <c r="B43" s="6360"/>
      <c r="C43" s="6360"/>
      <c r="D43" s="483">
        <v>1.51</v>
      </c>
      <c r="E43" s="6360"/>
    </row>
    <row r="44" spans="1:5" ht="47.25">
      <c r="A44" s="481" t="s">
        <v>126</v>
      </c>
      <c r="B44" s="6360"/>
      <c r="C44" s="6360"/>
      <c r="D44" s="483">
        <v>0.1</v>
      </c>
      <c r="E44" s="6360"/>
    </row>
    <row r="45" spans="1:5">
      <c r="A45" s="481" t="s">
        <v>127</v>
      </c>
      <c r="B45" s="6360"/>
      <c r="C45" s="6360"/>
      <c r="D45" s="483">
        <v>7.85</v>
      </c>
      <c r="E45" s="6360"/>
    </row>
    <row r="46" spans="1:5">
      <c r="A46" s="481" t="s">
        <v>128</v>
      </c>
      <c r="B46" s="6360"/>
      <c r="C46" s="6360"/>
      <c r="D46" s="483">
        <v>13.72</v>
      </c>
      <c r="E46" s="6360"/>
    </row>
    <row r="47" spans="1:5">
      <c r="A47" s="481" t="s">
        <v>129</v>
      </c>
      <c r="B47" s="6360"/>
      <c r="C47" s="6360"/>
      <c r="D47" s="483">
        <v>2.14</v>
      </c>
      <c r="E47" s="6360"/>
    </row>
    <row r="48" spans="1:5">
      <c r="A48" s="481" t="s">
        <v>130</v>
      </c>
      <c r="B48" s="6360"/>
      <c r="C48" s="6360"/>
      <c r="D48" s="483">
        <v>1.34</v>
      </c>
      <c r="E48" s="6360"/>
    </row>
    <row r="49" spans="1:5" ht="31.5">
      <c r="A49" s="481" t="s">
        <v>131</v>
      </c>
      <c r="B49" s="6360"/>
      <c r="C49" s="6360"/>
      <c r="D49" s="483">
        <v>2.13</v>
      </c>
      <c r="E49" s="6360"/>
    </row>
    <row r="50" spans="1:5" ht="31.5">
      <c r="A50" s="481" t="s">
        <v>132</v>
      </c>
      <c r="B50" s="6360"/>
      <c r="C50" s="6360"/>
      <c r="D50" s="483">
        <v>5.63</v>
      </c>
      <c r="E50" s="6360"/>
    </row>
    <row r="51" spans="1:5">
      <c r="A51" s="481" t="s">
        <v>133</v>
      </c>
      <c r="B51" s="6360"/>
      <c r="C51" s="6360"/>
      <c r="D51" s="483">
        <v>0</v>
      </c>
      <c r="E51" s="6360"/>
    </row>
    <row r="52" spans="1:5">
      <c r="A52" s="481" t="s">
        <v>134</v>
      </c>
      <c r="B52" s="6360"/>
      <c r="C52" s="6360"/>
      <c r="D52" s="483">
        <v>1.7</v>
      </c>
      <c r="E52" s="6360"/>
    </row>
    <row r="53" spans="1:5" ht="15" customHeight="1">
      <c r="A53" s="1365" t="s">
        <v>135</v>
      </c>
      <c r="B53" s="6360"/>
      <c r="C53" s="6360"/>
      <c r="D53" s="483">
        <v>4</v>
      </c>
      <c r="E53" s="6360"/>
    </row>
    <row r="54" spans="1:5">
      <c r="A54" s="481" t="s">
        <v>136</v>
      </c>
      <c r="B54" s="6360"/>
      <c r="C54" s="6360"/>
      <c r="D54" s="1486">
        <v>7.6</v>
      </c>
      <c r="E54" s="6360"/>
    </row>
    <row r="55" spans="1:5" ht="47.25">
      <c r="A55" s="481" t="s">
        <v>137</v>
      </c>
      <c r="B55" s="6361"/>
      <c r="C55" s="6361"/>
      <c r="D55" s="483">
        <v>47.39</v>
      </c>
      <c r="E55" s="6361"/>
    </row>
    <row r="56" spans="1:5" ht="31.5">
      <c r="A56" s="904" t="s">
        <v>138</v>
      </c>
      <c r="B56" s="484">
        <v>110.92</v>
      </c>
      <c r="C56" s="484">
        <v>92.82</v>
      </c>
      <c r="D56" s="484">
        <v>100.75000000000001</v>
      </c>
      <c r="E56" s="484">
        <v>-11.99</v>
      </c>
    </row>
    <row r="59" spans="1:5" ht="15.75" customHeight="1">
      <c r="A59" s="6362" t="s">
        <v>1857</v>
      </c>
      <c r="B59" s="6363"/>
      <c r="C59" s="6364"/>
    </row>
    <row r="61" spans="1:5" ht="31.5">
      <c r="A61" s="1482" t="s">
        <v>220</v>
      </c>
      <c r="B61" s="1482" t="s">
        <v>81</v>
      </c>
      <c r="C61" s="1482" t="s">
        <v>1859</v>
      </c>
    </row>
    <row r="62" spans="1:5">
      <c r="A62" s="1486">
        <v>1</v>
      </c>
      <c r="B62" s="1487" t="s">
        <v>1860</v>
      </c>
      <c r="C62" s="1488">
        <v>43.68</v>
      </c>
    </row>
    <row r="63" spans="1:5" ht="31.5">
      <c r="A63" s="1486">
        <v>2</v>
      </c>
      <c r="B63" s="1487" t="s">
        <v>1861</v>
      </c>
      <c r="C63" s="1488">
        <v>10.46</v>
      </c>
    </row>
    <row r="64" spans="1:5" ht="31.5">
      <c r="A64" s="1486">
        <v>3</v>
      </c>
      <c r="B64" s="1487" t="s">
        <v>1862</v>
      </c>
      <c r="C64" s="1488">
        <v>5.42</v>
      </c>
    </row>
    <row r="65" spans="1:6" ht="15.75" customHeight="1">
      <c r="A65" s="1486">
        <v>4</v>
      </c>
      <c r="B65" s="1487" t="s">
        <v>1863</v>
      </c>
      <c r="C65" s="1488">
        <v>1.52</v>
      </c>
    </row>
    <row r="66" spans="1:6">
      <c r="A66" s="1486"/>
      <c r="B66" s="1487"/>
      <c r="C66" s="1488"/>
    </row>
    <row r="67" spans="1:6">
      <c r="A67" s="1486">
        <v>5</v>
      </c>
      <c r="B67" s="1487" t="s">
        <v>1864</v>
      </c>
      <c r="C67" s="1488">
        <v>61.08</v>
      </c>
    </row>
    <row r="68" spans="1:6">
      <c r="A68" s="1486"/>
      <c r="B68" s="1487" t="s">
        <v>1865</v>
      </c>
      <c r="C68" s="1488">
        <v>13.72</v>
      </c>
    </row>
    <row r="69" spans="1:6" ht="31.5">
      <c r="A69" s="484"/>
      <c r="B69" s="1359" t="s">
        <v>1866</v>
      </c>
      <c r="C69" s="902">
        <v>47.36</v>
      </c>
    </row>
    <row r="71" spans="1:6" ht="16.5" thickBot="1"/>
    <row r="72" spans="1:6" ht="16.5" thickBot="1">
      <c r="B72" s="1069" t="s">
        <v>2326</v>
      </c>
      <c r="D72" s="1069" t="s">
        <v>151</v>
      </c>
    </row>
    <row r="74" spans="1:6" ht="16.5" customHeight="1">
      <c r="A74" s="5450" t="s">
        <v>220</v>
      </c>
      <c r="B74" s="5450" t="s">
        <v>81</v>
      </c>
      <c r="C74" s="5450" t="s">
        <v>1854</v>
      </c>
      <c r="D74" s="6371" t="s">
        <v>2547</v>
      </c>
      <c r="E74" s="5450" t="s">
        <v>1867</v>
      </c>
      <c r="F74" s="5450" t="s">
        <v>604</v>
      </c>
    </row>
    <row r="75" spans="1:6" ht="15.75" customHeight="1">
      <c r="A75" s="5451"/>
      <c r="B75" s="5451"/>
      <c r="C75" s="5451"/>
      <c r="D75" s="6372"/>
      <c r="E75" s="5451"/>
      <c r="F75" s="5451"/>
    </row>
    <row r="76" spans="1:6">
      <c r="A76" s="5451"/>
      <c r="B76" s="5451"/>
      <c r="C76" s="5451"/>
      <c r="D76" s="6372"/>
      <c r="E76" s="5451"/>
      <c r="F76" s="5451"/>
    </row>
    <row r="77" spans="1:6">
      <c r="A77" s="5451"/>
      <c r="B77" s="5451"/>
      <c r="C77" s="5451"/>
      <c r="D77" s="6372"/>
      <c r="E77" s="5451"/>
      <c r="F77" s="5451"/>
    </row>
    <row r="78" spans="1:6">
      <c r="A78" s="5452"/>
      <c r="B78" s="5452"/>
      <c r="C78" s="5452"/>
      <c r="D78" s="6373"/>
      <c r="E78" s="5452"/>
      <c r="F78" s="5452"/>
    </row>
    <row r="79" spans="1:6" ht="47.25">
      <c r="A79" s="815">
        <v>1</v>
      </c>
      <c r="B79" s="1487" t="s">
        <v>139</v>
      </c>
      <c r="C79" s="2834"/>
      <c r="D79" s="2834"/>
      <c r="E79" s="3416">
        <v>8.6199999999999992</v>
      </c>
      <c r="F79" s="1478"/>
    </row>
    <row r="80" spans="1:6">
      <c r="A80" s="815">
        <v>2</v>
      </c>
      <c r="B80" s="1487" t="s">
        <v>140</v>
      </c>
      <c r="C80" s="2835"/>
      <c r="D80" s="2835"/>
      <c r="E80" s="3416">
        <v>0.09</v>
      </c>
      <c r="F80" s="1479"/>
    </row>
    <row r="81" spans="1:6">
      <c r="A81" s="815">
        <v>3</v>
      </c>
      <c r="B81" s="1487" t="s">
        <v>141</v>
      </c>
      <c r="C81" s="2835"/>
      <c r="D81" s="2835"/>
      <c r="E81" s="3416">
        <v>0.02</v>
      </c>
      <c r="F81" s="1479"/>
    </row>
    <row r="82" spans="1:6">
      <c r="A82" s="815">
        <v>4</v>
      </c>
      <c r="B82" s="1487" t="s">
        <v>142</v>
      </c>
      <c r="C82" s="2835"/>
      <c r="D82" s="2835"/>
      <c r="E82" s="3416">
        <v>0.12</v>
      </c>
      <c r="F82" s="1479"/>
    </row>
    <row r="83" spans="1:6" ht="15.75" customHeight="1">
      <c r="A83" s="815">
        <v>5</v>
      </c>
      <c r="B83" s="1487" t="s">
        <v>143</v>
      </c>
      <c r="C83" s="2835"/>
      <c r="D83" s="2835"/>
      <c r="E83" s="3416"/>
      <c r="F83" s="1479"/>
    </row>
    <row r="84" spans="1:6">
      <c r="A84" s="815"/>
      <c r="B84" s="1487"/>
      <c r="C84" s="2835"/>
      <c r="D84" s="2835"/>
      <c r="E84" s="3416">
        <v>7.59</v>
      </c>
      <c r="F84" s="1479"/>
    </row>
    <row r="85" spans="1:6" ht="31.5">
      <c r="A85" s="815">
        <v>6</v>
      </c>
      <c r="B85" s="1487" t="s">
        <v>144</v>
      </c>
      <c r="C85" s="2835"/>
      <c r="D85" s="2835"/>
      <c r="E85" s="3416">
        <v>9.58</v>
      </c>
      <c r="F85" s="1479"/>
    </row>
    <row r="86" spans="1:6">
      <c r="A86" s="815">
        <v>7</v>
      </c>
      <c r="B86" s="1487" t="s">
        <v>145</v>
      </c>
      <c r="C86" s="2835"/>
      <c r="D86" s="2835"/>
      <c r="E86" s="3416">
        <v>3.2</v>
      </c>
      <c r="F86" s="1479"/>
    </row>
    <row r="87" spans="1:6">
      <c r="A87" s="815">
        <v>8</v>
      </c>
      <c r="B87" s="1487" t="s">
        <v>146</v>
      </c>
      <c r="C87" s="2835"/>
      <c r="D87" s="2835"/>
      <c r="E87" s="3416">
        <v>7.0000000000000007E-2</v>
      </c>
      <c r="F87" s="1479"/>
    </row>
    <row r="88" spans="1:6">
      <c r="A88" s="815">
        <v>9</v>
      </c>
      <c r="B88" s="1487" t="s">
        <v>147</v>
      </c>
      <c r="C88" s="2835"/>
      <c r="D88" s="2835"/>
      <c r="E88" s="3416">
        <v>7.32</v>
      </c>
      <c r="F88" s="1479"/>
    </row>
    <row r="89" spans="1:6" ht="31.5">
      <c r="A89" s="815">
        <v>10</v>
      </c>
      <c r="B89" s="1487" t="s">
        <v>148</v>
      </c>
      <c r="C89" s="2836"/>
      <c r="D89" s="2836"/>
      <c r="E89" s="3416">
        <v>4.7</v>
      </c>
      <c r="F89" s="1480"/>
    </row>
    <row r="90" spans="1:6">
      <c r="A90" s="1492"/>
      <c r="B90" s="1359" t="s">
        <v>47</v>
      </c>
      <c r="C90" s="902">
        <v>49.65</v>
      </c>
      <c r="D90" s="902">
        <v>41.55</v>
      </c>
      <c r="E90" s="3417">
        <v>41.31</v>
      </c>
      <c r="F90" s="484">
        <v>-8.35</v>
      </c>
    </row>
  </sheetData>
  <mergeCells count="27">
    <mergeCell ref="F74:F78"/>
    <mergeCell ref="E74:E78"/>
    <mergeCell ref="A74:A78"/>
    <mergeCell ref="B74:B78"/>
    <mergeCell ref="D74:D78"/>
    <mergeCell ref="C74:C78"/>
    <mergeCell ref="A59:C59"/>
    <mergeCell ref="F3:G10"/>
    <mergeCell ref="F11:G29"/>
    <mergeCell ref="E33:E39"/>
    <mergeCell ref="F30:G30"/>
    <mergeCell ref="A32:B32"/>
    <mergeCell ref="A33:A39"/>
    <mergeCell ref="B33:B39"/>
    <mergeCell ref="C33:C39"/>
    <mergeCell ref="D33:D39"/>
    <mergeCell ref="A3:A10"/>
    <mergeCell ref="B3:B10"/>
    <mergeCell ref="C3:C10"/>
    <mergeCell ref="D3:D10"/>
    <mergeCell ref="E3:E10"/>
    <mergeCell ref="E40:E55"/>
    <mergeCell ref="B2:C2"/>
    <mergeCell ref="C11:C29"/>
    <mergeCell ref="D11:D29"/>
    <mergeCell ref="B40:B55"/>
    <mergeCell ref="C40:C55"/>
  </mergeCells>
  <pageMargins left="0.7" right="0.7" top="0.75" bottom="0.75" header="0.3" footer="0.3"/>
  <pageSetup scale="47" orientation="portrait" r:id="rId1"/>
  <rowBreaks count="1" manualBreakCount="1">
    <brk id="70" max="8" man="1"/>
  </rowBreaks>
</worksheet>
</file>

<file path=xl/worksheets/sheet14.xml><?xml version="1.0" encoding="utf-8"?>
<worksheet xmlns="http://schemas.openxmlformats.org/spreadsheetml/2006/main" xmlns:r="http://schemas.openxmlformats.org/officeDocument/2006/relationships">
  <sheetPr codeName="Sheet14"/>
  <dimension ref="B1:K56"/>
  <sheetViews>
    <sheetView topLeftCell="A34" workbookViewId="0">
      <selection activeCell="M54" sqref="M54"/>
    </sheetView>
  </sheetViews>
  <sheetFormatPr defaultRowHeight="15"/>
  <cols>
    <col min="6" max="6" width="13.28515625" customWidth="1"/>
    <col min="8" max="8" width="16.42578125" customWidth="1"/>
    <col min="9" max="9" width="10.85546875" customWidth="1"/>
    <col min="10" max="10" width="12.140625" customWidth="1"/>
    <col min="11" max="11" width="18.140625" customWidth="1"/>
  </cols>
  <sheetData>
    <row r="1" spans="2:11" ht="15.75" thickBot="1"/>
    <row r="2" spans="2:11">
      <c r="B2" s="5402" t="s">
        <v>80</v>
      </c>
      <c r="C2" s="5403"/>
      <c r="D2" s="5403"/>
      <c r="E2" s="5403"/>
      <c r="F2" s="5404"/>
    </row>
    <row r="3" spans="2:11" ht="29.25" customHeight="1">
      <c r="B3" s="7" t="s">
        <v>1</v>
      </c>
      <c r="C3" s="7" t="s">
        <v>2</v>
      </c>
      <c r="D3" s="7" t="s">
        <v>62</v>
      </c>
      <c r="E3" s="7"/>
      <c r="F3" s="7" t="s">
        <v>4</v>
      </c>
      <c r="G3" s="7" t="s">
        <v>5</v>
      </c>
      <c r="H3" s="7" t="s">
        <v>6</v>
      </c>
      <c r="I3" s="7" t="s">
        <v>7</v>
      </c>
      <c r="J3" s="7" t="s">
        <v>8</v>
      </c>
      <c r="K3" s="7" t="s">
        <v>63</v>
      </c>
    </row>
    <row r="4" spans="2:11">
      <c r="B4" s="1"/>
      <c r="C4" s="1"/>
      <c r="D4" s="1" t="s">
        <v>12</v>
      </c>
      <c r="E4" s="1" t="s">
        <v>13</v>
      </c>
      <c r="F4" s="1"/>
      <c r="G4" s="1"/>
      <c r="H4" s="1"/>
      <c r="I4" s="1"/>
      <c r="J4" s="1"/>
      <c r="K4" s="1"/>
    </row>
    <row r="5" spans="2:11">
      <c r="B5" s="1" t="s">
        <v>14</v>
      </c>
      <c r="C5" s="1" t="s">
        <v>15</v>
      </c>
      <c r="D5" s="1">
        <v>202</v>
      </c>
      <c r="E5" s="1">
        <v>0</v>
      </c>
      <c r="F5" s="1">
        <v>6351</v>
      </c>
      <c r="G5" s="1">
        <v>2794.44</v>
      </c>
      <c r="H5" s="1">
        <v>656.4</v>
      </c>
      <c r="I5" s="1">
        <v>762.12</v>
      </c>
      <c r="J5" s="1">
        <v>4212.96</v>
      </c>
      <c r="K5" s="1">
        <v>0.66335380255077936</v>
      </c>
    </row>
    <row r="6" spans="2:11">
      <c r="B6" s="1" t="s">
        <v>16</v>
      </c>
      <c r="C6" s="1" t="s">
        <v>17</v>
      </c>
      <c r="D6" s="1">
        <v>289424</v>
      </c>
      <c r="E6" s="1">
        <v>14416</v>
      </c>
      <c r="F6" s="1">
        <v>56527683</v>
      </c>
      <c r="G6" s="1">
        <v>116449986.50999999</v>
      </c>
      <c r="H6" s="5399">
        <v>60612958.240000002</v>
      </c>
      <c r="I6" s="1">
        <v>31093417.300000001</v>
      </c>
      <c r="J6" s="5399">
        <v>675485384.08999991</v>
      </c>
      <c r="K6" s="1">
        <v>5.145146850352865</v>
      </c>
    </row>
    <row r="7" spans="2:11">
      <c r="B7" s="1"/>
      <c r="C7" s="1" t="s">
        <v>18</v>
      </c>
      <c r="D7" s="1">
        <v>323091</v>
      </c>
      <c r="E7" s="1">
        <v>24645</v>
      </c>
      <c r="F7" s="1">
        <v>42050230</v>
      </c>
      <c r="G7" s="1">
        <v>160212729.84</v>
      </c>
      <c r="H7" s="5400"/>
      <c r="I7" s="1">
        <v>43314470.520000003</v>
      </c>
      <c r="J7" s="5400"/>
      <c r="K7" s="1"/>
    </row>
    <row r="8" spans="2:11">
      <c r="B8" s="1"/>
      <c r="C8" s="1" t="s">
        <v>19</v>
      </c>
      <c r="D8" s="1">
        <v>37732</v>
      </c>
      <c r="E8" s="1">
        <v>18529</v>
      </c>
      <c r="F8" s="1">
        <v>11042432</v>
      </c>
      <c r="G8" s="1">
        <v>59187472.359999999</v>
      </c>
      <c r="H8" s="5400"/>
      <c r="I8" s="1">
        <v>15901986.24</v>
      </c>
      <c r="J8" s="5400"/>
      <c r="K8" s="1"/>
    </row>
    <row r="9" spans="2:11">
      <c r="B9" s="1"/>
      <c r="C9" s="1" t="s">
        <v>20</v>
      </c>
      <c r="D9" s="1">
        <v>9729</v>
      </c>
      <c r="E9" s="1">
        <v>25164</v>
      </c>
      <c r="F9" s="1">
        <v>21665584</v>
      </c>
      <c r="G9" s="1">
        <v>148626067.28000003</v>
      </c>
      <c r="H9" s="5401"/>
      <c r="I9" s="1">
        <v>40086295.800000004</v>
      </c>
      <c r="J9" s="5401"/>
      <c r="K9" s="1"/>
    </row>
    <row r="10" spans="2:11">
      <c r="B10" s="1" t="s">
        <v>21</v>
      </c>
      <c r="C10" s="1" t="s">
        <v>22</v>
      </c>
      <c r="D10" s="1"/>
      <c r="E10" s="1"/>
      <c r="F10" s="1">
        <v>-1908</v>
      </c>
      <c r="G10" s="1">
        <v>-7632</v>
      </c>
      <c r="H10" s="5399">
        <v>62947450.619999997</v>
      </c>
      <c r="I10" s="1"/>
      <c r="J10" s="5399">
        <v>632844677.75999999</v>
      </c>
      <c r="K10" s="1">
        <v>9.1832491274715355</v>
      </c>
    </row>
    <row r="11" spans="2:11">
      <c r="B11" s="1"/>
      <c r="C11" s="1" t="s">
        <v>19</v>
      </c>
      <c r="D11" s="1"/>
      <c r="E11" s="1"/>
      <c r="F11" s="1">
        <v>-514</v>
      </c>
      <c r="G11" s="1">
        <v>-3084</v>
      </c>
      <c r="H11" s="5400"/>
      <c r="I11" s="1"/>
      <c r="J11" s="5400"/>
      <c r="K11" s="1"/>
    </row>
    <row r="12" spans="2:11">
      <c r="B12" s="1"/>
      <c r="C12" s="1" t="s">
        <v>23</v>
      </c>
      <c r="D12" s="1"/>
      <c r="E12" s="1"/>
      <c r="F12" s="1">
        <v>-534</v>
      </c>
      <c r="G12" s="1">
        <v>-3684.6000000000004</v>
      </c>
      <c r="H12" s="5400"/>
      <c r="I12" s="1"/>
      <c r="J12" s="5400"/>
      <c r="K12" s="1"/>
    </row>
    <row r="13" spans="2:11">
      <c r="B13" s="1"/>
      <c r="C13" s="1" t="s">
        <v>24</v>
      </c>
      <c r="D13" s="1"/>
      <c r="E13" s="1"/>
      <c r="F13" s="1">
        <v>440</v>
      </c>
      <c r="G13" s="1">
        <v>3344</v>
      </c>
      <c r="H13" s="5400"/>
      <c r="I13" s="1"/>
      <c r="J13" s="5400"/>
      <c r="K13" s="1"/>
    </row>
    <row r="14" spans="2:11">
      <c r="B14" s="1"/>
      <c r="C14" s="1" t="s">
        <v>25</v>
      </c>
      <c r="D14" s="1">
        <v>200760</v>
      </c>
      <c r="E14" s="1">
        <v>21142</v>
      </c>
      <c r="F14" s="1">
        <v>42620065</v>
      </c>
      <c r="G14" s="1">
        <v>234410357.5</v>
      </c>
      <c r="H14" s="5400"/>
      <c r="I14" s="1">
        <v>63077696.199999996</v>
      </c>
      <c r="J14" s="5400"/>
      <c r="K14" s="1"/>
    </row>
    <row r="15" spans="2:11">
      <c r="B15" s="1"/>
      <c r="C15" s="1" t="s">
        <v>26</v>
      </c>
      <c r="D15" s="1">
        <v>13757</v>
      </c>
      <c r="E15" s="1">
        <v>21500</v>
      </c>
      <c r="F15" s="1">
        <v>26295389</v>
      </c>
      <c r="G15" s="1">
        <v>214570374.24000001</v>
      </c>
      <c r="H15" s="5401"/>
      <c r="I15" s="1">
        <v>57849855.800000004</v>
      </c>
      <c r="J15" s="5401"/>
      <c r="K15" s="1"/>
    </row>
    <row r="16" spans="2:11">
      <c r="B16" s="1" t="s">
        <v>27</v>
      </c>
      <c r="C16" s="1" t="s">
        <v>28</v>
      </c>
      <c r="D16" s="1">
        <v>64</v>
      </c>
      <c r="E16" s="1">
        <v>5926</v>
      </c>
      <c r="F16" s="1">
        <v>17352232</v>
      </c>
      <c r="G16" s="1">
        <v>138817856</v>
      </c>
      <c r="H16" s="1">
        <v>20507364.370000001</v>
      </c>
      <c r="I16" s="1">
        <v>37307298.799999997</v>
      </c>
      <c r="J16" s="1">
        <v>196632519.17000002</v>
      </c>
      <c r="K16" s="1">
        <v>11.331828618358722</v>
      </c>
    </row>
    <row r="17" spans="2:11">
      <c r="B17" s="1" t="s">
        <v>29</v>
      </c>
      <c r="C17" s="1" t="s">
        <v>28</v>
      </c>
      <c r="D17" s="1">
        <v>2</v>
      </c>
      <c r="E17" s="1">
        <v>2614</v>
      </c>
      <c r="F17" s="1">
        <v>33986129</v>
      </c>
      <c r="G17" s="1">
        <v>274947783.61000001</v>
      </c>
      <c r="H17" s="1">
        <v>33183965.780000001</v>
      </c>
      <c r="I17" s="1">
        <v>74089761.219999999</v>
      </c>
      <c r="J17" s="1">
        <v>382221510.61000001</v>
      </c>
      <c r="K17" s="1">
        <v>11.246397334924493</v>
      </c>
    </row>
    <row r="18" spans="2:11">
      <c r="B18" s="1" t="s">
        <v>30</v>
      </c>
      <c r="C18" s="1" t="s">
        <v>22</v>
      </c>
      <c r="D18" s="1"/>
      <c r="E18" s="1"/>
      <c r="F18" s="1">
        <v>0</v>
      </c>
      <c r="G18" s="1">
        <v>0</v>
      </c>
      <c r="H18" s="5399">
        <v>2921224.15</v>
      </c>
      <c r="I18" s="1"/>
      <c r="J18" s="5399">
        <v>33086531.780000001</v>
      </c>
      <c r="K18" s="1">
        <v>8.7661141007220547</v>
      </c>
    </row>
    <row r="19" spans="2:11">
      <c r="B19" s="1"/>
      <c r="C19" s="1" t="s">
        <v>19</v>
      </c>
      <c r="D19" s="1"/>
      <c r="E19" s="1"/>
      <c r="F19" s="1">
        <v>0</v>
      </c>
      <c r="G19" s="1">
        <v>0</v>
      </c>
      <c r="H19" s="5400"/>
      <c r="I19" s="1"/>
      <c r="J19" s="5400"/>
      <c r="K19" s="1"/>
    </row>
    <row r="20" spans="2:11">
      <c r="B20" s="1"/>
      <c r="C20" s="1" t="s">
        <v>23</v>
      </c>
      <c r="D20" s="1"/>
      <c r="E20" s="1"/>
      <c r="F20" s="1">
        <v>0</v>
      </c>
      <c r="G20" s="1">
        <v>0</v>
      </c>
      <c r="H20" s="5400"/>
      <c r="I20" s="1"/>
      <c r="J20" s="5400"/>
      <c r="K20" s="1"/>
    </row>
    <row r="21" spans="2:11">
      <c r="B21" s="1"/>
      <c r="C21" s="1" t="s">
        <v>24</v>
      </c>
      <c r="D21" s="1"/>
      <c r="E21" s="1"/>
      <c r="F21" s="1">
        <v>0</v>
      </c>
      <c r="G21" s="1">
        <v>0</v>
      </c>
      <c r="H21" s="5400"/>
      <c r="I21" s="1"/>
      <c r="J21" s="5400"/>
      <c r="K21" s="1"/>
    </row>
    <row r="22" spans="2:11">
      <c r="B22" s="1"/>
      <c r="C22" s="1" t="s">
        <v>25</v>
      </c>
      <c r="D22" s="1">
        <v>2635</v>
      </c>
      <c r="E22" s="1">
        <v>3680</v>
      </c>
      <c r="F22" s="1">
        <v>1790815</v>
      </c>
      <c r="G22" s="1">
        <v>9330146.1500000004</v>
      </c>
      <c r="H22" s="5400"/>
      <c r="I22" s="1">
        <v>2507141</v>
      </c>
      <c r="J22" s="5400"/>
      <c r="K22" s="1"/>
    </row>
    <row r="23" spans="2:11">
      <c r="B23" s="1"/>
      <c r="C23" s="1" t="s">
        <v>26</v>
      </c>
      <c r="D23" s="1">
        <v>120</v>
      </c>
      <c r="E23" s="1">
        <v>2123</v>
      </c>
      <c r="F23" s="1">
        <v>1983552</v>
      </c>
      <c r="G23" s="1">
        <v>14440258.560000001</v>
      </c>
      <c r="H23" s="5401"/>
      <c r="I23" s="1">
        <v>3887761.92</v>
      </c>
      <c r="J23" s="5401"/>
      <c r="K23" s="1"/>
    </row>
    <row r="24" spans="2:11">
      <c r="B24" s="1" t="s">
        <v>31</v>
      </c>
      <c r="C24" s="1" t="s">
        <v>28</v>
      </c>
      <c r="D24" s="1">
        <v>11</v>
      </c>
      <c r="E24" s="1">
        <v>1201</v>
      </c>
      <c r="F24" s="1">
        <v>4149476</v>
      </c>
      <c r="G24" s="1">
        <v>27054583.52</v>
      </c>
      <c r="H24" s="1">
        <v>5150280.57</v>
      </c>
      <c r="I24" s="1">
        <v>7261583</v>
      </c>
      <c r="J24" s="1">
        <v>39466447.090000004</v>
      </c>
      <c r="K24" s="1">
        <v>9.5111881813510912</v>
      </c>
    </row>
    <row r="25" spans="2:11">
      <c r="B25" s="1" t="s">
        <v>32</v>
      </c>
      <c r="C25" s="1" t="s">
        <v>28</v>
      </c>
      <c r="D25" s="1">
        <v>1</v>
      </c>
      <c r="E25" s="1">
        <v>125</v>
      </c>
      <c r="F25" s="1">
        <v>3749661</v>
      </c>
      <c r="G25" s="1">
        <v>23960333.789999999</v>
      </c>
      <c r="H25" s="1">
        <v>2707898.52</v>
      </c>
      <c r="I25" s="1">
        <v>6449416.9199999999</v>
      </c>
      <c r="J25" s="1">
        <v>33117649.229999997</v>
      </c>
      <c r="K25" s="1">
        <v>8.8321715563086887</v>
      </c>
    </row>
    <row r="26" spans="2:11">
      <c r="B26" s="1" t="s">
        <v>33</v>
      </c>
      <c r="C26" s="1" t="s">
        <v>28</v>
      </c>
      <c r="D26" s="1">
        <v>785</v>
      </c>
      <c r="E26" s="1">
        <v>141</v>
      </c>
      <c r="F26" s="1">
        <v>178045</v>
      </c>
      <c r="G26" s="1">
        <v>2092055.35</v>
      </c>
      <c r="H26" s="1">
        <v>336773.33</v>
      </c>
      <c r="I26" s="1">
        <v>562862.36</v>
      </c>
      <c r="J26" s="1">
        <v>2991691.04</v>
      </c>
      <c r="K26" s="1">
        <v>16.80300508298464</v>
      </c>
    </row>
    <row r="27" spans="2:11">
      <c r="B27" s="1" t="s">
        <v>34</v>
      </c>
      <c r="C27" s="1" t="s">
        <v>28</v>
      </c>
      <c r="D27" s="1"/>
      <c r="E27" s="1"/>
      <c r="F27" s="1">
        <v>2178720.92</v>
      </c>
      <c r="G27" s="1">
        <v>12331560.407199999</v>
      </c>
      <c r="H27" s="1">
        <v>1829415.96</v>
      </c>
      <c r="I27" s="1">
        <v>3311655.7983999997</v>
      </c>
      <c r="J27" s="1">
        <v>17472632.165599998</v>
      </c>
      <c r="K27" s="1">
        <v>8.0196742984411227</v>
      </c>
    </row>
    <row r="28" spans="2:11">
      <c r="B28" s="1" t="s">
        <v>35</v>
      </c>
      <c r="C28" s="1" t="s">
        <v>28</v>
      </c>
      <c r="D28" s="1">
        <v>559</v>
      </c>
      <c r="E28" s="1">
        <v>127</v>
      </c>
      <c r="F28" s="1">
        <v>335710</v>
      </c>
      <c r="G28" s="1">
        <v>1900118.6</v>
      </c>
      <c r="H28" s="1">
        <v>216647.92</v>
      </c>
      <c r="I28" s="1">
        <v>510279.2</v>
      </c>
      <c r="J28" s="1">
        <v>2627045.7200000002</v>
      </c>
      <c r="K28" s="1">
        <v>7.8253424682017227</v>
      </c>
    </row>
    <row r="29" spans="2:11">
      <c r="B29" s="1" t="s">
        <v>36</v>
      </c>
      <c r="C29" s="1" t="s">
        <v>28</v>
      </c>
      <c r="D29" s="1">
        <v>1</v>
      </c>
      <c r="E29" s="1">
        <v>3</v>
      </c>
      <c r="F29" s="1">
        <v>76492</v>
      </c>
      <c r="G29" s="1">
        <v>247069.16</v>
      </c>
      <c r="H29" s="1">
        <v>26583.33</v>
      </c>
      <c r="I29" s="1">
        <v>66548.039999999994</v>
      </c>
      <c r="J29" s="1">
        <v>340200.52999999997</v>
      </c>
      <c r="K29" s="1">
        <v>4.4475308528996491</v>
      </c>
    </row>
    <row r="30" spans="2:11">
      <c r="B30" s="1" t="s">
        <v>37</v>
      </c>
      <c r="C30" s="1" t="s">
        <v>28</v>
      </c>
      <c r="D30" s="1">
        <v>115</v>
      </c>
      <c r="E30" s="1">
        <v>1416</v>
      </c>
      <c r="F30" s="1">
        <v>3046772</v>
      </c>
      <c r="G30" s="1">
        <v>28609189.080000002</v>
      </c>
      <c r="H30" s="1">
        <v>1942183.47</v>
      </c>
      <c r="I30" s="1">
        <v>7708333.1599999992</v>
      </c>
      <c r="J30" s="1">
        <v>38259705.710000001</v>
      </c>
      <c r="K30" s="1">
        <v>12.55745612405523</v>
      </c>
    </row>
    <row r="31" spans="2:11">
      <c r="B31" s="1" t="s">
        <v>38</v>
      </c>
      <c r="C31" s="1" t="s">
        <v>28</v>
      </c>
      <c r="D31" s="1">
        <v>8</v>
      </c>
      <c r="E31" s="1">
        <v>15</v>
      </c>
      <c r="F31" s="1">
        <v>94170</v>
      </c>
      <c r="G31" s="1">
        <v>291927</v>
      </c>
      <c r="H31" s="1">
        <v>3450</v>
      </c>
      <c r="I31" s="1">
        <v>78161.099999999991</v>
      </c>
      <c r="J31" s="1">
        <v>373538.1</v>
      </c>
      <c r="K31" s="1">
        <v>3.966635871296591</v>
      </c>
    </row>
    <row r="32" spans="2:11">
      <c r="B32" s="1" t="s">
        <v>39</v>
      </c>
      <c r="C32" s="1" t="s">
        <v>28</v>
      </c>
      <c r="D32" s="1">
        <v>1427</v>
      </c>
      <c r="E32" s="1">
        <v>609</v>
      </c>
      <c r="F32" s="1">
        <v>1265189</v>
      </c>
      <c r="G32" s="1">
        <v>8603285.1999999993</v>
      </c>
      <c r="H32" s="1">
        <v>500324.99</v>
      </c>
      <c r="I32" s="1">
        <v>2315295.87</v>
      </c>
      <c r="J32" s="1">
        <v>11418906.059999999</v>
      </c>
      <c r="K32" s="1">
        <v>9.0254547423349383</v>
      </c>
    </row>
    <row r="33" spans="2:11">
      <c r="B33" s="1" t="s">
        <v>40</v>
      </c>
      <c r="C33" s="1" t="s">
        <v>28</v>
      </c>
      <c r="D33" s="1">
        <v>3</v>
      </c>
      <c r="E33" s="1">
        <v>397</v>
      </c>
      <c r="F33" s="1">
        <v>4363872</v>
      </c>
      <c r="G33" s="1">
        <v>29674329.599999998</v>
      </c>
      <c r="H33" s="1">
        <v>4024752.72</v>
      </c>
      <c r="I33" s="1">
        <v>7985885.7600000007</v>
      </c>
      <c r="J33" s="1">
        <v>41684968.079999998</v>
      </c>
      <c r="K33" s="1">
        <v>9.5522893613744859</v>
      </c>
    </row>
    <row r="34" spans="2:11">
      <c r="B34" s="1" t="s">
        <v>41</v>
      </c>
      <c r="C34" s="1" t="s">
        <v>28</v>
      </c>
      <c r="D34" s="1">
        <v>0</v>
      </c>
      <c r="E34" s="1">
        <v>41</v>
      </c>
      <c r="F34" s="1">
        <v>12119613</v>
      </c>
      <c r="G34" s="1">
        <v>71505716.700000003</v>
      </c>
      <c r="H34" s="1">
        <v>8563797.5</v>
      </c>
      <c r="I34" s="1">
        <v>19270184.670000002</v>
      </c>
      <c r="J34" s="1">
        <v>99339698.870000005</v>
      </c>
      <c r="K34" s="1">
        <v>8.196606514580953</v>
      </c>
    </row>
    <row r="35" spans="2:11">
      <c r="B35" s="1" t="s">
        <v>42</v>
      </c>
      <c r="C35" s="1" t="s">
        <v>28</v>
      </c>
      <c r="D35" s="1">
        <v>0</v>
      </c>
      <c r="E35" s="1">
        <v>101</v>
      </c>
      <c r="F35" s="1">
        <v>24706363</v>
      </c>
      <c r="G35" s="1">
        <v>156885405.04999998</v>
      </c>
      <c r="H35" s="1">
        <v>16463722.74</v>
      </c>
      <c r="I35" s="1">
        <v>42247880.729999997</v>
      </c>
      <c r="J35" s="1">
        <v>215597008.51999998</v>
      </c>
      <c r="K35" s="1">
        <v>8.7263758133886391</v>
      </c>
    </row>
    <row r="36" spans="2:11">
      <c r="B36" s="1" t="s">
        <v>43</v>
      </c>
      <c r="C36" s="1" t="s">
        <v>28</v>
      </c>
      <c r="D36" s="1">
        <v>0</v>
      </c>
      <c r="E36" s="1">
        <v>10</v>
      </c>
      <c r="F36" s="1">
        <v>2266549</v>
      </c>
      <c r="G36" s="1">
        <v>7706266.5999999996</v>
      </c>
      <c r="H36" s="1">
        <v>1357943.6</v>
      </c>
      <c r="I36" s="1">
        <v>2062559.59</v>
      </c>
      <c r="J36" s="1">
        <v>11126769.789999999</v>
      </c>
      <c r="K36" s="1">
        <v>4.9091238662830579</v>
      </c>
    </row>
    <row r="37" spans="2:11">
      <c r="B37" s="1" t="s">
        <v>44</v>
      </c>
      <c r="C37" s="1" t="s">
        <v>28</v>
      </c>
      <c r="D37" s="1">
        <v>0</v>
      </c>
      <c r="E37" s="1">
        <v>3</v>
      </c>
      <c r="F37" s="1">
        <v>299640</v>
      </c>
      <c r="G37" s="1">
        <v>2591886</v>
      </c>
      <c r="H37" s="1">
        <v>866.67</v>
      </c>
      <c r="I37" s="1">
        <v>698161.20000000007</v>
      </c>
      <c r="J37" s="1">
        <v>3290913.87</v>
      </c>
      <c r="K37" s="1">
        <v>10.982892370845015</v>
      </c>
    </row>
    <row r="38" spans="2:11">
      <c r="B38" s="1" t="s">
        <v>45</v>
      </c>
      <c r="C38" s="1" t="s">
        <v>28</v>
      </c>
      <c r="D38" s="1">
        <v>0</v>
      </c>
      <c r="E38" s="1">
        <v>15</v>
      </c>
      <c r="F38" s="1">
        <v>5144770</v>
      </c>
      <c r="G38" s="1">
        <v>28810712</v>
      </c>
      <c r="H38" s="1">
        <v>2511310.16</v>
      </c>
      <c r="I38" s="1">
        <v>7768602.7000000002</v>
      </c>
      <c r="J38" s="1">
        <v>39090624.859999999</v>
      </c>
      <c r="K38" s="1">
        <v>7.598128752111367</v>
      </c>
    </row>
    <row r="39" spans="2:11">
      <c r="B39" s="1" t="s">
        <v>46</v>
      </c>
      <c r="C39" s="1"/>
      <c r="D39" s="1"/>
      <c r="E39" s="1"/>
      <c r="F39" s="1"/>
      <c r="G39" s="1">
        <v>0</v>
      </c>
      <c r="H39" s="1">
        <v>-5256.3</v>
      </c>
      <c r="I39" s="1">
        <v>0</v>
      </c>
      <c r="J39" s="1">
        <v>-5256.3</v>
      </c>
      <c r="K39" s="1"/>
    </row>
    <row r="40" spans="2:11">
      <c r="B40" s="1" t="s">
        <v>47</v>
      </c>
      <c r="C40" s="1"/>
      <c r="D40" s="1">
        <v>880426</v>
      </c>
      <c r="E40" s="1">
        <v>143943</v>
      </c>
      <c r="F40" s="1">
        <v>319292988.91999996</v>
      </c>
      <c r="G40" s="1">
        <v>1773249207.9471996</v>
      </c>
      <c r="H40" s="1">
        <v>225804314.74000001</v>
      </c>
      <c r="I40" s="1">
        <v>477413857.01840007</v>
      </c>
      <c r="J40" s="1">
        <v>2476467379.7055998</v>
      </c>
      <c r="K40" s="1">
        <v>7.7560969568488956</v>
      </c>
    </row>
    <row r="41" spans="2:11">
      <c r="B41" s="1"/>
      <c r="C41" s="1"/>
      <c r="D41" s="1"/>
      <c r="E41" s="1"/>
      <c r="F41" s="1"/>
      <c r="G41" s="1"/>
      <c r="H41" s="1"/>
      <c r="I41" s="1" t="s">
        <v>48</v>
      </c>
      <c r="J41" s="1">
        <v>8817502.4900000002</v>
      </c>
      <c r="K41" s="1"/>
    </row>
    <row r="42" spans="2:11">
      <c r="B42" s="1"/>
      <c r="C42" s="1"/>
      <c r="D42" s="1"/>
      <c r="E42" s="1"/>
      <c r="F42" s="1"/>
      <c r="G42" s="1"/>
      <c r="H42" s="1"/>
      <c r="I42" s="1" t="s">
        <v>49</v>
      </c>
      <c r="J42" s="1">
        <v>-336305164.47000003</v>
      </c>
      <c r="K42" s="1"/>
    </row>
    <row r="43" spans="2:11">
      <c r="B43" s="1"/>
      <c r="C43" s="1"/>
      <c r="D43" s="1"/>
      <c r="E43" s="1"/>
      <c r="F43" s="1"/>
      <c r="G43" s="1"/>
      <c r="H43" s="1"/>
      <c r="I43" s="1" t="s">
        <v>50</v>
      </c>
      <c r="J43" s="1">
        <v>0</v>
      </c>
      <c r="K43" s="1"/>
    </row>
    <row r="44" spans="2:11">
      <c r="B44" s="1"/>
      <c r="C44" s="1"/>
      <c r="D44" s="1"/>
      <c r="E44" s="1"/>
      <c r="F44" s="1"/>
      <c r="G44" s="1"/>
      <c r="H44" s="1"/>
      <c r="I44" s="1" t="s">
        <v>51</v>
      </c>
      <c r="J44" s="1">
        <v>11151333</v>
      </c>
      <c r="K44" s="1"/>
    </row>
    <row r="45" spans="2:11">
      <c r="B45" s="1"/>
      <c r="C45" s="1"/>
      <c r="D45" s="1"/>
      <c r="E45" s="1"/>
      <c r="F45" s="1"/>
      <c r="G45" s="1"/>
      <c r="H45" s="1"/>
      <c r="I45" s="1" t="s">
        <v>52</v>
      </c>
      <c r="J45" s="1">
        <v>6343775.8799999999</v>
      </c>
      <c r="K45" s="1"/>
    </row>
    <row r="46" spans="2:11">
      <c r="B46" s="1"/>
      <c r="C46" s="1"/>
      <c r="D46" s="1"/>
      <c r="E46" s="1"/>
      <c r="F46" s="1"/>
      <c r="G46" s="1"/>
      <c r="H46" s="1"/>
      <c r="I46" s="1" t="s">
        <v>47</v>
      </c>
      <c r="J46" s="1">
        <v>2166474826.6055994</v>
      </c>
      <c r="K46" s="1"/>
    </row>
    <row r="47" spans="2:11">
      <c r="B47" s="1"/>
      <c r="C47" s="1"/>
      <c r="D47" s="1"/>
      <c r="E47" s="1"/>
      <c r="F47" s="1"/>
      <c r="G47" s="1"/>
      <c r="H47" s="1"/>
      <c r="I47" s="1" t="s">
        <v>53</v>
      </c>
      <c r="J47" s="1">
        <v>-15502087.949999999</v>
      </c>
      <c r="K47" s="1"/>
    </row>
    <row r="48" spans="2:11">
      <c r="B48" s="1"/>
      <c r="C48" s="1"/>
      <c r="D48" s="1"/>
      <c r="E48" s="1"/>
      <c r="F48" s="1"/>
      <c r="G48" s="1"/>
      <c r="H48" s="1"/>
      <c r="I48" s="1" t="s">
        <v>54</v>
      </c>
      <c r="J48" s="1">
        <v>-41633234</v>
      </c>
      <c r="K48" s="1"/>
    </row>
    <row r="49" spans="2:11">
      <c r="B49" s="1"/>
      <c r="C49" s="1"/>
      <c r="D49" s="1"/>
      <c r="E49" s="1"/>
      <c r="F49" s="1"/>
      <c r="G49" s="1"/>
      <c r="H49" s="1"/>
      <c r="I49" s="1" t="s">
        <v>55</v>
      </c>
      <c r="J49" s="1">
        <v>-299511.65999999997</v>
      </c>
      <c r="K49" s="1"/>
    </row>
    <row r="50" spans="2:11">
      <c r="B50" s="1"/>
      <c r="C50" s="1"/>
      <c r="D50" s="1"/>
      <c r="E50" s="1"/>
      <c r="F50" s="1"/>
      <c r="G50" s="1"/>
      <c r="H50" s="1"/>
      <c r="I50" s="1" t="s">
        <v>56</v>
      </c>
      <c r="J50" s="1">
        <v>0</v>
      </c>
      <c r="K50" s="1"/>
    </row>
    <row r="51" spans="2:11">
      <c r="B51" s="1"/>
      <c r="C51" s="1"/>
      <c r="D51" s="1"/>
      <c r="E51" s="1"/>
      <c r="F51" s="1"/>
      <c r="G51" s="1"/>
      <c r="H51" s="1"/>
      <c r="I51" s="1" t="s">
        <v>57</v>
      </c>
      <c r="J51" s="1">
        <v>2109039992.9955995</v>
      </c>
      <c r="K51" s="1"/>
    </row>
    <row r="52" spans="2:11">
      <c r="B52" s="1"/>
      <c r="C52" s="1"/>
      <c r="D52" s="1"/>
      <c r="E52" s="1"/>
      <c r="F52" s="1"/>
      <c r="G52" s="1"/>
      <c r="H52" s="1"/>
      <c r="I52" s="1" t="s">
        <v>58</v>
      </c>
      <c r="J52" s="1">
        <v>6.7852251749518295</v>
      </c>
      <c r="K52" s="1"/>
    </row>
    <row r="53" spans="2:11">
      <c r="B53" s="1"/>
      <c r="C53" s="1"/>
      <c r="D53" s="1"/>
      <c r="E53" s="1"/>
      <c r="F53" s="1"/>
      <c r="G53" s="1"/>
      <c r="H53" s="1"/>
      <c r="I53" s="1" t="s">
        <v>59</v>
      </c>
      <c r="J53" s="1">
        <v>32574750.489999998</v>
      </c>
      <c r="K53" s="1"/>
    </row>
    <row r="54" spans="2:11">
      <c r="B54" s="1"/>
      <c r="C54" s="1"/>
      <c r="D54" s="1"/>
      <c r="E54" s="1"/>
      <c r="F54" s="1"/>
      <c r="G54" s="1"/>
      <c r="H54" s="1"/>
      <c r="I54" s="1" t="s">
        <v>60</v>
      </c>
      <c r="J54" s="1">
        <v>2199049577.0955992</v>
      </c>
      <c r="K54" s="1"/>
    </row>
    <row r="55" spans="2:11">
      <c r="B55" s="1"/>
      <c r="C55" s="1"/>
      <c r="D55" s="1"/>
      <c r="E55" s="1"/>
      <c r="F55" s="1"/>
      <c r="G55" s="1"/>
      <c r="H55" s="1"/>
      <c r="I55" s="1" t="s">
        <v>58</v>
      </c>
      <c r="J55" s="1"/>
      <c r="K55" s="1"/>
    </row>
    <row r="56" spans="2:11">
      <c r="B56" s="1"/>
      <c r="C56" s="1"/>
      <c r="D56" s="1"/>
      <c r="E56" s="1"/>
      <c r="F56" s="1"/>
      <c r="G56" s="1"/>
      <c r="H56" s="1"/>
      <c r="I56" s="1"/>
      <c r="J56" s="1">
        <v>6.8872466775228167</v>
      </c>
      <c r="K56" s="1"/>
    </row>
  </sheetData>
  <mergeCells count="7">
    <mergeCell ref="H18:H23"/>
    <mergeCell ref="J18:J23"/>
    <mergeCell ref="B2:F2"/>
    <mergeCell ref="H6:H9"/>
    <mergeCell ref="J6:J9"/>
    <mergeCell ref="H10:H15"/>
    <mergeCell ref="J10:J15"/>
  </mergeCells>
  <pageMargins left="0.7" right="0.7" top="0.75" bottom="0.75" header="0.3" footer="0.3"/>
</worksheet>
</file>

<file path=xl/worksheets/sheet140.xml><?xml version="1.0" encoding="utf-8"?>
<worksheet xmlns="http://schemas.openxmlformats.org/spreadsheetml/2006/main" xmlns:r="http://schemas.openxmlformats.org/officeDocument/2006/relationships">
  <sheetPr codeName="Sheet119">
    <tabColor theme="1" tint="4.9989318521683403E-2"/>
  </sheetPr>
  <dimension ref="A1:C38"/>
  <sheetViews>
    <sheetView showGridLines="0" workbookViewId="0">
      <selection activeCell="B23" activeCellId="1" sqref="B57 B23"/>
    </sheetView>
  </sheetViews>
  <sheetFormatPr defaultRowHeight="15"/>
  <cols>
    <col min="1" max="1" width="46.5703125" style="3475" customWidth="1"/>
    <col min="2" max="2" width="46.5703125" style="3501" customWidth="1"/>
    <col min="3" max="3" width="39.28515625" style="3501" customWidth="1"/>
    <col min="4" max="4" width="32" style="3475" customWidth="1"/>
    <col min="5" max="256" width="9.140625" style="3475"/>
    <col min="257" max="258" width="46.5703125" style="3475" customWidth="1"/>
    <col min="259" max="259" width="39.28515625" style="3475" customWidth="1"/>
    <col min="260" max="260" width="32" style="3475" customWidth="1"/>
    <col min="261" max="512" width="9.140625" style="3475"/>
    <col min="513" max="514" width="46.5703125" style="3475" customWidth="1"/>
    <col min="515" max="515" width="39.28515625" style="3475" customWidth="1"/>
    <col min="516" max="516" width="32" style="3475" customWidth="1"/>
    <col min="517" max="768" width="9.140625" style="3475"/>
    <col min="769" max="770" width="46.5703125" style="3475" customWidth="1"/>
    <col min="771" max="771" width="39.28515625" style="3475" customWidth="1"/>
    <col min="772" max="772" width="32" style="3475" customWidth="1"/>
    <col min="773" max="1024" width="9.140625" style="3475"/>
    <col min="1025" max="1026" width="46.5703125" style="3475" customWidth="1"/>
    <col min="1027" max="1027" width="39.28515625" style="3475" customWidth="1"/>
    <col min="1028" max="1028" width="32" style="3475" customWidth="1"/>
    <col min="1029" max="1280" width="9.140625" style="3475"/>
    <col min="1281" max="1282" width="46.5703125" style="3475" customWidth="1"/>
    <col min="1283" max="1283" width="39.28515625" style="3475" customWidth="1"/>
    <col min="1284" max="1284" width="32" style="3475" customWidth="1"/>
    <col min="1285" max="1536" width="9.140625" style="3475"/>
    <col min="1537" max="1538" width="46.5703125" style="3475" customWidth="1"/>
    <col min="1539" max="1539" width="39.28515625" style="3475" customWidth="1"/>
    <col min="1540" max="1540" width="32" style="3475" customWidth="1"/>
    <col min="1541" max="1792" width="9.140625" style="3475"/>
    <col min="1793" max="1794" width="46.5703125" style="3475" customWidth="1"/>
    <col min="1795" max="1795" width="39.28515625" style="3475" customWidth="1"/>
    <col min="1796" max="1796" width="32" style="3475" customWidth="1"/>
    <col min="1797" max="2048" width="9.140625" style="3475"/>
    <col min="2049" max="2050" width="46.5703125" style="3475" customWidth="1"/>
    <col min="2051" max="2051" width="39.28515625" style="3475" customWidth="1"/>
    <col min="2052" max="2052" width="32" style="3475" customWidth="1"/>
    <col min="2053" max="2304" width="9.140625" style="3475"/>
    <col min="2305" max="2306" width="46.5703125" style="3475" customWidth="1"/>
    <col min="2307" max="2307" width="39.28515625" style="3475" customWidth="1"/>
    <col min="2308" max="2308" width="32" style="3475" customWidth="1"/>
    <col min="2309" max="2560" width="9.140625" style="3475"/>
    <col min="2561" max="2562" width="46.5703125" style="3475" customWidth="1"/>
    <col min="2563" max="2563" width="39.28515625" style="3475" customWidth="1"/>
    <col min="2564" max="2564" width="32" style="3475" customWidth="1"/>
    <col min="2565" max="2816" width="9.140625" style="3475"/>
    <col min="2817" max="2818" width="46.5703125" style="3475" customWidth="1"/>
    <col min="2819" max="2819" width="39.28515625" style="3475" customWidth="1"/>
    <col min="2820" max="2820" width="32" style="3475" customWidth="1"/>
    <col min="2821" max="3072" width="9.140625" style="3475"/>
    <col min="3073" max="3074" width="46.5703125" style="3475" customWidth="1"/>
    <col min="3075" max="3075" width="39.28515625" style="3475" customWidth="1"/>
    <col min="3076" max="3076" width="32" style="3475" customWidth="1"/>
    <col min="3077" max="3328" width="9.140625" style="3475"/>
    <col min="3329" max="3330" width="46.5703125" style="3475" customWidth="1"/>
    <col min="3331" max="3331" width="39.28515625" style="3475" customWidth="1"/>
    <col min="3332" max="3332" width="32" style="3475" customWidth="1"/>
    <col min="3333" max="3584" width="9.140625" style="3475"/>
    <col min="3585" max="3586" width="46.5703125" style="3475" customWidth="1"/>
    <col min="3587" max="3587" width="39.28515625" style="3475" customWidth="1"/>
    <col min="3588" max="3588" width="32" style="3475" customWidth="1"/>
    <col min="3589" max="3840" width="9.140625" style="3475"/>
    <col min="3841" max="3842" width="46.5703125" style="3475" customWidth="1"/>
    <col min="3843" max="3843" width="39.28515625" style="3475" customWidth="1"/>
    <col min="3844" max="3844" width="32" style="3475" customWidth="1"/>
    <col min="3845" max="4096" width="9.140625" style="3475"/>
    <col min="4097" max="4098" width="46.5703125" style="3475" customWidth="1"/>
    <col min="4099" max="4099" width="39.28515625" style="3475" customWidth="1"/>
    <col min="4100" max="4100" width="32" style="3475" customWidth="1"/>
    <col min="4101" max="4352" width="9.140625" style="3475"/>
    <col min="4353" max="4354" width="46.5703125" style="3475" customWidth="1"/>
    <col min="4355" max="4355" width="39.28515625" style="3475" customWidth="1"/>
    <col min="4356" max="4356" width="32" style="3475" customWidth="1"/>
    <col min="4357" max="4608" width="9.140625" style="3475"/>
    <col min="4609" max="4610" width="46.5703125" style="3475" customWidth="1"/>
    <col min="4611" max="4611" width="39.28515625" style="3475" customWidth="1"/>
    <col min="4612" max="4612" width="32" style="3475" customWidth="1"/>
    <col min="4613" max="4864" width="9.140625" style="3475"/>
    <col min="4865" max="4866" width="46.5703125" style="3475" customWidth="1"/>
    <col min="4867" max="4867" width="39.28515625" style="3475" customWidth="1"/>
    <col min="4868" max="4868" width="32" style="3475" customWidth="1"/>
    <col min="4869" max="5120" width="9.140625" style="3475"/>
    <col min="5121" max="5122" width="46.5703125" style="3475" customWidth="1"/>
    <col min="5123" max="5123" width="39.28515625" style="3475" customWidth="1"/>
    <col min="5124" max="5124" width="32" style="3475" customWidth="1"/>
    <col min="5125" max="5376" width="9.140625" style="3475"/>
    <col min="5377" max="5378" width="46.5703125" style="3475" customWidth="1"/>
    <col min="5379" max="5379" width="39.28515625" style="3475" customWidth="1"/>
    <col min="5380" max="5380" width="32" style="3475" customWidth="1"/>
    <col min="5381" max="5632" width="9.140625" style="3475"/>
    <col min="5633" max="5634" width="46.5703125" style="3475" customWidth="1"/>
    <col min="5635" max="5635" width="39.28515625" style="3475" customWidth="1"/>
    <col min="5636" max="5636" width="32" style="3475" customWidth="1"/>
    <col min="5637" max="5888" width="9.140625" style="3475"/>
    <col min="5889" max="5890" width="46.5703125" style="3475" customWidth="1"/>
    <col min="5891" max="5891" width="39.28515625" style="3475" customWidth="1"/>
    <col min="5892" max="5892" width="32" style="3475" customWidth="1"/>
    <col min="5893" max="6144" width="9.140625" style="3475"/>
    <col min="6145" max="6146" width="46.5703125" style="3475" customWidth="1"/>
    <col min="6147" max="6147" width="39.28515625" style="3475" customWidth="1"/>
    <col min="6148" max="6148" width="32" style="3475" customWidth="1"/>
    <col min="6149" max="6400" width="9.140625" style="3475"/>
    <col min="6401" max="6402" width="46.5703125" style="3475" customWidth="1"/>
    <col min="6403" max="6403" width="39.28515625" style="3475" customWidth="1"/>
    <col min="6404" max="6404" width="32" style="3475" customWidth="1"/>
    <col min="6405" max="6656" width="9.140625" style="3475"/>
    <col min="6657" max="6658" width="46.5703125" style="3475" customWidth="1"/>
    <col min="6659" max="6659" width="39.28515625" style="3475" customWidth="1"/>
    <col min="6660" max="6660" width="32" style="3475" customWidth="1"/>
    <col min="6661" max="6912" width="9.140625" style="3475"/>
    <col min="6913" max="6914" width="46.5703125" style="3475" customWidth="1"/>
    <col min="6915" max="6915" width="39.28515625" style="3475" customWidth="1"/>
    <col min="6916" max="6916" width="32" style="3475" customWidth="1"/>
    <col min="6917" max="7168" width="9.140625" style="3475"/>
    <col min="7169" max="7170" width="46.5703125" style="3475" customWidth="1"/>
    <col min="7171" max="7171" width="39.28515625" style="3475" customWidth="1"/>
    <col min="7172" max="7172" width="32" style="3475" customWidth="1"/>
    <col min="7173" max="7424" width="9.140625" style="3475"/>
    <col min="7425" max="7426" width="46.5703125" style="3475" customWidth="1"/>
    <col min="7427" max="7427" width="39.28515625" style="3475" customWidth="1"/>
    <col min="7428" max="7428" width="32" style="3475" customWidth="1"/>
    <col min="7429" max="7680" width="9.140625" style="3475"/>
    <col min="7681" max="7682" width="46.5703125" style="3475" customWidth="1"/>
    <col min="7683" max="7683" width="39.28515625" style="3475" customWidth="1"/>
    <col min="7684" max="7684" width="32" style="3475" customWidth="1"/>
    <col min="7685" max="7936" width="9.140625" style="3475"/>
    <col min="7937" max="7938" width="46.5703125" style="3475" customWidth="1"/>
    <col min="7939" max="7939" width="39.28515625" style="3475" customWidth="1"/>
    <col min="7940" max="7940" width="32" style="3475" customWidth="1"/>
    <col min="7941" max="8192" width="9.140625" style="3475"/>
    <col min="8193" max="8194" width="46.5703125" style="3475" customWidth="1"/>
    <col min="8195" max="8195" width="39.28515625" style="3475" customWidth="1"/>
    <col min="8196" max="8196" width="32" style="3475" customWidth="1"/>
    <col min="8197" max="8448" width="9.140625" style="3475"/>
    <col min="8449" max="8450" width="46.5703125" style="3475" customWidth="1"/>
    <col min="8451" max="8451" width="39.28515625" style="3475" customWidth="1"/>
    <col min="8452" max="8452" width="32" style="3475" customWidth="1"/>
    <col min="8453" max="8704" width="9.140625" style="3475"/>
    <col min="8705" max="8706" width="46.5703125" style="3475" customWidth="1"/>
    <col min="8707" max="8707" width="39.28515625" style="3475" customWidth="1"/>
    <col min="8708" max="8708" width="32" style="3475" customWidth="1"/>
    <col min="8709" max="8960" width="9.140625" style="3475"/>
    <col min="8961" max="8962" width="46.5703125" style="3475" customWidth="1"/>
    <col min="8963" max="8963" width="39.28515625" style="3475" customWidth="1"/>
    <col min="8964" max="8964" width="32" style="3475" customWidth="1"/>
    <col min="8965" max="9216" width="9.140625" style="3475"/>
    <col min="9217" max="9218" width="46.5703125" style="3475" customWidth="1"/>
    <col min="9219" max="9219" width="39.28515625" style="3475" customWidth="1"/>
    <col min="9220" max="9220" width="32" style="3475" customWidth="1"/>
    <col min="9221" max="9472" width="9.140625" style="3475"/>
    <col min="9473" max="9474" width="46.5703125" style="3475" customWidth="1"/>
    <col min="9475" max="9475" width="39.28515625" style="3475" customWidth="1"/>
    <col min="9476" max="9476" width="32" style="3475" customWidth="1"/>
    <col min="9477" max="9728" width="9.140625" style="3475"/>
    <col min="9729" max="9730" width="46.5703125" style="3475" customWidth="1"/>
    <col min="9731" max="9731" width="39.28515625" style="3475" customWidth="1"/>
    <col min="9732" max="9732" width="32" style="3475" customWidth="1"/>
    <col min="9733" max="9984" width="9.140625" style="3475"/>
    <col min="9985" max="9986" width="46.5703125" style="3475" customWidth="1"/>
    <col min="9987" max="9987" width="39.28515625" style="3475" customWidth="1"/>
    <col min="9988" max="9988" width="32" style="3475" customWidth="1"/>
    <col min="9989" max="10240" width="9.140625" style="3475"/>
    <col min="10241" max="10242" width="46.5703125" style="3475" customWidth="1"/>
    <col min="10243" max="10243" width="39.28515625" style="3475" customWidth="1"/>
    <col min="10244" max="10244" width="32" style="3475" customWidth="1"/>
    <col min="10245" max="10496" width="9.140625" style="3475"/>
    <col min="10497" max="10498" width="46.5703125" style="3475" customWidth="1"/>
    <col min="10499" max="10499" width="39.28515625" style="3475" customWidth="1"/>
    <col min="10500" max="10500" width="32" style="3475" customWidth="1"/>
    <col min="10501" max="10752" width="9.140625" style="3475"/>
    <col min="10753" max="10754" width="46.5703125" style="3475" customWidth="1"/>
    <col min="10755" max="10755" width="39.28515625" style="3475" customWidth="1"/>
    <col min="10756" max="10756" width="32" style="3475" customWidth="1"/>
    <col min="10757" max="11008" width="9.140625" style="3475"/>
    <col min="11009" max="11010" width="46.5703125" style="3475" customWidth="1"/>
    <col min="11011" max="11011" width="39.28515625" style="3475" customWidth="1"/>
    <col min="11012" max="11012" width="32" style="3475" customWidth="1"/>
    <col min="11013" max="11264" width="9.140625" style="3475"/>
    <col min="11265" max="11266" width="46.5703125" style="3475" customWidth="1"/>
    <col min="11267" max="11267" width="39.28515625" style="3475" customWidth="1"/>
    <col min="11268" max="11268" width="32" style="3475" customWidth="1"/>
    <col min="11269" max="11520" width="9.140625" style="3475"/>
    <col min="11521" max="11522" width="46.5703125" style="3475" customWidth="1"/>
    <col min="11523" max="11523" width="39.28515625" style="3475" customWidth="1"/>
    <col min="11524" max="11524" width="32" style="3475" customWidth="1"/>
    <col min="11525" max="11776" width="9.140625" style="3475"/>
    <col min="11777" max="11778" width="46.5703125" style="3475" customWidth="1"/>
    <col min="11779" max="11779" width="39.28515625" style="3475" customWidth="1"/>
    <col min="11780" max="11780" width="32" style="3475" customWidth="1"/>
    <col min="11781" max="12032" width="9.140625" style="3475"/>
    <col min="12033" max="12034" width="46.5703125" style="3475" customWidth="1"/>
    <col min="12035" max="12035" width="39.28515625" style="3475" customWidth="1"/>
    <col min="12036" max="12036" width="32" style="3475" customWidth="1"/>
    <col min="12037" max="12288" width="9.140625" style="3475"/>
    <col min="12289" max="12290" width="46.5703125" style="3475" customWidth="1"/>
    <col min="12291" max="12291" width="39.28515625" style="3475" customWidth="1"/>
    <col min="12292" max="12292" width="32" style="3475" customWidth="1"/>
    <col min="12293" max="12544" width="9.140625" style="3475"/>
    <col min="12545" max="12546" width="46.5703125" style="3475" customWidth="1"/>
    <col min="12547" max="12547" width="39.28515625" style="3475" customWidth="1"/>
    <col min="12548" max="12548" width="32" style="3475" customWidth="1"/>
    <col min="12549" max="12800" width="9.140625" style="3475"/>
    <col min="12801" max="12802" width="46.5703125" style="3475" customWidth="1"/>
    <col min="12803" max="12803" width="39.28515625" style="3475" customWidth="1"/>
    <col min="12804" max="12804" width="32" style="3475" customWidth="1"/>
    <col min="12805" max="13056" width="9.140625" style="3475"/>
    <col min="13057" max="13058" width="46.5703125" style="3475" customWidth="1"/>
    <col min="13059" max="13059" width="39.28515625" style="3475" customWidth="1"/>
    <col min="13060" max="13060" width="32" style="3475" customWidth="1"/>
    <col min="13061" max="13312" width="9.140625" style="3475"/>
    <col min="13313" max="13314" width="46.5703125" style="3475" customWidth="1"/>
    <col min="13315" max="13315" width="39.28515625" style="3475" customWidth="1"/>
    <col min="13316" max="13316" width="32" style="3475" customWidth="1"/>
    <col min="13317" max="13568" width="9.140625" style="3475"/>
    <col min="13569" max="13570" width="46.5703125" style="3475" customWidth="1"/>
    <col min="13571" max="13571" width="39.28515625" style="3475" customWidth="1"/>
    <col min="13572" max="13572" width="32" style="3475" customWidth="1"/>
    <col min="13573" max="13824" width="9.140625" style="3475"/>
    <col min="13825" max="13826" width="46.5703125" style="3475" customWidth="1"/>
    <col min="13827" max="13827" width="39.28515625" style="3475" customWidth="1"/>
    <col min="13828" max="13828" width="32" style="3475" customWidth="1"/>
    <col min="13829" max="14080" width="9.140625" style="3475"/>
    <col min="14081" max="14082" width="46.5703125" style="3475" customWidth="1"/>
    <col min="14083" max="14083" width="39.28515625" style="3475" customWidth="1"/>
    <col min="14084" max="14084" width="32" style="3475" customWidth="1"/>
    <col min="14085" max="14336" width="9.140625" style="3475"/>
    <col min="14337" max="14338" width="46.5703125" style="3475" customWidth="1"/>
    <col min="14339" max="14339" width="39.28515625" style="3475" customWidth="1"/>
    <col min="14340" max="14340" width="32" style="3475" customWidth="1"/>
    <col min="14341" max="14592" width="9.140625" style="3475"/>
    <col min="14593" max="14594" width="46.5703125" style="3475" customWidth="1"/>
    <col min="14595" max="14595" width="39.28515625" style="3475" customWidth="1"/>
    <col min="14596" max="14596" width="32" style="3475" customWidth="1"/>
    <col min="14597" max="14848" width="9.140625" style="3475"/>
    <col min="14849" max="14850" width="46.5703125" style="3475" customWidth="1"/>
    <col min="14851" max="14851" width="39.28515625" style="3475" customWidth="1"/>
    <col min="14852" max="14852" width="32" style="3475" customWidth="1"/>
    <col min="14853" max="15104" width="9.140625" style="3475"/>
    <col min="15105" max="15106" width="46.5703125" style="3475" customWidth="1"/>
    <col min="15107" max="15107" width="39.28515625" style="3475" customWidth="1"/>
    <col min="15108" max="15108" width="32" style="3475" customWidth="1"/>
    <col min="15109" max="15360" width="9.140625" style="3475"/>
    <col min="15361" max="15362" width="46.5703125" style="3475" customWidth="1"/>
    <col min="15363" max="15363" width="39.28515625" style="3475" customWidth="1"/>
    <col min="15364" max="15364" width="32" style="3475" customWidth="1"/>
    <col min="15365" max="15616" width="9.140625" style="3475"/>
    <col min="15617" max="15618" width="46.5703125" style="3475" customWidth="1"/>
    <col min="15619" max="15619" width="39.28515625" style="3475" customWidth="1"/>
    <col min="15620" max="15620" width="32" style="3475" customWidth="1"/>
    <col min="15621" max="15872" width="9.140625" style="3475"/>
    <col min="15873" max="15874" width="46.5703125" style="3475" customWidth="1"/>
    <col min="15875" max="15875" width="39.28515625" style="3475" customWidth="1"/>
    <col min="15876" max="15876" width="32" style="3475" customWidth="1"/>
    <col min="15877" max="16128" width="9.140625" style="3475"/>
    <col min="16129" max="16130" width="46.5703125" style="3475" customWidth="1"/>
    <col min="16131" max="16131" width="39.28515625" style="3475" customWidth="1"/>
    <col min="16132" max="16132" width="32" style="3475" customWidth="1"/>
    <col min="16133" max="16384" width="9.140625" style="3475"/>
  </cols>
  <sheetData>
    <row r="1" spans="1:3">
      <c r="A1" s="6374" t="s">
        <v>2856</v>
      </c>
      <c r="B1" s="6375"/>
      <c r="C1" s="6376"/>
    </row>
    <row r="3" spans="1:3">
      <c r="A3" s="3476" t="s">
        <v>2066</v>
      </c>
      <c r="B3" s="3497" t="s">
        <v>2857</v>
      </c>
      <c r="C3" s="3497" t="s">
        <v>2858</v>
      </c>
    </row>
    <row r="4" spans="1:3">
      <c r="A4" s="3477" t="s">
        <v>1097</v>
      </c>
      <c r="B4" s="3498">
        <f>[118]LAND!Q10</f>
        <v>0</v>
      </c>
      <c r="C4" s="3498">
        <f>[118]LAND!R10</f>
        <v>0</v>
      </c>
    </row>
    <row r="5" spans="1:3">
      <c r="A5" s="3478" t="s">
        <v>2089</v>
      </c>
      <c r="B5" s="3498">
        <f>[118]BLDG!Q76</f>
        <v>183228906.67139998</v>
      </c>
      <c r="C5" s="3498">
        <f>[118]BLDG!R76</f>
        <v>212432479.17019996</v>
      </c>
    </row>
    <row r="6" spans="1:3">
      <c r="A6" s="3478" t="s">
        <v>2094</v>
      </c>
      <c r="B6" s="3498">
        <f>'[118]Bldg cash coll port chky'!Q21</f>
        <v>56084.969799999992</v>
      </c>
      <c r="C6" s="3498">
        <f>'[118]Bldg cash coll port chky'!R21</f>
        <v>80873.744600000005</v>
      </c>
    </row>
    <row r="7" spans="1:3">
      <c r="A7" s="3477" t="s">
        <v>1098</v>
      </c>
      <c r="B7" s="3499">
        <f>SUM(B5:B6)</f>
        <v>183284991.64119998</v>
      </c>
      <c r="C7" s="3499">
        <f>SUM(C5:C6)</f>
        <v>212513352.91479996</v>
      </c>
    </row>
    <row r="8" spans="1:3">
      <c r="A8" s="3478" t="s">
        <v>2095</v>
      </c>
      <c r="B8" s="3498">
        <f>'[118]BUSINESS PROC AUTO'!Q12</f>
        <v>160054908.30000001</v>
      </c>
      <c r="C8" s="3498">
        <f>'[118]BUSINESS PROC AUTO'!R12</f>
        <v>227062574.40000001</v>
      </c>
    </row>
    <row r="9" spans="1:3">
      <c r="A9" s="3478" t="s">
        <v>2096</v>
      </c>
      <c r="B9" s="3498">
        <f>[118]SWICHGR!Q58</f>
        <v>1204989518.1336</v>
      </c>
      <c r="C9" s="3498">
        <f>[118]SWICHGR!R58</f>
        <v>2185948169.1143999</v>
      </c>
    </row>
    <row r="10" spans="1:3">
      <c r="A10" s="3478" t="s">
        <v>1951</v>
      </c>
      <c r="B10" s="3498">
        <f>[118]Transformer!Q74</f>
        <v>845598908.52534389</v>
      </c>
      <c r="C10" s="3498">
        <f>[118]Transformer!R74</f>
        <v>1014143678.80674</v>
      </c>
    </row>
    <row r="11" spans="1:3">
      <c r="A11" s="3478" t="s">
        <v>2097</v>
      </c>
      <c r="B11" s="3498">
        <f>[118]Scada!Q21</f>
        <v>52208222.024999999</v>
      </c>
      <c r="C11" s="3498">
        <f>[118]Scada!R21</f>
        <v>219747312.52500001</v>
      </c>
    </row>
    <row r="12" spans="1:3">
      <c r="A12" s="3478" t="s">
        <v>1953</v>
      </c>
      <c r="B12" s="3498">
        <f>[118]Batteries!Q33</f>
        <v>6651701.9327999996</v>
      </c>
      <c r="C12" s="3498">
        <f>[118]Batteries!R33</f>
        <v>38316368.018400006</v>
      </c>
    </row>
    <row r="13" spans="1:3">
      <c r="A13" s="3478" t="s">
        <v>2098</v>
      </c>
      <c r="B13" s="3498">
        <f>[118]Capacitors!Q39</f>
        <v>29538350.194800001</v>
      </c>
      <c r="C13" s="3498">
        <f>[118]Capacitors!R39</f>
        <v>45600142.809600003</v>
      </c>
    </row>
    <row r="14" spans="1:3">
      <c r="A14" s="3477" t="s">
        <v>1106</v>
      </c>
      <c r="B14" s="3499">
        <f>SUM(B8:B13)</f>
        <v>2299041609.1115437</v>
      </c>
      <c r="C14" s="3499">
        <f>SUM(C8:C13)</f>
        <v>3730818245.6741405</v>
      </c>
    </row>
    <row r="15" spans="1:3">
      <c r="A15" s="3478" t="s">
        <v>2099</v>
      </c>
      <c r="B15" s="3498">
        <f>'[118]CABLE &amp; MAINS'!Q61</f>
        <v>1415468130.6014998</v>
      </c>
      <c r="C15" s="3498">
        <f>'[118]CABLE &amp; MAINS'!R61</f>
        <v>1782399889.7351999</v>
      </c>
    </row>
    <row r="16" spans="1:3">
      <c r="A16" s="3478" t="s">
        <v>2100</v>
      </c>
      <c r="B16" s="3498">
        <f>'[118]DIST PILLARS'!Q33</f>
        <v>71978017.009799987</v>
      </c>
      <c r="C16" s="3498">
        <f>'[118]DIST PILLARS'!R33</f>
        <v>95117079.070799991</v>
      </c>
    </row>
    <row r="17" spans="1:3">
      <c r="A17" s="3477" t="s">
        <v>2099</v>
      </c>
      <c r="B17" s="3499">
        <f>SUM(B15:B16)</f>
        <v>1487446147.6112998</v>
      </c>
      <c r="C17" s="3499">
        <f>SUM(C15:C16)</f>
        <v>1877516968.806</v>
      </c>
    </row>
    <row r="18" spans="1:3">
      <c r="A18" s="3478" t="s">
        <v>2101</v>
      </c>
      <c r="B18" s="3498">
        <f>'[118]METERS CONVN'!Q35</f>
        <v>190923861.34559998</v>
      </c>
      <c r="C18" s="3498">
        <f>'[118]METERS CONVN'!R35</f>
        <v>521560377.81120008</v>
      </c>
    </row>
    <row r="19" spans="1:3">
      <c r="A19" s="3478" t="s">
        <v>2102</v>
      </c>
      <c r="B19" s="3498">
        <f>'[118]METERS ELECT'!Q26</f>
        <v>474358811.6624999</v>
      </c>
      <c r="C19" s="3498">
        <f>'[118]METERS ELECT'!R26</f>
        <v>607259206.005</v>
      </c>
    </row>
    <row r="20" spans="1:3">
      <c r="A20" s="3477" t="s">
        <v>1108</v>
      </c>
      <c r="B20" s="3499">
        <f>SUM(B18:B19)</f>
        <v>665282673.00809991</v>
      </c>
      <c r="C20" s="3499">
        <f>SUM(C18:C19)</f>
        <v>1128819583.8162</v>
      </c>
    </row>
    <row r="21" spans="1:3">
      <c r="A21" s="3477" t="s">
        <v>1109</v>
      </c>
      <c r="B21" s="3499">
        <f>'[118]ST LTG LAMPS'!Q51</f>
        <v>138984537.86160001</v>
      </c>
      <c r="C21" s="3499">
        <f>'[118]ST LTG LAMPS'!R51</f>
        <v>321596034.57120013</v>
      </c>
    </row>
    <row r="22" spans="1:3">
      <c r="A22" s="3477" t="s">
        <v>2103</v>
      </c>
      <c r="B22" s="3499">
        <f>'[118]DEA on hire'!Q36</f>
        <v>0</v>
      </c>
      <c r="C22" s="3499">
        <f>'[118]DEA on hire'!R36</f>
        <v>419180.4</v>
      </c>
    </row>
    <row r="23" spans="1:3">
      <c r="A23" s="3477" t="s">
        <v>1099</v>
      </c>
      <c r="B23" s="3499">
        <f>'[118]Motor vehicle'!Q42</f>
        <v>36426906.449999996</v>
      </c>
      <c r="C23" s="3499">
        <f>'[118]Motor vehicle'!R42</f>
        <v>95498876.137500018</v>
      </c>
    </row>
    <row r="24" spans="1:3">
      <c r="A24" s="3478" t="s">
        <v>1956</v>
      </c>
      <c r="B24" s="3498">
        <f>'[118]Mach Tools'!Q68</f>
        <v>55369222.5704</v>
      </c>
      <c r="C24" s="3498">
        <f>'[118]Mach Tools'!R68</f>
        <v>91298882.044400021</v>
      </c>
    </row>
    <row r="25" spans="1:3">
      <c r="A25" s="3478" t="s">
        <v>2104</v>
      </c>
      <c r="B25" s="3498">
        <f>'[118]Electonic Eqp sep M.T.'!Q31</f>
        <v>3563729.3249999997</v>
      </c>
      <c r="C25" s="3498">
        <f>'[118]Electonic Eqp sep M.T.'!R31</f>
        <v>13128516.075000001</v>
      </c>
    </row>
    <row r="26" spans="1:3">
      <c r="A26" s="3478" t="s">
        <v>2105</v>
      </c>
      <c r="B26" s="3498">
        <f>'[118]Loose Tools'!Q42</f>
        <v>0</v>
      </c>
      <c r="C26" s="3498">
        <f>'[118]Loose Tools'!R42</f>
        <v>2567264.3999999994</v>
      </c>
    </row>
    <row r="27" spans="1:3">
      <c r="A27" s="3477" t="s">
        <v>1102</v>
      </c>
      <c r="B27" s="3499">
        <f>SUM(B24:B26)</f>
        <v>58932951.895400003</v>
      </c>
      <c r="C27" s="3499">
        <f>SUM(C24:C26)</f>
        <v>106994662.51940003</v>
      </c>
    </row>
    <row r="28" spans="1:3">
      <c r="A28" s="3478"/>
      <c r="B28" s="3500"/>
      <c r="C28" s="3502"/>
    </row>
    <row r="29" spans="1:3">
      <c r="A29" s="3478" t="s">
        <v>1958</v>
      </c>
      <c r="B29" s="3498">
        <f>'[118]Furniture '!Q47</f>
        <v>9900421.111200003</v>
      </c>
      <c r="C29" s="3498">
        <f>'[118]Furniture '!R47</f>
        <v>12179890.096799998</v>
      </c>
    </row>
    <row r="30" spans="1:3">
      <c r="A30" s="3478" t="s">
        <v>2090</v>
      </c>
      <c r="B30" s="3498">
        <f>'[118]Room A.C.'!Q33</f>
        <v>948857.73499999999</v>
      </c>
      <c r="C30" s="3498">
        <f>'[118]Room A.C.'!R33</f>
        <v>15535935.545000004</v>
      </c>
    </row>
    <row r="31" spans="1:3">
      <c r="A31" s="3478" t="s">
        <v>2091</v>
      </c>
      <c r="B31" s="3498">
        <f>[118]P.C.!Q28</f>
        <v>40657922.100000001</v>
      </c>
      <c r="C31" s="3498">
        <f>[118]P.C.!R28</f>
        <v>117516386.10000001</v>
      </c>
    </row>
    <row r="32" spans="1:3">
      <c r="A32" s="3478" t="s">
        <v>2106</v>
      </c>
      <c r="B32" s="3498">
        <f>'[118]Electronic Eqip.OE'!Q32</f>
        <v>7865462.7749999994</v>
      </c>
      <c r="C32" s="3498">
        <f>'[118]Electronic Eqip.OE'!R32</f>
        <v>13481389.574999999</v>
      </c>
    </row>
    <row r="33" spans="1:3">
      <c r="A33" s="3478" t="s">
        <v>2107</v>
      </c>
      <c r="B33" s="3498">
        <f>'[118]Cyclostyle mach'!Q25</f>
        <v>422140.14</v>
      </c>
      <c r="C33" s="3498">
        <f>'[118]Cyclostyle mach'!R25</f>
        <v>936436.05</v>
      </c>
    </row>
    <row r="34" spans="1:3">
      <c r="A34" s="3478" t="s">
        <v>2108</v>
      </c>
      <c r="B34" s="3498">
        <f>'[118]Office Equip'!Q53</f>
        <v>6592573.2574000005</v>
      </c>
      <c r="C34" s="3498">
        <f>'[118]Office Equip'!R53</f>
        <v>9494640.6593000013</v>
      </c>
    </row>
    <row r="35" spans="1:3">
      <c r="A35" s="3477" t="s">
        <v>1101</v>
      </c>
      <c r="B35" s="3499">
        <f>SUM(B29:B34)</f>
        <v>66387377.118600003</v>
      </c>
      <c r="C35" s="3499">
        <f>SUM(C29:C34)</f>
        <v>169144678.02610001</v>
      </c>
    </row>
    <row r="36" spans="1:3">
      <c r="A36" s="3478"/>
      <c r="B36" s="3500"/>
      <c r="C36" s="3502"/>
    </row>
    <row r="37" spans="1:3" ht="15.75" thickBot="1">
      <c r="A37" s="3479" t="s">
        <v>2092</v>
      </c>
      <c r="B37" s="3499">
        <f>SUM(B35,B27,B20:B23,B17,B14,B7,B4)</f>
        <v>4935787194.6977434</v>
      </c>
      <c r="C37" s="3499">
        <f>SUM(C35,C27,C20:C23,C17,C14,C7,C4)</f>
        <v>7643321582.8653402</v>
      </c>
    </row>
    <row r="38" spans="1:3" ht="15.75" thickTop="1"/>
  </sheetData>
  <mergeCells count="1">
    <mergeCell ref="A1:C1"/>
  </mergeCells>
  <pageMargins left="0.7" right="0.7" top="0.75" bottom="0.75" header="0.3" footer="0.3"/>
  <pageSetup paperSize="9" orientation="portrait" verticalDpi="0" r:id="rId1"/>
</worksheet>
</file>

<file path=xl/worksheets/sheet141.xml><?xml version="1.0" encoding="utf-8"?>
<worksheet xmlns="http://schemas.openxmlformats.org/spreadsheetml/2006/main" xmlns:r="http://schemas.openxmlformats.org/officeDocument/2006/relationships">
  <sheetPr codeName="Sheet120">
    <tabColor theme="1" tint="4.9989318521683403E-2"/>
    <pageSetUpPr fitToPage="1"/>
  </sheetPr>
  <dimension ref="A1:O78"/>
  <sheetViews>
    <sheetView showGridLines="0" topLeftCell="A19" zoomScale="70" zoomScaleNormal="70" workbookViewId="0">
      <selection activeCell="A37" sqref="A37:XFD37"/>
    </sheetView>
  </sheetViews>
  <sheetFormatPr defaultRowHeight="15"/>
  <cols>
    <col min="1" max="1" width="3.28515625" style="1013" customWidth="1"/>
    <col min="2" max="2" width="56.28515625" style="1013" customWidth="1"/>
    <col min="3" max="3" width="17.85546875" style="1013" customWidth="1"/>
    <col min="4" max="4" width="2.5703125" style="1013" customWidth="1"/>
    <col min="5" max="5" width="15.42578125" style="1013" customWidth="1"/>
    <col min="6" max="6" width="22.5703125" style="1013" customWidth="1"/>
    <col min="7" max="7" width="18.28515625" style="1013" customWidth="1"/>
    <col min="8" max="8" width="11.7109375" style="1013" customWidth="1"/>
    <col min="9" max="9" width="19.7109375" style="1013" customWidth="1"/>
    <col min="10" max="10" width="19.42578125" style="1013" customWidth="1"/>
    <col min="11" max="11" width="20.28515625" style="1013" customWidth="1"/>
    <col min="12" max="12" width="1.28515625" style="1013" customWidth="1"/>
    <col min="13" max="13" width="12.140625" style="1013" bestFit="1" customWidth="1"/>
    <col min="14" max="14" width="10.5703125" style="1013" bestFit="1" customWidth="1"/>
    <col min="15" max="15" width="12.140625" style="1013" bestFit="1" customWidth="1"/>
    <col min="16" max="256" width="9.140625" style="1013"/>
    <col min="257" max="257" width="3.28515625" style="1013" customWidth="1"/>
    <col min="258" max="258" width="56.28515625" style="1013" customWidth="1"/>
    <col min="259" max="259" width="17.85546875" style="1013" customWidth="1"/>
    <col min="260" max="260" width="2.5703125" style="1013" customWidth="1"/>
    <col min="261" max="261" width="15.42578125" style="1013" customWidth="1"/>
    <col min="262" max="262" width="22.5703125" style="1013" customWidth="1"/>
    <col min="263" max="263" width="18.28515625" style="1013" customWidth="1"/>
    <col min="264" max="264" width="11.7109375" style="1013" customWidth="1"/>
    <col min="265" max="265" width="19.7109375" style="1013" customWidth="1"/>
    <col min="266" max="266" width="19.42578125" style="1013" customWidth="1"/>
    <col min="267" max="267" width="20.28515625" style="1013" customWidth="1"/>
    <col min="268" max="268" width="1.28515625" style="1013" customWidth="1"/>
    <col min="269" max="512" width="9.140625" style="1013"/>
    <col min="513" max="513" width="3.28515625" style="1013" customWidth="1"/>
    <col min="514" max="514" width="56.28515625" style="1013" customWidth="1"/>
    <col min="515" max="515" width="17.85546875" style="1013" customWidth="1"/>
    <col min="516" max="516" width="2.5703125" style="1013" customWidth="1"/>
    <col min="517" max="517" width="15.42578125" style="1013" customWidth="1"/>
    <col min="518" max="518" width="22.5703125" style="1013" customWidth="1"/>
    <col min="519" max="519" width="18.28515625" style="1013" customWidth="1"/>
    <col min="520" max="520" width="11.7109375" style="1013" customWidth="1"/>
    <col min="521" max="521" width="19.7109375" style="1013" customWidth="1"/>
    <col min="522" max="522" width="19.42578125" style="1013" customWidth="1"/>
    <col min="523" max="523" width="20.28515625" style="1013" customWidth="1"/>
    <col min="524" max="524" width="1.28515625" style="1013" customWidth="1"/>
    <col min="525" max="768" width="9.140625" style="1013"/>
    <col min="769" max="769" width="3.28515625" style="1013" customWidth="1"/>
    <col min="770" max="770" width="56.28515625" style="1013" customWidth="1"/>
    <col min="771" max="771" width="17.85546875" style="1013" customWidth="1"/>
    <col min="772" max="772" width="2.5703125" style="1013" customWidth="1"/>
    <col min="773" max="773" width="15.42578125" style="1013" customWidth="1"/>
    <col min="774" max="774" width="22.5703125" style="1013" customWidth="1"/>
    <col min="775" max="775" width="18.28515625" style="1013" customWidth="1"/>
    <col min="776" max="776" width="11.7109375" style="1013" customWidth="1"/>
    <col min="777" max="777" width="19.7109375" style="1013" customWidth="1"/>
    <col min="778" max="778" width="19.42578125" style="1013" customWidth="1"/>
    <col min="779" max="779" width="20.28515625" style="1013" customWidth="1"/>
    <col min="780" max="780" width="1.28515625" style="1013" customWidth="1"/>
    <col min="781" max="1024" width="9.140625" style="1013"/>
    <col min="1025" max="1025" width="3.28515625" style="1013" customWidth="1"/>
    <col min="1026" max="1026" width="56.28515625" style="1013" customWidth="1"/>
    <col min="1027" max="1027" width="17.85546875" style="1013" customWidth="1"/>
    <col min="1028" max="1028" width="2.5703125" style="1013" customWidth="1"/>
    <col min="1029" max="1029" width="15.42578125" style="1013" customWidth="1"/>
    <col min="1030" max="1030" width="22.5703125" style="1013" customWidth="1"/>
    <col min="1031" max="1031" width="18.28515625" style="1013" customWidth="1"/>
    <col min="1032" max="1032" width="11.7109375" style="1013" customWidth="1"/>
    <col min="1033" max="1033" width="19.7109375" style="1013" customWidth="1"/>
    <col min="1034" max="1034" width="19.42578125" style="1013" customWidth="1"/>
    <col min="1035" max="1035" width="20.28515625" style="1013" customWidth="1"/>
    <col min="1036" max="1036" width="1.28515625" style="1013" customWidth="1"/>
    <col min="1037" max="1280" width="9.140625" style="1013"/>
    <col min="1281" max="1281" width="3.28515625" style="1013" customWidth="1"/>
    <col min="1282" max="1282" width="56.28515625" style="1013" customWidth="1"/>
    <col min="1283" max="1283" width="17.85546875" style="1013" customWidth="1"/>
    <col min="1284" max="1284" width="2.5703125" style="1013" customWidth="1"/>
    <col min="1285" max="1285" width="15.42578125" style="1013" customWidth="1"/>
    <col min="1286" max="1286" width="22.5703125" style="1013" customWidth="1"/>
    <col min="1287" max="1287" width="18.28515625" style="1013" customWidth="1"/>
    <col min="1288" max="1288" width="11.7109375" style="1013" customWidth="1"/>
    <col min="1289" max="1289" width="19.7109375" style="1013" customWidth="1"/>
    <col min="1290" max="1290" width="19.42578125" style="1013" customWidth="1"/>
    <col min="1291" max="1291" width="20.28515625" style="1013" customWidth="1"/>
    <col min="1292" max="1292" width="1.28515625" style="1013" customWidth="1"/>
    <col min="1293" max="1536" width="9.140625" style="1013"/>
    <col min="1537" max="1537" width="3.28515625" style="1013" customWidth="1"/>
    <col min="1538" max="1538" width="56.28515625" style="1013" customWidth="1"/>
    <col min="1539" max="1539" width="17.85546875" style="1013" customWidth="1"/>
    <col min="1540" max="1540" width="2.5703125" style="1013" customWidth="1"/>
    <col min="1541" max="1541" width="15.42578125" style="1013" customWidth="1"/>
    <col min="1542" max="1542" width="22.5703125" style="1013" customWidth="1"/>
    <col min="1543" max="1543" width="18.28515625" style="1013" customWidth="1"/>
    <col min="1544" max="1544" width="11.7109375" style="1013" customWidth="1"/>
    <col min="1545" max="1545" width="19.7109375" style="1013" customWidth="1"/>
    <col min="1546" max="1546" width="19.42578125" style="1013" customWidth="1"/>
    <col min="1547" max="1547" width="20.28515625" style="1013" customWidth="1"/>
    <col min="1548" max="1548" width="1.28515625" style="1013" customWidth="1"/>
    <col min="1549" max="1792" width="9.140625" style="1013"/>
    <col min="1793" max="1793" width="3.28515625" style="1013" customWidth="1"/>
    <col min="1794" max="1794" width="56.28515625" style="1013" customWidth="1"/>
    <col min="1795" max="1795" width="17.85546875" style="1013" customWidth="1"/>
    <col min="1796" max="1796" width="2.5703125" style="1013" customWidth="1"/>
    <col min="1797" max="1797" width="15.42578125" style="1013" customWidth="1"/>
    <col min="1798" max="1798" width="22.5703125" style="1013" customWidth="1"/>
    <col min="1799" max="1799" width="18.28515625" style="1013" customWidth="1"/>
    <col min="1800" max="1800" width="11.7109375" style="1013" customWidth="1"/>
    <col min="1801" max="1801" width="19.7109375" style="1013" customWidth="1"/>
    <col min="1802" max="1802" width="19.42578125" style="1013" customWidth="1"/>
    <col min="1803" max="1803" width="20.28515625" style="1013" customWidth="1"/>
    <col min="1804" max="1804" width="1.28515625" style="1013" customWidth="1"/>
    <col min="1805" max="2048" width="9.140625" style="1013"/>
    <col min="2049" max="2049" width="3.28515625" style="1013" customWidth="1"/>
    <col min="2050" max="2050" width="56.28515625" style="1013" customWidth="1"/>
    <col min="2051" max="2051" width="17.85546875" style="1013" customWidth="1"/>
    <col min="2052" max="2052" width="2.5703125" style="1013" customWidth="1"/>
    <col min="2053" max="2053" width="15.42578125" style="1013" customWidth="1"/>
    <col min="2054" max="2054" width="22.5703125" style="1013" customWidth="1"/>
    <col min="2055" max="2055" width="18.28515625" style="1013" customWidth="1"/>
    <col min="2056" max="2056" width="11.7109375" style="1013" customWidth="1"/>
    <col min="2057" max="2057" width="19.7109375" style="1013" customWidth="1"/>
    <col min="2058" max="2058" width="19.42578125" style="1013" customWidth="1"/>
    <col min="2059" max="2059" width="20.28515625" style="1013" customWidth="1"/>
    <col min="2060" max="2060" width="1.28515625" style="1013" customWidth="1"/>
    <col min="2061" max="2304" width="9.140625" style="1013"/>
    <col min="2305" max="2305" width="3.28515625" style="1013" customWidth="1"/>
    <col min="2306" max="2306" width="56.28515625" style="1013" customWidth="1"/>
    <col min="2307" max="2307" width="17.85546875" style="1013" customWidth="1"/>
    <col min="2308" max="2308" width="2.5703125" style="1013" customWidth="1"/>
    <col min="2309" max="2309" width="15.42578125" style="1013" customWidth="1"/>
    <col min="2310" max="2310" width="22.5703125" style="1013" customWidth="1"/>
    <col min="2311" max="2311" width="18.28515625" style="1013" customWidth="1"/>
    <col min="2312" max="2312" width="11.7109375" style="1013" customWidth="1"/>
    <col min="2313" max="2313" width="19.7109375" style="1013" customWidth="1"/>
    <col min="2314" max="2314" width="19.42578125" style="1013" customWidth="1"/>
    <col min="2315" max="2315" width="20.28515625" style="1013" customWidth="1"/>
    <col min="2316" max="2316" width="1.28515625" style="1013" customWidth="1"/>
    <col min="2317" max="2560" width="9.140625" style="1013"/>
    <col min="2561" max="2561" width="3.28515625" style="1013" customWidth="1"/>
    <col min="2562" max="2562" width="56.28515625" style="1013" customWidth="1"/>
    <col min="2563" max="2563" width="17.85546875" style="1013" customWidth="1"/>
    <col min="2564" max="2564" width="2.5703125" style="1013" customWidth="1"/>
    <col min="2565" max="2565" width="15.42578125" style="1013" customWidth="1"/>
    <col min="2566" max="2566" width="22.5703125" style="1013" customWidth="1"/>
    <col min="2567" max="2567" width="18.28515625" style="1013" customWidth="1"/>
    <col min="2568" max="2568" width="11.7109375" style="1013" customWidth="1"/>
    <col min="2569" max="2569" width="19.7109375" style="1013" customWidth="1"/>
    <col min="2570" max="2570" width="19.42578125" style="1013" customWidth="1"/>
    <col min="2571" max="2571" width="20.28515625" style="1013" customWidth="1"/>
    <col min="2572" max="2572" width="1.28515625" style="1013" customWidth="1"/>
    <col min="2573" max="2816" width="9.140625" style="1013"/>
    <col min="2817" max="2817" width="3.28515625" style="1013" customWidth="1"/>
    <col min="2818" max="2818" width="56.28515625" style="1013" customWidth="1"/>
    <col min="2819" max="2819" width="17.85546875" style="1013" customWidth="1"/>
    <col min="2820" max="2820" width="2.5703125" style="1013" customWidth="1"/>
    <col min="2821" max="2821" width="15.42578125" style="1013" customWidth="1"/>
    <col min="2822" max="2822" width="22.5703125" style="1013" customWidth="1"/>
    <col min="2823" max="2823" width="18.28515625" style="1013" customWidth="1"/>
    <col min="2824" max="2824" width="11.7109375" style="1013" customWidth="1"/>
    <col min="2825" max="2825" width="19.7109375" style="1013" customWidth="1"/>
    <col min="2826" max="2826" width="19.42578125" style="1013" customWidth="1"/>
    <col min="2827" max="2827" width="20.28515625" style="1013" customWidth="1"/>
    <col min="2828" max="2828" width="1.28515625" style="1013" customWidth="1"/>
    <col min="2829" max="3072" width="9.140625" style="1013"/>
    <col min="3073" max="3073" width="3.28515625" style="1013" customWidth="1"/>
    <col min="3074" max="3074" width="56.28515625" style="1013" customWidth="1"/>
    <col min="3075" max="3075" width="17.85546875" style="1013" customWidth="1"/>
    <col min="3076" max="3076" width="2.5703125" style="1013" customWidth="1"/>
    <col min="3077" max="3077" width="15.42578125" style="1013" customWidth="1"/>
    <col min="3078" max="3078" width="22.5703125" style="1013" customWidth="1"/>
    <col min="3079" max="3079" width="18.28515625" style="1013" customWidth="1"/>
    <col min="3080" max="3080" width="11.7109375" style="1013" customWidth="1"/>
    <col min="3081" max="3081" width="19.7109375" style="1013" customWidth="1"/>
    <col min="3082" max="3082" width="19.42578125" style="1013" customWidth="1"/>
    <col min="3083" max="3083" width="20.28515625" style="1013" customWidth="1"/>
    <col min="3084" max="3084" width="1.28515625" style="1013" customWidth="1"/>
    <col min="3085" max="3328" width="9.140625" style="1013"/>
    <col min="3329" max="3329" width="3.28515625" style="1013" customWidth="1"/>
    <col min="3330" max="3330" width="56.28515625" style="1013" customWidth="1"/>
    <col min="3331" max="3331" width="17.85546875" style="1013" customWidth="1"/>
    <col min="3332" max="3332" width="2.5703125" style="1013" customWidth="1"/>
    <col min="3333" max="3333" width="15.42578125" style="1013" customWidth="1"/>
    <col min="3334" max="3334" width="22.5703125" style="1013" customWidth="1"/>
    <col min="3335" max="3335" width="18.28515625" style="1013" customWidth="1"/>
    <col min="3336" max="3336" width="11.7109375" style="1013" customWidth="1"/>
    <col min="3337" max="3337" width="19.7109375" style="1013" customWidth="1"/>
    <col min="3338" max="3338" width="19.42578125" style="1013" customWidth="1"/>
    <col min="3339" max="3339" width="20.28515625" style="1013" customWidth="1"/>
    <col min="3340" max="3340" width="1.28515625" style="1013" customWidth="1"/>
    <col min="3341" max="3584" width="9.140625" style="1013"/>
    <col min="3585" max="3585" width="3.28515625" style="1013" customWidth="1"/>
    <col min="3586" max="3586" width="56.28515625" style="1013" customWidth="1"/>
    <col min="3587" max="3587" width="17.85546875" style="1013" customWidth="1"/>
    <col min="3588" max="3588" width="2.5703125" style="1013" customWidth="1"/>
    <col min="3589" max="3589" width="15.42578125" style="1013" customWidth="1"/>
    <col min="3590" max="3590" width="22.5703125" style="1013" customWidth="1"/>
    <col min="3591" max="3591" width="18.28515625" style="1013" customWidth="1"/>
    <col min="3592" max="3592" width="11.7109375" style="1013" customWidth="1"/>
    <col min="3593" max="3593" width="19.7109375" style="1013" customWidth="1"/>
    <col min="3594" max="3594" width="19.42578125" style="1013" customWidth="1"/>
    <col min="3595" max="3595" width="20.28515625" style="1013" customWidth="1"/>
    <col min="3596" max="3596" width="1.28515625" style="1013" customWidth="1"/>
    <col min="3597" max="3840" width="9.140625" style="1013"/>
    <col min="3841" max="3841" width="3.28515625" style="1013" customWidth="1"/>
    <col min="3842" max="3842" width="56.28515625" style="1013" customWidth="1"/>
    <col min="3843" max="3843" width="17.85546875" style="1013" customWidth="1"/>
    <col min="3844" max="3844" width="2.5703125" style="1013" customWidth="1"/>
    <col min="3845" max="3845" width="15.42578125" style="1013" customWidth="1"/>
    <col min="3846" max="3846" width="22.5703125" style="1013" customWidth="1"/>
    <col min="3847" max="3847" width="18.28515625" style="1013" customWidth="1"/>
    <col min="3848" max="3848" width="11.7109375" style="1013" customWidth="1"/>
    <col min="3849" max="3849" width="19.7109375" style="1013" customWidth="1"/>
    <col min="3850" max="3850" width="19.42578125" style="1013" customWidth="1"/>
    <col min="3851" max="3851" width="20.28515625" style="1013" customWidth="1"/>
    <col min="3852" max="3852" width="1.28515625" style="1013" customWidth="1"/>
    <col min="3853" max="4096" width="9.140625" style="1013"/>
    <col min="4097" max="4097" width="3.28515625" style="1013" customWidth="1"/>
    <col min="4098" max="4098" width="56.28515625" style="1013" customWidth="1"/>
    <col min="4099" max="4099" width="17.85546875" style="1013" customWidth="1"/>
    <col min="4100" max="4100" width="2.5703125" style="1013" customWidth="1"/>
    <col min="4101" max="4101" width="15.42578125" style="1013" customWidth="1"/>
    <col min="4102" max="4102" width="22.5703125" style="1013" customWidth="1"/>
    <col min="4103" max="4103" width="18.28515625" style="1013" customWidth="1"/>
    <col min="4104" max="4104" width="11.7109375" style="1013" customWidth="1"/>
    <col min="4105" max="4105" width="19.7109375" style="1013" customWidth="1"/>
    <col min="4106" max="4106" width="19.42578125" style="1013" customWidth="1"/>
    <col min="4107" max="4107" width="20.28515625" style="1013" customWidth="1"/>
    <col min="4108" max="4108" width="1.28515625" style="1013" customWidth="1"/>
    <col min="4109" max="4352" width="9.140625" style="1013"/>
    <col min="4353" max="4353" width="3.28515625" style="1013" customWidth="1"/>
    <col min="4354" max="4354" width="56.28515625" style="1013" customWidth="1"/>
    <col min="4355" max="4355" width="17.85546875" style="1013" customWidth="1"/>
    <col min="4356" max="4356" width="2.5703125" style="1013" customWidth="1"/>
    <col min="4357" max="4357" width="15.42578125" style="1013" customWidth="1"/>
    <col min="4358" max="4358" width="22.5703125" style="1013" customWidth="1"/>
    <col min="4359" max="4359" width="18.28515625" style="1013" customWidth="1"/>
    <col min="4360" max="4360" width="11.7109375" style="1013" customWidth="1"/>
    <col min="4361" max="4361" width="19.7109375" style="1013" customWidth="1"/>
    <col min="4362" max="4362" width="19.42578125" style="1013" customWidth="1"/>
    <col min="4363" max="4363" width="20.28515625" style="1013" customWidth="1"/>
    <col min="4364" max="4364" width="1.28515625" style="1013" customWidth="1"/>
    <col min="4365" max="4608" width="9.140625" style="1013"/>
    <col min="4609" max="4609" width="3.28515625" style="1013" customWidth="1"/>
    <col min="4610" max="4610" width="56.28515625" style="1013" customWidth="1"/>
    <col min="4611" max="4611" width="17.85546875" style="1013" customWidth="1"/>
    <col min="4612" max="4612" width="2.5703125" style="1013" customWidth="1"/>
    <col min="4613" max="4613" width="15.42578125" style="1013" customWidth="1"/>
    <col min="4614" max="4614" width="22.5703125" style="1013" customWidth="1"/>
    <col min="4615" max="4615" width="18.28515625" style="1013" customWidth="1"/>
    <col min="4616" max="4616" width="11.7109375" style="1013" customWidth="1"/>
    <col min="4617" max="4617" width="19.7109375" style="1013" customWidth="1"/>
    <col min="4618" max="4618" width="19.42578125" style="1013" customWidth="1"/>
    <col min="4619" max="4619" width="20.28515625" style="1013" customWidth="1"/>
    <col min="4620" max="4620" width="1.28515625" style="1013" customWidth="1"/>
    <col min="4621" max="4864" width="9.140625" style="1013"/>
    <col min="4865" max="4865" width="3.28515625" style="1013" customWidth="1"/>
    <col min="4866" max="4866" width="56.28515625" style="1013" customWidth="1"/>
    <col min="4867" max="4867" width="17.85546875" style="1013" customWidth="1"/>
    <col min="4868" max="4868" width="2.5703125" style="1013" customWidth="1"/>
    <col min="4869" max="4869" width="15.42578125" style="1013" customWidth="1"/>
    <col min="4870" max="4870" width="22.5703125" style="1013" customWidth="1"/>
    <col min="4871" max="4871" width="18.28515625" style="1013" customWidth="1"/>
    <col min="4872" max="4872" width="11.7109375" style="1013" customWidth="1"/>
    <col min="4873" max="4873" width="19.7109375" style="1013" customWidth="1"/>
    <col min="4874" max="4874" width="19.42578125" style="1013" customWidth="1"/>
    <col min="4875" max="4875" width="20.28515625" style="1013" customWidth="1"/>
    <col min="4876" max="4876" width="1.28515625" style="1013" customWidth="1"/>
    <col min="4877" max="5120" width="9.140625" style="1013"/>
    <col min="5121" max="5121" width="3.28515625" style="1013" customWidth="1"/>
    <col min="5122" max="5122" width="56.28515625" style="1013" customWidth="1"/>
    <col min="5123" max="5123" width="17.85546875" style="1013" customWidth="1"/>
    <col min="5124" max="5124" width="2.5703125" style="1013" customWidth="1"/>
    <col min="5125" max="5125" width="15.42578125" style="1013" customWidth="1"/>
    <col min="5126" max="5126" width="22.5703125" style="1013" customWidth="1"/>
    <col min="5127" max="5127" width="18.28515625" style="1013" customWidth="1"/>
    <col min="5128" max="5128" width="11.7109375" style="1013" customWidth="1"/>
    <col min="5129" max="5129" width="19.7109375" style="1013" customWidth="1"/>
    <col min="5130" max="5130" width="19.42578125" style="1013" customWidth="1"/>
    <col min="5131" max="5131" width="20.28515625" style="1013" customWidth="1"/>
    <col min="5132" max="5132" width="1.28515625" style="1013" customWidth="1"/>
    <col min="5133" max="5376" width="9.140625" style="1013"/>
    <col min="5377" max="5377" width="3.28515625" style="1013" customWidth="1"/>
    <col min="5378" max="5378" width="56.28515625" style="1013" customWidth="1"/>
    <col min="5379" max="5379" width="17.85546875" style="1013" customWidth="1"/>
    <col min="5380" max="5380" width="2.5703125" style="1013" customWidth="1"/>
    <col min="5381" max="5381" width="15.42578125" style="1013" customWidth="1"/>
    <col min="5382" max="5382" width="22.5703125" style="1013" customWidth="1"/>
    <col min="5383" max="5383" width="18.28515625" style="1013" customWidth="1"/>
    <col min="5384" max="5384" width="11.7109375" style="1013" customWidth="1"/>
    <col min="5385" max="5385" width="19.7109375" style="1013" customWidth="1"/>
    <col min="5386" max="5386" width="19.42578125" style="1013" customWidth="1"/>
    <col min="5387" max="5387" width="20.28515625" style="1013" customWidth="1"/>
    <col min="5388" max="5388" width="1.28515625" style="1013" customWidth="1"/>
    <col min="5389" max="5632" width="9.140625" style="1013"/>
    <col min="5633" max="5633" width="3.28515625" style="1013" customWidth="1"/>
    <col min="5634" max="5634" width="56.28515625" style="1013" customWidth="1"/>
    <col min="5635" max="5635" width="17.85546875" style="1013" customWidth="1"/>
    <col min="5636" max="5636" width="2.5703125" style="1013" customWidth="1"/>
    <col min="5637" max="5637" width="15.42578125" style="1013" customWidth="1"/>
    <col min="5638" max="5638" width="22.5703125" style="1013" customWidth="1"/>
    <col min="5639" max="5639" width="18.28515625" style="1013" customWidth="1"/>
    <col min="5640" max="5640" width="11.7109375" style="1013" customWidth="1"/>
    <col min="5641" max="5641" width="19.7109375" style="1013" customWidth="1"/>
    <col min="5642" max="5642" width="19.42578125" style="1013" customWidth="1"/>
    <col min="5643" max="5643" width="20.28515625" style="1013" customWidth="1"/>
    <col min="5644" max="5644" width="1.28515625" style="1013" customWidth="1"/>
    <col min="5645" max="5888" width="9.140625" style="1013"/>
    <col min="5889" max="5889" width="3.28515625" style="1013" customWidth="1"/>
    <col min="5890" max="5890" width="56.28515625" style="1013" customWidth="1"/>
    <col min="5891" max="5891" width="17.85546875" style="1013" customWidth="1"/>
    <col min="5892" max="5892" width="2.5703125" style="1013" customWidth="1"/>
    <col min="5893" max="5893" width="15.42578125" style="1013" customWidth="1"/>
    <col min="5894" max="5894" width="22.5703125" style="1013" customWidth="1"/>
    <col min="5895" max="5895" width="18.28515625" style="1013" customWidth="1"/>
    <col min="5896" max="5896" width="11.7109375" style="1013" customWidth="1"/>
    <col min="5897" max="5897" width="19.7109375" style="1013" customWidth="1"/>
    <col min="5898" max="5898" width="19.42578125" style="1013" customWidth="1"/>
    <col min="5899" max="5899" width="20.28515625" style="1013" customWidth="1"/>
    <col min="5900" max="5900" width="1.28515625" style="1013" customWidth="1"/>
    <col min="5901" max="6144" width="9.140625" style="1013"/>
    <col min="6145" max="6145" width="3.28515625" style="1013" customWidth="1"/>
    <col min="6146" max="6146" width="56.28515625" style="1013" customWidth="1"/>
    <col min="6147" max="6147" width="17.85546875" style="1013" customWidth="1"/>
    <col min="6148" max="6148" width="2.5703125" style="1013" customWidth="1"/>
    <col min="6149" max="6149" width="15.42578125" style="1013" customWidth="1"/>
    <col min="6150" max="6150" width="22.5703125" style="1013" customWidth="1"/>
    <col min="6151" max="6151" width="18.28515625" style="1013" customWidth="1"/>
    <col min="6152" max="6152" width="11.7109375" style="1013" customWidth="1"/>
    <col min="6153" max="6153" width="19.7109375" style="1013" customWidth="1"/>
    <col min="6154" max="6154" width="19.42578125" style="1013" customWidth="1"/>
    <col min="6155" max="6155" width="20.28515625" style="1013" customWidth="1"/>
    <col min="6156" max="6156" width="1.28515625" style="1013" customWidth="1"/>
    <col min="6157" max="6400" width="9.140625" style="1013"/>
    <col min="6401" max="6401" width="3.28515625" style="1013" customWidth="1"/>
    <col min="6402" max="6402" width="56.28515625" style="1013" customWidth="1"/>
    <col min="6403" max="6403" width="17.85546875" style="1013" customWidth="1"/>
    <col min="6404" max="6404" width="2.5703125" style="1013" customWidth="1"/>
    <col min="6405" max="6405" width="15.42578125" style="1013" customWidth="1"/>
    <col min="6406" max="6406" width="22.5703125" style="1013" customWidth="1"/>
    <col min="6407" max="6407" width="18.28515625" style="1013" customWidth="1"/>
    <col min="6408" max="6408" width="11.7109375" style="1013" customWidth="1"/>
    <col min="6409" max="6409" width="19.7109375" style="1013" customWidth="1"/>
    <col min="6410" max="6410" width="19.42578125" style="1013" customWidth="1"/>
    <col min="6411" max="6411" width="20.28515625" style="1013" customWidth="1"/>
    <col min="6412" max="6412" width="1.28515625" style="1013" customWidth="1"/>
    <col min="6413" max="6656" width="9.140625" style="1013"/>
    <col min="6657" max="6657" width="3.28515625" style="1013" customWidth="1"/>
    <col min="6658" max="6658" width="56.28515625" style="1013" customWidth="1"/>
    <col min="6659" max="6659" width="17.85546875" style="1013" customWidth="1"/>
    <col min="6660" max="6660" width="2.5703125" style="1013" customWidth="1"/>
    <col min="6661" max="6661" width="15.42578125" style="1013" customWidth="1"/>
    <col min="6662" max="6662" width="22.5703125" style="1013" customWidth="1"/>
    <col min="6663" max="6663" width="18.28515625" style="1013" customWidth="1"/>
    <col min="6664" max="6664" width="11.7109375" style="1013" customWidth="1"/>
    <col min="6665" max="6665" width="19.7109375" style="1013" customWidth="1"/>
    <col min="6666" max="6666" width="19.42578125" style="1013" customWidth="1"/>
    <col min="6667" max="6667" width="20.28515625" style="1013" customWidth="1"/>
    <col min="6668" max="6668" width="1.28515625" style="1013" customWidth="1"/>
    <col min="6669" max="6912" width="9.140625" style="1013"/>
    <col min="6913" max="6913" width="3.28515625" style="1013" customWidth="1"/>
    <col min="6914" max="6914" width="56.28515625" style="1013" customWidth="1"/>
    <col min="6915" max="6915" width="17.85546875" style="1013" customWidth="1"/>
    <col min="6916" max="6916" width="2.5703125" style="1013" customWidth="1"/>
    <col min="6917" max="6917" width="15.42578125" style="1013" customWidth="1"/>
    <col min="6918" max="6918" width="22.5703125" style="1013" customWidth="1"/>
    <col min="6919" max="6919" width="18.28515625" style="1013" customWidth="1"/>
    <col min="6920" max="6920" width="11.7109375" style="1013" customWidth="1"/>
    <col min="6921" max="6921" width="19.7109375" style="1013" customWidth="1"/>
    <col min="6922" max="6922" width="19.42578125" style="1013" customWidth="1"/>
    <col min="6923" max="6923" width="20.28515625" style="1013" customWidth="1"/>
    <col min="6924" max="6924" width="1.28515625" style="1013" customWidth="1"/>
    <col min="6925" max="7168" width="9.140625" style="1013"/>
    <col min="7169" max="7169" width="3.28515625" style="1013" customWidth="1"/>
    <col min="7170" max="7170" width="56.28515625" style="1013" customWidth="1"/>
    <col min="7171" max="7171" width="17.85546875" style="1013" customWidth="1"/>
    <col min="7172" max="7172" width="2.5703125" style="1013" customWidth="1"/>
    <col min="7173" max="7173" width="15.42578125" style="1013" customWidth="1"/>
    <col min="7174" max="7174" width="22.5703125" style="1013" customWidth="1"/>
    <col min="7175" max="7175" width="18.28515625" style="1013" customWidth="1"/>
    <col min="7176" max="7176" width="11.7109375" style="1013" customWidth="1"/>
    <col min="7177" max="7177" width="19.7109375" style="1013" customWidth="1"/>
    <col min="7178" max="7178" width="19.42578125" style="1013" customWidth="1"/>
    <col min="7179" max="7179" width="20.28515625" style="1013" customWidth="1"/>
    <col min="7180" max="7180" width="1.28515625" style="1013" customWidth="1"/>
    <col min="7181" max="7424" width="9.140625" style="1013"/>
    <col min="7425" max="7425" width="3.28515625" style="1013" customWidth="1"/>
    <col min="7426" max="7426" width="56.28515625" style="1013" customWidth="1"/>
    <col min="7427" max="7427" width="17.85546875" style="1013" customWidth="1"/>
    <col min="7428" max="7428" width="2.5703125" style="1013" customWidth="1"/>
    <col min="7429" max="7429" width="15.42578125" style="1013" customWidth="1"/>
    <col min="7430" max="7430" width="22.5703125" style="1013" customWidth="1"/>
    <col min="7431" max="7431" width="18.28515625" style="1013" customWidth="1"/>
    <col min="7432" max="7432" width="11.7109375" style="1013" customWidth="1"/>
    <col min="7433" max="7433" width="19.7109375" style="1013" customWidth="1"/>
    <col min="7434" max="7434" width="19.42578125" style="1013" customWidth="1"/>
    <col min="7435" max="7435" width="20.28515625" style="1013" customWidth="1"/>
    <col min="7436" max="7436" width="1.28515625" style="1013" customWidth="1"/>
    <col min="7437" max="7680" width="9.140625" style="1013"/>
    <col min="7681" max="7681" width="3.28515625" style="1013" customWidth="1"/>
    <col min="7682" max="7682" width="56.28515625" style="1013" customWidth="1"/>
    <col min="7683" max="7683" width="17.85546875" style="1013" customWidth="1"/>
    <col min="7684" max="7684" width="2.5703125" style="1013" customWidth="1"/>
    <col min="7685" max="7685" width="15.42578125" style="1013" customWidth="1"/>
    <col min="7686" max="7686" width="22.5703125" style="1013" customWidth="1"/>
    <col min="7687" max="7687" width="18.28515625" style="1013" customWidth="1"/>
    <col min="7688" max="7688" width="11.7109375" style="1013" customWidth="1"/>
    <col min="7689" max="7689" width="19.7109375" style="1013" customWidth="1"/>
    <col min="7690" max="7690" width="19.42578125" style="1013" customWidth="1"/>
    <col min="7691" max="7691" width="20.28515625" style="1013" customWidth="1"/>
    <col min="7692" max="7692" width="1.28515625" style="1013" customWidth="1"/>
    <col min="7693" max="7936" width="9.140625" style="1013"/>
    <col min="7937" max="7937" width="3.28515625" style="1013" customWidth="1"/>
    <col min="7938" max="7938" width="56.28515625" style="1013" customWidth="1"/>
    <col min="7939" max="7939" width="17.85546875" style="1013" customWidth="1"/>
    <col min="7940" max="7940" width="2.5703125" style="1013" customWidth="1"/>
    <col min="7941" max="7941" width="15.42578125" style="1013" customWidth="1"/>
    <col min="7942" max="7942" width="22.5703125" style="1013" customWidth="1"/>
    <col min="7943" max="7943" width="18.28515625" style="1013" customWidth="1"/>
    <col min="7944" max="7944" width="11.7109375" style="1013" customWidth="1"/>
    <col min="7945" max="7945" width="19.7109375" style="1013" customWidth="1"/>
    <col min="7946" max="7946" width="19.42578125" style="1013" customWidth="1"/>
    <col min="7947" max="7947" width="20.28515625" style="1013" customWidth="1"/>
    <col min="7948" max="7948" width="1.28515625" style="1013" customWidth="1"/>
    <col min="7949" max="8192" width="9.140625" style="1013"/>
    <col min="8193" max="8193" width="3.28515625" style="1013" customWidth="1"/>
    <col min="8194" max="8194" width="56.28515625" style="1013" customWidth="1"/>
    <col min="8195" max="8195" width="17.85546875" style="1013" customWidth="1"/>
    <col min="8196" max="8196" width="2.5703125" style="1013" customWidth="1"/>
    <col min="8197" max="8197" width="15.42578125" style="1013" customWidth="1"/>
    <col min="8198" max="8198" width="22.5703125" style="1013" customWidth="1"/>
    <col min="8199" max="8199" width="18.28515625" style="1013" customWidth="1"/>
    <col min="8200" max="8200" width="11.7109375" style="1013" customWidth="1"/>
    <col min="8201" max="8201" width="19.7109375" style="1013" customWidth="1"/>
    <col min="8202" max="8202" width="19.42578125" style="1013" customWidth="1"/>
    <col min="8203" max="8203" width="20.28515625" style="1013" customWidth="1"/>
    <col min="8204" max="8204" width="1.28515625" style="1013" customWidth="1"/>
    <col min="8205" max="8448" width="9.140625" style="1013"/>
    <col min="8449" max="8449" width="3.28515625" style="1013" customWidth="1"/>
    <col min="8450" max="8450" width="56.28515625" style="1013" customWidth="1"/>
    <col min="8451" max="8451" width="17.85546875" style="1013" customWidth="1"/>
    <col min="8452" max="8452" width="2.5703125" style="1013" customWidth="1"/>
    <col min="8453" max="8453" width="15.42578125" style="1013" customWidth="1"/>
    <col min="8454" max="8454" width="22.5703125" style="1013" customWidth="1"/>
    <col min="8455" max="8455" width="18.28515625" style="1013" customWidth="1"/>
    <col min="8456" max="8456" width="11.7109375" style="1013" customWidth="1"/>
    <col min="8457" max="8457" width="19.7109375" style="1013" customWidth="1"/>
    <col min="8458" max="8458" width="19.42578125" style="1013" customWidth="1"/>
    <col min="8459" max="8459" width="20.28515625" style="1013" customWidth="1"/>
    <col min="8460" max="8460" width="1.28515625" style="1013" customWidth="1"/>
    <col min="8461" max="8704" width="9.140625" style="1013"/>
    <col min="8705" max="8705" width="3.28515625" style="1013" customWidth="1"/>
    <col min="8706" max="8706" width="56.28515625" style="1013" customWidth="1"/>
    <col min="8707" max="8707" width="17.85546875" style="1013" customWidth="1"/>
    <col min="8708" max="8708" width="2.5703125" style="1013" customWidth="1"/>
    <col min="8709" max="8709" width="15.42578125" style="1013" customWidth="1"/>
    <col min="8710" max="8710" width="22.5703125" style="1013" customWidth="1"/>
    <col min="8711" max="8711" width="18.28515625" style="1013" customWidth="1"/>
    <col min="8712" max="8712" width="11.7109375" style="1013" customWidth="1"/>
    <col min="8713" max="8713" width="19.7109375" style="1013" customWidth="1"/>
    <col min="8714" max="8714" width="19.42578125" style="1013" customWidth="1"/>
    <col min="8715" max="8715" width="20.28515625" style="1013" customWidth="1"/>
    <col min="8716" max="8716" width="1.28515625" style="1013" customWidth="1"/>
    <col min="8717" max="8960" width="9.140625" style="1013"/>
    <col min="8961" max="8961" width="3.28515625" style="1013" customWidth="1"/>
    <col min="8962" max="8962" width="56.28515625" style="1013" customWidth="1"/>
    <col min="8963" max="8963" width="17.85546875" style="1013" customWidth="1"/>
    <col min="8964" max="8964" width="2.5703125" style="1013" customWidth="1"/>
    <col min="8965" max="8965" width="15.42578125" style="1013" customWidth="1"/>
    <col min="8966" max="8966" width="22.5703125" style="1013" customWidth="1"/>
    <col min="8967" max="8967" width="18.28515625" style="1013" customWidth="1"/>
    <col min="8968" max="8968" width="11.7109375" style="1013" customWidth="1"/>
    <col min="8969" max="8969" width="19.7109375" style="1013" customWidth="1"/>
    <col min="8970" max="8970" width="19.42578125" style="1013" customWidth="1"/>
    <col min="8971" max="8971" width="20.28515625" style="1013" customWidth="1"/>
    <col min="8972" max="8972" width="1.28515625" style="1013" customWidth="1"/>
    <col min="8973" max="9216" width="9.140625" style="1013"/>
    <col min="9217" max="9217" width="3.28515625" style="1013" customWidth="1"/>
    <col min="9218" max="9218" width="56.28515625" style="1013" customWidth="1"/>
    <col min="9219" max="9219" width="17.85546875" style="1013" customWidth="1"/>
    <col min="9220" max="9220" width="2.5703125" style="1013" customWidth="1"/>
    <col min="9221" max="9221" width="15.42578125" style="1013" customWidth="1"/>
    <col min="9222" max="9222" width="22.5703125" style="1013" customWidth="1"/>
    <col min="9223" max="9223" width="18.28515625" style="1013" customWidth="1"/>
    <col min="9224" max="9224" width="11.7109375" style="1013" customWidth="1"/>
    <col min="9225" max="9225" width="19.7109375" style="1013" customWidth="1"/>
    <col min="9226" max="9226" width="19.42578125" style="1013" customWidth="1"/>
    <col min="9227" max="9227" width="20.28515625" style="1013" customWidth="1"/>
    <col min="9228" max="9228" width="1.28515625" style="1013" customWidth="1"/>
    <col min="9229" max="9472" width="9.140625" style="1013"/>
    <col min="9473" max="9473" width="3.28515625" style="1013" customWidth="1"/>
    <col min="9474" max="9474" width="56.28515625" style="1013" customWidth="1"/>
    <col min="9475" max="9475" width="17.85546875" style="1013" customWidth="1"/>
    <col min="9476" max="9476" width="2.5703125" style="1013" customWidth="1"/>
    <col min="9477" max="9477" width="15.42578125" style="1013" customWidth="1"/>
    <col min="9478" max="9478" width="22.5703125" style="1013" customWidth="1"/>
    <col min="9479" max="9479" width="18.28515625" style="1013" customWidth="1"/>
    <col min="9480" max="9480" width="11.7109375" style="1013" customWidth="1"/>
    <col min="9481" max="9481" width="19.7109375" style="1013" customWidth="1"/>
    <col min="9482" max="9482" width="19.42578125" style="1013" customWidth="1"/>
    <col min="9483" max="9483" width="20.28515625" style="1013" customWidth="1"/>
    <col min="9484" max="9484" width="1.28515625" style="1013" customWidth="1"/>
    <col min="9485" max="9728" width="9.140625" style="1013"/>
    <col min="9729" max="9729" width="3.28515625" style="1013" customWidth="1"/>
    <col min="9730" max="9730" width="56.28515625" style="1013" customWidth="1"/>
    <col min="9731" max="9731" width="17.85546875" style="1013" customWidth="1"/>
    <col min="9732" max="9732" width="2.5703125" style="1013" customWidth="1"/>
    <col min="9733" max="9733" width="15.42578125" style="1013" customWidth="1"/>
    <col min="9734" max="9734" width="22.5703125" style="1013" customWidth="1"/>
    <col min="9735" max="9735" width="18.28515625" style="1013" customWidth="1"/>
    <col min="9736" max="9736" width="11.7109375" style="1013" customWidth="1"/>
    <col min="9737" max="9737" width="19.7109375" style="1013" customWidth="1"/>
    <col min="9738" max="9738" width="19.42578125" style="1013" customWidth="1"/>
    <col min="9739" max="9739" width="20.28515625" style="1013" customWidth="1"/>
    <col min="9740" max="9740" width="1.28515625" style="1013" customWidth="1"/>
    <col min="9741" max="9984" width="9.140625" style="1013"/>
    <col min="9985" max="9985" width="3.28515625" style="1013" customWidth="1"/>
    <col min="9986" max="9986" width="56.28515625" style="1013" customWidth="1"/>
    <col min="9987" max="9987" width="17.85546875" style="1013" customWidth="1"/>
    <col min="9988" max="9988" width="2.5703125" style="1013" customWidth="1"/>
    <col min="9989" max="9989" width="15.42578125" style="1013" customWidth="1"/>
    <col min="9990" max="9990" width="22.5703125" style="1013" customWidth="1"/>
    <col min="9991" max="9991" width="18.28515625" style="1013" customWidth="1"/>
    <col min="9992" max="9992" width="11.7109375" style="1013" customWidth="1"/>
    <col min="9993" max="9993" width="19.7109375" style="1013" customWidth="1"/>
    <col min="9994" max="9994" width="19.42578125" style="1013" customWidth="1"/>
    <col min="9995" max="9995" width="20.28515625" style="1013" customWidth="1"/>
    <col min="9996" max="9996" width="1.28515625" style="1013" customWidth="1"/>
    <col min="9997" max="10240" width="9.140625" style="1013"/>
    <col min="10241" max="10241" width="3.28515625" style="1013" customWidth="1"/>
    <col min="10242" max="10242" width="56.28515625" style="1013" customWidth="1"/>
    <col min="10243" max="10243" width="17.85546875" style="1013" customWidth="1"/>
    <col min="10244" max="10244" width="2.5703125" style="1013" customWidth="1"/>
    <col min="10245" max="10245" width="15.42578125" style="1013" customWidth="1"/>
    <col min="10246" max="10246" width="22.5703125" style="1013" customWidth="1"/>
    <col min="10247" max="10247" width="18.28515625" style="1013" customWidth="1"/>
    <col min="10248" max="10248" width="11.7109375" style="1013" customWidth="1"/>
    <col min="10249" max="10249" width="19.7109375" style="1013" customWidth="1"/>
    <col min="10250" max="10250" width="19.42578125" style="1013" customWidth="1"/>
    <col min="10251" max="10251" width="20.28515625" style="1013" customWidth="1"/>
    <col min="10252" max="10252" width="1.28515625" style="1013" customWidth="1"/>
    <col min="10253" max="10496" width="9.140625" style="1013"/>
    <col min="10497" max="10497" width="3.28515625" style="1013" customWidth="1"/>
    <col min="10498" max="10498" width="56.28515625" style="1013" customWidth="1"/>
    <col min="10499" max="10499" width="17.85546875" style="1013" customWidth="1"/>
    <col min="10500" max="10500" width="2.5703125" style="1013" customWidth="1"/>
    <col min="10501" max="10501" width="15.42578125" style="1013" customWidth="1"/>
    <col min="10502" max="10502" width="22.5703125" style="1013" customWidth="1"/>
    <col min="10503" max="10503" width="18.28515625" style="1013" customWidth="1"/>
    <col min="10504" max="10504" width="11.7109375" style="1013" customWidth="1"/>
    <col min="10505" max="10505" width="19.7109375" style="1013" customWidth="1"/>
    <col min="10506" max="10506" width="19.42578125" style="1013" customWidth="1"/>
    <col min="10507" max="10507" width="20.28515625" style="1013" customWidth="1"/>
    <col min="10508" max="10508" width="1.28515625" style="1013" customWidth="1"/>
    <col min="10509" max="10752" width="9.140625" style="1013"/>
    <col min="10753" max="10753" width="3.28515625" style="1013" customWidth="1"/>
    <col min="10754" max="10754" width="56.28515625" style="1013" customWidth="1"/>
    <col min="10755" max="10755" width="17.85546875" style="1013" customWidth="1"/>
    <col min="10756" max="10756" width="2.5703125" style="1013" customWidth="1"/>
    <col min="10757" max="10757" width="15.42578125" style="1013" customWidth="1"/>
    <col min="10758" max="10758" width="22.5703125" style="1013" customWidth="1"/>
    <col min="10759" max="10759" width="18.28515625" style="1013" customWidth="1"/>
    <col min="10760" max="10760" width="11.7109375" style="1013" customWidth="1"/>
    <col min="10761" max="10761" width="19.7109375" style="1013" customWidth="1"/>
    <col min="10762" max="10762" width="19.42578125" style="1013" customWidth="1"/>
    <col min="10763" max="10763" width="20.28515625" style="1013" customWidth="1"/>
    <col min="10764" max="10764" width="1.28515625" style="1013" customWidth="1"/>
    <col min="10765" max="11008" width="9.140625" style="1013"/>
    <col min="11009" max="11009" width="3.28515625" style="1013" customWidth="1"/>
    <col min="11010" max="11010" width="56.28515625" style="1013" customWidth="1"/>
    <col min="11011" max="11011" width="17.85546875" style="1013" customWidth="1"/>
    <col min="11012" max="11012" width="2.5703125" style="1013" customWidth="1"/>
    <col min="11013" max="11013" width="15.42578125" style="1013" customWidth="1"/>
    <col min="11014" max="11014" width="22.5703125" style="1013" customWidth="1"/>
    <col min="11015" max="11015" width="18.28515625" style="1013" customWidth="1"/>
    <col min="11016" max="11016" width="11.7109375" style="1013" customWidth="1"/>
    <col min="11017" max="11017" width="19.7109375" style="1013" customWidth="1"/>
    <col min="11018" max="11018" width="19.42578125" style="1013" customWidth="1"/>
    <col min="11019" max="11019" width="20.28515625" style="1013" customWidth="1"/>
    <col min="11020" max="11020" width="1.28515625" style="1013" customWidth="1"/>
    <col min="11021" max="11264" width="9.140625" style="1013"/>
    <col min="11265" max="11265" width="3.28515625" style="1013" customWidth="1"/>
    <col min="11266" max="11266" width="56.28515625" style="1013" customWidth="1"/>
    <col min="11267" max="11267" width="17.85546875" style="1013" customWidth="1"/>
    <col min="11268" max="11268" width="2.5703125" style="1013" customWidth="1"/>
    <col min="11269" max="11269" width="15.42578125" style="1013" customWidth="1"/>
    <col min="11270" max="11270" width="22.5703125" style="1013" customWidth="1"/>
    <col min="11271" max="11271" width="18.28515625" style="1013" customWidth="1"/>
    <col min="11272" max="11272" width="11.7109375" style="1013" customWidth="1"/>
    <col min="11273" max="11273" width="19.7109375" style="1013" customWidth="1"/>
    <col min="11274" max="11274" width="19.42578125" style="1013" customWidth="1"/>
    <col min="11275" max="11275" width="20.28515625" style="1013" customWidth="1"/>
    <col min="11276" max="11276" width="1.28515625" style="1013" customWidth="1"/>
    <col min="11277" max="11520" width="9.140625" style="1013"/>
    <col min="11521" max="11521" width="3.28515625" style="1013" customWidth="1"/>
    <col min="11522" max="11522" width="56.28515625" style="1013" customWidth="1"/>
    <col min="11523" max="11523" width="17.85546875" style="1013" customWidth="1"/>
    <col min="11524" max="11524" width="2.5703125" style="1013" customWidth="1"/>
    <col min="11525" max="11525" width="15.42578125" style="1013" customWidth="1"/>
    <col min="11526" max="11526" width="22.5703125" style="1013" customWidth="1"/>
    <col min="11527" max="11527" width="18.28515625" style="1013" customWidth="1"/>
    <col min="11528" max="11528" width="11.7109375" style="1013" customWidth="1"/>
    <col min="11529" max="11529" width="19.7109375" style="1013" customWidth="1"/>
    <col min="11530" max="11530" width="19.42578125" style="1013" customWidth="1"/>
    <col min="11531" max="11531" width="20.28515625" style="1013" customWidth="1"/>
    <col min="11532" max="11532" width="1.28515625" style="1013" customWidth="1"/>
    <col min="11533" max="11776" width="9.140625" style="1013"/>
    <col min="11777" max="11777" width="3.28515625" style="1013" customWidth="1"/>
    <col min="11778" max="11778" width="56.28515625" style="1013" customWidth="1"/>
    <col min="11779" max="11779" width="17.85546875" style="1013" customWidth="1"/>
    <col min="11780" max="11780" width="2.5703125" style="1013" customWidth="1"/>
    <col min="11781" max="11781" width="15.42578125" style="1013" customWidth="1"/>
    <col min="11782" max="11782" width="22.5703125" style="1013" customWidth="1"/>
    <col min="11783" max="11783" width="18.28515625" style="1013" customWidth="1"/>
    <col min="11784" max="11784" width="11.7109375" style="1013" customWidth="1"/>
    <col min="11785" max="11785" width="19.7109375" style="1013" customWidth="1"/>
    <col min="11786" max="11786" width="19.42578125" style="1013" customWidth="1"/>
    <col min="11787" max="11787" width="20.28515625" style="1013" customWidth="1"/>
    <col min="11788" max="11788" width="1.28515625" style="1013" customWidth="1"/>
    <col min="11789" max="12032" width="9.140625" style="1013"/>
    <col min="12033" max="12033" width="3.28515625" style="1013" customWidth="1"/>
    <col min="12034" max="12034" width="56.28515625" style="1013" customWidth="1"/>
    <col min="12035" max="12035" width="17.85546875" style="1013" customWidth="1"/>
    <col min="12036" max="12036" width="2.5703125" style="1013" customWidth="1"/>
    <col min="12037" max="12037" width="15.42578125" style="1013" customWidth="1"/>
    <col min="12038" max="12038" width="22.5703125" style="1013" customWidth="1"/>
    <col min="12039" max="12039" width="18.28515625" style="1013" customWidth="1"/>
    <col min="12040" max="12040" width="11.7109375" style="1013" customWidth="1"/>
    <col min="12041" max="12041" width="19.7109375" style="1013" customWidth="1"/>
    <col min="12042" max="12042" width="19.42578125" style="1013" customWidth="1"/>
    <col min="12043" max="12043" width="20.28515625" style="1013" customWidth="1"/>
    <col min="12044" max="12044" width="1.28515625" style="1013" customWidth="1"/>
    <col min="12045" max="12288" width="9.140625" style="1013"/>
    <col min="12289" max="12289" width="3.28515625" style="1013" customWidth="1"/>
    <col min="12290" max="12290" width="56.28515625" style="1013" customWidth="1"/>
    <col min="12291" max="12291" width="17.85546875" style="1013" customWidth="1"/>
    <col min="12292" max="12292" width="2.5703125" style="1013" customWidth="1"/>
    <col min="12293" max="12293" width="15.42578125" style="1013" customWidth="1"/>
    <col min="12294" max="12294" width="22.5703125" style="1013" customWidth="1"/>
    <col min="12295" max="12295" width="18.28515625" style="1013" customWidth="1"/>
    <col min="12296" max="12296" width="11.7109375" style="1013" customWidth="1"/>
    <col min="12297" max="12297" width="19.7109375" style="1013" customWidth="1"/>
    <col min="12298" max="12298" width="19.42578125" style="1013" customWidth="1"/>
    <col min="12299" max="12299" width="20.28515625" style="1013" customWidth="1"/>
    <col min="12300" max="12300" width="1.28515625" style="1013" customWidth="1"/>
    <col min="12301" max="12544" width="9.140625" style="1013"/>
    <col min="12545" max="12545" width="3.28515625" style="1013" customWidth="1"/>
    <col min="12546" max="12546" width="56.28515625" style="1013" customWidth="1"/>
    <col min="12547" max="12547" width="17.85546875" style="1013" customWidth="1"/>
    <col min="12548" max="12548" width="2.5703125" style="1013" customWidth="1"/>
    <col min="12549" max="12549" width="15.42578125" style="1013" customWidth="1"/>
    <col min="12550" max="12550" width="22.5703125" style="1013" customWidth="1"/>
    <col min="12551" max="12551" width="18.28515625" style="1013" customWidth="1"/>
    <col min="12552" max="12552" width="11.7109375" style="1013" customWidth="1"/>
    <col min="12553" max="12553" width="19.7109375" style="1013" customWidth="1"/>
    <col min="12554" max="12554" width="19.42578125" style="1013" customWidth="1"/>
    <col min="12555" max="12555" width="20.28515625" style="1013" customWidth="1"/>
    <col min="12556" max="12556" width="1.28515625" style="1013" customWidth="1"/>
    <col min="12557" max="12800" width="9.140625" style="1013"/>
    <col min="12801" max="12801" width="3.28515625" style="1013" customWidth="1"/>
    <col min="12802" max="12802" width="56.28515625" style="1013" customWidth="1"/>
    <col min="12803" max="12803" width="17.85546875" style="1013" customWidth="1"/>
    <col min="12804" max="12804" width="2.5703125" style="1013" customWidth="1"/>
    <col min="12805" max="12805" width="15.42578125" style="1013" customWidth="1"/>
    <col min="12806" max="12806" width="22.5703125" style="1013" customWidth="1"/>
    <col min="12807" max="12807" width="18.28515625" style="1013" customWidth="1"/>
    <col min="12808" max="12808" width="11.7109375" style="1013" customWidth="1"/>
    <col min="12809" max="12809" width="19.7109375" style="1013" customWidth="1"/>
    <col min="12810" max="12810" width="19.42578125" style="1013" customWidth="1"/>
    <col min="12811" max="12811" width="20.28515625" style="1013" customWidth="1"/>
    <col min="12812" max="12812" width="1.28515625" style="1013" customWidth="1"/>
    <col min="12813" max="13056" width="9.140625" style="1013"/>
    <col min="13057" max="13057" width="3.28515625" style="1013" customWidth="1"/>
    <col min="13058" max="13058" width="56.28515625" style="1013" customWidth="1"/>
    <col min="13059" max="13059" width="17.85546875" style="1013" customWidth="1"/>
    <col min="13060" max="13060" width="2.5703125" style="1013" customWidth="1"/>
    <col min="13061" max="13061" width="15.42578125" style="1013" customWidth="1"/>
    <col min="13062" max="13062" width="22.5703125" style="1013" customWidth="1"/>
    <col min="13063" max="13063" width="18.28515625" style="1013" customWidth="1"/>
    <col min="13064" max="13064" width="11.7109375" style="1013" customWidth="1"/>
    <col min="13065" max="13065" width="19.7109375" style="1013" customWidth="1"/>
    <col min="13066" max="13066" width="19.42578125" style="1013" customWidth="1"/>
    <col min="13067" max="13067" width="20.28515625" style="1013" customWidth="1"/>
    <col min="13068" max="13068" width="1.28515625" style="1013" customWidth="1"/>
    <col min="13069" max="13312" width="9.140625" style="1013"/>
    <col min="13313" max="13313" width="3.28515625" style="1013" customWidth="1"/>
    <col min="13314" max="13314" width="56.28515625" style="1013" customWidth="1"/>
    <col min="13315" max="13315" width="17.85546875" style="1013" customWidth="1"/>
    <col min="13316" max="13316" width="2.5703125" style="1013" customWidth="1"/>
    <col min="13317" max="13317" width="15.42578125" style="1013" customWidth="1"/>
    <col min="13318" max="13318" width="22.5703125" style="1013" customWidth="1"/>
    <col min="13319" max="13319" width="18.28515625" style="1013" customWidth="1"/>
    <col min="13320" max="13320" width="11.7109375" style="1013" customWidth="1"/>
    <col min="13321" max="13321" width="19.7109375" style="1013" customWidth="1"/>
    <col min="13322" max="13322" width="19.42578125" style="1013" customWidth="1"/>
    <col min="13323" max="13323" width="20.28515625" style="1013" customWidth="1"/>
    <col min="13324" max="13324" width="1.28515625" style="1013" customWidth="1"/>
    <col min="13325" max="13568" width="9.140625" style="1013"/>
    <col min="13569" max="13569" width="3.28515625" style="1013" customWidth="1"/>
    <col min="13570" max="13570" width="56.28515625" style="1013" customWidth="1"/>
    <col min="13571" max="13571" width="17.85546875" style="1013" customWidth="1"/>
    <col min="13572" max="13572" width="2.5703125" style="1013" customWidth="1"/>
    <col min="13573" max="13573" width="15.42578125" style="1013" customWidth="1"/>
    <col min="13574" max="13574" width="22.5703125" style="1013" customWidth="1"/>
    <col min="13575" max="13575" width="18.28515625" style="1013" customWidth="1"/>
    <col min="13576" max="13576" width="11.7109375" style="1013" customWidth="1"/>
    <col min="13577" max="13577" width="19.7109375" style="1013" customWidth="1"/>
    <col min="13578" max="13578" width="19.42578125" style="1013" customWidth="1"/>
    <col min="13579" max="13579" width="20.28515625" style="1013" customWidth="1"/>
    <col min="13580" max="13580" width="1.28515625" style="1013" customWidth="1"/>
    <col min="13581" max="13824" width="9.140625" style="1013"/>
    <col min="13825" max="13825" width="3.28515625" style="1013" customWidth="1"/>
    <col min="13826" max="13826" width="56.28515625" style="1013" customWidth="1"/>
    <col min="13827" max="13827" width="17.85546875" style="1013" customWidth="1"/>
    <col min="13828" max="13828" width="2.5703125" style="1013" customWidth="1"/>
    <col min="13829" max="13829" width="15.42578125" style="1013" customWidth="1"/>
    <col min="13830" max="13830" width="22.5703125" style="1013" customWidth="1"/>
    <col min="13831" max="13831" width="18.28515625" style="1013" customWidth="1"/>
    <col min="13832" max="13832" width="11.7109375" style="1013" customWidth="1"/>
    <col min="13833" max="13833" width="19.7109375" style="1013" customWidth="1"/>
    <col min="13834" max="13834" width="19.42578125" style="1013" customWidth="1"/>
    <col min="13835" max="13835" width="20.28515625" style="1013" customWidth="1"/>
    <col min="13836" max="13836" width="1.28515625" style="1013" customWidth="1"/>
    <col min="13837" max="14080" width="9.140625" style="1013"/>
    <col min="14081" max="14081" width="3.28515625" style="1013" customWidth="1"/>
    <col min="14082" max="14082" width="56.28515625" style="1013" customWidth="1"/>
    <col min="14083" max="14083" width="17.85546875" style="1013" customWidth="1"/>
    <col min="14084" max="14084" width="2.5703125" style="1013" customWidth="1"/>
    <col min="14085" max="14085" width="15.42578125" style="1013" customWidth="1"/>
    <col min="14086" max="14086" width="22.5703125" style="1013" customWidth="1"/>
    <col min="14087" max="14087" width="18.28515625" style="1013" customWidth="1"/>
    <col min="14088" max="14088" width="11.7109375" style="1013" customWidth="1"/>
    <col min="14089" max="14089" width="19.7109375" style="1013" customWidth="1"/>
    <col min="14090" max="14090" width="19.42578125" style="1013" customWidth="1"/>
    <col min="14091" max="14091" width="20.28515625" style="1013" customWidth="1"/>
    <col min="14092" max="14092" width="1.28515625" style="1013" customWidth="1"/>
    <col min="14093" max="14336" width="9.140625" style="1013"/>
    <col min="14337" max="14337" width="3.28515625" style="1013" customWidth="1"/>
    <col min="14338" max="14338" width="56.28515625" style="1013" customWidth="1"/>
    <col min="14339" max="14339" width="17.85546875" style="1013" customWidth="1"/>
    <col min="14340" max="14340" width="2.5703125" style="1013" customWidth="1"/>
    <col min="14341" max="14341" width="15.42578125" style="1013" customWidth="1"/>
    <col min="14342" max="14342" width="22.5703125" style="1013" customWidth="1"/>
    <col min="14343" max="14343" width="18.28515625" style="1013" customWidth="1"/>
    <col min="14344" max="14344" width="11.7109375" style="1013" customWidth="1"/>
    <col min="14345" max="14345" width="19.7109375" style="1013" customWidth="1"/>
    <col min="14346" max="14346" width="19.42578125" style="1013" customWidth="1"/>
    <col min="14347" max="14347" width="20.28515625" style="1013" customWidth="1"/>
    <col min="14348" max="14348" width="1.28515625" style="1013" customWidth="1"/>
    <col min="14349" max="14592" width="9.140625" style="1013"/>
    <col min="14593" max="14593" width="3.28515625" style="1013" customWidth="1"/>
    <col min="14594" max="14594" width="56.28515625" style="1013" customWidth="1"/>
    <col min="14595" max="14595" width="17.85546875" style="1013" customWidth="1"/>
    <col min="14596" max="14596" width="2.5703125" style="1013" customWidth="1"/>
    <col min="14597" max="14597" width="15.42578125" style="1013" customWidth="1"/>
    <col min="14598" max="14598" width="22.5703125" style="1013" customWidth="1"/>
    <col min="14599" max="14599" width="18.28515625" style="1013" customWidth="1"/>
    <col min="14600" max="14600" width="11.7109375" style="1013" customWidth="1"/>
    <col min="14601" max="14601" width="19.7109375" style="1013" customWidth="1"/>
    <col min="14602" max="14602" width="19.42578125" style="1013" customWidth="1"/>
    <col min="14603" max="14603" width="20.28515625" style="1013" customWidth="1"/>
    <col min="14604" max="14604" width="1.28515625" style="1013" customWidth="1"/>
    <col min="14605" max="14848" width="9.140625" style="1013"/>
    <col min="14849" max="14849" width="3.28515625" style="1013" customWidth="1"/>
    <col min="14850" max="14850" width="56.28515625" style="1013" customWidth="1"/>
    <col min="14851" max="14851" width="17.85546875" style="1013" customWidth="1"/>
    <col min="14852" max="14852" width="2.5703125" style="1013" customWidth="1"/>
    <col min="14853" max="14853" width="15.42578125" style="1013" customWidth="1"/>
    <col min="14854" max="14854" width="22.5703125" style="1013" customWidth="1"/>
    <col min="14855" max="14855" width="18.28515625" style="1013" customWidth="1"/>
    <col min="14856" max="14856" width="11.7109375" style="1013" customWidth="1"/>
    <col min="14857" max="14857" width="19.7109375" style="1013" customWidth="1"/>
    <col min="14858" max="14858" width="19.42578125" style="1013" customWidth="1"/>
    <col min="14859" max="14859" width="20.28515625" style="1013" customWidth="1"/>
    <col min="14860" max="14860" width="1.28515625" style="1013" customWidth="1"/>
    <col min="14861" max="15104" width="9.140625" style="1013"/>
    <col min="15105" max="15105" width="3.28515625" style="1013" customWidth="1"/>
    <col min="15106" max="15106" width="56.28515625" style="1013" customWidth="1"/>
    <col min="15107" max="15107" width="17.85546875" style="1013" customWidth="1"/>
    <col min="15108" max="15108" width="2.5703125" style="1013" customWidth="1"/>
    <col min="15109" max="15109" width="15.42578125" style="1013" customWidth="1"/>
    <col min="15110" max="15110" width="22.5703125" style="1013" customWidth="1"/>
    <col min="15111" max="15111" width="18.28515625" style="1013" customWidth="1"/>
    <col min="15112" max="15112" width="11.7109375" style="1013" customWidth="1"/>
    <col min="15113" max="15113" width="19.7109375" style="1013" customWidth="1"/>
    <col min="15114" max="15114" width="19.42578125" style="1013" customWidth="1"/>
    <col min="15115" max="15115" width="20.28515625" style="1013" customWidth="1"/>
    <col min="15116" max="15116" width="1.28515625" style="1013" customWidth="1"/>
    <col min="15117" max="15360" width="9.140625" style="1013"/>
    <col min="15361" max="15361" width="3.28515625" style="1013" customWidth="1"/>
    <col min="15362" max="15362" width="56.28515625" style="1013" customWidth="1"/>
    <col min="15363" max="15363" width="17.85546875" style="1013" customWidth="1"/>
    <col min="15364" max="15364" width="2.5703125" style="1013" customWidth="1"/>
    <col min="15365" max="15365" width="15.42578125" style="1013" customWidth="1"/>
    <col min="15366" max="15366" width="22.5703125" style="1013" customWidth="1"/>
    <col min="15367" max="15367" width="18.28515625" style="1013" customWidth="1"/>
    <col min="15368" max="15368" width="11.7109375" style="1013" customWidth="1"/>
    <col min="15369" max="15369" width="19.7109375" style="1013" customWidth="1"/>
    <col min="15370" max="15370" width="19.42578125" style="1013" customWidth="1"/>
    <col min="15371" max="15371" width="20.28515625" style="1013" customWidth="1"/>
    <col min="15372" max="15372" width="1.28515625" style="1013" customWidth="1"/>
    <col min="15373" max="15616" width="9.140625" style="1013"/>
    <col min="15617" max="15617" width="3.28515625" style="1013" customWidth="1"/>
    <col min="15618" max="15618" width="56.28515625" style="1013" customWidth="1"/>
    <col min="15619" max="15619" width="17.85546875" style="1013" customWidth="1"/>
    <col min="15620" max="15620" width="2.5703125" style="1013" customWidth="1"/>
    <col min="15621" max="15621" width="15.42578125" style="1013" customWidth="1"/>
    <col min="15622" max="15622" width="22.5703125" style="1013" customWidth="1"/>
    <col min="15623" max="15623" width="18.28515625" style="1013" customWidth="1"/>
    <col min="15624" max="15624" width="11.7109375" style="1013" customWidth="1"/>
    <col min="15625" max="15625" width="19.7109375" style="1013" customWidth="1"/>
    <col min="15626" max="15626" width="19.42578125" style="1013" customWidth="1"/>
    <col min="15627" max="15627" width="20.28515625" style="1013" customWidth="1"/>
    <col min="15628" max="15628" width="1.28515625" style="1013" customWidth="1"/>
    <col min="15629" max="15872" width="9.140625" style="1013"/>
    <col min="15873" max="15873" width="3.28515625" style="1013" customWidth="1"/>
    <col min="15874" max="15874" width="56.28515625" style="1013" customWidth="1"/>
    <col min="15875" max="15875" width="17.85546875" style="1013" customWidth="1"/>
    <col min="15876" max="15876" width="2.5703125" style="1013" customWidth="1"/>
    <col min="15877" max="15877" width="15.42578125" style="1013" customWidth="1"/>
    <col min="15878" max="15878" width="22.5703125" style="1013" customWidth="1"/>
    <col min="15879" max="15879" width="18.28515625" style="1013" customWidth="1"/>
    <col min="15880" max="15880" width="11.7109375" style="1013" customWidth="1"/>
    <col min="15881" max="15881" width="19.7109375" style="1013" customWidth="1"/>
    <col min="15882" max="15882" width="19.42578125" style="1013" customWidth="1"/>
    <col min="15883" max="15883" width="20.28515625" style="1013" customWidth="1"/>
    <col min="15884" max="15884" width="1.28515625" style="1013" customWidth="1"/>
    <col min="15885" max="16128" width="9.140625" style="1013"/>
    <col min="16129" max="16129" width="3.28515625" style="1013" customWidth="1"/>
    <col min="16130" max="16130" width="56.28515625" style="1013" customWidth="1"/>
    <col min="16131" max="16131" width="17.85546875" style="1013" customWidth="1"/>
    <col min="16132" max="16132" width="2.5703125" style="1013" customWidth="1"/>
    <col min="16133" max="16133" width="15.42578125" style="1013" customWidth="1"/>
    <col min="16134" max="16134" width="22.5703125" style="1013" customWidth="1"/>
    <col min="16135" max="16135" width="18.28515625" style="1013" customWidth="1"/>
    <col min="16136" max="16136" width="11.7109375" style="1013" customWidth="1"/>
    <col min="16137" max="16137" width="19.7109375" style="1013" customWidth="1"/>
    <col min="16138" max="16138" width="19.42578125" style="1013" customWidth="1"/>
    <col min="16139" max="16139" width="20.28515625" style="1013" customWidth="1"/>
    <col min="16140" max="16140" width="1.28515625" style="1013" customWidth="1"/>
    <col min="16141" max="16384" width="9.140625" style="1013"/>
  </cols>
  <sheetData>
    <row r="1" spans="1:11" ht="22.5">
      <c r="F1" s="2072"/>
    </row>
    <row r="2" spans="1:11" ht="20.25">
      <c r="B2" s="2956" t="s">
        <v>2641</v>
      </c>
      <c r="C2" s="2957"/>
      <c r="D2" s="2958"/>
      <c r="E2" s="2958"/>
      <c r="F2" s="2959"/>
      <c r="G2" s="1458"/>
    </row>
    <row r="3" spans="1:11" ht="14.25" customHeight="1">
      <c r="A3" s="281"/>
      <c r="B3" s="2960" t="s">
        <v>94</v>
      </c>
      <c r="C3" s="2961"/>
      <c r="D3" s="2962"/>
      <c r="E3" s="2962"/>
      <c r="F3" s="2963"/>
      <c r="G3" s="281"/>
      <c r="H3" s="281"/>
      <c r="I3" s="281"/>
      <c r="J3" s="2963"/>
      <c r="K3" s="2963"/>
    </row>
    <row r="4" spans="1:11" ht="15.75">
      <c r="A4" s="281"/>
      <c r="B4" s="2964"/>
      <c r="C4" s="2965"/>
      <c r="D4" s="2966"/>
      <c r="E4" s="2967"/>
      <c r="F4" s="2968" t="s">
        <v>1062</v>
      </c>
      <c r="G4" s="2969" t="s">
        <v>2642</v>
      </c>
      <c r="H4" s="2970"/>
      <c r="I4" s="2971"/>
      <c r="J4" s="2968" t="s">
        <v>1063</v>
      </c>
      <c r="K4" s="2972" t="s">
        <v>1064</v>
      </c>
    </row>
    <row r="5" spans="1:11" ht="15.75">
      <c r="A5" s="281"/>
      <c r="B5" s="2973" t="s">
        <v>809</v>
      </c>
      <c r="C5" s="2972" t="s">
        <v>1066</v>
      </c>
      <c r="D5" s="2974"/>
      <c r="E5" s="2975" t="s">
        <v>1067</v>
      </c>
      <c r="F5" s="2968" t="s">
        <v>2643</v>
      </c>
      <c r="G5" s="2976" t="s">
        <v>1076</v>
      </c>
      <c r="H5" s="2977"/>
      <c r="I5" s="2978" t="s">
        <v>1066</v>
      </c>
      <c r="J5" s="2968" t="s">
        <v>1070</v>
      </c>
      <c r="K5" s="2972" t="s">
        <v>1071</v>
      </c>
    </row>
    <row r="6" spans="1:11" ht="15.75">
      <c r="A6" s="281"/>
      <c r="B6" s="2973" t="s">
        <v>94</v>
      </c>
      <c r="C6" s="2972" t="s">
        <v>2644</v>
      </c>
      <c r="D6" s="2974"/>
      <c r="E6" s="2967"/>
      <c r="F6" s="2968" t="s">
        <v>2645</v>
      </c>
      <c r="G6" s="2972" t="s">
        <v>1089</v>
      </c>
      <c r="H6" s="2977"/>
      <c r="I6" s="2978" t="s">
        <v>2646</v>
      </c>
      <c r="J6" s="2968" t="s">
        <v>1071</v>
      </c>
      <c r="K6" s="2972" t="s">
        <v>2647</v>
      </c>
    </row>
    <row r="7" spans="1:11" ht="15.75">
      <c r="A7" s="281"/>
      <c r="B7" s="2979"/>
      <c r="C7" s="2980"/>
      <c r="D7" s="2966"/>
      <c r="E7" s="2967" t="s">
        <v>94</v>
      </c>
      <c r="F7" s="2968"/>
      <c r="G7" s="2981"/>
      <c r="H7" s="2982"/>
      <c r="I7" s="2983"/>
      <c r="J7" s="2968" t="s">
        <v>2648</v>
      </c>
      <c r="K7" s="2976"/>
    </row>
    <row r="8" spans="1:11" ht="16.5" thickBot="1">
      <c r="A8" s="281"/>
      <c r="B8" s="2984" t="s">
        <v>94</v>
      </c>
      <c r="C8" s="2985" t="s">
        <v>586</v>
      </c>
      <c r="D8" s="2986" t="s">
        <v>94</v>
      </c>
      <c r="E8" s="2987" t="s">
        <v>586</v>
      </c>
      <c r="F8" s="2987" t="s">
        <v>586</v>
      </c>
      <c r="G8" s="2985" t="s">
        <v>586</v>
      </c>
      <c r="H8" s="2986" t="s">
        <v>94</v>
      </c>
      <c r="I8" s="2987" t="s">
        <v>586</v>
      </c>
      <c r="J8" s="2987" t="s">
        <v>586</v>
      </c>
      <c r="K8" s="2985" t="s">
        <v>586</v>
      </c>
    </row>
    <row r="9" spans="1:11" ht="15.75">
      <c r="A9" s="281"/>
      <c r="B9" s="2988" t="s">
        <v>1096</v>
      </c>
      <c r="C9" s="2989"/>
      <c r="D9" s="2990"/>
      <c r="E9" s="2991"/>
      <c r="F9" s="2990"/>
      <c r="G9" s="2989"/>
      <c r="H9" s="2992"/>
      <c r="I9" s="2991"/>
      <c r="J9" s="2993" t="s">
        <v>94</v>
      </c>
      <c r="K9" s="2994"/>
    </row>
    <row r="10" spans="1:11" ht="15.75">
      <c r="A10" s="281"/>
      <c r="B10" s="1514" t="s">
        <v>1097</v>
      </c>
      <c r="C10" s="2995">
        <v>41129692</v>
      </c>
      <c r="D10" s="2996"/>
      <c r="E10" s="2997">
        <v>0</v>
      </c>
      <c r="F10" s="2998">
        <v>0</v>
      </c>
      <c r="G10" s="2999">
        <v>0</v>
      </c>
      <c r="H10" s="3000"/>
      <c r="I10" s="2997">
        <f>C10+E10-F10+G10</f>
        <v>41129692</v>
      </c>
      <c r="J10" s="2997">
        <v>0</v>
      </c>
      <c r="K10" s="3001">
        <f t="shared" ref="K10:K43" si="0">+I10-J10</f>
        <v>41129692</v>
      </c>
    </row>
    <row r="11" spans="1:11" ht="15.75">
      <c r="A11" s="281"/>
      <c r="B11" s="1514" t="s">
        <v>1098</v>
      </c>
      <c r="C11" s="2999">
        <v>771864756</v>
      </c>
      <c r="D11" s="2998"/>
      <c r="E11" s="2997">
        <v>0</v>
      </c>
      <c r="F11" s="2998">
        <v>0</v>
      </c>
      <c r="G11" s="2999">
        <v>0</v>
      </c>
      <c r="H11" s="3002" t="s">
        <v>801</v>
      </c>
      <c r="I11" s="2997">
        <f t="shared" ref="I11:I16" si="1">C11+E11-F11+G11</f>
        <v>771864756</v>
      </c>
      <c r="J11" s="2997">
        <v>278034017</v>
      </c>
      <c r="K11" s="3001">
        <f t="shared" si="0"/>
        <v>493830739</v>
      </c>
    </row>
    <row r="12" spans="1:11" ht="15.75">
      <c r="A12" s="281"/>
      <c r="B12" s="1514" t="s">
        <v>1099</v>
      </c>
      <c r="C12" s="2999">
        <v>47098636</v>
      </c>
      <c r="D12" s="2998"/>
      <c r="E12" s="2997">
        <v>2914684</v>
      </c>
      <c r="F12" s="2998">
        <v>1940140</v>
      </c>
      <c r="G12" s="2999">
        <v>0</v>
      </c>
      <c r="H12" s="3000"/>
      <c r="I12" s="2997">
        <f t="shared" si="1"/>
        <v>48073180</v>
      </c>
      <c r="J12" s="2997">
        <v>26586915</v>
      </c>
      <c r="K12" s="3001">
        <f t="shared" si="0"/>
        <v>21486265</v>
      </c>
    </row>
    <row r="13" spans="1:11" ht="15.75">
      <c r="A13" s="281"/>
      <c r="B13" s="1514" t="s">
        <v>1100</v>
      </c>
      <c r="C13" s="2999">
        <v>38379262</v>
      </c>
      <c r="D13" s="2998"/>
      <c r="E13" s="2997">
        <v>0</v>
      </c>
      <c r="F13" s="2998">
        <v>0</v>
      </c>
      <c r="G13" s="2999">
        <v>0</v>
      </c>
      <c r="H13" s="3000"/>
      <c r="I13" s="2997">
        <f t="shared" si="1"/>
        <v>38379262</v>
      </c>
      <c r="J13" s="2997">
        <v>29504353</v>
      </c>
      <c r="K13" s="3001">
        <f t="shared" si="0"/>
        <v>8874909</v>
      </c>
    </row>
    <row r="14" spans="1:11" ht="15.75">
      <c r="A14" s="281"/>
      <c r="B14" s="1514" t="s">
        <v>1101</v>
      </c>
      <c r="C14" s="2999">
        <v>53162659</v>
      </c>
      <c r="D14" s="2998"/>
      <c r="E14" s="2997">
        <v>9928585</v>
      </c>
      <c r="F14" s="2998">
        <v>2134539</v>
      </c>
      <c r="G14" s="2999">
        <v>148451</v>
      </c>
      <c r="H14" s="3000"/>
      <c r="I14" s="3003">
        <f t="shared" si="1"/>
        <v>61105156</v>
      </c>
      <c r="J14" s="2997">
        <v>28624397</v>
      </c>
      <c r="K14" s="3001">
        <f t="shared" si="0"/>
        <v>32480759</v>
      </c>
    </row>
    <row r="15" spans="1:11" ht="15.75">
      <c r="A15" s="281"/>
      <c r="B15" s="1514" t="s">
        <v>1102</v>
      </c>
      <c r="C15" s="2999">
        <v>1976855</v>
      </c>
      <c r="D15" s="2998"/>
      <c r="E15" s="2997">
        <v>214200</v>
      </c>
      <c r="F15" s="2998">
        <v>2809</v>
      </c>
      <c r="G15" s="2999">
        <v>0</v>
      </c>
      <c r="H15" s="3000"/>
      <c r="I15" s="2997">
        <f t="shared" si="1"/>
        <v>2188246</v>
      </c>
      <c r="J15" s="2997">
        <v>1201422</v>
      </c>
      <c r="K15" s="3001">
        <f t="shared" si="0"/>
        <v>986824</v>
      </c>
    </row>
    <row r="16" spans="1:11" ht="15.75">
      <c r="A16" s="281"/>
      <c r="B16" s="1514" t="s">
        <v>1103</v>
      </c>
      <c r="C16" s="2999">
        <v>3158350</v>
      </c>
      <c r="D16" s="2998"/>
      <c r="E16" s="2997">
        <v>0</v>
      </c>
      <c r="F16" s="2998">
        <v>0</v>
      </c>
      <c r="G16" s="2999">
        <v>0</v>
      </c>
      <c r="H16" s="3000"/>
      <c r="I16" s="2997">
        <f t="shared" si="1"/>
        <v>3158350</v>
      </c>
      <c r="J16" s="2997">
        <v>549210</v>
      </c>
      <c r="K16" s="3001">
        <f t="shared" si="0"/>
        <v>2609140</v>
      </c>
    </row>
    <row r="17" spans="1:15" ht="15.75">
      <c r="A17" s="281"/>
      <c r="B17" s="3004" t="s">
        <v>94</v>
      </c>
      <c r="C17" s="3005"/>
      <c r="D17" s="3006"/>
      <c r="E17" s="2997"/>
      <c r="F17" s="3006" t="s">
        <v>277</v>
      </c>
      <c r="G17" s="3005" t="s">
        <v>94</v>
      </c>
      <c r="H17" s="3007"/>
      <c r="I17" s="1516" t="s">
        <v>94</v>
      </c>
      <c r="J17" s="2997"/>
      <c r="K17" s="3001"/>
    </row>
    <row r="18" spans="1:15" ht="15.75">
      <c r="A18" s="281"/>
      <c r="B18" s="1624" t="s">
        <v>499</v>
      </c>
      <c r="C18" s="3008">
        <f>SUM(C10:C16)</f>
        <v>956770210</v>
      </c>
      <c r="D18" s="3009"/>
      <c r="E18" s="3010">
        <f>SUM(E10:E17)</f>
        <v>13057469</v>
      </c>
      <c r="F18" s="3010">
        <f>SUM(F10:F17)</f>
        <v>4077488</v>
      </c>
      <c r="G18" s="3008">
        <f>SUM(G10:G17)</f>
        <v>148451</v>
      </c>
      <c r="H18" s="3011"/>
      <c r="I18" s="3010">
        <f>SUM(I10:I17)</f>
        <v>965898642</v>
      </c>
      <c r="J18" s="3012">
        <f>SUM(J11:J17)</f>
        <v>364500314</v>
      </c>
      <c r="K18" s="3013">
        <f t="shared" si="0"/>
        <v>601398328</v>
      </c>
    </row>
    <row r="19" spans="1:15" ht="15.75">
      <c r="A19" s="281"/>
      <c r="B19" s="2988" t="s">
        <v>1104</v>
      </c>
      <c r="C19" s="1517"/>
      <c r="D19" s="3014"/>
      <c r="E19" s="1516"/>
      <c r="F19" s="3014"/>
      <c r="G19" s="1517"/>
      <c r="H19" s="3015"/>
      <c r="I19" s="1516" t="s">
        <v>94</v>
      </c>
      <c r="J19" s="2997"/>
      <c r="K19" s="3016"/>
    </row>
    <row r="20" spans="1:15" ht="15.75">
      <c r="A20" s="281"/>
      <c r="B20" s="1514" t="s">
        <v>1105</v>
      </c>
      <c r="C20" s="2999">
        <v>22953418</v>
      </c>
      <c r="D20" s="2998"/>
      <c r="E20" s="2997">
        <v>0</v>
      </c>
      <c r="F20" s="2998">
        <v>0</v>
      </c>
      <c r="G20" s="2999">
        <v>0</v>
      </c>
      <c r="H20" s="3000"/>
      <c r="I20" s="2997">
        <f t="shared" ref="I20:I29" si="2">C20+E20-F20+G20</f>
        <v>22953418</v>
      </c>
      <c r="J20" s="2997">
        <v>0</v>
      </c>
      <c r="K20" s="3001">
        <f t="shared" si="0"/>
        <v>22953418</v>
      </c>
    </row>
    <row r="21" spans="1:15" ht="15.75">
      <c r="A21" s="281"/>
      <c r="B21" s="1514" t="s">
        <v>1098</v>
      </c>
      <c r="C21" s="2999">
        <v>551201105</v>
      </c>
      <c r="D21" s="2998"/>
      <c r="E21" s="2997">
        <v>35334694</v>
      </c>
      <c r="F21" s="2998">
        <v>0</v>
      </c>
      <c r="G21" s="2999">
        <v>0</v>
      </c>
      <c r="H21" s="3000"/>
      <c r="I21" s="2997">
        <f t="shared" si="2"/>
        <v>586535799</v>
      </c>
      <c r="J21" s="2997">
        <v>172956816</v>
      </c>
      <c r="K21" s="3001">
        <f t="shared" si="0"/>
        <v>413578983</v>
      </c>
    </row>
    <row r="22" spans="1:15" ht="15.75">
      <c r="A22" s="281"/>
      <c r="B22" s="1514" t="s">
        <v>1106</v>
      </c>
      <c r="C22" s="2999">
        <v>8075779934</v>
      </c>
      <c r="D22" s="2998"/>
      <c r="E22" s="2997">
        <v>422921280</v>
      </c>
      <c r="F22" s="2998">
        <v>54781773</v>
      </c>
      <c r="G22" s="2999">
        <v>0</v>
      </c>
      <c r="H22" s="3000"/>
      <c r="I22" s="2997">
        <f t="shared" si="2"/>
        <v>8443919441</v>
      </c>
      <c r="J22" s="2997">
        <v>3088925027</v>
      </c>
      <c r="K22" s="3001">
        <f t="shared" si="0"/>
        <v>5354994414</v>
      </c>
    </row>
    <row r="23" spans="1:15" ht="15.75">
      <c r="A23" s="281"/>
      <c r="B23" s="1514" t="s">
        <v>1107</v>
      </c>
      <c r="C23" s="2999">
        <v>5412428532</v>
      </c>
      <c r="D23" s="2998"/>
      <c r="E23" s="2997">
        <v>584268735</v>
      </c>
      <c r="F23" s="2998">
        <v>6922331</v>
      </c>
      <c r="G23" s="2999">
        <v>0</v>
      </c>
      <c r="H23" s="3000"/>
      <c r="I23" s="3017">
        <f t="shared" si="2"/>
        <v>5989774936</v>
      </c>
      <c r="J23" s="2997">
        <v>1532795106</v>
      </c>
      <c r="K23" s="3001">
        <f t="shared" si="0"/>
        <v>4456979830</v>
      </c>
    </row>
    <row r="24" spans="1:15" ht="15.75">
      <c r="A24" s="281"/>
      <c r="B24" s="1514" t="s">
        <v>1108</v>
      </c>
      <c r="C24" s="2999">
        <v>1877378688</v>
      </c>
      <c r="D24" s="2998"/>
      <c r="E24" s="2997">
        <v>149503268</v>
      </c>
      <c r="F24" s="2998">
        <v>100438989</v>
      </c>
      <c r="G24" s="2999">
        <v>0</v>
      </c>
      <c r="H24" s="3000"/>
      <c r="I24" s="3017">
        <f t="shared" si="2"/>
        <v>1926442967</v>
      </c>
      <c r="J24" s="2997">
        <v>964328293</v>
      </c>
      <c r="K24" s="3001">
        <f t="shared" si="0"/>
        <v>962114674</v>
      </c>
    </row>
    <row r="25" spans="1:15" ht="15.75">
      <c r="A25" s="281"/>
      <c r="B25" s="1514" t="s">
        <v>1109</v>
      </c>
      <c r="C25" s="2999">
        <v>425572389</v>
      </c>
      <c r="D25" s="2998"/>
      <c r="E25" s="2997">
        <v>17688193</v>
      </c>
      <c r="F25" s="2998">
        <v>0</v>
      </c>
      <c r="G25" s="2999">
        <v>0</v>
      </c>
      <c r="H25" s="3000"/>
      <c r="I25" s="2997">
        <f t="shared" si="2"/>
        <v>443260582</v>
      </c>
      <c r="J25" s="2997">
        <v>290659535</v>
      </c>
      <c r="K25" s="3001">
        <f t="shared" si="0"/>
        <v>152601047</v>
      </c>
    </row>
    <row r="26" spans="1:15" ht="15.75">
      <c r="A26" s="281"/>
      <c r="B26" s="1514" t="s">
        <v>1110</v>
      </c>
      <c r="C26" s="2999">
        <v>465755</v>
      </c>
      <c r="D26" s="2998"/>
      <c r="E26" s="2997">
        <v>0</v>
      </c>
      <c r="F26" s="2998">
        <v>0</v>
      </c>
      <c r="G26" s="2999">
        <v>0</v>
      </c>
      <c r="H26" s="3000"/>
      <c r="I26" s="2997">
        <f t="shared" si="2"/>
        <v>465755</v>
      </c>
      <c r="J26" s="2997">
        <v>373621</v>
      </c>
      <c r="K26" s="3001">
        <f t="shared" si="0"/>
        <v>92134</v>
      </c>
    </row>
    <row r="27" spans="1:15" ht="15.75">
      <c r="A27" s="281"/>
      <c r="B27" s="1514" t="s">
        <v>1099</v>
      </c>
      <c r="C27" s="2999">
        <v>142454660</v>
      </c>
      <c r="D27" s="2998"/>
      <c r="E27" s="2997">
        <v>10192665</v>
      </c>
      <c r="F27" s="2998">
        <v>6551474</v>
      </c>
      <c r="G27" s="2999">
        <v>0</v>
      </c>
      <c r="H27" s="3000"/>
      <c r="I27" s="2997">
        <f t="shared" si="2"/>
        <v>146095851</v>
      </c>
      <c r="J27" s="2999">
        <v>79891309</v>
      </c>
      <c r="K27" s="3018">
        <f t="shared" si="0"/>
        <v>66204542</v>
      </c>
    </row>
    <row r="28" spans="1:15" ht="15.75">
      <c r="A28" s="281"/>
      <c r="B28" s="1514" t="s">
        <v>1102</v>
      </c>
      <c r="C28" s="2999">
        <v>179807300</v>
      </c>
      <c r="D28" s="2998"/>
      <c r="E28" s="2997">
        <v>53990721</v>
      </c>
      <c r="F28" s="2998">
        <v>3015508</v>
      </c>
      <c r="G28" s="2999">
        <v>-612238</v>
      </c>
      <c r="H28" s="3000"/>
      <c r="I28" s="2997">
        <f t="shared" si="2"/>
        <v>230170275</v>
      </c>
      <c r="J28" s="2997">
        <v>85199136</v>
      </c>
      <c r="K28" s="3001">
        <f t="shared" si="0"/>
        <v>144971139</v>
      </c>
    </row>
    <row r="29" spans="1:15" ht="15.75">
      <c r="A29" s="281"/>
      <c r="B29" s="1514" t="s">
        <v>1101</v>
      </c>
      <c r="C29" s="2999">
        <v>218635167</v>
      </c>
      <c r="D29" s="2998"/>
      <c r="E29" s="2997">
        <v>24594019</v>
      </c>
      <c r="F29" s="2998">
        <v>1804730</v>
      </c>
      <c r="G29" s="2999">
        <v>-235651</v>
      </c>
      <c r="H29" s="3000"/>
      <c r="I29" s="2997">
        <f t="shared" si="2"/>
        <v>241188805</v>
      </c>
      <c r="J29" s="2997">
        <v>134160862</v>
      </c>
      <c r="K29" s="3001">
        <f t="shared" si="0"/>
        <v>107027943</v>
      </c>
    </row>
    <row r="30" spans="1:15" ht="15.75">
      <c r="A30" s="281"/>
      <c r="B30" s="3004" t="s">
        <v>94</v>
      </c>
      <c r="C30" s="3005"/>
      <c r="D30" s="3006"/>
      <c r="E30" s="2997" t="s">
        <v>277</v>
      </c>
      <c r="F30" s="3019" t="s">
        <v>94</v>
      </c>
      <c r="G30" s="3005" t="s">
        <v>94</v>
      </c>
      <c r="H30" s="3000"/>
      <c r="I30" s="1516"/>
      <c r="J30" s="3020"/>
      <c r="K30" s="3001"/>
    </row>
    <row r="31" spans="1:15" ht="15.75">
      <c r="A31" s="281"/>
      <c r="B31" s="1624" t="s">
        <v>499</v>
      </c>
      <c r="C31" s="3008">
        <f>SUM(C20:C29)</f>
        <v>16906676948</v>
      </c>
      <c r="D31" s="3021" t="s">
        <v>2538</v>
      </c>
      <c r="E31" s="3010">
        <f>SUM(E20:E30)</f>
        <v>1298493575</v>
      </c>
      <c r="F31" s="3010">
        <f>SUM(F20:F30)</f>
        <v>173514805</v>
      </c>
      <c r="G31" s="3008">
        <f>SUM(G20:G30)</f>
        <v>-847889</v>
      </c>
      <c r="H31" s="3022" t="s">
        <v>2537</v>
      </c>
      <c r="I31" s="3010">
        <f>SUM(I20:I30)</f>
        <v>18030807829</v>
      </c>
      <c r="J31" s="3012">
        <f>SUM(J21:J30)</f>
        <v>6349289705</v>
      </c>
      <c r="K31" s="3013">
        <f t="shared" si="0"/>
        <v>11681518124</v>
      </c>
      <c r="M31" s="1962"/>
      <c r="O31" s="1962"/>
    </row>
    <row r="32" spans="1:15" ht="15.75">
      <c r="A32" s="281"/>
      <c r="B32" s="2988" t="s">
        <v>869</v>
      </c>
      <c r="C32" s="2999"/>
      <c r="D32" s="2998"/>
      <c r="E32" s="1516"/>
      <c r="F32" s="3014"/>
      <c r="G32" s="1517"/>
      <c r="H32" s="3023"/>
      <c r="I32" s="1516" t="s">
        <v>94</v>
      </c>
      <c r="J32" s="2997"/>
      <c r="K32" s="3001"/>
    </row>
    <row r="33" spans="1:13" ht="15.75">
      <c r="A33" s="281"/>
      <c r="B33" s="1514" t="s">
        <v>1097</v>
      </c>
      <c r="C33" s="2999">
        <v>356188496</v>
      </c>
      <c r="D33" s="2998"/>
      <c r="E33" s="2997">
        <v>0</v>
      </c>
      <c r="F33" s="2998">
        <v>0</v>
      </c>
      <c r="G33" s="2999">
        <v>0</v>
      </c>
      <c r="H33" s="3024"/>
      <c r="I33" s="2997">
        <f t="shared" ref="I33:I39" si="3">C33+E33-F33+G33</f>
        <v>356188496</v>
      </c>
      <c r="J33" s="2997">
        <v>0</v>
      </c>
      <c r="K33" s="3001">
        <f t="shared" si="0"/>
        <v>356188496</v>
      </c>
    </row>
    <row r="34" spans="1:13" ht="15.75">
      <c r="A34" s="281"/>
      <c r="B34" s="1514" t="s">
        <v>1098</v>
      </c>
      <c r="C34" s="2999">
        <v>1129995578</v>
      </c>
      <c r="D34" s="2998"/>
      <c r="E34" s="2997">
        <v>34803130</v>
      </c>
      <c r="F34" s="2998">
        <v>0</v>
      </c>
      <c r="G34" s="2999">
        <v>0</v>
      </c>
      <c r="H34" s="3024"/>
      <c r="I34" s="2997">
        <f t="shared" si="3"/>
        <v>1164798708</v>
      </c>
      <c r="J34" s="2997">
        <v>401660393</v>
      </c>
      <c r="K34" s="3001">
        <f t="shared" si="0"/>
        <v>763138315</v>
      </c>
    </row>
    <row r="35" spans="1:13" ht="15.75">
      <c r="A35" s="281"/>
      <c r="B35" s="1514" t="s">
        <v>869</v>
      </c>
      <c r="C35" s="3025">
        <v>9831454424</v>
      </c>
      <c r="D35" s="2998"/>
      <c r="E35" s="2997">
        <v>3548344</v>
      </c>
      <c r="F35" s="2998">
        <v>172158732</v>
      </c>
      <c r="G35" s="2999">
        <v>0</v>
      </c>
      <c r="H35" s="3024" t="s">
        <v>1685</v>
      </c>
      <c r="I35" s="2997">
        <f t="shared" si="3"/>
        <v>9662844036</v>
      </c>
      <c r="J35" s="2997">
        <v>5451243543</v>
      </c>
      <c r="K35" s="3001">
        <f t="shared" si="0"/>
        <v>4211600493</v>
      </c>
    </row>
    <row r="36" spans="1:13" ht="15.75">
      <c r="A36" s="281"/>
      <c r="B36" s="1514" t="s">
        <v>1099</v>
      </c>
      <c r="C36" s="2999">
        <v>100130153</v>
      </c>
      <c r="D36" s="2998"/>
      <c r="E36" s="2997">
        <v>8740452</v>
      </c>
      <c r="F36" s="2998">
        <v>5409222</v>
      </c>
      <c r="G36" s="2999">
        <v>0</v>
      </c>
      <c r="H36" s="3000"/>
      <c r="I36" s="2997">
        <f t="shared" si="3"/>
        <v>103461383</v>
      </c>
      <c r="J36" s="2997">
        <v>77285749</v>
      </c>
      <c r="K36" s="3001">
        <f t="shared" si="0"/>
        <v>26175634</v>
      </c>
    </row>
    <row r="37" spans="1:13" ht="15.75">
      <c r="A37" s="281"/>
      <c r="B37" s="1514" t="s">
        <v>1111</v>
      </c>
      <c r="C37" s="2999">
        <v>49366319</v>
      </c>
      <c r="D37" s="2998"/>
      <c r="E37" s="2997">
        <v>0</v>
      </c>
      <c r="F37" s="2998">
        <v>0</v>
      </c>
      <c r="G37" s="2999">
        <v>0</v>
      </c>
      <c r="H37" s="3000"/>
      <c r="I37" s="2997">
        <f t="shared" si="3"/>
        <v>49366319</v>
      </c>
      <c r="J37" s="2997">
        <v>23461939</v>
      </c>
      <c r="K37" s="3001">
        <f t="shared" si="0"/>
        <v>25904380</v>
      </c>
    </row>
    <row r="38" spans="1:13" ht="15.75">
      <c r="A38" s="281"/>
      <c r="B38" s="1514" t="s">
        <v>1102</v>
      </c>
      <c r="C38" s="2999">
        <v>88116795</v>
      </c>
      <c r="D38" s="2998"/>
      <c r="E38" s="2997">
        <v>1968732</v>
      </c>
      <c r="F38" s="2998">
        <v>5238610</v>
      </c>
      <c r="G38" s="2999">
        <v>0</v>
      </c>
      <c r="H38" s="3000"/>
      <c r="I38" s="2997">
        <f t="shared" si="3"/>
        <v>84846917</v>
      </c>
      <c r="J38" s="2997">
        <v>53579597</v>
      </c>
      <c r="K38" s="3001">
        <f t="shared" si="0"/>
        <v>31267320</v>
      </c>
    </row>
    <row r="39" spans="1:13" ht="15.75">
      <c r="A39" s="281"/>
      <c r="B39" s="1514" t="s">
        <v>1101</v>
      </c>
      <c r="C39" s="2999">
        <v>116024234</v>
      </c>
      <c r="D39" s="2998"/>
      <c r="E39" s="2997">
        <v>37214852</v>
      </c>
      <c r="F39" s="2998">
        <v>7520658</v>
      </c>
      <c r="G39" s="2999">
        <v>699438</v>
      </c>
      <c r="H39" s="3000"/>
      <c r="I39" s="2997">
        <f t="shared" si="3"/>
        <v>146417866</v>
      </c>
      <c r="J39" s="2997">
        <v>60760459</v>
      </c>
      <c r="K39" s="3018">
        <f t="shared" si="0"/>
        <v>85657407</v>
      </c>
    </row>
    <row r="40" spans="1:13" ht="15.75">
      <c r="A40" s="281"/>
      <c r="B40" s="3004" t="s">
        <v>94</v>
      </c>
      <c r="C40" s="3005"/>
      <c r="D40" s="3006"/>
      <c r="E40" s="1516" t="s">
        <v>94</v>
      </c>
      <c r="F40" s="3006" t="s">
        <v>277</v>
      </c>
      <c r="G40" s="3026" t="s">
        <v>94</v>
      </c>
      <c r="H40" s="3027"/>
      <c r="I40" s="2997" t="s">
        <v>94</v>
      </c>
      <c r="J40" s="3028" t="s">
        <v>94</v>
      </c>
      <c r="K40" s="3001"/>
    </row>
    <row r="41" spans="1:13" ht="15.75">
      <c r="A41" s="281"/>
      <c r="B41" s="1624" t="s">
        <v>499</v>
      </c>
      <c r="C41" s="3008">
        <f>SUM(C33:C39)</f>
        <v>11671275999</v>
      </c>
      <c r="D41" s="3021"/>
      <c r="E41" s="3010">
        <f>SUM(E32:E40)</f>
        <v>86275510</v>
      </c>
      <c r="F41" s="3010">
        <f>SUM(F32:F40)</f>
        <v>190327222</v>
      </c>
      <c r="G41" s="3008">
        <f>SUM(G32:G40)</f>
        <v>699438</v>
      </c>
      <c r="H41" s="3029"/>
      <c r="I41" s="3010">
        <f>SUM(I32:I40)</f>
        <v>11567923725</v>
      </c>
      <c r="J41" s="3012">
        <f>SUM(J33:J40)</f>
        <v>6067991680</v>
      </c>
      <c r="K41" s="3013">
        <f t="shared" si="0"/>
        <v>5499932045</v>
      </c>
    </row>
    <row r="42" spans="1:13" ht="15.75">
      <c r="A42" s="281"/>
      <c r="B42" s="1514" t="s">
        <v>94</v>
      </c>
      <c r="C42" s="1517"/>
      <c r="D42" s="3014"/>
      <c r="E42" s="3030" t="s">
        <v>94</v>
      </c>
      <c r="F42" s="3031" t="s">
        <v>94</v>
      </c>
      <c r="G42" s="3032" t="s">
        <v>94</v>
      </c>
      <c r="H42" s="3015"/>
      <c r="I42" s="2997" t="s">
        <v>94</v>
      </c>
      <c r="J42" s="3018"/>
      <c r="K42" s="3001"/>
    </row>
    <row r="43" spans="1:13" ht="16.5" thickBot="1">
      <c r="A43" s="281"/>
      <c r="B43" s="3033" t="s">
        <v>1112</v>
      </c>
      <c r="C43" s="3034">
        <f>+C41+C31+C18</f>
        <v>29534723157</v>
      </c>
      <c r="D43" s="3035" t="s">
        <v>2053</v>
      </c>
      <c r="E43" s="3036">
        <f>E41+E31+E18</f>
        <v>1397826554</v>
      </c>
      <c r="F43" s="3036">
        <f>+F41+F31+F18</f>
        <v>367919515</v>
      </c>
      <c r="G43" s="3037">
        <f>+G41+G31+G18</f>
        <v>0</v>
      </c>
      <c r="H43" s="3038" t="s">
        <v>2649</v>
      </c>
      <c r="I43" s="3036">
        <f>+I41+I31+I18</f>
        <v>30564630196</v>
      </c>
      <c r="J43" s="3036">
        <f>+J41+J31+J18</f>
        <v>12781781699</v>
      </c>
      <c r="K43" s="3039">
        <f t="shared" si="0"/>
        <v>17782848497</v>
      </c>
    </row>
    <row r="44" spans="1:13" ht="15.75">
      <c r="A44" s="281"/>
      <c r="B44" s="281"/>
      <c r="C44" s="281"/>
      <c r="D44" s="281"/>
      <c r="E44" s="281"/>
      <c r="F44" s="281"/>
      <c r="G44" s="281"/>
      <c r="H44" s="281"/>
      <c r="I44" s="281"/>
      <c r="J44" s="2959"/>
      <c r="K44" s="3040"/>
    </row>
    <row r="45" spans="1:13" ht="15.75">
      <c r="A45" s="3041" t="s">
        <v>94</v>
      </c>
      <c r="B45" s="3042" t="s">
        <v>2681</v>
      </c>
      <c r="C45" s="3043"/>
      <c r="D45" s="3043"/>
      <c r="E45" s="3043"/>
      <c r="F45" s="3043"/>
      <c r="G45" s="3043"/>
      <c r="H45" s="3043"/>
      <c r="I45" s="3043"/>
      <c r="J45" s="3043"/>
      <c r="K45" s="3044"/>
      <c r="L45" s="3043"/>
      <c r="M45" s="3045"/>
    </row>
    <row r="46" spans="1:13" ht="15.75">
      <c r="A46" s="3041"/>
      <c r="B46" s="3042" t="s">
        <v>2682</v>
      </c>
      <c r="C46" s="3043"/>
      <c r="D46" s="3043"/>
      <c r="E46" s="3043"/>
      <c r="F46" s="3043"/>
      <c r="G46" s="3046"/>
      <c r="H46" s="3043"/>
      <c r="I46" s="3043"/>
      <c r="J46" s="3043"/>
      <c r="K46" s="3043"/>
      <c r="L46" s="3043"/>
      <c r="M46" s="3045"/>
    </row>
    <row r="47" spans="1:13" ht="15.75">
      <c r="A47" s="3041"/>
      <c r="B47" s="3047" t="s">
        <v>2683</v>
      </c>
      <c r="C47" s="3043"/>
      <c r="D47" s="3043"/>
      <c r="E47" s="3043"/>
      <c r="F47" s="3043"/>
      <c r="G47" s="3043"/>
      <c r="H47" s="3043"/>
      <c r="I47" s="3043"/>
      <c r="J47" s="3043"/>
      <c r="K47" s="3043"/>
      <c r="L47" s="3043"/>
      <c r="M47" s="3045"/>
    </row>
    <row r="48" spans="1:13">
      <c r="A48" s="3041"/>
      <c r="B48" s="3047" t="s">
        <v>2684</v>
      </c>
      <c r="C48" s="3047"/>
      <c r="D48" s="3047"/>
      <c r="E48" s="3047"/>
      <c r="F48" s="3047"/>
      <c r="G48" s="3041"/>
      <c r="H48" s="3041"/>
      <c r="I48" s="3041"/>
      <c r="J48" s="3041"/>
      <c r="K48" s="3041"/>
      <c r="L48" s="3047"/>
      <c r="M48" s="3047"/>
    </row>
    <row r="49" spans="1:13">
      <c r="A49" s="3041"/>
      <c r="B49" s="3048" t="s">
        <v>2685</v>
      </c>
      <c r="C49" s="3047"/>
      <c r="D49" s="3047"/>
      <c r="E49" s="3047"/>
      <c r="F49" s="3047"/>
      <c r="G49" s="3041"/>
      <c r="H49" s="3041"/>
      <c r="I49" s="3041"/>
      <c r="J49" s="3041"/>
      <c r="L49" s="3047"/>
      <c r="M49" s="3047"/>
    </row>
    <row r="50" spans="1:13">
      <c r="A50" s="3041"/>
      <c r="B50" s="3048" t="s">
        <v>2686</v>
      </c>
      <c r="C50" s="3047"/>
      <c r="D50" s="3047"/>
      <c r="E50" s="3047"/>
      <c r="F50" s="3047"/>
      <c r="G50" s="3041"/>
      <c r="H50" s="3041"/>
      <c r="I50" s="3041"/>
      <c r="J50" s="3041"/>
      <c r="K50" s="3041" t="s">
        <v>94</v>
      </c>
      <c r="L50" s="3047"/>
      <c r="M50" s="3047"/>
    </row>
    <row r="51" spans="1:13">
      <c r="B51" s="3041"/>
      <c r="K51" s="1013" t="s">
        <v>2650</v>
      </c>
    </row>
    <row r="52" spans="1:13">
      <c r="B52" s="3041"/>
    </row>
    <row r="53" spans="1:13" ht="15.75">
      <c r="A53" s="3041"/>
      <c r="B53" s="3049" t="s">
        <v>94</v>
      </c>
      <c r="D53" s="3041"/>
      <c r="E53" s="3041"/>
      <c r="F53" s="3041"/>
      <c r="G53" s="3050" t="s">
        <v>2651</v>
      </c>
      <c r="I53" s="3041"/>
      <c r="J53" s="3041"/>
      <c r="K53" s="3041"/>
      <c r="L53" s="3047"/>
      <c r="M53" s="3047"/>
    </row>
    <row r="54" spans="1:13" ht="18.75">
      <c r="A54" s="3041"/>
      <c r="B54" s="3049"/>
      <c r="C54" s="3051"/>
      <c r="D54" s="3041"/>
      <c r="E54" s="3041"/>
      <c r="F54" s="3041"/>
      <c r="G54" s="3041"/>
      <c r="H54" s="3041"/>
      <c r="I54" s="3041"/>
      <c r="J54" s="3041"/>
      <c r="K54" s="3041"/>
      <c r="L54" s="3047"/>
      <c r="M54" s="3047"/>
    </row>
    <row r="55" spans="1:13">
      <c r="A55" s="3041"/>
      <c r="B55" s="3052" t="s">
        <v>2652</v>
      </c>
      <c r="C55" s="3041"/>
      <c r="D55" s="3041"/>
      <c r="E55" s="3041"/>
      <c r="F55" s="3041"/>
      <c r="G55" s="3041"/>
      <c r="H55" s="3041"/>
      <c r="I55" s="3041"/>
      <c r="J55" s="3041"/>
      <c r="K55" s="3041"/>
      <c r="L55" s="3047"/>
      <c r="M55" s="3047"/>
    </row>
    <row r="56" spans="1:13">
      <c r="A56" s="3041"/>
      <c r="B56" s="3041"/>
      <c r="C56" s="3041"/>
      <c r="D56" s="3041"/>
      <c r="E56" s="3041"/>
      <c r="F56" s="3041"/>
      <c r="G56" s="3041"/>
      <c r="H56" s="3041"/>
      <c r="I56" s="3041"/>
      <c r="J56" s="3041"/>
      <c r="K56" s="3041"/>
      <c r="L56" s="3047"/>
      <c r="M56" s="3047"/>
    </row>
    <row r="57" spans="1:13">
      <c r="A57" s="3041"/>
      <c r="B57" s="3047" t="s">
        <v>2687</v>
      </c>
      <c r="C57" s="3041"/>
      <c r="D57" s="3041"/>
      <c r="E57" s="3041"/>
      <c r="F57" s="3041"/>
      <c r="G57" s="3041"/>
      <c r="H57" s="3041"/>
      <c r="I57" s="3041"/>
      <c r="J57" s="3041"/>
      <c r="K57" s="3041"/>
      <c r="L57" s="3047"/>
      <c r="M57" s="3047"/>
    </row>
    <row r="58" spans="1:13">
      <c r="A58" s="3041"/>
      <c r="B58" s="3041" t="s">
        <v>2688</v>
      </c>
      <c r="C58" s="3041"/>
      <c r="D58" s="3041"/>
      <c r="E58" s="3041"/>
      <c r="F58" s="3041"/>
      <c r="G58" s="3041"/>
      <c r="H58" s="3041"/>
      <c r="I58" s="3041"/>
      <c r="J58" s="3041"/>
      <c r="K58" s="3041"/>
    </row>
    <row r="59" spans="1:13">
      <c r="A59" s="3041"/>
      <c r="B59" s="3041" t="s">
        <v>2653</v>
      </c>
      <c r="C59" s="3041"/>
      <c r="D59" s="3041"/>
      <c r="E59" s="3041"/>
      <c r="F59" s="3041"/>
      <c r="G59" s="3041"/>
      <c r="H59" s="3041"/>
      <c r="I59" s="3041"/>
      <c r="J59" s="3041"/>
      <c r="K59" s="3041"/>
    </row>
    <row r="60" spans="1:13">
      <c r="A60" s="3041"/>
      <c r="B60" s="3041" t="s">
        <v>2654</v>
      </c>
      <c r="C60" s="3041"/>
      <c r="D60" s="3041"/>
      <c r="E60" s="3041"/>
      <c r="F60" s="3041"/>
      <c r="G60" s="3041"/>
      <c r="H60" s="3041"/>
      <c r="I60" s="3041"/>
      <c r="J60" s="3041"/>
      <c r="K60" s="3041"/>
    </row>
    <row r="61" spans="1:13">
      <c r="A61" s="3041"/>
      <c r="B61" s="3041" t="s">
        <v>2655</v>
      </c>
      <c r="C61" s="3041"/>
      <c r="D61" s="3041"/>
      <c r="E61" s="3041"/>
      <c r="F61" s="3041"/>
      <c r="G61" s="3041"/>
      <c r="H61" s="3041"/>
      <c r="I61" s="3041"/>
      <c r="J61" s="3041"/>
      <c r="K61" s="3041"/>
    </row>
    <row r="62" spans="1:13">
      <c r="A62" s="3041"/>
      <c r="B62" s="3053" t="s">
        <v>94</v>
      </c>
      <c r="C62" s="3041"/>
      <c r="D62" s="3041"/>
      <c r="E62" s="3041"/>
      <c r="F62" s="3041"/>
      <c r="G62" s="3041"/>
      <c r="H62" s="3041"/>
      <c r="I62" s="3041"/>
      <c r="J62" s="3041"/>
      <c r="K62" s="3041"/>
    </row>
    <row r="63" spans="1:13">
      <c r="A63" s="3054" t="s">
        <v>94</v>
      </c>
      <c r="B63" s="3055" t="s">
        <v>94</v>
      </c>
      <c r="C63" s="3054" t="s">
        <v>94</v>
      </c>
      <c r="D63" s="3054" t="s">
        <v>94</v>
      </c>
      <c r="E63" s="3054"/>
      <c r="F63" s="3054" t="s">
        <v>94</v>
      </c>
      <c r="G63" s="3054" t="s">
        <v>94</v>
      </c>
      <c r="H63" s="3054" t="s">
        <v>94</v>
      </c>
      <c r="I63" s="3054" t="s">
        <v>94</v>
      </c>
      <c r="J63" s="3053" t="s">
        <v>94</v>
      </c>
      <c r="K63" s="3053" t="s">
        <v>277</v>
      </c>
    </row>
    <row r="64" spans="1:13">
      <c r="A64" s="3056" t="s">
        <v>450</v>
      </c>
      <c r="B64" s="3057" t="s">
        <v>2656</v>
      </c>
      <c r="C64" s="3058" t="s">
        <v>2657</v>
      </c>
      <c r="D64" s="1427"/>
      <c r="E64" s="3059" t="s">
        <v>2658</v>
      </c>
      <c r="F64" s="3057" t="s">
        <v>2659</v>
      </c>
      <c r="G64" s="3058" t="s">
        <v>2660</v>
      </c>
      <c r="H64" s="3060" t="s">
        <v>2661</v>
      </c>
      <c r="I64" s="3058" t="s">
        <v>2662</v>
      </c>
    </row>
    <row r="65" spans="1:12">
      <c r="A65" s="3061" t="s">
        <v>452</v>
      </c>
      <c r="B65" s="3062"/>
      <c r="C65" s="3063" t="s">
        <v>2663</v>
      </c>
      <c r="D65" s="1427"/>
      <c r="E65" s="3064" t="s">
        <v>2664</v>
      </c>
      <c r="F65" s="3065" t="s">
        <v>2665</v>
      </c>
      <c r="G65" s="3063" t="s">
        <v>2666</v>
      </c>
      <c r="H65" s="3060" t="s">
        <v>2667</v>
      </c>
      <c r="I65" s="3063" t="s">
        <v>2663</v>
      </c>
    </row>
    <row r="66" spans="1:12">
      <c r="A66" s="3062"/>
      <c r="B66" s="3066" t="s">
        <v>94</v>
      </c>
      <c r="C66" s="3067"/>
      <c r="D66" s="1427"/>
      <c r="E66" s="3064" t="s">
        <v>2668</v>
      </c>
      <c r="F66" s="3065" t="s">
        <v>2669</v>
      </c>
      <c r="G66" s="3063" t="s">
        <v>2670</v>
      </c>
      <c r="H66" s="3060" t="s">
        <v>2670</v>
      </c>
      <c r="I66" s="3063" t="s">
        <v>2671</v>
      </c>
    </row>
    <row r="67" spans="1:12">
      <c r="A67" s="3062"/>
      <c r="B67" s="3066"/>
      <c r="C67" s="3067"/>
      <c r="D67" s="1427"/>
      <c r="E67" s="3064" t="s">
        <v>2672</v>
      </c>
      <c r="F67" s="3068"/>
      <c r="G67" s="3063"/>
      <c r="H67" s="3060"/>
      <c r="I67" s="3063"/>
    </row>
    <row r="68" spans="1:12">
      <c r="A68" s="3069" t="s">
        <v>94</v>
      </c>
      <c r="B68" s="3070" t="s">
        <v>94</v>
      </c>
      <c r="C68" s="3071" t="s">
        <v>277</v>
      </c>
      <c r="D68" s="2161"/>
      <c r="E68" s="3072" t="s">
        <v>586</v>
      </c>
      <c r="F68" s="3072" t="s">
        <v>586</v>
      </c>
      <c r="G68" s="3072" t="s">
        <v>586</v>
      </c>
      <c r="H68" s="3072" t="s">
        <v>586</v>
      </c>
      <c r="I68" s="3073" t="s">
        <v>94</v>
      </c>
    </row>
    <row r="69" spans="1:12">
      <c r="A69" s="3074">
        <v>1</v>
      </c>
      <c r="B69" s="3075" t="s">
        <v>2673</v>
      </c>
      <c r="C69" s="3076" t="s">
        <v>2674</v>
      </c>
      <c r="D69" s="3075"/>
      <c r="E69" s="3047">
        <v>37569273</v>
      </c>
      <c r="F69" s="3075">
        <v>53228290</v>
      </c>
      <c r="G69" s="3077">
        <f t="shared" ref="G69:G74" si="4">F69</f>
        <v>53228290</v>
      </c>
      <c r="H69" s="3078">
        <v>0</v>
      </c>
      <c r="I69" s="3076">
        <v>7</v>
      </c>
    </row>
    <row r="70" spans="1:12">
      <c r="A70" s="3074">
        <v>2</v>
      </c>
      <c r="B70" s="3075" t="s">
        <v>2675</v>
      </c>
      <c r="C70" s="3076" t="s">
        <v>2674</v>
      </c>
      <c r="D70" s="3075"/>
      <c r="E70" s="3047">
        <v>30715425</v>
      </c>
      <c r="F70" s="3075">
        <v>43837448</v>
      </c>
      <c r="G70" s="3077">
        <f t="shared" si="4"/>
        <v>43837448</v>
      </c>
      <c r="H70" s="3078">
        <v>0</v>
      </c>
      <c r="I70" s="3079">
        <v>7</v>
      </c>
    </row>
    <row r="71" spans="1:12">
      <c r="A71" s="3074">
        <v>3</v>
      </c>
      <c r="B71" s="3075" t="s">
        <v>2676</v>
      </c>
      <c r="C71" s="3076" t="s">
        <v>2674</v>
      </c>
      <c r="D71" s="3075"/>
      <c r="E71" s="3047">
        <v>69595815</v>
      </c>
      <c r="F71" s="3075">
        <v>99953398</v>
      </c>
      <c r="G71" s="3077">
        <f t="shared" si="4"/>
        <v>99953398</v>
      </c>
      <c r="H71" s="3078">
        <v>0</v>
      </c>
      <c r="I71" s="3079">
        <v>15</v>
      </c>
    </row>
    <row r="72" spans="1:12">
      <c r="A72" s="3074">
        <v>4</v>
      </c>
      <c r="B72" s="3080" t="s">
        <v>2677</v>
      </c>
      <c r="C72" s="3076" t="s">
        <v>2674</v>
      </c>
      <c r="D72" s="3075"/>
      <c r="E72" s="3047">
        <v>53798567</v>
      </c>
      <c r="F72" s="3075">
        <v>77265416</v>
      </c>
      <c r="G72" s="3077">
        <f t="shared" si="4"/>
        <v>77265416</v>
      </c>
      <c r="H72" s="3078">
        <v>0</v>
      </c>
      <c r="I72" s="3079">
        <v>15</v>
      </c>
    </row>
    <row r="73" spans="1:12">
      <c r="A73" s="3074">
        <v>5</v>
      </c>
      <c r="B73" s="3075" t="s">
        <v>2678</v>
      </c>
      <c r="C73" s="3076" t="s">
        <v>2679</v>
      </c>
      <c r="D73" s="3075"/>
      <c r="E73" s="3047">
        <v>197624738</v>
      </c>
      <c r="F73" s="3075">
        <v>280178148</v>
      </c>
      <c r="G73" s="3077">
        <f t="shared" si="4"/>
        <v>280178148</v>
      </c>
      <c r="H73" s="3078">
        <v>0</v>
      </c>
      <c r="I73" s="3079">
        <v>15</v>
      </c>
    </row>
    <row r="74" spans="1:12">
      <c r="A74" s="3074">
        <v>6</v>
      </c>
      <c r="B74" s="3080" t="s">
        <v>2680</v>
      </c>
      <c r="C74" s="3076" t="s">
        <v>2674</v>
      </c>
      <c r="D74" s="3075"/>
      <c r="E74" s="3047">
        <v>96964093</v>
      </c>
      <c r="F74" s="3075">
        <v>136343306</v>
      </c>
      <c r="G74" s="3077">
        <f t="shared" si="4"/>
        <v>136343306</v>
      </c>
      <c r="H74" s="3078">
        <v>0</v>
      </c>
      <c r="I74" s="3079">
        <v>15</v>
      </c>
    </row>
    <row r="75" spans="1:12" ht="15.75" thickBot="1">
      <c r="A75" s="3081"/>
      <c r="B75" s="3082"/>
      <c r="C75" s="3083"/>
      <c r="D75" s="3081"/>
      <c r="E75" s="3084"/>
      <c r="F75" s="3081"/>
      <c r="G75" s="1444"/>
      <c r="H75" s="3081"/>
      <c r="I75" s="3085"/>
      <c r="J75" s="3075"/>
      <c r="K75" s="3086"/>
      <c r="L75" s="1458"/>
    </row>
    <row r="76" spans="1:12">
      <c r="A76" s="3045"/>
      <c r="C76" s="3087"/>
      <c r="D76" s="3088"/>
      <c r="E76" s="3045"/>
      <c r="F76" s="3044" t="s">
        <v>94</v>
      </c>
      <c r="G76" s="3044" t="s">
        <v>94</v>
      </c>
      <c r="H76" s="3044" t="s">
        <v>94</v>
      </c>
      <c r="I76" s="3045" t="s">
        <v>94</v>
      </c>
      <c r="J76" s="3044" t="s">
        <v>94</v>
      </c>
      <c r="K76" s="3044"/>
    </row>
    <row r="77" spans="1:12">
      <c r="E77" s="1013" t="s">
        <v>94</v>
      </c>
    </row>
    <row r="78" spans="1:12">
      <c r="E78" s="1458"/>
    </row>
  </sheetData>
  <printOptions horizontalCentered="1" verticalCentered="1"/>
  <pageMargins left="0" right="0" top="0.12" bottom="0.16" header="0.12" footer="0.18"/>
  <pageSetup paperSize="9" scale="70" orientation="landscape" r:id="rId1"/>
  <rowBreaks count="1" manualBreakCount="1">
    <brk id="49" min="1" max="11" man="1"/>
  </rowBreaks>
</worksheet>
</file>

<file path=xl/worksheets/sheet142.xml><?xml version="1.0" encoding="utf-8"?>
<worksheet xmlns="http://schemas.openxmlformats.org/spreadsheetml/2006/main" xmlns:r="http://schemas.openxmlformats.org/officeDocument/2006/relationships">
  <sheetPr codeName="Sheet121">
    <tabColor theme="1" tint="4.9989318521683403E-2"/>
  </sheetPr>
  <dimension ref="B1:AM66"/>
  <sheetViews>
    <sheetView showGridLines="0" zoomScale="60" zoomScaleNormal="60" zoomScaleSheetLayoutView="100" workbookViewId="0">
      <pane xSplit="16" ySplit="11" topLeftCell="S12" activePane="bottomRight" state="frozen"/>
      <selection activeCell="A37" sqref="A37:XFD37"/>
      <selection pane="topRight" activeCell="A37" sqref="A37:XFD37"/>
      <selection pane="bottomLeft" activeCell="A37" sqref="A37:XFD37"/>
      <selection pane="bottomRight" activeCell="A37" sqref="A37:XFD37"/>
    </sheetView>
  </sheetViews>
  <sheetFormatPr defaultRowHeight="15"/>
  <cols>
    <col min="1" max="1" width="1.140625" style="1109" customWidth="1"/>
    <col min="2" max="2" width="51.5703125" style="1109" customWidth="1"/>
    <col min="3" max="3" width="21.7109375" style="1109" hidden="1" customWidth="1"/>
    <col min="4" max="4" width="18.7109375" style="1109" hidden="1" customWidth="1"/>
    <col min="5" max="5" width="25.85546875" style="1109" hidden="1" customWidth="1"/>
    <col min="6" max="6" width="17" style="1109" hidden="1" customWidth="1"/>
    <col min="7" max="7" width="19.85546875" style="1109" hidden="1" customWidth="1"/>
    <col min="8" max="8" width="20.28515625" style="1109" hidden="1" customWidth="1"/>
    <col min="9" max="9" width="22.28515625" style="1109" hidden="1" customWidth="1"/>
    <col min="10" max="10" width="19.85546875" style="1109" hidden="1" customWidth="1"/>
    <col min="11" max="11" width="25.85546875" style="1109" hidden="1" customWidth="1"/>
    <col min="12" max="12" width="17" style="1109" hidden="1" customWidth="1"/>
    <col min="13" max="13" width="0.42578125" style="1109" hidden="1" customWidth="1"/>
    <col min="14" max="14" width="20.7109375" style="1109" hidden="1" customWidth="1"/>
    <col min="15" max="15" width="0.28515625" style="1109" customWidth="1"/>
    <col min="16" max="16" width="20.42578125" style="1109" hidden="1" customWidth="1"/>
    <col min="17" max="17" width="22.85546875" style="1109" customWidth="1"/>
    <col min="18" max="18" width="20.140625" style="1109" customWidth="1"/>
    <col min="19" max="19" width="23.28515625" style="1109" customWidth="1"/>
    <col min="20" max="20" width="19.7109375" style="1109" customWidth="1"/>
    <col min="21" max="21" width="21.7109375" style="1109" customWidth="1"/>
    <col min="22" max="22" width="20.7109375" style="1109" customWidth="1"/>
    <col min="23" max="23" width="23.28515625" style="1109" customWidth="1"/>
    <col min="24" max="25" width="18.28515625" style="1109" customWidth="1"/>
    <col min="26" max="26" width="24.42578125" style="1109" customWidth="1"/>
    <col min="27" max="27" width="23.85546875" style="1109" customWidth="1"/>
    <col min="28" max="29" width="19" style="1109" customWidth="1"/>
    <col min="30" max="30" width="18.42578125" style="1109" customWidth="1"/>
    <col min="31" max="32" width="19.140625" style="1109" customWidth="1"/>
    <col min="33" max="33" width="20.28515625" style="1109" customWidth="1"/>
    <col min="34" max="34" width="14.7109375" style="1109" bestFit="1" customWidth="1"/>
    <col min="35" max="35" width="36.42578125" style="1109" customWidth="1"/>
    <col min="36" max="36" width="18.5703125" style="1109" customWidth="1"/>
    <col min="37" max="37" width="22.42578125" style="1109" customWidth="1"/>
    <col min="38" max="38" width="23.85546875" style="1109" customWidth="1"/>
    <col min="39" max="39" width="20.5703125" style="1109" customWidth="1"/>
    <col min="40" max="262" width="9.140625" style="1109"/>
    <col min="263" max="263" width="1.140625" style="1109" customWidth="1"/>
    <col min="264" max="264" width="48.7109375" style="1109" customWidth="1"/>
    <col min="265" max="275" width="0" style="1109" hidden="1" customWidth="1"/>
    <col min="276" max="276" width="20.7109375" style="1109" customWidth="1"/>
    <col min="277" max="277" width="18" style="1109" customWidth="1"/>
    <col min="278" max="278" width="20.42578125" style="1109" customWidth="1"/>
    <col min="279" max="279" width="22.85546875" style="1109" customWidth="1"/>
    <col min="280" max="280" width="20.140625" style="1109" customWidth="1"/>
    <col min="281" max="281" width="19.7109375" style="1109" customWidth="1"/>
    <col min="282" max="283" width="0" style="1109" hidden="1" customWidth="1"/>
    <col min="284" max="284" width="18.28515625" style="1109" customWidth="1"/>
    <col min="285" max="285" width="17.7109375" style="1109" customWidth="1"/>
    <col min="286" max="286" width="19" style="1109" customWidth="1"/>
    <col min="287" max="287" width="18.42578125" style="1109" customWidth="1"/>
    <col min="288" max="288" width="19.140625" style="1109" customWidth="1"/>
    <col min="289" max="289" width="20.28515625" style="1109" customWidth="1"/>
    <col min="290" max="518" width="9.140625" style="1109"/>
    <col min="519" max="519" width="1.140625" style="1109" customWidth="1"/>
    <col min="520" max="520" width="48.7109375" style="1109" customWidth="1"/>
    <col min="521" max="531" width="0" style="1109" hidden="1" customWidth="1"/>
    <col min="532" max="532" width="20.7109375" style="1109" customWidth="1"/>
    <col min="533" max="533" width="18" style="1109" customWidth="1"/>
    <col min="534" max="534" width="20.42578125" style="1109" customWidth="1"/>
    <col min="535" max="535" width="22.85546875" style="1109" customWidth="1"/>
    <col min="536" max="536" width="20.140625" style="1109" customWidth="1"/>
    <col min="537" max="537" width="19.7109375" style="1109" customWidth="1"/>
    <col min="538" max="539" width="0" style="1109" hidden="1" customWidth="1"/>
    <col min="540" max="540" width="18.28515625" style="1109" customWidth="1"/>
    <col min="541" max="541" width="17.7109375" style="1109" customWidth="1"/>
    <col min="542" max="542" width="19" style="1109" customWidth="1"/>
    <col min="543" max="543" width="18.42578125" style="1109" customWidth="1"/>
    <col min="544" max="544" width="19.140625" style="1109" customWidth="1"/>
    <col min="545" max="545" width="20.28515625" style="1109" customWidth="1"/>
    <col min="546" max="774" width="9.140625" style="1109"/>
    <col min="775" max="775" width="1.140625" style="1109" customWidth="1"/>
    <col min="776" max="776" width="48.7109375" style="1109" customWidth="1"/>
    <col min="777" max="787" width="0" style="1109" hidden="1" customWidth="1"/>
    <col min="788" max="788" width="20.7109375" style="1109" customWidth="1"/>
    <col min="789" max="789" width="18" style="1109" customWidth="1"/>
    <col min="790" max="790" width="20.42578125" style="1109" customWidth="1"/>
    <col min="791" max="791" width="22.85546875" style="1109" customWidth="1"/>
    <col min="792" max="792" width="20.140625" style="1109" customWidth="1"/>
    <col min="793" max="793" width="19.7109375" style="1109" customWidth="1"/>
    <col min="794" max="795" width="0" style="1109" hidden="1" customWidth="1"/>
    <col min="796" max="796" width="18.28515625" style="1109" customWidth="1"/>
    <col min="797" max="797" width="17.7109375" style="1109" customWidth="1"/>
    <col min="798" max="798" width="19" style="1109" customWidth="1"/>
    <col min="799" max="799" width="18.42578125" style="1109" customWidth="1"/>
    <col min="800" max="800" width="19.140625" style="1109" customWidth="1"/>
    <col min="801" max="801" width="20.28515625" style="1109" customWidth="1"/>
    <col min="802" max="1030" width="9.140625" style="1109"/>
    <col min="1031" max="1031" width="1.140625" style="1109" customWidth="1"/>
    <col min="1032" max="1032" width="48.7109375" style="1109" customWidth="1"/>
    <col min="1033" max="1043" width="0" style="1109" hidden="1" customWidth="1"/>
    <col min="1044" max="1044" width="20.7109375" style="1109" customWidth="1"/>
    <col min="1045" max="1045" width="18" style="1109" customWidth="1"/>
    <col min="1046" max="1046" width="20.42578125" style="1109" customWidth="1"/>
    <col min="1047" max="1047" width="22.85546875" style="1109" customWidth="1"/>
    <col min="1048" max="1048" width="20.140625" style="1109" customWidth="1"/>
    <col min="1049" max="1049" width="19.7109375" style="1109" customWidth="1"/>
    <col min="1050" max="1051" width="0" style="1109" hidden="1" customWidth="1"/>
    <col min="1052" max="1052" width="18.28515625" style="1109" customWidth="1"/>
    <col min="1053" max="1053" width="17.7109375" style="1109" customWidth="1"/>
    <col min="1054" max="1054" width="19" style="1109" customWidth="1"/>
    <col min="1055" max="1055" width="18.42578125" style="1109" customWidth="1"/>
    <col min="1056" max="1056" width="19.140625" style="1109" customWidth="1"/>
    <col min="1057" max="1057" width="20.28515625" style="1109" customWidth="1"/>
    <col min="1058" max="1286" width="9.140625" style="1109"/>
    <col min="1287" max="1287" width="1.140625" style="1109" customWidth="1"/>
    <col min="1288" max="1288" width="48.7109375" style="1109" customWidth="1"/>
    <col min="1289" max="1299" width="0" style="1109" hidden="1" customWidth="1"/>
    <col min="1300" max="1300" width="20.7109375" style="1109" customWidth="1"/>
    <col min="1301" max="1301" width="18" style="1109" customWidth="1"/>
    <col min="1302" max="1302" width="20.42578125" style="1109" customWidth="1"/>
    <col min="1303" max="1303" width="22.85546875" style="1109" customWidth="1"/>
    <col min="1304" max="1304" width="20.140625" style="1109" customWidth="1"/>
    <col min="1305" max="1305" width="19.7109375" style="1109" customWidth="1"/>
    <col min="1306" max="1307" width="0" style="1109" hidden="1" customWidth="1"/>
    <col min="1308" max="1308" width="18.28515625" style="1109" customWidth="1"/>
    <col min="1309" max="1309" width="17.7109375" style="1109" customWidth="1"/>
    <col min="1310" max="1310" width="19" style="1109" customWidth="1"/>
    <col min="1311" max="1311" width="18.42578125" style="1109" customWidth="1"/>
    <col min="1312" max="1312" width="19.140625" style="1109" customWidth="1"/>
    <col min="1313" max="1313" width="20.28515625" style="1109" customWidth="1"/>
    <col min="1314" max="1542" width="9.140625" style="1109"/>
    <col min="1543" max="1543" width="1.140625" style="1109" customWidth="1"/>
    <col min="1544" max="1544" width="48.7109375" style="1109" customWidth="1"/>
    <col min="1545" max="1555" width="0" style="1109" hidden="1" customWidth="1"/>
    <col min="1556" max="1556" width="20.7109375" style="1109" customWidth="1"/>
    <col min="1557" max="1557" width="18" style="1109" customWidth="1"/>
    <col min="1558" max="1558" width="20.42578125" style="1109" customWidth="1"/>
    <col min="1559" max="1559" width="22.85546875" style="1109" customWidth="1"/>
    <col min="1560" max="1560" width="20.140625" style="1109" customWidth="1"/>
    <col min="1561" max="1561" width="19.7109375" style="1109" customWidth="1"/>
    <col min="1562" max="1563" width="0" style="1109" hidden="1" customWidth="1"/>
    <col min="1564" max="1564" width="18.28515625" style="1109" customWidth="1"/>
    <col min="1565" max="1565" width="17.7109375" style="1109" customWidth="1"/>
    <col min="1566" max="1566" width="19" style="1109" customWidth="1"/>
    <col min="1567" max="1567" width="18.42578125" style="1109" customWidth="1"/>
    <col min="1568" max="1568" width="19.140625" style="1109" customWidth="1"/>
    <col min="1569" max="1569" width="20.28515625" style="1109" customWidth="1"/>
    <col min="1570" max="1798" width="9.140625" style="1109"/>
    <col min="1799" max="1799" width="1.140625" style="1109" customWidth="1"/>
    <col min="1800" max="1800" width="48.7109375" style="1109" customWidth="1"/>
    <col min="1801" max="1811" width="0" style="1109" hidden="1" customWidth="1"/>
    <col min="1812" max="1812" width="20.7109375" style="1109" customWidth="1"/>
    <col min="1813" max="1813" width="18" style="1109" customWidth="1"/>
    <col min="1814" max="1814" width="20.42578125" style="1109" customWidth="1"/>
    <col min="1815" max="1815" width="22.85546875" style="1109" customWidth="1"/>
    <col min="1816" max="1816" width="20.140625" style="1109" customWidth="1"/>
    <col min="1817" max="1817" width="19.7109375" style="1109" customWidth="1"/>
    <col min="1818" max="1819" width="0" style="1109" hidden="1" customWidth="1"/>
    <col min="1820" max="1820" width="18.28515625" style="1109" customWidth="1"/>
    <col min="1821" max="1821" width="17.7109375" style="1109" customWidth="1"/>
    <col min="1822" max="1822" width="19" style="1109" customWidth="1"/>
    <col min="1823" max="1823" width="18.42578125" style="1109" customWidth="1"/>
    <col min="1824" max="1824" width="19.140625" style="1109" customWidth="1"/>
    <col min="1825" max="1825" width="20.28515625" style="1109" customWidth="1"/>
    <col min="1826" max="2054" width="9.140625" style="1109"/>
    <col min="2055" max="2055" width="1.140625" style="1109" customWidth="1"/>
    <col min="2056" max="2056" width="48.7109375" style="1109" customWidth="1"/>
    <col min="2057" max="2067" width="0" style="1109" hidden="1" customWidth="1"/>
    <col min="2068" max="2068" width="20.7109375" style="1109" customWidth="1"/>
    <col min="2069" max="2069" width="18" style="1109" customWidth="1"/>
    <col min="2070" max="2070" width="20.42578125" style="1109" customWidth="1"/>
    <col min="2071" max="2071" width="22.85546875" style="1109" customWidth="1"/>
    <col min="2072" max="2072" width="20.140625" style="1109" customWidth="1"/>
    <col min="2073" max="2073" width="19.7109375" style="1109" customWidth="1"/>
    <col min="2074" max="2075" width="0" style="1109" hidden="1" customWidth="1"/>
    <col min="2076" max="2076" width="18.28515625" style="1109" customWidth="1"/>
    <col min="2077" max="2077" width="17.7109375" style="1109" customWidth="1"/>
    <col min="2078" max="2078" width="19" style="1109" customWidth="1"/>
    <col min="2079" max="2079" width="18.42578125" style="1109" customWidth="1"/>
    <col min="2080" max="2080" width="19.140625" style="1109" customWidth="1"/>
    <col min="2081" max="2081" width="20.28515625" style="1109" customWidth="1"/>
    <col min="2082" max="2310" width="9.140625" style="1109"/>
    <col min="2311" max="2311" width="1.140625" style="1109" customWidth="1"/>
    <col min="2312" max="2312" width="48.7109375" style="1109" customWidth="1"/>
    <col min="2313" max="2323" width="0" style="1109" hidden="1" customWidth="1"/>
    <col min="2324" max="2324" width="20.7109375" style="1109" customWidth="1"/>
    <col min="2325" max="2325" width="18" style="1109" customWidth="1"/>
    <col min="2326" max="2326" width="20.42578125" style="1109" customWidth="1"/>
    <col min="2327" max="2327" width="22.85546875" style="1109" customWidth="1"/>
    <col min="2328" max="2328" width="20.140625" style="1109" customWidth="1"/>
    <col min="2329" max="2329" width="19.7109375" style="1109" customWidth="1"/>
    <col min="2330" max="2331" width="0" style="1109" hidden="1" customWidth="1"/>
    <col min="2332" max="2332" width="18.28515625" style="1109" customWidth="1"/>
    <col min="2333" max="2333" width="17.7109375" style="1109" customWidth="1"/>
    <col min="2334" max="2334" width="19" style="1109" customWidth="1"/>
    <col min="2335" max="2335" width="18.42578125" style="1109" customWidth="1"/>
    <col min="2336" max="2336" width="19.140625" style="1109" customWidth="1"/>
    <col min="2337" max="2337" width="20.28515625" style="1109" customWidth="1"/>
    <col min="2338" max="2566" width="9.140625" style="1109"/>
    <col min="2567" max="2567" width="1.140625" style="1109" customWidth="1"/>
    <col min="2568" max="2568" width="48.7109375" style="1109" customWidth="1"/>
    <col min="2569" max="2579" width="0" style="1109" hidden="1" customWidth="1"/>
    <col min="2580" max="2580" width="20.7109375" style="1109" customWidth="1"/>
    <col min="2581" max="2581" width="18" style="1109" customWidth="1"/>
    <col min="2582" max="2582" width="20.42578125" style="1109" customWidth="1"/>
    <col min="2583" max="2583" width="22.85546875" style="1109" customWidth="1"/>
    <col min="2584" max="2584" width="20.140625" style="1109" customWidth="1"/>
    <col min="2585" max="2585" width="19.7109375" style="1109" customWidth="1"/>
    <col min="2586" max="2587" width="0" style="1109" hidden="1" customWidth="1"/>
    <col min="2588" max="2588" width="18.28515625" style="1109" customWidth="1"/>
    <col min="2589" max="2589" width="17.7109375" style="1109" customWidth="1"/>
    <col min="2590" max="2590" width="19" style="1109" customWidth="1"/>
    <col min="2591" max="2591" width="18.42578125" style="1109" customWidth="1"/>
    <col min="2592" max="2592" width="19.140625" style="1109" customWidth="1"/>
    <col min="2593" max="2593" width="20.28515625" style="1109" customWidth="1"/>
    <col min="2594" max="2822" width="9.140625" style="1109"/>
    <col min="2823" max="2823" width="1.140625" style="1109" customWidth="1"/>
    <col min="2824" max="2824" width="48.7109375" style="1109" customWidth="1"/>
    <col min="2825" max="2835" width="0" style="1109" hidden="1" customWidth="1"/>
    <col min="2836" max="2836" width="20.7109375" style="1109" customWidth="1"/>
    <col min="2837" max="2837" width="18" style="1109" customWidth="1"/>
    <col min="2838" max="2838" width="20.42578125" style="1109" customWidth="1"/>
    <col min="2839" max="2839" width="22.85546875" style="1109" customWidth="1"/>
    <col min="2840" max="2840" width="20.140625" style="1109" customWidth="1"/>
    <col min="2841" max="2841" width="19.7109375" style="1109" customWidth="1"/>
    <col min="2842" max="2843" width="0" style="1109" hidden="1" customWidth="1"/>
    <col min="2844" max="2844" width="18.28515625" style="1109" customWidth="1"/>
    <col min="2845" max="2845" width="17.7109375" style="1109" customWidth="1"/>
    <col min="2846" max="2846" width="19" style="1109" customWidth="1"/>
    <col min="2847" max="2847" width="18.42578125" style="1109" customWidth="1"/>
    <col min="2848" max="2848" width="19.140625" style="1109" customWidth="1"/>
    <col min="2849" max="2849" width="20.28515625" style="1109" customWidth="1"/>
    <col min="2850" max="3078" width="9.140625" style="1109"/>
    <col min="3079" max="3079" width="1.140625" style="1109" customWidth="1"/>
    <col min="3080" max="3080" width="48.7109375" style="1109" customWidth="1"/>
    <col min="3081" max="3091" width="0" style="1109" hidden="1" customWidth="1"/>
    <col min="3092" max="3092" width="20.7109375" style="1109" customWidth="1"/>
    <col min="3093" max="3093" width="18" style="1109" customWidth="1"/>
    <col min="3094" max="3094" width="20.42578125" style="1109" customWidth="1"/>
    <col min="3095" max="3095" width="22.85546875" style="1109" customWidth="1"/>
    <col min="3096" max="3096" width="20.140625" style="1109" customWidth="1"/>
    <col min="3097" max="3097" width="19.7109375" style="1109" customWidth="1"/>
    <col min="3098" max="3099" width="0" style="1109" hidden="1" customWidth="1"/>
    <col min="3100" max="3100" width="18.28515625" style="1109" customWidth="1"/>
    <col min="3101" max="3101" width="17.7109375" style="1109" customWidth="1"/>
    <col min="3102" max="3102" width="19" style="1109" customWidth="1"/>
    <col min="3103" max="3103" width="18.42578125" style="1109" customWidth="1"/>
    <col min="3104" max="3104" width="19.140625" style="1109" customWidth="1"/>
    <col min="3105" max="3105" width="20.28515625" style="1109" customWidth="1"/>
    <col min="3106" max="3334" width="9.140625" style="1109"/>
    <col min="3335" max="3335" width="1.140625" style="1109" customWidth="1"/>
    <col min="3336" max="3336" width="48.7109375" style="1109" customWidth="1"/>
    <col min="3337" max="3347" width="0" style="1109" hidden="1" customWidth="1"/>
    <col min="3348" max="3348" width="20.7109375" style="1109" customWidth="1"/>
    <col min="3349" max="3349" width="18" style="1109" customWidth="1"/>
    <col min="3350" max="3350" width="20.42578125" style="1109" customWidth="1"/>
    <col min="3351" max="3351" width="22.85546875" style="1109" customWidth="1"/>
    <col min="3352" max="3352" width="20.140625" style="1109" customWidth="1"/>
    <col min="3353" max="3353" width="19.7109375" style="1109" customWidth="1"/>
    <col min="3354" max="3355" width="0" style="1109" hidden="1" customWidth="1"/>
    <col min="3356" max="3356" width="18.28515625" style="1109" customWidth="1"/>
    <col min="3357" max="3357" width="17.7109375" style="1109" customWidth="1"/>
    <col min="3358" max="3358" width="19" style="1109" customWidth="1"/>
    <col min="3359" max="3359" width="18.42578125" style="1109" customWidth="1"/>
    <col min="3360" max="3360" width="19.140625" style="1109" customWidth="1"/>
    <col min="3361" max="3361" width="20.28515625" style="1109" customWidth="1"/>
    <col min="3362" max="3590" width="9.140625" style="1109"/>
    <col min="3591" max="3591" width="1.140625" style="1109" customWidth="1"/>
    <col min="3592" max="3592" width="48.7109375" style="1109" customWidth="1"/>
    <col min="3593" max="3603" width="0" style="1109" hidden="1" customWidth="1"/>
    <col min="3604" max="3604" width="20.7109375" style="1109" customWidth="1"/>
    <col min="3605" max="3605" width="18" style="1109" customWidth="1"/>
    <col min="3606" max="3606" width="20.42578125" style="1109" customWidth="1"/>
    <col min="3607" max="3607" width="22.85546875" style="1109" customWidth="1"/>
    <col min="3608" max="3608" width="20.140625" style="1109" customWidth="1"/>
    <col min="3609" max="3609" width="19.7109375" style="1109" customWidth="1"/>
    <col min="3610" max="3611" width="0" style="1109" hidden="1" customWidth="1"/>
    <col min="3612" max="3612" width="18.28515625" style="1109" customWidth="1"/>
    <col min="3613" max="3613" width="17.7109375" style="1109" customWidth="1"/>
    <col min="3614" max="3614" width="19" style="1109" customWidth="1"/>
    <col min="3615" max="3615" width="18.42578125" style="1109" customWidth="1"/>
    <col min="3616" max="3616" width="19.140625" style="1109" customWidth="1"/>
    <col min="3617" max="3617" width="20.28515625" style="1109" customWidth="1"/>
    <col min="3618" max="3846" width="9.140625" style="1109"/>
    <col min="3847" max="3847" width="1.140625" style="1109" customWidth="1"/>
    <col min="3848" max="3848" width="48.7109375" style="1109" customWidth="1"/>
    <col min="3849" max="3859" width="0" style="1109" hidden="1" customWidth="1"/>
    <col min="3860" max="3860" width="20.7109375" style="1109" customWidth="1"/>
    <col min="3861" max="3861" width="18" style="1109" customWidth="1"/>
    <col min="3862" max="3862" width="20.42578125" style="1109" customWidth="1"/>
    <col min="3863" max="3863" width="22.85546875" style="1109" customWidth="1"/>
    <col min="3864" max="3864" width="20.140625" style="1109" customWidth="1"/>
    <col min="3865" max="3865" width="19.7109375" style="1109" customWidth="1"/>
    <col min="3866" max="3867" width="0" style="1109" hidden="1" customWidth="1"/>
    <col min="3868" max="3868" width="18.28515625" style="1109" customWidth="1"/>
    <col min="3869" max="3869" width="17.7109375" style="1109" customWidth="1"/>
    <col min="3870" max="3870" width="19" style="1109" customWidth="1"/>
    <col min="3871" max="3871" width="18.42578125" style="1109" customWidth="1"/>
    <col min="3872" max="3872" width="19.140625" style="1109" customWidth="1"/>
    <col min="3873" max="3873" width="20.28515625" style="1109" customWidth="1"/>
    <col min="3874" max="4102" width="9.140625" style="1109"/>
    <col min="4103" max="4103" width="1.140625" style="1109" customWidth="1"/>
    <col min="4104" max="4104" width="48.7109375" style="1109" customWidth="1"/>
    <col min="4105" max="4115" width="0" style="1109" hidden="1" customWidth="1"/>
    <col min="4116" max="4116" width="20.7109375" style="1109" customWidth="1"/>
    <col min="4117" max="4117" width="18" style="1109" customWidth="1"/>
    <col min="4118" max="4118" width="20.42578125" style="1109" customWidth="1"/>
    <col min="4119" max="4119" width="22.85546875" style="1109" customWidth="1"/>
    <col min="4120" max="4120" width="20.140625" style="1109" customWidth="1"/>
    <col min="4121" max="4121" width="19.7109375" style="1109" customWidth="1"/>
    <col min="4122" max="4123" width="0" style="1109" hidden="1" customWidth="1"/>
    <col min="4124" max="4124" width="18.28515625" style="1109" customWidth="1"/>
    <col min="4125" max="4125" width="17.7109375" style="1109" customWidth="1"/>
    <col min="4126" max="4126" width="19" style="1109" customWidth="1"/>
    <col min="4127" max="4127" width="18.42578125" style="1109" customWidth="1"/>
    <col min="4128" max="4128" width="19.140625" style="1109" customWidth="1"/>
    <col min="4129" max="4129" width="20.28515625" style="1109" customWidth="1"/>
    <col min="4130" max="4358" width="9.140625" style="1109"/>
    <col min="4359" max="4359" width="1.140625" style="1109" customWidth="1"/>
    <col min="4360" max="4360" width="48.7109375" style="1109" customWidth="1"/>
    <col min="4361" max="4371" width="0" style="1109" hidden="1" customWidth="1"/>
    <col min="4372" max="4372" width="20.7109375" style="1109" customWidth="1"/>
    <col min="4373" max="4373" width="18" style="1109" customWidth="1"/>
    <col min="4374" max="4374" width="20.42578125" style="1109" customWidth="1"/>
    <col min="4375" max="4375" width="22.85546875" style="1109" customWidth="1"/>
    <col min="4376" max="4376" width="20.140625" style="1109" customWidth="1"/>
    <col min="4377" max="4377" width="19.7109375" style="1109" customWidth="1"/>
    <col min="4378" max="4379" width="0" style="1109" hidden="1" customWidth="1"/>
    <col min="4380" max="4380" width="18.28515625" style="1109" customWidth="1"/>
    <col min="4381" max="4381" width="17.7109375" style="1109" customWidth="1"/>
    <col min="4382" max="4382" width="19" style="1109" customWidth="1"/>
    <col min="4383" max="4383" width="18.42578125" style="1109" customWidth="1"/>
    <col min="4384" max="4384" width="19.140625" style="1109" customWidth="1"/>
    <col min="4385" max="4385" width="20.28515625" style="1109" customWidth="1"/>
    <col min="4386" max="4614" width="9.140625" style="1109"/>
    <col min="4615" max="4615" width="1.140625" style="1109" customWidth="1"/>
    <col min="4616" max="4616" width="48.7109375" style="1109" customWidth="1"/>
    <col min="4617" max="4627" width="0" style="1109" hidden="1" customWidth="1"/>
    <col min="4628" max="4628" width="20.7109375" style="1109" customWidth="1"/>
    <col min="4629" max="4629" width="18" style="1109" customWidth="1"/>
    <col min="4630" max="4630" width="20.42578125" style="1109" customWidth="1"/>
    <col min="4631" max="4631" width="22.85546875" style="1109" customWidth="1"/>
    <col min="4632" max="4632" width="20.140625" style="1109" customWidth="1"/>
    <col min="4633" max="4633" width="19.7109375" style="1109" customWidth="1"/>
    <col min="4634" max="4635" width="0" style="1109" hidden="1" customWidth="1"/>
    <col min="4636" max="4636" width="18.28515625" style="1109" customWidth="1"/>
    <col min="4637" max="4637" width="17.7109375" style="1109" customWidth="1"/>
    <col min="4638" max="4638" width="19" style="1109" customWidth="1"/>
    <col min="4639" max="4639" width="18.42578125" style="1109" customWidth="1"/>
    <col min="4640" max="4640" width="19.140625" style="1109" customWidth="1"/>
    <col min="4641" max="4641" width="20.28515625" style="1109" customWidth="1"/>
    <col min="4642" max="4870" width="9.140625" style="1109"/>
    <col min="4871" max="4871" width="1.140625" style="1109" customWidth="1"/>
    <col min="4872" max="4872" width="48.7109375" style="1109" customWidth="1"/>
    <col min="4873" max="4883" width="0" style="1109" hidden="1" customWidth="1"/>
    <col min="4884" max="4884" width="20.7109375" style="1109" customWidth="1"/>
    <col min="4885" max="4885" width="18" style="1109" customWidth="1"/>
    <col min="4886" max="4886" width="20.42578125" style="1109" customWidth="1"/>
    <col min="4887" max="4887" width="22.85546875" style="1109" customWidth="1"/>
    <col min="4888" max="4888" width="20.140625" style="1109" customWidth="1"/>
    <col min="4889" max="4889" width="19.7109375" style="1109" customWidth="1"/>
    <col min="4890" max="4891" width="0" style="1109" hidden="1" customWidth="1"/>
    <col min="4892" max="4892" width="18.28515625" style="1109" customWidth="1"/>
    <col min="4893" max="4893" width="17.7109375" style="1109" customWidth="1"/>
    <col min="4894" max="4894" width="19" style="1109" customWidth="1"/>
    <col min="4895" max="4895" width="18.42578125" style="1109" customWidth="1"/>
    <col min="4896" max="4896" width="19.140625" style="1109" customWidth="1"/>
    <col min="4897" max="4897" width="20.28515625" style="1109" customWidth="1"/>
    <col min="4898" max="5126" width="9.140625" style="1109"/>
    <col min="5127" max="5127" width="1.140625" style="1109" customWidth="1"/>
    <col min="5128" max="5128" width="48.7109375" style="1109" customWidth="1"/>
    <col min="5129" max="5139" width="0" style="1109" hidden="1" customWidth="1"/>
    <col min="5140" max="5140" width="20.7109375" style="1109" customWidth="1"/>
    <col min="5141" max="5141" width="18" style="1109" customWidth="1"/>
    <col min="5142" max="5142" width="20.42578125" style="1109" customWidth="1"/>
    <col min="5143" max="5143" width="22.85546875" style="1109" customWidth="1"/>
    <col min="5144" max="5144" width="20.140625" style="1109" customWidth="1"/>
    <col min="5145" max="5145" width="19.7109375" style="1109" customWidth="1"/>
    <col min="5146" max="5147" width="0" style="1109" hidden="1" customWidth="1"/>
    <col min="5148" max="5148" width="18.28515625" style="1109" customWidth="1"/>
    <col min="5149" max="5149" width="17.7109375" style="1109" customWidth="1"/>
    <col min="5150" max="5150" width="19" style="1109" customWidth="1"/>
    <col min="5151" max="5151" width="18.42578125" style="1109" customWidth="1"/>
    <col min="5152" max="5152" width="19.140625" style="1109" customWidth="1"/>
    <col min="5153" max="5153" width="20.28515625" style="1109" customWidth="1"/>
    <col min="5154" max="5382" width="9.140625" style="1109"/>
    <col min="5383" max="5383" width="1.140625" style="1109" customWidth="1"/>
    <col min="5384" max="5384" width="48.7109375" style="1109" customWidth="1"/>
    <col min="5385" max="5395" width="0" style="1109" hidden="1" customWidth="1"/>
    <col min="5396" max="5396" width="20.7109375" style="1109" customWidth="1"/>
    <col min="5397" max="5397" width="18" style="1109" customWidth="1"/>
    <col min="5398" max="5398" width="20.42578125" style="1109" customWidth="1"/>
    <col min="5399" max="5399" width="22.85546875" style="1109" customWidth="1"/>
    <col min="5400" max="5400" width="20.140625" style="1109" customWidth="1"/>
    <col min="5401" max="5401" width="19.7109375" style="1109" customWidth="1"/>
    <col min="5402" max="5403" width="0" style="1109" hidden="1" customWidth="1"/>
    <col min="5404" max="5404" width="18.28515625" style="1109" customWidth="1"/>
    <col min="5405" max="5405" width="17.7109375" style="1109" customWidth="1"/>
    <col min="5406" max="5406" width="19" style="1109" customWidth="1"/>
    <col min="5407" max="5407" width="18.42578125" style="1109" customWidth="1"/>
    <col min="5408" max="5408" width="19.140625" style="1109" customWidth="1"/>
    <col min="5409" max="5409" width="20.28515625" style="1109" customWidth="1"/>
    <col min="5410" max="5638" width="9.140625" style="1109"/>
    <col min="5639" max="5639" width="1.140625" style="1109" customWidth="1"/>
    <col min="5640" max="5640" width="48.7109375" style="1109" customWidth="1"/>
    <col min="5641" max="5651" width="0" style="1109" hidden="1" customWidth="1"/>
    <col min="5652" max="5652" width="20.7109375" style="1109" customWidth="1"/>
    <col min="5653" max="5653" width="18" style="1109" customWidth="1"/>
    <col min="5654" max="5654" width="20.42578125" style="1109" customWidth="1"/>
    <col min="5655" max="5655" width="22.85546875" style="1109" customWidth="1"/>
    <col min="5656" max="5656" width="20.140625" style="1109" customWidth="1"/>
    <col min="5657" max="5657" width="19.7109375" style="1109" customWidth="1"/>
    <col min="5658" max="5659" width="0" style="1109" hidden="1" customWidth="1"/>
    <col min="5660" max="5660" width="18.28515625" style="1109" customWidth="1"/>
    <col min="5661" max="5661" width="17.7109375" style="1109" customWidth="1"/>
    <col min="5662" max="5662" width="19" style="1109" customWidth="1"/>
    <col min="5663" max="5663" width="18.42578125" style="1109" customWidth="1"/>
    <col min="5664" max="5664" width="19.140625" style="1109" customWidth="1"/>
    <col min="5665" max="5665" width="20.28515625" style="1109" customWidth="1"/>
    <col min="5666" max="5894" width="9.140625" style="1109"/>
    <col min="5895" max="5895" width="1.140625" style="1109" customWidth="1"/>
    <col min="5896" max="5896" width="48.7109375" style="1109" customWidth="1"/>
    <col min="5897" max="5907" width="0" style="1109" hidden="1" customWidth="1"/>
    <col min="5908" max="5908" width="20.7109375" style="1109" customWidth="1"/>
    <col min="5909" max="5909" width="18" style="1109" customWidth="1"/>
    <col min="5910" max="5910" width="20.42578125" style="1109" customWidth="1"/>
    <col min="5911" max="5911" width="22.85546875" style="1109" customWidth="1"/>
    <col min="5912" max="5912" width="20.140625" style="1109" customWidth="1"/>
    <col min="5913" max="5913" width="19.7109375" style="1109" customWidth="1"/>
    <col min="5914" max="5915" width="0" style="1109" hidden="1" customWidth="1"/>
    <col min="5916" max="5916" width="18.28515625" style="1109" customWidth="1"/>
    <col min="5917" max="5917" width="17.7109375" style="1109" customWidth="1"/>
    <col min="5918" max="5918" width="19" style="1109" customWidth="1"/>
    <col min="5919" max="5919" width="18.42578125" style="1109" customWidth="1"/>
    <col min="5920" max="5920" width="19.140625" style="1109" customWidth="1"/>
    <col min="5921" max="5921" width="20.28515625" style="1109" customWidth="1"/>
    <col min="5922" max="6150" width="9.140625" style="1109"/>
    <col min="6151" max="6151" width="1.140625" style="1109" customWidth="1"/>
    <col min="6152" max="6152" width="48.7109375" style="1109" customWidth="1"/>
    <col min="6153" max="6163" width="0" style="1109" hidden="1" customWidth="1"/>
    <col min="6164" max="6164" width="20.7109375" style="1109" customWidth="1"/>
    <col min="6165" max="6165" width="18" style="1109" customWidth="1"/>
    <col min="6166" max="6166" width="20.42578125" style="1109" customWidth="1"/>
    <col min="6167" max="6167" width="22.85546875" style="1109" customWidth="1"/>
    <col min="6168" max="6168" width="20.140625" style="1109" customWidth="1"/>
    <col min="6169" max="6169" width="19.7109375" style="1109" customWidth="1"/>
    <col min="6170" max="6171" width="0" style="1109" hidden="1" customWidth="1"/>
    <col min="6172" max="6172" width="18.28515625" style="1109" customWidth="1"/>
    <col min="6173" max="6173" width="17.7109375" style="1109" customWidth="1"/>
    <col min="6174" max="6174" width="19" style="1109" customWidth="1"/>
    <col min="6175" max="6175" width="18.42578125" style="1109" customWidth="1"/>
    <col min="6176" max="6176" width="19.140625" style="1109" customWidth="1"/>
    <col min="6177" max="6177" width="20.28515625" style="1109" customWidth="1"/>
    <col min="6178" max="6406" width="9.140625" style="1109"/>
    <col min="6407" max="6407" width="1.140625" style="1109" customWidth="1"/>
    <col min="6408" max="6408" width="48.7109375" style="1109" customWidth="1"/>
    <col min="6409" max="6419" width="0" style="1109" hidden="1" customWidth="1"/>
    <col min="6420" max="6420" width="20.7109375" style="1109" customWidth="1"/>
    <col min="6421" max="6421" width="18" style="1109" customWidth="1"/>
    <col min="6422" max="6422" width="20.42578125" style="1109" customWidth="1"/>
    <col min="6423" max="6423" width="22.85546875" style="1109" customWidth="1"/>
    <col min="6424" max="6424" width="20.140625" style="1109" customWidth="1"/>
    <col min="6425" max="6425" width="19.7109375" style="1109" customWidth="1"/>
    <col min="6426" max="6427" width="0" style="1109" hidden="1" customWidth="1"/>
    <col min="6428" max="6428" width="18.28515625" style="1109" customWidth="1"/>
    <col min="6429" max="6429" width="17.7109375" style="1109" customWidth="1"/>
    <col min="6430" max="6430" width="19" style="1109" customWidth="1"/>
    <col min="6431" max="6431" width="18.42578125" style="1109" customWidth="1"/>
    <col min="6432" max="6432" width="19.140625" style="1109" customWidth="1"/>
    <col min="6433" max="6433" width="20.28515625" style="1109" customWidth="1"/>
    <col min="6434" max="6662" width="9.140625" style="1109"/>
    <col min="6663" max="6663" width="1.140625" style="1109" customWidth="1"/>
    <col min="6664" max="6664" width="48.7109375" style="1109" customWidth="1"/>
    <col min="6665" max="6675" width="0" style="1109" hidden="1" customWidth="1"/>
    <col min="6676" max="6676" width="20.7109375" style="1109" customWidth="1"/>
    <col min="6677" max="6677" width="18" style="1109" customWidth="1"/>
    <col min="6678" max="6678" width="20.42578125" style="1109" customWidth="1"/>
    <col min="6679" max="6679" width="22.85546875" style="1109" customWidth="1"/>
    <col min="6680" max="6680" width="20.140625" style="1109" customWidth="1"/>
    <col min="6681" max="6681" width="19.7109375" style="1109" customWidth="1"/>
    <col min="6682" max="6683" width="0" style="1109" hidden="1" customWidth="1"/>
    <col min="6684" max="6684" width="18.28515625" style="1109" customWidth="1"/>
    <col min="6685" max="6685" width="17.7109375" style="1109" customWidth="1"/>
    <col min="6686" max="6686" width="19" style="1109" customWidth="1"/>
    <col min="6687" max="6687" width="18.42578125" style="1109" customWidth="1"/>
    <col min="6688" max="6688" width="19.140625" style="1109" customWidth="1"/>
    <col min="6689" max="6689" width="20.28515625" style="1109" customWidth="1"/>
    <col min="6690" max="6918" width="9.140625" style="1109"/>
    <col min="6919" max="6919" width="1.140625" style="1109" customWidth="1"/>
    <col min="6920" max="6920" width="48.7109375" style="1109" customWidth="1"/>
    <col min="6921" max="6931" width="0" style="1109" hidden="1" customWidth="1"/>
    <col min="6932" max="6932" width="20.7109375" style="1109" customWidth="1"/>
    <col min="6933" max="6933" width="18" style="1109" customWidth="1"/>
    <col min="6934" max="6934" width="20.42578125" style="1109" customWidth="1"/>
    <col min="6935" max="6935" width="22.85546875" style="1109" customWidth="1"/>
    <col min="6936" max="6936" width="20.140625" style="1109" customWidth="1"/>
    <col min="6937" max="6937" width="19.7109375" style="1109" customWidth="1"/>
    <col min="6938" max="6939" width="0" style="1109" hidden="1" customWidth="1"/>
    <col min="6940" max="6940" width="18.28515625" style="1109" customWidth="1"/>
    <col min="6941" max="6941" width="17.7109375" style="1109" customWidth="1"/>
    <col min="6942" max="6942" width="19" style="1109" customWidth="1"/>
    <col min="6943" max="6943" width="18.42578125" style="1109" customWidth="1"/>
    <col min="6944" max="6944" width="19.140625" style="1109" customWidth="1"/>
    <col min="6945" max="6945" width="20.28515625" style="1109" customWidth="1"/>
    <col min="6946" max="7174" width="9.140625" style="1109"/>
    <col min="7175" max="7175" width="1.140625" style="1109" customWidth="1"/>
    <col min="7176" max="7176" width="48.7109375" style="1109" customWidth="1"/>
    <col min="7177" max="7187" width="0" style="1109" hidden="1" customWidth="1"/>
    <col min="7188" max="7188" width="20.7109375" style="1109" customWidth="1"/>
    <col min="7189" max="7189" width="18" style="1109" customWidth="1"/>
    <col min="7190" max="7190" width="20.42578125" style="1109" customWidth="1"/>
    <col min="7191" max="7191" width="22.85546875" style="1109" customWidth="1"/>
    <col min="7192" max="7192" width="20.140625" style="1109" customWidth="1"/>
    <col min="7193" max="7193" width="19.7109375" style="1109" customWidth="1"/>
    <col min="7194" max="7195" width="0" style="1109" hidden="1" customWidth="1"/>
    <col min="7196" max="7196" width="18.28515625" style="1109" customWidth="1"/>
    <col min="7197" max="7197" width="17.7109375" style="1109" customWidth="1"/>
    <col min="7198" max="7198" width="19" style="1109" customWidth="1"/>
    <col min="7199" max="7199" width="18.42578125" style="1109" customWidth="1"/>
    <col min="7200" max="7200" width="19.140625" style="1109" customWidth="1"/>
    <col min="7201" max="7201" width="20.28515625" style="1109" customWidth="1"/>
    <col min="7202" max="7430" width="9.140625" style="1109"/>
    <col min="7431" max="7431" width="1.140625" style="1109" customWidth="1"/>
    <col min="7432" max="7432" width="48.7109375" style="1109" customWidth="1"/>
    <col min="7433" max="7443" width="0" style="1109" hidden="1" customWidth="1"/>
    <col min="7444" max="7444" width="20.7109375" style="1109" customWidth="1"/>
    <col min="7445" max="7445" width="18" style="1109" customWidth="1"/>
    <col min="7446" max="7446" width="20.42578125" style="1109" customWidth="1"/>
    <col min="7447" max="7447" width="22.85546875" style="1109" customWidth="1"/>
    <col min="7448" max="7448" width="20.140625" style="1109" customWidth="1"/>
    <col min="7449" max="7449" width="19.7109375" style="1109" customWidth="1"/>
    <col min="7450" max="7451" width="0" style="1109" hidden="1" customWidth="1"/>
    <col min="7452" max="7452" width="18.28515625" style="1109" customWidth="1"/>
    <col min="7453" max="7453" width="17.7109375" style="1109" customWidth="1"/>
    <col min="7454" max="7454" width="19" style="1109" customWidth="1"/>
    <col min="7455" max="7455" width="18.42578125" style="1109" customWidth="1"/>
    <col min="7456" max="7456" width="19.140625" style="1109" customWidth="1"/>
    <col min="7457" max="7457" width="20.28515625" style="1109" customWidth="1"/>
    <col min="7458" max="7686" width="9.140625" style="1109"/>
    <col min="7687" max="7687" width="1.140625" style="1109" customWidth="1"/>
    <col min="7688" max="7688" width="48.7109375" style="1109" customWidth="1"/>
    <col min="7689" max="7699" width="0" style="1109" hidden="1" customWidth="1"/>
    <col min="7700" max="7700" width="20.7109375" style="1109" customWidth="1"/>
    <col min="7701" max="7701" width="18" style="1109" customWidth="1"/>
    <col min="7702" max="7702" width="20.42578125" style="1109" customWidth="1"/>
    <col min="7703" max="7703" width="22.85546875" style="1109" customWidth="1"/>
    <col min="7704" max="7704" width="20.140625" style="1109" customWidth="1"/>
    <col min="7705" max="7705" width="19.7109375" style="1109" customWidth="1"/>
    <col min="7706" max="7707" width="0" style="1109" hidden="1" customWidth="1"/>
    <col min="7708" max="7708" width="18.28515625" style="1109" customWidth="1"/>
    <col min="7709" max="7709" width="17.7109375" style="1109" customWidth="1"/>
    <col min="7710" max="7710" width="19" style="1109" customWidth="1"/>
    <col min="7711" max="7711" width="18.42578125" style="1109" customWidth="1"/>
    <col min="7712" max="7712" width="19.140625" style="1109" customWidth="1"/>
    <col min="7713" max="7713" width="20.28515625" style="1109" customWidth="1"/>
    <col min="7714" max="7942" width="9.140625" style="1109"/>
    <col min="7943" max="7943" width="1.140625" style="1109" customWidth="1"/>
    <col min="7944" max="7944" width="48.7109375" style="1109" customWidth="1"/>
    <col min="7945" max="7955" width="0" style="1109" hidden="1" customWidth="1"/>
    <col min="7956" max="7956" width="20.7109375" style="1109" customWidth="1"/>
    <col min="7957" max="7957" width="18" style="1109" customWidth="1"/>
    <col min="7958" max="7958" width="20.42578125" style="1109" customWidth="1"/>
    <col min="7959" max="7959" width="22.85546875" style="1109" customWidth="1"/>
    <col min="7960" max="7960" width="20.140625" style="1109" customWidth="1"/>
    <col min="7961" max="7961" width="19.7109375" style="1109" customWidth="1"/>
    <col min="7962" max="7963" width="0" style="1109" hidden="1" customWidth="1"/>
    <col min="7964" max="7964" width="18.28515625" style="1109" customWidth="1"/>
    <col min="7965" max="7965" width="17.7109375" style="1109" customWidth="1"/>
    <col min="7966" max="7966" width="19" style="1109" customWidth="1"/>
    <col min="7967" max="7967" width="18.42578125" style="1109" customWidth="1"/>
    <col min="7968" max="7968" width="19.140625" style="1109" customWidth="1"/>
    <col min="7969" max="7969" width="20.28515625" style="1109" customWidth="1"/>
    <col min="7970" max="8198" width="9.140625" style="1109"/>
    <col min="8199" max="8199" width="1.140625" style="1109" customWidth="1"/>
    <col min="8200" max="8200" width="48.7109375" style="1109" customWidth="1"/>
    <col min="8201" max="8211" width="0" style="1109" hidden="1" customWidth="1"/>
    <col min="8212" max="8212" width="20.7109375" style="1109" customWidth="1"/>
    <col min="8213" max="8213" width="18" style="1109" customWidth="1"/>
    <col min="8214" max="8214" width="20.42578125" style="1109" customWidth="1"/>
    <col min="8215" max="8215" width="22.85546875" style="1109" customWidth="1"/>
    <col min="8216" max="8216" width="20.140625" style="1109" customWidth="1"/>
    <col min="8217" max="8217" width="19.7109375" style="1109" customWidth="1"/>
    <col min="8218" max="8219" width="0" style="1109" hidden="1" customWidth="1"/>
    <col min="8220" max="8220" width="18.28515625" style="1109" customWidth="1"/>
    <col min="8221" max="8221" width="17.7109375" style="1109" customWidth="1"/>
    <col min="8222" max="8222" width="19" style="1109" customWidth="1"/>
    <col min="8223" max="8223" width="18.42578125" style="1109" customWidth="1"/>
    <col min="8224" max="8224" width="19.140625" style="1109" customWidth="1"/>
    <col min="8225" max="8225" width="20.28515625" style="1109" customWidth="1"/>
    <col min="8226" max="8454" width="9.140625" style="1109"/>
    <col min="8455" max="8455" width="1.140625" style="1109" customWidth="1"/>
    <col min="8456" max="8456" width="48.7109375" style="1109" customWidth="1"/>
    <col min="8457" max="8467" width="0" style="1109" hidden="1" customWidth="1"/>
    <col min="8468" max="8468" width="20.7109375" style="1109" customWidth="1"/>
    <col min="8469" max="8469" width="18" style="1109" customWidth="1"/>
    <col min="8470" max="8470" width="20.42578125" style="1109" customWidth="1"/>
    <col min="8471" max="8471" width="22.85546875" style="1109" customWidth="1"/>
    <col min="8472" max="8472" width="20.140625" style="1109" customWidth="1"/>
    <col min="8473" max="8473" width="19.7109375" style="1109" customWidth="1"/>
    <col min="8474" max="8475" width="0" style="1109" hidden="1" customWidth="1"/>
    <col min="8476" max="8476" width="18.28515625" style="1109" customWidth="1"/>
    <col min="8477" max="8477" width="17.7109375" style="1109" customWidth="1"/>
    <col min="8478" max="8478" width="19" style="1109" customWidth="1"/>
    <col min="8479" max="8479" width="18.42578125" style="1109" customWidth="1"/>
    <col min="8480" max="8480" width="19.140625" style="1109" customWidth="1"/>
    <col min="8481" max="8481" width="20.28515625" style="1109" customWidth="1"/>
    <col min="8482" max="8710" width="9.140625" style="1109"/>
    <col min="8711" max="8711" width="1.140625" style="1109" customWidth="1"/>
    <col min="8712" max="8712" width="48.7109375" style="1109" customWidth="1"/>
    <col min="8713" max="8723" width="0" style="1109" hidden="1" customWidth="1"/>
    <col min="8724" max="8724" width="20.7109375" style="1109" customWidth="1"/>
    <col min="8725" max="8725" width="18" style="1109" customWidth="1"/>
    <col min="8726" max="8726" width="20.42578125" style="1109" customWidth="1"/>
    <col min="8727" max="8727" width="22.85546875" style="1109" customWidth="1"/>
    <col min="8728" max="8728" width="20.140625" style="1109" customWidth="1"/>
    <col min="8729" max="8729" width="19.7109375" style="1109" customWidth="1"/>
    <col min="8730" max="8731" width="0" style="1109" hidden="1" customWidth="1"/>
    <col min="8732" max="8732" width="18.28515625" style="1109" customWidth="1"/>
    <col min="8733" max="8733" width="17.7109375" style="1109" customWidth="1"/>
    <col min="8734" max="8734" width="19" style="1109" customWidth="1"/>
    <col min="8735" max="8735" width="18.42578125" style="1109" customWidth="1"/>
    <col min="8736" max="8736" width="19.140625" style="1109" customWidth="1"/>
    <col min="8737" max="8737" width="20.28515625" style="1109" customWidth="1"/>
    <col min="8738" max="8966" width="9.140625" style="1109"/>
    <col min="8967" max="8967" width="1.140625" style="1109" customWidth="1"/>
    <col min="8968" max="8968" width="48.7109375" style="1109" customWidth="1"/>
    <col min="8969" max="8979" width="0" style="1109" hidden="1" customWidth="1"/>
    <col min="8980" max="8980" width="20.7109375" style="1109" customWidth="1"/>
    <col min="8981" max="8981" width="18" style="1109" customWidth="1"/>
    <col min="8982" max="8982" width="20.42578125" style="1109" customWidth="1"/>
    <col min="8983" max="8983" width="22.85546875" style="1109" customWidth="1"/>
    <col min="8984" max="8984" width="20.140625" style="1109" customWidth="1"/>
    <col min="8985" max="8985" width="19.7109375" style="1109" customWidth="1"/>
    <col min="8986" max="8987" width="0" style="1109" hidden="1" customWidth="1"/>
    <col min="8988" max="8988" width="18.28515625" style="1109" customWidth="1"/>
    <col min="8989" max="8989" width="17.7109375" style="1109" customWidth="1"/>
    <col min="8990" max="8990" width="19" style="1109" customWidth="1"/>
    <col min="8991" max="8991" width="18.42578125" style="1109" customWidth="1"/>
    <col min="8992" max="8992" width="19.140625" style="1109" customWidth="1"/>
    <col min="8993" max="8993" width="20.28515625" style="1109" customWidth="1"/>
    <col min="8994" max="9222" width="9.140625" style="1109"/>
    <col min="9223" max="9223" width="1.140625" style="1109" customWidth="1"/>
    <col min="9224" max="9224" width="48.7109375" style="1109" customWidth="1"/>
    <col min="9225" max="9235" width="0" style="1109" hidden="1" customWidth="1"/>
    <col min="9236" max="9236" width="20.7109375" style="1109" customWidth="1"/>
    <col min="9237" max="9237" width="18" style="1109" customWidth="1"/>
    <col min="9238" max="9238" width="20.42578125" style="1109" customWidth="1"/>
    <col min="9239" max="9239" width="22.85546875" style="1109" customWidth="1"/>
    <col min="9240" max="9240" width="20.140625" style="1109" customWidth="1"/>
    <col min="9241" max="9241" width="19.7109375" style="1109" customWidth="1"/>
    <col min="9242" max="9243" width="0" style="1109" hidden="1" customWidth="1"/>
    <col min="9244" max="9244" width="18.28515625" style="1109" customWidth="1"/>
    <col min="9245" max="9245" width="17.7109375" style="1109" customWidth="1"/>
    <col min="9246" max="9246" width="19" style="1109" customWidth="1"/>
    <col min="9247" max="9247" width="18.42578125" style="1109" customWidth="1"/>
    <col min="9248" max="9248" width="19.140625" style="1109" customWidth="1"/>
    <col min="9249" max="9249" width="20.28515625" style="1109" customWidth="1"/>
    <col min="9250" max="9478" width="9.140625" style="1109"/>
    <col min="9479" max="9479" width="1.140625" style="1109" customWidth="1"/>
    <col min="9480" max="9480" width="48.7109375" style="1109" customWidth="1"/>
    <col min="9481" max="9491" width="0" style="1109" hidden="1" customWidth="1"/>
    <col min="9492" max="9492" width="20.7109375" style="1109" customWidth="1"/>
    <col min="9493" max="9493" width="18" style="1109" customWidth="1"/>
    <col min="9494" max="9494" width="20.42578125" style="1109" customWidth="1"/>
    <col min="9495" max="9495" width="22.85546875" style="1109" customWidth="1"/>
    <col min="9496" max="9496" width="20.140625" style="1109" customWidth="1"/>
    <col min="9497" max="9497" width="19.7109375" style="1109" customWidth="1"/>
    <col min="9498" max="9499" width="0" style="1109" hidden="1" customWidth="1"/>
    <col min="9500" max="9500" width="18.28515625" style="1109" customWidth="1"/>
    <col min="9501" max="9501" width="17.7109375" style="1109" customWidth="1"/>
    <col min="9502" max="9502" width="19" style="1109" customWidth="1"/>
    <col min="9503" max="9503" width="18.42578125" style="1109" customWidth="1"/>
    <col min="9504" max="9504" width="19.140625" style="1109" customWidth="1"/>
    <col min="9505" max="9505" width="20.28515625" style="1109" customWidth="1"/>
    <col min="9506" max="9734" width="9.140625" style="1109"/>
    <col min="9735" max="9735" width="1.140625" style="1109" customWidth="1"/>
    <col min="9736" max="9736" width="48.7109375" style="1109" customWidth="1"/>
    <col min="9737" max="9747" width="0" style="1109" hidden="1" customWidth="1"/>
    <col min="9748" max="9748" width="20.7109375" style="1109" customWidth="1"/>
    <col min="9749" max="9749" width="18" style="1109" customWidth="1"/>
    <col min="9750" max="9750" width="20.42578125" style="1109" customWidth="1"/>
    <col min="9751" max="9751" width="22.85546875" style="1109" customWidth="1"/>
    <col min="9752" max="9752" width="20.140625" style="1109" customWidth="1"/>
    <col min="9753" max="9753" width="19.7109375" style="1109" customWidth="1"/>
    <col min="9754" max="9755" width="0" style="1109" hidden="1" customWidth="1"/>
    <col min="9756" max="9756" width="18.28515625" style="1109" customWidth="1"/>
    <col min="9757" max="9757" width="17.7109375" style="1109" customWidth="1"/>
    <col min="9758" max="9758" width="19" style="1109" customWidth="1"/>
    <col min="9759" max="9759" width="18.42578125" style="1109" customWidth="1"/>
    <col min="9760" max="9760" width="19.140625" style="1109" customWidth="1"/>
    <col min="9761" max="9761" width="20.28515625" style="1109" customWidth="1"/>
    <col min="9762" max="9990" width="9.140625" style="1109"/>
    <col min="9991" max="9991" width="1.140625" style="1109" customWidth="1"/>
    <col min="9992" max="9992" width="48.7109375" style="1109" customWidth="1"/>
    <col min="9993" max="10003" width="0" style="1109" hidden="1" customWidth="1"/>
    <col min="10004" max="10004" width="20.7109375" style="1109" customWidth="1"/>
    <col min="10005" max="10005" width="18" style="1109" customWidth="1"/>
    <col min="10006" max="10006" width="20.42578125" style="1109" customWidth="1"/>
    <col min="10007" max="10007" width="22.85546875" style="1109" customWidth="1"/>
    <col min="10008" max="10008" width="20.140625" style="1109" customWidth="1"/>
    <col min="10009" max="10009" width="19.7109375" style="1109" customWidth="1"/>
    <col min="10010" max="10011" width="0" style="1109" hidden="1" customWidth="1"/>
    <col min="10012" max="10012" width="18.28515625" style="1109" customWidth="1"/>
    <col min="10013" max="10013" width="17.7109375" style="1109" customWidth="1"/>
    <col min="10014" max="10014" width="19" style="1109" customWidth="1"/>
    <col min="10015" max="10015" width="18.42578125" style="1109" customWidth="1"/>
    <col min="10016" max="10016" width="19.140625" style="1109" customWidth="1"/>
    <col min="10017" max="10017" width="20.28515625" style="1109" customWidth="1"/>
    <col min="10018" max="10246" width="9.140625" style="1109"/>
    <col min="10247" max="10247" width="1.140625" style="1109" customWidth="1"/>
    <col min="10248" max="10248" width="48.7109375" style="1109" customWidth="1"/>
    <col min="10249" max="10259" width="0" style="1109" hidden="1" customWidth="1"/>
    <col min="10260" max="10260" width="20.7109375" style="1109" customWidth="1"/>
    <col min="10261" max="10261" width="18" style="1109" customWidth="1"/>
    <col min="10262" max="10262" width="20.42578125" style="1109" customWidth="1"/>
    <col min="10263" max="10263" width="22.85546875" style="1109" customWidth="1"/>
    <col min="10264" max="10264" width="20.140625" style="1109" customWidth="1"/>
    <col min="10265" max="10265" width="19.7109375" style="1109" customWidth="1"/>
    <col min="10266" max="10267" width="0" style="1109" hidden="1" customWidth="1"/>
    <col min="10268" max="10268" width="18.28515625" style="1109" customWidth="1"/>
    <col min="10269" max="10269" width="17.7109375" style="1109" customWidth="1"/>
    <col min="10270" max="10270" width="19" style="1109" customWidth="1"/>
    <col min="10271" max="10271" width="18.42578125" style="1109" customWidth="1"/>
    <col min="10272" max="10272" width="19.140625" style="1109" customWidth="1"/>
    <col min="10273" max="10273" width="20.28515625" style="1109" customWidth="1"/>
    <col min="10274" max="10502" width="9.140625" style="1109"/>
    <col min="10503" max="10503" width="1.140625" style="1109" customWidth="1"/>
    <col min="10504" max="10504" width="48.7109375" style="1109" customWidth="1"/>
    <col min="10505" max="10515" width="0" style="1109" hidden="1" customWidth="1"/>
    <col min="10516" max="10516" width="20.7109375" style="1109" customWidth="1"/>
    <col min="10517" max="10517" width="18" style="1109" customWidth="1"/>
    <col min="10518" max="10518" width="20.42578125" style="1109" customWidth="1"/>
    <col min="10519" max="10519" width="22.85546875" style="1109" customWidth="1"/>
    <col min="10520" max="10520" width="20.140625" style="1109" customWidth="1"/>
    <col min="10521" max="10521" width="19.7109375" style="1109" customWidth="1"/>
    <col min="10522" max="10523" width="0" style="1109" hidden="1" customWidth="1"/>
    <col min="10524" max="10524" width="18.28515625" style="1109" customWidth="1"/>
    <col min="10525" max="10525" width="17.7109375" style="1109" customWidth="1"/>
    <col min="10526" max="10526" width="19" style="1109" customWidth="1"/>
    <col min="10527" max="10527" width="18.42578125" style="1109" customWidth="1"/>
    <col min="10528" max="10528" width="19.140625" style="1109" customWidth="1"/>
    <col min="10529" max="10529" width="20.28515625" style="1109" customWidth="1"/>
    <col min="10530" max="10758" width="9.140625" style="1109"/>
    <col min="10759" max="10759" width="1.140625" style="1109" customWidth="1"/>
    <col min="10760" max="10760" width="48.7109375" style="1109" customWidth="1"/>
    <col min="10761" max="10771" width="0" style="1109" hidden="1" customWidth="1"/>
    <col min="10772" max="10772" width="20.7109375" style="1109" customWidth="1"/>
    <col min="10773" max="10773" width="18" style="1109" customWidth="1"/>
    <col min="10774" max="10774" width="20.42578125" style="1109" customWidth="1"/>
    <col min="10775" max="10775" width="22.85546875" style="1109" customWidth="1"/>
    <col min="10776" max="10776" width="20.140625" style="1109" customWidth="1"/>
    <col min="10777" max="10777" width="19.7109375" style="1109" customWidth="1"/>
    <col min="10778" max="10779" width="0" style="1109" hidden="1" customWidth="1"/>
    <col min="10780" max="10780" width="18.28515625" style="1109" customWidth="1"/>
    <col min="10781" max="10781" width="17.7109375" style="1109" customWidth="1"/>
    <col min="10782" max="10782" width="19" style="1109" customWidth="1"/>
    <col min="10783" max="10783" width="18.42578125" style="1109" customWidth="1"/>
    <col min="10784" max="10784" width="19.140625" style="1109" customWidth="1"/>
    <col min="10785" max="10785" width="20.28515625" style="1109" customWidth="1"/>
    <col min="10786" max="11014" width="9.140625" style="1109"/>
    <col min="11015" max="11015" width="1.140625" style="1109" customWidth="1"/>
    <col min="11016" max="11016" width="48.7109375" style="1109" customWidth="1"/>
    <col min="11017" max="11027" width="0" style="1109" hidden="1" customWidth="1"/>
    <col min="11028" max="11028" width="20.7109375" style="1109" customWidth="1"/>
    <col min="11029" max="11029" width="18" style="1109" customWidth="1"/>
    <col min="11030" max="11030" width="20.42578125" style="1109" customWidth="1"/>
    <col min="11031" max="11031" width="22.85546875" style="1109" customWidth="1"/>
    <col min="11032" max="11032" width="20.140625" style="1109" customWidth="1"/>
    <col min="11033" max="11033" width="19.7109375" style="1109" customWidth="1"/>
    <col min="11034" max="11035" width="0" style="1109" hidden="1" customWidth="1"/>
    <col min="11036" max="11036" width="18.28515625" style="1109" customWidth="1"/>
    <col min="11037" max="11037" width="17.7109375" style="1109" customWidth="1"/>
    <col min="11038" max="11038" width="19" style="1109" customWidth="1"/>
    <col min="11039" max="11039" width="18.42578125" style="1109" customWidth="1"/>
    <col min="11040" max="11040" width="19.140625" style="1109" customWidth="1"/>
    <col min="11041" max="11041" width="20.28515625" style="1109" customWidth="1"/>
    <col min="11042" max="11270" width="9.140625" style="1109"/>
    <col min="11271" max="11271" width="1.140625" style="1109" customWidth="1"/>
    <col min="11272" max="11272" width="48.7109375" style="1109" customWidth="1"/>
    <col min="11273" max="11283" width="0" style="1109" hidden="1" customWidth="1"/>
    <col min="11284" max="11284" width="20.7109375" style="1109" customWidth="1"/>
    <col min="11285" max="11285" width="18" style="1109" customWidth="1"/>
    <col min="11286" max="11286" width="20.42578125" style="1109" customWidth="1"/>
    <col min="11287" max="11287" width="22.85546875" style="1109" customWidth="1"/>
    <col min="11288" max="11288" width="20.140625" style="1109" customWidth="1"/>
    <col min="11289" max="11289" width="19.7109375" style="1109" customWidth="1"/>
    <col min="11290" max="11291" width="0" style="1109" hidden="1" customWidth="1"/>
    <col min="11292" max="11292" width="18.28515625" style="1109" customWidth="1"/>
    <col min="11293" max="11293" width="17.7109375" style="1109" customWidth="1"/>
    <col min="11294" max="11294" width="19" style="1109" customWidth="1"/>
    <col min="11295" max="11295" width="18.42578125" style="1109" customWidth="1"/>
    <col min="11296" max="11296" width="19.140625" style="1109" customWidth="1"/>
    <col min="11297" max="11297" width="20.28515625" style="1109" customWidth="1"/>
    <col min="11298" max="11526" width="9.140625" style="1109"/>
    <col min="11527" max="11527" width="1.140625" style="1109" customWidth="1"/>
    <col min="11528" max="11528" width="48.7109375" style="1109" customWidth="1"/>
    <col min="11529" max="11539" width="0" style="1109" hidden="1" customWidth="1"/>
    <col min="11540" max="11540" width="20.7109375" style="1109" customWidth="1"/>
    <col min="11541" max="11541" width="18" style="1109" customWidth="1"/>
    <col min="11542" max="11542" width="20.42578125" style="1109" customWidth="1"/>
    <col min="11543" max="11543" width="22.85546875" style="1109" customWidth="1"/>
    <col min="11544" max="11544" width="20.140625" style="1109" customWidth="1"/>
    <col min="11545" max="11545" width="19.7109375" style="1109" customWidth="1"/>
    <col min="11546" max="11547" width="0" style="1109" hidden="1" customWidth="1"/>
    <col min="11548" max="11548" width="18.28515625" style="1109" customWidth="1"/>
    <col min="11549" max="11549" width="17.7109375" style="1109" customWidth="1"/>
    <col min="11550" max="11550" width="19" style="1109" customWidth="1"/>
    <col min="11551" max="11551" width="18.42578125" style="1109" customWidth="1"/>
    <col min="11552" max="11552" width="19.140625" style="1109" customWidth="1"/>
    <col min="11553" max="11553" width="20.28515625" style="1109" customWidth="1"/>
    <col min="11554" max="11782" width="9.140625" style="1109"/>
    <col min="11783" max="11783" width="1.140625" style="1109" customWidth="1"/>
    <col min="11784" max="11784" width="48.7109375" style="1109" customWidth="1"/>
    <col min="11785" max="11795" width="0" style="1109" hidden="1" customWidth="1"/>
    <col min="11796" max="11796" width="20.7109375" style="1109" customWidth="1"/>
    <col min="11797" max="11797" width="18" style="1109" customWidth="1"/>
    <col min="11798" max="11798" width="20.42578125" style="1109" customWidth="1"/>
    <col min="11799" max="11799" width="22.85546875" style="1109" customWidth="1"/>
    <col min="11800" max="11800" width="20.140625" style="1109" customWidth="1"/>
    <col min="11801" max="11801" width="19.7109375" style="1109" customWidth="1"/>
    <col min="11802" max="11803" width="0" style="1109" hidden="1" customWidth="1"/>
    <col min="11804" max="11804" width="18.28515625" style="1109" customWidth="1"/>
    <col min="11805" max="11805" width="17.7109375" style="1109" customWidth="1"/>
    <col min="11806" max="11806" width="19" style="1109" customWidth="1"/>
    <col min="11807" max="11807" width="18.42578125" style="1109" customWidth="1"/>
    <col min="11808" max="11808" width="19.140625" style="1109" customWidth="1"/>
    <col min="11809" max="11809" width="20.28515625" style="1109" customWidth="1"/>
    <col min="11810" max="12038" width="9.140625" style="1109"/>
    <col min="12039" max="12039" width="1.140625" style="1109" customWidth="1"/>
    <col min="12040" max="12040" width="48.7109375" style="1109" customWidth="1"/>
    <col min="12041" max="12051" width="0" style="1109" hidden="1" customWidth="1"/>
    <col min="12052" max="12052" width="20.7109375" style="1109" customWidth="1"/>
    <col min="12053" max="12053" width="18" style="1109" customWidth="1"/>
    <col min="12054" max="12054" width="20.42578125" style="1109" customWidth="1"/>
    <col min="12055" max="12055" width="22.85546875" style="1109" customWidth="1"/>
    <col min="12056" max="12056" width="20.140625" style="1109" customWidth="1"/>
    <col min="12057" max="12057" width="19.7109375" style="1109" customWidth="1"/>
    <col min="12058" max="12059" width="0" style="1109" hidden="1" customWidth="1"/>
    <col min="12060" max="12060" width="18.28515625" style="1109" customWidth="1"/>
    <col min="12061" max="12061" width="17.7109375" style="1109" customWidth="1"/>
    <col min="12062" max="12062" width="19" style="1109" customWidth="1"/>
    <col min="12063" max="12063" width="18.42578125" style="1109" customWidth="1"/>
    <col min="12064" max="12064" width="19.140625" style="1109" customWidth="1"/>
    <col min="12065" max="12065" width="20.28515625" style="1109" customWidth="1"/>
    <col min="12066" max="12294" width="9.140625" style="1109"/>
    <col min="12295" max="12295" width="1.140625" style="1109" customWidth="1"/>
    <col min="12296" max="12296" width="48.7109375" style="1109" customWidth="1"/>
    <col min="12297" max="12307" width="0" style="1109" hidden="1" customWidth="1"/>
    <col min="12308" max="12308" width="20.7109375" style="1109" customWidth="1"/>
    <col min="12309" max="12309" width="18" style="1109" customWidth="1"/>
    <col min="12310" max="12310" width="20.42578125" style="1109" customWidth="1"/>
    <col min="12311" max="12311" width="22.85546875" style="1109" customWidth="1"/>
    <col min="12312" max="12312" width="20.140625" style="1109" customWidth="1"/>
    <col min="12313" max="12313" width="19.7109375" style="1109" customWidth="1"/>
    <col min="12314" max="12315" width="0" style="1109" hidden="1" customWidth="1"/>
    <col min="12316" max="12316" width="18.28515625" style="1109" customWidth="1"/>
    <col min="12317" max="12317" width="17.7109375" style="1109" customWidth="1"/>
    <col min="12318" max="12318" width="19" style="1109" customWidth="1"/>
    <col min="12319" max="12319" width="18.42578125" style="1109" customWidth="1"/>
    <col min="12320" max="12320" width="19.140625" style="1109" customWidth="1"/>
    <col min="12321" max="12321" width="20.28515625" style="1109" customWidth="1"/>
    <col min="12322" max="12550" width="9.140625" style="1109"/>
    <col min="12551" max="12551" width="1.140625" style="1109" customWidth="1"/>
    <col min="12552" max="12552" width="48.7109375" style="1109" customWidth="1"/>
    <col min="12553" max="12563" width="0" style="1109" hidden="1" customWidth="1"/>
    <col min="12564" max="12564" width="20.7109375" style="1109" customWidth="1"/>
    <col min="12565" max="12565" width="18" style="1109" customWidth="1"/>
    <col min="12566" max="12566" width="20.42578125" style="1109" customWidth="1"/>
    <col min="12567" max="12567" width="22.85546875" style="1109" customWidth="1"/>
    <col min="12568" max="12568" width="20.140625" style="1109" customWidth="1"/>
    <col min="12569" max="12569" width="19.7109375" style="1109" customWidth="1"/>
    <col min="12570" max="12571" width="0" style="1109" hidden="1" customWidth="1"/>
    <col min="12572" max="12572" width="18.28515625" style="1109" customWidth="1"/>
    <col min="12573" max="12573" width="17.7109375" style="1109" customWidth="1"/>
    <col min="12574" max="12574" width="19" style="1109" customWidth="1"/>
    <col min="12575" max="12575" width="18.42578125" style="1109" customWidth="1"/>
    <col min="12576" max="12576" width="19.140625" style="1109" customWidth="1"/>
    <col min="12577" max="12577" width="20.28515625" style="1109" customWidth="1"/>
    <col min="12578" max="12806" width="9.140625" style="1109"/>
    <col min="12807" max="12807" width="1.140625" style="1109" customWidth="1"/>
    <col min="12808" max="12808" width="48.7109375" style="1109" customWidth="1"/>
    <col min="12809" max="12819" width="0" style="1109" hidden="1" customWidth="1"/>
    <col min="12820" max="12820" width="20.7109375" style="1109" customWidth="1"/>
    <col min="12821" max="12821" width="18" style="1109" customWidth="1"/>
    <col min="12822" max="12822" width="20.42578125" style="1109" customWidth="1"/>
    <col min="12823" max="12823" width="22.85546875" style="1109" customWidth="1"/>
    <col min="12824" max="12824" width="20.140625" style="1109" customWidth="1"/>
    <col min="12825" max="12825" width="19.7109375" style="1109" customWidth="1"/>
    <col min="12826" max="12827" width="0" style="1109" hidden="1" customWidth="1"/>
    <col min="12828" max="12828" width="18.28515625" style="1109" customWidth="1"/>
    <col min="12829" max="12829" width="17.7109375" style="1109" customWidth="1"/>
    <col min="12830" max="12830" width="19" style="1109" customWidth="1"/>
    <col min="12831" max="12831" width="18.42578125" style="1109" customWidth="1"/>
    <col min="12832" max="12832" width="19.140625" style="1109" customWidth="1"/>
    <col min="12833" max="12833" width="20.28515625" style="1109" customWidth="1"/>
    <col min="12834" max="13062" width="9.140625" style="1109"/>
    <col min="13063" max="13063" width="1.140625" style="1109" customWidth="1"/>
    <col min="13064" max="13064" width="48.7109375" style="1109" customWidth="1"/>
    <col min="13065" max="13075" width="0" style="1109" hidden="1" customWidth="1"/>
    <col min="13076" max="13076" width="20.7109375" style="1109" customWidth="1"/>
    <col min="13077" max="13077" width="18" style="1109" customWidth="1"/>
    <col min="13078" max="13078" width="20.42578125" style="1109" customWidth="1"/>
    <col min="13079" max="13079" width="22.85546875" style="1109" customWidth="1"/>
    <col min="13080" max="13080" width="20.140625" style="1109" customWidth="1"/>
    <col min="13081" max="13081" width="19.7109375" style="1109" customWidth="1"/>
    <col min="13082" max="13083" width="0" style="1109" hidden="1" customWidth="1"/>
    <col min="13084" max="13084" width="18.28515625" style="1109" customWidth="1"/>
    <col min="13085" max="13085" width="17.7109375" style="1109" customWidth="1"/>
    <col min="13086" max="13086" width="19" style="1109" customWidth="1"/>
    <col min="13087" max="13087" width="18.42578125" style="1109" customWidth="1"/>
    <col min="13088" max="13088" width="19.140625" style="1109" customWidth="1"/>
    <col min="13089" max="13089" width="20.28515625" style="1109" customWidth="1"/>
    <col min="13090" max="13318" width="9.140625" style="1109"/>
    <col min="13319" max="13319" width="1.140625" style="1109" customWidth="1"/>
    <col min="13320" max="13320" width="48.7109375" style="1109" customWidth="1"/>
    <col min="13321" max="13331" width="0" style="1109" hidden="1" customWidth="1"/>
    <col min="13332" max="13332" width="20.7109375" style="1109" customWidth="1"/>
    <col min="13333" max="13333" width="18" style="1109" customWidth="1"/>
    <col min="13334" max="13334" width="20.42578125" style="1109" customWidth="1"/>
    <col min="13335" max="13335" width="22.85546875" style="1109" customWidth="1"/>
    <col min="13336" max="13336" width="20.140625" style="1109" customWidth="1"/>
    <col min="13337" max="13337" width="19.7109375" style="1109" customWidth="1"/>
    <col min="13338" max="13339" width="0" style="1109" hidden="1" customWidth="1"/>
    <col min="13340" max="13340" width="18.28515625" style="1109" customWidth="1"/>
    <col min="13341" max="13341" width="17.7109375" style="1109" customWidth="1"/>
    <col min="13342" max="13342" width="19" style="1109" customWidth="1"/>
    <col min="13343" max="13343" width="18.42578125" style="1109" customWidth="1"/>
    <col min="13344" max="13344" width="19.140625" style="1109" customWidth="1"/>
    <col min="13345" max="13345" width="20.28515625" style="1109" customWidth="1"/>
    <col min="13346" max="13574" width="9.140625" style="1109"/>
    <col min="13575" max="13575" width="1.140625" style="1109" customWidth="1"/>
    <col min="13576" max="13576" width="48.7109375" style="1109" customWidth="1"/>
    <col min="13577" max="13587" width="0" style="1109" hidden="1" customWidth="1"/>
    <col min="13588" max="13588" width="20.7109375" style="1109" customWidth="1"/>
    <col min="13589" max="13589" width="18" style="1109" customWidth="1"/>
    <col min="13590" max="13590" width="20.42578125" style="1109" customWidth="1"/>
    <col min="13591" max="13591" width="22.85546875" style="1109" customWidth="1"/>
    <col min="13592" max="13592" width="20.140625" style="1109" customWidth="1"/>
    <col min="13593" max="13593" width="19.7109375" style="1109" customWidth="1"/>
    <col min="13594" max="13595" width="0" style="1109" hidden="1" customWidth="1"/>
    <col min="13596" max="13596" width="18.28515625" style="1109" customWidth="1"/>
    <col min="13597" max="13597" width="17.7109375" style="1109" customWidth="1"/>
    <col min="13598" max="13598" width="19" style="1109" customWidth="1"/>
    <col min="13599" max="13599" width="18.42578125" style="1109" customWidth="1"/>
    <col min="13600" max="13600" width="19.140625" style="1109" customWidth="1"/>
    <col min="13601" max="13601" width="20.28515625" style="1109" customWidth="1"/>
    <col min="13602" max="13830" width="9.140625" style="1109"/>
    <col min="13831" max="13831" width="1.140625" style="1109" customWidth="1"/>
    <col min="13832" max="13832" width="48.7109375" style="1109" customWidth="1"/>
    <col min="13833" max="13843" width="0" style="1109" hidden="1" customWidth="1"/>
    <col min="13844" max="13844" width="20.7109375" style="1109" customWidth="1"/>
    <col min="13845" max="13845" width="18" style="1109" customWidth="1"/>
    <col min="13846" max="13846" width="20.42578125" style="1109" customWidth="1"/>
    <col min="13847" max="13847" width="22.85546875" style="1109" customWidth="1"/>
    <col min="13848" max="13848" width="20.140625" style="1109" customWidth="1"/>
    <col min="13849" max="13849" width="19.7109375" style="1109" customWidth="1"/>
    <col min="13850" max="13851" width="0" style="1109" hidden="1" customWidth="1"/>
    <col min="13852" max="13852" width="18.28515625" style="1109" customWidth="1"/>
    <col min="13853" max="13853" width="17.7109375" style="1109" customWidth="1"/>
    <col min="13854" max="13854" width="19" style="1109" customWidth="1"/>
    <col min="13855" max="13855" width="18.42578125" style="1109" customWidth="1"/>
    <col min="13856" max="13856" width="19.140625" style="1109" customWidth="1"/>
    <col min="13857" max="13857" width="20.28515625" style="1109" customWidth="1"/>
    <col min="13858" max="14086" width="9.140625" style="1109"/>
    <col min="14087" max="14087" width="1.140625" style="1109" customWidth="1"/>
    <col min="14088" max="14088" width="48.7109375" style="1109" customWidth="1"/>
    <col min="14089" max="14099" width="0" style="1109" hidden="1" customWidth="1"/>
    <col min="14100" max="14100" width="20.7109375" style="1109" customWidth="1"/>
    <col min="14101" max="14101" width="18" style="1109" customWidth="1"/>
    <col min="14102" max="14102" width="20.42578125" style="1109" customWidth="1"/>
    <col min="14103" max="14103" width="22.85546875" style="1109" customWidth="1"/>
    <col min="14104" max="14104" width="20.140625" style="1109" customWidth="1"/>
    <col min="14105" max="14105" width="19.7109375" style="1109" customWidth="1"/>
    <col min="14106" max="14107" width="0" style="1109" hidden="1" customWidth="1"/>
    <col min="14108" max="14108" width="18.28515625" style="1109" customWidth="1"/>
    <col min="14109" max="14109" width="17.7109375" style="1109" customWidth="1"/>
    <col min="14110" max="14110" width="19" style="1109" customWidth="1"/>
    <col min="14111" max="14111" width="18.42578125" style="1109" customWidth="1"/>
    <col min="14112" max="14112" width="19.140625" style="1109" customWidth="1"/>
    <col min="14113" max="14113" width="20.28515625" style="1109" customWidth="1"/>
    <col min="14114" max="14342" width="9.140625" style="1109"/>
    <col min="14343" max="14343" width="1.140625" style="1109" customWidth="1"/>
    <col min="14344" max="14344" width="48.7109375" style="1109" customWidth="1"/>
    <col min="14345" max="14355" width="0" style="1109" hidden="1" customWidth="1"/>
    <col min="14356" max="14356" width="20.7109375" style="1109" customWidth="1"/>
    <col min="14357" max="14357" width="18" style="1109" customWidth="1"/>
    <col min="14358" max="14358" width="20.42578125" style="1109" customWidth="1"/>
    <col min="14359" max="14359" width="22.85546875" style="1109" customWidth="1"/>
    <col min="14360" max="14360" width="20.140625" style="1109" customWidth="1"/>
    <col min="14361" max="14361" width="19.7109375" style="1109" customWidth="1"/>
    <col min="14362" max="14363" width="0" style="1109" hidden="1" customWidth="1"/>
    <col min="14364" max="14364" width="18.28515625" style="1109" customWidth="1"/>
    <col min="14365" max="14365" width="17.7109375" style="1109" customWidth="1"/>
    <col min="14366" max="14366" width="19" style="1109" customWidth="1"/>
    <col min="14367" max="14367" width="18.42578125" style="1109" customWidth="1"/>
    <col min="14368" max="14368" width="19.140625" style="1109" customWidth="1"/>
    <col min="14369" max="14369" width="20.28515625" style="1109" customWidth="1"/>
    <col min="14370" max="14598" width="9.140625" style="1109"/>
    <col min="14599" max="14599" width="1.140625" style="1109" customWidth="1"/>
    <col min="14600" max="14600" width="48.7109375" style="1109" customWidth="1"/>
    <col min="14601" max="14611" width="0" style="1109" hidden="1" customWidth="1"/>
    <col min="14612" max="14612" width="20.7109375" style="1109" customWidth="1"/>
    <col min="14613" max="14613" width="18" style="1109" customWidth="1"/>
    <col min="14614" max="14614" width="20.42578125" style="1109" customWidth="1"/>
    <col min="14615" max="14615" width="22.85546875" style="1109" customWidth="1"/>
    <col min="14616" max="14616" width="20.140625" style="1109" customWidth="1"/>
    <col min="14617" max="14617" width="19.7109375" style="1109" customWidth="1"/>
    <col min="14618" max="14619" width="0" style="1109" hidden="1" customWidth="1"/>
    <col min="14620" max="14620" width="18.28515625" style="1109" customWidth="1"/>
    <col min="14621" max="14621" width="17.7109375" style="1109" customWidth="1"/>
    <col min="14622" max="14622" width="19" style="1109" customWidth="1"/>
    <col min="14623" max="14623" width="18.42578125" style="1109" customWidth="1"/>
    <col min="14624" max="14624" width="19.140625" style="1109" customWidth="1"/>
    <col min="14625" max="14625" width="20.28515625" style="1109" customWidth="1"/>
    <col min="14626" max="14854" width="9.140625" style="1109"/>
    <col min="14855" max="14855" width="1.140625" style="1109" customWidth="1"/>
    <col min="14856" max="14856" width="48.7109375" style="1109" customWidth="1"/>
    <col min="14857" max="14867" width="0" style="1109" hidden="1" customWidth="1"/>
    <col min="14868" max="14868" width="20.7109375" style="1109" customWidth="1"/>
    <col min="14869" max="14869" width="18" style="1109" customWidth="1"/>
    <col min="14870" max="14870" width="20.42578125" style="1109" customWidth="1"/>
    <col min="14871" max="14871" width="22.85546875" style="1109" customWidth="1"/>
    <col min="14872" max="14872" width="20.140625" style="1109" customWidth="1"/>
    <col min="14873" max="14873" width="19.7109375" style="1109" customWidth="1"/>
    <col min="14874" max="14875" width="0" style="1109" hidden="1" customWidth="1"/>
    <col min="14876" max="14876" width="18.28515625" style="1109" customWidth="1"/>
    <col min="14877" max="14877" width="17.7109375" style="1109" customWidth="1"/>
    <col min="14878" max="14878" width="19" style="1109" customWidth="1"/>
    <col min="14879" max="14879" width="18.42578125" style="1109" customWidth="1"/>
    <col min="14880" max="14880" width="19.140625" style="1109" customWidth="1"/>
    <col min="14881" max="14881" width="20.28515625" style="1109" customWidth="1"/>
    <col min="14882" max="15110" width="9.140625" style="1109"/>
    <col min="15111" max="15111" width="1.140625" style="1109" customWidth="1"/>
    <col min="15112" max="15112" width="48.7109375" style="1109" customWidth="1"/>
    <col min="15113" max="15123" width="0" style="1109" hidden="1" customWidth="1"/>
    <col min="15124" max="15124" width="20.7109375" style="1109" customWidth="1"/>
    <col min="15125" max="15125" width="18" style="1109" customWidth="1"/>
    <col min="15126" max="15126" width="20.42578125" style="1109" customWidth="1"/>
    <col min="15127" max="15127" width="22.85546875" style="1109" customWidth="1"/>
    <col min="15128" max="15128" width="20.140625" style="1109" customWidth="1"/>
    <col min="15129" max="15129" width="19.7109375" style="1109" customWidth="1"/>
    <col min="15130" max="15131" width="0" style="1109" hidden="1" customWidth="1"/>
    <col min="15132" max="15132" width="18.28515625" style="1109" customWidth="1"/>
    <col min="15133" max="15133" width="17.7109375" style="1109" customWidth="1"/>
    <col min="15134" max="15134" width="19" style="1109" customWidth="1"/>
    <col min="15135" max="15135" width="18.42578125" style="1109" customWidth="1"/>
    <col min="15136" max="15136" width="19.140625" style="1109" customWidth="1"/>
    <col min="15137" max="15137" width="20.28515625" style="1109" customWidth="1"/>
    <col min="15138" max="15366" width="9.140625" style="1109"/>
    <col min="15367" max="15367" width="1.140625" style="1109" customWidth="1"/>
    <col min="15368" max="15368" width="48.7109375" style="1109" customWidth="1"/>
    <col min="15369" max="15379" width="0" style="1109" hidden="1" customWidth="1"/>
    <col min="15380" max="15380" width="20.7109375" style="1109" customWidth="1"/>
    <col min="15381" max="15381" width="18" style="1109" customWidth="1"/>
    <col min="15382" max="15382" width="20.42578125" style="1109" customWidth="1"/>
    <col min="15383" max="15383" width="22.85546875" style="1109" customWidth="1"/>
    <col min="15384" max="15384" width="20.140625" style="1109" customWidth="1"/>
    <col min="15385" max="15385" width="19.7109375" style="1109" customWidth="1"/>
    <col min="15386" max="15387" width="0" style="1109" hidden="1" customWidth="1"/>
    <col min="15388" max="15388" width="18.28515625" style="1109" customWidth="1"/>
    <col min="15389" max="15389" width="17.7109375" style="1109" customWidth="1"/>
    <col min="15390" max="15390" width="19" style="1109" customWidth="1"/>
    <col min="15391" max="15391" width="18.42578125" style="1109" customWidth="1"/>
    <col min="15392" max="15392" width="19.140625" style="1109" customWidth="1"/>
    <col min="15393" max="15393" width="20.28515625" style="1109" customWidth="1"/>
    <col min="15394" max="15622" width="9.140625" style="1109"/>
    <col min="15623" max="15623" width="1.140625" style="1109" customWidth="1"/>
    <col min="15624" max="15624" width="48.7109375" style="1109" customWidth="1"/>
    <col min="15625" max="15635" width="0" style="1109" hidden="1" customWidth="1"/>
    <col min="15636" max="15636" width="20.7109375" style="1109" customWidth="1"/>
    <col min="15637" max="15637" width="18" style="1109" customWidth="1"/>
    <col min="15638" max="15638" width="20.42578125" style="1109" customWidth="1"/>
    <col min="15639" max="15639" width="22.85546875" style="1109" customWidth="1"/>
    <col min="15640" max="15640" width="20.140625" style="1109" customWidth="1"/>
    <col min="15641" max="15641" width="19.7109375" style="1109" customWidth="1"/>
    <col min="15642" max="15643" width="0" style="1109" hidden="1" customWidth="1"/>
    <col min="15644" max="15644" width="18.28515625" style="1109" customWidth="1"/>
    <col min="15645" max="15645" width="17.7109375" style="1109" customWidth="1"/>
    <col min="15646" max="15646" width="19" style="1109" customWidth="1"/>
    <col min="15647" max="15647" width="18.42578125" style="1109" customWidth="1"/>
    <col min="15648" max="15648" width="19.140625" style="1109" customWidth="1"/>
    <col min="15649" max="15649" width="20.28515625" style="1109" customWidth="1"/>
    <col min="15650" max="15878" width="9.140625" style="1109"/>
    <col min="15879" max="15879" width="1.140625" style="1109" customWidth="1"/>
    <col min="15880" max="15880" width="48.7109375" style="1109" customWidth="1"/>
    <col min="15881" max="15891" width="0" style="1109" hidden="1" customWidth="1"/>
    <col min="15892" max="15892" width="20.7109375" style="1109" customWidth="1"/>
    <col min="15893" max="15893" width="18" style="1109" customWidth="1"/>
    <col min="15894" max="15894" width="20.42578125" style="1109" customWidth="1"/>
    <col min="15895" max="15895" width="22.85546875" style="1109" customWidth="1"/>
    <col min="15896" max="15896" width="20.140625" style="1109" customWidth="1"/>
    <col min="15897" max="15897" width="19.7109375" style="1109" customWidth="1"/>
    <col min="15898" max="15899" width="0" style="1109" hidden="1" customWidth="1"/>
    <col min="15900" max="15900" width="18.28515625" style="1109" customWidth="1"/>
    <col min="15901" max="15901" width="17.7109375" style="1109" customWidth="1"/>
    <col min="15902" max="15902" width="19" style="1109" customWidth="1"/>
    <col min="15903" max="15903" width="18.42578125" style="1109" customWidth="1"/>
    <col min="15904" max="15904" width="19.140625" style="1109" customWidth="1"/>
    <col min="15905" max="15905" width="20.28515625" style="1109" customWidth="1"/>
    <col min="15906" max="16134" width="9.140625" style="1109"/>
    <col min="16135" max="16135" width="1.140625" style="1109" customWidth="1"/>
    <col min="16136" max="16136" width="48.7109375" style="1109" customWidth="1"/>
    <col min="16137" max="16147" width="0" style="1109" hidden="1" customWidth="1"/>
    <col min="16148" max="16148" width="20.7109375" style="1109" customWidth="1"/>
    <col min="16149" max="16149" width="18" style="1109" customWidth="1"/>
    <col min="16150" max="16150" width="20.42578125" style="1109" customWidth="1"/>
    <col min="16151" max="16151" width="22.85546875" style="1109" customWidth="1"/>
    <col min="16152" max="16152" width="20.140625" style="1109" customWidth="1"/>
    <col min="16153" max="16153" width="19.7109375" style="1109" customWidth="1"/>
    <col min="16154" max="16155" width="0" style="1109" hidden="1" customWidth="1"/>
    <col min="16156" max="16156" width="18.28515625" style="1109" customWidth="1"/>
    <col min="16157" max="16157" width="17.7109375" style="1109" customWidth="1"/>
    <col min="16158" max="16158" width="19" style="1109" customWidth="1"/>
    <col min="16159" max="16159" width="18.42578125" style="1109" customWidth="1"/>
    <col min="16160" max="16160" width="19.140625" style="1109" customWidth="1"/>
    <col min="16161" max="16161" width="20.28515625" style="1109" customWidth="1"/>
    <col min="16162" max="16384" width="9.140625" style="1109"/>
  </cols>
  <sheetData>
    <row r="1" spans="2:36" ht="15.75" thickBot="1">
      <c r="B1" s="6377" t="s">
        <v>1059</v>
      </c>
      <c r="C1" s="6377"/>
      <c r="D1" s="6377"/>
      <c r="E1" s="6377"/>
      <c r="F1" s="6377"/>
      <c r="G1" s="6377"/>
      <c r="H1" s="6377"/>
      <c r="I1" s="6377"/>
      <c r="J1" s="6377"/>
      <c r="K1" s="6377"/>
      <c r="L1" s="6377"/>
      <c r="M1" s="6377"/>
      <c r="N1" s="6377"/>
      <c r="O1" s="6377"/>
      <c r="P1" s="6377"/>
      <c r="Q1" s="6377"/>
      <c r="R1" s="6377"/>
      <c r="S1" s="6377"/>
      <c r="T1" s="6377"/>
      <c r="U1" s="6377"/>
      <c r="V1" s="6377"/>
      <c r="W1" s="6377"/>
      <c r="X1" s="6377"/>
      <c r="Y1" s="6377"/>
      <c r="Z1" s="6377"/>
      <c r="AA1" s="6377"/>
      <c r="AB1" s="6377"/>
      <c r="AC1" s="6377"/>
      <c r="AD1" s="6377"/>
      <c r="AE1" s="6377"/>
      <c r="AF1" s="6377"/>
      <c r="AG1" s="6377"/>
    </row>
    <row r="2" spans="2:36" ht="15.75" thickBot="1">
      <c r="B2" s="1110"/>
      <c r="C2" s="1110" t="s">
        <v>1060</v>
      </c>
      <c r="K2" s="1110" t="s">
        <v>1061</v>
      </c>
      <c r="Q2" s="6378" t="s">
        <v>2332</v>
      </c>
      <c r="R2" s="6379"/>
      <c r="S2" s="6379"/>
      <c r="T2" s="6379"/>
      <c r="U2" s="6380"/>
    </row>
    <row r="3" spans="2:36" ht="15.75" thickBot="1">
      <c r="B3" s="1109" t="s">
        <v>94</v>
      </c>
      <c r="C3" s="1109" t="s">
        <v>94</v>
      </c>
      <c r="Q3" s="6204"/>
      <c r="R3" s="6204"/>
      <c r="S3" s="6204"/>
      <c r="T3" s="6204"/>
      <c r="U3" s="1108"/>
      <c r="V3" s="1108"/>
      <c r="W3" s="1108"/>
      <c r="X3" s="1108"/>
      <c r="Y3" s="1108"/>
      <c r="Z3" s="1108"/>
      <c r="AA3" s="1108"/>
    </row>
    <row r="4" spans="2:36" ht="15.75" thickBot="1">
      <c r="B4" s="1111" t="s">
        <v>94</v>
      </c>
      <c r="C4" s="1111" t="s">
        <v>94</v>
      </c>
      <c r="D4" s="1111" t="s">
        <v>94</v>
      </c>
      <c r="E4" s="1111" t="s">
        <v>94</v>
      </c>
      <c r="F4" s="1111" t="s">
        <v>94</v>
      </c>
      <c r="G4" s="1111" t="s">
        <v>94</v>
      </c>
      <c r="H4" s="1111" t="s">
        <v>94</v>
      </c>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3145" t="s">
        <v>2616</v>
      </c>
    </row>
    <row r="5" spans="2:36">
      <c r="B5" s="1112"/>
      <c r="C5" s="1113"/>
      <c r="D5" s="1114"/>
      <c r="E5" s="1115" t="s">
        <v>1062</v>
      </c>
      <c r="F5" s="1116" t="s">
        <v>94</v>
      </c>
      <c r="G5" s="1114"/>
      <c r="H5" s="1115" t="s">
        <v>1063</v>
      </c>
      <c r="I5" s="1117" t="s">
        <v>1064</v>
      </c>
      <c r="J5" s="1118"/>
      <c r="K5" s="1115" t="s">
        <v>1062</v>
      </c>
      <c r="L5" s="1119" t="s">
        <v>1065</v>
      </c>
      <c r="M5" s="1114"/>
      <c r="N5" s="1115" t="s">
        <v>1063</v>
      </c>
      <c r="O5" s="1117" t="s">
        <v>1064</v>
      </c>
      <c r="P5" s="1118"/>
      <c r="Q5" s="1115" t="s">
        <v>1062</v>
      </c>
      <c r="R5" s="1119" t="s">
        <v>1065</v>
      </c>
      <c r="S5" s="1118"/>
      <c r="T5" s="1114"/>
      <c r="U5" s="1115" t="s">
        <v>1063</v>
      </c>
      <c r="V5" s="1116"/>
      <c r="W5" s="1117" t="s">
        <v>1064</v>
      </c>
      <c r="X5" s="1118"/>
      <c r="Y5" s="1114"/>
      <c r="Z5" s="1115" t="s">
        <v>1062</v>
      </c>
      <c r="AA5" s="1116"/>
      <c r="AB5" s="1119" t="s">
        <v>1065</v>
      </c>
      <c r="AC5" s="1119"/>
      <c r="AD5" s="1118"/>
      <c r="AE5" s="1115" t="s">
        <v>1063</v>
      </c>
      <c r="AF5" s="1115"/>
      <c r="AG5" s="1117" t="s">
        <v>1064</v>
      </c>
    </row>
    <row r="6" spans="2:36">
      <c r="B6" s="1120"/>
      <c r="C6" s="1115" t="s">
        <v>1066</v>
      </c>
      <c r="D6" s="1117" t="s">
        <v>1067</v>
      </c>
      <c r="E6" s="1115" t="s">
        <v>1068</v>
      </c>
      <c r="F6" s="1116" t="s">
        <v>1069</v>
      </c>
      <c r="G6" s="1117" t="s">
        <v>1066</v>
      </c>
      <c r="H6" s="1115" t="s">
        <v>1070</v>
      </c>
      <c r="I6" s="1117" t="s">
        <v>1071</v>
      </c>
      <c r="J6" s="1117" t="s">
        <v>1067</v>
      </c>
      <c r="K6" s="1115" t="s">
        <v>1068</v>
      </c>
      <c r="L6" s="1117" t="s">
        <v>1072</v>
      </c>
      <c r="M6" s="1117" t="s">
        <v>1066</v>
      </c>
      <c r="N6" s="1115" t="s">
        <v>1070</v>
      </c>
      <c r="O6" s="1117" t="s">
        <v>1071</v>
      </c>
      <c r="P6" s="1117" t="s">
        <v>1067</v>
      </c>
      <c r="Q6" s="1115" t="s">
        <v>1073</v>
      </c>
      <c r="R6" s="1117" t="s">
        <v>1072</v>
      </c>
      <c r="S6" s="1117" t="s">
        <v>1066</v>
      </c>
      <c r="T6" s="1117"/>
      <c r="U6" s="1115" t="s">
        <v>1070</v>
      </c>
      <c r="V6" s="1117"/>
      <c r="W6" s="1117" t="s">
        <v>1071</v>
      </c>
      <c r="X6" s="1117" t="s">
        <v>1067</v>
      </c>
      <c r="Y6" s="1117"/>
      <c r="Z6" s="1115" t="s">
        <v>1073</v>
      </c>
      <c r="AA6" s="1117"/>
      <c r="AB6" s="1117" t="s">
        <v>1072</v>
      </c>
      <c r="AC6" s="1117"/>
      <c r="AD6" s="1117" t="s">
        <v>1066</v>
      </c>
      <c r="AE6" s="1115" t="s">
        <v>1070</v>
      </c>
      <c r="AF6" s="1115"/>
      <c r="AG6" s="1117" t="s">
        <v>1071</v>
      </c>
    </row>
    <row r="7" spans="2:36">
      <c r="B7" s="1117" t="s">
        <v>809</v>
      </c>
      <c r="C7" s="1115" t="s">
        <v>1074</v>
      </c>
      <c r="D7" s="1118"/>
      <c r="E7" s="1115" t="s">
        <v>1075</v>
      </c>
      <c r="F7" s="1117" t="s">
        <v>1076</v>
      </c>
      <c r="G7" s="1117" t="s">
        <v>1077</v>
      </c>
      <c r="H7" s="1115" t="s">
        <v>1071</v>
      </c>
      <c r="I7" s="1117" t="s">
        <v>1078</v>
      </c>
      <c r="J7" s="1118"/>
      <c r="K7" s="1115" t="s">
        <v>1079</v>
      </c>
      <c r="L7" s="1117" t="s">
        <v>1080</v>
      </c>
      <c r="M7" s="1117" t="s">
        <v>1081</v>
      </c>
      <c r="N7" s="1115" t="s">
        <v>1071</v>
      </c>
      <c r="O7" s="1117" t="s">
        <v>1082</v>
      </c>
      <c r="P7" s="1118"/>
      <c r="Q7" s="1115" t="s">
        <v>1083</v>
      </c>
      <c r="R7" s="1117" t="s">
        <v>1080</v>
      </c>
      <c r="S7" s="1117" t="s">
        <v>1084</v>
      </c>
      <c r="T7" s="1117"/>
      <c r="U7" s="1115" t="s">
        <v>1071</v>
      </c>
      <c r="V7" s="1117"/>
      <c r="W7" s="1121" t="s">
        <v>1085</v>
      </c>
      <c r="X7" s="1118"/>
      <c r="Y7" s="1118"/>
      <c r="Z7" s="1115" t="s">
        <v>1083</v>
      </c>
      <c r="AA7" s="1117"/>
      <c r="AB7" s="1117" t="s">
        <v>1080</v>
      </c>
      <c r="AC7" s="1117"/>
      <c r="AD7" s="1117" t="s">
        <v>1086</v>
      </c>
      <c r="AE7" s="1115" t="s">
        <v>1071</v>
      </c>
      <c r="AF7" s="1115"/>
      <c r="AG7" s="1121" t="s">
        <v>1087</v>
      </c>
    </row>
    <row r="8" spans="2:36">
      <c r="B8" s="1120"/>
      <c r="C8" s="1113"/>
      <c r="D8" s="1118" t="s">
        <v>94</v>
      </c>
      <c r="E8" s="1115" t="s">
        <v>1088</v>
      </c>
      <c r="F8" s="1117" t="s">
        <v>1089</v>
      </c>
      <c r="G8" s="1118"/>
      <c r="H8" s="1115" t="s">
        <v>1090</v>
      </c>
      <c r="I8" s="1121"/>
      <c r="J8" s="1118" t="s">
        <v>94</v>
      </c>
      <c r="K8" s="1115"/>
      <c r="L8" s="1117" t="s">
        <v>1089</v>
      </c>
      <c r="M8" s="1118"/>
      <c r="N8" s="1115" t="s">
        <v>1091</v>
      </c>
      <c r="O8" s="1121"/>
      <c r="P8" s="1118" t="s">
        <v>94</v>
      </c>
      <c r="Q8" s="1115" t="s">
        <v>1079</v>
      </c>
      <c r="R8" s="1117" t="s">
        <v>1089</v>
      </c>
      <c r="S8" s="1118"/>
      <c r="T8" s="1118"/>
      <c r="U8" s="1115" t="s">
        <v>1092</v>
      </c>
      <c r="V8" s="1117"/>
      <c r="W8" s="1121"/>
      <c r="X8" s="1118" t="s">
        <v>94</v>
      </c>
      <c r="Y8" s="1118"/>
      <c r="Z8" s="1115" t="s">
        <v>1079</v>
      </c>
      <c r="AA8" s="1117"/>
      <c r="AB8" s="1117" t="s">
        <v>1089</v>
      </c>
      <c r="AC8" s="1117"/>
      <c r="AD8" s="1118"/>
      <c r="AE8" s="1115" t="s">
        <v>1093</v>
      </c>
      <c r="AF8" s="1115"/>
      <c r="AG8" s="1121"/>
    </row>
    <row r="9" spans="2:36" ht="15.75" thickBot="1">
      <c r="B9" s="1122" t="s">
        <v>94</v>
      </c>
      <c r="C9" s="1123" t="s">
        <v>1094</v>
      </c>
      <c r="D9" s="1124" t="s">
        <v>1094</v>
      </c>
      <c r="E9" s="1123" t="s">
        <v>1095</v>
      </c>
      <c r="F9" s="1124" t="s">
        <v>1094</v>
      </c>
      <c r="G9" s="1124" t="s">
        <v>1094</v>
      </c>
      <c r="H9" s="1123" t="s">
        <v>1095</v>
      </c>
      <c r="I9" s="1124" t="s">
        <v>94</v>
      </c>
      <c r="J9" s="1124" t="s">
        <v>1094</v>
      </c>
      <c r="K9" s="1123" t="s">
        <v>1095</v>
      </c>
      <c r="L9" s="1124" t="s">
        <v>1094</v>
      </c>
      <c r="M9" s="1124" t="s">
        <v>1094</v>
      </c>
      <c r="N9" s="1123" t="s">
        <v>1095</v>
      </c>
      <c r="O9" s="1124" t="s">
        <v>94</v>
      </c>
      <c r="P9" s="1124" t="s">
        <v>1094</v>
      </c>
      <c r="Q9" s="1123" t="s">
        <v>1095</v>
      </c>
      <c r="R9" s="1124" t="s">
        <v>1094</v>
      </c>
      <c r="S9" s="1124" t="s">
        <v>1094</v>
      </c>
      <c r="T9" s="1678"/>
      <c r="U9" s="1123" t="s">
        <v>1095</v>
      </c>
      <c r="V9" s="1678"/>
      <c r="W9" s="1124" t="s">
        <v>94</v>
      </c>
      <c r="X9" s="1124" t="s">
        <v>1094</v>
      </c>
      <c r="Y9" s="1124"/>
      <c r="Z9" s="1123" t="s">
        <v>1095</v>
      </c>
      <c r="AA9" s="1678"/>
      <c r="AB9" s="1124" t="s">
        <v>1094</v>
      </c>
      <c r="AC9" s="1124"/>
      <c r="AD9" s="1124" t="s">
        <v>1094</v>
      </c>
      <c r="AE9" s="1123" t="s">
        <v>1095</v>
      </c>
      <c r="AF9" s="1123"/>
      <c r="AG9" s="1124" t="s">
        <v>1095</v>
      </c>
    </row>
    <row r="10" spans="2:36">
      <c r="B10" s="1125"/>
      <c r="C10" s="1126"/>
      <c r="D10" s="1127"/>
      <c r="E10" s="1126"/>
      <c r="F10" s="1127"/>
      <c r="G10" s="1127"/>
      <c r="H10" s="1126"/>
      <c r="I10" s="1128"/>
      <c r="J10" s="1129"/>
      <c r="K10" s="1126"/>
      <c r="L10" s="1127"/>
      <c r="M10" s="1127"/>
      <c r="N10" s="1126"/>
      <c r="O10" s="1130"/>
      <c r="P10" s="1129"/>
      <c r="Q10" s="1126"/>
      <c r="R10" s="1127"/>
      <c r="S10" s="1127"/>
      <c r="T10" s="1126"/>
      <c r="U10" s="1126"/>
      <c r="V10" s="1126"/>
      <c r="W10" s="1130"/>
      <c r="X10" s="1129"/>
      <c r="Y10" s="1127"/>
      <c r="Z10" s="1126"/>
      <c r="AA10" s="1126"/>
      <c r="AB10" s="1127"/>
      <c r="AC10" s="1127"/>
      <c r="AD10" s="1127"/>
      <c r="AE10" s="1126"/>
      <c r="AF10" s="1126"/>
      <c r="AG10" s="1130"/>
    </row>
    <row r="11" spans="2:36" ht="15.75" thickBot="1">
      <c r="B11" s="1131" t="s">
        <v>1096</v>
      </c>
      <c r="C11" s="1132"/>
      <c r="D11" s="1133"/>
      <c r="E11" s="1132"/>
      <c r="F11" s="1133"/>
      <c r="G11" s="1133"/>
      <c r="H11" s="1134" t="s">
        <v>1095</v>
      </c>
      <c r="I11" s="1128"/>
      <c r="J11" s="1133"/>
      <c r="K11" s="1132"/>
      <c r="L11" s="1133"/>
      <c r="M11" s="1133"/>
      <c r="N11" s="1134" t="s">
        <v>94</v>
      </c>
      <c r="O11" s="1125"/>
      <c r="P11" s="1133"/>
      <c r="Q11" s="1132"/>
      <c r="R11" s="1135"/>
      <c r="S11" s="1133"/>
      <c r="U11" s="1134" t="s">
        <v>94</v>
      </c>
      <c r="V11" s="1134"/>
      <c r="W11" s="1125"/>
      <c r="X11" s="1133"/>
      <c r="Y11" s="1133"/>
      <c r="Z11" s="1132"/>
      <c r="AA11" s="1132"/>
      <c r="AB11" s="1133"/>
      <c r="AC11" s="1133"/>
      <c r="AD11" s="1133"/>
      <c r="AE11" s="1134" t="s">
        <v>94</v>
      </c>
      <c r="AF11" s="1134"/>
      <c r="AG11" s="1125"/>
    </row>
    <row r="12" spans="2:36">
      <c r="B12" s="1164" t="s">
        <v>1097</v>
      </c>
      <c r="C12" s="1165">
        <v>41129691.890000001</v>
      </c>
      <c r="D12" s="1166">
        <v>0</v>
      </c>
      <c r="E12" s="1167">
        <v>0</v>
      </c>
      <c r="F12" s="1166">
        <v>0</v>
      </c>
      <c r="G12" s="1166">
        <f>C12+D12-E12+F12</f>
        <v>41129691.890000001</v>
      </c>
      <c r="H12" s="1166">
        <v>0</v>
      </c>
      <c r="I12" s="1168">
        <f>+G12-H12</f>
        <v>41129691.890000001</v>
      </c>
      <c r="J12" s="1166">
        <v>0</v>
      </c>
      <c r="K12" s="1167">
        <v>0</v>
      </c>
      <c r="L12" s="1166">
        <v>0</v>
      </c>
      <c r="M12" s="1166">
        <f>+G12+J12-K12+L12</f>
        <v>41129691.890000001</v>
      </c>
      <c r="N12" s="1166">
        <v>0</v>
      </c>
      <c r="O12" s="1169">
        <f>+M12-N12</f>
        <v>41129691.890000001</v>
      </c>
      <c r="P12" s="1166">
        <v>0</v>
      </c>
      <c r="Q12" s="1167">
        <v>0</v>
      </c>
      <c r="R12" s="1166">
        <v>0</v>
      </c>
      <c r="S12" s="1166">
        <f>+M12+P12-Q12+R12</f>
        <v>41129691.890000001</v>
      </c>
      <c r="T12" s="1166"/>
      <c r="U12" s="1166">
        <v>0</v>
      </c>
      <c r="V12" s="1166"/>
      <c r="W12" s="1169">
        <f>+S12-U12</f>
        <v>41129691.890000001</v>
      </c>
      <c r="X12" s="1166">
        <v>0</v>
      </c>
      <c r="Y12" s="1166"/>
      <c r="Z12" s="1167">
        <v>0</v>
      </c>
      <c r="AA12" s="1167"/>
      <c r="AB12" s="1166">
        <v>0</v>
      </c>
      <c r="AC12" s="1166"/>
      <c r="AD12" s="1166">
        <f>+S12+X12-Z12+AB12</f>
        <v>41129691.890000001</v>
      </c>
      <c r="AE12" s="1166">
        <v>0</v>
      </c>
      <c r="AF12" s="1166"/>
      <c r="AG12" s="1170">
        <f>+AD12-AE12</f>
        <v>41129691.890000001</v>
      </c>
    </row>
    <row r="13" spans="2:36">
      <c r="B13" s="1171" t="s">
        <v>1098</v>
      </c>
      <c r="C13" s="1140">
        <v>771864756.10000002</v>
      </c>
      <c r="D13" s="1136">
        <v>0</v>
      </c>
      <c r="E13" s="1140">
        <v>0</v>
      </c>
      <c r="F13" s="1136">
        <v>0</v>
      </c>
      <c r="G13" s="1136">
        <f t="shared" ref="G13:G18" si="0">C13+D13-E13+F13</f>
        <v>771864756.10000002</v>
      </c>
      <c r="H13" s="1136">
        <v>248034959</v>
      </c>
      <c r="I13" s="1138">
        <f t="shared" ref="I13:I47" si="1">+G13-H13</f>
        <v>523829797.10000002</v>
      </c>
      <c r="J13" s="1136">
        <v>0</v>
      </c>
      <c r="K13" s="1140">
        <v>0</v>
      </c>
      <c r="L13" s="1136">
        <v>0</v>
      </c>
      <c r="M13" s="1136">
        <f t="shared" ref="M13:M18" si="2">+G13+J13-K13+L13</f>
        <v>771864756.10000002</v>
      </c>
      <c r="N13" s="1136">
        <v>263037499</v>
      </c>
      <c r="O13" s="1139">
        <f t="shared" ref="O13:O18" si="3">+M13-N13</f>
        <v>508827257.10000002</v>
      </c>
      <c r="P13" s="1136">
        <v>0</v>
      </c>
      <c r="Q13" s="1140">
        <v>0</v>
      </c>
      <c r="R13" s="1136">
        <v>0</v>
      </c>
      <c r="S13" s="1136">
        <f t="shared" ref="S13:S18" si="4">+M13+P13-Q13+R13</f>
        <v>771864756.10000002</v>
      </c>
      <c r="T13" s="1136"/>
      <c r="U13" s="1136">
        <v>278034017</v>
      </c>
      <c r="V13" s="1136"/>
      <c r="W13" s="1139">
        <f t="shared" ref="W13:W18" si="5">+S13-U13</f>
        <v>493830739.10000002</v>
      </c>
      <c r="X13" s="1136">
        <v>31600</v>
      </c>
      <c r="Y13" s="1136"/>
      <c r="Z13" s="1140">
        <v>0</v>
      </c>
      <c r="AA13" s="1140"/>
      <c r="AB13" s="1136">
        <v>0</v>
      </c>
      <c r="AC13" s="1136"/>
      <c r="AD13" s="1136">
        <f t="shared" ref="AD13:AD18" si="6">+S13+X13-Z13+AB13</f>
        <v>771896356.10000002</v>
      </c>
      <c r="AE13" s="1136">
        <v>302873502</v>
      </c>
      <c r="AF13" s="1136"/>
      <c r="AG13" s="1172">
        <f t="shared" ref="AG13:AG18" si="7">+AD13-AE13</f>
        <v>469022854.10000002</v>
      </c>
    </row>
    <row r="14" spans="2:36">
      <c r="B14" s="1171" t="s">
        <v>1099</v>
      </c>
      <c r="C14" s="1140">
        <v>44953355.890000001</v>
      </c>
      <c r="D14" s="1136">
        <v>3203947</v>
      </c>
      <c r="E14" s="1140">
        <v>1598809.36</v>
      </c>
      <c r="F14" s="1136">
        <v>0</v>
      </c>
      <c r="G14" s="1136">
        <f t="shared" si="0"/>
        <v>46558493.530000001</v>
      </c>
      <c r="H14" s="1136">
        <v>24075622</v>
      </c>
      <c r="I14" s="1138">
        <f t="shared" si="1"/>
        <v>22482871.530000001</v>
      </c>
      <c r="J14" s="1136">
        <v>0</v>
      </c>
      <c r="K14" s="1140">
        <v>0</v>
      </c>
      <c r="L14" s="1136">
        <v>540142</v>
      </c>
      <c r="M14" s="1136">
        <f t="shared" si="2"/>
        <v>47098635.530000001</v>
      </c>
      <c r="N14" s="1136">
        <v>27002241</v>
      </c>
      <c r="O14" s="1139">
        <f t="shared" si="3"/>
        <v>20096394.530000001</v>
      </c>
      <c r="P14" s="1136">
        <v>2914684</v>
      </c>
      <c r="Q14" s="1140">
        <v>1940140.39</v>
      </c>
      <c r="R14" s="1136">
        <v>0</v>
      </c>
      <c r="S14" s="1136">
        <f t="shared" si="4"/>
        <v>48073179.140000001</v>
      </c>
      <c r="T14" s="1136"/>
      <c r="U14" s="1136">
        <v>26586915</v>
      </c>
      <c r="V14" s="1136"/>
      <c r="W14" s="1139">
        <f t="shared" si="5"/>
        <v>21486264.140000001</v>
      </c>
      <c r="X14" s="1136">
        <v>0</v>
      </c>
      <c r="Y14" s="1136"/>
      <c r="Z14" s="1140">
        <v>0</v>
      </c>
      <c r="AA14" s="1140"/>
      <c r="AB14" s="1136">
        <v>0</v>
      </c>
      <c r="AC14" s="1136"/>
      <c r="AD14" s="1136">
        <f t="shared" si="6"/>
        <v>48073179.140000001</v>
      </c>
      <c r="AE14" s="1136">
        <v>27883702</v>
      </c>
      <c r="AF14" s="1136"/>
      <c r="AG14" s="1172">
        <f t="shared" si="7"/>
        <v>20189477.140000001</v>
      </c>
    </row>
    <row r="15" spans="2:36" ht="15.75">
      <c r="B15" s="1171" t="s">
        <v>1100</v>
      </c>
      <c r="C15" s="1140">
        <v>38379262</v>
      </c>
      <c r="D15" s="1136">
        <v>0</v>
      </c>
      <c r="E15" s="1140">
        <v>0</v>
      </c>
      <c r="F15" s="1136">
        <v>0</v>
      </c>
      <c r="G15" s="1136">
        <f t="shared" si="0"/>
        <v>38379262</v>
      </c>
      <c r="H15" s="1136">
        <v>28489210</v>
      </c>
      <c r="I15" s="1138">
        <f t="shared" si="1"/>
        <v>9890052</v>
      </c>
      <c r="J15" s="1136">
        <v>0</v>
      </c>
      <c r="K15" s="1140">
        <v>0</v>
      </c>
      <c r="L15" s="1136">
        <v>0</v>
      </c>
      <c r="M15" s="1136">
        <f t="shared" si="2"/>
        <v>38379262</v>
      </c>
      <c r="N15" s="1136">
        <v>29213375</v>
      </c>
      <c r="O15" s="1139">
        <f t="shared" si="3"/>
        <v>9165887</v>
      </c>
      <c r="P15" s="1136">
        <v>0</v>
      </c>
      <c r="Q15" s="1140">
        <v>0</v>
      </c>
      <c r="R15" s="1136">
        <v>0</v>
      </c>
      <c r="S15" s="1136">
        <f t="shared" si="4"/>
        <v>38379262</v>
      </c>
      <c r="T15" s="1136"/>
      <c r="U15" s="1136">
        <v>29504353</v>
      </c>
      <c r="V15" s="1136"/>
      <c r="W15" s="1139">
        <f t="shared" si="5"/>
        <v>8874909</v>
      </c>
      <c r="X15" s="1136">
        <v>0</v>
      </c>
      <c r="Y15" s="1136"/>
      <c r="Z15" s="1140">
        <v>0</v>
      </c>
      <c r="AA15" s="1140"/>
      <c r="AB15" s="1136">
        <v>0</v>
      </c>
      <c r="AC15" s="1136"/>
      <c r="AD15" s="1136">
        <f t="shared" si="6"/>
        <v>38379262</v>
      </c>
      <c r="AE15" s="1136">
        <v>29722693</v>
      </c>
      <c r="AF15" s="1136"/>
      <c r="AG15" s="1172">
        <f t="shared" si="7"/>
        <v>8656569</v>
      </c>
      <c r="AI15" s="1485" t="s">
        <v>1097</v>
      </c>
      <c r="AJ15" s="4323">
        <v>41129691.890000001</v>
      </c>
    </row>
    <row r="16" spans="2:36" ht="15.75">
      <c r="B16" s="1171" t="s">
        <v>1101</v>
      </c>
      <c r="C16" s="1140">
        <v>41338843.759999998</v>
      </c>
      <c r="D16" s="1136">
        <f>42188+10071643.44</f>
        <v>10113831.439999999</v>
      </c>
      <c r="E16" s="1140">
        <v>2002143.97</v>
      </c>
      <c r="F16" s="1136">
        <v>217920.46</v>
      </c>
      <c r="G16" s="1136">
        <f t="shared" si="0"/>
        <v>49668451.689999998</v>
      </c>
      <c r="H16" s="1136">
        <v>23474476</v>
      </c>
      <c r="I16" s="1138">
        <f t="shared" si="1"/>
        <v>26193975.689999998</v>
      </c>
      <c r="J16" s="1136">
        <v>5605781.8799999999</v>
      </c>
      <c r="K16" s="1140">
        <v>2111573.61</v>
      </c>
      <c r="L16" s="1136">
        <v>0</v>
      </c>
      <c r="M16" s="1136">
        <f t="shared" si="2"/>
        <v>53162659.960000001</v>
      </c>
      <c r="N16" s="1136">
        <v>26442689</v>
      </c>
      <c r="O16" s="1139">
        <f t="shared" si="3"/>
        <v>26719970.960000001</v>
      </c>
      <c r="P16" s="1136">
        <v>9928585.2300000004</v>
      </c>
      <c r="Q16" s="1140">
        <v>2134538.42</v>
      </c>
      <c r="R16" s="1136">
        <v>148450.72</v>
      </c>
      <c r="S16" s="1136">
        <f t="shared" si="4"/>
        <v>61105157.489999995</v>
      </c>
      <c r="T16" s="1136"/>
      <c r="U16" s="1136">
        <v>28624397</v>
      </c>
      <c r="V16" s="1136"/>
      <c r="W16" s="1139">
        <f t="shared" si="5"/>
        <v>32480760.489999995</v>
      </c>
      <c r="X16" s="1136">
        <v>4096250.11</v>
      </c>
      <c r="Y16" s="1136"/>
      <c r="Z16" s="1140">
        <v>16800219.309999999</v>
      </c>
      <c r="AA16" s="1140"/>
      <c r="AB16" s="1136">
        <v>-85130</v>
      </c>
      <c r="AC16" s="1136"/>
      <c r="AD16" s="1136">
        <f t="shared" si="6"/>
        <v>48316058.289999992</v>
      </c>
      <c r="AE16" s="1136">
        <v>23963970</v>
      </c>
      <c r="AF16" s="1136"/>
      <c r="AG16" s="1172">
        <f t="shared" si="7"/>
        <v>24352088.289999992</v>
      </c>
      <c r="AI16" s="1485" t="s">
        <v>1098</v>
      </c>
      <c r="AJ16" s="4323">
        <v>771864756.10000002</v>
      </c>
    </row>
    <row r="17" spans="2:39" ht="15.75">
      <c r="B17" s="1171" t="s">
        <v>1102</v>
      </c>
      <c r="C17" s="1140">
        <v>1961104</v>
      </c>
      <c r="D17" s="1136">
        <v>15751</v>
      </c>
      <c r="E17" s="1140">
        <v>0</v>
      </c>
      <c r="F17" s="1136">
        <v>0</v>
      </c>
      <c r="G17" s="1136">
        <f t="shared" si="0"/>
        <v>1976855</v>
      </c>
      <c r="H17" s="1136">
        <v>1081718</v>
      </c>
      <c r="I17" s="1138">
        <f t="shared" si="1"/>
        <v>895137</v>
      </c>
      <c r="J17" s="1136">
        <v>0</v>
      </c>
      <c r="K17" s="1140">
        <v>0</v>
      </c>
      <c r="L17" s="1136">
        <f>+'[119]DIV WISE SUMMERY'!H14</f>
        <v>0</v>
      </c>
      <c r="M17" s="1136">
        <f t="shared" si="2"/>
        <v>1976855</v>
      </c>
      <c r="N17" s="1136">
        <v>1145378</v>
      </c>
      <c r="O17" s="1139">
        <f t="shared" si="3"/>
        <v>831477</v>
      </c>
      <c r="P17" s="1136">
        <v>214200</v>
      </c>
      <c r="Q17" s="1140">
        <v>2809</v>
      </c>
      <c r="R17" s="1136">
        <f>+'[119]DIV WISE SUMMERY'!N14</f>
        <v>0</v>
      </c>
      <c r="S17" s="1136">
        <f t="shared" si="4"/>
        <v>2188246</v>
      </c>
      <c r="T17" s="1136"/>
      <c r="U17" s="1136">
        <v>1201422</v>
      </c>
      <c r="V17" s="1136"/>
      <c r="W17" s="1139">
        <f t="shared" si="5"/>
        <v>986824</v>
      </c>
      <c r="X17" s="1136">
        <v>22218</v>
      </c>
      <c r="Y17" s="1136"/>
      <c r="Z17" s="1140">
        <v>0</v>
      </c>
      <c r="AA17" s="1140"/>
      <c r="AB17" s="1136">
        <f>+'[119]DIV WISE SUMMERY'!T14</f>
        <v>0</v>
      </c>
      <c r="AC17" s="1136"/>
      <c r="AD17" s="1136">
        <f t="shared" si="6"/>
        <v>2210464</v>
      </c>
      <c r="AE17" s="1136">
        <v>1262780</v>
      </c>
      <c r="AF17" s="1136"/>
      <c r="AG17" s="1172">
        <f t="shared" si="7"/>
        <v>947684</v>
      </c>
      <c r="AI17" s="1485" t="s">
        <v>1099</v>
      </c>
      <c r="AJ17" s="1109">
        <v>48073179.140000001</v>
      </c>
    </row>
    <row r="18" spans="2:39" ht="16.5" thickBot="1">
      <c r="B18" s="1173" t="s">
        <v>1103</v>
      </c>
      <c r="C18" s="1174">
        <v>3158350</v>
      </c>
      <c r="D18" s="1175">
        <v>0</v>
      </c>
      <c r="E18" s="1174">
        <v>0</v>
      </c>
      <c r="F18" s="1175">
        <v>0</v>
      </c>
      <c r="G18" s="1175">
        <f t="shared" si="0"/>
        <v>3158350</v>
      </c>
      <c r="H18" s="1175">
        <v>492360</v>
      </c>
      <c r="I18" s="1176">
        <f t="shared" si="1"/>
        <v>2665990</v>
      </c>
      <c r="J18" s="1175">
        <v>0</v>
      </c>
      <c r="K18" s="1174">
        <v>0</v>
      </c>
      <c r="L18" s="1175">
        <v>0</v>
      </c>
      <c r="M18" s="1175">
        <f t="shared" si="2"/>
        <v>3158350</v>
      </c>
      <c r="N18" s="1175">
        <v>520785</v>
      </c>
      <c r="O18" s="1177">
        <f t="shared" si="3"/>
        <v>2637565</v>
      </c>
      <c r="P18" s="1175">
        <v>0</v>
      </c>
      <c r="Q18" s="1174">
        <v>0</v>
      </c>
      <c r="R18" s="1175">
        <v>0</v>
      </c>
      <c r="S18" s="1175">
        <f t="shared" si="4"/>
        <v>3158350</v>
      </c>
      <c r="T18" s="1175"/>
      <c r="U18" s="1175">
        <v>549210</v>
      </c>
      <c r="V18" s="1175"/>
      <c r="W18" s="1177">
        <f t="shared" si="5"/>
        <v>2609140</v>
      </c>
      <c r="X18" s="1175">
        <v>0</v>
      </c>
      <c r="Y18" s="1143"/>
      <c r="Z18" s="1174">
        <v>0</v>
      </c>
      <c r="AA18" s="1174"/>
      <c r="AB18" s="1175">
        <v>0</v>
      </c>
      <c r="AC18" s="1175"/>
      <c r="AD18" s="1175">
        <f t="shared" si="6"/>
        <v>3158350</v>
      </c>
      <c r="AE18" s="1175">
        <v>715971</v>
      </c>
      <c r="AF18" s="1175"/>
      <c r="AG18" s="1178">
        <f t="shared" si="7"/>
        <v>2442379</v>
      </c>
      <c r="AI18" s="1485" t="s">
        <v>1100</v>
      </c>
      <c r="AJ18" s="4322">
        <v>38379262</v>
      </c>
    </row>
    <row r="19" spans="2:39" ht="15.75">
      <c r="B19" s="1141" t="s">
        <v>94</v>
      </c>
      <c r="C19" s="1142" t="s">
        <v>94</v>
      </c>
      <c r="D19" s="1143"/>
      <c r="E19" s="1142" t="s">
        <v>277</v>
      </c>
      <c r="F19" s="1143" t="s">
        <v>94</v>
      </c>
      <c r="G19" s="1143" t="s">
        <v>94</v>
      </c>
      <c r="H19" s="1144"/>
      <c r="I19" s="1138"/>
      <c r="J19" s="1143"/>
      <c r="K19" s="1142" t="s">
        <v>277</v>
      </c>
      <c r="L19" s="1143" t="s">
        <v>94</v>
      </c>
      <c r="M19" s="1143" t="s">
        <v>94</v>
      </c>
      <c r="N19" s="1144"/>
      <c r="O19" s="1139"/>
      <c r="P19" s="1143"/>
      <c r="Q19" s="1142" t="s">
        <v>277</v>
      </c>
      <c r="R19" s="1143" t="s">
        <v>94</v>
      </c>
      <c r="S19" s="1143" t="s">
        <v>94</v>
      </c>
      <c r="T19" s="1144"/>
      <c r="U19" s="1144"/>
      <c r="V19" s="1144"/>
      <c r="W19" s="1139"/>
      <c r="X19" s="1143"/>
      <c r="Y19" s="1142"/>
      <c r="Z19" s="1142" t="s">
        <v>277</v>
      </c>
      <c r="AA19" s="1142"/>
      <c r="AB19" s="1143" t="s">
        <v>94</v>
      </c>
      <c r="AC19" s="1143"/>
      <c r="AD19" s="1143" t="s">
        <v>94</v>
      </c>
      <c r="AE19" s="1144"/>
      <c r="AF19" s="1144"/>
      <c r="AG19" s="1139"/>
      <c r="AI19" s="1485" t="s">
        <v>1101</v>
      </c>
      <c r="AJ19" s="4322">
        <v>61105157.489999995</v>
      </c>
    </row>
    <row r="20" spans="2:39" ht="15.75">
      <c r="B20" s="1145" t="s">
        <v>499</v>
      </c>
      <c r="C20" s="1146">
        <f>SUM(C12:C19)</f>
        <v>942785363.63999999</v>
      </c>
      <c r="D20" s="1146">
        <f>SUM(D12:D19)</f>
        <v>13333529.439999999</v>
      </c>
      <c r="E20" s="1146">
        <f>SUM(E12:E19)</f>
        <v>3600953.33</v>
      </c>
      <c r="F20" s="1146">
        <f>SUM(F12:F19)</f>
        <v>217920.46</v>
      </c>
      <c r="G20" s="1146">
        <f>SUM(G12:G19)</f>
        <v>952735860.21000004</v>
      </c>
      <c r="H20" s="1147">
        <f>SUM(H13:H19)</f>
        <v>325648345</v>
      </c>
      <c r="I20" s="1148">
        <f t="shared" si="1"/>
        <v>627087515.21000004</v>
      </c>
      <c r="J20" s="1146">
        <f>SUM(J12:J19)</f>
        <v>5605781.8799999999</v>
      </c>
      <c r="K20" s="1146">
        <f>SUM(K12:K19)</f>
        <v>2111573.61</v>
      </c>
      <c r="L20" s="1146">
        <f>SUM(L12:L19)</f>
        <v>540142</v>
      </c>
      <c r="M20" s="1146">
        <f>+G20+J20-K20+L20</f>
        <v>956770210.48000002</v>
      </c>
      <c r="N20" s="1146">
        <f>SUM(N12:N19)</f>
        <v>347361967</v>
      </c>
      <c r="O20" s="1147">
        <f>+M20-N20</f>
        <v>609408243.48000002</v>
      </c>
      <c r="P20" s="1146">
        <f>SUM(P12:P19)</f>
        <v>13057469.23</v>
      </c>
      <c r="Q20" s="1149">
        <f>SUM(Q12:Q19)</f>
        <v>4077487.8099999996</v>
      </c>
      <c r="R20" s="1146">
        <f>SUM(R12:R19)</f>
        <v>148450.72</v>
      </c>
      <c r="S20" s="1146">
        <f>+M20+P20-Q20+R20</f>
        <v>965898642.62000012</v>
      </c>
      <c r="T20" s="1146">
        <f>50%*S20</f>
        <v>482949321.31000006</v>
      </c>
      <c r="U20" s="1146">
        <f>SUM(U12:U19)</f>
        <v>364500314</v>
      </c>
      <c r="V20" s="1150">
        <f>50%*U20</f>
        <v>182250157</v>
      </c>
      <c r="W20" s="1147">
        <f>+S20-U20</f>
        <v>601398328.62000012</v>
      </c>
      <c r="X20" s="1146">
        <f>SUM(X12:X19)</f>
        <v>4150068.11</v>
      </c>
      <c r="Y20" s="1146">
        <f>50%*X20</f>
        <v>2075034.0549999999</v>
      </c>
      <c r="Z20" s="1149">
        <f>SUM(Z12:Z19)</f>
        <v>16800219.309999999</v>
      </c>
      <c r="AA20" s="1149">
        <f>50%*Z20</f>
        <v>8400109.6549999993</v>
      </c>
      <c r="AB20" s="1146">
        <f>SUM(AB12:AB19)</f>
        <v>-85130</v>
      </c>
      <c r="AC20" s="1146"/>
      <c r="AD20" s="1146">
        <f>+S20+X20-Z20+AB20</f>
        <v>953163361.4200002</v>
      </c>
      <c r="AE20" s="1146">
        <f>SUM(AE12:AE19)</f>
        <v>386422618</v>
      </c>
      <c r="AF20" s="1146">
        <f>50%*AE20</f>
        <v>193211309</v>
      </c>
      <c r="AG20" s="1147">
        <f>+AD20-AE20</f>
        <v>566740743.4200002</v>
      </c>
      <c r="AI20" s="1485" t="s">
        <v>1102</v>
      </c>
      <c r="AJ20" s="4322">
        <v>2188246</v>
      </c>
    </row>
    <row r="21" spans="2:39" ht="15.75">
      <c r="B21" s="1125" t="s">
        <v>94</v>
      </c>
      <c r="C21" s="1137" t="s">
        <v>94</v>
      </c>
      <c r="D21" s="1151" t="s">
        <v>94</v>
      </c>
      <c r="E21" s="1152" t="s">
        <v>94</v>
      </c>
      <c r="F21" s="1136" t="s">
        <v>94</v>
      </c>
      <c r="G21" s="1136" t="s">
        <v>94</v>
      </c>
      <c r="H21" s="1144"/>
      <c r="I21" s="1138"/>
      <c r="J21" s="1151" t="s">
        <v>94</v>
      </c>
      <c r="K21" s="1152" t="s">
        <v>94</v>
      </c>
      <c r="L21" s="1136" t="s">
        <v>94</v>
      </c>
      <c r="M21" s="1136" t="s">
        <v>94</v>
      </c>
      <c r="N21" s="1144"/>
      <c r="O21" s="1139"/>
      <c r="P21" s="1151" t="s">
        <v>94</v>
      </c>
      <c r="Q21" s="1152" t="s">
        <v>94</v>
      </c>
      <c r="R21" s="1136" t="s">
        <v>94</v>
      </c>
      <c r="S21" s="1136">
        <f>S20/2</f>
        <v>482949321.31000006</v>
      </c>
      <c r="T21" s="1144"/>
      <c r="U21" s="1144"/>
      <c r="V21" s="1144"/>
      <c r="W21" s="1139"/>
      <c r="X21" s="1151" t="s">
        <v>94</v>
      </c>
      <c r="Y21" s="1151"/>
      <c r="Z21" s="1152" t="s">
        <v>94</v>
      </c>
      <c r="AA21" s="1136"/>
      <c r="AB21" s="1136" t="s">
        <v>94</v>
      </c>
      <c r="AC21" s="1136"/>
      <c r="AD21" s="1136" t="s">
        <v>94</v>
      </c>
      <c r="AE21" s="1144"/>
      <c r="AF21" s="1144"/>
      <c r="AG21" s="1139"/>
      <c r="AI21" s="1485" t="s">
        <v>1103</v>
      </c>
      <c r="AJ21" s="1109">
        <v>3158350</v>
      </c>
    </row>
    <row r="22" spans="2:39" ht="16.5" thickBot="1">
      <c r="B22" s="1131" t="s">
        <v>1104</v>
      </c>
      <c r="C22" s="1137"/>
      <c r="D22" s="1151"/>
      <c r="E22" s="1136"/>
      <c r="F22" s="1136"/>
      <c r="G22" s="1136"/>
      <c r="H22" s="1144"/>
      <c r="I22" s="1138" t="s">
        <v>94</v>
      </c>
      <c r="J22" s="1151"/>
      <c r="K22" s="1136"/>
      <c r="L22" s="1136"/>
      <c r="M22" s="1136"/>
      <c r="N22" s="1144"/>
      <c r="O22" s="1139" t="s">
        <v>94</v>
      </c>
      <c r="P22" s="1151"/>
      <c r="Q22" s="1136"/>
      <c r="R22" s="1136"/>
      <c r="S22" s="1136"/>
      <c r="T22" s="1144"/>
      <c r="U22" s="1144"/>
      <c r="V22" s="1144"/>
      <c r="W22" s="1139" t="s">
        <v>94</v>
      </c>
      <c r="X22" s="1151"/>
      <c r="Y22" s="1151"/>
      <c r="Z22" s="1136"/>
      <c r="AA22" s="1136"/>
      <c r="AB22" s="1136"/>
      <c r="AC22" s="1136"/>
      <c r="AD22" s="1136"/>
      <c r="AE22" s="1144"/>
      <c r="AF22" s="1144"/>
      <c r="AG22" s="1139" t="s">
        <v>94</v>
      </c>
      <c r="AI22" s="1485"/>
    </row>
    <row r="23" spans="2:39" ht="16.5" thickBot="1">
      <c r="B23" s="1164" t="s">
        <v>1105</v>
      </c>
      <c r="C23" s="1167">
        <v>22953418.100000001</v>
      </c>
      <c r="D23" s="1179">
        <v>0</v>
      </c>
      <c r="E23" s="1166">
        <v>0</v>
      </c>
      <c r="F23" s="1166">
        <v>0</v>
      </c>
      <c r="G23" s="1166">
        <f t="shared" ref="G23:G32" si="8">C23+D23-E23+F23</f>
        <v>22953418.100000001</v>
      </c>
      <c r="H23" s="1166">
        <v>0</v>
      </c>
      <c r="I23" s="1168">
        <f t="shared" si="1"/>
        <v>22953418.100000001</v>
      </c>
      <c r="J23" s="1179">
        <v>0</v>
      </c>
      <c r="K23" s="1166">
        <v>0</v>
      </c>
      <c r="L23" s="1166">
        <v>0</v>
      </c>
      <c r="M23" s="1166">
        <f t="shared" ref="M23:M32" si="9">+G23+J23-K23+L23</f>
        <v>22953418.100000001</v>
      </c>
      <c r="N23" s="1166">
        <v>0</v>
      </c>
      <c r="O23" s="1169">
        <f t="shared" ref="O23:O32" si="10">+M23-N23</f>
        <v>22953418.100000001</v>
      </c>
      <c r="P23" s="1179">
        <v>0</v>
      </c>
      <c r="Q23" s="1166">
        <v>0</v>
      </c>
      <c r="R23" s="1166">
        <v>0</v>
      </c>
      <c r="S23" s="1166">
        <f t="shared" ref="S23:S32" si="11">+M23+P23-Q23+R23</f>
        <v>22953418.100000001</v>
      </c>
      <c r="T23" s="1166"/>
      <c r="U23" s="1166">
        <v>0</v>
      </c>
      <c r="V23" s="1166"/>
      <c r="W23" s="1169">
        <f t="shared" ref="W23:W32" si="12">+S23-U23</f>
        <v>22953418.100000001</v>
      </c>
      <c r="X23" s="1179">
        <v>0</v>
      </c>
      <c r="Y23" s="1179"/>
      <c r="Z23" s="1166">
        <v>0</v>
      </c>
      <c r="AA23" s="1166"/>
      <c r="AB23" s="1166">
        <v>0</v>
      </c>
      <c r="AC23" s="1166"/>
      <c r="AD23" s="1166">
        <f t="shared" ref="AD23:AD32" si="13">+S23+X23-Z23+AB23</f>
        <v>22953418.100000001</v>
      </c>
      <c r="AE23" s="1166">
        <v>0</v>
      </c>
      <c r="AF23" s="1166"/>
      <c r="AG23" s="1170">
        <f t="shared" ref="AG23:AG32" si="14">+AD23-AE23</f>
        <v>22953418.100000001</v>
      </c>
      <c r="AI23" s="1485"/>
    </row>
    <row r="24" spans="2:39">
      <c r="B24" s="1171" t="s">
        <v>1098</v>
      </c>
      <c r="C24" s="1140">
        <v>478996723.49000001</v>
      </c>
      <c r="D24" s="1151">
        <v>35471546.909999996</v>
      </c>
      <c r="E24" s="1136">
        <v>0</v>
      </c>
      <c r="F24" s="1136">
        <v>0</v>
      </c>
      <c r="G24" s="1136">
        <f t="shared" si="8"/>
        <v>514468270.39999998</v>
      </c>
      <c r="H24" s="1136">
        <v>151998008</v>
      </c>
      <c r="I24" s="1138">
        <f t="shared" si="1"/>
        <v>362470262.39999998</v>
      </c>
      <c r="J24" s="1151">
        <v>36732834.829999998</v>
      </c>
      <c r="K24" s="1136">
        <f>+'[119]DIV WISE SUMMERY'!F38</f>
        <v>0</v>
      </c>
      <c r="L24" s="1136">
        <f>+'[119]DIV WISE SUMMERY'!H38</f>
        <v>0</v>
      </c>
      <c r="M24" s="1136">
        <f t="shared" si="9"/>
        <v>551201105.23000002</v>
      </c>
      <c r="N24" s="1136">
        <v>162481598</v>
      </c>
      <c r="O24" s="1139">
        <f t="shared" si="10"/>
        <v>388719507.23000002</v>
      </c>
      <c r="P24" s="1151">
        <v>35334694.030000001</v>
      </c>
      <c r="Q24" s="1136">
        <f>+'[119]DIV WISE SUMMERY'!L38</f>
        <v>0</v>
      </c>
      <c r="R24" s="1136">
        <f>+'[119]DIV WISE SUMMERY'!N38</f>
        <v>0</v>
      </c>
      <c r="S24" s="1136">
        <f t="shared" si="11"/>
        <v>586535799.25999999</v>
      </c>
      <c r="T24" s="1136"/>
      <c r="U24" s="1136">
        <v>172956816</v>
      </c>
      <c r="V24" s="1136"/>
      <c r="W24" s="1139">
        <f t="shared" si="12"/>
        <v>413578983.25999999</v>
      </c>
      <c r="X24" s="1151">
        <f>11643018.16+28197103.07</f>
        <v>39840121.230000004</v>
      </c>
      <c r="Y24" s="1151"/>
      <c r="Z24" s="1136">
        <f>+'[119]DIV WISE SUMMERY'!R38</f>
        <v>0</v>
      </c>
      <c r="AA24" s="1136"/>
      <c r="AB24" s="1136">
        <f>+'[119]DIV WISE SUMMERY'!T38</f>
        <v>0</v>
      </c>
      <c r="AC24" s="1136"/>
      <c r="AD24" s="1136">
        <f t="shared" si="13"/>
        <v>626375920.49000001</v>
      </c>
      <c r="AE24" s="1136">
        <v>192049619</v>
      </c>
      <c r="AF24" s="1136"/>
      <c r="AG24" s="1172">
        <f t="shared" si="14"/>
        <v>434326301.49000001</v>
      </c>
      <c r="AI24" s="1164" t="s">
        <v>1105</v>
      </c>
      <c r="AJ24" s="1166">
        <v>22953418.100000001</v>
      </c>
      <c r="AK24" s="1153">
        <v>41129691.890000001</v>
      </c>
      <c r="AL24" s="1163">
        <f>AJ24+(AK24/2)</f>
        <v>43518264.045000002</v>
      </c>
      <c r="AM24" s="1153">
        <f>AL24/10^7</f>
        <v>4.3518264045000006</v>
      </c>
    </row>
    <row r="25" spans="2:39">
      <c r="B25" s="1171" t="s">
        <v>1106</v>
      </c>
      <c r="C25" s="1140">
        <v>6663069242.1099997</v>
      </c>
      <c r="D25" s="1151">
        <v>420563799.88</v>
      </c>
      <c r="E25" s="1136">
        <v>5858422.0599999996</v>
      </c>
      <c r="F25" s="1136">
        <v>0</v>
      </c>
      <c r="G25" s="1136">
        <f t="shared" si="8"/>
        <v>7077774619.9299994</v>
      </c>
      <c r="H25" s="1136">
        <v>2498315679</v>
      </c>
      <c r="I25" s="1138">
        <f t="shared" si="1"/>
        <v>4579458940.9299994</v>
      </c>
      <c r="J25" s="1151">
        <v>1042383713.5700001</v>
      </c>
      <c r="K25" s="1136">
        <v>44378400.280000001</v>
      </c>
      <c r="L25" s="1136">
        <f>+'[119]DIV WISE SUMMERY'!H45</f>
        <v>0</v>
      </c>
      <c r="M25" s="1136">
        <f t="shared" si="9"/>
        <v>8075779933.2199993</v>
      </c>
      <c r="N25" s="1136">
        <v>2806030663</v>
      </c>
      <c r="O25" s="1139">
        <f t="shared" si="10"/>
        <v>5269749270.2199993</v>
      </c>
      <c r="P25" s="1151">
        <v>422921279.67000002</v>
      </c>
      <c r="Q25" s="1136">
        <v>54781773.280000001</v>
      </c>
      <c r="R25" s="1136">
        <f>+'[119]DIV WISE SUMMERY'!N45</f>
        <v>0</v>
      </c>
      <c r="S25" s="1136">
        <f t="shared" si="11"/>
        <v>8443919439.6099997</v>
      </c>
      <c r="T25" s="1136"/>
      <c r="U25" s="1136">
        <v>3088925027</v>
      </c>
      <c r="V25" s="1136"/>
      <c r="W25" s="1139">
        <f t="shared" si="12"/>
        <v>5354994412.6099997</v>
      </c>
      <c r="X25" s="1151">
        <f>134991723.62+166905888.26+255717296.96</f>
        <v>557614908.84000003</v>
      </c>
      <c r="Y25" s="1151"/>
      <c r="Z25" s="1136">
        <f>26580505.32+9328192.34+205067</f>
        <v>36113764.659999996</v>
      </c>
      <c r="AA25" s="1136"/>
      <c r="AB25" s="1136">
        <f>+'[119]DIV WISE SUMMERY'!T45</f>
        <v>0</v>
      </c>
      <c r="AC25" s="1136"/>
      <c r="AD25" s="1136">
        <f t="shared" si="13"/>
        <v>8965420583.789999</v>
      </c>
      <c r="AE25" s="1136">
        <v>3393718015</v>
      </c>
      <c r="AF25" s="1136"/>
      <c r="AG25" s="1172">
        <f t="shared" si="14"/>
        <v>5571702568.789999</v>
      </c>
      <c r="AI25" s="1171" t="s">
        <v>1098</v>
      </c>
      <c r="AJ25" s="1136">
        <v>586535799.25999999</v>
      </c>
      <c r="AK25" s="1153">
        <v>771864756.10000002</v>
      </c>
      <c r="AL25" s="1163">
        <f t="shared" ref="AL25:AL34" si="15">AJ25+(AK25/2)</f>
        <v>972468177.30999994</v>
      </c>
      <c r="AM25" s="1153">
        <f t="shared" ref="AM25:AM34" si="16">AL25/10^7</f>
        <v>97.246817730999993</v>
      </c>
    </row>
    <row r="26" spans="2:39">
      <c r="B26" s="1171" t="s">
        <v>1107</v>
      </c>
      <c r="C26" s="1140">
        <v>4069891159.3600001</v>
      </c>
      <c r="D26" s="1151">
        <f>631214584.14+17716893.61+2469652.4</f>
        <v>651401130.14999998</v>
      </c>
      <c r="E26" s="1136">
        <v>4368182</v>
      </c>
      <c r="F26" s="1136">
        <v>0</v>
      </c>
      <c r="G26" s="1136">
        <f t="shared" si="8"/>
        <v>4716924107.5100002</v>
      </c>
      <c r="H26" s="1136">
        <v>1284326664</v>
      </c>
      <c r="I26" s="1138">
        <f t="shared" si="1"/>
        <v>3432597443.5100002</v>
      </c>
      <c r="J26" s="1151">
        <v>701139363.01999998</v>
      </c>
      <c r="K26" s="1151">
        <v>5634938</v>
      </c>
      <c r="L26" s="1151">
        <f>+'[119]DIV WISE SUMMERY'!H50+'[119]DIV WISE SUMMERY'!H52</f>
        <v>0</v>
      </c>
      <c r="M26" s="1136">
        <f t="shared" si="9"/>
        <v>5412428532.5300007</v>
      </c>
      <c r="N26" s="1136">
        <v>1409067547</v>
      </c>
      <c r="O26" s="1139">
        <f t="shared" si="10"/>
        <v>4003360985.5300007</v>
      </c>
      <c r="P26" s="1151">
        <f>574845930.84+9422804.57</f>
        <v>584268735.41000009</v>
      </c>
      <c r="Q26" s="1151">
        <v>6922331</v>
      </c>
      <c r="R26" s="1151">
        <f>+'[119]DIV WISE SUMMERY'!N50+'[119]DIV WISE SUMMERY'!N52</f>
        <v>0</v>
      </c>
      <c r="S26" s="1136">
        <f t="shared" si="11"/>
        <v>5989774936.9400005</v>
      </c>
      <c r="T26" s="1136"/>
      <c r="U26" s="1136">
        <v>1532795106</v>
      </c>
      <c r="V26" s="1136"/>
      <c r="W26" s="1139">
        <f t="shared" si="12"/>
        <v>4456979830.9400005</v>
      </c>
      <c r="X26" s="1151">
        <f>435118468.12+22831678.57+1531361.07+1350000</f>
        <v>460831507.75999999</v>
      </c>
      <c r="Y26" s="1151"/>
      <c r="Z26" s="1151">
        <f>3277689+2923000</f>
        <v>6200689</v>
      </c>
      <c r="AA26" s="1151"/>
      <c r="AB26" s="1151">
        <v>-1350000</v>
      </c>
      <c r="AC26" s="1151"/>
      <c r="AD26" s="1136">
        <f t="shared" si="13"/>
        <v>6443055755.7000008</v>
      </c>
      <c r="AE26" s="1136">
        <v>1682908616</v>
      </c>
      <c r="AF26" s="1136"/>
      <c r="AG26" s="1172">
        <f t="shared" si="14"/>
        <v>4760147139.7000008</v>
      </c>
      <c r="AI26" s="1171" t="s">
        <v>1106</v>
      </c>
      <c r="AJ26" s="1136">
        <v>8443919439.6099997</v>
      </c>
      <c r="AK26" s="1109">
        <v>38379262</v>
      </c>
      <c r="AL26" s="1163">
        <f t="shared" si="15"/>
        <v>8463109070.6099997</v>
      </c>
      <c r="AM26" s="1153">
        <f t="shared" si="16"/>
        <v>846.31090706099997</v>
      </c>
    </row>
    <row r="27" spans="2:39">
      <c r="B27" s="1171" t="s">
        <v>1108</v>
      </c>
      <c r="C27" s="1140">
        <v>1584536552.29</v>
      </c>
      <c r="D27" s="1151">
        <v>159815745.63999999</v>
      </c>
      <c r="E27" s="1136">
        <v>4363736.26</v>
      </c>
      <c r="F27" s="1136">
        <v>0</v>
      </c>
      <c r="G27" s="1136">
        <f t="shared" si="8"/>
        <v>1739988561.6699998</v>
      </c>
      <c r="H27" s="1136">
        <v>874881518</v>
      </c>
      <c r="I27" s="1138">
        <f t="shared" si="1"/>
        <v>865107043.66999984</v>
      </c>
      <c r="J27" s="1151">
        <v>147247116.38</v>
      </c>
      <c r="K27" s="1151">
        <v>9856990.1099999994</v>
      </c>
      <c r="L27" s="1151">
        <f>+'[119]DIV WISE SUMMERY'!H54</f>
        <v>0</v>
      </c>
      <c r="M27" s="1136">
        <f t="shared" si="9"/>
        <v>1877378687.9399998</v>
      </c>
      <c r="N27" s="1136">
        <v>958013695</v>
      </c>
      <c r="O27" s="1139">
        <f t="shared" si="10"/>
        <v>919364992.93999982</v>
      </c>
      <c r="P27" s="1151">
        <v>149503267.52000001</v>
      </c>
      <c r="Q27" s="1151">
        <v>100438988.73</v>
      </c>
      <c r="R27" s="1151">
        <f>+'[119]DIV WISE SUMMERY'!N54</f>
        <v>0</v>
      </c>
      <c r="S27" s="1136">
        <f t="shared" si="11"/>
        <v>1926442966.7299998</v>
      </c>
      <c r="T27" s="1136"/>
      <c r="U27" s="1136">
        <v>964328293</v>
      </c>
      <c r="V27" s="1136"/>
      <c r="W27" s="1139">
        <f t="shared" si="12"/>
        <v>962114673.72999978</v>
      </c>
      <c r="X27" s="1151">
        <f>133973759.75+22500000</f>
        <v>156473759.75</v>
      </c>
      <c r="Y27" s="1151"/>
      <c r="Z27" s="1151">
        <v>69869127.480000004</v>
      </c>
      <c r="AA27" s="1151"/>
      <c r="AB27" s="1151">
        <v>-22500000</v>
      </c>
      <c r="AC27" s="1151"/>
      <c r="AD27" s="1136">
        <f t="shared" si="13"/>
        <v>1990547598.9999998</v>
      </c>
      <c r="AE27" s="1136">
        <v>1020687033</v>
      </c>
      <c r="AF27" s="1136"/>
      <c r="AG27" s="1172">
        <f t="shared" si="14"/>
        <v>969860565.99999976</v>
      </c>
      <c r="AI27" s="1171" t="s">
        <v>1107</v>
      </c>
      <c r="AJ27" s="1136">
        <v>5989774936.9400005</v>
      </c>
      <c r="AL27" s="1163">
        <f t="shared" si="15"/>
        <v>5989774936.9400005</v>
      </c>
      <c r="AM27" s="1153">
        <f t="shared" si="16"/>
        <v>598.97749369400003</v>
      </c>
    </row>
    <row r="28" spans="2:39">
      <c r="B28" s="1171" t="s">
        <v>1109</v>
      </c>
      <c r="C28" s="1140">
        <v>395675085.25</v>
      </c>
      <c r="D28" s="1151">
        <v>13592325.84</v>
      </c>
      <c r="E28" s="1136">
        <v>0</v>
      </c>
      <c r="F28" s="1136">
        <v>0</v>
      </c>
      <c r="G28" s="1136">
        <f t="shared" si="8"/>
        <v>409267411.08999997</v>
      </c>
      <c r="H28" s="1136">
        <v>251618201</v>
      </c>
      <c r="I28" s="1138">
        <f t="shared" si="1"/>
        <v>157649210.08999997</v>
      </c>
      <c r="J28" s="1151">
        <v>16304977.85</v>
      </c>
      <c r="K28" s="1151">
        <v>0</v>
      </c>
      <c r="L28" s="1151">
        <f>+'[119]DIV WISE SUMMERY'!H56</f>
        <v>0</v>
      </c>
      <c r="M28" s="1136">
        <f t="shared" si="9"/>
        <v>425572388.94</v>
      </c>
      <c r="N28" s="1136">
        <v>271429147</v>
      </c>
      <c r="O28" s="1139">
        <f t="shared" si="10"/>
        <v>154143241.94</v>
      </c>
      <c r="P28" s="1151">
        <v>17688193.030000001</v>
      </c>
      <c r="Q28" s="1151">
        <v>0</v>
      </c>
      <c r="R28" s="1151">
        <f>+'[119]DIV WISE SUMMERY'!N56</f>
        <v>0</v>
      </c>
      <c r="S28" s="1136">
        <f t="shared" si="11"/>
        <v>443260581.97000003</v>
      </c>
      <c r="T28" s="1136"/>
      <c r="U28" s="1136">
        <v>290659535</v>
      </c>
      <c r="V28" s="1136"/>
      <c r="W28" s="1139">
        <f t="shared" si="12"/>
        <v>152601046.97000003</v>
      </c>
      <c r="X28" s="1151">
        <f>5738084.77+1350000</f>
        <v>7088084.7699999996</v>
      </c>
      <c r="Y28" s="1151"/>
      <c r="Z28" s="1151">
        <v>0</v>
      </c>
      <c r="AA28" s="1151"/>
      <c r="AB28" s="1151">
        <v>-1350000</v>
      </c>
      <c r="AC28" s="1151"/>
      <c r="AD28" s="1136">
        <f t="shared" si="13"/>
        <v>448998666.74000001</v>
      </c>
      <c r="AE28" s="1136">
        <v>307233511</v>
      </c>
      <c r="AF28" s="1136"/>
      <c r="AG28" s="1172">
        <f t="shared" si="14"/>
        <v>141765155.74000001</v>
      </c>
      <c r="AI28" s="1171" t="s">
        <v>1108</v>
      </c>
      <c r="AJ28" s="1136">
        <v>1926442966.7299998</v>
      </c>
      <c r="AL28" s="1163">
        <f t="shared" si="15"/>
        <v>1926442966.7299998</v>
      </c>
      <c r="AM28" s="1153">
        <f t="shared" si="16"/>
        <v>192.64429667299999</v>
      </c>
    </row>
    <row r="29" spans="2:39">
      <c r="B29" s="1171" t="s">
        <v>1110</v>
      </c>
      <c r="C29" s="1140">
        <v>510455.52</v>
      </c>
      <c r="D29" s="1151">
        <v>0</v>
      </c>
      <c r="E29" s="1136">
        <v>6769.81</v>
      </c>
      <c r="F29" s="1136">
        <v>0</v>
      </c>
      <c r="G29" s="1136">
        <f t="shared" si="8"/>
        <v>503685.71</v>
      </c>
      <c r="H29" s="1136">
        <v>382702</v>
      </c>
      <c r="I29" s="1138">
        <f t="shared" si="1"/>
        <v>120983.71000000002</v>
      </c>
      <c r="J29" s="1151">
        <v>0</v>
      </c>
      <c r="K29" s="1151">
        <v>37931.089999999997</v>
      </c>
      <c r="L29" s="1151">
        <f>+'[119]DIV WISE SUMMERY'!H58</f>
        <v>0</v>
      </c>
      <c r="M29" s="1136">
        <f t="shared" si="9"/>
        <v>465754.62</v>
      </c>
      <c r="N29" s="1136">
        <v>361092</v>
      </c>
      <c r="O29" s="1139">
        <f t="shared" si="10"/>
        <v>104662.62</v>
      </c>
      <c r="P29" s="1151">
        <v>0</v>
      </c>
      <c r="Q29" s="1151">
        <v>0</v>
      </c>
      <c r="R29" s="1151">
        <f>+'[119]DIV WISE SUMMERY'!N58</f>
        <v>0</v>
      </c>
      <c r="S29" s="1136">
        <f t="shared" si="11"/>
        <v>465754.62</v>
      </c>
      <c r="T29" s="1136"/>
      <c r="U29" s="1136">
        <v>373621</v>
      </c>
      <c r="V29" s="1136"/>
      <c r="W29" s="1139">
        <f t="shared" si="12"/>
        <v>92133.62</v>
      </c>
      <c r="X29" s="1151">
        <v>0</v>
      </c>
      <c r="Y29" s="1151"/>
      <c r="Z29" s="1151">
        <v>32838.06</v>
      </c>
      <c r="AA29" s="1151"/>
      <c r="AB29" s="1151">
        <f>+'[119]DIV WISE SUMMERY'!T58</f>
        <v>0</v>
      </c>
      <c r="AC29" s="1151"/>
      <c r="AD29" s="1136">
        <f t="shared" si="13"/>
        <v>432916.56</v>
      </c>
      <c r="AE29" s="1136">
        <v>356595</v>
      </c>
      <c r="AF29" s="1136"/>
      <c r="AG29" s="1172">
        <f t="shared" si="14"/>
        <v>76321.56</v>
      </c>
      <c r="AI29" s="1171" t="s">
        <v>1109</v>
      </c>
      <c r="AJ29" s="1136">
        <v>443260581.97000003</v>
      </c>
      <c r="AL29" s="1163">
        <f t="shared" si="15"/>
        <v>443260581.97000003</v>
      </c>
      <c r="AM29" s="1153">
        <f t="shared" si="16"/>
        <v>44.326058197000002</v>
      </c>
    </row>
    <row r="30" spans="2:39">
      <c r="B30" s="1171" t="s">
        <v>1099</v>
      </c>
      <c r="C30" s="1140">
        <v>108296444.72</v>
      </c>
      <c r="D30" s="1151">
        <v>34008641</v>
      </c>
      <c r="E30" s="1136">
        <v>8559494.2200000007</v>
      </c>
      <c r="F30" s="1136">
        <v>-162187.68</v>
      </c>
      <c r="G30" s="1136">
        <f t="shared" si="8"/>
        <v>133583403.81999999</v>
      </c>
      <c r="H30" s="1136">
        <v>61023819</v>
      </c>
      <c r="I30" s="1138">
        <f t="shared" si="1"/>
        <v>72559584.819999993</v>
      </c>
      <c r="J30" s="1151">
        <v>6825688</v>
      </c>
      <c r="K30" s="1151">
        <v>0</v>
      </c>
      <c r="L30" s="1151">
        <v>2045567.79</v>
      </c>
      <c r="M30" s="1136">
        <f t="shared" si="9"/>
        <v>142454659.60999998</v>
      </c>
      <c r="N30" s="1136">
        <v>74741160</v>
      </c>
      <c r="O30" s="1139">
        <f t="shared" si="10"/>
        <v>67713499.609999985</v>
      </c>
      <c r="P30" s="1151">
        <v>10192665</v>
      </c>
      <c r="Q30" s="1151">
        <v>6551474.4500000002</v>
      </c>
      <c r="R30" s="1151">
        <v>0</v>
      </c>
      <c r="S30" s="1136">
        <f t="shared" si="11"/>
        <v>146095850.16</v>
      </c>
      <c r="T30" s="1136"/>
      <c r="U30" s="1136">
        <v>79891309</v>
      </c>
      <c r="V30" s="1136"/>
      <c r="W30" s="1139">
        <f t="shared" si="12"/>
        <v>66204541.159999996</v>
      </c>
      <c r="X30" s="1151">
        <v>0</v>
      </c>
      <c r="Y30" s="1151"/>
      <c r="Z30" s="1151">
        <v>0</v>
      </c>
      <c r="AA30" s="1151"/>
      <c r="AB30" s="1151">
        <v>0</v>
      </c>
      <c r="AC30" s="1151"/>
      <c r="AD30" s="1136">
        <f t="shared" si="13"/>
        <v>146095850.16</v>
      </c>
      <c r="AE30" s="1136">
        <v>90641639</v>
      </c>
      <c r="AF30" s="1136"/>
      <c r="AG30" s="1172">
        <f t="shared" si="14"/>
        <v>55454211.159999996</v>
      </c>
      <c r="AI30" s="1171" t="s">
        <v>1110</v>
      </c>
      <c r="AJ30" s="1136">
        <v>465754.62</v>
      </c>
      <c r="AL30" s="1163">
        <f t="shared" si="15"/>
        <v>465754.62</v>
      </c>
      <c r="AM30" s="1153">
        <f t="shared" si="16"/>
        <v>4.6575461999999998E-2</v>
      </c>
    </row>
    <row r="31" spans="2:39">
      <c r="B31" s="1171" t="s">
        <v>1102</v>
      </c>
      <c r="C31" s="1140">
        <v>162118531.58000001</v>
      </c>
      <c r="D31" s="1136">
        <v>9514940.8200000003</v>
      </c>
      <c r="E31" s="1136">
        <v>2304223.2000000002</v>
      </c>
      <c r="F31" s="1136">
        <v>-119076.46</v>
      </c>
      <c r="G31" s="1136">
        <f t="shared" si="8"/>
        <v>169210172.74000001</v>
      </c>
      <c r="H31" s="1136">
        <v>74659235</v>
      </c>
      <c r="I31" s="1138">
        <f t="shared" si="1"/>
        <v>94550937.74000001</v>
      </c>
      <c r="J31" s="1151">
        <v>14801741.42</v>
      </c>
      <c r="K31" s="1151">
        <v>4354615.3499999996</v>
      </c>
      <c r="L31" s="1151">
        <v>150000</v>
      </c>
      <c r="M31" s="1136">
        <f t="shared" si="9"/>
        <v>179807298.81</v>
      </c>
      <c r="N31" s="1136">
        <v>80126011</v>
      </c>
      <c r="O31" s="1139">
        <f t="shared" si="10"/>
        <v>99681287.810000002</v>
      </c>
      <c r="P31" s="1151">
        <v>53990720.93</v>
      </c>
      <c r="Q31" s="1151">
        <v>3015508.19</v>
      </c>
      <c r="R31" s="1151">
        <v>-612238</v>
      </c>
      <c r="S31" s="1136">
        <f t="shared" si="11"/>
        <v>230170273.55000001</v>
      </c>
      <c r="T31" s="1136"/>
      <c r="U31" s="1136">
        <v>85199136</v>
      </c>
      <c r="V31" s="1136"/>
      <c r="W31" s="1139">
        <f t="shared" si="12"/>
        <v>144971137.55000001</v>
      </c>
      <c r="X31" s="1151">
        <v>27356662</v>
      </c>
      <c r="Y31" s="1151"/>
      <c r="Z31" s="1151">
        <v>1696777.98</v>
      </c>
      <c r="AA31" s="1151"/>
      <c r="AB31" s="1151">
        <v>0</v>
      </c>
      <c r="AC31" s="1151"/>
      <c r="AD31" s="1136">
        <f t="shared" si="13"/>
        <v>255830157.57000002</v>
      </c>
      <c r="AE31" s="1136">
        <v>94951625</v>
      </c>
      <c r="AF31" s="1136"/>
      <c r="AG31" s="1172">
        <f t="shared" si="14"/>
        <v>160878532.57000002</v>
      </c>
      <c r="AI31" s="1171" t="s">
        <v>1099</v>
      </c>
      <c r="AJ31" s="1136">
        <v>146095850.16</v>
      </c>
      <c r="AK31" s="1109">
        <v>48073179.140000001</v>
      </c>
      <c r="AL31" s="1163">
        <f t="shared" si="15"/>
        <v>170132439.72999999</v>
      </c>
      <c r="AM31" s="1153">
        <f t="shared" si="16"/>
        <v>17.013243972999998</v>
      </c>
    </row>
    <row r="32" spans="2:39" ht="15.75" thickBot="1">
      <c r="B32" s="1173" t="s">
        <v>1101</v>
      </c>
      <c r="C32" s="1174">
        <v>162711353.19</v>
      </c>
      <c r="D32" s="1175">
        <v>29301760.829999998</v>
      </c>
      <c r="E32" s="1175">
        <v>2015559.32</v>
      </c>
      <c r="F32" s="1175">
        <v>-118784.5</v>
      </c>
      <c r="G32" s="1175">
        <f t="shared" si="8"/>
        <v>189878770.19999999</v>
      </c>
      <c r="H32" s="1175">
        <v>97193648</v>
      </c>
      <c r="I32" s="1176">
        <f t="shared" si="1"/>
        <v>92685122.199999988</v>
      </c>
      <c r="J32" s="1180">
        <v>29231295</v>
      </c>
      <c r="K32" s="1180">
        <v>458312.06</v>
      </c>
      <c r="L32" s="1180">
        <v>-16586.64</v>
      </c>
      <c r="M32" s="1175">
        <f t="shared" si="9"/>
        <v>218635166.5</v>
      </c>
      <c r="N32" s="1175">
        <v>116853327</v>
      </c>
      <c r="O32" s="1177">
        <f t="shared" si="10"/>
        <v>101781839.5</v>
      </c>
      <c r="P32" s="1180">
        <v>24594019.359999999</v>
      </c>
      <c r="Q32" s="1180">
        <v>1804730.26</v>
      </c>
      <c r="R32" s="1180">
        <v>-235650.85</v>
      </c>
      <c r="S32" s="1175">
        <f t="shared" si="11"/>
        <v>241188804.75000003</v>
      </c>
      <c r="T32" s="1175"/>
      <c r="U32" s="1175">
        <v>134160862</v>
      </c>
      <c r="V32" s="1175"/>
      <c r="W32" s="1177">
        <f t="shared" si="12"/>
        <v>107027942.75000003</v>
      </c>
      <c r="X32" s="1180">
        <f>1535968-2425523.31+12100000</f>
        <v>11210444.689999999</v>
      </c>
      <c r="Y32" s="1180"/>
      <c r="Z32" s="1180">
        <v>1558256.48</v>
      </c>
      <c r="AA32" s="1180"/>
      <c r="AB32" s="1180">
        <f>-12100000+68450</f>
        <v>-12031550</v>
      </c>
      <c r="AC32" s="1180"/>
      <c r="AD32" s="1175">
        <f t="shared" si="13"/>
        <v>238809442.96000004</v>
      </c>
      <c r="AE32" s="1175">
        <v>208075226</v>
      </c>
      <c r="AF32" s="1175"/>
      <c r="AG32" s="1178">
        <f t="shared" si="14"/>
        <v>30734216.960000038</v>
      </c>
      <c r="AI32" s="1171" t="s">
        <v>1102</v>
      </c>
      <c r="AJ32" s="1136">
        <v>230170273.55000001</v>
      </c>
      <c r="AK32" s="1109">
        <v>2188246</v>
      </c>
      <c r="AL32" s="1163">
        <f t="shared" si="15"/>
        <v>231264396.55000001</v>
      </c>
      <c r="AM32" s="1153">
        <f t="shared" si="16"/>
        <v>23.126439655000002</v>
      </c>
    </row>
    <row r="33" spans="2:39" ht="15.75" thickBot="1">
      <c r="B33" s="1141" t="s">
        <v>94</v>
      </c>
      <c r="C33" s="1142" t="s">
        <v>94</v>
      </c>
      <c r="D33" s="1143" t="s">
        <v>277</v>
      </c>
      <c r="E33" s="1142" t="s">
        <v>94</v>
      </c>
      <c r="F33" s="1143">
        <v>0</v>
      </c>
      <c r="G33" s="1136"/>
      <c r="H33" s="1143" t="s">
        <v>94</v>
      </c>
      <c r="I33" s="1138"/>
      <c r="J33" s="1143" t="s">
        <v>277</v>
      </c>
      <c r="K33" s="1142" t="s">
        <v>94</v>
      </c>
      <c r="L33" s="1143" t="s">
        <v>94</v>
      </c>
      <c r="M33" s="1136"/>
      <c r="N33" s="1143" t="s">
        <v>94</v>
      </c>
      <c r="O33" s="1139"/>
      <c r="P33" s="1143" t="s">
        <v>277</v>
      </c>
      <c r="Q33" s="1142" t="s">
        <v>94</v>
      </c>
      <c r="R33" s="1143" t="s">
        <v>94</v>
      </c>
      <c r="S33" s="1136"/>
      <c r="T33" s="1136"/>
      <c r="U33" s="1143" t="s">
        <v>94</v>
      </c>
      <c r="V33" s="1136"/>
      <c r="W33" s="1139"/>
      <c r="X33" s="1143" t="s">
        <v>277</v>
      </c>
      <c r="Y33" s="1142"/>
      <c r="Z33" s="1142" t="s">
        <v>94</v>
      </c>
      <c r="AA33" s="1142">
        <f>AA34/10^7</f>
        <v>12.387156331500002</v>
      </c>
      <c r="AB33" s="1143" t="s">
        <v>94</v>
      </c>
      <c r="AC33" s="1136">
        <f>(AC34+AB20)/10^7</f>
        <v>-3.7359244999999999</v>
      </c>
      <c r="AD33" s="1136"/>
      <c r="AE33" s="1143" t="s">
        <v>94</v>
      </c>
      <c r="AF33" s="1136"/>
      <c r="AG33" s="1139"/>
      <c r="AI33" s="1173" t="s">
        <v>1101</v>
      </c>
      <c r="AJ33" s="1175">
        <v>241188804.75000003</v>
      </c>
      <c r="AK33" s="1109">
        <v>61105157.489999995</v>
      </c>
      <c r="AL33" s="1163">
        <f t="shared" si="15"/>
        <v>271741383.495</v>
      </c>
      <c r="AM33" s="1153">
        <f t="shared" si="16"/>
        <v>27.174138349500002</v>
      </c>
    </row>
    <row r="34" spans="2:39">
      <c r="B34" s="1145" t="s">
        <v>499</v>
      </c>
      <c r="C34" s="1146">
        <f>SUM(C23:C33)</f>
        <v>13648758965.609999</v>
      </c>
      <c r="D34" s="1146">
        <f>SUM(D23:D33)</f>
        <v>1353669891.0699997</v>
      </c>
      <c r="E34" s="1146">
        <f>SUM(E23:E33)</f>
        <v>27476386.870000001</v>
      </c>
      <c r="F34" s="1146">
        <f>SUM(F23:F33)</f>
        <v>-400048.64000000001</v>
      </c>
      <c r="G34" s="1146">
        <f>SUM(G23:G33)</f>
        <v>14974552421.169998</v>
      </c>
      <c r="H34" s="1147">
        <f>SUM(H24:H33)</f>
        <v>5294399474</v>
      </c>
      <c r="I34" s="1148">
        <f t="shared" si="1"/>
        <v>9680152947.1699982</v>
      </c>
      <c r="J34" s="1146">
        <f>SUM(J23:J33)</f>
        <v>1994666730.0700002</v>
      </c>
      <c r="K34" s="1149">
        <f>SUM(K23:K33)</f>
        <v>64721186.890000008</v>
      </c>
      <c r="L34" s="1146">
        <f>SUM(L23:L33)</f>
        <v>2178981.15</v>
      </c>
      <c r="M34" s="1146">
        <f>+G34+J34-K34+L34</f>
        <v>16906676945.499998</v>
      </c>
      <c r="N34" s="1147">
        <f>SUM(N23:N33)</f>
        <v>5879104240</v>
      </c>
      <c r="O34" s="1147">
        <f>+M34-N34</f>
        <v>11027572705.499998</v>
      </c>
      <c r="P34" s="1146">
        <f>SUM(P23:P33)</f>
        <v>1298493574.95</v>
      </c>
      <c r="Q34" s="1149">
        <f>SUM(Q23:Q33)</f>
        <v>173514805.90999997</v>
      </c>
      <c r="R34" s="1149">
        <f>SUM(R23:R33)</f>
        <v>-847888.85</v>
      </c>
      <c r="S34" s="1146">
        <f>+M34+P34-Q34+R34</f>
        <v>18030807825.689999</v>
      </c>
      <c r="T34" s="1147">
        <f>S34+T20</f>
        <v>18513757147</v>
      </c>
      <c r="U34" s="1147">
        <f>SUM(U23:U33)</f>
        <v>6349289705</v>
      </c>
      <c r="V34" s="1146">
        <f>U34+V20</f>
        <v>6531539862</v>
      </c>
      <c r="W34" s="1147">
        <f>+S34-U34</f>
        <v>11681518120.689999</v>
      </c>
      <c r="X34" s="1146">
        <f>SUM(X23:X33)</f>
        <v>1260415489.04</v>
      </c>
      <c r="Y34" s="1146">
        <f>X34+Y20</f>
        <v>1262490523.095</v>
      </c>
      <c r="Z34" s="1149">
        <f>SUM(Z23:Z33)</f>
        <v>115471453.66000001</v>
      </c>
      <c r="AA34" s="1149">
        <f>Z34+AA20</f>
        <v>123871563.31500001</v>
      </c>
      <c r="AB34" s="1149">
        <f>SUM(AB23:AB33)</f>
        <v>-37231550</v>
      </c>
      <c r="AC34" s="1149">
        <f>(AB20/2)+AB34</f>
        <v>-37274115</v>
      </c>
      <c r="AD34" s="1146">
        <f>+S34+X34-Z34+AB34</f>
        <v>19138520311.07</v>
      </c>
      <c r="AE34" s="1154">
        <f>SUM(AE23:AE33)</f>
        <v>6990621879</v>
      </c>
      <c r="AF34" s="1154">
        <f>AE34+AF20</f>
        <v>7183833188</v>
      </c>
      <c r="AG34" s="1147">
        <f>+AD34-AE34</f>
        <v>12147898432.07</v>
      </c>
      <c r="AI34" s="1153"/>
      <c r="AK34" s="1109">
        <v>3158350</v>
      </c>
      <c r="AL34" s="1163">
        <f t="shared" si="15"/>
        <v>1579175</v>
      </c>
      <c r="AM34" s="1153">
        <f t="shared" si="16"/>
        <v>0.15791749999999999</v>
      </c>
    </row>
    <row r="35" spans="2:39">
      <c r="B35" s="1125" t="s">
        <v>94</v>
      </c>
      <c r="C35" s="1137" t="s">
        <v>94</v>
      </c>
      <c r="D35" s="1136" t="s">
        <v>94</v>
      </c>
      <c r="E35" s="1137" t="s">
        <v>94</v>
      </c>
      <c r="F35" s="1136" t="s">
        <v>94</v>
      </c>
      <c r="G35" s="1136" t="s">
        <v>94</v>
      </c>
      <c r="H35" s="1144"/>
      <c r="I35" s="1138"/>
      <c r="J35" s="1136" t="s">
        <v>94</v>
      </c>
      <c r="K35" s="1137" t="s">
        <v>94</v>
      </c>
      <c r="L35" s="1136" t="s">
        <v>94</v>
      </c>
      <c r="M35" s="1136" t="s">
        <v>94</v>
      </c>
      <c r="N35" s="1144"/>
      <c r="O35" s="1138"/>
      <c r="P35" s="1136" t="s">
        <v>94</v>
      </c>
      <c r="Q35" s="1137" t="s">
        <v>94</v>
      </c>
      <c r="R35" s="1136" t="s">
        <v>94</v>
      </c>
      <c r="S35" s="1136" t="s">
        <v>94</v>
      </c>
      <c r="T35" s="1144"/>
      <c r="U35" s="1144"/>
      <c r="V35" s="1144"/>
      <c r="W35" s="1138"/>
      <c r="X35" s="1136">
        <f>30%*Y34/10^7</f>
        <v>37.874715692849996</v>
      </c>
      <c r="Y35" s="1140">
        <f>X35*15.76%/2</f>
        <v>2.9845275965965796</v>
      </c>
      <c r="Z35" s="1137">
        <f>30%*(Z34)/10^7</f>
        <v>3.4641436098000007</v>
      </c>
      <c r="AA35" s="1137">
        <f>780.67*15.76%</f>
        <v>123.03359199999998</v>
      </c>
      <c r="AB35" s="1136">
        <f>AA33-AC35</f>
        <v>16.1145678315</v>
      </c>
      <c r="AC35" s="1136">
        <f>AC34/10^7</f>
        <v>-3.7274115000000001</v>
      </c>
      <c r="AD35" s="1136">
        <f>(AD34+AD20/2)/10^7</f>
        <v>1961.5101991779998</v>
      </c>
      <c r="AE35" s="1144"/>
      <c r="AF35" s="1144"/>
      <c r="AG35" s="1138"/>
    </row>
    <row r="36" spans="2:39" ht="15.75" thickBot="1">
      <c r="B36" s="1131" t="s">
        <v>869</v>
      </c>
      <c r="C36" s="1137"/>
      <c r="D36" s="1136"/>
      <c r="E36" s="1137"/>
      <c r="F36" s="1136"/>
      <c r="G36" s="1136"/>
      <c r="H36" s="1144"/>
      <c r="I36" s="1138" t="s">
        <v>94</v>
      </c>
      <c r="J36" s="1136"/>
      <c r="K36" s="1137"/>
      <c r="L36" s="1136"/>
      <c r="M36" s="1136"/>
      <c r="N36" s="1144"/>
      <c r="O36" s="1139" t="s">
        <v>94</v>
      </c>
      <c r="P36" s="1136"/>
      <c r="Q36" s="1137"/>
      <c r="R36" s="1136"/>
      <c r="S36" s="1136"/>
      <c r="T36" s="1144"/>
      <c r="U36" s="1144"/>
      <c r="V36" s="1144"/>
      <c r="W36" s="1139" t="s">
        <v>94</v>
      </c>
      <c r="X36" s="1136"/>
      <c r="Y36" s="1140"/>
      <c r="Z36" s="1137"/>
      <c r="AA36" s="1137"/>
      <c r="AB36" s="1136"/>
      <c r="AC36" s="1136"/>
      <c r="AD36" s="1136"/>
      <c r="AE36" s="1144"/>
      <c r="AF36" s="1144"/>
      <c r="AG36" s="1139" t="s">
        <v>94</v>
      </c>
    </row>
    <row r="37" spans="2:39">
      <c r="B37" s="1164" t="s">
        <v>1097</v>
      </c>
      <c r="C37" s="1167">
        <v>339869079.20999998</v>
      </c>
      <c r="D37" s="1166">
        <v>4871132</v>
      </c>
      <c r="E37" s="1167">
        <v>0</v>
      </c>
      <c r="F37" s="1166">
        <v>0</v>
      </c>
      <c r="G37" s="1166">
        <f t="shared" ref="G37:G43" si="17">C37+D37-E37+F37</f>
        <v>344740211.20999998</v>
      </c>
      <c r="H37" s="1166">
        <v>0</v>
      </c>
      <c r="I37" s="1168">
        <f t="shared" si="1"/>
        <v>344740211.20999998</v>
      </c>
      <c r="J37" s="1166">
        <v>11448285</v>
      </c>
      <c r="K37" s="1167">
        <v>0</v>
      </c>
      <c r="L37" s="1166">
        <f>+'[119]DIV WISE SUMMERY'!H86</f>
        <v>0</v>
      </c>
      <c r="M37" s="1166">
        <f t="shared" ref="M37:M43" si="18">+G37+J37-K37+L37</f>
        <v>356188496.20999998</v>
      </c>
      <c r="N37" s="1166">
        <v>0</v>
      </c>
      <c r="O37" s="1169">
        <f t="shared" ref="O37:O43" si="19">+M37-N37</f>
        <v>356188496.20999998</v>
      </c>
      <c r="P37" s="1166">
        <v>0</v>
      </c>
      <c r="Q37" s="1167">
        <v>0</v>
      </c>
      <c r="R37" s="1166">
        <f>+'[119]DIV WISE SUMMERY'!N86</f>
        <v>0</v>
      </c>
      <c r="S37" s="1166">
        <f t="shared" ref="S37:S43" si="20">+M37+P37-Q37+R37</f>
        <v>356188496.20999998</v>
      </c>
      <c r="T37" s="1166"/>
      <c r="U37" s="1166">
        <v>0</v>
      </c>
      <c r="V37" s="1166"/>
      <c r="W37" s="1169">
        <f t="shared" ref="W37:W43" si="21">+S37-U37</f>
        <v>356188496.20999998</v>
      </c>
      <c r="X37" s="1166">
        <v>0</v>
      </c>
      <c r="Y37" s="1167"/>
      <c r="Z37" s="1167">
        <v>0</v>
      </c>
      <c r="AA37" s="1167"/>
      <c r="AB37" s="1166">
        <f>+'[119]DIV WISE SUMMERY'!T86</f>
        <v>0</v>
      </c>
      <c r="AC37" s="1166"/>
      <c r="AD37" s="1166">
        <f t="shared" ref="AD37:AD43" si="22">+S37+X37-Z37+AB37</f>
        <v>356188496.20999998</v>
      </c>
      <c r="AE37" s="1166">
        <v>0</v>
      </c>
      <c r="AF37" s="1166"/>
      <c r="AG37" s="1170">
        <f t="shared" ref="AG37:AG43" si="23">+AD37-AE37</f>
        <v>356188496.20999998</v>
      </c>
    </row>
    <row r="38" spans="2:39">
      <c r="B38" s="1171" t="s">
        <v>1098</v>
      </c>
      <c r="C38" s="1140">
        <v>1045851038.4400001</v>
      </c>
      <c r="D38" s="1136">
        <v>45123176.630000003</v>
      </c>
      <c r="E38" s="1140">
        <v>0</v>
      </c>
      <c r="F38" s="1136">
        <v>0</v>
      </c>
      <c r="G38" s="1136">
        <f t="shared" si="17"/>
        <v>1090974215.0700002</v>
      </c>
      <c r="H38" s="1136">
        <v>356026501</v>
      </c>
      <c r="I38" s="1138">
        <f t="shared" si="1"/>
        <v>734947714.07000017</v>
      </c>
      <c r="J38" s="1136">
        <v>39021362.869999997</v>
      </c>
      <c r="K38" s="1140">
        <v>0</v>
      </c>
      <c r="L38" s="1136">
        <f>+'[119]DIV WISE SUMMERY'!H93</f>
        <v>0</v>
      </c>
      <c r="M38" s="1136">
        <f t="shared" si="18"/>
        <v>1129995577.9400001</v>
      </c>
      <c r="N38" s="1136">
        <v>378843447</v>
      </c>
      <c r="O38" s="1139">
        <f t="shared" si="19"/>
        <v>751152130.94000006</v>
      </c>
      <c r="P38" s="1136">
        <v>34803129.960000001</v>
      </c>
      <c r="Q38" s="1140">
        <v>0</v>
      </c>
      <c r="R38" s="1136">
        <f>+'[119]DIV WISE SUMMERY'!N93</f>
        <v>0</v>
      </c>
      <c r="S38" s="1136">
        <f t="shared" si="20"/>
        <v>1164798707.9000001</v>
      </c>
      <c r="T38" s="1136"/>
      <c r="U38" s="1136">
        <v>401660393</v>
      </c>
      <c r="V38" s="1136"/>
      <c r="W38" s="1139">
        <f t="shared" si="21"/>
        <v>763138314.9000001</v>
      </c>
      <c r="X38" s="1136">
        <f>24642268.85+2328781.39</f>
        <v>26971050.240000002</v>
      </c>
      <c r="Y38" s="1140"/>
      <c r="Z38" s="1140">
        <v>0</v>
      </c>
      <c r="AA38" s="1140"/>
      <c r="AB38" s="1136">
        <f>+'[119]DIV WISE SUMMERY'!T93</f>
        <v>0</v>
      </c>
      <c r="AC38" s="1136"/>
      <c r="AD38" s="1136">
        <f t="shared" si="22"/>
        <v>1191769758.1400001</v>
      </c>
      <c r="AE38" s="1136">
        <v>425173403</v>
      </c>
      <c r="AF38" s="1136"/>
      <c r="AG38" s="1172">
        <f t="shared" si="23"/>
        <v>766596355.1400001</v>
      </c>
    </row>
    <row r="39" spans="2:39">
      <c r="B39" s="1171" t="s">
        <v>869</v>
      </c>
      <c r="C39" s="1140">
        <v>6010933478.1599998</v>
      </c>
      <c r="D39" s="1136">
        <v>2483893495</v>
      </c>
      <c r="E39" s="1140">
        <v>214075886.37</v>
      </c>
      <c r="F39" s="1136">
        <v>0</v>
      </c>
      <c r="G39" s="1136">
        <f t="shared" si="17"/>
        <v>8280751086.79</v>
      </c>
      <c r="H39" s="1136">
        <v>3690478792</v>
      </c>
      <c r="I39" s="1138">
        <f t="shared" si="1"/>
        <v>4590272294.79</v>
      </c>
      <c r="J39" s="1136">
        <v>1620736391</v>
      </c>
      <c r="K39" s="1140">
        <v>70033052.599999994</v>
      </c>
      <c r="L39" s="1136">
        <f>+'[119]DIV WISE SUMMERY'!H98</f>
        <v>0</v>
      </c>
      <c r="M39" s="1136">
        <f t="shared" si="18"/>
        <v>9831454425.1900005</v>
      </c>
      <c r="N39" s="1136">
        <v>4638446008</v>
      </c>
      <c r="O39" s="1139">
        <f t="shared" si="19"/>
        <v>5193008417.1900005</v>
      </c>
      <c r="P39" s="1136">
        <v>3548344</v>
      </c>
      <c r="Q39" s="1140">
        <v>172158732.06</v>
      </c>
      <c r="R39" s="1136">
        <f>+'[119]DIV WISE SUMMERY'!N98</f>
        <v>0</v>
      </c>
      <c r="S39" s="1136">
        <f t="shared" si="20"/>
        <v>9662844037.1300011</v>
      </c>
      <c r="T39" s="1136"/>
      <c r="U39" s="1136">
        <v>5451243543</v>
      </c>
      <c r="V39" s="1136"/>
      <c r="W39" s="1139">
        <f t="shared" si="21"/>
        <v>4211600494.1300011</v>
      </c>
      <c r="X39" s="1136">
        <v>0</v>
      </c>
      <c r="Y39" s="1140"/>
      <c r="Z39" s="1140">
        <f>262901181.74+429751.47</f>
        <v>263330933.21000001</v>
      </c>
      <c r="AA39" s="1140"/>
      <c r="AB39" s="1136">
        <f>+'[119]DIV WISE SUMMERY'!T98</f>
        <v>0</v>
      </c>
      <c r="AC39" s="1136"/>
      <c r="AD39" s="1136">
        <f t="shared" si="22"/>
        <v>9399513103.920002</v>
      </c>
      <c r="AE39" s="1136">
        <v>5722476954</v>
      </c>
      <c r="AF39" s="1136"/>
      <c r="AG39" s="1172">
        <f t="shared" si="23"/>
        <v>3677036149.920002</v>
      </c>
    </row>
    <row r="40" spans="2:39">
      <c r="B40" s="1171" t="s">
        <v>1099</v>
      </c>
      <c r="C40" s="1140">
        <v>102764360.31</v>
      </c>
      <c r="D40" s="1136">
        <v>4321136</v>
      </c>
      <c r="E40" s="1140">
        <v>3240606.57</v>
      </c>
      <c r="F40" s="1136">
        <v>162187.68</v>
      </c>
      <c r="G40" s="1136">
        <f t="shared" si="17"/>
        <v>104007077.42000002</v>
      </c>
      <c r="H40" s="1136">
        <v>71544327</v>
      </c>
      <c r="I40" s="1138">
        <f t="shared" si="1"/>
        <v>32462750.420000017</v>
      </c>
      <c r="J40" s="1136">
        <v>0</v>
      </c>
      <c r="K40" s="1140">
        <v>1141214</v>
      </c>
      <c r="L40" s="1136">
        <v>-2735709.79</v>
      </c>
      <c r="M40" s="1136">
        <f t="shared" si="18"/>
        <v>100130153.63000001</v>
      </c>
      <c r="N40" s="1136">
        <v>79583496</v>
      </c>
      <c r="O40" s="1139">
        <f t="shared" si="19"/>
        <v>20546657.63000001</v>
      </c>
      <c r="P40" s="1136">
        <v>8740452</v>
      </c>
      <c r="Q40" s="1140">
        <v>5409221.5800000001</v>
      </c>
      <c r="R40" s="1136">
        <v>0</v>
      </c>
      <c r="S40" s="1136">
        <f t="shared" si="20"/>
        <v>103461384.05000001</v>
      </c>
      <c r="T40" s="1136"/>
      <c r="U40" s="1136">
        <v>77285749</v>
      </c>
      <c r="V40" s="1136"/>
      <c r="W40" s="1139">
        <f t="shared" si="21"/>
        <v>26175635.050000012</v>
      </c>
      <c r="X40" s="1136">
        <v>3269107</v>
      </c>
      <c r="Y40" s="1140"/>
      <c r="Z40" s="1140">
        <v>262299.2</v>
      </c>
      <c r="AA40" s="1140"/>
      <c r="AB40" s="1136">
        <v>0</v>
      </c>
      <c r="AC40" s="1136"/>
      <c r="AD40" s="1136">
        <f t="shared" si="22"/>
        <v>106468191.85000001</v>
      </c>
      <c r="AE40" s="1136">
        <v>79581092</v>
      </c>
      <c r="AF40" s="1136"/>
      <c r="AG40" s="1172">
        <f t="shared" si="23"/>
        <v>26887099.850000009</v>
      </c>
    </row>
    <row r="41" spans="2:39">
      <c r="B41" s="1171" t="s">
        <v>1111</v>
      </c>
      <c r="C41" s="1140">
        <v>36526612.729999997</v>
      </c>
      <c r="D41" s="1136">
        <v>12804625.82</v>
      </c>
      <c r="E41" s="1140">
        <v>11900.2</v>
      </c>
      <c r="F41" s="1136">
        <v>0</v>
      </c>
      <c r="G41" s="1136">
        <f t="shared" si="17"/>
        <v>49319338.349999994</v>
      </c>
      <c r="H41" s="1136">
        <v>20261897</v>
      </c>
      <c r="I41" s="1138">
        <f t="shared" si="1"/>
        <v>29057441.349999994</v>
      </c>
      <c r="J41" s="1136">
        <v>46980</v>
      </c>
      <c r="K41" s="1140">
        <v>0</v>
      </c>
      <c r="L41" s="1136">
        <f>+'[119]DIV WISE SUMMERY'!H108</f>
        <v>0</v>
      </c>
      <c r="M41" s="1136">
        <f t="shared" si="18"/>
        <v>49366318.349999994</v>
      </c>
      <c r="N41" s="1136">
        <v>21957687</v>
      </c>
      <c r="O41" s="1139">
        <f t="shared" si="19"/>
        <v>27408631.349999994</v>
      </c>
      <c r="P41" s="1136">
        <v>0</v>
      </c>
      <c r="Q41" s="1140">
        <v>0</v>
      </c>
      <c r="R41" s="1136">
        <f>+'[119]DIV WISE SUMMERY'!N108</f>
        <v>0</v>
      </c>
      <c r="S41" s="1136">
        <f t="shared" si="20"/>
        <v>49366318.349999994</v>
      </c>
      <c r="T41" s="1136"/>
      <c r="U41" s="1136">
        <v>23461939</v>
      </c>
      <c r="V41" s="1136"/>
      <c r="W41" s="1139">
        <f t="shared" si="21"/>
        <v>25904379.349999994</v>
      </c>
      <c r="X41" s="1136">
        <v>0</v>
      </c>
      <c r="Y41" s="1140"/>
      <c r="Z41" s="1140">
        <v>0</v>
      </c>
      <c r="AA41" s="1140"/>
      <c r="AB41" s="1136">
        <f>+'[119]DIV WISE SUMMERY'!T108</f>
        <v>0</v>
      </c>
      <c r="AC41" s="1136"/>
      <c r="AD41" s="1136">
        <f t="shared" si="22"/>
        <v>49366318.349999994</v>
      </c>
      <c r="AE41" s="1136">
        <v>24966191</v>
      </c>
      <c r="AF41" s="1136"/>
      <c r="AG41" s="1172">
        <f t="shared" si="23"/>
        <v>24400127.349999994</v>
      </c>
    </row>
    <row r="42" spans="2:39">
      <c r="B42" s="1171" t="s">
        <v>1102</v>
      </c>
      <c r="C42" s="1140">
        <v>84812221.219999999</v>
      </c>
      <c r="D42" s="1136">
        <v>415246</v>
      </c>
      <c r="E42" s="1140">
        <v>657700.31999999995</v>
      </c>
      <c r="F42" s="1136">
        <v>0</v>
      </c>
      <c r="G42" s="1136">
        <f t="shared" si="17"/>
        <v>84569766.900000006</v>
      </c>
      <c r="H42" s="1136">
        <v>53344262</v>
      </c>
      <c r="I42" s="1138">
        <f t="shared" si="1"/>
        <v>31225504.900000006</v>
      </c>
      <c r="J42" s="1136">
        <v>6207699.5099999998</v>
      </c>
      <c r="K42" s="1140">
        <v>2660671.7599999998</v>
      </c>
      <c r="L42" s="1136">
        <f>+'[119]DIV WISE SUMMERY'!H113</f>
        <v>0</v>
      </c>
      <c r="M42" s="1136">
        <f t="shared" si="18"/>
        <v>88116794.650000006</v>
      </c>
      <c r="N42" s="1136">
        <v>54781905</v>
      </c>
      <c r="O42" s="1139">
        <f t="shared" si="19"/>
        <v>33334889.650000006</v>
      </c>
      <c r="P42" s="1136">
        <v>1968732</v>
      </c>
      <c r="Q42" s="1140">
        <v>5238609.97</v>
      </c>
      <c r="R42" s="1136">
        <f>+'[119]DIV WISE SUMMERY'!N113</f>
        <v>0</v>
      </c>
      <c r="S42" s="1136">
        <f t="shared" si="20"/>
        <v>84846916.680000007</v>
      </c>
      <c r="T42" s="1136"/>
      <c r="U42" s="1136">
        <v>53579597</v>
      </c>
      <c r="V42" s="1136"/>
      <c r="W42" s="1139">
        <f t="shared" si="21"/>
        <v>31267319.680000007</v>
      </c>
      <c r="X42" s="1136">
        <v>1384099.91</v>
      </c>
      <c r="Y42" s="1140"/>
      <c r="Z42" s="1140">
        <v>137221.54999999999</v>
      </c>
      <c r="AA42" s="1140"/>
      <c r="AB42" s="1136">
        <f>+'[119]DIV WISE SUMMERY'!T113</f>
        <v>0</v>
      </c>
      <c r="AC42" s="1136"/>
      <c r="AD42" s="1136">
        <f t="shared" si="22"/>
        <v>86093795.040000007</v>
      </c>
      <c r="AE42" s="1136">
        <v>56612355</v>
      </c>
      <c r="AF42" s="1136"/>
      <c r="AG42" s="1172">
        <f t="shared" si="23"/>
        <v>29481440.040000007</v>
      </c>
    </row>
    <row r="43" spans="2:39" ht="15.75" thickBot="1">
      <c r="B43" s="1173" t="s">
        <v>1101</v>
      </c>
      <c r="C43" s="1174">
        <v>91546653.099999994</v>
      </c>
      <c r="D43" s="1175">
        <f>14598951.82+27000</f>
        <v>14625951.82</v>
      </c>
      <c r="E43" s="1174">
        <v>14471567.050000001</v>
      </c>
      <c r="F43" s="1175">
        <v>19940.5</v>
      </c>
      <c r="G43" s="1180">
        <f t="shared" si="17"/>
        <v>91720978.36999999</v>
      </c>
      <c r="H43" s="1175">
        <v>56599367</v>
      </c>
      <c r="I43" s="1181">
        <f t="shared" si="1"/>
        <v>35121611.36999999</v>
      </c>
      <c r="J43" s="1175">
        <v>40837874.119999997</v>
      </c>
      <c r="K43" s="1174">
        <v>16551205.18</v>
      </c>
      <c r="L43" s="1175">
        <v>16586.64</v>
      </c>
      <c r="M43" s="1175">
        <f t="shared" si="18"/>
        <v>116024233.94999997</v>
      </c>
      <c r="N43" s="1175">
        <v>55357094</v>
      </c>
      <c r="O43" s="1182">
        <f t="shared" si="19"/>
        <v>60667139.949999973</v>
      </c>
      <c r="P43" s="1175">
        <v>37214852.289999999</v>
      </c>
      <c r="Q43" s="1174">
        <v>7520657.5</v>
      </c>
      <c r="R43" s="1175">
        <v>699438.13</v>
      </c>
      <c r="S43" s="1175">
        <f t="shared" si="20"/>
        <v>146417866.86999997</v>
      </c>
      <c r="T43" s="1175"/>
      <c r="U43" s="1175">
        <v>60760459</v>
      </c>
      <c r="V43" s="1183"/>
      <c r="W43" s="1182">
        <f t="shared" si="21"/>
        <v>85657407.869999975</v>
      </c>
      <c r="X43" s="1175">
        <f>10012+4333921.2</f>
        <v>4343933.2</v>
      </c>
      <c r="Y43" s="1174"/>
      <c r="Z43" s="1174">
        <f>5853.5+2327353.99</f>
        <v>2333207.4900000002</v>
      </c>
      <c r="AA43" s="1174"/>
      <c r="AB43" s="1175">
        <v>16680</v>
      </c>
      <c r="AC43" s="1175"/>
      <c r="AD43" s="1175">
        <f t="shared" si="22"/>
        <v>148445272.57999995</v>
      </c>
      <c r="AE43" s="1175">
        <v>73271299</v>
      </c>
      <c r="AF43" s="1183"/>
      <c r="AG43" s="1184">
        <f t="shared" si="23"/>
        <v>75173973.579999954</v>
      </c>
    </row>
    <row r="44" spans="2:39">
      <c r="B44" s="1141" t="s">
        <v>94</v>
      </c>
      <c r="C44" s="1142" t="s">
        <v>94</v>
      </c>
      <c r="D44" s="1143" t="s">
        <v>94</v>
      </c>
      <c r="E44" s="1142" t="s">
        <v>277</v>
      </c>
      <c r="F44" s="1143" t="s">
        <v>94</v>
      </c>
      <c r="G44" s="1143" t="s">
        <v>94</v>
      </c>
      <c r="H44" s="1156" t="s">
        <v>94</v>
      </c>
      <c r="I44" s="1138"/>
      <c r="J44" s="1143" t="s">
        <v>94</v>
      </c>
      <c r="K44" s="1142" t="s">
        <v>277</v>
      </c>
      <c r="L44" s="1143" t="s">
        <v>94</v>
      </c>
      <c r="M44" s="1143" t="s">
        <v>94</v>
      </c>
      <c r="N44" s="1156" t="s">
        <v>94</v>
      </c>
      <c r="O44" s="1138"/>
      <c r="P44" s="1143" t="s">
        <v>94</v>
      </c>
      <c r="Q44" s="1142" t="s">
        <v>277</v>
      </c>
      <c r="R44" s="1143" t="s">
        <v>94</v>
      </c>
      <c r="S44" s="1143" t="s">
        <v>94</v>
      </c>
      <c r="T44" s="1143"/>
      <c r="U44" s="1156" t="s">
        <v>94</v>
      </c>
      <c r="V44" s="1139"/>
      <c r="W44" s="1138"/>
      <c r="X44" s="1143" t="s">
        <v>94</v>
      </c>
      <c r="Y44" s="1142"/>
      <c r="Z44" s="1142" t="s">
        <v>277</v>
      </c>
      <c r="AA44" s="1142"/>
      <c r="AB44" s="1143" t="s">
        <v>94</v>
      </c>
      <c r="AC44" s="1143"/>
      <c r="AD44" s="1143" t="s">
        <v>94</v>
      </c>
      <c r="AE44" s="1156" t="s">
        <v>94</v>
      </c>
      <c r="AF44" s="1139"/>
      <c r="AG44" s="1138"/>
    </row>
    <row r="45" spans="2:39">
      <c r="B45" s="1145" t="s">
        <v>499</v>
      </c>
      <c r="C45" s="1146">
        <f>SUM(C37:C44)</f>
        <v>7712303443.1700001</v>
      </c>
      <c r="D45" s="1146">
        <f>SUM(D36:D44)</f>
        <v>2566054763.2700005</v>
      </c>
      <c r="E45" s="1146">
        <f>SUM(E36:E44)</f>
        <v>232457660.50999999</v>
      </c>
      <c r="F45" s="1146">
        <f>SUM(F36:F44)</f>
        <v>182128.18</v>
      </c>
      <c r="G45" s="1146">
        <f>SUM(G36:G44)</f>
        <v>10046082674.110001</v>
      </c>
      <c r="H45" s="1147">
        <f>SUM(H37:H44)</f>
        <v>4248255146</v>
      </c>
      <c r="I45" s="1147">
        <f t="shared" si="1"/>
        <v>5797827528.1100006</v>
      </c>
      <c r="J45" s="1146">
        <f>SUM(J36:J44)</f>
        <v>1718298592.4999998</v>
      </c>
      <c r="K45" s="1149">
        <f>SUM(K36:K44)</f>
        <v>90386143.539999992</v>
      </c>
      <c r="L45" s="1149">
        <f>SUM(L36:L44)</f>
        <v>-2719123.15</v>
      </c>
      <c r="M45" s="1146">
        <f>+G45+J45-K45+L45</f>
        <v>11671275999.92</v>
      </c>
      <c r="N45" s="1147">
        <f>SUM(N37:N44)</f>
        <v>5228969637</v>
      </c>
      <c r="O45" s="1147">
        <f>+M45-N45</f>
        <v>6442306362.9200001</v>
      </c>
      <c r="P45" s="1146">
        <f>SUM(P36:P44)</f>
        <v>86275510.25</v>
      </c>
      <c r="Q45" s="1149">
        <f>SUM(Q36:Q44)</f>
        <v>190327221.11000001</v>
      </c>
      <c r="R45" s="1149">
        <f>SUM(R36:R44)</f>
        <v>699438.13</v>
      </c>
      <c r="S45" s="1146">
        <f>+M45+P45-Q45+R45</f>
        <v>11567923727.189999</v>
      </c>
      <c r="T45" s="1146"/>
      <c r="U45" s="1147">
        <f>SUM(U37:U44)</f>
        <v>6067991680</v>
      </c>
      <c r="V45" s="1147"/>
      <c r="W45" s="1147">
        <f>+S45-U45</f>
        <v>5499932047.1899986</v>
      </c>
      <c r="X45" s="1146">
        <f>SUM(X36:X44)</f>
        <v>35968190.350000001</v>
      </c>
      <c r="Y45" s="1146"/>
      <c r="Z45" s="1149">
        <f>SUM(Z36:Z44)</f>
        <v>266063661.45000002</v>
      </c>
      <c r="AA45" s="1149"/>
      <c r="AB45" s="1149">
        <f>SUM(AB36:AB44)</f>
        <v>16680</v>
      </c>
      <c r="AC45" s="1149"/>
      <c r="AD45" s="1146">
        <f>+S45+X45-Z45+AB45</f>
        <v>11337844936.089998</v>
      </c>
      <c r="AE45" s="1147">
        <f>SUM(AE37:AE44)</f>
        <v>6382081294</v>
      </c>
      <c r="AF45" s="1147"/>
      <c r="AG45" s="1147">
        <f>+AD45-AE45</f>
        <v>4955763642.0899982</v>
      </c>
    </row>
    <row r="46" spans="2:39">
      <c r="B46" s="1125" t="s">
        <v>94</v>
      </c>
      <c r="C46" s="1137"/>
      <c r="D46" s="1136" t="s">
        <v>94</v>
      </c>
      <c r="E46" s="1137" t="s">
        <v>94</v>
      </c>
      <c r="F46" s="1136" t="s">
        <v>94</v>
      </c>
      <c r="G46" s="1136" t="s">
        <v>94</v>
      </c>
      <c r="H46" s="1155"/>
      <c r="I46" s="1139"/>
      <c r="J46" s="1136" t="s">
        <v>94</v>
      </c>
      <c r="K46" s="1137" t="s">
        <v>94</v>
      </c>
      <c r="L46" s="1136" t="s">
        <v>94</v>
      </c>
      <c r="M46" s="1136" t="s">
        <v>94</v>
      </c>
      <c r="N46" s="1155"/>
      <c r="O46" s="1139"/>
      <c r="P46" s="1136" t="s">
        <v>94</v>
      </c>
      <c r="Q46" s="1137" t="s">
        <v>94</v>
      </c>
      <c r="R46" s="1136" t="s">
        <v>94</v>
      </c>
      <c r="S46" s="1136" t="s">
        <v>94</v>
      </c>
      <c r="T46" s="1144"/>
      <c r="U46" s="1155"/>
      <c r="V46" s="1155"/>
      <c r="W46" s="1139"/>
      <c r="X46" s="1136" t="s">
        <v>94</v>
      </c>
      <c r="Y46" s="1140"/>
      <c r="Z46" s="1137" t="s">
        <v>94</v>
      </c>
      <c r="AA46" s="1137"/>
      <c r="AB46" s="1136" t="s">
        <v>94</v>
      </c>
      <c r="AC46" s="1136"/>
      <c r="AD46" s="1136" t="s">
        <v>94</v>
      </c>
      <c r="AE46" s="1155"/>
      <c r="AF46" s="1155"/>
      <c r="AG46" s="1139"/>
    </row>
    <row r="47" spans="2:39">
      <c r="B47" s="1157" t="s">
        <v>1112</v>
      </c>
      <c r="C47" s="1136">
        <f>+C45+C34+C20</f>
        <v>22303847772.419998</v>
      </c>
      <c r="D47" s="1137">
        <f>D45+D34+D20</f>
        <v>3933058183.7800002</v>
      </c>
      <c r="E47" s="1136">
        <f>+E45+E34+E20</f>
        <v>263535000.71000001</v>
      </c>
      <c r="F47" s="1136">
        <f>+F45+F34+F20</f>
        <v>0</v>
      </c>
      <c r="G47" s="1146">
        <f>+G45+G34+G20</f>
        <v>25973370955.489998</v>
      </c>
      <c r="H47" s="1136">
        <f>+H45+H34+H20</f>
        <v>9868302965</v>
      </c>
      <c r="I47" s="1147">
        <f t="shared" si="1"/>
        <v>16105067990.489998</v>
      </c>
      <c r="J47" s="1158">
        <f>J45+J34+J20</f>
        <v>3718571104.4499998</v>
      </c>
      <c r="K47" s="1149">
        <f>+K45+K34+K20</f>
        <v>157218904.04000002</v>
      </c>
      <c r="L47" s="1149">
        <f>+L45+L34+L20</f>
        <v>0</v>
      </c>
      <c r="M47" s="1146">
        <f>+G47+J47-K47+L47</f>
        <v>29534723155.899998</v>
      </c>
      <c r="N47" s="1146">
        <f>+N45+N34+N20</f>
        <v>11455435844</v>
      </c>
      <c r="O47" s="1147">
        <f>+M47-N47</f>
        <v>18079287311.899998</v>
      </c>
      <c r="P47" s="1158">
        <f>P45+P34+P20</f>
        <v>1397826554.4300001</v>
      </c>
      <c r="Q47" s="1149">
        <f>+Q45+Q34+Q20</f>
        <v>367919514.82999998</v>
      </c>
      <c r="R47" s="1149">
        <f>+R45+R34+R20</f>
        <v>0</v>
      </c>
      <c r="S47" s="1146">
        <f>+M47+P47-Q47+R47</f>
        <v>30564630195.499996</v>
      </c>
      <c r="T47" s="1146"/>
      <c r="U47" s="1146">
        <f>+U45+U34+U20</f>
        <v>12781781699</v>
      </c>
      <c r="V47" s="1146"/>
      <c r="W47" s="1147">
        <f>+S47-U47</f>
        <v>17782848496.499996</v>
      </c>
      <c r="X47" s="1158">
        <f>X45+X34+X20</f>
        <v>1300533747.4999998</v>
      </c>
      <c r="Y47" s="1158"/>
      <c r="Z47" s="1149">
        <f>+Z45+Z34+Z20</f>
        <v>398335334.42000002</v>
      </c>
      <c r="AA47" s="1149"/>
      <c r="AB47" s="1149">
        <f>+AB45+AB34+AB20</f>
        <v>-37300000</v>
      </c>
      <c r="AC47" s="1149"/>
      <c r="AD47" s="1146">
        <f>+S47+X47-Z47+AB47</f>
        <v>31429528608.579998</v>
      </c>
      <c r="AE47" s="1146">
        <f>+AE45+AE34+AE20</f>
        <v>13759125791</v>
      </c>
      <c r="AF47" s="1146"/>
      <c r="AG47" s="1147">
        <f>+AD47-AE47</f>
        <v>17670402817.579998</v>
      </c>
    </row>
    <row r="48" spans="2:39" ht="15.75" thickBot="1">
      <c r="B48" s="1159" t="s">
        <v>94</v>
      </c>
      <c r="C48" s="1160" t="s">
        <v>94</v>
      </c>
      <c r="D48" s="1161" t="s">
        <v>94</v>
      </c>
      <c r="E48" s="1160" t="s">
        <v>94</v>
      </c>
      <c r="F48" s="1161" t="s">
        <v>94</v>
      </c>
      <c r="G48" s="1161" t="s">
        <v>94</v>
      </c>
      <c r="H48" s="1161"/>
      <c r="I48" s="1161"/>
      <c r="J48" s="1161" t="s">
        <v>94</v>
      </c>
      <c r="K48" s="1160" t="s">
        <v>94</v>
      </c>
      <c r="L48" s="1161" t="s">
        <v>94</v>
      </c>
      <c r="M48" s="1161" t="s">
        <v>94</v>
      </c>
      <c r="N48" s="1161"/>
      <c r="O48" s="1161"/>
      <c r="P48" s="1161" t="s">
        <v>94</v>
      </c>
      <c r="Q48" s="1160" t="s">
        <v>94</v>
      </c>
      <c r="R48" s="1161" t="s">
        <v>94</v>
      </c>
      <c r="S48" s="1161" t="s">
        <v>94</v>
      </c>
      <c r="T48" s="1161"/>
      <c r="U48" s="1161"/>
      <c r="V48" s="1161"/>
      <c r="W48" s="1161"/>
      <c r="X48" s="1161" t="s">
        <v>94</v>
      </c>
      <c r="Y48" s="1160"/>
      <c r="Z48" s="1160" t="s">
        <v>94</v>
      </c>
      <c r="AA48" s="1160"/>
      <c r="AB48" s="1161" t="s">
        <v>94</v>
      </c>
      <c r="AC48" s="1161"/>
      <c r="AD48" s="1161" t="s">
        <v>94</v>
      </c>
      <c r="AE48" s="1161"/>
      <c r="AF48" s="1161"/>
      <c r="AG48" s="1161"/>
    </row>
    <row r="49" spans="4:16">
      <c r="H49" s="1162"/>
      <c r="I49" s="1162"/>
    </row>
    <row r="50" spans="4:16">
      <c r="D50" s="1109" t="s">
        <v>94</v>
      </c>
      <c r="F50" s="1109" t="s">
        <v>94</v>
      </c>
      <c r="G50" s="1163" t="s">
        <v>94</v>
      </c>
    </row>
    <row r="51" spans="4:16">
      <c r="F51" s="1109" t="s">
        <v>94</v>
      </c>
    </row>
    <row r="61" spans="4:16">
      <c r="P61" s="1109" t="s">
        <v>1113</v>
      </c>
    </row>
    <row r="64" spans="4:16">
      <c r="D64" s="1109" t="s">
        <v>94</v>
      </c>
    </row>
    <row r="65" spans="4:4">
      <c r="D65" s="1109" t="s">
        <v>94</v>
      </c>
    </row>
    <row r="66" spans="4:4">
      <c r="D66" s="1109" t="s">
        <v>94</v>
      </c>
    </row>
  </sheetData>
  <mergeCells count="3">
    <mergeCell ref="B1:AG1"/>
    <mergeCell ref="Q3:T3"/>
    <mergeCell ref="Q2:U2"/>
  </mergeCells>
  <pageMargins left="0.5" right="0.25" top="1" bottom="1" header="0.53" footer="0.5"/>
  <pageSetup paperSize="126" scale="90" orientation="portrait" horizontalDpi="180" verticalDpi="180" r:id="rId1"/>
  <headerFooter alignWithMargins="0"/>
</worksheet>
</file>

<file path=xl/worksheets/sheet143.xml><?xml version="1.0" encoding="utf-8"?>
<worksheet xmlns="http://schemas.openxmlformats.org/spreadsheetml/2006/main" xmlns:r="http://schemas.openxmlformats.org/officeDocument/2006/relationships">
  <sheetPr codeName="Sheet122">
    <tabColor theme="1" tint="4.9989318521683403E-2"/>
    <pageSetUpPr fitToPage="1"/>
  </sheetPr>
  <dimension ref="B1:AN57"/>
  <sheetViews>
    <sheetView showGridLines="0" zoomScale="80" zoomScaleNormal="80" workbookViewId="0">
      <selection activeCell="A37" sqref="A37:XFD37"/>
    </sheetView>
  </sheetViews>
  <sheetFormatPr defaultRowHeight="12.75"/>
  <cols>
    <col min="1" max="1" width="1.140625" style="2853" customWidth="1"/>
    <col min="2" max="2" width="44.42578125" style="2853" customWidth="1"/>
    <col min="3" max="4" width="19.85546875" style="2853" hidden="1" customWidth="1"/>
    <col min="5" max="5" width="25.85546875" style="2853" hidden="1" customWidth="1"/>
    <col min="6" max="6" width="9.140625" style="2853" hidden="1" customWidth="1"/>
    <col min="7" max="7" width="3" style="2853" hidden="1" customWidth="1"/>
    <col min="8" max="8" width="18.140625" style="2853" hidden="1" customWidth="1"/>
    <col min="9" max="9" width="19.140625" style="2853" hidden="1" customWidth="1"/>
    <col min="10" max="10" width="20.7109375" style="2853" hidden="1" customWidth="1"/>
    <col min="11" max="11" width="18.5703125" style="2853" hidden="1" customWidth="1"/>
    <col min="12" max="12" width="26.42578125" style="2853" hidden="1" customWidth="1"/>
    <col min="13" max="13" width="19.7109375" style="2853" hidden="1" customWidth="1"/>
    <col min="14" max="14" width="3" style="2853" customWidth="1"/>
    <col min="15" max="15" width="19.28515625" style="2853" hidden="1" customWidth="1"/>
    <col min="16" max="16" width="22.42578125" style="2853" hidden="1" customWidth="1"/>
    <col min="17" max="17" width="23.28515625" style="2853" hidden="1" customWidth="1"/>
    <col min="18" max="18" width="18.5703125" style="2853" hidden="1" customWidth="1"/>
    <col min="19" max="19" width="26.42578125" style="2853" hidden="1" customWidth="1"/>
    <col min="20" max="20" width="19.7109375" style="2853" hidden="1" customWidth="1"/>
    <col min="21" max="21" width="19.28515625" style="2853" hidden="1" customWidth="1"/>
    <col min="22" max="22" width="21.5703125" style="2853" hidden="1" customWidth="1"/>
    <col min="23" max="23" width="23.42578125" style="2853" hidden="1" customWidth="1"/>
    <col min="24" max="24" width="19.28515625" style="2853" hidden="1" customWidth="1"/>
    <col min="25" max="25" width="20.28515625" style="2853" hidden="1" customWidth="1"/>
    <col min="26" max="26" width="20.5703125" style="2853" hidden="1" customWidth="1"/>
    <col min="27" max="27" width="17.140625" style="2853" hidden="1" customWidth="1"/>
    <col min="28" max="28" width="17.28515625" style="2853" hidden="1" customWidth="1"/>
    <col min="29" max="29" width="18.85546875" style="2853" hidden="1" customWidth="1"/>
    <col min="30" max="30" width="18.5703125" style="2853" customWidth="1"/>
    <col min="31" max="31" width="20.28515625" style="2853" hidden="1" customWidth="1"/>
    <col min="32" max="32" width="22" style="2853" hidden="1" customWidth="1"/>
    <col min="33" max="33" width="15" style="2853" customWidth="1"/>
    <col min="34" max="34" width="18.28515625" style="2853" bestFit="1" customWidth="1"/>
    <col min="35" max="35" width="19.5703125" style="2853" bestFit="1" customWidth="1"/>
    <col min="36" max="36" width="18.140625" style="2853" bestFit="1" customWidth="1"/>
    <col min="37" max="37" width="21" style="2853" bestFit="1" customWidth="1"/>
    <col min="38" max="38" width="22.28515625" style="2853" bestFit="1" customWidth="1"/>
    <col min="39" max="39" width="9.140625" style="2853"/>
    <col min="40" max="40" width="13" style="2853" bestFit="1" customWidth="1"/>
    <col min="41" max="256" width="9.140625" style="2853"/>
    <col min="257" max="257" width="1.140625" style="2853" customWidth="1"/>
    <col min="258" max="258" width="44.42578125" style="2853" customWidth="1"/>
    <col min="259" max="269" width="0" style="2853" hidden="1" customWidth="1"/>
    <col min="270" max="270" width="3" style="2853" customWidth="1"/>
    <col min="271" max="285" width="0" style="2853" hidden="1" customWidth="1"/>
    <col min="286" max="286" width="18.5703125" style="2853" customWidth="1"/>
    <col min="287" max="288" width="0" style="2853" hidden="1" customWidth="1"/>
    <col min="289" max="289" width="15" style="2853" customWidth="1"/>
    <col min="290" max="290" width="18.28515625" style="2853" bestFit="1" customWidth="1"/>
    <col min="291" max="291" width="19.5703125" style="2853" bestFit="1" customWidth="1"/>
    <col min="292" max="292" width="18.140625" style="2853" bestFit="1" customWidth="1"/>
    <col min="293" max="293" width="21" style="2853" bestFit="1" customWidth="1"/>
    <col min="294" max="294" width="22.28515625" style="2853" bestFit="1" customWidth="1"/>
    <col min="295" max="512" width="9.140625" style="2853"/>
    <col min="513" max="513" width="1.140625" style="2853" customWidth="1"/>
    <col min="514" max="514" width="44.42578125" style="2853" customWidth="1"/>
    <col min="515" max="525" width="0" style="2853" hidden="1" customWidth="1"/>
    <col min="526" max="526" width="3" style="2853" customWidth="1"/>
    <col min="527" max="541" width="0" style="2853" hidden="1" customWidth="1"/>
    <col min="542" max="542" width="18.5703125" style="2853" customWidth="1"/>
    <col min="543" max="544" width="0" style="2853" hidden="1" customWidth="1"/>
    <col min="545" max="545" width="15" style="2853" customWidth="1"/>
    <col min="546" max="546" width="18.28515625" style="2853" bestFit="1" customWidth="1"/>
    <col min="547" max="547" width="19.5703125" style="2853" bestFit="1" customWidth="1"/>
    <col min="548" max="548" width="18.140625" style="2853" bestFit="1" customWidth="1"/>
    <col min="549" max="549" width="21" style="2853" bestFit="1" customWidth="1"/>
    <col min="550" max="550" width="22.28515625" style="2853" bestFit="1" customWidth="1"/>
    <col min="551" max="768" width="9.140625" style="2853"/>
    <col min="769" max="769" width="1.140625" style="2853" customWidth="1"/>
    <col min="770" max="770" width="44.42578125" style="2853" customWidth="1"/>
    <col min="771" max="781" width="0" style="2853" hidden="1" customWidth="1"/>
    <col min="782" max="782" width="3" style="2853" customWidth="1"/>
    <col min="783" max="797" width="0" style="2853" hidden="1" customWidth="1"/>
    <col min="798" max="798" width="18.5703125" style="2853" customWidth="1"/>
    <col min="799" max="800" width="0" style="2853" hidden="1" customWidth="1"/>
    <col min="801" max="801" width="15" style="2853" customWidth="1"/>
    <col min="802" max="802" width="18.28515625" style="2853" bestFit="1" customWidth="1"/>
    <col min="803" max="803" width="19.5703125" style="2853" bestFit="1" customWidth="1"/>
    <col min="804" max="804" width="18.140625" style="2853" bestFit="1" customWidth="1"/>
    <col min="805" max="805" width="21" style="2853" bestFit="1" customWidth="1"/>
    <col min="806" max="806" width="22.28515625" style="2853" bestFit="1" customWidth="1"/>
    <col min="807" max="1024" width="9.140625" style="2853"/>
    <col min="1025" max="1025" width="1.140625" style="2853" customWidth="1"/>
    <col min="1026" max="1026" width="44.42578125" style="2853" customWidth="1"/>
    <col min="1027" max="1037" width="0" style="2853" hidden="1" customWidth="1"/>
    <col min="1038" max="1038" width="3" style="2853" customWidth="1"/>
    <col min="1039" max="1053" width="0" style="2853" hidden="1" customWidth="1"/>
    <col min="1054" max="1054" width="18.5703125" style="2853" customWidth="1"/>
    <col min="1055" max="1056" width="0" style="2853" hidden="1" customWidth="1"/>
    <col min="1057" max="1057" width="15" style="2853" customWidth="1"/>
    <col min="1058" max="1058" width="18.28515625" style="2853" bestFit="1" customWidth="1"/>
    <col min="1059" max="1059" width="19.5703125" style="2853" bestFit="1" customWidth="1"/>
    <col min="1060" max="1060" width="18.140625" style="2853" bestFit="1" customWidth="1"/>
    <col min="1061" max="1061" width="21" style="2853" bestFit="1" customWidth="1"/>
    <col min="1062" max="1062" width="22.28515625" style="2853" bestFit="1" customWidth="1"/>
    <col min="1063" max="1280" width="9.140625" style="2853"/>
    <col min="1281" max="1281" width="1.140625" style="2853" customWidth="1"/>
    <col min="1282" max="1282" width="44.42578125" style="2853" customWidth="1"/>
    <col min="1283" max="1293" width="0" style="2853" hidden="1" customWidth="1"/>
    <col min="1294" max="1294" width="3" style="2853" customWidth="1"/>
    <col min="1295" max="1309" width="0" style="2853" hidden="1" customWidth="1"/>
    <col min="1310" max="1310" width="18.5703125" style="2853" customWidth="1"/>
    <col min="1311" max="1312" width="0" style="2853" hidden="1" customWidth="1"/>
    <col min="1313" max="1313" width="15" style="2853" customWidth="1"/>
    <col min="1314" max="1314" width="18.28515625" style="2853" bestFit="1" customWidth="1"/>
    <col min="1315" max="1315" width="19.5703125" style="2853" bestFit="1" customWidth="1"/>
    <col min="1316" max="1316" width="18.140625" style="2853" bestFit="1" customWidth="1"/>
    <col min="1317" max="1317" width="21" style="2853" bestFit="1" customWidth="1"/>
    <col min="1318" max="1318" width="22.28515625" style="2853" bestFit="1" customWidth="1"/>
    <col min="1319" max="1536" width="9.140625" style="2853"/>
    <col min="1537" max="1537" width="1.140625" style="2853" customWidth="1"/>
    <col min="1538" max="1538" width="44.42578125" style="2853" customWidth="1"/>
    <col min="1539" max="1549" width="0" style="2853" hidden="1" customWidth="1"/>
    <col min="1550" max="1550" width="3" style="2853" customWidth="1"/>
    <col min="1551" max="1565" width="0" style="2853" hidden="1" customWidth="1"/>
    <col min="1566" max="1566" width="18.5703125" style="2853" customWidth="1"/>
    <col min="1567" max="1568" width="0" style="2853" hidden="1" customWidth="1"/>
    <col min="1569" max="1569" width="15" style="2853" customWidth="1"/>
    <col min="1570" max="1570" width="18.28515625" style="2853" bestFit="1" customWidth="1"/>
    <col min="1571" max="1571" width="19.5703125" style="2853" bestFit="1" customWidth="1"/>
    <col min="1572" max="1572" width="18.140625" style="2853" bestFit="1" customWidth="1"/>
    <col min="1573" max="1573" width="21" style="2853" bestFit="1" customWidth="1"/>
    <col min="1574" max="1574" width="22.28515625" style="2853" bestFit="1" customWidth="1"/>
    <col min="1575" max="1792" width="9.140625" style="2853"/>
    <col min="1793" max="1793" width="1.140625" style="2853" customWidth="1"/>
    <col min="1794" max="1794" width="44.42578125" style="2853" customWidth="1"/>
    <col min="1795" max="1805" width="0" style="2853" hidden="1" customWidth="1"/>
    <col min="1806" max="1806" width="3" style="2853" customWidth="1"/>
    <col min="1807" max="1821" width="0" style="2853" hidden="1" customWidth="1"/>
    <col min="1822" max="1822" width="18.5703125" style="2853" customWidth="1"/>
    <col min="1823" max="1824" width="0" style="2853" hidden="1" customWidth="1"/>
    <col min="1825" max="1825" width="15" style="2853" customWidth="1"/>
    <col min="1826" max="1826" width="18.28515625" style="2853" bestFit="1" customWidth="1"/>
    <col min="1827" max="1827" width="19.5703125" style="2853" bestFit="1" customWidth="1"/>
    <col min="1828" max="1828" width="18.140625" style="2853" bestFit="1" customWidth="1"/>
    <col min="1829" max="1829" width="21" style="2853" bestFit="1" customWidth="1"/>
    <col min="1830" max="1830" width="22.28515625" style="2853" bestFit="1" customWidth="1"/>
    <col min="1831" max="2048" width="9.140625" style="2853"/>
    <col min="2049" max="2049" width="1.140625" style="2853" customWidth="1"/>
    <col min="2050" max="2050" width="44.42578125" style="2853" customWidth="1"/>
    <col min="2051" max="2061" width="0" style="2853" hidden="1" customWidth="1"/>
    <col min="2062" max="2062" width="3" style="2853" customWidth="1"/>
    <col min="2063" max="2077" width="0" style="2853" hidden="1" customWidth="1"/>
    <col min="2078" max="2078" width="18.5703125" style="2853" customWidth="1"/>
    <col min="2079" max="2080" width="0" style="2853" hidden="1" customWidth="1"/>
    <col min="2081" max="2081" width="15" style="2853" customWidth="1"/>
    <col min="2082" max="2082" width="18.28515625" style="2853" bestFit="1" customWidth="1"/>
    <col min="2083" max="2083" width="19.5703125" style="2853" bestFit="1" customWidth="1"/>
    <col min="2084" max="2084" width="18.140625" style="2853" bestFit="1" customWidth="1"/>
    <col min="2085" max="2085" width="21" style="2853" bestFit="1" customWidth="1"/>
    <col min="2086" max="2086" width="22.28515625" style="2853" bestFit="1" customWidth="1"/>
    <col min="2087" max="2304" width="9.140625" style="2853"/>
    <col min="2305" max="2305" width="1.140625" style="2853" customWidth="1"/>
    <col min="2306" max="2306" width="44.42578125" style="2853" customWidth="1"/>
    <col min="2307" max="2317" width="0" style="2853" hidden="1" customWidth="1"/>
    <col min="2318" max="2318" width="3" style="2853" customWidth="1"/>
    <col min="2319" max="2333" width="0" style="2853" hidden="1" customWidth="1"/>
    <col min="2334" max="2334" width="18.5703125" style="2853" customWidth="1"/>
    <col min="2335" max="2336" width="0" style="2853" hidden="1" customWidth="1"/>
    <col min="2337" max="2337" width="15" style="2853" customWidth="1"/>
    <col min="2338" max="2338" width="18.28515625" style="2853" bestFit="1" customWidth="1"/>
    <col min="2339" max="2339" width="19.5703125" style="2853" bestFit="1" customWidth="1"/>
    <col min="2340" max="2340" width="18.140625" style="2853" bestFit="1" customWidth="1"/>
    <col min="2341" max="2341" width="21" style="2853" bestFit="1" customWidth="1"/>
    <col min="2342" max="2342" width="22.28515625" style="2853" bestFit="1" customWidth="1"/>
    <col min="2343" max="2560" width="9.140625" style="2853"/>
    <col min="2561" max="2561" width="1.140625" style="2853" customWidth="1"/>
    <col min="2562" max="2562" width="44.42578125" style="2853" customWidth="1"/>
    <col min="2563" max="2573" width="0" style="2853" hidden="1" customWidth="1"/>
    <col min="2574" max="2574" width="3" style="2853" customWidth="1"/>
    <col min="2575" max="2589" width="0" style="2853" hidden="1" customWidth="1"/>
    <col min="2590" max="2590" width="18.5703125" style="2853" customWidth="1"/>
    <col min="2591" max="2592" width="0" style="2853" hidden="1" customWidth="1"/>
    <col min="2593" max="2593" width="15" style="2853" customWidth="1"/>
    <col min="2594" max="2594" width="18.28515625" style="2853" bestFit="1" customWidth="1"/>
    <col min="2595" max="2595" width="19.5703125" style="2853" bestFit="1" customWidth="1"/>
    <col min="2596" max="2596" width="18.140625" style="2853" bestFit="1" customWidth="1"/>
    <col min="2597" max="2597" width="21" style="2853" bestFit="1" customWidth="1"/>
    <col min="2598" max="2598" width="22.28515625" style="2853" bestFit="1" customWidth="1"/>
    <col min="2599" max="2816" width="9.140625" style="2853"/>
    <col min="2817" max="2817" width="1.140625" style="2853" customWidth="1"/>
    <col min="2818" max="2818" width="44.42578125" style="2853" customWidth="1"/>
    <col min="2819" max="2829" width="0" style="2853" hidden="1" customWidth="1"/>
    <col min="2830" max="2830" width="3" style="2853" customWidth="1"/>
    <col min="2831" max="2845" width="0" style="2853" hidden="1" customWidth="1"/>
    <col min="2846" max="2846" width="18.5703125" style="2853" customWidth="1"/>
    <col min="2847" max="2848" width="0" style="2853" hidden="1" customWidth="1"/>
    <col min="2849" max="2849" width="15" style="2853" customWidth="1"/>
    <col min="2850" max="2850" width="18.28515625" style="2853" bestFit="1" customWidth="1"/>
    <col min="2851" max="2851" width="19.5703125" style="2853" bestFit="1" customWidth="1"/>
    <col min="2852" max="2852" width="18.140625" style="2853" bestFit="1" customWidth="1"/>
    <col min="2853" max="2853" width="21" style="2853" bestFit="1" customWidth="1"/>
    <col min="2854" max="2854" width="22.28515625" style="2853" bestFit="1" customWidth="1"/>
    <col min="2855" max="3072" width="9.140625" style="2853"/>
    <col min="3073" max="3073" width="1.140625" style="2853" customWidth="1"/>
    <col min="3074" max="3074" width="44.42578125" style="2853" customWidth="1"/>
    <col min="3075" max="3085" width="0" style="2853" hidden="1" customWidth="1"/>
    <col min="3086" max="3086" width="3" style="2853" customWidth="1"/>
    <col min="3087" max="3101" width="0" style="2853" hidden="1" customWidth="1"/>
    <col min="3102" max="3102" width="18.5703125" style="2853" customWidth="1"/>
    <col min="3103" max="3104" width="0" style="2853" hidden="1" customWidth="1"/>
    <col min="3105" max="3105" width="15" style="2853" customWidth="1"/>
    <col min="3106" max="3106" width="18.28515625" style="2853" bestFit="1" customWidth="1"/>
    <col min="3107" max="3107" width="19.5703125" style="2853" bestFit="1" customWidth="1"/>
    <col min="3108" max="3108" width="18.140625" style="2853" bestFit="1" customWidth="1"/>
    <col min="3109" max="3109" width="21" style="2853" bestFit="1" customWidth="1"/>
    <col min="3110" max="3110" width="22.28515625" style="2853" bestFit="1" customWidth="1"/>
    <col min="3111" max="3328" width="9.140625" style="2853"/>
    <col min="3329" max="3329" width="1.140625" style="2853" customWidth="1"/>
    <col min="3330" max="3330" width="44.42578125" style="2853" customWidth="1"/>
    <col min="3331" max="3341" width="0" style="2853" hidden="1" customWidth="1"/>
    <col min="3342" max="3342" width="3" style="2853" customWidth="1"/>
    <col min="3343" max="3357" width="0" style="2853" hidden="1" customWidth="1"/>
    <col min="3358" max="3358" width="18.5703125" style="2853" customWidth="1"/>
    <col min="3359" max="3360" width="0" style="2853" hidden="1" customWidth="1"/>
    <col min="3361" max="3361" width="15" style="2853" customWidth="1"/>
    <col min="3362" max="3362" width="18.28515625" style="2853" bestFit="1" customWidth="1"/>
    <col min="3363" max="3363" width="19.5703125" style="2853" bestFit="1" customWidth="1"/>
    <col min="3364" max="3364" width="18.140625" style="2853" bestFit="1" customWidth="1"/>
    <col min="3365" max="3365" width="21" style="2853" bestFit="1" customWidth="1"/>
    <col min="3366" max="3366" width="22.28515625" style="2853" bestFit="1" customWidth="1"/>
    <col min="3367" max="3584" width="9.140625" style="2853"/>
    <col min="3585" max="3585" width="1.140625" style="2853" customWidth="1"/>
    <col min="3586" max="3586" width="44.42578125" style="2853" customWidth="1"/>
    <col min="3587" max="3597" width="0" style="2853" hidden="1" customWidth="1"/>
    <col min="3598" max="3598" width="3" style="2853" customWidth="1"/>
    <col min="3599" max="3613" width="0" style="2853" hidden="1" customWidth="1"/>
    <col min="3614" max="3614" width="18.5703125" style="2853" customWidth="1"/>
    <col min="3615" max="3616" width="0" style="2853" hidden="1" customWidth="1"/>
    <col min="3617" max="3617" width="15" style="2853" customWidth="1"/>
    <col min="3618" max="3618" width="18.28515625" style="2853" bestFit="1" customWidth="1"/>
    <col min="3619" max="3619" width="19.5703125" style="2853" bestFit="1" customWidth="1"/>
    <col min="3620" max="3620" width="18.140625" style="2853" bestFit="1" customWidth="1"/>
    <col min="3621" max="3621" width="21" style="2853" bestFit="1" customWidth="1"/>
    <col min="3622" max="3622" width="22.28515625" style="2853" bestFit="1" customWidth="1"/>
    <col min="3623" max="3840" width="9.140625" style="2853"/>
    <col min="3841" max="3841" width="1.140625" style="2853" customWidth="1"/>
    <col min="3842" max="3842" width="44.42578125" style="2853" customWidth="1"/>
    <col min="3843" max="3853" width="0" style="2853" hidden="1" customWidth="1"/>
    <col min="3854" max="3854" width="3" style="2853" customWidth="1"/>
    <col min="3855" max="3869" width="0" style="2853" hidden="1" customWidth="1"/>
    <col min="3870" max="3870" width="18.5703125" style="2853" customWidth="1"/>
    <col min="3871" max="3872" width="0" style="2853" hidden="1" customWidth="1"/>
    <col min="3873" max="3873" width="15" style="2853" customWidth="1"/>
    <col min="3874" max="3874" width="18.28515625" style="2853" bestFit="1" customWidth="1"/>
    <col min="3875" max="3875" width="19.5703125" style="2853" bestFit="1" customWidth="1"/>
    <col min="3876" max="3876" width="18.140625" style="2853" bestFit="1" customWidth="1"/>
    <col min="3877" max="3877" width="21" style="2853" bestFit="1" customWidth="1"/>
    <col min="3878" max="3878" width="22.28515625" style="2853" bestFit="1" customWidth="1"/>
    <col min="3879" max="4096" width="9.140625" style="2853"/>
    <col min="4097" max="4097" width="1.140625" style="2853" customWidth="1"/>
    <col min="4098" max="4098" width="44.42578125" style="2853" customWidth="1"/>
    <col min="4099" max="4109" width="0" style="2853" hidden="1" customWidth="1"/>
    <col min="4110" max="4110" width="3" style="2853" customWidth="1"/>
    <col min="4111" max="4125" width="0" style="2853" hidden="1" customWidth="1"/>
    <col min="4126" max="4126" width="18.5703125" style="2853" customWidth="1"/>
    <col min="4127" max="4128" width="0" style="2853" hidden="1" customWidth="1"/>
    <col min="4129" max="4129" width="15" style="2853" customWidth="1"/>
    <col min="4130" max="4130" width="18.28515625" style="2853" bestFit="1" customWidth="1"/>
    <col min="4131" max="4131" width="19.5703125" style="2853" bestFit="1" customWidth="1"/>
    <col min="4132" max="4132" width="18.140625" style="2853" bestFit="1" customWidth="1"/>
    <col min="4133" max="4133" width="21" style="2853" bestFit="1" customWidth="1"/>
    <col min="4134" max="4134" width="22.28515625" style="2853" bestFit="1" customWidth="1"/>
    <col min="4135" max="4352" width="9.140625" style="2853"/>
    <col min="4353" max="4353" width="1.140625" style="2853" customWidth="1"/>
    <col min="4354" max="4354" width="44.42578125" style="2853" customWidth="1"/>
    <col min="4355" max="4365" width="0" style="2853" hidden="1" customWidth="1"/>
    <col min="4366" max="4366" width="3" style="2853" customWidth="1"/>
    <col min="4367" max="4381" width="0" style="2853" hidden="1" customWidth="1"/>
    <col min="4382" max="4382" width="18.5703125" style="2853" customWidth="1"/>
    <col min="4383" max="4384" width="0" style="2853" hidden="1" customWidth="1"/>
    <col min="4385" max="4385" width="15" style="2853" customWidth="1"/>
    <col min="4386" max="4386" width="18.28515625" style="2853" bestFit="1" customWidth="1"/>
    <col min="4387" max="4387" width="19.5703125" style="2853" bestFit="1" customWidth="1"/>
    <col min="4388" max="4388" width="18.140625" style="2853" bestFit="1" customWidth="1"/>
    <col min="4389" max="4389" width="21" style="2853" bestFit="1" customWidth="1"/>
    <col min="4390" max="4390" width="22.28515625" style="2853" bestFit="1" customWidth="1"/>
    <col min="4391" max="4608" width="9.140625" style="2853"/>
    <col min="4609" max="4609" width="1.140625" style="2853" customWidth="1"/>
    <col min="4610" max="4610" width="44.42578125" style="2853" customWidth="1"/>
    <col min="4611" max="4621" width="0" style="2853" hidden="1" customWidth="1"/>
    <col min="4622" max="4622" width="3" style="2853" customWidth="1"/>
    <col min="4623" max="4637" width="0" style="2853" hidden="1" customWidth="1"/>
    <col min="4638" max="4638" width="18.5703125" style="2853" customWidth="1"/>
    <col min="4639" max="4640" width="0" style="2853" hidden="1" customWidth="1"/>
    <col min="4641" max="4641" width="15" style="2853" customWidth="1"/>
    <col min="4642" max="4642" width="18.28515625" style="2853" bestFit="1" customWidth="1"/>
    <col min="4643" max="4643" width="19.5703125" style="2853" bestFit="1" customWidth="1"/>
    <col min="4644" max="4644" width="18.140625" style="2853" bestFit="1" customWidth="1"/>
    <col min="4645" max="4645" width="21" style="2853" bestFit="1" customWidth="1"/>
    <col min="4646" max="4646" width="22.28515625" style="2853" bestFit="1" customWidth="1"/>
    <col min="4647" max="4864" width="9.140625" style="2853"/>
    <col min="4865" max="4865" width="1.140625" style="2853" customWidth="1"/>
    <col min="4866" max="4866" width="44.42578125" style="2853" customWidth="1"/>
    <col min="4867" max="4877" width="0" style="2853" hidden="1" customWidth="1"/>
    <col min="4878" max="4878" width="3" style="2853" customWidth="1"/>
    <col min="4879" max="4893" width="0" style="2853" hidden="1" customWidth="1"/>
    <col min="4894" max="4894" width="18.5703125" style="2853" customWidth="1"/>
    <col min="4895" max="4896" width="0" style="2853" hidden="1" customWidth="1"/>
    <col min="4897" max="4897" width="15" style="2853" customWidth="1"/>
    <col min="4898" max="4898" width="18.28515625" style="2853" bestFit="1" customWidth="1"/>
    <col min="4899" max="4899" width="19.5703125" style="2853" bestFit="1" customWidth="1"/>
    <col min="4900" max="4900" width="18.140625" style="2853" bestFit="1" customWidth="1"/>
    <col min="4901" max="4901" width="21" style="2853" bestFit="1" customWidth="1"/>
    <col min="4902" max="4902" width="22.28515625" style="2853" bestFit="1" customWidth="1"/>
    <col min="4903" max="5120" width="9.140625" style="2853"/>
    <col min="5121" max="5121" width="1.140625" style="2853" customWidth="1"/>
    <col min="5122" max="5122" width="44.42578125" style="2853" customWidth="1"/>
    <col min="5123" max="5133" width="0" style="2853" hidden="1" customWidth="1"/>
    <col min="5134" max="5134" width="3" style="2853" customWidth="1"/>
    <col min="5135" max="5149" width="0" style="2853" hidden="1" customWidth="1"/>
    <col min="5150" max="5150" width="18.5703125" style="2853" customWidth="1"/>
    <col min="5151" max="5152" width="0" style="2853" hidden="1" customWidth="1"/>
    <col min="5153" max="5153" width="15" style="2853" customWidth="1"/>
    <col min="5154" max="5154" width="18.28515625" style="2853" bestFit="1" customWidth="1"/>
    <col min="5155" max="5155" width="19.5703125" style="2853" bestFit="1" customWidth="1"/>
    <col min="5156" max="5156" width="18.140625" style="2853" bestFit="1" customWidth="1"/>
    <col min="5157" max="5157" width="21" style="2853" bestFit="1" customWidth="1"/>
    <col min="5158" max="5158" width="22.28515625" style="2853" bestFit="1" customWidth="1"/>
    <col min="5159" max="5376" width="9.140625" style="2853"/>
    <col min="5377" max="5377" width="1.140625" style="2853" customWidth="1"/>
    <col min="5378" max="5378" width="44.42578125" style="2853" customWidth="1"/>
    <col min="5379" max="5389" width="0" style="2853" hidden="1" customWidth="1"/>
    <col min="5390" max="5390" width="3" style="2853" customWidth="1"/>
    <col min="5391" max="5405" width="0" style="2853" hidden="1" customWidth="1"/>
    <col min="5406" max="5406" width="18.5703125" style="2853" customWidth="1"/>
    <col min="5407" max="5408" width="0" style="2853" hidden="1" customWidth="1"/>
    <col min="5409" max="5409" width="15" style="2853" customWidth="1"/>
    <col min="5410" max="5410" width="18.28515625" style="2853" bestFit="1" customWidth="1"/>
    <col min="5411" max="5411" width="19.5703125" style="2853" bestFit="1" customWidth="1"/>
    <col min="5412" max="5412" width="18.140625" style="2853" bestFit="1" customWidth="1"/>
    <col min="5413" max="5413" width="21" style="2853" bestFit="1" customWidth="1"/>
    <col min="5414" max="5414" width="22.28515625" style="2853" bestFit="1" customWidth="1"/>
    <col min="5415" max="5632" width="9.140625" style="2853"/>
    <col min="5633" max="5633" width="1.140625" style="2853" customWidth="1"/>
    <col min="5634" max="5634" width="44.42578125" style="2853" customWidth="1"/>
    <col min="5635" max="5645" width="0" style="2853" hidden="1" customWidth="1"/>
    <col min="5646" max="5646" width="3" style="2853" customWidth="1"/>
    <col min="5647" max="5661" width="0" style="2853" hidden="1" customWidth="1"/>
    <col min="5662" max="5662" width="18.5703125" style="2853" customWidth="1"/>
    <col min="5663" max="5664" width="0" style="2853" hidden="1" customWidth="1"/>
    <col min="5665" max="5665" width="15" style="2853" customWidth="1"/>
    <col min="5666" max="5666" width="18.28515625" style="2853" bestFit="1" customWidth="1"/>
    <col min="5667" max="5667" width="19.5703125" style="2853" bestFit="1" customWidth="1"/>
    <col min="5668" max="5668" width="18.140625" style="2853" bestFit="1" customWidth="1"/>
    <col min="5669" max="5669" width="21" style="2853" bestFit="1" customWidth="1"/>
    <col min="5670" max="5670" width="22.28515625" style="2853" bestFit="1" customWidth="1"/>
    <col min="5671" max="5888" width="9.140625" style="2853"/>
    <col min="5889" max="5889" width="1.140625" style="2853" customWidth="1"/>
    <col min="5890" max="5890" width="44.42578125" style="2853" customWidth="1"/>
    <col min="5891" max="5901" width="0" style="2853" hidden="1" customWidth="1"/>
    <col min="5902" max="5902" width="3" style="2853" customWidth="1"/>
    <col min="5903" max="5917" width="0" style="2853" hidden="1" customWidth="1"/>
    <col min="5918" max="5918" width="18.5703125" style="2853" customWidth="1"/>
    <col min="5919" max="5920" width="0" style="2853" hidden="1" customWidth="1"/>
    <col min="5921" max="5921" width="15" style="2853" customWidth="1"/>
    <col min="5922" max="5922" width="18.28515625" style="2853" bestFit="1" customWidth="1"/>
    <col min="5923" max="5923" width="19.5703125" style="2853" bestFit="1" customWidth="1"/>
    <col min="5924" max="5924" width="18.140625" style="2853" bestFit="1" customWidth="1"/>
    <col min="5925" max="5925" width="21" style="2853" bestFit="1" customWidth="1"/>
    <col min="5926" max="5926" width="22.28515625" style="2853" bestFit="1" customWidth="1"/>
    <col min="5927" max="6144" width="9.140625" style="2853"/>
    <col min="6145" max="6145" width="1.140625" style="2853" customWidth="1"/>
    <col min="6146" max="6146" width="44.42578125" style="2853" customWidth="1"/>
    <col min="6147" max="6157" width="0" style="2853" hidden="1" customWidth="1"/>
    <col min="6158" max="6158" width="3" style="2853" customWidth="1"/>
    <col min="6159" max="6173" width="0" style="2853" hidden="1" customWidth="1"/>
    <col min="6174" max="6174" width="18.5703125" style="2853" customWidth="1"/>
    <col min="6175" max="6176" width="0" style="2853" hidden="1" customWidth="1"/>
    <col min="6177" max="6177" width="15" style="2853" customWidth="1"/>
    <col min="6178" max="6178" width="18.28515625" style="2853" bestFit="1" customWidth="1"/>
    <col min="6179" max="6179" width="19.5703125" style="2853" bestFit="1" customWidth="1"/>
    <col min="6180" max="6180" width="18.140625" style="2853" bestFit="1" customWidth="1"/>
    <col min="6181" max="6181" width="21" style="2853" bestFit="1" customWidth="1"/>
    <col min="6182" max="6182" width="22.28515625" style="2853" bestFit="1" customWidth="1"/>
    <col min="6183" max="6400" width="9.140625" style="2853"/>
    <col min="6401" max="6401" width="1.140625" style="2853" customWidth="1"/>
    <col min="6402" max="6402" width="44.42578125" style="2853" customWidth="1"/>
    <col min="6403" max="6413" width="0" style="2853" hidden="1" customWidth="1"/>
    <col min="6414" max="6414" width="3" style="2853" customWidth="1"/>
    <col min="6415" max="6429" width="0" style="2853" hidden="1" customWidth="1"/>
    <col min="6430" max="6430" width="18.5703125" style="2853" customWidth="1"/>
    <col min="6431" max="6432" width="0" style="2853" hidden="1" customWidth="1"/>
    <col min="6433" max="6433" width="15" style="2853" customWidth="1"/>
    <col min="6434" max="6434" width="18.28515625" style="2853" bestFit="1" customWidth="1"/>
    <col min="6435" max="6435" width="19.5703125" style="2853" bestFit="1" customWidth="1"/>
    <col min="6436" max="6436" width="18.140625" style="2853" bestFit="1" customWidth="1"/>
    <col min="6437" max="6437" width="21" style="2853" bestFit="1" customWidth="1"/>
    <col min="6438" max="6438" width="22.28515625" style="2853" bestFit="1" customWidth="1"/>
    <col min="6439" max="6656" width="9.140625" style="2853"/>
    <col min="6657" max="6657" width="1.140625" style="2853" customWidth="1"/>
    <col min="6658" max="6658" width="44.42578125" style="2853" customWidth="1"/>
    <col min="6659" max="6669" width="0" style="2853" hidden="1" customWidth="1"/>
    <col min="6670" max="6670" width="3" style="2853" customWidth="1"/>
    <col min="6671" max="6685" width="0" style="2853" hidden="1" customWidth="1"/>
    <col min="6686" max="6686" width="18.5703125" style="2853" customWidth="1"/>
    <col min="6687" max="6688" width="0" style="2853" hidden="1" customWidth="1"/>
    <col min="6689" max="6689" width="15" style="2853" customWidth="1"/>
    <col min="6690" max="6690" width="18.28515625" style="2853" bestFit="1" customWidth="1"/>
    <col min="6691" max="6691" width="19.5703125" style="2853" bestFit="1" customWidth="1"/>
    <col min="6692" max="6692" width="18.140625" style="2853" bestFit="1" customWidth="1"/>
    <col min="6693" max="6693" width="21" style="2853" bestFit="1" customWidth="1"/>
    <col min="6694" max="6694" width="22.28515625" style="2853" bestFit="1" customWidth="1"/>
    <col min="6695" max="6912" width="9.140625" style="2853"/>
    <col min="6913" max="6913" width="1.140625" style="2853" customWidth="1"/>
    <col min="6914" max="6914" width="44.42578125" style="2853" customWidth="1"/>
    <col min="6915" max="6925" width="0" style="2853" hidden="1" customWidth="1"/>
    <col min="6926" max="6926" width="3" style="2853" customWidth="1"/>
    <col min="6927" max="6941" width="0" style="2853" hidden="1" customWidth="1"/>
    <col min="6942" max="6942" width="18.5703125" style="2853" customWidth="1"/>
    <col min="6943" max="6944" width="0" style="2853" hidden="1" customWidth="1"/>
    <col min="6945" max="6945" width="15" style="2853" customWidth="1"/>
    <col min="6946" max="6946" width="18.28515625" style="2853" bestFit="1" customWidth="1"/>
    <col min="6947" max="6947" width="19.5703125" style="2853" bestFit="1" customWidth="1"/>
    <col min="6948" max="6948" width="18.140625" style="2853" bestFit="1" customWidth="1"/>
    <col min="6949" max="6949" width="21" style="2853" bestFit="1" customWidth="1"/>
    <col min="6950" max="6950" width="22.28515625" style="2853" bestFit="1" customWidth="1"/>
    <col min="6951" max="7168" width="9.140625" style="2853"/>
    <col min="7169" max="7169" width="1.140625" style="2853" customWidth="1"/>
    <col min="7170" max="7170" width="44.42578125" style="2853" customWidth="1"/>
    <col min="7171" max="7181" width="0" style="2853" hidden="1" customWidth="1"/>
    <col min="7182" max="7182" width="3" style="2853" customWidth="1"/>
    <col min="7183" max="7197" width="0" style="2853" hidden="1" customWidth="1"/>
    <col min="7198" max="7198" width="18.5703125" style="2853" customWidth="1"/>
    <col min="7199" max="7200" width="0" style="2853" hidden="1" customWidth="1"/>
    <col min="7201" max="7201" width="15" style="2853" customWidth="1"/>
    <col min="7202" max="7202" width="18.28515625" style="2853" bestFit="1" customWidth="1"/>
    <col min="7203" max="7203" width="19.5703125" style="2853" bestFit="1" customWidth="1"/>
    <col min="7204" max="7204" width="18.140625" style="2853" bestFit="1" customWidth="1"/>
    <col min="7205" max="7205" width="21" style="2853" bestFit="1" customWidth="1"/>
    <col min="7206" max="7206" width="22.28515625" style="2853" bestFit="1" customWidth="1"/>
    <col min="7207" max="7424" width="9.140625" style="2853"/>
    <col min="7425" max="7425" width="1.140625" style="2853" customWidth="1"/>
    <col min="7426" max="7426" width="44.42578125" style="2853" customWidth="1"/>
    <col min="7427" max="7437" width="0" style="2853" hidden="1" customWidth="1"/>
    <col min="7438" max="7438" width="3" style="2853" customWidth="1"/>
    <col min="7439" max="7453" width="0" style="2853" hidden="1" customWidth="1"/>
    <col min="7454" max="7454" width="18.5703125" style="2853" customWidth="1"/>
    <col min="7455" max="7456" width="0" style="2853" hidden="1" customWidth="1"/>
    <col min="7457" max="7457" width="15" style="2853" customWidth="1"/>
    <col min="7458" max="7458" width="18.28515625" style="2853" bestFit="1" customWidth="1"/>
    <col min="7459" max="7459" width="19.5703125" style="2853" bestFit="1" customWidth="1"/>
    <col min="7460" max="7460" width="18.140625" style="2853" bestFit="1" customWidth="1"/>
    <col min="7461" max="7461" width="21" style="2853" bestFit="1" customWidth="1"/>
    <col min="7462" max="7462" width="22.28515625" style="2853" bestFit="1" customWidth="1"/>
    <col min="7463" max="7680" width="9.140625" style="2853"/>
    <col min="7681" max="7681" width="1.140625" style="2853" customWidth="1"/>
    <col min="7682" max="7682" width="44.42578125" style="2853" customWidth="1"/>
    <col min="7683" max="7693" width="0" style="2853" hidden="1" customWidth="1"/>
    <col min="7694" max="7694" width="3" style="2853" customWidth="1"/>
    <col min="7695" max="7709" width="0" style="2853" hidden="1" customWidth="1"/>
    <col min="7710" max="7710" width="18.5703125" style="2853" customWidth="1"/>
    <col min="7711" max="7712" width="0" style="2853" hidden="1" customWidth="1"/>
    <col min="7713" max="7713" width="15" style="2853" customWidth="1"/>
    <col min="7714" max="7714" width="18.28515625" style="2853" bestFit="1" customWidth="1"/>
    <col min="7715" max="7715" width="19.5703125" style="2853" bestFit="1" customWidth="1"/>
    <col min="7716" max="7716" width="18.140625" style="2853" bestFit="1" customWidth="1"/>
    <col min="7717" max="7717" width="21" style="2853" bestFit="1" customWidth="1"/>
    <col min="7718" max="7718" width="22.28515625" style="2853" bestFit="1" customWidth="1"/>
    <col min="7719" max="7936" width="9.140625" style="2853"/>
    <col min="7937" max="7937" width="1.140625" style="2853" customWidth="1"/>
    <col min="7938" max="7938" width="44.42578125" style="2853" customWidth="1"/>
    <col min="7939" max="7949" width="0" style="2853" hidden="1" customWidth="1"/>
    <col min="7950" max="7950" width="3" style="2853" customWidth="1"/>
    <col min="7951" max="7965" width="0" style="2853" hidden="1" customWidth="1"/>
    <col min="7966" max="7966" width="18.5703125" style="2853" customWidth="1"/>
    <col min="7967" max="7968" width="0" style="2853" hidden="1" customWidth="1"/>
    <col min="7969" max="7969" width="15" style="2853" customWidth="1"/>
    <col min="7970" max="7970" width="18.28515625" style="2853" bestFit="1" customWidth="1"/>
    <col min="7971" max="7971" width="19.5703125" style="2853" bestFit="1" customWidth="1"/>
    <col min="7972" max="7972" width="18.140625" style="2853" bestFit="1" customWidth="1"/>
    <col min="7973" max="7973" width="21" style="2853" bestFit="1" customWidth="1"/>
    <col min="7974" max="7974" width="22.28515625" style="2853" bestFit="1" customWidth="1"/>
    <col min="7975" max="8192" width="9.140625" style="2853"/>
    <col min="8193" max="8193" width="1.140625" style="2853" customWidth="1"/>
    <col min="8194" max="8194" width="44.42578125" style="2853" customWidth="1"/>
    <col min="8195" max="8205" width="0" style="2853" hidden="1" customWidth="1"/>
    <col min="8206" max="8206" width="3" style="2853" customWidth="1"/>
    <col min="8207" max="8221" width="0" style="2853" hidden="1" customWidth="1"/>
    <col min="8222" max="8222" width="18.5703125" style="2853" customWidth="1"/>
    <col min="8223" max="8224" width="0" style="2853" hidden="1" customWidth="1"/>
    <col min="8225" max="8225" width="15" style="2853" customWidth="1"/>
    <col min="8226" max="8226" width="18.28515625" style="2853" bestFit="1" customWidth="1"/>
    <col min="8227" max="8227" width="19.5703125" style="2853" bestFit="1" customWidth="1"/>
    <col min="8228" max="8228" width="18.140625" style="2853" bestFit="1" customWidth="1"/>
    <col min="8229" max="8229" width="21" style="2853" bestFit="1" customWidth="1"/>
    <col min="8230" max="8230" width="22.28515625" style="2853" bestFit="1" customWidth="1"/>
    <col min="8231" max="8448" width="9.140625" style="2853"/>
    <col min="8449" max="8449" width="1.140625" style="2853" customWidth="1"/>
    <col min="8450" max="8450" width="44.42578125" style="2853" customWidth="1"/>
    <col min="8451" max="8461" width="0" style="2853" hidden="1" customWidth="1"/>
    <col min="8462" max="8462" width="3" style="2853" customWidth="1"/>
    <col min="8463" max="8477" width="0" style="2853" hidden="1" customWidth="1"/>
    <col min="8478" max="8478" width="18.5703125" style="2853" customWidth="1"/>
    <col min="8479" max="8480" width="0" style="2853" hidden="1" customWidth="1"/>
    <col min="8481" max="8481" width="15" style="2853" customWidth="1"/>
    <col min="8482" max="8482" width="18.28515625" style="2853" bestFit="1" customWidth="1"/>
    <col min="8483" max="8483" width="19.5703125" style="2853" bestFit="1" customWidth="1"/>
    <col min="8484" max="8484" width="18.140625" style="2853" bestFit="1" customWidth="1"/>
    <col min="8485" max="8485" width="21" style="2853" bestFit="1" customWidth="1"/>
    <col min="8486" max="8486" width="22.28515625" style="2853" bestFit="1" customWidth="1"/>
    <col min="8487" max="8704" width="9.140625" style="2853"/>
    <col min="8705" max="8705" width="1.140625" style="2853" customWidth="1"/>
    <col min="8706" max="8706" width="44.42578125" style="2853" customWidth="1"/>
    <col min="8707" max="8717" width="0" style="2853" hidden="1" customWidth="1"/>
    <col min="8718" max="8718" width="3" style="2853" customWidth="1"/>
    <col min="8719" max="8733" width="0" style="2853" hidden="1" customWidth="1"/>
    <col min="8734" max="8734" width="18.5703125" style="2853" customWidth="1"/>
    <col min="8735" max="8736" width="0" style="2853" hidden="1" customWidth="1"/>
    <col min="8737" max="8737" width="15" style="2853" customWidth="1"/>
    <col min="8738" max="8738" width="18.28515625" style="2853" bestFit="1" customWidth="1"/>
    <col min="8739" max="8739" width="19.5703125" style="2853" bestFit="1" customWidth="1"/>
    <col min="8740" max="8740" width="18.140625" style="2853" bestFit="1" customWidth="1"/>
    <col min="8741" max="8741" width="21" style="2853" bestFit="1" customWidth="1"/>
    <col min="8742" max="8742" width="22.28515625" style="2853" bestFit="1" customWidth="1"/>
    <col min="8743" max="8960" width="9.140625" style="2853"/>
    <col min="8961" max="8961" width="1.140625" style="2853" customWidth="1"/>
    <col min="8962" max="8962" width="44.42578125" style="2853" customWidth="1"/>
    <col min="8963" max="8973" width="0" style="2853" hidden="1" customWidth="1"/>
    <col min="8974" max="8974" width="3" style="2853" customWidth="1"/>
    <col min="8975" max="8989" width="0" style="2853" hidden="1" customWidth="1"/>
    <col min="8990" max="8990" width="18.5703125" style="2853" customWidth="1"/>
    <col min="8991" max="8992" width="0" style="2853" hidden="1" customWidth="1"/>
    <col min="8993" max="8993" width="15" style="2853" customWidth="1"/>
    <col min="8994" max="8994" width="18.28515625" style="2853" bestFit="1" customWidth="1"/>
    <col min="8995" max="8995" width="19.5703125" style="2853" bestFit="1" customWidth="1"/>
    <col min="8996" max="8996" width="18.140625" style="2853" bestFit="1" customWidth="1"/>
    <col min="8997" max="8997" width="21" style="2853" bestFit="1" customWidth="1"/>
    <col min="8998" max="8998" width="22.28515625" style="2853" bestFit="1" customWidth="1"/>
    <col min="8999" max="9216" width="9.140625" style="2853"/>
    <col min="9217" max="9217" width="1.140625" style="2853" customWidth="1"/>
    <col min="9218" max="9218" width="44.42578125" style="2853" customWidth="1"/>
    <col min="9219" max="9229" width="0" style="2853" hidden="1" customWidth="1"/>
    <col min="9230" max="9230" width="3" style="2853" customWidth="1"/>
    <col min="9231" max="9245" width="0" style="2853" hidden="1" customWidth="1"/>
    <col min="9246" max="9246" width="18.5703125" style="2853" customWidth="1"/>
    <col min="9247" max="9248" width="0" style="2853" hidden="1" customWidth="1"/>
    <col min="9249" max="9249" width="15" style="2853" customWidth="1"/>
    <col min="9250" max="9250" width="18.28515625" style="2853" bestFit="1" customWidth="1"/>
    <col min="9251" max="9251" width="19.5703125" style="2853" bestFit="1" customWidth="1"/>
    <col min="9252" max="9252" width="18.140625" style="2853" bestFit="1" customWidth="1"/>
    <col min="9253" max="9253" width="21" style="2853" bestFit="1" customWidth="1"/>
    <col min="9254" max="9254" width="22.28515625" style="2853" bestFit="1" customWidth="1"/>
    <col min="9255" max="9472" width="9.140625" style="2853"/>
    <col min="9473" max="9473" width="1.140625" style="2853" customWidth="1"/>
    <col min="9474" max="9474" width="44.42578125" style="2853" customWidth="1"/>
    <col min="9475" max="9485" width="0" style="2853" hidden="1" customWidth="1"/>
    <col min="9486" max="9486" width="3" style="2853" customWidth="1"/>
    <col min="9487" max="9501" width="0" style="2853" hidden="1" customWidth="1"/>
    <col min="9502" max="9502" width="18.5703125" style="2853" customWidth="1"/>
    <col min="9503" max="9504" width="0" style="2853" hidden="1" customWidth="1"/>
    <col min="9505" max="9505" width="15" style="2853" customWidth="1"/>
    <col min="9506" max="9506" width="18.28515625" style="2853" bestFit="1" customWidth="1"/>
    <col min="9507" max="9507" width="19.5703125" style="2853" bestFit="1" customWidth="1"/>
    <col min="9508" max="9508" width="18.140625" style="2853" bestFit="1" customWidth="1"/>
    <col min="9509" max="9509" width="21" style="2853" bestFit="1" customWidth="1"/>
    <col min="9510" max="9510" width="22.28515625" style="2853" bestFit="1" customWidth="1"/>
    <col min="9511" max="9728" width="9.140625" style="2853"/>
    <col min="9729" max="9729" width="1.140625" style="2853" customWidth="1"/>
    <col min="9730" max="9730" width="44.42578125" style="2853" customWidth="1"/>
    <col min="9731" max="9741" width="0" style="2853" hidden="1" customWidth="1"/>
    <col min="9742" max="9742" width="3" style="2853" customWidth="1"/>
    <col min="9743" max="9757" width="0" style="2853" hidden="1" customWidth="1"/>
    <col min="9758" max="9758" width="18.5703125" style="2853" customWidth="1"/>
    <col min="9759" max="9760" width="0" style="2853" hidden="1" customWidth="1"/>
    <col min="9761" max="9761" width="15" style="2853" customWidth="1"/>
    <col min="9762" max="9762" width="18.28515625" style="2853" bestFit="1" customWidth="1"/>
    <col min="9763" max="9763" width="19.5703125" style="2853" bestFit="1" customWidth="1"/>
    <col min="9764" max="9764" width="18.140625" style="2853" bestFit="1" customWidth="1"/>
    <col min="9765" max="9765" width="21" style="2853" bestFit="1" customWidth="1"/>
    <col min="9766" max="9766" width="22.28515625" style="2853" bestFit="1" customWidth="1"/>
    <col min="9767" max="9984" width="9.140625" style="2853"/>
    <col min="9985" max="9985" width="1.140625" style="2853" customWidth="1"/>
    <col min="9986" max="9986" width="44.42578125" style="2853" customWidth="1"/>
    <col min="9987" max="9997" width="0" style="2853" hidden="1" customWidth="1"/>
    <col min="9998" max="9998" width="3" style="2853" customWidth="1"/>
    <col min="9999" max="10013" width="0" style="2853" hidden="1" customWidth="1"/>
    <col min="10014" max="10014" width="18.5703125" style="2853" customWidth="1"/>
    <col min="10015" max="10016" width="0" style="2853" hidden="1" customWidth="1"/>
    <col min="10017" max="10017" width="15" style="2853" customWidth="1"/>
    <col min="10018" max="10018" width="18.28515625" style="2853" bestFit="1" customWidth="1"/>
    <col min="10019" max="10019" width="19.5703125" style="2853" bestFit="1" customWidth="1"/>
    <col min="10020" max="10020" width="18.140625" style="2853" bestFit="1" customWidth="1"/>
    <col min="10021" max="10021" width="21" style="2853" bestFit="1" customWidth="1"/>
    <col min="10022" max="10022" width="22.28515625" style="2853" bestFit="1" customWidth="1"/>
    <col min="10023" max="10240" width="9.140625" style="2853"/>
    <col min="10241" max="10241" width="1.140625" style="2853" customWidth="1"/>
    <col min="10242" max="10242" width="44.42578125" style="2853" customWidth="1"/>
    <col min="10243" max="10253" width="0" style="2853" hidden="1" customWidth="1"/>
    <col min="10254" max="10254" width="3" style="2853" customWidth="1"/>
    <col min="10255" max="10269" width="0" style="2853" hidden="1" customWidth="1"/>
    <col min="10270" max="10270" width="18.5703125" style="2853" customWidth="1"/>
    <col min="10271" max="10272" width="0" style="2853" hidden="1" customWidth="1"/>
    <col min="10273" max="10273" width="15" style="2853" customWidth="1"/>
    <col min="10274" max="10274" width="18.28515625" style="2853" bestFit="1" customWidth="1"/>
    <col min="10275" max="10275" width="19.5703125" style="2853" bestFit="1" customWidth="1"/>
    <col min="10276" max="10276" width="18.140625" style="2853" bestFit="1" customWidth="1"/>
    <col min="10277" max="10277" width="21" style="2853" bestFit="1" customWidth="1"/>
    <col min="10278" max="10278" width="22.28515625" style="2853" bestFit="1" customWidth="1"/>
    <col min="10279" max="10496" width="9.140625" style="2853"/>
    <col min="10497" max="10497" width="1.140625" style="2853" customWidth="1"/>
    <col min="10498" max="10498" width="44.42578125" style="2853" customWidth="1"/>
    <col min="10499" max="10509" width="0" style="2853" hidden="1" customWidth="1"/>
    <col min="10510" max="10510" width="3" style="2853" customWidth="1"/>
    <col min="10511" max="10525" width="0" style="2853" hidden="1" customWidth="1"/>
    <col min="10526" max="10526" width="18.5703125" style="2853" customWidth="1"/>
    <col min="10527" max="10528" width="0" style="2853" hidden="1" customWidth="1"/>
    <col min="10529" max="10529" width="15" style="2853" customWidth="1"/>
    <col min="10530" max="10530" width="18.28515625" style="2853" bestFit="1" customWidth="1"/>
    <col min="10531" max="10531" width="19.5703125" style="2853" bestFit="1" customWidth="1"/>
    <col min="10532" max="10532" width="18.140625" style="2853" bestFit="1" customWidth="1"/>
    <col min="10533" max="10533" width="21" style="2853" bestFit="1" customWidth="1"/>
    <col min="10534" max="10534" width="22.28515625" style="2853" bestFit="1" customWidth="1"/>
    <col min="10535" max="10752" width="9.140625" style="2853"/>
    <col min="10753" max="10753" width="1.140625" style="2853" customWidth="1"/>
    <col min="10754" max="10754" width="44.42578125" style="2853" customWidth="1"/>
    <col min="10755" max="10765" width="0" style="2853" hidden="1" customWidth="1"/>
    <col min="10766" max="10766" width="3" style="2853" customWidth="1"/>
    <col min="10767" max="10781" width="0" style="2853" hidden="1" customWidth="1"/>
    <col min="10782" max="10782" width="18.5703125" style="2853" customWidth="1"/>
    <col min="10783" max="10784" width="0" style="2853" hidden="1" customWidth="1"/>
    <col min="10785" max="10785" width="15" style="2853" customWidth="1"/>
    <col min="10786" max="10786" width="18.28515625" style="2853" bestFit="1" customWidth="1"/>
    <col min="10787" max="10787" width="19.5703125" style="2853" bestFit="1" customWidth="1"/>
    <col min="10788" max="10788" width="18.140625" style="2853" bestFit="1" customWidth="1"/>
    <col min="10789" max="10789" width="21" style="2853" bestFit="1" customWidth="1"/>
    <col min="10790" max="10790" width="22.28515625" style="2853" bestFit="1" customWidth="1"/>
    <col min="10791" max="11008" width="9.140625" style="2853"/>
    <col min="11009" max="11009" width="1.140625" style="2853" customWidth="1"/>
    <col min="11010" max="11010" width="44.42578125" style="2853" customWidth="1"/>
    <col min="11011" max="11021" width="0" style="2853" hidden="1" customWidth="1"/>
    <col min="11022" max="11022" width="3" style="2853" customWidth="1"/>
    <col min="11023" max="11037" width="0" style="2853" hidden="1" customWidth="1"/>
    <col min="11038" max="11038" width="18.5703125" style="2853" customWidth="1"/>
    <col min="11039" max="11040" width="0" style="2853" hidden="1" customWidth="1"/>
    <col min="11041" max="11041" width="15" style="2853" customWidth="1"/>
    <col min="11042" max="11042" width="18.28515625" style="2853" bestFit="1" customWidth="1"/>
    <col min="11043" max="11043" width="19.5703125" style="2853" bestFit="1" customWidth="1"/>
    <col min="11044" max="11044" width="18.140625" style="2853" bestFit="1" customWidth="1"/>
    <col min="11045" max="11045" width="21" style="2853" bestFit="1" customWidth="1"/>
    <col min="11046" max="11046" width="22.28515625" style="2853" bestFit="1" customWidth="1"/>
    <col min="11047" max="11264" width="9.140625" style="2853"/>
    <col min="11265" max="11265" width="1.140625" style="2853" customWidth="1"/>
    <col min="11266" max="11266" width="44.42578125" style="2853" customWidth="1"/>
    <col min="11267" max="11277" width="0" style="2853" hidden="1" customWidth="1"/>
    <col min="11278" max="11278" width="3" style="2853" customWidth="1"/>
    <col min="11279" max="11293" width="0" style="2853" hidden="1" customWidth="1"/>
    <col min="11294" max="11294" width="18.5703125" style="2853" customWidth="1"/>
    <col min="11295" max="11296" width="0" style="2853" hidden="1" customWidth="1"/>
    <col min="11297" max="11297" width="15" style="2853" customWidth="1"/>
    <col min="11298" max="11298" width="18.28515625" style="2853" bestFit="1" customWidth="1"/>
    <col min="11299" max="11299" width="19.5703125" style="2853" bestFit="1" customWidth="1"/>
    <col min="11300" max="11300" width="18.140625" style="2853" bestFit="1" customWidth="1"/>
    <col min="11301" max="11301" width="21" style="2853" bestFit="1" customWidth="1"/>
    <col min="11302" max="11302" width="22.28515625" style="2853" bestFit="1" customWidth="1"/>
    <col min="11303" max="11520" width="9.140625" style="2853"/>
    <col min="11521" max="11521" width="1.140625" style="2853" customWidth="1"/>
    <col min="11522" max="11522" width="44.42578125" style="2853" customWidth="1"/>
    <col min="11523" max="11533" width="0" style="2853" hidden="1" customWidth="1"/>
    <col min="11534" max="11534" width="3" style="2853" customWidth="1"/>
    <col min="11535" max="11549" width="0" style="2853" hidden="1" customWidth="1"/>
    <col min="11550" max="11550" width="18.5703125" style="2853" customWidth="1"/>
    <col min="11551" max="11552" width="0" style="2853" hidden="1" customWidth="1"/>
    <col min="11553" max="11553" width="15" style="2853" customWidth="1"/>
    <col min="11554" max="11554" width="18.28515625" style="2853" bestFit="1" customWidth="1"/>
    <col min="11555" max="11555" width="19.5703125" style="2853" bestFit="1" customWidth="1"/>
    <col min="11556" max="11556" width="18.140625" style="2853" bestFit="1" customWidth="1"/>
    <col min="11557" max="11557" width="21" style="2853" bestFit="1" customWidth="1"/>
    <col min="11558" max="11558" width="22.28515625" style="2853" bestFit="1" customWidth="1"/>
    <col min="11559" max="11776" width="9.140625" style="2853"/>
    <col min="11777" max="11777" width="1.140625" style="2853" customWidth="1"/>
    <col min="11778" max="11778" width="44.42578125" style="2853" customWidth="1"/>
    <col min="11779" max="11789" width="0" style="2853" hidden="1" customWidth="1"/>
    <col min="11790" max="11790" width="3" style="2853" customWidth="1"/>
    <col min="11791" max="11805" width="0" style="2853" hidden="1" customWidth="1"/>
    <col min="11806" max="11806" width="18.5703125" style="2853" customWidth="1"/>
    <col min="11807" max="11808" width="0" style="2853" hidden="1" customWidth="1"/>
    <col min="11809" max="11809" width="15" style="2853" customWidth="1"/>
    <col min="11810" max="11810" width="18.28515625" style="2853" bestFit="1" customWidth="1"/>
    <col min="11811" max="11811" width="19.5703125" style="2853" bestFit="1" customWidth="1"/>
    <col min="11812" max="11812" width="18.140625" style="2853" bestFit="1" customWidth="1"/>
    <col min="11813" max="11813" width="21" style="2853" bestFit="1" customWidth="1"/>
    <col min="11814" max="11814" width="22.28515625" style="2853" bestFit="1" customWidth="1"/>
    <col min="11815" max="12032" width="9.140625" style="2853"/>
    <col min="12033" max="12033" width="1.140625" style="2853" customWidth="1"/>
    <col min="12034" max="12034" width="44.42578125" style="2853" customWidth="1"/>
    <col min="12035" max="12045" width="0" style="2853" hidden="1" customWidth="1"/>
    <col min="12046" max="12046" width="3" style="2853" customWidth="1"/>
    <col min="12047" max="12061" width="0" style="2853" hidden="1" customWidth="1"/>
    <col min="12062" max="12062" width="18.5703125" style="2853" customWidth="1"/>
    <col min="12063" max="12064" width="0" style="2853" hidden="1" customWidth="1"/>
    <col min="12065" max="12065" width="15" style="2853" customWidth="1"/>
    <col min="12066" max="12066" width="18.28515625" style="2853" bestFit="1" customWidth="1"/>
    <col min="12067" max="12067" width="19.5703125" style="2853" bestFit="1" customWidth="1"/>
    <col min="12068" max="12068" width="18.140625" style="2853" bestFit="1" customWidth="1"/>
    <col min="12069" max="12069" width="21" style="2853" bestFit="1" customWidth="1"/>
    <col min="12070" max="12070" width="22.28515625" style="2853" bestFit="1" customWidth="1"/>
    <col min="12071" max="12288" width="9.140625" style="2853"/>
    <col min="12289" max="12289" width="1.140625" style="2853" customWidth="1"/>
    <col min="12290" max="12290" width="44.42578125" style="2853" customWidth="1"/>
    <col min="12291" max="12301" width="0" style="2853" hidden="1" customWidth="1"/>
    <col min="12302" max="12302" width="3" style="2853" customWidth="1"/>
    <col min="12303" max="12317" width="0" style="2853" hidden="1" customWidth="1"/>
    <col min="12318" max="12318" width="18.5703125" style="2853" customWidth="1"/>
    <col min="12319" max="12320" width="0" style="2853" hidden="1" customWidth="1"/>
    <col min="12321" max="12321" width="15" style="2853" customWidth="1"/>
    <col min="12322" max="12322" width="18.28515625" style="2853" bestFit="1" customWidth="1"/>
    <col min="12323" max="12323" width="19.5703125" style="2853" bestFit="1" customWidth="1"/>
    <col min="12324" max="12324" width="18.140625" style="2853" bestFit="1" customWidth="1"/>
    <col min="12325" max="12325" width="21" style="2853" bestFit="1" customWidth="1"/>
    <col min="12326" max="12326" width="22.28515625" style="2853" bestFit="1" customWidth="1"/>
    <col min="12327" max="12544" width="9.140625" style="2853"/>
    <col min="12545" max="12545" width="1.140625" style="2853" customWidth="1"/>
    <col min="12546" max="12546" width="44.42578125" style="2853" customWidth="1"/>
    <col min="12547" max="12557" width="0" style="2853" hidden="1" customWidth="1"/>
    <col min="12558" max="12558" width="3" style="2853" customWidth="1"/>
    <col min="12559" max="12573" width="0" style="2853" hidden="1" customWidth="1"/>
    <col min="12574" max="12574" width="18.5703125" style="2853" customWidth="1"/>
    <col min="12575" max="12576" width="0" style="2853" hidden="1" customWidth="1"/>
    <col min="12577" max="12577" width="15" style="2853" customWidth="1"/>
    <col min="12578" max="12578" width="18.28515625" style="2853" bestFit="1" customWidth="1"/>
    <col min="12579" max="12579" width="19.5703125" style="2853" bestFit="1" customWidth="1"/>
    <col min="12580" max="12580" width="18.140625" style="2853" bestFit="1" customWidth="1"/>
    <col min="12581" max="12581" width="21" style="2853" bestFit="1" customWidth="1"/>
    <col min="12582" max="12582" width="22.28515625" style="2853" bestFit="1" customWidth="1"/>
    <col min="12583" max="12800" width="9.140625" style="2853"/>
    <col min="12801" max="12801" width="1.140625" style="2853" customWidth="1"/>
    <col min="12802" max="12802" width="44.42578125" style="2853" customWidth="1"/>
    <col min="12803" max="12813" width="0" style="2853" hidden="1" customWidth="1"/>
    <col min="12814" max="12814" width="3" style="2853" customWidth="1"/>
    <col min="12815" max="12829" width="0" style="2853" hidden="1" customWidth="1"/>
    <col min="12830" max="12830" width="18.5703125" style="2853" customWidth="1"/>
    <col min="12831" max="12832" width="0" style="2853" hidden="1" customWidth="1"/>
    <col min="12833" max="12833" width="15" style="2853" customWidth="1"/>
    <col min="12834" max="12834" width="18.28515625" style="2853" bestFit="1" customWidth="1"/>
    <col min="12835" max="12835" width="19.5703125" style="2853" bestFit="1" customWidth="1"/>
    <col min="12836" max="12836" width="18.140625" style="2853" bestFit="1" customWidth="1"/>
    <col min="12837" max="12837" width="21" style="2853" bestFit="1" customWidth="1"/>
    <col min="12838" max="12838" width="22.28515625" style="2853" bestFit="1" customWidth="1"/>
    <col min="12839" max="13056" width="9.140625" style="2853"/>
    <col min="13057" max="13057" width="1.140625" style="2853" customWidth="1"/>
    <col min="13058" max="13058" width="44.42578125" style="2853" customWidth="1"/>
    <col min="13059" max="13069" width="0" style="2853" hidden="1" customWidth="1"/>
    <col min="13070" max="13070" width="3" style="2853" customWidth="1"/>
    <col min="13071" max="13085" width="0" style="2853" hidden="1" customWidth="1"/>
    <col min="13086" max="13086" width="18.5703125" style="2853" customWidth="1"/>
    <col min="13087" max="13088" width="0" style="2853" hidden="1" customWidth="1"/>
    <col min="13089" max="13089" width="15" style="2853" customWidth="1"/>
    <col min="13090" max="13090" width="18.28515625" style="2853" bestFit="1" customWidth="1"/>
    <col min="13091" max="13091" width="19.5703125" style="2853" bestFit="1" customWidth="1"/>
    <col min="13092" max="13092" width="18.140625" style="2853" bestFit="1" customWidth="1"/>
    <col min="13093" max="13093" width="21" style="2853" bestFit="1" customWidth="1"/>
    <col min="13094" max="13094" width="22.28515625" style="2853" bestFit="1" customWidth="1"/>
    <col min="13095" max="13312" width="9.140625" style="2853"/>
    <col min="13313" max="13313" width="1.140625" style="2853" customWidth="1"/>
    <col min="13314" max="13314" width="44.42578125" style="2853" customWidth="1"/>
    <col min="13315" max="13325" width="0" style="2853" hidden="1" customWidth="1"/>
    <col min="13326" max="13326" width="3" style="2853" customWidth="1"/>
    <col min="13327" max="13341" width="0" style="2853" hidden="1" customWidth="1"/>
    <col min="13342" max="13342" width="18.5703125" style="2853" customWidth="1"/>
    <col min="13343" max="13344" width="0" style="2853" hidden="1" customWidth="1"/>
    <col min="13345" max="13345" width="15" style="2853" customWidth="1"/>
    <col min="13346" max="13346" width="18.28515625" style="2853" bestFit="1" customWidth="1"/>
    <col min="13347" max="13347" width="19.5703125" style="2853" bestFit="1" customWidth="1"/>
    <col min="13348" max="13348" width="18.140625" style="2853" bestFit="1" customWidth="1"/>
    <col min="13349" max="13349" width="21" style="2853" bestFit="1" customWidth="1"/>
    <col min="13350" max="13350" width="22.28515625" style="2853" bestFit="1" customWidth="1"/>
    <col min="13351" max="13568" width="9.140625" style="2853"/>
    <col min="13569" max="13569" width="1.140625" style="2853" customWidth="1"/>
    <col min="13570" max="13570" width="44.42578125" style="2853" customWidth="1"/>
    <col min="13571" max="13581" width="0" style="2853" hidden="1" customWidth="1"/>
    <col min="13582" max="13582" width="3" style="2853" customWidth="1"/>
    <col min="13583" max="13597" width="0" style="2853" hidden="1" customWidth="1"/>
    <col min="13598" max="13598" width="18.5703125" style="2853" customWidth="1"/>
    <col min="13599" max="13600" width="0" style="2853" hidden="1" customWidth="1"/>
    <col min="13601" max="13601" width="15" style="2853" customWidth="1"/>
    <col min="13602" max="13602" width="18.28515625" style="2853" bestFit="1" customWidth="1"/>
    <col min="13603" max="13603" width="19.5703125" style="2853" bestFit="1" customWidth="1"/>
    <col min="13604" max="13604" width="18.140625" style="2853" bestFit="1" customWidth="1"/>
    <col min="13605" max="13605" width="21" style="2853" bestFit="1" customWidth="1"/>
    <col min="13606" max="13606" width="22.28515625" style="2853" bestFit="1" customWidth="1"/>
    <col min="13607" max="13824" width="9.140625" style="2853"/>
    <col min="13825" max="13825" width="1.140625" style="2853" customWidth="1"/>
    <col min="13826" max="13826" width="44.42578125" style="2853" customWidth="1"/>
    <col min="13827" max="13837" width="0" style="2853" hidden="1" customWidth="1"/>
    <col min="13838" max="13838" width="3" style="2853" customWidth="1"/>
    <col min="13839" max="13853" width="0" style="2853" hidden="1" customWidth="1"/>
    <col min="13854" max="13854" width="18.5703125" style="2853" customWidth="1"/>
    <col min="13855" max="13856" width="0" style="2853" hidden="1" customWidth="1"/>
    <col min="13857" max="13857" width="15" style="2853" customWidth="1"/>
    <col min="13858" max="13858" width="18.28515625" style="2853" bestFit="1" customWidth="1"/>
    <col min="13859" max="13859" width="19.5703125" style="2853" bestFit="1" customWidth="1"/>
    <col min="13860" max="13860" width="18.140625" style="2853" bestFit="1" customWidth="1"/>
    <col min="13861" max="13861" width="21" style="2853" bestFit="1" customWidth="1"/>
    <col min="13862" max="13862" width="22.28515625" style="2853" bestFit="1" customWidth="1"/>
    <col min="13863" max="14080" width="9.140625" style="2853"/>
    <col min="14081" max="14081" width="1.140625" style="2853" customWidth="1"/>
    <col min="14082" max="14082" width="44.42578125" style="2853" customWidth="1"/>
    <col min="14083" max="14093" width="0" style="2853" hidden="1" customWidth="1"/>
    <col min="14094" max="14094" width="3" style="2853" customWidth="1"/>
    <col min="14095" max="14109" width="0" style="2853" hidden="1" customWidth="1"/>
    <col min="14110" max="14110" width="18.5703125" style="2853" customWidth="1"/>
    <col min="14111" max="14112" width="0" style="2853" hidden="1" customWidth="1"/>
    <col min="14113" max="14113" width="15" style="2853" customWidth="1"/>
    <col min="14114" max="14114" width="18.28515625" style="2853" bestFit="1" customWidth="1"/>
    <col min="14115" max="14115" width="19.5703125" style="2853" bestFit="1" customWidth="1"/>
    <col min="14116" max="14116" width="18.140625" style="2853" bestFit="1" customWidth="1"/>
    <col min="14117" max="14117" width="21" style="2853" bestFit="1" customWidth="1"/>
    <col min="14118" max="14118" width="22.28515625" style="2853" bestFit="1" customWidth="1"/>
    <col min="14119" max="14336" width="9.140625" style="2853"/>
    <col min="14337" max="14337" width="1.140625" style="2853" customWidth="1"/>
    <col min="14338" max="14338" width="44.42578125" style="2853" customWidth="1"/>
    <col min="14339" max="14349" width="0" style="2853" hidden="1" customWidth="1"/>
    <col min="14350" max="14350" width="3" style="2853" customWidth="1"/>
    <col min="14351" max="14365" width="0" style="2853" hidden="1" customWidth="1"/>
    <col min="14366" max="14366" width="18.5703125" style="2853" customWidth="1"/>
    <col min="14367" max="14368" width="0" style="2853" hidden="1" customWidth="1"/>
    <col min="14369" max="14369" width="15" style="2853" customWidth="1"/>
    <col min="14370" max="14370" width="18.28515625" style="2853" bestFit="1" customWidth="1"/>
    <col min="14371" max="14371" width="19.5703125" style="2853" bestFit="1" customWidth="1"/>
    <col min="14372" max="14372" width="18.140625" style="2853" bestFit="1" customWidth="1"/>
    <col min="14373" max="14373" width="21" style="2853" bestFit="1" customWidth="1"/>
    <col min="14374" max="14374" width="22.28515625" style="2853" bestFit="1" customWidth="1"/>
    <col min="14375" max="14592" width="9.140625" style="2853"/>
    <col min="14593" max="14593" width="1.140625" style="2853" customWidth="1"/>
    <col min="14594" max="14594" width="44.42578125" style="2853" customWidth="1"/>
    <col min="14595" max="14605" width="0" style="2853" hidden="1" customWidth="1"/>
    <col min="14606" max="14606" width="3" style="2853" customWidth="1"/>
    <col min="14607" max="14621" width="0" style="2853" hidden="1" customWidth="1"/>
    <col min="14622" max="14622" width="18.5703125" style="2853" customWidth="1"/>
    <col min="14623" max="14624" width="0" style="2853" hidden="1" customWidth="1"/>
    <col min="14625" max="14625" width="15" style="2853" customWidth="1"/>
    <col min="14626" max="14626" width="18.28515625" style="2853" bestFit="1" customWidth="1"/>
    <col min="14627" max="14627" width="19.5703125" style="2853" bestFit="1" customWidth="1"/>
    <col min="14628" max="14628" width="18.140625" style="2853" bestFit="1" customWidth="1"/>
    <col min="14629" max="14629" width="21" style="2853" bestFit="1" customWidth="1"/>
    <col min="14630" max="14630" width="22.28515625" style="2853" bestFit="1" customWidth="1"/>
    <col min="14631" max="14848" width="9.140625" style="2853"/>
    <col min="14849" max="14849" width="1.140625" style="2853" customWidth="1"/>
    <col min="14850" max="14850" width="44.42578125" style="2853" customWidth="1"/>
    <col min="14851" max="14861" width="0" style="2853" hidden="1" customWidth="1"/>
    <col min="14862" max="14862" width="3" style="2853" customWidth="1"/>
    <col min="14863" max="14877" width="0" style="2853" hidden="1" customWidth="1"/>
    <col min="14878" max="14878" width="18.5703125" style="2853" customWidth="1"/>
    <col min="14879" max="14880" width="0" style="2853" hidden="1" customWidth="1"/>
    <col min="14881" max="14881" width="15" style="2853" customWidth="1"/>
    <col min="14882" max="14882" width="18.28515625" style="2853" bestFit="1" customWidth="1"/>
    <col min="14883" max="14883" width="19.5703125" style="2853" bestFit="1" customWidth="1"/>
    <col min="14884" max="14884" width="18.140625" style="2853" bestFit="1" customWidth="1"/>
    <col min="14885" max="14885" width="21" style="2853" bestFit="1" customWidth="1"/>
    <col min="14886" max="14886" width="22.28515625" style="2853" bestFit="1" customWidth="1"/>
    <col min="14887" max="15104" width="9.140625" style="2853"/>
    <col min="15105" max="15105" width="1.140625" style="2853" customWidth="1"/>
    <col min="15106" max="15106" width="44.42578125" style="2853" customWidth="1"/>
    <col min="15107" max="15117" width="0" style="2853" hidden="1" customWidth="1"/>
    <col min="15118" max="15118" width="3" style="2853" customWidth="1"/>
    <col min="15119" max="15133" width="0" style="2853" hidden="1" customWidth="1"/>
    <col min="15134" max="15134" width="18.5703125" style="2853" customWidth="1"/>
    <col min="15135" max="15136" width="0" style="2853" hidden="1" customWidth="1"/>
    <col min="15137" max="15137" width="15" style="2853" customWidth="1"/>
    <col min="15138" max="15138" width="18.28515625" style="2853" bestFit="1" customWidth="1"/>
    <col min="15139" max="15139" width="19.5703125" style="2853" bestFit="1" customWidth="1"/>
    <col min="15140" max="15140" width="18.140625" style="2853" bestFit="1" customWidth="1"/>
    <col min="15141" max="15141" width="21" style="2853" bestFit="1" customWidth="1"/>
    <col min="15142" max="15142" width="22.28515625" style="2853" bestFit="1" customWidth="1"/>
    <col min="15143" max="15360" width="9.140625" style="2853"/>
    <col min="15361" max="15361" width="1.140625" style="2853" customWidth="1"/>
    <col min="15362" max="15362" width="44.42578125" style="2853" customWidth="1"/>
    <col min="15363" max="15373" width="0" style="2853" hidden="1" customWidth="1"/>
    <col min="15374" max="15374" width="3" style="2853" customWidth="1"/>
    <col min="15375" max="15389" width="0" style="2853" hidden="1" customWidth="1"/>
    <col min="15390" max="15390" width="18.5703125" style="2853" customWidth="1"/>
    <col min="15391" max="15392" width="0" style="2853" hidden="1" customWidth="1"/>
    <col min="15393" max="15393" width="15" style="2853" customWidth="1"/>
    <col min="15394" max="15394" width="18.28515625" style="2853" bestFit="1" customWidth="1"/>
    <col min="15395" max="15395" width="19.5703125" style="2853" bestFit="1" customWidth="1"/>
    <col min="15396" max="15396" width="18.140625" style="2853" bestFit="1" customWidth="1"/>
    <col min="15397" max="15397" width="21" style="2853" bestFit="1" customWidth="1"/>
    <col min="15398" max="15398" width="22.28515625" style="2853" bestFit="1" customWidth="1"/>
    <col min="15399" max="15616" width="9.140625" style="2853"/>
    <col min="15617" max="15617" width="1.140625" style="2853" customWidth="1"/>
    <col min="15618" max="15618" width="44.42578125" style="2853" customWidth="1"/>
    <col min="15619" max="15629" width="0" style="2853" hidden="1" customWidth="1"/>
    <col min="15630" max="15630" width="3" style="2853" customWidth="1"/>
    <col min="15631" max="15645" width="0" style="2853" hidden="1" customWidth="1"/>
    <col min="15646" max="15646" width="18.5703125" style="2853" customWidth="1"/>
    <col min="15647" max="15648" width="0" style="2853" hidden="1" customWidth="1"/>
    <col min="15649" max="15649" width="15" style="2853" customWidth="1"/>
    <col min="15650" max="15650" width="18.28515625" style="2853" bestFit="1" customWidth="1"/>
    <col min="15651" max="15651" width="19.5703125" style="2853" bestFit="1" customWidth="1"/>
    <col min="15652" max="15652" width="18.140625" style="2853" bestFit="1" customWidth="1"/>
    <col min="15653" max="15653" width="21" style="2853" bestFit="1" customWidth="1"/>
    <col min="15654" max="15654" width="22.28515625" style="2853" bestFit="1" customWidth="1"/>
    <col min="15655" max="15872" width="9.140625" style="2853"/>
    <col min="15873" max="15873" width="1.140625" style="2853" customWidth="1"/>
    <col min="15874" max="15874" width="44.42578125" style="2853" customWidth="1"/>
    <col min="15875" max="15885" width="0" style="2853" hidden="1" customWidth="1"/>
    <col min="15886" max="15886" width="3" style="2853" customWidth="1"/>
    <col min="15887" max="15901" width="0" style="2853" hidden="1" customWidth="1"/>
    <col min="15902" max="15902" width="18.5703125" style="2853" customWidth="1"/>
    <col min="15903" max="15904" width="0" style="2853" hidden="1" customWidth="1"/>
    <col min="15905" max="15905" width="15" style="2853" customWidth="1"/>
    <col min="15906" max="15906" width="18.28515625" style="2853" bestFit="1" customWidth="1"/>
    <col min="15907" max="15907" width="19.5703125" style="2853" bestFit="1" customWidth="1"/>
    <col min="15908" max="15908" width="18.140625" style="2853" bestFit="1" customWidth="1"/>
    <col min="15909" max="15909" width="21" style="2853" bestFit="1" customWidth="1"/>
    <col min="15910" max="15910" width="22.28515625" style="2853" bestFit="1" customWidth="1"/>
    <col min="15911" max="16128" width="9.140625" style="2853"/>
    <col min="16129" max="16129" width="1.140625" style="2853" customWidth="1"/>
    <col min="16130" max="16130" width="44.42578125" style="2853" customWidth="1"/>
    <col min="16131" max="16141" width="0" style="2853" hidden="1" customWidth="1"/>
    <col min="16142" max="16142" width="3" style="2853" customWidth="1"/>
    <col min="16143" max="16157" width="0" style="2853" hidden="1" customWidth="1"/>
    <col min="16158" max="16158" width="18.5703125" style="2853" customWidth="1"/>
    <col min="16159" max="16160" width="0" style="2853" hidden="1" customWidth="1"/>
    <col min="16161" max="16161" width="15" style="2853" customWidth="1"/>
    <col min="16162" max="16162" width="18.28515625" style="2853" bestFit="1" customWidth="1"/>
    <col min="16163" max="16163" width="19.5703125" style="2853" bestFit="1" customWidth="1"/>
    <col min="16164" max="16164" width="18.140625" style="2853" bestFit="1" customWidth="1"/>
    <col min="16165" max="16165" width="21" style="2853" bestFit="1" customWidth="1"/>
    <col min="16166" max="16166" width="22.28515625" style="2853" bestFit="1" customWidth="1"/>
    <col min="16167" max="16384" width="9.140625" style="2853"/>
  </cols>
  <sheetData>
    <row r="1" spans="2:38">
      <c r="B1" s="6381"/>
      <c r="C1" s="6381"/>
      <c r="D1" s="6381"/>
      <c r="E1" s="6381"/>
      <c r="F1" s="6381"/>
      <c r="G1" s="6381"/>
      <c r="H1" s="6381"/>
      <c r="I1" s="6381"/>
      <c r="J1" s="6381"/>
      <c r="K1" s="6381"/>
      <c r="L1" s="6381"/>
      <c r="M1" s="6381"/>
      <c r="N1" s="6381"/>
      <c r="O1" s="6381"/>
      <c r="P1" s="6381"/>
      <c r="Q1" s="6381"/>
      <c r="R1" s="6381"/>
      <c r="S1" s="6381"/>
      <c r="T1" s="6381"/>
      <c r="U1" s="6381"/>
      <c r="V1" s="6381"/>
      <c r="W1" s="6381"/>
      <c r="X1" s="6381"/>
      <c r="Y1" s="6381"/>
      <c r="Z1" s="6381"/>
      <c r="AA1" s="6381"/>
      <c r="AB1" s="6381"/>
      <c r="AC1" s="6381"/>
      <c r="AD1" s="6381"/>
      <c r="AE1" s="6381"/>
      <c r="AF1" s="6381"/>
    </row>
    <row r="2" spans="2:38">
      <c r="B2" s="2859"/>
      <c r="C2" s="2859"/>
      <c r="D2" s="2859"/>
      <c r="E2" s="2859"/>
      <c r="F2" s="2859"/>
      <c r="G2" s="2859"/>
      <c r="H2" s="2859"/>
      <c r="I2" s="2859"/>
      <c r="J2" s="2859"/>
      <c r="K2" s="2859"/>
      <c r="L2" s="2859"/>
      <c r="M2" s="2859"/>
      <c r="N2" s="2859"/>
      <c r="O2" s="2859"/>
      <c r="P2" s="2859"/>
      <c r="Q2" s="2859"/>
    </row>
    <row r="3" spans="2:38" ht="13.5" thickBot="1">
      <c r="B3" s="2860" t="s">
        <v>2528</v>
      </c>
      <c r="C3" s="2860"/>
      <c r="D3" s="2860"/>
      <c r="E3" s="2860"/>
      <c r="F3" s="2860"/>
      <c r="G3" s="2860"/>
      <c r="H3" s="2860"/>
      <c r="I3" s="2860"/>
      <c r="J3" s="2860"/>
      <c r="K3" s="2860"/>
      <c r="L3" s="2860"/>
      <c r="M3" s="2860"/>
      <c r="N3" s="2860"/>
      <c r="O3" s="2860"/>
      <c r="P3" s="2860"/>
      <c r="Q3" s="2860"/>
      <c r="R3" s="2860"/>
      <c r="S3" s="2860"/>
      <c r="T3" s="2860"/>
      <c r="U3" s="2860"/>
      <c r="V3" s="2860"/>
      <c r="W3" s="2860"/>
      <c r="X3" s="2860"/>
      <c r="Y3" s="2860"/>
      <c r="Z3" s="2860"/>
      <c r="AA3" s="2860"/>
      <c r="AB3" s="2860"/>
      <c r="AC3" s="2860"/>
      <c r="AD3" s="2860"/>
      <c r="AE3" s="2860"/>
      <c r="AF3" s="2860"/>
    </row>
    <row r="4" spans="2:38" ht="13.5" thickBot="1">
      <c r="B4" s="2854" t="s">
        <v>94</v>
      </c>
      <c r="C4" s="2854" t="s">
        <v>94</v>
      </c>
      <c r="D4" s="2854" t="s">
        <v>94</v>
      </c>
      <c r="E4" s="2854" t="s">
        <v>94</v>
      </c>
      <c r="F4" s="2854" t="s">
        <v>94</v>
      </c>
      <c r="G4" s="2855"/>
      <c r="H4" s="2854" t="s">
        <v>94</v>
      </c>
      <c r="I4" s="2854" t="s">
        <v>94</v>
      </c>
      <c r="J4" s="2854"/>
      <c r="K4" s="2854"/>
      <c r="L4" s="2854"/>
      <c r="M4" s="2854"/>
      <c r="N4" s="2854"/>
      <c r="O4" s="2854"/>
      <c r="P4" s="2854"/>
      <c r="Q4" s="2854"/>
      <c r="R4" s="2854"/>
      <c r="S4" s="2854"/>
      <c r="T4" s="2854"/>
      <c r="U4" s="2854"/>
      <c r="V4" s="2854"/>
      <c r="W4" s="2854"/>
      <c r="Y4" s="2854"/>
      <c r="Z4" s="2854"/>
      <c r="AA4" s="2854"/>
      <c r="AB4" s="2854"/>
      <c r="AC4" s="2854"/>
      <c r="AD4" s="2854"/>
      <c r="AE4" s="2854"/>
      <c r="AF4" s="2854"/>
      <c r="AG4" s="2854"/>
      <c r="AH4" s="2854"/>
      <c r="AI4" s="2854"/>
      <c r="AJ4" s="2854"/>
      <c r="AK4" s="2854"/>
      <c r="AL4" s="3144" t="s">
        <v>1844</v>
      </c>
    </row>
    <row r="5" spans="2:38">
      <c r="B5" s="6382" t="s">
        <v>809</v>
      </c>
      <c r="C5" s="2861"/>
      <c r="D5" s="2862"/>
      <c r="E5" s="2863" t="s">
        <v>1062</v>
      </c>
      <c r="F5" s="2864" t="s">
        <v>94</v>
      </c>
      <c r="G5" s="2865"/>
      <c r="H5" s="2862"/>
      <c r="I5" s="2863" t="s">
        <v>1063</v>
      </c>
      <c r="J5" s="2866" t="s">
        <v>1064</v>
      </c>
      <c r="K5" s="2867"/>
      <c r="L5" s="2863" t="s">
        <v>2636</v>
      </c>
      <c r="M5" s="2866" t="s">
        <v>2529</v>
      </c>
      <c r="N5" s="2866"/>
      <c r="O5" s="2862"/>
      <c r="P5" s="2863" t="s">
        <v>1063</v>
      </c>
      <c r="Q5" s="2868" t="s">
        <v>1064</v>
      </c>
      <c r="R5" s="2867"/>
      <c r="S5" s="2869" t="s">
        <v>94</v>
      </c>
      <c r="T5" s="2866" t="s">
        <v>2529</v>
      </c>
      <c r="U5" s="2870"/>
      <c r="V5" s="2863" t="s">
        <v>1063</v>
      </c>
      <c r="W5" s="2871" t="s">
        <v>94</v>
      </c>
      <c r="X5" s="2862"/>
      <c r="Y5" s="2863" t="s">
        <v>1063</v>
      </c>
      <c r="Z5" s="2868" t="s">
        <v>1064</v>
      </c>
      <c r="AA5" s="2862"/>
      <c r="AB5" s="2863" t="s">
        <v>2636</v>
      </c>
      <c r="AC5" s="2866" t="s">
        <v>2529</v>
      </c>
      <c r="AD5" s="2870"/>
      <c r="AE5" s="2863" t="s">
        <v>1063</v>
      </c>
      <c r="AF5" s="2868" t="s">
        <v>94</v>
      </c>
      <c r="AG5" s="2867"/>
      <c r="AH5" s="2872" t="s">
        <v>1062</v>
      </c>
      <c r="AI5" s="2866" t="s">
        <v>2529</v>
      </c>
      <c r="AJ5" s="2870"/>
      <c r="AK5" s="2863" t="s">
        <v>1063</v>
      </c>
      <c r="AL5" s="2868" t="s">
        <v>94</v>
      </c>
    </row>
    <row r="6" spans="2:38">
      <c r="B6" s="6383"/>
      <c r="C6" s="2863" t="s">
        <v>1066</v>
      </c>
      <c r="D6" s="2868" t="s">
        <v>1067</v>
      </c>
      <c r="E6" s="2863" t="s">
        <v>1068</v>
      </c>
      <c r="F6" s="2864" t="s">
        <v>1069</v>
      </c>
      <c r="G6" s="2873"/>
      <c r="H6" s="2868" t="s">
        <v>1066</v>
      </c>
      <c r="I6" s="2863" t="s">
        <v>1070</v>
      </c>
      <c r="J6" s="2866" t="s">
        <v>1071</v>
      </c>
      <c r="K6" s="2874" t="s">
        <v>1067</v>
      </c>
      <c r="L6" s="2863" t="s">
        <v>1068</v>
      </c>
      <c r="M6" s="2868" t="s">
        <v>2530</v>
      </c>
      <c r="N6" s="2868"/>
      <c r="O6" s="2868" t="s">
        <v>1066</v>
      </c>
      <c r="P6" s="2863" t="s">
        <v>1070</v>
      </c>
      <c r="Q6" s="2868" t="s">
        <v>1071</v>
      </c>
      <c r="R6" s="2874" t="s">
        <v>94</v>
      </c>
      <c r="S6" s="2863" t="s">
        <v>2636</v>
      </c>
      <c r="T6" s="2868" t="s">
        <v>2530</v>
      </c>
      <c r="U6" s="2868" t="s">
        <v>1066</v>
      </c>
      <c r="V6" s="2863" t="s">
        <v>1070</v>
      </c>
      <c r="W6" s="2868" t="s">
        <v>1064</v>
      </c>
      <c r="X6" s="2868" t="s">
        <v>1066</v>
      </c>
      <c r="Y6" s="2863" t="s">
        <v>1070</v>
      </c>
      <c r="Z6" s="2868" t="s">
        <v>1071</v>
      </c>
      <c r="AA6" s="2868" t="s">
        <v>94</v>
      </c>
      <c r="AB6" s="2863" t="s">
        <v>1073</v>
      </c>
      <c r="AC6" s="2868" t="s">
        <v>2530</v>
      </c>
      <c r="AD6" s="2868" t="s">
        <v>1066</v>
      </c>
      <c r="AE6" s="2863" t="s">
        <v>1070</v>
      </c>
      <c r="AF6" s="2868" t="s">
        <v>1064</v>
      </c>
      <c r="AG6" s="2874" t="s">
        <v>94</v>
      </c>
      <c r="AH6" s="2863" t="s">
        <v>1073</v>
      </c>
      <c r="AI6" s="2868" t="s">
        <v>2530</v>
      </c>
      <c r="AJ6" s="2868" t="s">
        <v>1066</v>
      </c>
      <c r="AK6" s="2863" t="s">
        <v>1070</v>
      </c>
      <c r="AL6" s="2868" t="s">
        <v>1064</v>
      </c>
    </row>
    <row r="7" spans="2:38">
      <c r="B7" s="6383"/>
      <c r="C7" s="2863" t="s">
        <v>1074</v>
      </c>
      <c r="D7" s="2870"/>
      <c r="E7" s="2863" t="s">
        <v>1075</v>
      </c>
      <c r="F7" s="2866" t="s">
        <v>1076</v>
      </c>
      <c r="G7" s="2873"/>
      <c r="H7" s="2868" t="s">
        <v>1077</v>
      </c>
      <c r="I7" s="2863" t="s">
        <v>1071</v>
      </c>
      <c r="J7" s="2866" t="s">
        <v>1078</v>
      </c>
      <c r="K7" s="2867"/>
      <c r="L7" s="2863" t="s">
        <v>2531</v>
      </c>
      <c r="M7" s="2868" t="s">
        <v>1080</v>
      </c>
      <c r="N7" s="2868"/>
      <c r="O7" s="2868" t="s">
        <v>1081</v>
      </c>
      <c r="P7" s="2863" t="s">
        <v>1071</v>
      </c>
      <c r="Q7" s="2868" t="s">
        <v>1082</v>
      </c>
      <c r="R7" s="2874" t="s">
        <v>1067</v>
      </c>
      <c r="S7" s="2863" t="s">
        <v>1068</v>
      </c>
      <c r="T7" s="2868" t="s">
        <v>1080</v>
      </c>
      <c r="U7" s="2868" t="s">
        <v>1084</v>
      </c>
      <c r="V7" s="2863" t="s">
        <v>1071</v>
      </c>
      <c r="W7" s="2868" t="s">
        <v>1071</v>
      </c>
      <c r="X7" s="2868" t="s">
        <v>1081</v>
      </c>
      <c r="Y7" s="2863" t="s">
        <v>1071</v>
      </c>
      <c r="Z7" s="2868" t="s">
        <v>1082</v>
      </c>
      <c r="AA7" s="2868" t="s">
        <v>1067</v>
      </c>
      <c r="AB7" s="2863" t="s">
        <v>1083</v>
      </c>
      <c r="AC7" s="2868" t="s">
        <v>1080</v>
      </c>
      <c r="AD7" s="2868" t="s">
        <v>1086</v>
      </c>
      <c r="AE7" s="2863" t="s">
        <v>1071</v>
      </c>
      <c r="AF7" s="2868" t="s">
        <v>1071</v>
      </c>
      <c r="AG7" s="2874" t="s">
        <v>1067</v>
      </c>
      <c r="AH7" s="2863" t="s">
        <v>1083</v>
      </c>
      <c r="AI7" s="2868" t="s">
        <v>1080</v>
      </c>
      <c r="AJ7" s="2868" t="s">
        <v>2532</v>
      </c>
      <c r="AK7" s="2863" t="s">
        <v>1071</v>
      </c>
      <c r="AL7" s="2868" t="s">
        <v>1071</v>
      </c>
    </row>
    <row r="8" spans="2:38">
      <c r="B8" s="6383"/>
      <c r="C8" s="2861"/>
      <c r="D8" s="2870" t="s">
        <v>94</v>
      </c>
      <c r="E8" s="2863" t="s">
        <v>1088</v>
      </c>
      <c r="F8" s="2866" t="s">
        <v>1089</v>
      </c>
      <c r="G8" s="2873"/>
      <c r="H8" s="2870"/>
      <c r="I8" s="2863" t="s">
        <v>1090</v>
      </c>
      <c r="J8" s="2875"/>
      <c r="K8" s="2867" t="s">
        <v>94</v>
      </c>
      <c r="L8" s="2863"/>
      <c r="M8" s="2868" t="s">
        <v>2637</v>
      </c>
      <c r="N8" s="2868"/>
      <c r="O8" s="2870"/>
      <c r="P8" s="2863" t="s">
        <v>1091</v>
      </c>
      <c r="Q8" s="2876"/>
      <c r="R8" s="2867" t="s">
        <v>94</v>
      </c>
      <c r="S8" s="2863" t="s">
        <v>2531</v>
      </c>
      <c r="T8" s="2868" t="s">
        <v>2637</v>
      </c>
      <c r="U8" s="2870"/>
      <c r="V8" s="2863" t="s">
        <v>2533</v>
      </c>
      <c r="W8" s="2868" t="s">
        <v>1085</v>
      </c>
      <c r="X8" s="2870"/>
      <c r="Y8" s="2863" t="s">
        <v>1091</v>
      </c>
      <c r="Z8" s="2876"/>
      <c r="AA8" s="2870" t="s">
        <v>94</v>
      </c>
      <c r="AB8" s="2863" t="s">
        <v>1079</v>
      </c>
      <c r="AC8" s="2868" t="s">
        <v>2637</v>
      </c>
      <c r="AD8" s="2870"/>
      <c r="AE8" s="2863" t="s">
        <v>2534</v>
      </c>
      <c r="AF8" s="2868" t="s">
        <v>1087</v>
      </c>
      <c r="AG8" s="2867" t="s">
        <v>94</v>
      </c>
      <c r="AH8" s="2863" t="s">
        <v>1079</v>
      </c>
      <c r="AI8" s="2868" t="s">
        <v>2637</v>
      </c>
      <c r="AJ8" s="2870"/>
      <c r="AK8" s="2863" t="s">
        <v>2535</v>
      </c>
      <c r="AL8" s="2868" t="s">
        <v>2536</v>
      </c>
    </row>
    <row r="9" spans="2:38" ht="13.5" thickBot="1">
      <c r="B9" s="6384"/>
      <c r="C9" s="2877" t="s">
        <v>1094</v>
      </c>
      <c r="D9" s="2878" t="s">
        <v>1094</v>
      </c>
      <c r="E9" s="2877" t="s">
        <v>1095</v>
      </c>
      <c r="F9" s="2879" t="s">
        <v>1094</v>
      </c>
      <c r="G9" s="2877"/>
      <c r="H9" s="2878" t="s">
        <v>586</v>
      </c>
      <c r="I9" s="2877" t="s">
        <v>1095</v>
      </c>
      <c r="J9" s="2879" t="s">
        <v>94</v>
      </c>
      <c r="K9" s="2880" t="s">
        <v>586</v>
      </c>
      <c r="L9" s="2878" t="s">
        <v>586</v>
      </c>
      <c r="M9" s="2878" t="s">
        <v>586</v>
      </c>
      <c r="N9" s="2878"/>
      <c r="O9" s="2878" t="s">
        <v>94</v>
      </c>
      <c r="P9" s="2878" t="s">
        <v>586</v>
      </c>
      <c r="Q9" s="2878" t="s">
        <v>586</v>
      </c>
      <c r="R9" s="2880" t="s">
        <v>94</v>
      </c>
      <c r="S9" s="2878" t="s">
        <v>94</v>
      </c>
      <c r="T9" s="2878" t="s">
        <v>94</v>
      </c>
      <c r="U9" s="2878" t="s">
        <v>1095</v>
      </c>
      <c r="V9" s="2878" t="s">
        <v>94</v>
      </c>
      <c r="W9" s="2878" t="s">
        <v>94</v>
      </c>
      <c r="X9" s="2878" t="s">
        <v>94</v>
      </c>
      <c r="Y9" s="2878" t="s">
        <v>586</v>
      </c>
      <c r="Z9" s="2878" t="s">
        <v>586</v>
      </c>
      <c r="AA9" s="2878" t="s">
        <v>1095</v>
      </c>
      <c r="AB9" s="2878" t="s">
        <v>1095</v>
      </c>
      <c r="AC9" s="2878" t="s">
        <v>1095</v>
      </c>
      <c r="AD9" s="2878" t="s">
        <v>1095</v>
      </c>
      <c r="AE9" s="2878" t="s">
        <v>1095</v>
      </c>
      <c r="AF9" s="2878" t="s">
        <v>1095</v>
      </c>
      <c r="AG9" s="2878" t="s">
        <v>1095</v>
      </c>
      <c r="AH9" s="2878" t="s">
        <v>1095</v>
      </c>
      <c r="AI9" s="2878" t="s">
        <v>1095</v>
      </c>
      <c r="AJ9" s="2878" t="s">
        <v>1095</v>
      </c>
      <c r="AK9" s="2878" t="s">
        <v>1095</v>
      </c>
      <c r="AL9" s="2878" t="s">
        <v>1095</v>
      </c>
    </row>
    <row r="10" spans="2:38">
      <c r="B10" s="2857"/>
      <c r="C10" s="2881"/>
      <c r="D10" s="2882"/>
      <c r="E10" s="2881"/>
      <c r="F10" s="2883"/>
      <c r="G10" s="2881"/>
      <c r="H10" s="2882"/>
      <c r="I10" s="2881"/>
      <c r="J10" s="2855"/>
      <c r="K10" s="2884"/>
      <c r="L10" s="2881"/>
      <c r="M10" s="2882"/>
      <c r="N10" s="2882"/>
      <c r="O10" s="2882"/>
      <c r="P10" s="2881"/>
      <c r="Q10" s="2856"/>
      <c r="R10" s="2884"/>
      <c r="S10" s="2881"/>
      <c r="T10" s="2882"/>
      <c r="U10" s="2882"/>
      <c r="V10" s="2881"/>
      <c r="W10" s="2856"/>
      <c r="X10" s="2882"/>
      <c r="Y10" s="2881"/>
      <c r="Z10" s="2856"/>
      <c r="AA10" s="2885"/>
      <c r="AB10" s="2881"/>
      <c r="AC10" s="2882"/>
      <c r="AD10" s="2882"/>
      <c r="AE10" s="2881"/>
      <c r="AF10" s="2856"/>
      <c r="AG10" s="2884"/>
      <c r="AH10" s="2881"/>
      <c r="AI10" s="2882"/>
      <c r="AJ10" s="2882"/>
      <c r="AK10" s="2881"/>
      <c r="AL10" s="2856"/>
    </row>
    <row r="11" spans="2:38">
      <c r="B11" s="2886" t="s">
        <v>1096</v>
      </c>
      <c r="C11" s="2887"/>
      <c r="D11" s="2888"/>
      <c r="E11" s="2887"/>
      <c r="F11" s="2889"/>
      <c r="G11" s="2890"/>
      <c r="H11" s="2888"/>
      <c r="I11" s="2891" t="s">
        <v>1095</v>
      </c>
      <c r="J11" s="2855"/>
      <c r="K11" s="2892"/>
      <c r="L11" s="2887"/>
      <c r="M11" s="2888"/>
      <c r="N11" s="2888"/>
      <c r="O11" s="2888"/>
      <c r="P11" s="2891" t="s">
        <v>94</v>
      </c>
      <c r="Q11" s="2857"/>
      <c r="R11" s="2892"/>
      <c r="S11" s="2887"/>
      <c r="T11" s="2888"/>
      <c r="U11" s="2888"/>
      <c r="V11" s="2891" t="s">
        <v>94</v>
      </c>
      <c r="W11" s="2857"/>
      <c r="X11" s="2888"/>
      <c r="Y11" s="2891" t="s">
        <v>94</v>
      </c>
      <c r="Z11" s="2857"/>
      <c r="AA11" s="2888"/>
      <c r="AB11" s="2887"/>
      <c r="AC11" s="2888"/>
      <c r="AD11" s="2888"/>
      <c r="AE11" s="2891" t="s">
        <v>94</v>
      </c>
      <c r="AF11" s="2857"/>
      <c r="AG11" s="2892"/>
      <c r="AH11" s="2887"/>
      <c r="AI11" s="2888"/>
      <c r="AJ11" s="2888"/>
      <c r="AK11" s="2891" t="s">
        <v>94</v>
      </c>
      <c r="AL11" s="2857"/>
    </row>
    <row r="12" spans="2:38">
      <c r="B12" s="2857" t="s">
        <v>1097</v>
      </c>
      <c r="C12" s="2893">
        <v>41129691.890000001</v>
      </c>
      <c r="D12" s="2894">
        <v>0</v>
      </c>
      <c r="E12" s="2895">
        <v>0</v>
      </c>
      <c r="F12" s="2896">
        <v>0</v>
      </c>
      <c r="G12" s="2897"/>
      <c r="H12" s="2898">
        <v>41129692</v>
      </c>
      <c r="I12" s="2894">
        <v>0</v>
      </c>
      <c r="J12" s="2899">
        <f>+H12-I12</f>
        <v>41129692</v>
      </c>
      <c r="K12" s="2900">
        <v>0</v>
      </c>
      <c r="L12" s="2901">
        <v>0</v>
      </c>
      <c r="M12" s="2898">
        <v>0</v>
      </c>
      <c r="N12" s="2898"/>
      <c r="O12" s="2898">
        <f t="shared" ref="O12:O18" si="0">+H12+K12-L12+M12</f>
        <v>41129692</v>
      </c>
      <c r="P12" s="2898">
        <v>0</v>
      </c>
      <c r="Q12" s="2902">
        <f>+O12-P12</f>
        <v>41129692</v>
      </c>
      <c r="R12" s="2900">
        <v>0</v>
      </c>
      <c r="S12" s="2901">
        <v>0</v>
      </c>
      <c r="T12" s="2898">
        <v>0</v>
      </c>
      <c r="U12" s="2898">
        <f>+O12+R12-S12+T12</f>
        <v>41129692</v>
      </c>
      <c r="V12" s="2898">
        <v>0</v>
      </c>
      <c r="W12" s="2902">
        <f>+U12-V12</f>
        <v>41129692</v>
      </c>
      <c r="X12" s="2898">
        <f t="shared" ref="X12:X18" si="1">+Q12+T12-U12+V12</f>
        <v>0</v>
      </c>
      <c r="Y12" s="2898">
        <v>0</v>
      </c>
      <c r="Z12" s="2902">
        <f>+X12-Y12</f>
        <v>0</v>
      </c>
      <c r="AA12" s="2900">
        <v>0</v>
      </c>
      <c r="AB12" s="2901">
        <v>0</v>
      </c>
      <c r="AC12" s="2898">
        <v>0</v>
      </c>
      <c r="AD12" s="2898">
        <f>+U12+AA12-AB12+AC12</f>
        <v>41129692</v>
      </c>
      <c r="AE12" s="2898">
        <v>0</v>
      </c>
      <c r="AF12" s="2902">
        <f>+AD12-AE12</f>
        <v>41129692</v>
      </c>
      <c r="AG12" s="2900">
        <v>0</v>
      </c>
      <c r="AH12" s="2901">
        <v>0</v>
      </c>
      <c r="AI12" s="2898">
        <v>0</v>
      </c>
      <c r="AJ12" s="2898">
        <f>+AD12+AG12-AH12+AI12</f>
        <v>41129692</v>
      </c>
      <c r="AK12" s="2898">
        <v>0</v>
      </c>
      <c r="AL12" s="2902">
        <f>+AJ12-AK12</f>
        <v>41129692</v>
      </c>
    </row>
    <row r="13" spans="2:38">
      <c r="B13" s="2857" t="s">
        <v>1098</v>
      </c>
      <c r="C13" s="2895">
        <v>771864756.10000002</v>
      </c>
      <c r="D13" s="2894">
        <v>0</v>
      </c>
      <c r="E13" s="2895">
        <v>0</v>
      </c>
      <c r="F13" s="2896">
        <v>0</v>
      </c>
      <c r="G13" s="2897"/>
      <c r="H13" s="2898">
        <v>771864756</v>
      </c>
      <c r="I13" s="2894">
        <v>248034959</v>
      </c>
      <c r="J13" s="2899">
        <f t="shared" ref="J13:J47" si="2">+H13-I13</f>
        <v>523829797</v>
      </c>
      <c r="K13" s="2900">
        <v>0</v>
      </c>
      <c r="L13" s="2901">
        <v>0</v>
      </c>
      <c r="M13" s="2898">
        <v>0</v>
      </c>
      <c r="N13" s="2898" t="s">
        <v>801</v>
      </c>
      <c r="O13" s="2898">
        <f t="shared" si="0"/>
        <v>771864756</v>
      </c>
      <c r="P13" s="2898">
        <v>263037499</v>
      </c>
      <c r="Q13" s="2902">
        <f t="shared" ref="Q13:Q18" si="3">+O13-P13</f>
        <v>508827257</v>
      </c>
      <c r="R13" s="2900">
        <v>0</v>
      </c>
      <c r="S13" s="2901">
        <v>0</v>
      </c>
      <c r="T13" s="2898">
        <v>0</v>
      </c>
      <c r="U13" s="2898">
        <f t="shared" ref="U13:U20" si="4">+O13+R13-S13+T13</f>
        <v>771864756</v>
      </c>
      <c r="V13" s="2898">
        <v>278034017</v>
      </c>
      <c r="W13" s="2902">
        <f t="shared" ref="W13:W18" si="5">+U13-V13</f>
        <v>493830739</v>
      </c>
      <c r="X13" s="2898">
        <f t="shared" si="1"/>
        <v>14996518</v>
      </c>
      <c r="Y13" s="2898">
        <v>263037499</v>
      </c>
      <c r="Z13" s="2902">
        <f t="shared" ref="Z13:Z18" si="6">+X13-Y13</f>
        <v>-248040981</v>
      </c>
      <c r="AA13" s="2900">
        <v>31600</v>
      </c>
      <c r="AB13" s="2901">
        <v>0</v>
      </c>
      <c r="AC13" s="2898">
        <v>0</v>
      </c>
      <c r="AD13" s="2898">
        <f t="shared" ref="AD13:AD18" si="7">+U13+AA13-AB13+AC13</f>
        <v>771896356</v>
      </c>
      <c r="AE13" s="2898">
        <v>302873502</v>
      </c>
      <c r="AF13" s="2902">
        <f t="shared" ref="AF13:AF18" si="8">+AD13-AE13</f>
        <v>469022854</v>
      </c>
      <c r="AG13" s="2900">
        <v>3908429</v>
      </c>
      <c r="AH13" s="2901">
        <v>981547</v>
      </c>
      <c r="AI13" s="2898">
        <v>0</v>
      </c>
      <c r="AJ13" s="2898">
        <f t="shared" ref="AJ13:AJ18" si="9">+AD13+AG13-AH13+AI13</f>
        <v>774823238</v>
      </c>
      <c r="AK13" s="2898">
        <v>326863269</v>
      </c>
      <c r="AL13" s="2902">
        <f t="shared" ref="AL13:AL18" si="10">+AJ13-AK13</f>
        <v>447959969</v>
      </c>
    </row>
    <row r="14" spans="2:38">
      <c r="B14" s="2857" t="s">
        <v>1099</v>
      </c>
      <c r="C14" s="2895">
        <v>44953355.890000001</v>
      </c>
      <c r="D14" s="2894">
        <v>3203947</v>
      </c>
      <c r="E14" s="2895">
        <v>1598809.36</v>
      </c>
      <c r="F14" s="2896">
        <v>0</v>
      </c>
      <c r="G14" s="2897"/>
      <c r="H14" s="2898">
        <v>46558494</v>
      </c>
      <c r="I14" s="2894">
        <v>24075622</v>
      </c>
      <c r="J14" s="2899">
        <f t="shared" si="2"/>
        <v>22482872</v>
      </c>
      <c r="K14" s="2900">
        <v>0</v>
      </c>
      <c r="L14" s="2901">
        <v>0</v>
      </c>
      <c r="M14" s="2898">
        <v>540142</v>
      </c>
      <c r="N14" s="2898"/>
      <c r="O14" s="2898">
        <f t="shared" si="0"/>
        <v>47098636</v>
      </c>
      <c r="P14" s="2898">
        <v>27002241</v>
      </c>
      <c r="Q14" s="2902">
        <f t="shared" si="3"/>
        <v>20096395</v>
      </c>
      <c r="R14" s="2900">
        <v>2914684</v>
      </c>
      <c r="S14" s="2901">
        <v>1940140</v>
      </c>
      <c r="T14" s="2898">
        <v>0</v>
      </c>
      <c r="U14" s="2898">
        <f t="shared" si="4"/>
        <v>48073180</v>
      </c>
      <c r="V14" s="2898">
        <v>26586915</v>
      </c>
      <c r="W14" s="2902">
        <f t="shared" si="5"/>
        <v>21486265</v>
      </c>
      <c r="X14" s="2898">
        <f t="shared" si="1"/>
        <v>-1389870</v>
      </c>
      <c r="Y14" s="2898">
        <v>27002241</v>
      </c>
      <c r="Z14" s="2902">
        <f t="shared" si="6"/>
        <v>-28392111</v>
      </c>
      <c r="AA14" s="2900">
        <v>0</v>
      </c>
      <c r="AB14" s="2901">
        <v>0</v>
      </c>
      <c r="AC14" s="2898">
        <v>0</v>
      </c>
      <c r="AD14" s="2898">
        <f t="shared" si="7"/>
        <v>48073180</v>
      </c>
      <c r="AE14" s="2898">
        <v>27883702</v>
      </c>
      <c r="AF14" s="2902">
        <f t="shared" si="8"/>
        <v>20189478</v>
      </c>
      <c r="AG14" s="2900">
        <v>805406</v>
      </c>
      <c r="AH14" s="2901">
        <v>0</v>
      </c>
      <c r="AI14" s="2898">
        <v>0</v>
      </c>
      <c r="AJ14" s="2898">
        <f t="shared" si="9"/>
        <v>48878586</v>
      </c>
      <c r="AK14" s="2898">
        <v>28891070</v>
      </c>
      <c r="AL14" s="2902">
        <f t="shared" si="10"/>
        <v>19987516</v>
      </c>
    </row>
    <row r="15" spans="2:38">
      <c r="B15" s="2857" t="s">
        <v>1111</v>
      </c>
      <c r="C15" s="2895">
        <v>38379262</v>
      </c>
      <c r="D15" s="2894">
        <v>0</v>
      </c>
      <c r="E15" s="2895">
        <v>0</v>
      </c>
      <c r="F15" s="2896">
        <v>0</v>
      </c>
      <c r="G15" s="2897"/>
      <c r="H15" s="2898">
        <v>38379262</v>
      </c>
      <c r="I15" s="2894">
        <v>28489210</v>
      </c>
      <c r="J15" s="2899">
        <f t="shared" si="2"/>
        <v>9890052</v>
      </c>
      <c r="K15" s="2900">
        <v>0</v>
      </c>
      <c r="L15" s="2901">
        <v>0</v>
      </c>
      <c r="M15" s="2898">
        <v>0</v>
      </c>
      <c r="N15" s="2898"/>
      <c r="O15" s="2898">
        <f t="shared" si="0"/>
        <v>38379262</v>
      </c>
      <c r="P15" s="2898">
        <v>29213375</v>
      </c>
      <c r="Q15" s="2902">
        <f t="shared" si="3"/>
        <v>9165887</v>
      </c>
      <c r="R15" s="2900">
        <v>0</v>
      </c>
      <c r="S15" s="2901">
        <v>0</v>
      </c>
      <c r="T15" s="2898">
        <v>0</v>
      </c>
      <c r="U15" s="2898">
        <f t="shared" si="4"/>
        <v>38379262</v>
      </c>
      <c r="V15" s="2898">
        <v>29504353</v>
      </c>
      <c r="W15" s="2902">
        <f t="shared" si="5"/>
        <v>8874909</v>
      </c>
      <c r="X15" s="2898">
        <f t="shared" si="1"/>
        <v>290978</v>
      </c>
      <c r="Y15" s="2898">
        <v>29213375</v>
      </c>
      <c r="Z15" s="2902">
        <f t="shared" si="6"/>
        <v>-28922397</v>
      </c>
      <c r="AA15" s="2900">
        <v>0</v>
      </c>
      <c r="AB15" s="2901">
        <v>0</v>
      </c>
      <c r="AC15" s="2898">
        <v>0</v>
      </c>
      <c r="AD15" s="2898">
        <f t="shared" si="7"/>
        <v>38379262</v>
      </c>
      <c r="AE15" s="2898">
        <v>29722693</v>
      </c>
      <c r="AF15" s="2902">
        <f t="shared" si="8"/>
        <v>8656569</v>
      </c>
      <c r="AG15" s="2900">
        <v>0</v>
      </c>
      <c r="AH15" s="2901">
        <v>0</v>
      </c>
      <c r="AI15" s="2898">
        <v>0</v>
      </c>
      <c r="AJ15" s="2898">
        <f t="shared" si="9"/>
        <v>38379262</v>
      </c>
      <c r="AK15" s="2898">
        <v>29781949</v>
      </c>
      <c r="AL15" s="2902">
        <f t="shared" si="10"/>
        <v>8597313</v>
      </c>
    </row>
    <row r="16" spans="2:38">
      <c r="B16" s="2857" t="s">
        <v>1101</v>
      </c>
      <c r="C16" s="2895">
        <v>41338843.759999998</v>
      </c>
      <c r="D16" s="2894">
        <f>42188+10071643.44</f>
        <v>10113831.439999999</v>
      </c>
      <c r="E16" s="2895">
        <v>2002143.97</v>
      </c>
      <c r="F16" s="2896">
        <v>217920.46</v>
      </c>
      <c r="G16" s="2897"/>
      <c r="H16" s="2898">
        <v>49668451</v>
      </c>
      <c r="I16" s="2894">
        <v>23474476</v>
      </c>
      <c r="J16" s="2899">
        <f t="shared" si="2"/>
        <v>26193975</v>
      </c>
      <c r="K16" s="2900">
        <v>5605782</v>
      </c>
      <c r="L16" s="2898">
        <v>2111574</v>
      </c>
      <c r="M16" s="2898">
        <v>0</v>
      </c>
      <c r="N16" s="2898"/>
      <c r="O16" s="2898">
        <f t="shared" si="0"/>
        <v>53162659</v>
      </c>
      <c r="P16" s="2898">
        <v>26442689</v>
      </c>
      <c r="Q16" s="2902">
        <f t="shared" si="3"/>
        <v>26719970</v>
      </c>
      <c r="R16" s="2900">
        <v>9928585</v>
      </c>
      <c r="S16" s="2898">
        <v>2134539</v>
      </c>
      <c r="T16" s="2898">
        <v>148451</v>
      </c>
      <c r="U16" s="2898">
        <f t="shared" si="4"/>
        <v>61105156</v>
      </c>
      <c r="V16" s="2898">
        <v>28624397</v>
      </c>
      <c r="W16" s="2902">
        <f t="shared" si="5"/>
        <v>32480759</v>
      </c>
      <c r="X16" s="2898">
        <f t="shared" si="1"/>
        <v>-5612338</v>
      </c>
      <c r="Y16" s="2898">
        <v>26442689</v>
      </c>
      <c r="Z16" s="2902">
        <f t="shared" si="6"/>
        <v>-32055027</v>
      </c>
      <c r="AA16" s="2900">
        <v>4096250</v>
      </c>
      <c r="AB16" s="2898">
        <v>16800219</v>
      </c>
      <c r="AC16" s="2898">
        <v>-85130</v>
      </c>
      <c r="AD16" s="2898">
        <f t="shared" si="7"/>
        <v>48316057</v>
      </c>
      <c r="AE16" s="2898">
        <v>23963970</v>
      </c>
      <c r="AF16" s="2902">
        <f t="shared" si="8"/>
        <v>24352087</v>
      </c>
      <c r="AG16" s="2900">
        <v>6651193</v>
      </c>
      <c r="AH16" s="2898">
        <v>527589</v>
      </c>
      <c r="AI16" s="2898">
        <v>0</v>
      </c>
      <c r="AJ16" s="2898">
        <f t="shared" si="9"/>
        <v>54439661</v>
      </c>
      <c r="AK16" s="2898">
        <v>27742919</v>
      </c>
      <c r="AL16" s="2902">
        <f t="shared" si="10"/>
        <v>26696742</v>
      </c>
    </row>
    <row r="17" spans="2:38">
      <c r="B17" s="2857" t="s">
        <v>1102</v>
      </c>
      <c r="C17" s="2895">
        <v>1961104</v>
      </c>
      <c r="D17" s="2894">
        <v>15751</v>
      </c>
      <c r="E17" s="2895">
        <v>0</v>
      </c>
      <c r="F17" s="2896">
        <v>0</v>
      </c>
      <c r="G17" s="2897"/>
      <c r="H17" s="2898">
        <v>1976855</v>
      </c>
      <c r="I17" s="2894">
        <v>1081718</v>
      </c>
      <c r="J17" s="2899">
        <f t="shared" si="2"/>
        <v>895137</v>
      </c>
      <c r="K17" s="2900">
        <v>0</v>
      </c>
      <c r="L17" s="2901">
        <v>0</v>
      </c>
      <c r="M17" s="2898">
        <v>0</v>
      </c>
      <c r="N17" s="2898"/>
      <c r="O17" s="2898">
        <f t="shared" si="0"/>
        <v>1976855</v>
      </c>
      <c r="P17" s="2898">
        <v>1145378</v>
      </c>
      <c r="Q17" s="2902">
        <f t="shared" si="3"/>
        <v>831477</v>
      </c>
      <c r="R17" s="2900">
        <v>214200</v>
      </c>
      <c r="S17" s="2901">
        <v>2809</v>
      </c>
      <c r="T17" s="2898">
        <v>0</v>
      </c>
      <c r="U17" s="2898">
        <f t="shared" si="4"/>
        <v>2188246</v>
      </c>
      <c r="V17" s="2898">
        <v>1201422</v>
      </c>
      <c r="W17" s="2902">
        <f t="shared" si="5"/>
        <v>986824</v>
      </c>
      <c r="X17" s="2898">
        <f t="shared" si="1"/>
        <v>-155347</v>
      </c>
      <c r="Y17" s="2898">
        <v>1145378</v>
      </c>
      <c r="Z17" s="2902">
        <f t="shared" si="6"/>
        <v>-1300725</v>
      </c>
      <c r="AA17" s="2900">
        <v>22218</v>
      </c>
      <c r="AB17" s="2901">
        <v>0</v>
      </c>
      <c r="AC17" s="2898">
        <v>0</v>
      </c>
      <c r="AD17" s="2898">
        <f t="shared" si="7"/>
        <v>2210464</v>
      </c>
      <c r="AE17" s="2898">
        <v>1262780</v>
      </c>
      <c r="AF17" s="2902">
        <f t="shared" si="8"/>
        <v>947684</v>
      </c>
      <c r="AG17" s="2900">
        <v>1201920</v>
      </c>
      <c r="AH17" s="2901">
        <v>237359</v>
      </c>
      <c r="AI17" s="2898">
        <v>0</v>
      </c>
      <c r="AJ17" s="2898">
        <f t="shared" si="9"/>
        <v>3175025</v>
      </c>
      <c r="AK17" s="2898">
        <v>1111689</v>
      </c>
      <c r="AL17" s="2902">
        <f t="shared" si="10"/>
        <v>2063336</v>
      </c>
    </row>
    <row r="18" spans="2:38">
      <c r="B18" s="2857" t="s">
        <v>1103</v>
      </c>
      <c r="C18" s="2895">
        <v>3158350</v>
      </c>
      <c r="D18" s="2894">
        <v>0</v>
      </c>
      <c r="E18" s="2895">
        <v>0</v>
      </c>
      <c r="F18" s="2896">
        <v>0</v>
      </c>
      <c r="G18" s="2897"/>
      <c r="H18" s="2898">
        <v>3158350</v>
      </c>
      <c r="I18" s="2894">
        <v>492360</v>
      </c>
      <c r="J18" s="2899">
        <f t="shared" si="2"/>
        <v>2665990</v>
      </c>
      <c r="K18" s="2900">
        <v>0</v>
      </c>
      <c r="L18" s="2901">
        <v>0</v>
      </c>
      <c r="M18" s="2898">
        <v>0</v>
      </c>
      <c r="N18" s="2898"/>
      <c r="O18" s="2898">
        <f t="shared" si="0"/>
        <v>3158350</v>
      </c>
      <c r="P18" s="2898">
        <v>520785</v>
      </c>
      <c r="Q18" s="2902">
        <f t="shared" si="3"/>
        <v>2637565</v>
      </c>
      <c r="R18" s="2900">
        <v>0</v>
      </c>
      <c r="S18" s="2901">
        <v>0</v>
      </c>
      <c r="T18" s="2898">
        <v>0</v>
      </c>
      <c r="U18" s="2898">
        <f t="shared" si="4"/>
        <v>3158350</v>
      </c>
      <c r="V18" s="2898">
        <v>549210</v>
      </c>
      <c r="W18" s="2902">
        <f t="shared" si="5"/>
        <v>2609140</v>
      </c>
      <c r="X18" s="2898">
        <f t="shared" si="1"/>
        <v>28425</v>
      </c>
      <c r="Y18" s="2898">
        <v>520785</v>
      </c>
      <c r="Z18" s="2902">
        <f t="shared" si="6"/>
        <v>-492360</v>
      </c>
      <c r="AA18" s="2900">
        <v>0</v>
      </c>
      <c r="AB18" s="2901">
        <v>0</v>
      </c>
      <c r="AC18" s="2898">
        <v>0</v>
      </c>
      <c r="AD18" s="2898">
        <f t="shared" si="7"/>
        <v>3158350</v>
      </c>
      <c r="AE18" s="2898">
        <v>715971</v>
      </c>
      <c r="AF18" s="2902">
        <f t="shared" si="8"/>
        <v>2442379</v>
      </c>
      <c r="AG18" s="2900">
        <v>102038</v>
      </c>
      <c r="AH18" s="2901">
        <v>0</v>
      </c>
      <c r="AI18" s="2898">
        <v>0</v>
      </c>
      <c r="AJ18" s="2898">
        <f t="shared" si="9"/>
        <v>3260388</v>
      </c>
      <c r="AK18" s="2898">
        <v>882732</v>
      </c>
      <c r="AL18" s="2902">
        <f t="shared" si="10"/>
        <v>2377656</v>
      </c>
    </row>
    <row r="19" spans="2:38">
      <c r="B19" s="2903" t="s">
        <v>94</v>
      </c>
      <c r="C19" s="2904" t="s">
        <v>94</v>
      </c>
      <c r="D19" s="2905"/>
      <c r="E19" s="2904" t="s">
        <v>277</v>
      </c>
      <c r="F19" s="2906" t="s">
        <v>94</v>
      </c>
      <c r="G19" s="2897"/>
      <c r="H19" s="2907" t="s">
        <v>94</v>
      </c>
      <c r="I19" s="2908"/>
      <c r="J19" s="2899"/>
      <c r="K19" s="2909"/>
      <c r="L19" s="2910" t="s">
        <v>277</v>
      </c>
      <c r="M19" s="2907" t="s">
        <v>94</v>
      </c>
      <c r="N19" s="2907"/>
      <c r="O19" s="2907" t="s">
        <v>94</v>
      </c>
      <c r="P19" s="2900"/>
      <c r="Q19" s="2902"/>
      <c r="R19" s="2909"/>
      <c r="S19" s="2910" t="s">
        <v>277</v>
      </c>
      <c r="T19" s="2907" t="s">
        <v>94</v>
      </c>
      <c r="U19" s="2907" t="s">
        <v>94</v>
      </c>
      <c r="V19" s="2900"/>
      <c r="W19" s="2902"/>
      <c r="X19" s="2907" t="s">
        <v>94</v>
      </c>
      <c r="Y19" s="2900"/>
      <c r="Z19" s="2902"/>
      <c r="AA19" s="2909"/>
      <c r="AB19" s="2910" t="s">
        <v>277</v>
      </c>
      <c r="AC19" s="2907" t="s">
        <v>94</v>
      </c>
      <c r="AD19" s="2907" t="s">
        <v>94</v>
      </c>
      <c r="AE19" s="2900"/>
      <c r="AF19" s="2902"/>
      <c r="AG19" s="2909"/>
      <c r="AH19" s="2910" t="s">
        <v>277</v>
      </c>
      <c r="AI19" s="2907" t="s">
        <v>94</v>
      </c>
      <c r="AJ19" s="2907" t="s">
        <v>94</v>
      </c>
      <c r="AK19" s="2900"/>
      <c r="AL19" s="2902"/>
    </row>
    <row r="20" spans="2:38">
      <c r="B20" s="2911" t="s">
        <v>499</v>
      </c>
      <c r="C20" s="2912">
        <f t="shared" ref="C20:H20" si="11">SUM(C12:C19)</f>
        <v>942785363.63999999</v>
      </c>
      <c r="D20" s="2912">
        <f t="shared" si="11"/>
        <v>13333529.439999999</v>
      </c>
      <c r="E20" s="2912">
        <f t="shared" si="11"/>
        <v>3600953.33</v>
      </c>
      <c r="F20" s="2913">
        <f t="shared" si="11"/>
        <v>217920.46</v>
      </c>
      <c r="G20" s="2914"/>
      <c r="H20" s="2915">
        <f t="shared" si="11"/>
        <v>952735860</v>
      </c>
      <c r="I20" s="2916">
        <f>SUM(I13:I19)</f>
        <v>325648345</v>
      </c>
      <c r="J20" s="2917">
        <f t="shared" si="2"/>
        <v>627087515</v>
      </c>
      <c r="K20" s="2918">
        <f t="shared" ref="K20:P20" si="12">SUM(K12:K19)</f>
        <v>5605782</v>
      </c>
      <c r="L20" s="2919">
        <f t="shared" si="12"/>
        <v>2111574</v>
      </c>
      <c r="M20" s="2915">
        <f t="shared" si="12"/>
        <v>540142</v>
      </c>
      <c r="N20" s="2915"/>
      <c r="O20" s="2915">
        <f>+H20+K20-L20+M20</f>
        <v>956770210</v>
      </c>
      <c r="P20" s="2915">
        <f t="shared" si="12"/>
        <v>347361967</v>
      </c>
      <c r="Q20" s="2920">
        <f>+O20-P20</f>
        <v>609408243</v>
      </c>
      <c r="R20" s="2918">
        <f>SUM(R12:R19)</f>
        <v>13057469</v>
      </c>
      <c r="S20" s="2919">
        <f>SUM(S12:S19)</f>
        <v>4077488</v>
      </c>
      <c r="T20" s="2915">
        <f>SUM(T12:T19)</f>
        <v>148451</v>
      </c>
      <c r="U20" s="2915">
        <f t="shared" si="4"/>
        <v>965898642</v>
      </c>
      <c r="V20" s="2915">
        <f>SUM(V12:V19)</f>
        <v>364500314</v>
      </c>
      <c r="W20" s="2920">
        <f>+U20-V20</f>
        <v>601398328</v>
      </c>
      <c r="X20" s="2915">
        <f>+Q20+T20-U20+V20</f>
        <v>8158366</v>
      </c>
      <c r="Y20" s="2915">
        <f>SUM(Y12:Y19)</f>
        <v>347361967</v>
      </c>
      <c r="Z20" s="2920">
        <f>+X20-Y20</f>
        <v>-339203601</v>
      </c>
      <c r="AA20" s="2918">
        <f>SUM(AA12:AA19)</f>
        <v>4150068</v>
      </c>
      <c r="AB20" s="2919">
        <f>SUM(AB12:AB19)</f>
        <v>16800219</v>
      </c>
      <c r="AC20" s="2915">
        <f>SUM(AC12:AC19)</f>
        <v>-85130</v>
      </c>
      <c r="AD20" s="2915">
        <f>+U20+AA20-AB20+AC20</f>
        <v>953163361</v>
      </c>
      <c r="AE20" s="2915">
        <f>SUM(AE12:AE19)</f>
        <v>386422618</v>
      </c>
      <c r="AF20" s="2920">
        <f>+AD20-AE20</f>
        <v>566740743</v>
      </c>
      <c r="AG20" s="2918">
        <f>SUM(AG12:AG19)</f>
        <v>12668986</v>
      </c>
      <c r="AH20" s="2921">
        <f>SUM(AH12:AH19)</f>
        <v>1746495</v>
      </c>
      <c r="AI20" s="2915">
        <f>SUM(AI12:AI19)</f>
        <v>0</v>
      </c>
      <c r="AJ20" s="2915">
        <f>+AD20+AG20-AH20+AI20</f>
        <v>964085852</v>
      </c>
      <c r="AK20" s="2915">
        <f>SUM(AK12:AK19)</f>
        <v>415273628</v>
      </c>
      <c r="AL20" s="2920">
        <f>+AJ20-AK20</f>
        <v>548812224</v>
      </c>
    </row>
    <row r="21" spans="2:38">
      <c r="B21" s="2857" t="s">
        <v>94</v>
      </c>
      <c r="C21" s="2895" t="s">
        <v>94</v>
      </c>
      <c r="D21" s="2896" t="s">
        <v>94</v>
      </c>
      <c r="E21" s="2922" t="s">
        <v>94</v>
      </c>
      <c r="F21" s="2896" t="s">
        <v>94</v>
      </c>
      <c r="G21" s="2897"/>
      <c r="H21" s="2894" t="s">
        <v>94</v>
      </c>
      <c r="I21" s="2908"/>
      <c r="J21" s="2899"/>
      <c r="K21" s="2923" t="s">
        <v>94</v>
      </c>
      <c r="L21" s="2924" t="s">
        <v>94</v>
      </c>
      <c r="M21" s="2898" t="s">
        <v>94</v>
      </c>
      <c r="N21" s="2898"/>
      <c r="O21" s="2898" t="s">
        <v>94</v>
      </c>
      <c r="P21" s="2900"/>
      <c r="Q21" s="2902"/>
      <c r="R21" s="2923" t="s">
        <v>94</v>
      </c>
      <c r="S21" s="2924" t="s">
        <v>94</v>
      </c>
      <c r="T21" s="2898" t="s">
        <v>94</v>
      </c>
      <c r="U21" s="2898" t="s">
        <v>94</v>
      </c>
      <c r="V21" s="2900"/>
      <c r="W21" s="2902"/>
      <c r="X21" s="2898" t="s">
        <v>94</v>
      </c>
      <c r="Y21" s="2900"/>
      <c r="Z21" s="2902"/>
      <c r="AA21" s="2923" t="s">
        <v>94</v>
      </c>
      <c r="AB21" s="2924" t="s">
        <v>94</v>
      </c>
      <c r="AC21" s="2898" t="s">
        <v>94</v>
      </c>
      <c r="AD21" s="2898" t="s">
        <v>94</v>
      </c>
      <c r="AE21" s="2900"/>
      <c r="AF21" s="2902"/>
      <c r="AG21" s="2923" t="s">
        <v>94</v>
      </c>
      <c r="AH21" s="2924" t="s">
        <v>94</v>
      </c>
      <c r="AI21" s="2898" t="s">
        <v>94</v>
      </c>
      <c r="AJ21" s="2898" t="s">
        <v>94</v>
      </c>
      <c r="AK21" s="2900"/>
      <c r="AL21" s="2902"/>
    </row>
    <row r="22" spans="2:38">
      <c r="B22" s="2886" t="s">
        <v>1104</v>
      </c>
      <c r="C22" s="2895"/>
      <c r="D22" s="2896"/>
      <c r="E22" s="2894"/>
      <c r="F22" s="2896"/>
      <c r="G22" s="2897"/>
      <c r="H22" s="2894"/>
      <c r="I22" s="2908"/>
      <c r="J22" s="2899" t="s">
        <v>94</v>
      </c>
      <c r="K22" s="2923"/>
      <c r="L22" s="2898"/>
      <c r="M22" s="2898"/>
      <c r="N22" s="2898"/>
      <c r="O22" s="2898"/>
      <c r="P22" s="2900"/>
      <c r="Q22" s="2902" t="s">
        <v>94</v>
      </c>
      <c r="R22" s="2923"/>
      <c r="S22" s="2898"/>
      <c r="T22" s="2898"/>
      <c r="U22" s="2898"/>
      <c r="V22" s="2900"/>
      <c r="W22" s="2902" t="s">
        <v>94</v>
      </c>
      <c r="X22" s="2898"/>
      <c r="Y22" s="2900"/>
      <c r="Z22" s="2902" t="s">
        <v>94</v>
      </c>
      <c r="AA22" s="2923"/>
      <c r="AB22" s="2898"/>
      <c r="AC22" s="2898"/>
      <c r="AD22" s="2898"/>
      <c r="AE22" s="2900"/>
      <c r="AF22" s="2902" t="s">
        <v>94</v>
      </c>
      <c r="AG22" s="2923"/>
      <c r="AH22" s="2898"/>
      <c r="AI22" s="2898"/>
      <c r="AJ22" s="2898"/>
      <c r="AK22" s="2900"/>
      <c r="AL22" s="2902" t="s">
        <v>94</v>
      </c>
    </row>
    <row r="23" spans="2:38">
      <c r="B23" s="2857" t="s">
        <v>1105</v>
      </c>
      <c r="C23" s="2895">
        <v>22953418.100000001</v>
      </c>
      <c r="D23" s="2896">
        <v>0</v>
      </c>
      <c r="E23" s="2894">
        <v>0</v>
      </c>
      <c r="F23" s="2896">
        <v>0</v>
      </c>
      <c r="G23" s="2897"/>
      <c r="H23" s="2898">
        <v>22953418</v>
      </c>
      <c r="I23" s="2894">
        <v>0</v>
      </c>
      <c r="J23" s="2899">
        <f t="shared" si="2"/>
        <v>22953418</v>
      </c>
      <c r="K23" s="2923">
        <v>0</v>
      </c>
      <c r="L23" s="2898">
        <v>0</v>
      </c>
      <c r="M23" s="2898">
        <v>0</v>
      </c>
      <c r="N23" s="2898"/>
      <c r="O23" s="2898">
        <f t="shared" ref="O23:O32" si="13">+H23+K23-L23+M23</f>
        <v>22953418</v>
      </c>
      <c r="P23" s="2898">
        <v>0</v>
      </c>
      <c r="Q23" s="2902">
        <f t="shared" ref="Q23:Q32" si="14">+O23-P23</f>
        <v>22953418</v>
      </c>
      <c r="R23" s="2923">
        <v>0</v>
      </c>
      <c r="S23" s="2898">
        <v>0</v>
      </c>
      <c r="T23" s="2898">
        <v>0</v>
      </c>
      <c r="U23" s="2898">
        <f t="shared" ref="U23:U32" si="15">+O23+R23-S23+T23</f>
        <v>22953418</v>
      </c>
      <c r="V23" s="2898">
        <v>0</v>
      </c>
      <c r="W23" s="2902">
        <f t="shared" ref="W23:W32" si="16">+U23-V23</f>
        <v>22953418</v>
      </c>
      <c r="X23" s="2898">
        <f t="shared" ref="X23:X32" si="17">+Q23+T23-U23+V23</f>
        <v>0</v>
      </c>
      <c r="Y23" s="2898">
        <v>0</v>
      </c>
      <c r="Z23" s="2902">
        <f t="shared" ref="Z23:Z32" si="18">+X23-Y23</f>
        <v>0</v>
      </c>
      <c r="AA23" s="2923">
        <v>0</v>
      </c>
      <c r="AB23" s="2898">
        <v>0</v>
      </c>
      <c r="AC23" s="2898">
        <v>0</v>
      </c>
      <c r="AD23" s="2925">
        <f>+U23+AA23-AB23+AC23</f>
        <v>22953418</v>
      </c>
      <c r="AE23" s="2898">
        <v>0</v>
      </c>
      <c r="AF23" s="2902">
        <f t="shared" ref="AF23:AF32" si="19">+AD23-AE23</f>
        <v>22953418</v>
      </c>
      <c r="AG23" s="2923">
        <v>0</v>
      </c>
      <c r="AH23" s="2898">
        <v>0</v>
      </c>
      <c r="AI23" s="2898">
        <v>0</v>
      </c>
      <c r="AJ23" s="2898">
        <f t="shared" ref="AJ23:AJ32" si="20">+AD23+AG23-AH23+AI23</f>
        <v>22953418</v>
      </c>
      <c r="AK23" s="2898">
        <v>0</v>
      </c>
      <c r="AL23" s="2902">
        <f t="shared" ref="AL23:AL32" si="21">+AJ23-AK23</f>
        <v>22953418</v>
      </c>
    </row>
    <row r="24" spans="2:38">
      <c r="B24" s="2857" t="s">
        <v>1098</v>
      </c>
      <c r="C24" s="2895">
        <v>478996723.49000001</v>
      </c>
      <c r="D24" s="2896">
        <v>35471546.909999996</v>
      </c>
      <c r="E24" s="2894">
        <v>0</v>
      </c>
      <c r="F24" s="2896">
        <v>0</v>
      </c>
      <c r="G24" s="2897"/>
      <c r="H24" s="2898">
        <v>514468270</v>
      </c>
      <c r="I24" s="2894">
        <v>151998008</v>
      </c>
      <c r="J24" s="2899">
        <f t="shared" si="2"/>
        <v>362470262</v>
      </c>
      <c r="K24" s="2923">
        <v>36732835</v>
      </c>
      <c r="L24" s="2926">
        <v>0</v>
      </c>
      <c r="M24" s="2926" t="e">
        <f>+#REF!</f>
        <v>#REF!</v>
      </c>
      <c r="N24" s="2926"/>
      <c r="O24" s="2898" t="e">
        <f t="shared" si="13"/>
        <v>#REF!</v>
      </c>
      <c r="P24" s="2898">
        <v>162481598</v>
      </c>
      <c r="Q24" s="2902" t="e">
        <f t="shared" si="14"/>
        <v>#REF!</v>
      </c>
      <c r="R24" s="2923">
        <v>35334694</v>
      </c>
      <c r="S24" s="2926">
        <v>0</v>
      </c>
      <c r="T24" s="2926">
        <v>0</v>
      </c>
      <c r="U24" s="2898" t="e">
        <f t="shared" si="15"/>
        <v>#REF!</v>
      </c>
      <c r="V24" s="2898">
        <v>172956816</v>
      </c>
      <c r="W24" s="2902" t="e">
        <f t="shared" si="16"/>
        <v>#REF!</v>
      </c>
      <c r="X24" s="2898" t="e">
        <f t="shared" si="17"/>
        <v>#REF!</v>
      </c>
      <c r="Y24" s="2898">
        <v>162481598</v>
      </c>
      <c r="Z24" s="2902" t="e">
        <f t="shared" si="18"/>
        <v>#REF!</v>
      </c>
      <c r="AA24" s="2923">
        <v>39840121</v>
      </c>
      <c r="AB24" s="2926">
        <v>0</v>
      </c>
      <c r="AC24" s="2926">
        <v>0</v>
      </c>
      <c r="AD24" s="2898">
        <v>626375920</v>
      </c>
      <c r="AE24" s="2898">
        <v>192049619</v>
      </c>
      <c r="AF24" s="2902">
        <f t="shared" si="19"/>
        <v>434326301</v>
      </c>
      <c r="AG24" s="2923">
        <v>35295322</v>
      </c>
      <c r="AH24" s="2926">
        <v>0</v>
      </c>
      <c r="AI24" s="2926">
        <v>0</v>
      </c>
      <c r="AJ24" s="2898">
        <f t="shared" si="20"/>
        <v>661671242</v>
      </c>
      <c r="AK24" s="2898">
        <v>212463207</v>
      </c>
      <c r="AL24" s="2902">
        <f t="shared" si="21"/>
        <v>449208035</v>
      </c>
    </row>
    <row r="25" spans="2:38">
      <c r="B25" s="2857" t="s">
        <v>2638</v>
      </c>
      <c r="C25" s="2895">
        <v>6663069242.1099997</v>
      </c>
      <c r="D25" s="2896">
        <v>420563799.88</v>
      </c>
      <c r="E25" s="2894">
        <v>5858422.0599999996</v>
      </c>
      <c r="F25" s="2896">
        <v>0</v>
      </c>
      <c r="G25" s="2927" t="s">
        <v>2537</v>
      </c>
      <c r="H25" s="2898">
        <v>7077774620</v>
      </c>
      <c r="I25" s="2894">
        <v>2498315679</v>
      </c>
      <c r="J25" s="2899">
        <f t="shared" si="2"/>
        <v>4579458941</v>
      </c>
      <c r="K25" s="2923">
        <v>1042383714</v>
      </c>
      <c r="L25" s="2926">
        <v>44378400</v>
      </c>
      <c r="M25" s="2926" t="e">
        <f>+#REF!</f>
        <v>#REF!</v>
      </c>
      <c r="N25" s="2926" t="s">
        <v>2537</v>
      </c>
      <c r="O25" s="2898" t="e">
        <f t="shared" si="13"/>
        <v>#REF!</v>
      </c>
      <c r="P25" s="2898">
        <v>2806030663</v>
      </c>
      <c r="Q25" s="2902" t="e">
        <f t="shared" si="14"/>
        <v>#REF!</v>
      </c>
      <c r="R25" s="2923">
        <v>422921280</v>
      </c>
      <c r="S25" s="2926">
        <v>54781773</v>
      </c>
      <c r="T25" s="2926">
        <v>0</v>
      </c>
      <c r="U25" s="2898" t="e">
        <f t="shared" si="15"/>
        <v>#REF!</v>
      </c>
      <c r="V25" s="2898">
        <v>3088925027</v>
      </c>
      <c r="W25" s="2902" t="e">
        <f t="shared" si="16"/>
        <v>#REF!</v>
      </c>
      <c r="X25" s="2898" t="e">
        <f t="shared" si="17"/>
        <v>#REF!</v>
      </c>
      <c r="Y25" s="2898">
        <v>2806030663</v>
      </c>
      <c r="Z25" s="2902" t="e">
        <f t="shared" si="18"/>
        <v>#REF!</v>
      </c>
      <c r="AA25" s="2923">
        <v>557614909</v>
      </c>
      <c r="AB25" s="2926">
        <v>36113765</v>
      </c>
      <c r="AC25" s="2926">
        <v>0</v>
      </c>
      <c r="AD25" s="2898">
        <v>8965420585</v>
      </c>
      <c r="AE25" s="2898">
        <v>3393718015</v>
      </c>
      <c r="AF25" s="2902">
        <f t="shared" si="19"/>
        <v>5571702570</v>
      </c>
      <c r="AG25" s="2928">
        <v>381152362</v>
      </c>
      <c r="AH25" s="2926">
        <v>32248012</v>
      </c>
      <c r="AI25" s="2926">
        <v>-64049674</v>
      </c>
      <c r="AJ25" s="2898">
        <f t="shared" si="20"/>
        <v>9250275261</v>
      </c>
      <c r="AK25" s="2898">
        <v>3818096941</v>
      </c>
      <c r="AL25" s="2902">
        <f t="shared" si="21"/>
        <v>5432178320</v>
      </c>
    </row>
    <row r="26" spans="2:38">
      <c r="B26" s="2857" t="s">
        <v>1107</v>
      </c>
      <c r="C26" s="2895">
        <v>4069891159.3600001</v>
      </c>
      <c r="D26" s="2896">
        <f>631214584.14+17716893.61+2469652.4</f>
        <v>651401130.14999998</v>
      </c>
      <c r="E26" s="2894">
        <v>4368182</v>
      </c>
      <c r="F26" s="2896">
        <v>0</v>
      </c>
      <c r="G26" s="2897"/>
      <c r="H26" s="2898">
        <v>4716924107</v>
      </c>
      <c r="I26" s="2894">
        <v>1284326664</v>
      </c>
      <c r="J26" s="2899">
        <f t="shared" si="2"/>
        <v>3432597443</v>
      </c>
      <c r="K26" s="2923">
        <v>701139363</v>
      </c>
      <c r="L26" s="2926">
        <v>5634938</v>
      </c>
      <c r="M26" s="2926" t="e">
        <f>+#REF!</f>
        <v>#REF!</v>
      </c>
      <c r="N26" s="2926" t="s">
        <v>2537</v>
      </c>
      <c r="O26" s="2898" t="e">
        <f t="shared" si="13"/>
        <v>#REF!</v>
      </c>
      <c r="P26" s="2898">
        <v>1409067547</v>
      </c>
      <c r="Q26" s="2902" t="e">
        <f t="shared" si="14"/>
        <v>#REF!</v>
      </c>
      <c r="R26" s="2923">
        <v>584268735</v>
      </c>
      <c r="S26" s="2926">
        <v>6922331</v>
      </c>
      <c r="T26" s="2926">
        <v>0</v>
      </c>
      <c r="U26" s="2898" t="e">
        <f t="shared" si="15"/>
        <v>#REF!</v>
      </c>
      <c r="V26" s="2898">
        <v>1532795106</v>
      </c>
      <c r="W26" s="2902" t="e">
        <f t="shared" si="16"/>
        <v>#REF!</v>
      </c>
      <c r="X26" s="2898" t="e">
        <f t="shared" si="17"/>
        <v>#REF!</v>
      </c>
      <c r="Y26" s="2898">
        <v>1409067547</v>
      </c>
      <c r="Z26" s="2902" t="e">
        <f t="shared" si="18"/>
        <v>#REF!</v>
      </c>
      <c r="AA26" s="2923">
        <v>460831508</v>
      </c>
      <c r="AB26" s="2926">
        <v>6200689</v>
      </c>
      <c r="AC26" s="2926">
        <v>-1350000</v>
      </c>
      <c r="AD26" s="2898">
        <v>6443055755</v>
      </c>
      <c r="AE26" s="2898">
        <v>1682908616</v>
      </c>
      <c r="AF26" s="2902">
        <f t="shared" si="19"/>
        <v>4760147139</v>
      </c>
      <c r="AG26" s="2923">
        <v>470892441</v>
      </c>
      <c r="AH26" s="2926">
        <v>5634833</v>
      </c>
      <c r="AI26" s="2926">
        <v>-41750326</v>
      </c>
      <c r="AJ26" s="2898">
        <f t="shared" si="20"/>
        <v>6866563037</v>
      </c>
      <c r="AK26" s="2898">
        <v>1962882252</v>
      </c>
      <c r="AL26" s="2902">
        <f t="shared" si="21"/>
        <v>4903680785</v>
      </c>
    </row>
    <row r="27" spans="2:38">
      <c r="B27" s="2857" t="s">
        <v>1108</v>
      </c>
      <c r="C27" s="2895">
        <v>1584536552.29</v>
      </c>
      <c r="D27" s="2896">
        <v>159815745.63999999</v>
      </c>
      <c r="E27" s="2894">
        <v>4363736.26</v>
      </c>
      <c r="F27" s="2896">
        <v>0</v>
      </c>
      <c r="G27" s="2897"/>
      <c r="H27" s="2898">
        <v>1739988562</v>
      </c>
      <c r="I27" s="2894">
        <v>874881518</v>
      </c>
      <c r="J27" s="2899">
        <f t="shared" si="2"/>
        <v>865107044</v>
      </c>
      <c r="K27" s="2923">
        <v>147247116</v>
      </c>
      <c r="L27" s="2926">
        <v>9856990</v>
      </c>
      <c r="M27" s="2926" t="e">
        <f>+#REF!</f>
        <v>#REF!</v>
      </c>
      <c r="N27" s="2926" t="s">
        <v>2537</v>
      </c>
      <c r="O27" s="2898" t="e">
        <f t="shared" si="13"/>
        <v>#REF!</v>
      </c>
      <c r="P27" s="2898">
        <v>958013695</v>
      </c>
      <c r="Q27" s="2902" t="e">
        <f t="shared" si="14"/>
        <v>#REF!</v>
      </c>
      <c r="R27" s="2923">
        <v>149503268</v>
      </c>
      <c r="S27" s="2926">
        <v>100438989</v>
      </c>
      <c r="T27" s="2926">
        <v>0</v>
      </c>
      <c r="U27" s="2898" t="e">
        <f t="shared" si="15"/>
        <v>#REF!</v>
      </c>
      <c r="V27" s="2898">
        <v>964328293</v>
      </c>
      <c r="W27" s="2902" t="e">
        <f t="shared" si="16"/>
        <v>#REF!</v>
      </c>
      <c r="X27" s="2898" t="e">
        <f t="shared" si="17"/>
        <v>#REF!</v>
      </c>
      <c r="Y27" s="2898">
        <v>958013695</v>
      </c>
      <c r="Z27" s="2902" t="e">
        <f t="shared" si="18"/>
        <v>#REF!</v>
      </c>
      <c r="AA27" s="2923">
        <v>156473760</v>
      </c>
      <c r="AB27" s="2926">
        <v>69869127</v>
      </c>
      <c r="AC27" s="2926">
        <v>-22500000</v>
      </c>
      <c r="AD27" s="2898">
        <v>1990547600</v>
      </c>
      <c r="AE27" s="2898">
        <v>1020687033</v>
      </c>
      <c r="AF27" s="2902">
        <f t="shared" si="19"/>
        <v>969860567</v>
      </c>
      <c r="AG27" s="2923">
        <v>99356824</v>
      </c>
      <c r="AH27" s="2926">
        <v>106578659</v>
      </c>
      <c r="AI27" s="2926">
        <v>0</v>
      </c>
      <c r="AJ27" s="2898">
        <f t="shared" si="20"/>
        <v>1983325765</v>
      </c>
      <c r="AK27" s="2898">
        <v>1080918967</v>
      </c>
      <c r="AL27" s="2902">
        <f t="shared" si="21"/>
        <v>902406798</v>
      </c>
    </row>
    <row r="28" spans="2:38">
      <c r="B28" s="2857" t="s">
        <v>1109</v>
      </c>
      <c r="C28" s="2895">
        <v>395675085.25</v>
      </c>
      <c r="D28" s="2896">
        <v>13592325.84</v>
      </c>
      <c r="E28" s="2894">
        <v>0</v>
      </c>
      <c r="F28" s="2896">
        <v>0</v>
      </c>
      <c r="G28" s="2897"/>
      <c r="H28" s="2898">
        <v>409267411</v>
      </c>
      <c r="I28" s="2894">
        <v>251618201</v>
      </c>
      <c r="J28" s="2899">
        <f t="shared" si="2"/>
        <v>157649210</v>
      </c>
      <c r="K28" s="2923">
        <v>16304978</v>
      </c>
      <c r="L28" s="2926">
        <v>0</v>
      </c>
      <c r="M28" s="2926" t="e">
        <f>+#REF!</f>
        <v>#REF!</v>
      </c>
      <c r="N28" s="2926"/>
      <c r="O28" s="2898" t="e">
        <f t="shared" si="13"/>
        <v>#REF!</v>
      </c>
      <c r="P28" s="2898">
        <v>271429147</v>
      </c>
      <c r="Q28" s="2902" t="e">
        <f t="shared" si="14"/>
        <v>#REF!</v>
      </c>
      <c r="R28" s="2923">
        <v>17688193</v>
      </c>
      <c r="S28" s="2926">
        <v>0</v>
      </c>
      <c r="T28" s="2926">
        <v>0</v>
      </c>
      <c r="U28" s="2898" t="e">
        <f t="shared" si="15"/>
        <v>#REF!</v>
      </c>
      <c r="V28" s="2898">
        <v>290659535</v>
      </c>
      <c r="W28" s="2902" t="e">
        <f t="shared" si="16"/>
        <v>#REF!</v>
      </c>
      <c r="X28" s="2898" t="e">
        <f t="shared" si="17"/>
        <v>#REF!</v>
      </c>
      <c r="Y28" s="2898">
        <v>271429147</v>
      </c>
      <c r="Z28" s="2902" t="e">
        <f t="shared" si="18"/>
        <v>#REF!</v>
      </c>
      <c r="AA28" s="2923">
        <v>7088085</v>
      </c>
      <c r="AB28" s="2926">
        <v>0</v>
      </c>
      <c r="AC28" s="2926">
        <v>-1350000</v>
      </c>
      <c r="AD28" s="2898">
        <v>448998667</v>
      </c>
      <c r="AE28" s="2898">
        <v>307233511</v>
      </c>
      <c r="AF28" s="2902">
        <f t="shared" si="19"/>
        <v>141765156</v>
      </c>
      <c r="AG28" s="2923">
        <v>5556338</v>
      </c>
      <c r="AH28" s="2926">
        <v>0</v>
      </c>
      <c r="AI28" s="2926">
        <v>0</v>
      </c>
      <c r="AJ28" s="2898">
        <f t="shared" si="20"/>
        <v>454555005</v>
      </c>
      <c r="AK28" s="2898">
        <v>321380854</v>
      </c>
      <c r="AL28" s="2902">
        <f t="shared" si="21"/>
        <v>133174151</v>
      </c>
    </row>
    <row r="29" spans="2:38">
      <c r="B29" s="2857" t="s">
        <v>1110</v>
      </c>
      <c r="C29" s="2895">
        <v>510455.52</v>
      </c>
      <c r="D29" s="2896">
        <v>0</v>
      </c>
      <c r="E29" s="2894">
        <v>6769.81</v>
      </c>
      <c r="F29" s="2896">
        <v>0</v>
      </c>
      <c r="G29" s="2897"/>
      <c r="H29" s="2898">
        <v>503686</v>
      </c>
      <c r="I29" s="2894">
        <v>382702</v>
      </c>
      <c r="J29" s="2899">
        <f t="shared" si="2"/>
        <v>120984</v>
      </c>
      <c r="K29" s="2923">
        <v>0</v>
      </c>
      <c r="L29" s="2926">
        <v>37931</v>
      </c>
      <c r="M29" s="2926" t="e">
        <f>+#REF!</f>
        <v>#REF!</v>
      </c>
      <c r="N29" s="2926"/>
      <c r="O29" s="2898" t="e">
        <f t="shared" si="13"/>
        <v>#REF!</v>
      </c>
      <c r="P29" s="2898">
        <v>361092</v>
      </c>
      <c r="Q29" s="2902" t="e">
        <f t="shared" si="14"/>
        <v>#REF!</v>
      </c>
      <c r="R29" s="2923">
        <v>0</v>
      </c>
      <c r="S29" s="2926">
        <v>0</v>
      </c>
      <c r="T29" s="2926" t="e">
        <f>+#REF!</f>
        <v>#REF!</v>
      </c>
      <c r="U29" s="2898" t="e">
        <f t="shared" si="15"/>
        <v>#REF!</v>
      </c>
      <c r="V29" s="2898">
        <v>373621</v>
      </c>
      <c r="W29" s="2902" t="e">
        <f t="shared" si="16"/>
        <v>#REF!</v>
      </c>
      <c r="X29" s="2898" t="e">
        <f t="shared" si="17"/>
        <v>#REF!</v>
      </c>
      <c r="Y29" s="2898">
        <v>361092</v>
      </c>
      <c r="Z29" s="2902" t="e">
        <f t="shared" si="18"/>
        <v>#REF!</v>
      </c>
      <c r="AA29" s="2923">
        <v>0</v>
      </c>
      <c r="AB29" s="2926">
        <v>32838</v>
      </c>
      <c r="AC29" s="2926">
        <v>0</v>
      </c>
      <c r="AD29" s="2898">
        <v>432917</v>
      </c>
      <c r="AE29" s="2898">
        <v>356595</v>
      </c>
      <c r="AF29" s="2902">
        <f t="shared" si="19"/>
        <v>76322</v>
      </c>
      <c r="AG29" s="2923">
        <v>0</v>
      </c>
      <c r="AH29" s="2926">
        <v>12988</v>
      </c>
      <c r="AI29" s="2926">
        <v>0</v>
      </c>
      <c r="AJ29" s="2898">
        <f t="shared" si="20"/>
        <v>419929</v>
      </c>
      <c r="AK29" s="2898">
        <v>344906</v>
      </c>
      <c r="AL29" s="2902">
        <f t="shared" si="21"/>
        <v>75023</v>
      </c>
    </row>
    <row r="30" spans="2:38">
      <c r="B30" s="2857" t="s">
        <v>1099</v>
      </c>
      <c r="C30" s="2895">
        <v>108296444.72</v>
      </c>
      <c r="D30" s="2896">
        <v>34008641</v>
      </c>
      <c r="E30" s="2894">
        <v>8559494.2200000007</v>
      </c>
      <c r="F30" s="2896">
        <v>-162187.68</v>
      </c>
      <c r="G30" s="2897"/>
      <c r="H30" s="2898">
        <v>133583404</v>
      </c>
      <c r="I30" s="2894">
        <v>61023819</v>
      </c>
      <c r="J30" s="2899">
        <f t="shared" si="2"/>
        <v>72559585</v>
      </c>
      <c r="K30" s="2923">
        <v>6825688</v>
      </c>
      <c r="L30" s="2926">
        <v>0</v>
      </c>
      <c r="M30" s="2926" t="e">
        <f>+#REF!</f>
        <v>#REF!</v>
      </c>
      <c r="N30" s="2926"/>
      <c r="O30" s="2898" t="e">
        <f t="shared" si="13"/>
        <v>#REF!</v>
      </c>
      <c r="P30" s="2898">
        <v>74741160</v>
      </c>
      <c r="Q30" s="2902" t="e">
        <f t="shared" si="14"/>
        <v>#REF!</v>
      </c>
      <c r="R30" s="2923">
        <v>10192665</v>
      </c>
      <c r="S30" s="2926">
        <v>6551474</v>
      </c>
      <c r="T30" s="2926" t="e">
        <f>+#REF!</f>
        <v>#REF!</v>
      </c>
      <c r="U30" s="2898" t="e">
        <f t="shared" si="15"/>
        <v>#REF!</v>
      </c>
      <c r="V30" s="2898">
        <v>79891309</v>
      </c>
      <c r="W30" s="2902" t="e">
        <f t="shared" si="16"/>
        <v>#REF!</v>
      </c>
      <c r="X30" s="2898" t="e">
        <f t="shared" si="17"/>
        <v>#REF!</v>
      </c>
      <c r="Y30" s="2898">
        <v>74741160</v>
      </c>
      <c r="Z30" s="2902" t="e">
        <f t="shared" si="18"/>
        <v>#REF!</v>
      </c>
      <c r="AA30" s="2923">
        <v>0</v>
      </c>
      <c r="AB30" s="2926">
        <v>0</v>
      </c>
      <c r="AC30" s="2926">
        <v>0</v>
      </c>
      <c r="AD30" s="2898">
        <v>146095851</v>
      </c>
      <c r="AE30" s="2898">
        <v>90641639</v>
      </c>
      <c r="AF30" s="2902">
        <f t="shared" si="19"/>
        <v>55454212</v>
      </c>
      <c r="AG30" s="2923">
        <v>0</v>
      </c>
      <c r="AH30" s="2926">
        <v>3448389</v>
      </c>
      <c r="AI30" s="2926">
        <v>0</v>
      </c>
      <c r="AJ30" s="2898">
        <f t="shared" si="20"/>
        <v>142647462</v>
      </c>
      <c r="AK30" s="2898">
        <v>97882989</v>
      </c>
      <c r="AL30" s="2902">
        <f t="shared" si="21"/>
        <v>44764473</v>
      </c>
    </row>
    <row r="31" spans="2:38">
      <c r="B31" s="2857" t="s">
        <v>1102</v>
      </c>
      <c r="C31" s="2895">
        <v>162118531.58000001</v>
      </c>
      <c r="D31" s="2894">
        <v>9514940.8200000003</v>
      </c>
      <c r="E31" s="2894">
        <v>2304223.2000000002</v>
      </c>
      <c r="F31" s="2896">
        <v>-119076.46</v>
      </c>
      <c r="G31" s="2897"/>
      <c r="H31" s="2898">
        <v>169210174</v>
      </c>
      <c r="I31" s="2894">
        <v>74659235</v>
      </c>
      <c r="J31" s="2899">
        <f t="shared" si="2"/>
        <v>94550939</v>
      </c>
      <c r="K31" s="2923">
        <v>14801741</v>
      </c>
      <c r="L31" s="2926">
        <v>4354615</v>
      </c>
      <c r="M31" s="2926" t="e">
        <f>+#REF!</f>
        <v>#REF!</v>
      </c>
      <c r="N31" s="2926"/>
      <c r="O31" s="2898" t="e">
        <f t="shared" si="13"/>
        <v>#REF!</v>
      </c>
      <c r="P31" s="2898">
        <v>80126011</v>
      </c>
      <c r="Q31" s="2902" t="e">
        <f t="shared" si="14"/>
        <v>#REF!</v>
      </c>
      <c r="R31" s="2923">
        <v>53990721</v>
      </c>
      <c r="S31" s="2926">
        <v>3015508</v>
      </c>
      <c r="T31" s="2926">
        <v>-612238</v>
      </c>
      <c r="U31" s="2898" t="e">
        <f t="shared" si="15"/>
        <v>#REF!</v>
      </c>
      <c r="V31" s="2898">
        <v>85199136</v>
      </c>
      <c r="W31" s="2902" t="e">
        <f t="shared" si="16"/>
        <v>#REF!</v>
      </c>
      <c r="X31" s="2898" t="e">
        <f t="shared" si="17"/>
        <v>#REF!</v>
      </c>
      <c r="Y31" s="2898">
        <v>80126011</v>
      </c>
      <c r="Z31" s="2902" t="e">
        <f t="shared" si="18"/>
        <v>#REF!</v>
      </c>
      <c r="AA31" s="2923">
        <v>27356662</v>
      </c>
      <c r="AB31" s="2926">
        <v>1696778</v>
      </c>
      <c r="AC31" s="2926">
        <v>0</v>
      </c>
      <c r="AD31" s="2898">
        <v>255830159</v>
      </c>
      <c r="AE31" s="2898">
        <v>94951625</v>
      </c>
      <c r="AF31" s="2902">
        <f t="shared" si="19"/>
        <v>160878534</v>
      </c>
      <c r="AG31" s="2923">
        <v>2288102</v>
      </c>
      <c r="AH31" s="2926">
        <v>621723</v>
      </c>
      <c r="AI31" s="2926">
        <v>0</v>
      </c>
      <c r="AJ31" s="2898">
        <f t="shared" si="20"/>
        <v>257496538</v>
      </c>
      <c r="AK31" s="2898">
        <v>106606751</v>
      </c>
      <c r="AL31" s="2902">
        <f t="shared" si="21"/>
        <v>150889787</v>
      </c>
    </row>
    <row r="32" spans="2:38">
      <c r="B32" s="2857" t="s">
        <v>1101</v>
      </c>
      <c r="C32" s="2895">
        <v>162711353.19</v>
      </c>
      <c r="D32" s="2894">
        <v>29301760.829999998</v>
      </c>
      <c r="E32" s="2894">
        <v>2015559.32</v>
      </c>
      <c r="F32" s="2896">
        <v>-118784.5</v>
      </c>
      <c r="G32" s="2897"/>
      <c r="H32" s="2898">
        <v>189878771</v>
      </c>
      <c r="I32" s="2894">
        <v>97193648</v>
      </c>
      <c r="J32" s="2899">
        <f t="shared" si="2"/>
        <v>92685123</v>
      </c>
      <c r="K32" s="2923">
        <v>29231295</v>
      </c>
      <c r="L32" s="2926">
        <v>458312</v>
      </c>
      <c r="M32" s="2926" t="e">
        <f>+#REF!</f>
        <v>#REF!</v>
      </c>
      <c r="N32" s="2926"/>
      <c r="O32" s="2898" t="e">
        <f t="shared" si="13"/>
        <v>#REF!</v>
      </c>
      <c r="P32" s="2898">
        <v>116853327</v>
      </c>
      <c r="Q32" s="2902" t="e">
        <f t="shared" si="14"/>
        <v>#REF!</v>
      </c>
      <c r="R32" s="2923">
        <v>24594019</v>
      </c>
      <c r="S32" s="2926">
        <v>1804730</v>
      </c>
      <c r="T32" s="2926">
        <v>-235651</v>
      </c>
      <c r="U32" s="2898" t="e">
        <f t="shared" si="15"/>
        <v>#REF!</v>
      </c>
      <c r="V32" s="2898">
        <v>134160862</v>
      </c>
      <c r="W32" s="2902" t="e">
        <f t="shared" si="16"/>
        <v>#REF!</v>
      </c>
      <c r="X32" s="2898" t="e">
        <f t="shared" si="17"/>
        <v>#REF!</v>
      </c>
      <c r="Y32" s="2898">
        <v>116853327</v>
      </c>
      <c r="Z32" s="2902" t="e">
        <f t="shared" si="18"/>
        <v>#REF!</v>
      </c>
      <c r="AA32" s="2923">
        <v>11210444</v>
      </c>
      <c r="AB32" s="2926">
        <v>1558256</v>
      </c>
      <c r="AC32" s="2926">
        <v>-12031550</v>
      </c>
      <c r="AD32" s="2898">
        <v>238809443</v>
      </c>
      <c r="AE32" s="2898">
        <v>208075226</v>
      </c>
      <c r="AF32" s="2902">
        <f t="shared" si="19"/>
        <v>30734217</v>
      </c>
      <c r="AG32" s="2923">
        <v>14180711</v>
      </c>
      <c r="AH32" s="2926">
        <v>2613209</v>
      </c>
      <c r="AI32" s="2926">
        <v>0</v>
      </c>
      <c r="AJ32" s="2898">
        <f t="shared" si="20"/>
        <v>250376945</v>
      </c>
      <c r="AK32" s="2898">
        <v>223779851</v>
      </c>
      <c r="AL32" s="2902">
        <f t="shared" si="21"/>
        <v>26597094</v>
      </c>
    </row>
    <row r="33" spans="2:40">
      <c r="B33" s="2903" t="s">
        <v>94</v>
      </c>
      <c r="C33" s="2904" t="s">
        <v>94</v>
      </c>
      <c r="D33" s="2905" t="s">
        <v>277</v>
      </c>
      <c r="E33" s="2904" t="s">
        <v>94</v>
      </c>
      <c r="F33" s="2906">
        <v>0</v>
      </c>
      <c r="G33" s="2897"/>
      <c r="H33" s="2894"/>
      <c r="I33" s="2905" t="s">
        <v>94</v>
      </c>
      <c r="J33" s="2899"/>
      <c r="K33" s="2909" t="s">
        <v>277</v>
      </c>
      <c r="L33" s="2910" t="s">
        <v>94</v>
      </c>
      <c r="M33" s="2907" t="s">
        <v>94</v>
      </c>
      <c r="N33" s="2898"/>
      <c r="O33" s="2898"/>
      <c r="P33" s="2907" t="s">
        <v>94</v>
      </c>
      <c r="Q33" s="2902"/>
      <c r="R33" s="2909" t="s">
        <v>277</v>
      </c>
      <c r="S33" s="2910" t="s">
        <v>94</v>
      </c>
      <c r="T33" s="2907" t="s">
        <v>94</v>
      </c>
      <c r="U33" s="2898"/>
      <c r="V33" s="2907" t="s">
        <v>94</v>
      </c>
      <c r="W33" s="2902"/>
      <c r="X33" s="2898"/>
      <c r="Y33" s="2907" t="s">
        <v>94</v>
      </c>
      <c r="Z33" s="2902"/>
      <c r="AA33" s="2909" t="s">
        <v>277</v>
      </c>
      <c r="AB33" s="2910" t="s">
        <v>94</v>
      </c>
      <c r="AC33" s="2907" t="s">
        <v>94</v>
      </c>
      <c r="AD33" s="2898"/>
      <c r="AE33" s="2907" t="s">
        <v>94</v>
      </c>
      <c r="AF33" s="2902"/>
      <c r="AG33" s="2909" t="s">
        <v>277</v>
      </c>
      <c r="AH33" s="2910" t="s">
        <v>94</v>
      </c>
      <c r="AI33" s="2907" t="s">
        <v>94</v>
      </c>
      <c r="AJ33" s="2898"/>
      <c r="AK33" s="2907" t="s">
        <v>94</v>
      </c>
      <c r="AL33" s="2902"/>
    </row>
    <row r="34" spans="2:40">
      <c r="B34" s="2911" t="s">
        <v>499</v>
      </c>
      <c r="C34" s="2912">
        <f t="shared" ref="C34:H34" si="22">SUM(C23:C33)</f>
        <v>13648758965.609999</v>
      </c>
      <c r="D34" s="2912">
        <f t="shared" si="22"/>
        <v>1353669891.0699997</v>
      </c>
      <c r="E34" s="2912">
        <f t="shared" si="22"/>
        <v>27476386.870000001</v>
      </c>
      <c r="F34" s="2913">
        <f t="shared" si="22"/>
        <v>-400048.64000000001</v>
      </c>
      <c r="G34" s="2914"/>
      <c r="H34" s="2915">
        <f t="shared" si="22"/>
        <v>14974552423</v>
      </c>
      <c r="I34" s="2916">
        <f>SUM(I24:I33)</f>
        <v>5294399474</v>
      </c>
      <c r="J34" s="2917">
        <f t="shared" si="2"/>
        <v>9680152949</v>
      </c>
      <c r="K34" s="2918">
        <f>SUM(K23:K33)</f>
        <v>1994666730</v>
      </c>
      <c r="L34" s="2929">
        <f>SUM(L23:L33)</f>
        <v>64721186</v>
      </c>
      <c r="M34" s="2915" t="e">
        <f>SUM(M23:M33)</f>
        <v>#REF!</v>
      </c>
      <c r="N34" s="2915" t="s">
        <v>2538</v>
      </c>
      <c r="O34" s="2915" t="e">
        <f>+H34+K34-L34+M34</f>
        <v>#REF!</v>
      </c>
      <c r="P34" s="2920">
        <f>SUM(P23:P33)</f>
        <v>5879104240</v>
      </c>
      <c r="Q34" s="2920" t="e">
        <f>+O34-P34</f>
        <v>#REF!</v>
      </c>
      <c r="R34" s="2918">
        <f>SUM(R23:R33)</f>
        <v>1298493575</v>
      </c>
      <c r="S34" s="2929">
        <f>SUM(S23:S33)</f>
        <v>173514805</v>
      </c>
      <c r="T34" s="2915" t="e">
        <f>SUM(T23:T33)</f>
        <v>#REF!</v>
      </c>
      <c r="U34" s="2915" t="e">
        <f>+O34+R34-S34+T34</f>
        <v>#REF!</v>
      </c>
      <c r="V34" s="2920">
        <f>SUM(V23:V33)</f>
        <v>6349289705</v>
      </c>
      <c r="W34" s="2920" t="e">
        <f>+U34-V34</f>
        <v>#REF!</v>
      </c>
      <c r="X34" s="2915" t="e">
        <f>+Q34+T34-U34+V34</f>
        <v>#REF!</v>
      </c>
      <c r="Y34" s="2920">
        <f>SUM(Y23:Y33)</f>
        <v>5879104240</v>
      </c>
      <c r="Z34" s="2920" t="e">
        <f>+X34-Y34</f>
        <v>#REF!</v>
      </c>
      <c r="AA34" s="2918">
        <f>SUM(AA23:AA33)</f>
        <v>1260415489</v>
      </c>
      <c r="AB34" s="2929">
        <f>SUM(AB23:AB33)</f>
        <v>115471453</v>
      </c>
      <c r="AC34" s="2930">
        <f>SUM(AC23:AC33)</f>
        <v>-37231550</v>
      </c>
      <c r="AD34" s="2915">
        <f>SUM(AD23:AD32)</f>
        <v>19138520315</v>
      </c>
      <c r="AE34" s="2920">
        <f>SUM(AE23:AE33)</f>
        <v>6990621879</v>
      </c>
      <c r="AF34" s="2920">
        <f>+AD34-AE34</f>
        <v>12147898436</v>
      </c>
      <c r="AG34" s="2918">
        <f>SUM(AG23:AG33)</f>
        <v>1008722100</v>
      </c>
      <c r="AH34" s="2931">
        <f>SUM(AH23:AH33)</f>
        <v>151157813</v>
      </c>
      <c r="AI34" s="2930">
        <f>SUM(AI23:AI33)</f>
        <v>-105800000</v>
      </c>
      <c r="AJ34" s="2915">
        <f>+AD34+AG34-AH34+AI34</f>
        <v>19890284602</v>
      </c>
      <c r="AK34" s="2920">
        <f>SUM(AK23:AK33)</f>
        <v>7824356718</v>
      </c>
      <c r="AL34" s="2920">
        <f>+AJ34-AK34</f>
        <v>12065927884</v>
      </c>
      <c r="AN34" s="2901"/>
    </row>
    <row r="35" spans="2:40">
      <c r="B35" s="2857" t="s">
        <v>94</v>
      </c>
      <c r="C35" s="2895" t="s">
        <v>94</v>
      </c>
      <c r="D35" s="2894" t="s">
        <v>94</v>
      </c>
      <c r="E35" s="2895" t="s">
        <v>94</v>
      </c>
      <c r="F35" s="2896" t="s">
        <v>94</v>
      </c>
      <c r="G35" s="2897"/>
      <c r="H35" s="2894" t="s">
        <v>94</v>
      </c>
      <c r="I35" s="2908"/>
      <c r="J35" s="2899"/>
      <c r="K35" s="2900" t="s">
        <v>94</v>
      </c>
      <c r="L35" s="2901" t="s">
        <v>94</v>
      </c>
      <c r="M35" s="2898" t="s">
        <v>94</v>
      </c>
      <c r="N35" s="2898"/>
      <c r="O35" s="2898" t="s">
        <v>94</v>
      </c>
      <c r="P35" s="2900"/>
      <c r="Q35" s="2902"/>
      <c r="R35" s="2900" t="s">
        <v>94</v>
      </c>
      <c r="S35" s="2901" t="s">
        <v>94</v>
      </c>
      <c r="T35" s="2898" t="s">
        <v>94</v>
      </c>
      <c r="U35" s="2898" t="s">
        <v>94</v>
      </c>
      <c r="V35" s="2900"/>
      <c r="W35" s="2902"/>
      <c r="X35" s="2898" t="s">
        <v>94</v>
      </c>
      <c r="Y35" s="2900"/>
      <c r="Z35" s="2902"/>
      <c r="AA35" s="2900" t="s">
        <v>94</v>
      </c>
      <c r="AB35" s="2901" t="s">
        <v>94</v>
      </c>
      <c r="AC35" s="2898" t="s">
        <v>94</v>
      </c>
      <c r="AD35" s="2894"/>
      <c r="AE35" s="2900"/>
      <c r="AF35" s="2902"/>
      <c r="AG35" s="2900"/>
      <c r="AH35" s="2901" t="s">
        <v>94</v>
      </c>
      <c r="AI35" s="2898" t="s">
        <v>94</v>
      </c>
      <c r="AJ35" s="2898" t="s">
        <v>94</v>
      </c>
      <c r="AK35" s="2900"/>
      <c r="AL35" s="2902"/>
      <c r="AN35" s="2853">
        <f>AG20/2</f>
        <v>6334493</v>
      </c>
    </row>
    <row r="36" spans="2:40">
      <c r="B36" s="2886" t="s">
        <v>869</v>
      </c>
      <c r="C36" s="2895"/>
      <c r="D36" s="2894"/>
      <c r="E36" s="2895"/>
      <c r="F36" s="2896"/>
      <c r="G36" s="2897"/>
      <c r="H36" s="2894"/>
      <c r="I36" s="2908"/>
      <c r="J36" s="2899" t="s">
        <v>94</v>
      </c>
      <c r="K36" s="2900"/>
      <c r="L36" s="2901"/>
      <c r="M36" s="2898"/>
      <c r="N36" s="2898"/>
      <c r="O36" s="2898"/>
      <c r="P36" s="2900"/>
      <c r="Q36" s="2902" t="s">
        <v>94</v>
      </c>
      <c r="R36" s="2900"/>
      <c r="S36" s="2901"/>
      <c r="T36" s="2898"/>
      <c r="U36" s="2898"/>
      <c r="V36" s="2900"/>
      <c r="W36" s="2902" t="s">
        <v>94</v>
      </c>
      <c r="X36" s="2898"/>
      <c r="Y36" s="2900"/>
      <c r="Z36" s="2902" t="s">
        <v>94</v>
      </c>
      <c r="AA36" s="2900"/>
      <c r="AB36" s="2901"/>
      <c r="AC36" s="2898"/>
      <c r="AD36" s="2898"/>
      <c r="AE36" s="2900"/>
      <c r="AF36" s="2902" t="s">
        <v>94</v>
      </c>
      <c r="AG36" s="2900"/>
      <c r="AH36" s="2901"/>
      <c r="AI36" s="2898"/>
      <c r="AJ36" s="2898"/>
      <c r="AK36" s="2900"/>
      <c r="AL36" s="2902" t="s">
        <v>94</v>
      </c>
      <c r="AN36" s="2901">
        <f>AG34+AN35</f>
        <v>1015056593</v>
      </c>
    </row>
    <row r="37" spans="2:40">
      <c r="B37" s="2857" t="s">
        <v>1097</v>
      </c>
      <c r="C37" s="2895">
        <v>339869079.20999998</v>
      </c>
      <c r="D37" s="2894">
        <v>4871132</v>
      </c>
      <c r="E37" s="2895">
        <v>0</v>
      </c>
      <c r="F37" s="2896">
        <v>0</v>
      </c>
      <c r="G37" s="2897"/>
      <c r="H37" s="2898">
        <v>344740211</v>
      </c>
      <c r="I37" s="2894">
        <v>0</v>
      </c>
      <c r="J37" s="2899">
        <f t="shared" si="2"/>
        <v>344740211</v>
      </c>
      <c r="K37" s="2923">
        <v>11448285</v>
      </c>
      <c r="L37" s="2926">
        <v>0</v>
      </c>
      <c r="M37" s="2926">
        <v>0</v>
      </c>
      <c r="N37" s="2926"/>
      <c r="O37" s="2898">
        <f t="shared" ref="O37:O43" si="23">+H37+K37-L37+M37</f>
        <v>356188496</v>
      </c>
      <c r="P37" s="2898">
        <v>0</v>
      </c>
      <c r="Q37" s="2902">
        <f t="shared" ref="Q37:Q43" si="24">+O37-P37</f>
        <v>356188496</v>
      </c>
      <c r="R37" s="2923">
        <v>0</v>
      </c>
      <c r="S37" s="2926">
        <v>0</v>
      </c>
      <c r="T37" s="2926">
        <v>0</v>
      </c>
      <c r="U37" s="2898">
        <f t="shared" ref="U37:U43" si="25">+O37+R37-S37+T37</f>
        <v>356188496</v>
      </c>
      <c r="V37" s="2898">
        <v>0</v>
      </c>
      <c r="W37" s="2902">
        <f t="shared" ref="W37:W43" si="26">+U37-V37</f>
        <v>356188496</v>
      </c>
      <c r="X37" s="2898">
        <f t="shared" ref="X37:X43" si="27">+Q37+T37-U37+V37</f>
        <v>0</v>
      </c>
      <c r="Y37" s="2898">
        <v>0</v>
      </c>
      <c r="Z37" s="2902">
        <f t="shared" ref="Z37:Z43" si="28">+X37-Y37</f>
        <v>0</v>
      </c>
      <c r="AA37" s="2923">
        <v>0</v>
      </c>
      <c r="AB37" s="2926">
        <v>0</v>
      </c>
      <c r="AC37" s="2926">
        <v>0</v>
      </c>
      <c r="AD37" s="2898">
        <f t="shared" ref="AD37:AD43" si="29">+U37+AA37-AB37+AC37</f>
        <v>356188496</v>
      </c>
      <c r="AE37" s="2898">
        <v>0</v>
      </c>
      <c r="AF37" s="2902">
        <f t="shared" ref="AF37:AF43" si="30">+AD37-AE37</f>
        <v>356188496</v>
      </c>
      <c r="AG37" s="2923">
        <v>0</v>
      </c>
      <c r="AH37" s="2926">
        <v>0</v>
      </c>
      <c r="AI37" s="2926">
        <v>0</v>
      </c>
      <c r="AJ37" s="2898">
        <f t="shared" ref="AJ37:AJ43" si="31">+AD37+AG37-AH37+AI37</f>
        <v>356188496</v>
      </c>
      <c r="AK37" s="2898">
        <v>0</v>
      </c>
      <c r="AL37" s="2902">
        <f t="shared" ref="AL37:AL43" si="32">+AJ37-AK37</f>
        <v>356188496</v>
      </c>
    </row>
    <row r="38" spans="2:40">
      <c r="B38" s="2857" t="s">
        <v>1098</v>
      </c>
      <c r="C38" s="2895">
        <v>1045851038.4400001</v>
      </c>
      <c r="D38" s="2894">
        <v>45123176.630000003</v>
      </c>
      <c r="E38" s="2895">
        <v>0</v>
      </c>
      <c r="F38" s="2896">
        <v>0</v>
      </c>
      <c r="G38" s="2897"/>
      <c r="H38" s="2898">
        <v>1090974215</v>
      </c>
      <c r="I38" s="2894">
        <v>356026501</v>
      </c>
      <c r="J38" s="2899">
        <f t="shared" si="2"/>
        <v>734947714</v>
      </c>
      <c r="K38" s="2923">
        <v>39021363</v>
      </c>
      <c r="L38" s="2926">
        <v>0</v>
      </c>
      <c r="M38" s="2926">
        <v>0</v>
      </c>
      <c r="N38" s="2926"/>
      <c r="O38" s="2898">
        <f t="shared" si="23"/>
        <v>1129995578</v>
      </c>
      <c r="P38" s="2898">
        <v>378843447</v>
      </c>
      <c r="Q38" s="2902">
        <f t="shared" si="24"/>
        <v>751152131</v>
      </c>
      <c r="R38" s="2923">
        <v>34803130</v>
      </c>
      <c r="S38" s="2926">
        <v>0</v>
      </c>
      <c r="T38" s="2926">
        <v>0</v>
      </c>
      <c r="U38" s="2898">
        <f t="shared" si="25"/>
        <v>1164798708</v>
      </c>
      <c r="V38" s="2898">
        <v>401660393</v>
      </c>
      <c r="W38" s="2902">
        <f t="shared" si="26"/>
        <v>763138315</v>
      </c>
      <c r="X38" s="2898">
        <f t="shared" si="27"/>
        <v>-11986184</v>
      </c>
      <c r="Y38" s="2898">
        <v>378843447</v>
      </c>
      <c r="Z38" s="2902">
        <f t="shared" si="28"/>
        <v>-390829631</v>
      </c>
      <c r="AA38" s="2923">
        <v>26971050</v>
      </c>
      <c r="AB38" s="2926">
        <v>0</v>
      </c>
      <c r="AC38" s="2926">
        <v>0</v>
      </c>
      <c r="AD38" s="2898">
        <f t="shared" si="29"/>
        <v>1191769758</v>
      </c>
      <c r="AE38" s="2898">
        <v>425173403</v>
      </c>
      <c r="AF38" s="2902">
        <f t="shared" si="30"/>
        <v>766596355</v>
      </c>
      <c r="AG38" s="2923">
        <v>28176813</v>
      </c>
      <c r="AH38" s="2926">
        <v>0</v>
      </c>
      <c r="AI38" s="2926">
        <v>0</v>
      </c>
      <c r="AJ38" s="2898">
        <f t="shared" si="31"/>
        <v>1219946571</v>
      </c>
      <c r="AK38" s="2898">
        <v>449225833</v>
      </c>
      <c r="AL38" s="2902">
        <f t="shared" si="32"/>
        <v>770720738</v>
      </c>
    </row>
    <row r="39" spans="2:40">
      <c r="B39" s="2857" t="s">
        <v>2639</v>
      </c>
      <c r="C39" s="2895">
        <v>6010933478.1599998</v>
      </c>
      <c r="D39" s="2894">
        <v>2483893495</v>
      </c>
      <c r="E39" s="2895">
        <v>214075886.37</v>
      </c>
      <c r="F39" s="2896">
        <v>0</v>
      </c>
      <c r="G39" s="2927" t="s">
        <v>1685</v>
      </c>
      <c r="H39" s="2898">
        <v>8280751086</v>
      </c>
      <c r="I39" s="2894">
        <v>3690478792</v>
      </c>
      <c r="J39" s="2899">
        <f t="shared" si="2"/>
        <v>4590272294</v>
      </c>
      <c r="K39" s="2932">
        <v>1620736391</v>
      </c>
      <c r="L39" s="2926">
        <v>70033053</v>
      </c>
      <c r="M39" s="2926">
        <v>0</v>
      </c>
      <c r="N39" s="2926" t="s">
        <v>1685</v>
      </c>
      <c r="O39" s="2898">
        <f t="shared" si="23"/>
        <v>9831454424</v>
      </c>
      <c r="P39" s="2898">
        <v>4638446008</v>
      </c>
      <c r="Q39" s="2902">
        <f t="shared" si="24"/>
        <v>5193008416</v>
      </c>
      <c r="R39" s="2932">
        <v>3548344</v>
      </c>
      <c r="S39" s="2926">
        <v>172158732</v>
      </c>
      <c r="T39" s="2926">
        <v>0</v>
      </c>
      <c r="U39" s="2898">
        <f t="shared" si="25"/>
        <v>9662844036</v>
      </c>
      <c r="V39" s="2898">
        <v>5451243543</v>
      </c>
      <c r="W39" s="2902">
        <f t="shared" si="26"/>
        <v>4211600493</v>
      </c>
      <c r="X39" s="2898">
        <f t="shared" si="27"/>
        <v>981407923</v>
      </c>
      <c r="Y39" s="2898">
        <v>4638446008</v>
      </c>
      <c r="Z39" s="2902">
        <f t="shared" si="28"/>
        <v>-3657038085</v>
      </c>
      <c r="AA39" s="2932">
        <v>0</v>
      </c>
      <c r="AB39" s="2926">
        <v>263330933</v>
      </c>
      <c r="AC39" s="2926">
        <v>0</v>
      </c>
      <c r="AD39" s="2898">
        <f t="shared" si="29"/>
        <v>9399513103</v>
      </c>
      <c r="AE39" s="2898">
        <v>5722476954</v>
      </c>
      <c r="AF39" s="2902">
        <f t="shared" si="30"/>
        <v>3677036149</v>
      </c>
      <c r="AG39" s="2932">
        <v>799995</v>
      </c>
      <c r="AH39" s="2926">
        <v>196438063</v>
      </c>
      <c r="AI39" s="2926">
        <v>1265085</v>
      </c>
      <c r="AJ39" s="2898">
        <f t="shared" si="31"/>
        <v>9205140120</v>
      </c>
      <c r="AK39" s="2898">
        <v>5859884265</v>
      </c>
      <c r="AL39" s="2902">
        <f t="shared" si="32"/>
        <v>3345255855</v>
      </c>
    </row>
    <row r="40" spans="2:40">
      <c r="B40" s="2857" t="s">
        <v>1099</v>
      </c>
      <c r="C40" s="2895">
        <v>102764360.31</v>
      </c>
      <c r="D40" s="2894">
        <v>4321136</v>
      </c>
      <c r="E40" s="2895">
        <v>3240606.57</v>
      </c>
      <c r="F40" s="2896">
        <v>162187.68</v>
      </c>
      <c r="G40" s="2897"/>
      <c r="H40" s="2898">
        <v>104007077</v>
      </c>
      <c r="I40" s="2894">
        <v>71544327</v>
      </c>
      <c r="J40" s="2899">
        <f t="shared" si="2"/>
        <v>32462750</v>
      </c>
      <c r="K40" s="2923">
        <v>0</v>
      </c>
      <c r="L40" s="2926">
        <v>1141214</v>
      </c>
      <c r="M40" s="2926">
        <v>-2735710</v>
      </c>
      <c r="N40" s="2926"/>
      <c r="O40" s="2898">
        <f t="shared" si="23"/>
        <v>100130153</v>
      </c>
      <c r="P40" s="2898">
        <v>79583496</v>
      </c>
      <c r="Q40" s="2902">
        <f t="shared" si="24"/>
        <v>20546657</v>
      </c>
      <c r="R40" s="2923">
        <v>8740452</v>
      </c>
      <c r="S40" s="2926">
        <v>5409222</v>
      </c>
      <c r="T40" s="2926">
        <v>0</v>
      </c>
      <c r="U40" s="2898">
        <f t="shared" si="25"/>
        <v>103461383</v>
      </c>
      <c r="V40" s="2898">
        <v>77285749</v>
      </c>
      <c r="W40" s="2902">
        <f t="shared" si="26"/>
        <v>26175634</v>
      </c>
      <c r="X40" s="2898">
        <f t="shared" si="27"/>
        <v>-5628977</v>
      </c>
      <c r="Y40" s="2898">
        <v>79583496</v>
      </c>
      <c r="Z40" s="2902">
        <f t="shared" si="28"/>
        <v>-85212473</v>
      </c>
      <c r="AA40" s="2923">
        <v>3269107</v>
      </c>
      <c r="AB40" s="2926">
        <v>262299</v>
      </c>
      <c r="AC40" s="2926">
        <v>0</v>
      </c>
      <c r="AD40" s="2898">
        <f t="shared" si="29"/>
        <v>106468191</v>
      </c>
      <c r="AE40" s="2898">
        <v>79581092</v>
      </c>
      <c r="AF40" s="2902">
        <f t="shared" si="30"/>
        <v>26887099</v>
      </c>
      <c r="AG40" s="2923">
        <v>12198592</v>
      </c>
      <c r="AH40" s="2926">
        <v>1981692</v>
      </c>
      <c r="AI40" s="2926">
        <v>0</v>
      </c>
      <c r="AJ40" s="2898">
        <f t="shared" si="31"/>
        <v>116685091</v>
      </c>
      <c r="AK40" s="2898">
        <v>80396921</v>
      </c>
      <c r="AL40" s="2902">
        <f t="shared" si="32"/>
        <v>36288170</v>
      </c>
    </row>
    <row r="41" spans="2:40">
      <c r="B41" s="2857" t="s">
        <v>1111</v>
      </c>
      <c r="C41" s="2895">
        <v>36526612.729999997</v>
      </c>
      <c r="D41" s="2894">
        <v>12804625.82</v>
      </c>
      <c r="E41" s="2895">
        <v>11900.2</v>
      </c>
      <c r="F41" s="2896">
        <v>0</v>
      </c>
      <c r="G41" s="2897"/>
      <c r="H41" s="2898">
        <v>49319339</v>
      </c>
      <c r="I41" s="2894">
        <v>20261897</v>
      </c>
      <c r="J41" s="2899">
        <f t="shared" si="2"/>
        <v>29057442</v>
      </c>
      <c r="K41" s="2923">
        <v>46980</v>
      </c>
      <c r="L41" s="2926">
        <v>0</v>
      </c>
      <c r="M41" s="2926">
        <v>0</v>
      </c>
      <c r="N41" s="2926"/>
      <c r="O41" s="2898">
        <f t="shared" si="23"/>
        <v>49366319</v>
      </c>
      <c r="P41" s="2898">
        <v>21957687</v>
      </c>
      <c r="Q41" s="2902">
        <f t="shared" si="24"/>
        <v>27408632</v>
      </c>
      <c r="R41" s="2923">
        <v>0</v>
      </c>
      <c r="S41" s="2926">
        <v>0</v>
      </c>
      <c r="T41" s="2926">
        <v>0</v>
      </c>
      <c r="U41" s="2898">
        <f t="shared" si="25"/>
        <v>49366319</v>
      </c>
      <c r="V41" s="2898">
        <v>23461939</v>
      </c>
      <c r="W41" s="2902">
        <f t="shared" si="26"/>
        <v>25904380</v>
      </c>
      <c r="X41" s="2898">
        <f t="shared" si="27"/>
        <v>1504252</v>
      </c>
      <c r="Y41" s="2898">
        <v>21957687</v>
      </c>
      <c r="Z41" s="2902">
        <f t="shared" si="28"/>
        <v>-20453435</v>
      </c>
      <c r="AA41" s="2923">
        <v>0</v>
      </c>
      <c r="AB41" s="2926">
        <v>0</v>
      </c>
      <c r="AC41" s="2926">
        <v>0</v>
      </c>
      <c r="AD41" s="2898">
        <f t="shared" si="29"/>
        <v>49366319</v>
      </c>
      <c r="AE41" s="2898">
        <v>24966191</v>
      </c>
      <c r="AF41" s="2902">
        <f t="shared" si="30"/>
        <v>24400128</v>
      </c>
      <c r="AG41" s="2923">
        <v>0</v>
      </c>
      <c r="AH41" s="2926">
        <v>28006628</v>
      </c>
      <c r="AI41" s="2926">
        <v>0</v>
      </c>
      <c r="AJ41" s="2898">
        <f t="shared" si="31"/>
        <v>21359691</v>
      </c>
      <c r="AK41" s="2898">
        <v>4007523</v>
      </c>
      <c r="AL41" s="2902">
        <f t="shared" si="32"/>
        <v>17352168</v>
      </c>
    </row>
    <row r="42" spans="2:40">
      <c r="B42" s="2857" t="s">
        <v>1102</v>
      </c>
      <c r="C42" s="2895">
        <v>84812221.219999999</v>
      </c>
      <c r="D42" s="2894">
        <v>415246</v>
      </c>
      <c r="E42" s="2895">
        <v>657700.31999999995</v>
      </c>
      <c r="F42" s="2896">
        <v>0</v>
      </c>
      <c r="G42" s="2897"/>
      <c r="H42" s="2898">
        <v>84569767</v>
      </c>
      <c r="I42" s="2894">
        <v>53344262</v>
      </c>
      <c r="J42" s="2899">
        <f t="shared" si="2"/>
        <v>31225505</v>
      </c>
      <c r="K42" s="2923">
        <v>6207700</v>
      </c>
      <c r="L42" s="2926">
        <v>2660672</v>
      </c>
      <c r="M42" s="2926">
        <v>0</v>
      </c>
      <c r="N42" s="2926"/>
      <c r="O42" s="2898">
        <f t="shared" si="23"/>
        <v>88116795</v>
      </c>
      <c r="P42" s="2898">
        <v>54781905</v>
      </c>
      <c r="Q42" s="2902">
        <f t="shared" si="24"/>
        <v>33334890</v>
      </c>
      <c r="R42" s="2923">
        <v>1968732</v>
      </c>
      <c r="S42" s="2926">
        <v>5238610</v>
      </c>
      <c r="T42" s="2926">
        <v>0</v>
      </c>
      <c r="U42" s="2898">
        <f t="shared" si="25"/>
        <v>84846917</v>
      </c>
      <c r="V42" s="2898">
        <v>53579597</v>
      </c>
      <c r="W42" s="2902">
        <f t="shared" si="26"/>
        <v>31267320</v>
      </c>
      <c r="X42" s="2898">
        <f t="shared" si="27"/>
        <v>2067570</v>
      </c>
      <c r="Y42" s="2898">
        <v>54781905</v>
      </c>
      <c r="Z42" s="2902">
        <f t="shared" si="28"/>
        <v>-52714335</v>
      </c>
      <c r="AA42" s="2923">
        <v>1384100</v>
      </c>
      <c r="AB42" s="2926">
        <v>137222</v>
      </c>
      <c r="AC42" s="2926">
        <v>0</v>
      </c>
      <c r="AD42" s="2898">
        <f t="shared" si="29"/>
        <v>86093795</v>
      </c>
      <c r="AE42" s="2898">
        <v>56612355</v>
      </c>
      <c r="AF42" s="2902">
        <f t="shared" si="30"/>
        <v>29481440</v>
      </c>
      <c r="AG42" s="2923">
        <v>755842</v>
      </c>
      <c r="AH42" s="2926">
        <v>1892719</v>
      </c>
      <c r="AI42" s="2926">
        <v>0</v>
      </c>
      <c r="AJ42" s="2898">
        <f t="shared" si="31"/>
        <v>84956918</v>
      </c>
      <c r="AK42" s="2898">
        <v>57610035</v>
      </c>
      <c r="AL42" s="2902">
        <f t="shared" si="32"/>
        <v>27346883</v>
      </c>
    </row>
    <row r="43" spans="2:40">
      <c r="B43" s="2857" t="s">
        <v>1101</v>
      </c>
      <c r="C43" s="2895">
        <v>91546653.099999994</v>
      </c>
      <c r="D43" s="2894">
        <f>14598951.82+27000</f>
        <v>14625951.82</v>
      </c>
      <c r="E43" s="2895">
        <v>14471567.050000001</v>
      </c>
      <c r="F43" s="2896">
        <v>19940.5</v>
      </c>
      <c r="G43" s="2897"/>
      <c r="H43" s="2898">
        <v>91720978</v>
      </c>
      <c r="I43" s="2894">
        <v>56599367</v>
      </c>
      <c r="J43" s="2933">
        <f t="shared" si="2"/>
        <v>35121611</v>
      </c>
      <c r="K43" s="2898">
        <v>40837874</v>
      </c>
      <c r="L43" s="2926">
        <v>16551205</v>
      </c>
      <c r="M43" s="2926">
        <v>16587</v>
      </c>
      <c r="N43" s="2926"/>
      <c r="O43" s="2898">
        <f t="shared" si="23"/>
        <v>116024234</v>
      </c>
      <c r="P43" s="2898">
        <v>55357094</v>
      </c>
      <c r="Q43" s="2934">
        <f t="shared" si="24"/>
        <v>60667140</v>
      </c>
      <c r="R43" s="2898">
        <v>37214852</v>
      </c>
      <c r="S43" s="2926">
        <v>7520658</v>
      </c>
      <c r="T43" s="2926">
        <v>699438</v>
      </c>
      <c r="U43" s="2898">
        <f t="shared" si="25"/>
        <v>146417866</v>
      </c>
      <c r="V43" s="2898">
        <v>60760459</v>
      </c>
      <c r="W43" s="2934">
        <f t="shared" si="26"/>
        <v>85657407</v>
      </c>
      <c r="X43" s="2898">
        <f t="shared" si="27"/>
        <v>-24290829</v>
      </c>
      <c r="Y43" s="2898">
        <v>55357094</v>
      </c>
      <c r="Z43" s="2934">
        <f t="shared" si="28"/>
        <v>-79647923</v>
      </c>
      <c r="AA43" s="2898">
        <v>4343933</v>
      </c>
      <c r="AB43" s="2926">
        <v>2333208</v>
      </c>
      <c r="AC43" s="2926">
        <v>16680</v>
      </c>
      <c r="AD43" s="2898">
        <f t="shared" si="29"/>
        <v>148445271</v>
      </c>
      <c r="AE43" s="2898">
        <v>73271299</v>
      </c>
      <c r="AF43" s="2902">
        <f t="shared" si="30"/>
        <v>75173972</v>
      </c>
      <c r="AG43" s="2898">
        <v>9517794</v>
      </c>
      <c r="AH43" s="2926">
        <v>12733315</v>
      </c>
      <c r="AI43" s="2926">
        <v>0</v>
      </c>
      <c r="AJ43" s="2898">
        <f t="shared" si="31"/>
        <v>145229750</v>
      </c>
      <c r="AK43" s="2898">
        <v>76100776</v>
      </c>
      <c r="AL43" s="2934">
        <f t="shared" si="32"/>
        <v>69128974</v>
      </c>
    </row>
    <row r="44" spans="2:40">
      <c r="B44" s="2903" t="s">
        <v>94</v>
      </c>
      <c r="C44" s="2904" t="s">
        <v>94</v>
      </c>
      <c r="D44" s="2905" t="s">
        <v>94</v>
      </c>
      <c r="E44" s="2904" t="s">
        <v>277</v>
      </c>
      <c r="F44" s="2906" t="s">
        <v>94</v>
      </c>
      <c r="G44" s="2897"/>
      <c r="H44" s="2907" t="s">
        <v>94</v>
      </c>
      <c r="I44" s="2935" t="s">
        <v>94</v>
      </c>
      <c r="J44" s="2899"/>
      <c r="K44" s="2909" t="s">
        <v>94</v>
      </c>
      <c r="L44" s="2910" t="s">
        <v>277</v>
      </c>
      <c r="M44" s="2907" t="s">
        <v>94</v>
      </c>
      <c r="N44" s="2907"/>
      <c r="O44" s="2907" t="s">
        <v>94</v>
      </c>
      <c r="P44" s="2936" t="s">
        <v>94</v>
      </c>
      <c r="Q44" s="2902"/>
      <c r="R44" s="2909" t="s">
        <v>94</v>
      </c>
      <c r="S44" s="2910" t="s">
        <v>277</v>
      </c>
      <c r="T44" s="2907" t="s">
        <v>94</v>
      </c>
      <c r="U44" s="2907" t="s">
        <v>94</v>
      </c>
      <c r="V44" s="2936" t="s">
        <v>94</v>
      </c>
      <c r="W44" s="2902"/>
      <c r="X44" s="2907" t="s">
        <v>94</v>
      </c>
      <c r="Y44" s="2936" t="s">
        <v>94</v>
      </c>
      <c r="Z44" s="2902"/>
      <c r="AA44" s="2909" t="s">
        <v>94</v>
      </c>
      <c r="AB44" s="2910" t="s">
        <v>277</v>
      </c>
      <c r="AC44" s="2907" t="s">
        <v>94</v>
      </c>
      <c r="AD44" s="2907" t="s">
        <v>94</v>
      </c>
      <c r="AE44" s="2936" t="s">
        <v>94</v>
      </c>
      <c r="AF44" s="2902"/>
      <c r="AG44" s="2909" t="s">
        <v>94</v>
      </c>
      <c r="AH44" s="2910" t="s">
        <v>277</v>
      </c>
      <c r="AI44" s="2907" t="s">
        <v>94</v>
      </c>
      <c r="AJ44" s="2907" t="s">
        <v>94</v>
      </c>
      <c r="AK44" s="2936" t="s">
        <v>94</v>
      </c>
      <c r="AL44" s="2902"/>
    </row>
    <row r="45" spans="2:40">
      <c r="B45" s="2911" t="s">
        <v>499</v>
      </c>
      <c r="C45" s="2912">
        <f>SUM(C37:C44)</f>
        <v>7712303443.1700001</v>
      </c>
      <c r="D45" s="2912">
        <f>SUM(D36:D44)</f>
        <v>2566054763.2700005</v>
      </c>
      <c r="E45" s="2912">
        <f>SUM(E36:E44)</f>
        <v>232457660.50999999</v>
      </c>
      <c r="F45" s="2913">
        <f>SUM(F36:F44)</f>
        <v>182128.18</v>
      </c>
      <c r="G45" s="2914"/>
      <c r="H45" s="2918">
        <f>SUM(H36:H44)</f>
        <v>10046082673</v>
      </c>
      <c r="I45" s="2916">
        <f>SUM(I37:I44)</f>
        <v>4248255146</v>
      </c>
      <c r="J45" s="2937">
        <f t="shared" si="2"/>
        <v>5797827527</v>
      </c>
      <c r="K45" s="2918">
        <f>SUM(K36:K44)</f>
        <v>1718298593</v>
      </c>
      <c r="L45" s="2929">
        <f>SUM(L36:L44)</f>
        <v>90386144</v>
      </c>
      <c r="M45" s="2929">
        <f>SUM(M36:M44)</f>
        <v>-2719123</v>
      </c>
      <c r="N45" s="2929"/>
      <c r="O45" s="2915">
        <f>+H45+K45-L45+M45</f>
        <v>11671275999</v>
      </c>
      <c r="P45" s="2920">
        <f>SUM(P37:P44)</f>
        <v>5228969637</v>
      </c>
      <c r="Q45" s="2920">
        <f>+O45-P45</f>
        <v>6442306362</v>
      </c>
      <c r="R45" s="2918">
        <f>SUM(R36:R44)</f>
        <v>86275510</v>
      </c>
      <c r="S45" s="2929">
        <f>SUM(S36:S44)</f>
        <v>190327222</v>
      </c>
      <c r="T45" s="2929">
        <f>SUM(T36:T44)</f>
        <v>699438</v>
      </c>
      <c r="U45" s="2915">
        <f>+O45+R45-S45+T45</f>
        <v>11567923725</v>
      </c>
      <c r="V45" s="2920">
        <f>SUM(V37:V44)</f>
        <v>6067991680</v>
      </c>
      <c r="W45" s="2920">
        <f>+U45-V45</f>
        <v>5499932045</v>
      </c>
      <c r="X45" s="2915">
        <f>+Q45+T45-U45+V45</f>
        <v>943073755</v>
      </c>
      <c r="Y45" s="2920">
        <f>SUM(Y37:Y44)</f>
        <v>5228969637</v>
      </c>
      <c r="Z45" s="2920">
        <f>+X45-Y45</f>
        <v>-4285895882</v>
      </c>
      <c r="AA45" s="2918">
        <f>SUM(AA36:AA44)</f>
        <v>35968190</v>
      </c>
      <c r="AB45" s="2929">
        <f>SUM(AB36:AB44)</f>
        <v>266063662</v>
      </c>
      <c r="AC45" s="2929">
        <f>SUM(AC36:AC44)</f>
        <v>16680</v>
      </c>
      <c r="AD45" s="2915">
        <f>+U45+AA45-AB45+AC45</f>
        <v>11337844933</v>
      </c>
      <c r="AE45" s="2920">
        <f>SUM(AE37:AE44)</f>
        <v>6382081294</v>
      </c>
      <c r="AF45" s="2920">
        <f>+AD45-AE45</f>
        <v>4955763639</v>
      </c>
      <c r="AG45" s="2918">
        <f>SUM(AG36:AG44)</f>
        <v>51449036</v>
      </c>
      <c r="AH45" s="2938">
        <f>SUM(AH36:AH44)</f>
        <v>241052417</v>
      </c>
      <c r="AI45" s="2939">
        <f>SUM(AI36:AI44)</f>
        <v>1265085</v>
      </c>
      <c r="AJ45" s="2915">
        <f>+AD45+AG45-AH45+AI45</f>
        <v>11149506637</v>
      </c>
      <c r="AK45" s="2920">
        <f>SUM(AK37:AK44)</f>
        <v>6527225353</v>
      </c>
      <c r="AL45" s="2920">
        <f>+AJ45-AK45</f>
        <v>4622281284</v>
      </c>
    </row>
    <row r="46" spans="2:40">
      <c r="B46" s="2857" t="s">
        <v>94</v>
      </c>
      <c r="C46" s="2895"/>
      <c r="D46" s="2894" t="s">
        <v>94</v>
      </c>
      <c r="E46" s="2895" t="s">
        <v>94</v>
      </c>
      <c r="F46" s="2896" t="s">
        <v>94</v>
      </c>
      <c r="G46" s="2897"/>
      <c r="H46" s="2908" t="s">
        <v>94</v>
      </c>
      <c r="I46" s="2940"/>
      <c r="J46" s="2941"/>
      <c r="K46" s="2900" t="s">
        <v>94</v>
      </c>
      <c r="L46" s="2901" t="s">
        <v>94</v>
      </c>
      <c r="M46" s="2898" t="s">
        <v>94</v>
      </c>
      <c r="N46" s="2898"/>
      <c r="O46" s="2898" t="s">
        <v>94</v>
      </c>
      <c r="P46" s="2934"/>
      <c r="Q46" s="2902"/>
      <c r="R46" s="2900" t="s">
        <v>94</v>
      </c>
      <c r="S46" s="2901" t="s">
        <v>94</v>
      </c>
      <c r="T46" s="2898" t="s">
        <v>94</v>
      </c>
      <c r="U46" s="2898" t="s">
        <v>94</v>
      </c>
      <c r="V46" s="2934"/>
      <c r="W46" s="2902"/>
      <c r="X46" s="2898" t="s">
        <v>94</v>
      </c>
      <c r="Y46" s="2934"/>
      <c r="Z46" s="2902"/>
      <c r="AA46" s="2900" t="s">
        <v>94</v>
      </c>
      <c r="AB46" s="2901" t="s">
        <v>94</v>
      </c>
      <c r="AC46" s="2898" t="s">
        <v>94</v>
      </c>
      <c r="AD46" s="2898" t="s">
        <v>94</v>
      </c>
      <c r="AE46" s="2934"/>
      <c r="AF46" s="2902"/>
      <c r="AG46" s="2900" t="s">
        <v>94</v>
      </c>
      <c r="AH46" s="2901" t="s">
        <v>94</v>
      </c>
      <c r="AI46" s="2898" t="s">
        <v>94</v>
      </c>
      <c r="AJ46" s="2898" t="s">
        <v>94</v>
      </c>
      <c r="AK46" s="2934"/>
      <c r="AL46" s="2902"/>
    </row>
    <row r="47" spans="2:40">
      <c r="B47" s="2942" t="s">
        <v>1112</v>
      </c>
      <c r="C47" s="2894">
        <f>+C45+C34+C20</f>
        <v>22303847772.419998</v>
      </c>
      <c r="D47" s="2895">
        <f>D45+D34+D20</f>
        <v>3933058183.7800002</v>
      </c>
      <c r="E47" s="2894">
        <f>+E45+E34+E20</f>
        <v>263535000.71000001</v>
      </c>
      <c r="F47" s="2896">
        <f>+F45+F34+F20</f>
        <v>0</v>
      </c>
      <c r="G47" s="2914"/>
      <c r="H47" s="2918">
        <f>+H45+H34+H20</f>
        <v>25973370956</v>
      </c>
      <c r="I47" s="2894">
        <f>+I45+I34+I20</f>
        <v>9868302965</v>
      </c>
      <c r="J47" s="2937">
        <f t="shared" si="2"/>
        <v>16105067991</v>
      </c>
      <c r="K47" s="2943">
        <f>K45+K34+K20</f>
        <v>3718571105</v>
      </c>
      <c r="L47" s="2929">
        <f>+L45+L34+L20</f>
        <v>157218904</v>
      </c>
      <c r="M47" s="2929" t="e">
        <f>+M45+M34+M20</f>
        <v>#REF!</v>
      </c>
      <c r="N47" s="2929"/>
      <c r="O47" s="2915" t="e">
        <f>+H47+K47-L47+M47</f>
        <v>#REF!</v>
      </c>
      <c r="P47" s="2915">
        <f>+P45+P34+P20</f>
        <v>11455435844</v>
      </c>
      <c r="Q47" s="2920" t="e">
        <f>+O47-P47</f>
        <v>#REF!</v>
      </c>
      <c r="R47" s="2943">
        <f>R45+R34+R20</f>
        <v>1397826554</v>
      </c>
      <c r="S47" s="2929">
        <f>+S45+S34+S20</f>
        <v>367919515</v>
      </c>
      <c r="T47" s="2929" t="e">
        <f>+T45+T34+T20</f>
        <v>#REF!</v>
      </c>
      <c r="U47" s="2915" t="e">
        <f>+O47+R47-S47+T47</f>
        <v>#REF!</v>
      </c>
      <c r="V47" s="2915">
        <f>+V45+V34+V20</f>
        <v>12781781699</v>
      </c>
      <c r="W47" s="2920" t="e">
        <f>+U47-V47</f>
        <v>#REF!</v>
      </c>
      <c r="X47" s="2915" t="e">
        <f>+Q47+T47-U47+V47</f>
        <v>#REF!</v>
      </c>
      <c r="Y47" s="2915">
        <f>+Y45+Y34+Y20</f>
        <v>11455435844</v>
      </c>
      <c r="Z47" s="2920" t="e">
        <f>+X47-Y47</f>
        <v>#REF!</v>
      </c>
      <c r="AA47" s="2943">
        <f>AA45+AA34+AA20</f>
        <v>1300533747</v>
      </c>
      <c r="AB47" s="2929">
        <f>+AB45+AB34+AB20</f>
        <v>398335334</v>
      </c>
      <c r="AC47" s="2929">
        <f>+AC45+AC34+AC20</f>
        <v>-37300000</v>
      </c>
      <c r="AD47" s="2915">
        <f>+AD45+AD34+AD20</f>
        <v>31429528609</v>
      </c>
      <c r="AE47" s="2915">
        <f>+AE45+AE34+AE20</f>
        <v>13759125791</v>
      </c>
      <c r="AF47" s="2920">
        <f>+AD47-AE47</f>
        <v>17670402818</v>
      </c>
      <c r="AG47" s="2943">
        <f>AG45+AG34+AG20</f>
        <v>1072840122</v>
      </c>
      <c r="AH47" s="2939">
        <f>+AH45+AH34+AH20</f>
        <v>393956725</v>
      </c>
      <c r="AI47" s="2939">
        <f>+AI45+AI34+AI20</f>
        <v>-104534915</v>
      </c>
      <c r="AJ47" s="2915">
        <f>+AD47+AG47-AH47+AI47</f>
        <v>32003877091</v>
      </c>
      <c r="AK47" s="2915">
        <f>+AK45+AK34+AK20</f>
        <v>14766855699</v>
      </c>
      <c r="AL47" s="2920">
        <f>+AJ47-AK47</f>
        <v>17237021392</v>
      </c>
    </row>
    <row r="48" spans="2:40" ht="13.5" thickBot="1">
      <c r="B48" s="2944" t="s">
        <v>94</v>
      </c>
      <c r="C48" s="2945" t="s">
        <v>94</v>
      </c>
      <c r="D48" s="2946" t="s">
        <v>94</v>
      </c>
      <c r="E48" s="2945" t="s">
        <v>94</v>
      </c>
      <c r="F48" s="2947" t="s">
        <v>94</v>
      </c>
      <c r="G48" s="2948"/>
      <c r="H48" s="2949" t="s">
        <v>94</v>
      </c>
      <c r="I48" s="2946"/>
      <c r="J48" s="2947"/>
      <c r="K48" s="2949" t="s">
        <v>94</v>
      </c>
      <c r="L48" s="2945" t="s">
        <v>94</v>
      </c>
      <c r="M48" s="2946" t="s">
        <v>94</v>
      </c>
      <c r="N48" s="2946"/>
      <c r="O48" s="2946" t="s">
        <v>94</v>
      </c>
      <c r="P48" s="2946"/>
      <c r="Q48" s="2946"/>
      <c r="R48" s="2949" t="s">
        <v>94</v>
      </c>
      <c r="S48" s="2945" t="s">
        <v>94</v>
      </c>
      <c r="T48" s="2946" t="s">
        <v>94</v>
      </c>
      <c r="U48" s="2946" t="s">
        <v>94</v>
      </c>
      <c r="V48" s="2946"/>
      <c r="W48" s="2946"/>
      <c r="X48" s="2946" t="s">
        <v>94</v>
      </c>
      <c r="Y48" s="2946"/>
      <c r="Z48" s="2946"/>
      <c r="AA48" s="2949" t="s">
        <v>94</v>
      </c>
      <c r="AB48" s="2945" t="s">
        <v>94</v>
      </c>
      <c r="AC48" s="2946" t="s">
        <v>94</v>
      </c>
      <c r="AD48" s="2946" t="s">
        <v>94</v>
      </c>
      <c r="AE48" s="2946"/>
      <c r="AF48" s="2946"/>
      <c r="AG48" s="2949" t="s">
        <v>94</v>
      </c>
      <c r="AH48" s="2945" t="s">
        <v>94</v>
      </c>
      <c r="AI48" s="2946" t="s">
        <v>94</v>
      </c>
      <c r="AJ48" s="2946" t="s">
        <v>94</v>
      </c>
      <c r="AK48" s="2946"/>
      <c r="AL48" s="2946"/>
    </row>
    <row r="49" spans="2:10">
      <c r="I49" s="2855"/>
      <c r="J49" s="2855"/>
    </row>
    <row r="50" spans="2:10">
      <c r="B50" s="2858" t="s">
        <v>2553</v>
      </c>
    </row>
    <row r="52" spans="2:10">
      <c r="B52" s="2853" t="s">
        <v>2554</v>
      </c>
    </row>
    <row r="53" spans="2:10">
      <c r="B53" s="2853" t="s">
        <v>2555</v>
      </c>
    </row>
    <row r="55" spans="2:10">
      <c r="B55" s="2853" t="s">
        <v>2539</v>
      </c>
    </row>
    <row r="57" spans="2:10">
      <c r="B57" s="2853" t="s">
        <v>2540</v>
      </c>
    </row>
  </sheetData>
  <mergeCells count="2">
    <mergeCell ref="B1:AF1"/>
    <mergeCell ref="B5:B9"/>
  </mergeCells>
  <printOptions horizontalCentered="1" verticalCentered="1"/>
  <pageMargins left="0" right="0" top="0.23622047244094491" bottom="0.23622047244094491" header="0.31496062992125984" footer="0.31496062992125984"/>
  <pageSetup paperSize="9" scale="66" orientation="landscape" horizontalDpi="180" verticalDpi="180" r:id="rId1"/>
</worksheet>
</file>

<file path=xl/worksheets/sheet144.xml><?xml version="1.0" encoding="utf-8"?>
<worksheet xmlns="http://schemas.openxmlformats.org/spreadsheetml/2006/main" xmlns:r="http://schemas.openxmlformats.org/officeDocument/2006/relationships">
  <sheetPr codeName="Sheet123">
    <tabColor theme="1" tint="4.9989318521683403E-2"/>
    <pageSetUpPr fitToPage="1"/>
  </sheetPr>
  <dimension ref="A1:P52"/>
  <sheetViews>
    <sheetView showGridLines="0" view="pageBreakPreview" topLeftCell="A5" zoomScale="80" zoomScaleSheetLayoutView="80" workbookViewId="0">
      <pane ySplit="3" topLeftCell="A8" activePane="bottomLeft" state="frozen"/>
      <selection activeCell="A37" sqref="A37:XFD37"/>
      <selection pane="bottomLeft" activeCell="A37" sqref="A37:XFD37"/>
    </sheetView>
  </sheetViews>
  <sheetFormatPr defaultColWidth="7.85546875" defaultRowHeight="15"/>
  <cols>
    <col min="1" max="1" width="26.5703125" style="1937" customWidth="1"/>
    <col min="2" max="2" width="23.42578125" style="1937" customWidth="1"/>
    <col min="3" max="3" width="22.140625" style="1937" customWidth="1"/>
    <col min="4" max="4" width="15.42578125" style="1937" customWidth="1"/>
    <col min="5" max="5" width="17.5703125" style="1937" customWidth="1"/>
    <col min="6" max="6" width="17" style="1937" customWidth="1"/>
    <col min="7" max="7" width="9.85546875" style="1937" bestFit="1" customWidth="1"/>
    <col min="8" max="8" width="15.5703125" style="1937" bestFit="1" customWidth="1"/>
    <col min="9" max="9" width="14" style="1937" customWidth="1"/>
    <col min="10" max="11" width="7.85546875" style="1937"/>
    <col min="12" max="12" width="16.28515625" style="1937" customWidth="1"/>
    <col min="13" max="13" width="7.85546875" style="1937"/>
    <col min="14" max="14" width="10.85546875" style="1937" bestFit="1" customWidth="1"/>
    <col min="15" max="15" width="25.140625" style="1937" customWidth="1"/>
    <col min="16" max="256" width="7.85546875" style="1937"/>
    <col min="257" max="257" width="26.5703125" style="1937" customWidth="1"/>
    <col min="258" max="258" width="18.85546875" style="1937" bestFit="1" customWidth="1"/>
    <col min="259" max="259" width="16.140625" style="1937" bestFit="1" customWidth="1"/>
    <col min="260" max="260" width="13.28515625" style="1937" customWidth="1"/>
    <col min="261" max="261" width="12.85546875" style="1937" customWidth="1"/>
    <col min="262" max="262" width="13.85546875" style="1937" bestFit="1" customWidth="1"/>
    <col min="263" max="263" width="9.85546875" style="1937" bestFit="1" customWidth="1"/>
    <col min="264" max="512" width="7.85546875" style="1937"/>
    <col min="513" max="513" width="26.5703125" style="1937" customWidth="1"/>
    <col min="514" max="514" width="18.85546875" style="1937" bestFit="1" customWidth="1"/>
    <col min="515" max="515" width="16.140625" style="1937" bestFit="1" customWidth="1"/>
    <col min="516" max="516" width="13.28515625" style="1937" customWidth="1"/>
    <col min="517" max="517" width="12.85546875" style="1937" customWidth="1"/>
    <col min="518" max="518" width="13.85546875" style="1937" bestFit="1" customWidth="1"/>
    <col min="519" max="519" width="9.85546875" style="1937" bestFit="1" customWidth="1"/>
    <col min="520" max="768" width="7.85546875" style="1937"/>
    <col min="769" max="769" width="26.5703125" style="1937" customWidth="1"/>
    <col min="770" max="770" width="18.85546875" style="1937" bestFit="1" customWidth="1"/>
    <col min="771" max="771" width="16.140625" style="1937" bestFit="1" customWidth="1"/>
    <col min="772" max="772" width="13.28515625" style="1937" customWidth="1"/>
    <col min="773" max="773" width="12.85546875" style="1937" customWidth="1"/>
    <col min="774" max="774" width="13.85546875" style="1937" bestFit="1" customWidth="1"/>
    <col min="775" max="775" width="9.85546875" style="1937" bestFit="1" customWidth="1"/>
    <col min="776" max="1024" width="7.85546875" style="1937"/>
    <col min="1025" max="1025" width="26.5703125" style="1937" customWidth="1"/>
    <col min="1026" max="1026" width="18.85546875" style="1937" bestFit="1" customWidth="1"/>
    <col min="1027" max="1027" width="16.140625" style="1937" bestFit="1" customWidth="1"/>
    <col min="1028" max="1028" width="13.28515625" style="1937" customWidth="1"/>
    <col min="1029" max="1029" width="12.85546875" style="1937" customWidth="1"/>
    <col min="1030" max="1030" width="13.85546875" style="1937" bestFit="1" customWidth="1"/>
    <col min="1031" max="1031" width="9.85546875" style="1937" bestFit="1" customWidth="1"/>
    <col min="1032" max="1280" width="7.85546875" style="1937"/>
    <col min="1281" max="1281" width="26.5703125" style="1937" customWidth="1"/>
    <col min="1282" max="1282" width="18.85546875" style="1937" bestFit="1" customWidth="1"/>
    <col min="1283" max="1283" width="16.140625" style="1937" bestFit="1" customWidth="1"/>
    <col min="1284" max="1284" width="13.28515625" style="1937" customWidth="1"/>
    <col min="1285" max="1285" width="12.85546875" style="1937" customWidth="1"/>
    <col min="1286" max="1286" width="13.85546875" style="1937" bestFit="1" customWidth="1"/>
    <col min="1287" max="1287" width="9.85546875" style="1937" bestFit="1" customWidth="1"/>
    <col min="1288" max="1536" width="7.85546875" style="1937"/>
    <col min="1537" max="1537" width="26.5703125" style="1937" customWidth="1"/>
    <col min="1538" max="1538" width="18.85546875" style="1937" bestFit="1" customWidth="1"/>
    <col min="1539" max="1539" width="16.140625" style="1937" bestFit="1" customWidth="1"/>
    <col min="1540" max="1540" width="13.28515625" style="1937" customWidth="1"/>
    <col min="1541" max="1541" width="12.85546875" style="1937" customWidth="1"/>
    <col min="1542" max="1542" width="13.85546875" style="1937" bestFit="1" customWidth="1"/>
    <col min="1543" max="1543" width="9.85546875" style="1937" bestFit="1" customWidth="1"/>
    <col min="1544" max="1792" width="7.85546875" style="1937"/>
    <col min="1793" max="1793" width="26.5703125" style="1937" customWidth="1"/>
    <col min="1794" max="1794" width="18.85546875" style="1937" bestFit="1" customWidth="1"/>
    <col min="1795" max="1795" width="16.140625" style="1937" bestFit="1" customWidth="1"/>
    <col min="1796" max="1796" width="13.28515625" style="1937" customWidth="1"/>
    <col min="1797" max="1797" width="12.85546875" style="1937" customWidth="1"/>
    <col min="1798" max="1798" width="13.85546875" style="1937" bestFit="1" customWidth="1"/>
    <col min="1799" max="1799" width="9.85546875" style="1937" bestFit="1" customWidth="1"/>
    <col min="1800" max="2048" width="7.85546875" style="1937"/>
    <col min="2049" max="2049" width="26.5703125" style="1937" customWidth="1"/>
    <col min="2050" max="2050" width="18.85546875" style="1937" bestFit="1" customWidth="1"/>
    <col min="2051" max="2051" width="16.140625" style="1937" bestFit="1" customWidth="1"/>
    <col min="2052" max="2052" width="13.28515625" style="1937" customWidth="1"/>
    <col min="2053" max="2053" width="12.85546875" style="1937" customWidth="1"/>
    <col min="2054" max="2054" width="13.85546875" style="1937" bestFit="1" customWidth="1"/>
    <col min="2055" max="2055" width="9.85546875" style="1937" bestFit="1" customWidth="1"/>
    <col min="2056" max="2304" width="7.85546875" style="1937"/>
    <col min="2305" max="2305" width="26.5703125" style="1937" customWidth="1"/>
    <col min="2306" max="2306" width="18.85546875" style="1937" bestFit="1" customWidth="1"/>
    <col min="2307" max="2307" width="16.140625" style="1937" bestFit="1" customWidth="1"/>
    <col min="2308" max="2308" width="13.28515625" style="1937" customWidth="1"/>
    <col min="2309" max="2309" width="12.85546875" style="1937" customWidth="1"/>
    <col min="2310" max="2310" width="13.85546875" style="1937" bestFit="1" customWidth="1"/>
    <col min="2311" max="2311" width="9.85546875" style="1937" bestFit="1" customWidth="1"/>
    <col min="2312" max="2560" width="7.85546875" style="1937"/>
    <col min="2561" max="2561" width="26.5703125" style="1937" customWidth="1"/>
    <col min="2562" max="2562" width="18.85546875" style="1937" bestFit="1" customWidth="1"/>
    <col min="2563" max="2563" width="16.140625" style="1937" bestFit="1" customWidth="1"/>
    <col min="2564" max="2564" width="13.28515625" style="1937" customWidth="1"/>
    <col min="2565" max="2565" width="12.85546875" style="1937" customWidth="1"/>
    <col min="2566" max="2566" width="13.85546875" style="1937" bestFit="1" customWidth="1"/>
    <col min="2567" max="2567" width="9.85546875" style="1937" bestFit="1" customWidth="1"/>
    <col min="2568" max="2816" width="7.85546875" style="1937"/>
    <col min="2817" max="2817" width="26.5703125" style="1937" customWidth="1"/>
    <col min="2818" max="2818" width="18.85546875" style="1937" bestFit="1" customWidth="1"/>
    <col min="2819" max="2819" width="16.140625" style="1937" bestFit="1" customWidth="1"/>
    <col min="2820" max="2820" width="13.28515625" style="1937" customWidth="1"/>
    <col min="2821" max="2821" width="12.85546875" style="1937" customWidth="1"/>
    <col min="2822" max="2822" width="13.85546875" style="1937" bestFit="1" customWidth="1"/>
    <col min="2823" max="2823" width="9.85546875" style="1937" bestFit="1" customWidth="1"/>
    <col min="2824" max="3072" width="7.85546875" style="1937"/>
    <col min="3073" max="3073" width="26.5703125" style="1937" customWidth="1"/>
    <col min="3074" max="3074" width="18.85546875" style="1937" bestFit="1" customWidth="1"/>
    <col min="3075" max="3075" width="16.140625" style="1937" bestFit="1" customWidth="1"/>
    <col min="3076" max="3076" width="13.28515625" style="1937" customWidth="1"/>
    <col min="3077" max="3077" width="12.85546875" style="1937" customWidth="1"/>
    <col min="3078" max="3078" width="13.85546875" style="1937" bestFit="1" customWidth="1"/>
    <col min="3079" max="3079" width="9.85546875" style="1937" bestFit="1" customWidth="1"/>
    <col min="3080" max="3328" width="7.85546875" style="1937"/>
    <col min="3329" max="3329" width="26.5703125" style="1937" customWidth="1"/>
    <col min="3330" max="3330" width="18.85546875" style="1937" bestFit="1" customWidth="1"/>
    <col min="3331" max="3331" width="16.140625" style="1937" bestFit="1" customWidth="1"/>
    <col min="3332" max="3332" width="13.28515625" style="1937" customWidth="1"/>
    <col min="3333" max="3333" width="12.85546875" style="1937" customWidth="1"/>
    <col min="3334" max="3334" width="13.85546875" style="1937" bestFit="1" customWidth="1"/>
    <col min="3335" max="3335" width="9.85546875" style="1937" bestFit="1" customWidth="1"/>
    <col min="3336" max="3584" width="7.85546875" style="1937"/>
    <col min="3585" max="3585" width="26.5703125" style="1937" customWidth="1"/>
    <col min="3586" max="3586" width="18.85546875" style="1937" bestFit="1" customWidth="1"/>
    <col min="3587" max="3587" width="16.140625" style="1937" bestFit="1" customWidth="1"/>
    <col min="3588" max="3588" width="13.28515625" style="1937" customWidth="1"/>
    <col min="3589" max="3589" width="12.85546875" style="1937" customWidth="1"/>
    <col min="3590" max="3590" width="13.85546875" style="1937" bestFit="1" customWidth="1"/>
    <col min="3591" max="3591" width="9.85546875" style="1937" bestFit="1" customWidth="1"/>
    <col min="3592" max="3840" width="7.85546875" style="1937"/>
    <col min="3841" max="3841" width="26.5703125" style="1937" customWidth="1"/>
    <col min="3842" max="3842" width="18.85546875" style="1937" bestFit="1" customWidth="1"/>
    <col min="3843" max="3843" width="16.140625" style="1937" bestFit="1" customWidth="1"/>
    <col min="3844" max="3844" width="13.28515625" style="1937" customWidth="1"/>
    <col min="3845" max="3845" width="12.85546875" style="1937" customWidth="1"/>
    <col min="3846" max="3846" width="13.85546875" style="1937" bestFit="1" customWidth="1"/>
    <col min="3847" max="3847" width="9.85546875" style="1937" bestFit="1" customWidth="1"/>
    <col min="3848" max="4096" width="7.85546875" style="1937"/>
    <col min="4097" max="4097" width="26.5703125" style="1937" customWidth="1"/>
    <col min="4098" max="4098" width="18.85546875" style="1937" bestFit="1" customWidth="1"/>
    <col min="4099" max="4099" width="16.140625" style="1937" bestFit="1" customWidth="1"/>
    <col min="4100" max="4100" width="13.28515625" style="1937" customWidth="1"/>
    <col min="4101" max="4101" width="12.85546875" style="1937" customWidth="1"/>
    <col min="4102" max="4102" width="13.85546875" style="1937" bestFit="1" customWidth="1"/>
    <col min="4103" max="4103" width="9.85546875" style="1937" bestFit="1" customWidth="1"/>
    <col min="4104" max="4352" width="7.85546875" style="1937"/>
    <col min="4353" max="4353" width="26.5703125" style="1937" customWidth="1"/>
    <col min="4354" max="4354" width="18.85546875" style="1937" bestFit="1" customWidth="1"/>
    <col min="4355" max="4355" width="16.140625" style="1937" bestFit="1" customWidth="1"/>
    <col min="4356" max="4356" width="13.28515625" style="1937" customWidth="1"/>
    <col min="4357" max="4357" width="12.85546875" style="1937" customWidth="1"/>
    <col min="4358" max="4358" width="13.85546875" style="1937" bestFit="1" customWidth="1"/>
    <col min="4359" max="4359" width="9.85546875" style="1937" bestFit="1" customWidth="1"/>
    <col min="4360" max="4608" width="7.85546875" style="1937"/>
    <col min="4609" max="4609" width="26.5703125" style="1937" customWidth="1"/>
    <col min="4610" max="4610" width="18.85546875" style="1937" bestFit="1" customWidth="1"/>
    <col min="4611" max="4611" width="16.140625" style="1937" bestFit="1" customWidth="1"/>
    <col min="4612" max="4612" width="13.28515625" style="1937" customWidth="1"/>
    <col min="4613" max="4613" width="12.85546875" style="1937" customWidth="1"/>
    <col min="4614" max="4614" width="13.85546875" style="1937" bestFit="1" customWidth="1"/>
    <col min="4615" max="4615" width="9.85546875" style="1937" bestFit="1" customWidth="1"/>
    <col min="4616" max="4864" width="7.85546875" style="1937"/>
    <col min="4865" max="4865" width="26.5703125" style="1937" customWidth="1"/>
    <col min="4866" max="4866" width="18.85546875" style="1937" bestFit="1" customWidth="1"/>
    <col min="4867" max="4867" width="16.140625" style="1937" bestFit="1" customWidth="1"/>
    <col min="4868" max="4868" width="13.28515625" style="1937" customWidth="1"/>
    <col min="4869" max="4869" width="12.85546875" style="1937" customWidth="1"/>
    <col min="4870" max="4870" width="13.85546875" style="1937" bestFit="1" customWidth="1"/>
    <col min="4871" max="4871" width="9.85546875" style="1937" bestFit="1" customWidth="1"/>
    <col min="4872" max="5120" width="7.85546875" style="1937"/>
    <col min="5121" max="5121" width="26.5703125" style="1937" customWidth="1"/>
    <col min="5122" max="5122" width="18.85546875" style="1937" bestFit="1" customWidth="1"/>
    <col min="5123" max="5123" width="16.140625" style="1937" bestFit="1" customWidth="1"/>
    <col min="5124" max="5124" width="13.28515625" style="1937" customWidth="1"/>
    <col min="5125" max="5125" width="12.85546875" style="1937" customWidth="1"/>
    <col min="5126" max="5126" width="13.85546875" style="1937" bestFit="1" customWidth="1"/>
    <col min="5127" max="5127" width="9.85546875" style="1937" bestFit="1" customWidth="1"/>
    <col min="5128" max="5376" width="7.85546875" style="1937"/>
    <col min="5377" max="5377" width="26.5703125" style="1937" customWidth="1"/>
    <col min="5378" max="5378" width="18.85546875" style="1937" bestFit="1" customWidth="1"/>
    <col min="5379" max="5379" width="16.140625" style="1937" bestFit="1" customWidth="1"/>
    <col min="5380" max="5380" width="13.28515625" style="1937" customWidth="1"/>
    <col min="5381" max="5381" width="12.85546875" style="1937" customWidth="1"/>
    <col min="5382" max="5382" width="13.85546875" style="1937" bestFit="1" customWidth="1"/>
    <col min="5383" max="5383" width="9.85546875" style="1937" bestFit="1" customWidth="1"/>
    <col min="5384" max="5632" width="7.85546875" style="1937"/>
    <col min="5633" max="5633" width="26.5703125" style="1937" customWidth="1"/>
    <col min="5634" max="5634" width="18.85546875" style="1937" bestFit="1" customWidth="1"/>
    <col min="5635" max="5635" width="16.140625" style="1937" bestFit="1" customWidth="1"/>
    <col min="5636" max="5636" width="13.28515625" style="1937" customWidth="1"/>
    <col min="5637" max="5637" width="12.85546875" style="1937" customWidth="1"/>
    <col min="5638" max="5638" width="13.85546875" style="1937" bestFit="1" customWidth="1"/>
    <col min="5639" max="5639" width="9.85546875" style="1937" bestFit="1" customWidth="1"/>
    <col min="5640" max="5888" width="7.85546875" style="1937"/>
    <col min="5889" max="5889" width="26.5703125" style="1937" customWidth="1"/>
    <col min="5890" max="5890" width="18.85546875" style="1937" bestFit="1" customWidth="1"/>
    <col min="5891" max="5891" width="16.140625" style="1937" bestFit="1" customWidth="1"/>
    <col min="5892" max="5892" width="13.28515625" style="1937" customWidth="1"/>
    <col min="5893" max="5893" width="12.85546875" style="1937" customWidth="1"/>
    <col min="5894" max="5894" width="13.85546875" style="1937" bestFit="1" customWidth="1"/>
    <col min="5895" max="5895" width="9.85546875" style="1937" bestFit="1" customWidth="1"/>
    <col min="5896" max="6144" width="7.85546875" style="1937"/>
    <col min="6145" max="6145" width="26.5703125" style="1937" customWidth="1"/>
    <col min="6146" max="6146" width="18.85546875" style="1937" bestFit="1" customWidth="1"/>
    <col min="6147" max="6147" width="16.140625" style="1937" bestFit="1" customWidth="1"/>
    <col min="6148" max="6148" width="13.28515625" style="1937" customWidth="1"/>
    <col min="6149" max="6149" width="12.85546875" style="1937" customWidth="1"/>
    <col min="6150" max="6150" width="13.85546875" style="1937" bestFit="1" customWidth="1"/>
    <col min="6151" max="6151" width="9.85546875" style="1937" bestFit="1" customWidth="1"/>
    <col min="6152" max="6400" width="7.85546875" style="1937"/>
    <col min="6401" max="6401" width="26.5703125" style="1937" customWidth="1"/>
    <col min="6402" max="6402" width="18.85546875" style="1937" bestFit="1" customWidth="1"/>
    <col min="6403" max="6403" width="16.140625" style="1937" bestFit="1" customWidth="1"/>
    <col min="6404" max="6404" width="13.28515625" style="1937" customWidth="1"/>
    <col min="6405" max="6405" width="12.85546875" style="1937" customWidth="1"/>
    <col min="6406" max="6406" width="13.85546875" style="1937" bestFit="1" customWidth="1"/>
    <col min="6407" max="6407" width="9.85546875" style="1937" bestFit="1" customWidth="1"/>
    <col min="6408" max="6656" width="7.85546875" style="1937"/>
    <col min="6657" max="6657" width="26.5703125" style="1937" customWidth="1"/>
    <col min="6658" max="6658" width="18.85546875" style="1937" bestFit="1" customWidth="1"/>
    <col min="6659" max="6659" width="16.140625" style="1937" bestFit="1" customWidth="1"/>
    <col min="6660" max="6660" width="13.28515625" style="1937" customWidth="1"/>
    <col min="6661" max="6661" width="12.85546875" style="1937" customWidth="1"/>
    <col min="6662" max="6662" width="13.85546875" style="1937" bestFit="1" customWidth="1"/>
    <col min="6663" max="6663" width="9.85546875" style="1937" bestFit="1" customWidth="1"/>
    <col min="6664" max="6912" width="7.85546875" style="1937"/>
    <col min="6913" max="6913" width="26.5703125" style="1937" customWidth="1"/>
    <col min="6914" max="6914" width="18.85546875" style="1937" bestFit="1" customWidth="1"/>
    <col min="6915" max="6915" width="16.140625" style="1937" bestFit="1" customWidth="1"/>
    <col min="6916" max="6916" width="13.28515625" style="1937" customWidth="1"/>
    <col min="6917" max="6917" width="12.85546875" style="1937" customWidth="1"/>
    <col min="6918" max="6918" width="13.85546875" style="1937" bestFit="1" customWidth="1"/>
    <col min="6919" max="6919" width="9.85546875" style="1937" bestFit="1" customWidth="1"/>
    <col min="6920" max="7168" width="7.85546875" style="1937"/>
    <col min="7169" max="7169" width="26.5703125" style="1937" customWidth="1"/>
    <col min="7170" max="7170" width="18.85546875" style="1937" bestFit="1" customWidth="1"/>
    <col min="7171" max="7171" width="16.140625" style="1937" bestFit="1" customWidth="1"/>
    <col min="7172" max="7172" width="13.28515625" style="1937" customWidth="1"/>
    <col min="7173" max="7173" width="12.85546875" style="1937" customWidth="1"/>
    <col min="7174" max="7174" width="13.85546875" style="1937" bestFit="1" customWidth="1"/>
    <col min="7175" max="7175" width="9.85546875" style="1937" bestFit="1" customWidth="1"/>
    <col min="7176" max="7424" width="7.85546875" style="1937"/>
    <col min="7425" max="7425" width="26.5703125" style="1937" customWidth="1"/>
    <col min="7426" max="7426" width="18.85546875" style="1937" bestFit="1" customWidth="1"/>
    <col min="7427" max="7427" width="16.140625" style="1937" bestFit="1" customWidth="1"/>
    <col min="7428" max="7428" width="13.28515625" style="1937" customWidth="1"/>
    <col min="7429" max="7429" width="12.85546875" style="1937" customWidth="1"/>
    <col min="7430" max="7430" width="13.85546875" style="1937" bestFit="1" customWidth="1"/>
    <col min="7431" max="7431" width="9.85546875" style="1937" bestFit="1" customWidth="1"/>
    <col min="7432" max="7680" width="7.85546875" style="1937"/>
    <col min="7681" max="7681" width="26.5703125" style="1937" customWidth="1"/>
    <col min="7682" max="7682" width="18.85546875" style="1937" bestFit="1" customWidth="1"/>
    <col min="7683" max="7683" width="16.140625" style="1937" bestFit="1" customWidth="1"/>
    <col min="7684" max="7684" width="13.28515625" style="1937" customWidth="1"/>
    <col min="7685" max="7685" width="12.85546875" style="1937" customWidth="1"/>
    <col min="7686" max="7686" width="13.85546875" style="1937" bestFit="1" customWidth="1"/>
    <col min="7687" max="7687" width="9.85546875" style="1937" bestFit="1" customWidth="1"/>
    <col min="7688" max="7936" width="7.85546875" style="1937"/>
    <col min="7937" max="7937" width="26.5703125" style="1937" customWidth="1"/>
    <col min="7938" max="7938" width="18.85546875" style="1937" bestFit="1" customWidth="1"/>
    <col min="7939" max="7939" width="16.140625" style="1937" bestFit="1" customWidth="1"/>
    <col min="7940" max="7940" width="13.28515625" style="1937" customWidth="1"/>
    <col min="7941" max="7941" width="12.85546875" style="1937" customWidth="1"/>
    <col min="7942" max="7942" width="13.85546875" style="1937" bestFit="1" customWidth="1"/>
    <col min="7943" max="7943" width="9.85546875" style="1937" bestFit="1" customWidth="1"/>
    <col min="7944" max="8192" width="7.85546875" style="1937"/>
    <col min="8193" max="8193" width="26.5703125" style="1937" customWidth="1"/>
    <col min="8194" max="8194" width="18.85546875" style="1937" bestFit="1" customWidth="1"/>
    <col min="8195" max="8195" width="16.140625" style="1937" bestFit="1" customWidth="1"/>
    <col min="8196" max="8196" width="13.28515625" style="1937" customWidth="1"/>
    <col min="8197" max="8197" width="12.85546875" style="1937" customWidth="1"/>
    <col min="8198" max="8198" width="13.85546875" style="1937" bestFit="1" customWidth="1"/>
    <col min="8199" max="8199" width="9.85546875" style="1937" bestFit="1" customWidth="1"/>
    <col min="8200" max="8448" width="7.85546875" style="1937"/>
    <col min="8449" max="8449" width="26.5703125" style="1937" customWidth="1"/>
    <col min="8450" max="8450" width="18.85546875" style="1937" bestFit="1" customWidth="1"/>
    <col min="8451" max="8451" width="16.140625" style="1937" bestFit="1" customWidth="1"/>
    <col min="8452" max="8452" width="13.28515625" style="1937" customWidth="1"/>
    <col min="8453" max="8453" width="12.85546875" style="1937" customWidth="1"/>
    <col min="8454" max="8454" width="13.85546875" style="1937" bestFit="1" customWidth="1"/>
    <col min="8455" max="8455" width="9.85546875" style="1937" bestFit="1" customWidth="1"/>
    <col min="8456" max="8704" width="7.85546875" style="1937"/>
    <col min="8705" max="8705" width="26.5703125" style="1937" customWidth="1"/>
    <col min="8706" max="8706" width="18.85546875" style="1937" bestFit="1" customWidth="1"/>
    <col min="8707" max="8707" width="16.140625" style="1937" bestFit="1" customWidth="1"/>
    <col min="8708" max="8708" width="13.28515625" style="1937" customWidth="1"/>
    <col min="8709" max="8709" width="12.85546875" style="1937" customWidth="1"/>
    <col min="8710" max="8710" width="13.85546875" style="1937" bestFit="1" customWidth="1"/>
    <col min="8711" max="8711" width="9.85546875" style="1937" bestFit="1" customWidth="1"/>
    <col min="8712" max="8960" width="7.85546875" style="1937"/>
    <col min="8961" max="8961" width="26.5703125" style="1937" customWidth="1"/>
    <col min="8962" max="8962" width="18.85546875" style="1937" bestFit="1" customWidth="1"/>
    <col min="8963" max="8963" width="16.140625" style="1937" bestFit="1" customWidth="1"/>
    <col min="8964" max="8964" width="13.28515625" style="1937" customWidth="1"/>
    <col min="8965" max="8965" width="12.85546875" style="1937" customWidth="1"/>
    <col min="8966" max="8966" width="13.85546875" style="1937" bestFit="1" customWidth="1"/>
    <col min="8967" max="8967" width="9.85546875" style="1937" bestFit="1" customWidth="1"/>
    <col min="8968" max="9216" width="7.85546875" style="1937"/>
    <col min="9217" max="9217" width="26.5703125" style="1937" customWidth="1"/>
    <col min="9218" max="9218" width="18.85546875" style="1937" bestFit="1" customWidth="1"/>
    <col min="9219" max="9219" width="16.140625" style="1937" bestFit="1" customWidth="1"/>
    <col min="9220" max="9220" width="13.28515625" style="1937" customWidth="1"/>
    <col min="9221" max="9221" width="12.85546875" style="1937" customWidth="1"/>
    <col min="9222" max="9222" width="13.85546875" style="1937" bestFit="1" customWidth="1"/>
    <col min="9223" max="9223" width="9.85546875" style="1937" bestFit="1" customWidth="1"/>
    <col min="9224" max="9472" width="7.85546875" style="1937"/>
    <col min="9473" max="9473" width="26.5703125" style="1937" customWidth="1"/>
    <col min="9474" max="9474" width="18.85546875" style="1937" bestFit="1" customWidth="1"/>
    <col min="9475" max="9475" width="16.140625" style="1937" bestFit="1" customWidth="1"/>
    <col min="9476" max="9476" width="13.28515625" style="1937" customWidth="1"/>
    <col min="9477" max="9477" width="12.85546875" style="1937" customWidth="1"/>
    <col min="9478" max="9478" width="13.85546875" style="1937" bestFit="1" customWidth="1"/>
    <col min="9479" max="9479" width="9.85546875" style="1937" bestFit="1" customWidth="1"/>
    <col min="9480" max="9728" width="7.85546875" style="1937"/>
    <col min="9729" max="9729" width="26.5703125" style="1937" customWidth="1"/>
    <col min="9730" max="9730" width="18.85546875" style="1937" bestFit="1" customWidth="1"/>
    <col min="9731" max="9731" width="16.140625" style="1937" bestFit="1" customWidth="1"/>
    <col min="9732" max="9732" width="13.28515625" style="1937" customWidth="1"/>
    <col min="9733" max="9733" width="12.85546875" style="1937" customWidth="1"/>
    <col min="9734" max="9734" width="13.85546875" style="1937" bestFit="1" customWidth="1"/>
    <col min="9735" max="9735" width="9.85546875" style="1937" bestFit="1" customWidth="1"/>
    <col min="9736" max="9984" width="7.85546875" style="1937"/>
    <col min="9985" max="9985" width="26.5703125" style="1937" customWidth="1"/>
    <col min="9986" max="9986" width="18.85546875" style="1937" bestFit="1" customWidth="1"/>
    <col min="9987" max="9987" width="16.140625" style="1937" bestFit="1" customWidth="1"/>
    <col min="9988" max="9988" width="13.28515625" style="1937" customWidth="1"/>
    <col min="9989" max="9989" width="12.85546875" style="1937" customWidth="1"/>
    <col min="9990" max="9990" width="13.85546875" style="1937" bestFit="1" customWidth="1"/>
    <col min="9991" max="9991" width="9.85546875" style="1937" bestFit="1" customWidth="1"/>
    <col min="9992" max="10240" width="7.85546875" style="1937"/>
    <col min="10241" max="10241" width="26.5703125" style="1937" customWidth="1"/>
    <col min="10242" max="10242" width="18.85546875" style="1937" bestFit="1" customWidth="1"/>
    <col min="10243" max="10243" width="16.140625" style="1937" bestFit="1" customWidth="1"/>
    <col min="10244" max="10244" width="13.28515625" style="1937" customWidth="1"/>
    <col min="10245" max="10245" width="12.85546875" style="1937" customWidth="1"/>
    <col min="10246" max="10246" width="13.85546875" style="1937" bestFit="1" customWidth="1"/>
    <col min="10247" max="10247" width="9.85546875" style="1937" bestFit="1" customWidth="1"/>
    <col min="10248" max="10496" width="7.85546875" style="1937"/>
    <col min="10497" max="10497" width="26.5703125" style="1937" customWidth="1"/>
    <col min="10498" max="10498" width="18.85546875" style="1937" bestFit="1" customWidth="1"/>
    <col min="10499" max="10499" width="16.140625" style="1937" bestFit="1" customWidth="1"/>
    <col min="10500" max="10500" width="13.28515625" style="1937" customWidth="1"/>
    <col min="10501" max="10501" width="12.85546875" style="1937" customWidth="1"/>
    <col min="10502" max="10502" width="13.85546875" style="1937" bestFit="1" customWidth="1"/>
    <col min="10503" max="10503" width="9.85546875" style="1937" bestFit="1" customWidth="1"/>
    <col min="10504" max="10752" width="7.85546875" style="1937"/>
    <col min="10753" max="10753" width="26.5703125" style="1937" customWidth="1"/>
    <col min="10754" max="10754" width="18.85546875" style="1937" bestFit="1" customWidth="1"/>
    <col min="10755" max="10755" width="16.140625" style="1937" bestFit="1" customWidth="1"/>
    <col min="10756" max="10756" width="13.28515625" style="1937" customWidth="1"/>
    <col min="10757" max="10757" width="12.85546875" style="1937" customWidth="1"/>
    <col min="10758" max="10758" width="13.85546875" style="1937" bestFit="1" customWidth="1"/>
    <col min="10759" max="10759" width="9.85546875" style="1937" bestFit="1" customWidth="1"/>
    <col min="10760" max="11008" width="7.85546875" style="1937"/>
    <col min="11009" max="11009" width="26.5703125" style="1937" customWidth="1"/>
    <col min="11010" max="11010" width="18.85546875" style="1937" bestFit="1" customWidth="1"/>
    <col min="11011" max="11011" width="16.140625" style="1937" bestFit="1" customWidth="1"/>
    <col min="11012" max="11012" width="13.28515625" style="1937" customWidth="1"/>
    <col min="11013" max="11013" width="12.85546875" style="1937" customWidth="1"/>
    <col min="11014" max="11014" width="13.85546875" style="1937" bestFit="1" customWidth="1"/>
    <col min="11015" max="11015" width="9.85546875" style="1937" bestFit="1" customWidth="1"/>
    <col min="11016" max="11264" width="7.85546875" style="1937"/>
    <col min="11265" max="11265" width="26.5703125" style="1937" customWidth="1"/>
    <col min="11266" max="11266" width="18.85546875" style="1937" bestFit="1" customWidth="1"/>
    <col min="11267" max="11267" width="16.140625" style="1937" bestFit="1" customWidth="1"/>
    <col min="11268" max="11268" width="13.28515625" style="1937" customWidth="1"/>
    <col min="11269" max="11269" width="12.85546875" style="1937" customWidth="1"/>
    <col min="11270" max="11270" width="13.85546875" style="1937" bestFit="1" customWidth="1"/>
    <col min="11271" max="11271" width="9.85546875" style="1937" bestFit="1" customWidth="1"/>
    <col min="11272" max="11520" width="7.85546875" style="1937"/>
    <col min="11521" max="11521" width="26.5703125" style="1937" customWidth="1"/>
    <col min="11522" max="11522" width="18.85546875" style="1937" bestFit="1" customWidth="1"/>
    <col min="11523" max="11523" width="16.140625" style="1937" bestFit="1" customWidth="1"/>
    <col min="11524" max="11524" width="13.28515625" style="1937" customWidth="1"/>
    <col min="11525" max="11525" width="12.85546875" style="1937" customWidth="1"/>
    <col min="11526" max="11526" width="13.85546875" style="1937" bestFit="1" customWidth="1"/>
    <col min="11527" max="11527" width="9.85546875" style="1937" bestFit="1" customWidth="1"/>
    <col min="11528" max="11776" width="7.85546875" style="1937"/>
    <col min="11777" max="11777" width="26.5703125" style="1937" customWidth="1"/>
    <col min="11778" max="11778" width="18.85546875" style="1937" bestFit="1" customWidth="1"/>
    <col min="11779" max="11779" width="16.140625" style="1937" bestFit="1" customWidth="1"/>
    <col min="11780" max="11780" width="13.28515625" style="1937" customWidth="1"/>
    <col min="11781" max="11781" width="12.85546875" style="1937" customWidth="1"/>
    <col min="11782" max="11782" width="13.85546875" style="1937" bestFit="1" customWidth="1"/>
    <col min="11783" max="11783" width="9.85546875" style="1937" bestFit="1" customWidth="1"/>
    <col min="11784" max="12032" width="7.85546875" style="1937"/>
    <col min="12033" max="12033" width="26.5703125" style="1937" customWidth="1"/>
    <col min="12034" max="12034" width="18.85546875" style="1937" bestFit="1" customWidth="1"/>
    <col min="12035" max="12035" width="16.140625" style="1937" bestFit="1" customWidth="1"/>
    <col min="12036" max="12036" width="13.28515625" style="1937" customWidth="1"/>
    <col min="12037" max="12037" width="12.85546875" style="1937" customWidth="1"/>
    <col min="12038" max="12038" width="13.85546875" style="1937" bestFit="1" customWidth="1"/>
    <col min="12039" max="12039" width="9.85546875" style="1937" bestFit="1" customWidth="1"/>
    <col min="12040" max="12288" width="7.85546875" style="1937"/>
    <col min="12289" max="12289" width="26.5703125" style="1937" customWidth="1"/>
    <col min="12290" max="12290" width="18.85546875" style="1937" bestFit="1" customWidth="1"/>
    <col min="12291" max="12291" width="16.140625" style="1937" bestFit="1" customWidth="1"/>
    <col min="12292" max="12292" width="13.28515625" style="1937" customWidth="1"/>
    <col min="12293" max="12293" width="12.85546875" style="1937" customWidth="1"/>
    <col min="12294" max="12294" width="13.85546875" style="1937" bestFit="1" customWidth="1"/>
    <col min="12295" max="12295" width="9.85546875" style="1937" bestFit="1" customWidth="1"/>
    <col min="12296" max="12544" width="7.85546875" style="1937"/>
    <col min="12545" max="12545" width="26.5703125" style="1937" customWidth="1"/>
    <col min="12546" max="12546" width="18.85546875" style="1937" bestFit="1" customWidth="1"/>
    <col min="12547" max="12547" width="16.140625" style="1937" bestFit="1" customWidth="1"/>
    <col min="12548" max="12548" width="13.28515625" style="1937" customWidth="1"/>
    <col min="12549" max="12549" width="12.85546875" style="1937" customWidth="1"/>
    <col min="12550" max="12550" width="13.85546875" style="1937" bestFit="1" customWidth="1"/>
    <col min="12551" max="12551" width="9.85546875" style="1937" bestFit="1" customWidth="1"/>
    <col min="12552" max="12800" width="7.85546875" style="1937"/>
    <col min="12801" max="12801" width="26.5703125" style="1937" customWidth="1"/>
    <col min="12802" max="12802" width="18.85546875" style="1937" bestFit="1" customWidth="1"/>
    <col min="12803" max="12803" width="16.140625" style="1937" bestFit="1" customWidth="1"/>
    <col min="12804" max="12804" width="13.28515625" style="1937" customWidth="1"/>
    <col min="12805" max="12805" width="12.85546875" style="1937" customWidth="1"/>
    <col min="12806" max="12806" width="13.85546875" style="1937" bestFit="1" customWidth="1"/>
    <col min="12807" max="12807" width="9.85546875" style="1937" bestFit="1" customWidth="1"/>
    <col min="12808" max="13056" width="7.85546875" style="1937"/>
    <col min="13057" max="13057" width="26.5703125" style="1937" customWidth="1"/>
    <col min="13058" max="13058" width="18.85546875" style="1937" bestFit="1" customWidth="1"/>
    <col min="13059" max="13059" width="16.140625" style="1937" bestFit="1" customWidth="1"/>
    <col min="13060" max="13060" width="13.28515625" style="1937" customWidth="1"/>
    <col min="13061" max="13061" width="12.85546875" style="1937" customWidth="1"/>
    <col min="13062" max="13062" width="13.85546875" style="1937" bestFit="1" customWidth="1"/>
    <col min="13063" max="13063" width="9.85546875" style="1937" bestFit="1" customWidth="1"/>
    <col min="13064" max="13312" width="7.85546875" style="1937"/>
    <col min="13313" max="13313" width="26.5703125" style="1937" customWidth="1"/>
    <col min="13314" max="13314" width="18.85546875" style="1937" bestFit="1" customWidth="1"/>
    <col min="13315" max="13315" width="16.140625" style="1937" bestFit="1" customWidth="1"/>
    <col min="13316" max="13316" width="13.28515625" style="1937" customWidth="1"/>
    <col min="13317" max="13317" width="12.85546875" style="1937" customWidth="1"/>
    <col min="13318" max="13318" width="13.85546875" style="1937" bestFit="1" customWidth="1"/>
    <col min="13319" max="13319" width="9.85546875" style="1937" bestFit="1" customWidth="1"/>
    <col min="13320" max="13568" width="7.85546875" style="1937"/>
    <col min="13569" max="13569" width="26.5703125" style="1937" customWidth="1"/>
    <col min="13570" max="13570" width="18.85546875" style="1937" bestFit="1" customWidth="1"/>
    <col min="13571" max="13571" width="16.140625" style="1937" bestFit="1" customWidth="1"/>
    <col min="13572" max="13572" width="13.28515625" style="1937" customWidth="1"/>
    <col min="13573" max="13573" width="12.85546875" style="1937" customWidth="1"/>
    <col min="13574" max="13574" width="13.85546875" style="1937" bestFit="1" customWidth="1"/>
    <col min="13575" max="13575" width="9.85546875" style="1937" bestFit="1" customWidth="1"/>
    <col min="13576" max="13824" width="7.85546875" style="1937"/>
    <col min="13825" max="13825" width="26.5703125" style="1937" customWidth="1"/>
    <col min="13826" max="13826" width="18.85546875" style="1937" bestFit="1" customWidth="1"/>
    <col min="13827" max="13827" width="16.140625" style="1937" bestFit="1" customWidth="1"/>
    <col min="13828" max="13828" width="13.28515625" style="1937" customWidth="1"/>
    <col min="13829" max="13829" width="12.85546875" style="1937" customWidth="1"/>
    <col min="13830" max="13830" width="13.85546875" style="1937" bestFit="1" customWidth="1"/>
    <col min="13831" max="13831" width="9.85546875" style="1937" bestFit="1" customWidth="1"/>
    <col min="13832" max="14080" width="7.85546875" style="1937"/>
    <col min="14081" max="14081" width="26.5703125" style="1937" customWidth="1"/>
    <col min="14082" max="14082" width="18.85546875" style="1937" bestFit="1" customWidth="1"/>
    <col min="14083" max="14083" width="16.140625" style="1937" bestFit="1" customWidth="1"/>
    <col min="14084" max="14084" width="13.28515625" style="1937" customWidth="1"/>
    <col min="14085" max="14085" width="12.85546875" style="1937" customWidth="1"/>
    <col min="14086" max="14086" width="13.85546875" style="1937" bestFit="1" customWidth="1"/>
    <col min="14087" max="14087" width="9.85546875" style="1937" bestFit="1" customWidth="1"/>
    <col min="14088" max="14336" width="7.85546875" style="1937"/>
    <col min="14337" max="14337" width="26.5703125" style="1937" customWidth="1"/>
    <col min="14338" max="14338" width="18.85546875" style="1937" bestFit="1" customWidth="1"/>
    <col min="14339" max="14339" width="16.140625" style="1937" bestFit="1" customWidth="1"/>
    <col min="14340" max="14340" width="13.28515625" style="1937" customWidth="1"/>
    <col min="14341" max="14341" width="12.85546875" style="1937" customWidth="1"/>
    <col min="14342" max="14342" width="13.85546875" style="1937" bestFit="1" customWidth="1"/>
    <col min="14343" max="14343" width="9.85546875" style="1937" bestFit="1" customWidth="1"/>
    <col min="14344" max="14592" width="7.85546875" style="1937"/>
    <col min="14593" max="14593" width="26.5703125" style="1937" customWidth="1"/>
    <col min="14594" max="14594" width="18.85546875" style="1937" bestFit="1" customWidth="1"/>
    <col min="14595" max="14595" width="16.140625" style="1937" bestFit="1" customWidth="1"/>
    <col min="14596" max="14596" width="13.28515625" style="1937" customWidth="1"/>
    <col min="14597" max="14597" width="12.85546875" style="1937" customWidth="1"/>
    <col min="14598" max="14598" width="13.85546875" style="1937" bestFit="1" customWidth="1"/>
    <col min="14599" max="14599" width="9.85546875" style="1937" bestFit="1" customWidth="1"/>
    <col min="14600" max="14848" width="7.85546875" style="1937"/>
    <col min="14849" max="14849" width="26.5703125" style="1937" customWidth="1"/>
    <col min="14850" max="14850" width="18.85546875" style="1937" bestFit="1" customWidth="1"/>
    <col min="14851" max="14851" width="16.140625" style="1937" bestFit="1" customWidth="1"/>
    <col min="14852" max="14852" width="13.28515625" style="1937" customWidth="1"/>
    <col min="14853" max="14853" width="12.85546875" style="1937" customWidth="1"/>
    <col min="14854" max="14854" width="13.85546875" style="1937" bestFit="1" customWidth="1"/>
    <col min="14855" max="14855" width="9.85546875" style="1937" bestFit="1" customWidth="1"/>
    <col min="14856" max="15104" width="7.85546875" style="1937"/>
    <col min="15105" max="15105" width="26.5703125" style="1937" customWidth="1"/>
    <col min="15106" max="15106" width="18.85546875" style="1937" bestFit="1" customWidth="1"/>
    <col min="15107" max="15107" width="16.140625" style="1937" bestFit="1" customWidth="1"/>
    <col min="15108" max="15108" width="13.28515625" style="1937" customWidth="1"/>
    <col min="15109" max="15109" width="12.85546875" style="1937" customWidth="1"/>
    <col min="15110" max="15110" width="13.85546875" style="1937" bestFit="1" customWidth="1"/>
    <col min="15111" max="15111" width="9.85546875" style="1937" bestFit="1" customWidth="1"/>
    <col min="15112" max="15360" width="7.85546875" style="1937"/>
    <col min="15361" max="15361" width="26.5703125" style="1937" customWidth="1"/>
    <col min="15362" max="15362" width="18.85546875" style="1937" bestFit="1" customWidth="1"/>
    <col min="15363" max="15363" width="16.140625" style="1937" bestFit="1" customWidth="1"/>
    <col min="15364" max="15364" width="13.28515625" style="1937" customWidth="1"/>
    <col min="15365" max="15365" width="12.85546875" style="1937" customWidth="1"/>
    <col min="15366" max="15366" width="13.85546875" style="1937" bestFit="1" customWidth="1"/>
    <col min="15367" max="15367" width="9.85546875" style="1937" bestFit="1" customWidth="1"/>
    <col min="15368" max="15616" width="7.85546875" style="1937"/>
    <col min="15617" max="15617" width="26.5703125" style="1937" customWidth="1"/>
    <col min="15618" max="15618" width="18.85546875" style="1937" bestFit="1" customWidth="1"/>
    <col min="15619" max="15619" width="16.140625" style="1937" bestFit="1" customWidth="1"/>
    <col min="15620" max="15620" width="13.28515625" style="1937" customWidth="1"/>
    <col min="15621" max="15621" width="12.85546875" style="1937" customWidth="1"/>
    <col min="15622" max="15622" width="13.85546875" style="1937" bestFit="1" customWidth="1"/>
    <col min="15623" max="15623" width="9.85546875" style="1937" bestFit="1" customWidth="1"/>
    <col min="15624" max="15872" width="7.85546875" style="1937"/>
    <col min="15873" max="15873" width="26.5703125" style="1937" customWidth="1"/>
    <col min="15874" max="15874" width="18.85546875" style="1937" bestFit="1" customWidth="1"/>
    <col min="15875" max="15875" width="16.140625" style="1937" bestFit="1" customWidth="1"/>
    <col min="15876" max="15876" width="13.28515625" style="1937" customWidth="1"/>
    <col min="15877" max="15877" width="12.85546875" style="1937" customWidth="1"/>
    <col min="15878" max="15878" width="13.85546875" style="1937" bestFit="1" customWidth="1"/>
    <col min="15879" max="15879" width="9.85546875" style="1937" bestFit="1" customWidth="1"/>
    <col min="15880" max="16128" width="7.85546875" style="1937"/>
    <col min="16129" max="16129" width="26.5703125" style="1937" customWidth="1"/>
    <col min="16130" max="16130" width="18.85546875" style="1937" bestFit="1" customWidth="1"/>
    <col min="16131" max="16131" width="16.140625" style="1937" bestFit="1" customWidth="1"/>
    <col min="16132" max="16132" width="13.28515625" style="1937" customWidth="1"/>
    <col min="16133" max="16133" width="12.85546875" style="1937" customWidth="1"/>
    <col min="16134" max="16134" width="13.85546875" style="1937" bestFit="1" customWidth="1"/>
    <col min="16135" max="16135" width="9.85546875" style="1937" bestFit="1" customWidth="1"/>
    <col min="16136" max="16384" width="7.85546875" style="1937"/>
  </cols>
  <sheetData>
    <row r="1" spans="1:16" hidden="1"/>
    <row r="2" spans="1:16" hidden="1"/>
    <row r="3" spans="1:16" hidden="1"/>
    <row r="4" spans="1:16" hidden="1"/>
    <row r="5" spans="1:16" ht="15.75" thickBot="1">
      <c r="B5" s="6389" t="s">
        <v>1969</v>
      </c>
      <c r="C5" s="6390"/>
      <c r="D5" s="6391"/>
    </row>
    <row r="6" spans="1:16">
      <c r="F6" s="1939" t="s">
        <v>1844</v>
      </c>
      <c r="H6" s="6388" t="s">
        <v>2789</v>
      </c>
      <c r="I6" s="6385"/>
      <c r="J6" s="6398"/>
      <c r="K6" s="6399"/>
    </row>
    <row r="7" spans="1:16" ht="52.5" customHeight="1">
      <c r="A7" s="2800" t="s">
        <v>1939</v>
      </c>
      <c r="B7" s="2800" t="s">
        <v>1940</v>
      </c>
      <c r="C7" s="2801" t="s">
        <v>1653</v>
      </c>
      <c r="D7" s="2800" t="s">
        <v>1941</v>
      </c>
      <c r="E7" s="2802" t="s">
        <v>1942</v>
      </c>
      <c r="F7" s="2802" t="s">
        <v>1943</v>
      </c>
      <c r="H7" s="3147" t="s">
        <v>2699</v>
      </c>
      <c r="I7" s="3414" t="s">
        <v>2700</v>
      </c>
      <c r="J7" s="6398"/>
      <c r="K7" s="6399"/>
      <c r="L7" s="1938"/>
      <c r="M7" s="1938"/>
      <c r="N7" s="1938"/>
      <c r="O7" s="1938"/>
    </row>
    <row r="8" spans="1:16" ht="15.75">
      <c r="A8" s="2803" t="s">
        <v>1097</v>
      </c>
      <c r="B8" s="1940">
        <v>22953418</v>
      </c>
      <c r="C8" s="1940">
        <v>22953418</v>
      </c>
      <c r="D8" s="1940"/>
      <c r="E8" s="1941"/>
      <c r="F8" s="1940"/>
      <c r="H8" s="3146">
        <f>D8/B8</f>
        <v>0</v>
      </c>
      <c r="I8" s="3415">
        <f>E8/B8</f>
        <v>0</v>
      </c>
      <c r="J8" s="6400"/>
      <c r="K8" s="6396"/>
      <c r="L8" s="288"/>
      <c r="M8" s="1370"/>
      <c r="N8" s="1938"/>
      <c r="O8" s="6"/>
      <c r="P8" s="1938"/>
    </row>
    <row r="9" spans="1:16" ht="15.75">
      <c r="A9" s="2803" t="s">
        <v>1520</v>
      </c>
      <c r="B9" s="1940">
        <v>586386332</v>
      </c>
      <c r="C9" s="1940">
        <v>577163640</v>
      </c>
      <c r="D9" s="1940">
        <v>11639185.547599999</v>
      </c>
      <c r="E9" s="1941">
        <v>19088574.149999999</v>
      </c>
      <c r="F9" s="1940">
        <v>7449388.6023999993</v>
      </c>
      <c r="H9" s="3146">
        <f t="shared" ref="H9:H38" si="0">D9/B9</f>
        <v>1.9849005531731936E-2</v>
      </c>
      <c r="I9" s="3415">
        <f t="shared" ref="I9:I38" si="1">E9/B9</f>
        <v>3.25528974812462E-2</v>
      </c>
      <c r="J9" s="6400"/>
      <c r="K9" s="6396"/>
      <c r="L9" s="302">
        <f>B9-C9</f>
        <v>9222692</v>
      </c>
      <c r="M9" s="1370"/>
      <c r="N9" s="1942"/>
      <c r="O9" s="155"/>
      <c r="P9" s="1938"/>
    </row>
    <row r="10" spans="1:16" ht="15.75">
      <c r="A10" s="2803" t="s">
        <v>1944</v>
      </c>
      <c r="B10" s="1940">
        <v>149475</v>
      </c>
      <c r="C10" s="1940">
        <v>126631</v>
      </c>
      <c r="D10" s="1940">
        <v>5698.3834000000015</v>
      </c>
      <c r="E10" s="1941">
        <v>4229.4753999999994</v>
      </c>
      <c r="F10" s="1940">
        <v>-1468.9080000000022</v>
      </c>
      <c r="H10" s="3146">
        <f t="shared" si="0"/>
        <v>3.812265194848638E-2</v>
      </c>
      <c r="I10" s="3415">
        <f t="shared" si="1"/>
        <v>2.8295537046328815E-2</v>
      </c>
      <c r="J10" s="6400"/>
      <c r="K10" s="6396"/>
      <c r="L10" s="288"/>
      <c r="M10" s="1370"/>
      <c r="N10" s="1938"/>
      <c r="O10" s="155"/>
      <c r="P10" s="1938"/>
    </row>
    <row r="11" spans="1:16" ht="15.75">
      <c r="A11" s="2803" t="s">
        <v>1945</v>
      </c>
      <c r="B11" s="1940">
        <v>5760992637</v>
      </c>
      <c r="C11" s="1940">
        <v>4993765192</v>
      </c>
      <c r="D11" s="1940">
        <v>137884712.62219998</v>
      </c>
      <c r="E11" s="1941">
        <v>258549968.40699998</v>
      </c>
      <c r="F11" s="1940">
        <v>120665255.78479999</v>
      </c>
      <c r="H11" s="3146">
        <f t="shared" si="0"/>
        <v>2.3934193516692733E-2</v>
      </c>
      <c r="I11" s="3415">
        <f t="shared" si="1"/>
        <v>4.4879413097399519E-2</v>
      </c>
      <c r="J11" s="6400"/>
      <c r="K11" s="6396"/>
      <c r="L11" s="288"/>
      <c r="M11" s="1370"/>
      <c r="N11" s="1938"/>
      <c r="O11" s="155"/>
      <c r="P11" s="1938"/>
    </row>
    <row r="12" spans="1:16" ht="15.75">
      <c r="A12" s="2803" t="s">
        <v>1946</v>
      </c>
      <c r="B12" s="1940">
        <v>95085092</v>
      </c>
      <c r="C12" s="1940">
        <v>95085092</v>
      </c>
      <c r="D12" s="1940">
        <v>2355008.6483000009</v>
      </c>
      <c r="E12" s="1941">
        <v>5020492.857599997</v>
      </c>
      <c r="F12" s="1940">
        <v>2665484.209299996</v>
      </c>
      <c r="H12" s="3146">
        <f t="shared" si="0"/>
        <v>2.4767380445927328E-2</v>
      </c>
      <c r="I12" s="3415">
        <f t="shared" si="1"/>
        <v>5.2799999999999965E-2</v>
      </c>
      <c r="J12" s="6400"/>
      <c r="K12" s="6396"/>
      <c r="L12" s="288"/>
      <c r="M12" s="1370"/>
      <c r="N12" s="1942"/>
      <c r="O12" s="6"/>
      <c r="P12" s="1938"/>
    </row>
    <row r="13" spans="1:16" ht="15.75">
      <c r="A13" s="2803" t="s">
        <v>1947</v>
      </c>
      <c r="B13" s="1940">
        <v>200332890</v>
      </c>
      <c r="C13" s="1940">
        <v>200332890</v>
      </c>
      <c r="D13" s="1940">
        <v>5148555.3000999996</v>
      </c>
      <c r="E13" s="1941">
        <v>10577576.591999998</v>
      </c>
      <c r="F13" s="1940">
        <v>5429021.2918999987</v>
      </c>
      <c r="H13" s="3146">
        <f t="shared" si="0"/>
        <v>2.5700000135274841E-2</v>
      </c>
      <c r="I13" s="3415">
        <f t="shared" si="1"/>
        <v>5.2799999999999993E-2</v>
      </c>
      <c r="J13" s="6400"/>
      <c r="K13" s="6396"/>
      <c r="L13" s="288"/>
      <c r="M13" s="1370"/>
      <c r="N13" s="1938"/>
      <c r="O13" s="155"/>
      <c r="P13" s="1938"/>
    </row>
    <row r="14" spans="1:16" ht="15.75">
      <c r="A14" s="2803" t="s">
        <v>1948</v>
      </c>
      <c r="B14" s="1940">
        <v>228776515</v>
      </c>
      <c r="C14" s="1940">
        <v>212392332</v>
      </c>
      <c r="D14" s="1940">
        <v>9835663.7412</v>
      </c>
      <c r="E14" s="1941">
        <v>11096782.1478</v>
      </c>
      <c r="F14" s="1940">
        <v>1261118.4066000003</v>
      </c>
      <c r="H14" s="3146">
        <f t="shared" si="0"/>
        <v>4.2992453754267565E-2</v>
      </c>
      <c r="I14" s="3415">
        <f t="shared" si="1"/>
        <v>4.8504900722873591E-2</v>
      </c>
      <c r="J14" s="6400"/>
      <c r="K14" s="6396"/>
      <c r="L14" s="288"/>
      <c r="M14" s="1370"/>
      <c r="N14" s="1938"/>
      <c r="O14" s="6"/>
      <c r="P14" s="1938"/>
    </row>
    <row r="15" spans="1:16" ht="15.75">
      <c r="A15" s="2803" t="s">
        <v>1109</v>
      </c>
      <c r="B15" s="1940">
        <v>443260582</v>
      </c>
      <c r="C15" s="1940">
        <v>302759582</v>
      </c>
      <c r="D15" s="1940">
        <v>18038219.930400003</v>
      </c>
      <c r="E15" s="1941">
        <v>16645255.7016</v>
      </c>
      <c r="F15" s="1940">
        <v>-1392964.2288000025</v>
      </c>
      <c r="H15" s="3146">
        <f t="shared" si="0"/>
        <v>4.0694392109064198E-2</v>
      </c>
      <c r="I15" s="3415">
        <f t="shared" si="1"/>
        <v>3.7551851839602558E-2</v>
      </c>
      <c r="J15" s="6400"/>
      <c r="K15" s="6396"/>
      <c r="L15" s="288"/>
      <c r="M15" s="1370"/>
      <c r="N15" s="1938"/>
      <c r="O15" s="155"/>
      <c r="P15" s="1938"/>
    </row>
    <row r="16" spans="1:16" ht="15.75">
      <c r="A16" s="2803" t="s">
        <v>1949</v>
      </c>
      <c r="B16" s="1940">
        <v>1926447966</v>
      </c>
      <c r="C16" s="1940">
        <v>1523381328</v>
      </c>
      <c r="D16" s="1940">
        <v>99251801.25</v>
      </c>
      <c r="E16" s="1941">
        <v>160347383.33249998</v>
      </c>
      <c r="F16" s="1940">
        <v>61095582.082499981</v>
      </c>
      <c r="H16" s="3146">
        <f t="shared" si="0"/>
        <v>5.1520623967893871E-2</v>
      </c>
      <c r="I16" s="3415">
        <f t="shared" si="1"/>
        <v>8.3234733645798337E-2</v>
      </c>
      <c r="J16" s="6400"/>
      <c r="K16" s="6396"/>
      <c r="L16" s="288"/>
      <c r="M16" s="1370"/>
      <c r="N16" s="1938"/>
      <c r="O16" s="155"/>
      <c r="P16" s="1938"/>
    </row>
    <row r="17" spans="1:16" ht="15.75">
      <c r="A17" s="2803" t="s">
        <v>1950</v>
      </c>
      <c r="B17" s="1940">
        <v>4653119354</v>
      </c>
      <c r="C17" s="1940">
        <v>3824104888</v>
      </c>
      <c r="D17" s="1940">
        <v>143413736.42219999</v>
      </c>
      <c r="E17" s="1941">
        <v>200254906.68779999</v>
      </c>
      <c r="F17" s="1940">
        <v>56841170.265599996</v>
      </c>
      <c r="H17" s="3146">
        <f t="shared" si="0"/>
        <v>3.082098813969086E-2</v>
      </c>
      <c r="I17" s="3415">
        <f t="shared" si="1"/>
        <v>4.303670107143355E-2</v>
      </c>
      <c r="J17" s="6400"/>
      <c r="K17" s="6396"/>
      <c r="L17" s="288"/>
      <c r="M17" s="1370"/>
      <c r="N17" s="1938"/>
      <c r="O17" s="155"/>
      <c r="P17" s="1938"/>
    </row>
    <row r="18" spans="1:16">
      <c r="A18" s="2803" t="s">
        <v>1951</v>
      </c>
      <c r="B18" s="1940">
        <v>3023134195</v>
      </c>
      <c r="C18" s="1940">
        <v>2924019991</v>
      </c>
      <c r="D18" s="1940">
        <v>104368629.54920001</v>
      </c>
      <c r="E18" s="1941">
        <v>153502297.79910001</v>
      </c>
      <c r="F18" s="1940">
        <v>49133668.249899998</v>
      </c>
      <c r="H18" s="3146">
        <f t="shared" si="0"/>
        <v>3.452332010990998E-2</v>
      </c>
      <c r="I18" s="3415">
        <f t="shared" si="1"/>
        <v>5.077587956663631E-2</v>
      </c>
      <c r="J18" s="6400"/>
      <c r="K18" s="6396"/>
      <c r="L18" s="1938"/>
      <c r="M18" s="1938"/>
      <c r="N18" s="1938"/>
      <c r="O18" s="6"/>
      <c r="P18" s="1938"/>
    </row>
    <row r="19" spans="1:16">
      <c r="A19" s="2803" t="s">
        <v>1952</v>
      </c>
      <c r="B19" s="1940">
        <v>242564216</v>
      </c>
      <c r="C19" s="1940">
        <v>242564216</v>
      </c>
      <c r="D19" s="1940">
        <v>18685475.474999998</v>
      </c>
      <c r="E19" s="1941">
        <v>22342592.100000001</v>
      </c>
      <c r="F19" s="1940">
        <v>3657116.6250000037</v>
      </c>
      <c r="H19" s="3146">
        <f t="shared" si="0"/>
        <v>7.7033108111049645E-2</v>
      </c>
      <c r="I19" s="3415">
        <f t="shared" si="1"/>
        <v>9.2110008922338324E-2</v>
      </c>
      <c r="J19" s="6400"/>
      <c r="K19" s="6396"/>
      <c r="L19" s="1938"/>
      <c r="M19" s="1938"/>
      <c r="N19" s="1938"/>
      <c r="O19" s="155"/>
      <c r="P19" s="1938"/>
    </row>
    <row r="20" spans="1:16">
      <c r="A20" s="2803" t="s">
        <v>1953</v>
      </c>
      <c r="B20" s="1940">
        <v>55101491</v>
      </c>
      <c r="C20" s="1940">
        <v>22690450</v>
      </c>
      <c r="D20" s="1940">
        <v>3175798.8839999996</v>
      </c>
      <c r="E20" s="1941">
        <v>1320062.6928000001</v>
      </c>
      <c r="F20" s="1940">
        <v>-1855736.1911999995</v>
      </c>
      <c r="H20" s="3146">
        <f t="shared" si="0"/>
        <v>5.7635443730551676E-2</v>
      </c>
      <c r="I20" s="3415">
        <f t="shared" si="1"/>
        <v>2.3956932359598039E-2</v>
      </c>
      <c r="J20" s="6400"/>
      <c r="K20" s="6396"/>
      <c r="L20" s="1938"/>
      <c r="M20" s="1938"/>
      <c r="N20" s="1938"/>
      <c r="O20" s="155"/>
      <c r="P20" s="1938"/>
    </row>
    <row r="21" spans="1:16">
      <c r="A21" s="2803" t="s">
        <v>1954</v>
      </c>
      <c r="B21" s="1940">
        <v>87968204</v>
      </c>
      <c r="C21" s="1940">
        <v>80360722</v>
      </c>
      <c r="D21" s="1940">
        <v>6624425.5860000001</v>
      </c>
      <c r="E21" s="1941">
        <v>4964212.9848000007</v>
      </c>
      <c r="F21" s="1940">
        <v>-1660212.6011999995</v>
      </c>
      <c r="H21" s="3146">
        <f t="shared" si="0"/>
        <v>7.5304772460740479E-2</v>
      </c>
      <c r="I21" s="3415">
        <f t="shared" si="1"/>
        <v>5.6431901062797656E-2</v>
      </c>
      <c r="J21" s="6400"/>
      <c r="K21" s="6396"/>
      <c r="L21" s="1938"/>
      <c r="M21" s="1938"/>
      <c r="N21" s="1938"/>
      <c r="O21" s="155"/>
      <c r="P21" s="1938"/>
    </row>
    <row r="22" spans="1:16">
      <c r="A22" s="2803" t="s">
        <v>1955</v>
      </c>
      <c r="B22" s="1940">
        <v>146095852</v>
      </c>
      <c r="C22" s="1940">
        <v>95558491</v>
      </c>
      <c r="D22" s="1940">
        <v>10750330.237499999</v>
      </c>
      <c r="E22" s="1941">
        <v>10750330.237499999</v>
      </c>
      <c r="F22" s="1940">
        <v>0</v>
      </c>
      <c r="H22" s="3146">
        <f t="shared" si="0"/>
        <v>7.3584089420280038E-2</v>
      </c>
      <c r="I22" s="3415">
        <f t="shared" si="1"/>
        <v>7.3584089420280038E-2</v>
      </c>
      <c r="J22" s="6400"/>
      <c r="K22" s="6396"/>
      <c r="L22" s="1938"/>
      <c r="M22" s="1938"/>
      <c r="N22" s="1938"/>
      <c r="O22" s="155"/>
      <c r="P22" s="1938"/>
    </row>
    <row r="23" spans="1:16">
      <c r="A23" s="2803" t="s">
        <v>1956</v>
      </c>
      <c r="B23" s="1940">
        <v>213059729</v>
      </c>
      <c r="C23" s="1940">
        <v>187738235</v>
      </c>
      <c r="D23" s="1940">
        <v>9538085.7688000016</v>
      </c>
      <c r="E23" s="1941">
        <v>9867264.1232000012</v>
      </c>
      <c r="F23" s="1940">
        <v>329178.3543999996</v>
      </c>
      <c r="H23" s="3146">
        <f t="shared" si="0"/>
        <v>4.4767191874162206E-2</v>
      </c>
      <c r="I23" s="3415">
        <f t="shared" si="1"/>
        <v>4.6312196910754548E-2</v>
      </c>
      <c r="J23" s="6400"/>
      <c r="K23" s="6396"/>
      <c r="L23" s="1938"/>
      <c r="M23" s="1938"/>
      <c r="N23" s="1938"/>
      <c r="O23" s="155"/>
      <c r="P23" s="1938"/>
    </row>
    <row r="24" spans="1:16">
      <c r="A24" s="2803" t="s">
        <v>1957</v>
      </c>
      <c r="B24" s="1940">
        <v>17110555</v>
      </c>
      <c r="C24" s="1940">
        <v>11051424</v>
      </c>
      <c r="D24" s="1940">
        <v>828856.78830000001</v>
      </c>
      <c r="E24" s="1941">
        <v>1412327.6999999997</v>
      </c>
      <c r="F24" s="1940">
        <v>583470.91169999971</v>
      </c>
      <c r="H24" s="3146">
        <f t="shared" si="0"/>
        <v>4.8441256773962035E-2</v>
      </c>
      <c r="I24" s="3415">
        <f t="shared" si="1"/>
        <v>8.2541314410900152E-2</v>
      </c>
      <c r="J24" s="6400"/>
      <c r="K24" s="6396"/>
      <c r="L24" s="1938"/>
      <c r="M24" s="1938"/>
      <c r="N24" s="1938"/>
      <c r="O24" s="155"/>
      <c r="P24" s="1938"/>
    </row>
    <row r="25" spans="1:16">
      <c r="A25" s="2803" t="s">
        <v>1958</v>
      </c>
      <c r="B25" s="1940">
        <v>21864292</v>
      </c>
      <c r="C25" s="1940">
        <v>20910267</v>
      </c>
      <c r="D25" s="1940">
        <v>1045513.35</v>
      </c>
      <c r="E25" s="1941">
        <v>1323619.9011000001</v>
      </c>
      <c r="F25" s="1940">
        <v>278106.55110000016</v>
      </c>
      <c r="H25" s="3146">
        <f t="shared" si="0"/>
        <v>4.7818303469419454E-2</v>
      </c>
      <c r="I25" s="3415">
        <f t="shared" si="1"/>
        <v>6.0537972192285038E-2</v>
      </c>
      <c r="J25" s="6400"/>
      <c r="K25" s="6396"/>
      <c r="L25" s="1938"/>
      <c r="M25" s="1938"/>
      <c r="N25" s="1938"/>
      <c r="O25" s="155"/>
      <c r="P25" s="1938"/>
    </row>
    <row r="26" spans="1:16">
      <c r="A26" s="2803" t="s">
        <v>1959</v>
      </c>
      <c r="B26" s="1940">
        <v>18782646</v>
      </c>
      <c r="C26" s="1940">
        <v>5495817</v>
      </c>
      <c r="D26" s="1940">
        <v>824342.81759999995</v>
      </c>
      <c r="E26" s="1941">
        <v>658943.00399999996</v>
      </c>
      <c r="F26" s="1940">
        <v>-165399.81359999999</v>
      </c>
      <c r="H26" s="3146">
        <f t="shared" si="0"/>
        <v>4.3888535065826184E-2</v>
      </c>
      <c r="I26" s="3415">
        <f t="shared" si="1"/>
        <v>3.5082543961058518E-2</v>
      </c>
      <c r="J26" s="6400"/>
      <c r="K26" s="6396"/>
      <c r="L26" s="1938"/>
      <c r="M26" s="1938"/>
      <c r="N26" s="1938"/>
      <c r="O26" s="6"/>
      <c r="P26" s="1938"/>
    </row>
    <row r="27" spans="1:16">
      <c r="A27" s="2803" t="s">
        <v>1960</v>
      </c>
      <c r="B27" s="1940">
        <v>19455858</v>
      </c>
      <c r="C27" s="1940">
        <v>17504834</v>
      </c>
      <c r="D27" s="1940">
        <v>882657.03520000016</v>
      </c>
      <c r="E27" s="1941">
        <v>1108024.6840000001</v>
      </c>
      <c r="F27" s="1940">
        <v>225367.64879999997</v>
      </c>
      <c r="H27" s="3146">
        <f t="shared" si="0"/>
        <v>4.5367160636143634E-2</v>
      </c>
      <c r="I27" s="3415">
        <f t="shared" si="1"/>
        <v>5.6950697522566221E-2</v>
      </c>
      <c r="J27" s="6400"/>
      <c r="K27" s="6396"/>
      <c r="L27" s="3450"/>
      <c r="M27" s="1938"/>
      <c r="N27" s="1938"/>
      <c r="O27" s="155"/>
      <c r="P27" s="1938"/>
    </row>
    <row r="28" spans="1:16">
      <c r="A28" s="2803" t="s">
        <v>1961</v>
      </c>
      <c r="B28" s="1940">
        <v>17259675</v>
      </c>
      <c r="C28" s="1940">
        <v>13223706</v>
      </c>
      <c r="D28" s="1940">
        <v>991778.02499999991</v>
      </c>
      <c r="E28" s="1941">
        <v>1983555.7499999998</v>
      </c>
      <c r="F28" s="1940">
        <v>991777.72499999986</v>
      </c>
      <c r="H28" s="3146">
        <f t="shared" si="0"/>
        <v>5.7462149490068608E-2</v>
      </c>
      <c r="I28" s="3415">
        <f t="shared" si="1"/>
        <v>0.11492428159858165</v>
      </c>
      <c r="J28" s="6400"/>
      <c r="K28" s="6396"/>
      <c r="L28" s="1938"/>
      <c r="M28" s="1938"/>
      <c r="N28" s="1938"/>
      <c r="O28" s="6"/>
      <c r="P28" s="1938"/>
    </row>
    <row r="29" spans="1:16">
      <c r="A29" s="2803" t="s">
        <v>1962</v>
      </c>
      <c r="B29" s="1940">
        <v>162391739</v>
      </c>
      <c r="C29" s="1940">
        <v>97568737</v>
      </c>
      <c r="D29" s="1940">
        <v>14635310.550000001</v>
      </c>
      <c r="E29" s="1941">
        <v>14635310.550000001</v>
      </c>
      <c r="F29" s="1940">
        <v>0</v>
      </c>
      <c r="H29" s="3146">
        <f t="shared" si="0"/>
        <v>9.0123491749786608E-2</v>
      </c>
      <c r="I29" s="3415">
        <f t="shared" si="1"/>
        <v>9.0123491749786608E-2</v>
      </c>
      <c r="J29" s="6400"/>
      <c r="K29" s="6396"/>
      <c r="L29" s="1938"/>
      <c r="M29" s="1938"/>
      <c r="N29" s="1938"/>
      <c r="O29" s="155"/>
      <c r="P29" s="1938"/>
    </row>
    <row r="30" spans="1:16">
      <c r="A30" s="2803" t="s">
        <v>1963</v>
      </c>
      <c r="B30" s="1940">
        <v>1434619</v>
      </c>
      <c r="C30" s="1940">
        <v>960741</v>
      </c>
      <c r="D30" s="1940">
        <v>86466.929999999978</v>
      </c>
      <c r="E30" s="1941">
        <v>117438.86999999998</v>
      </c>
      <c r="F30" s="1940">
        <v>30971.940000000002</v>
      </c>
      <c r="H30" s="3146">
        <f t="shared" si="0"/>
        <v>6.0271702800534482E-2</v>
      </c>
      <c r="I30" s="3415">
        <f t="shared" si="1"/>
        <v>8.186066823316851E-2</v>
      </c>
      <c r="J30" s="6400"/>
      <c r="K30" s="6396"/>
      <c r="L30" s="3450"/>
      <c r="M30" s="1938"/>
      <c r="N30" s="1938"/>
      <c r="O30" s="6"/>
      <c r="P30" s="1938"/>
    </row>
    <row r="31" spans="1:16">
      <c r="A31" s="2803" t="s">
        <v>1964</v>
      </c>
      <c r="B31" s="1940">
        <v>382032722</v>
      </c>
      <c r="C31" s="1940">
        <v>382032722</v>
      </c>
      <c r="D31" s="1940">
        <v>57304908.299999997</v>
      </c>
      <c r="E31" s="1941">
        <v>57304908.299999997</v>
      </c>
      <c r="F31" s="1940">
        <v>0</v>
      </c>
      <c r="H31" s="3146">
        <f t="shared" si="0"/>
        <v>0.15</v>
      </c>
      <c r="I31" s="3415">
        <f t="shared" si="1"/>
        <v>0.15</v>
      </c>
      <c r="J31" s="6400"/>
      <c r="K31" s="6396"/>
      <c r="L31" s="1938"/>
      <c r="M31" s="1938"/>
      <c r="N31" s="1938"/>
      <c r="O31" s="1938"/>
      <c r="P31" s="1938"/>
    </row>
    <row r="32" spans="1:16">
      <c r="A32" s="2803" t="s">
        <v>1522</v>
      </c>
      <c r="B32" s="1940">
        <v>465757</v>
      </c>
      <c r="C32" s="1940">
        <v>97426</v>
      </c>
      <c r="D32" s="1940">
        <v>12528.855</v>
      </c>
      <c r="E32" s="1941">
        <v>12528.855</v>
      </c>
      <c r="F32" s="1940">
        <v>0</v>
      </c>
      <c r="H32" s="3146">
        <f t="shared" si="0"/>
        <v>2.6899982179548563E-2</v>
      </c>
      <c r="I32" s="3415">
        <f t="shared" si="1"/>
        <v>2.6899982179548563E-2</v>
      </c>
      <c r="J32" s="6400"/>
      <c r="K32" s="6396"/>
      <c r="L32" s="1938"/>
      <c r="M32" s="1938"/>
      <c r="N32" s="1938"/>
      <c r="O32" s="1938"/>
    </row>
    <row r="33" spans="1:15">
      <c r="A33" s="2803"/>
      <c r="B33" s="1940"/>
      <c r="C33" s="1940"/>
      <c r="D33" s="1940"/>
      <c r="E33" s="1941"/>
      <c r="F33" s="1940"/>
      <c r="H33" s="3146"/>
      <c r="I33" s="3415"/>
      <c r="J33" s="3413"/>
      <c r="K33" s="1938"/>
      <c r="L33" s="1938"/>
      <c r="M33" s="1938"/>
      <c r="N33" s="1938"/>
      <c r="O33" s="1938"/>
    </row>
    <row r="34" spans="1:15">
      <c r="A34" s="2804" t="s">
        <v>1965</v>
      </c>
      <c r="B34" s="1945">
        <v>18326225811</v>
      </c>
      <c r="C34" s="1946">
        <v>15853842772</v>
      </c>
      <c r="D34" s="1945">
        <v>657327689.99699974</v>
      </c>
      <c r="E34" s="1947">
        <v>962888586.90320003</v>
      </c>
      <c r="F34" s="1945">
        <v>305560896.90619999</v>
      </c>
      <c r="H34" s="3146">
        <f t="shared" si="0"/>
        <v>3.5868143106828364E-2</v>
      </c>
      <c r="I34" s="3146">
        <f t="shared" si="1"/>
        <v>5.2541565122767551E-2</v>
      </c>
      <c r="J34" s="1938"/>
      <c r="K34" s="1938"/>
      <c r="L34" s="1938"/>
      <c r="M34" s="1938"/>
      <c r="N34" s="1938"/>
      <c r="O34" s="1938"/>
    </row>
    <row r="35" spans="1:15">
      <c r="A35" s="2805"/>
      <c r="B35" s="1948"/>
      <c r="C35" s="1949"/>
      <c r="D35" s="1948"/>
      <c r="E35" s="1949"/>
      <c r="F35" s="1948"/>
      <c r="H35" s="3146"/>
      <c r="I35" s="3146"/>
      <c r="J35" s="1938"/>
      <c r="K35" s="1938"/>
      <c r="L35" s="1938"/>
      <c r="M35" s="1938"/>
      <c r="N35" s="1938"/>
      <c r="O35" s="1938"/>
    </row>
    <row r="36" spans="1:15">
      <c r="A36" s="2805" t="s">
        <v>1966</v>
      </c>
      <c r="B36" s="1948"/>
      <c r="C36" s="1949"/>
      <c r="D36" s="1948"/>
      <c r="E36" s="1949"/>
      <c r="F36" s="1948"/>
      <c r="H36" s="3146"/>
      <c r="I36" s="3146"/>
      <c r="J36" s="1938"/>
      <c r="K36" s="1938"/>
      <c r="L36" s="1938"/>
      <c r="M36" s="1938"/>
      <c r="N36" s="1938"/>
      <c r="O36" s="1938"/>
    </row>
    <row r="37" spans="1:15">
      <c r="A37" s="2803" t="s">
        <v>1967</v>
      </c>
      <c r="B37" s="1940">
        <v>95085092</v>
      </c>
      <c r="C37" s="1940">
        <v>95085092</v>
      </c>
      <c r="D37" s="1940">
        <v>2355008.6483000009</v>
      </c>
      <c r="E37" s="1940">
        <v>5020492.857599997</v>
      </c>
      <c r="F37" s="1940">
        <v>2665484.209299996</v>
      </c>
      <c r="H37" s="3146">
        <f t="shared" si="0"/>
        <v>2.4767380445927328E-2</v>
      </c>
      <c r="I37" s="3146">
        <f t="shared" si="1"/>
        <v>5.2799999999999965E-2</v>
      </c>
      <c r="J37" s="1938"/>
      <c r="K37" s="1938"/>
      <c r="L37" s="1938"/>
      <c r="M37" s="1938"/>
      <c r="N37" s="1938"/>
      <c r="O37" s="1938"/>
    </row>
    <row r="38" spans="1:15">
      <c r="A38" s="2803" t="s">
        <v>1947</v>
      </c>
      <c r="B38" s="1940">
        <v>200332890</v>
      </c>
      <c r="C38" s="1940">
        <v>200332890</v>
      </c>
      <c r="D38" s="1940">
        <v>5148555.3000999996</v>
      </c>
      <c r="E38" s="1940">
        <v>10577576.591999998</v>
      </c>
      <c r="F38" s="1940">
        <v>5429021.2918999987</v>
      </c>
      <c r="G38" s="1950"/>
      <c r="H38" s="3146">
        <f t="shared" si="0"/>
        <v>2.5700000135274841E-2</v>
      </c>
      <c r="I38" s="3146">
        <f t="shared" si="1"/>
        <v>5.2799999999999993E-2</v>
      </c>
      <c r="J38" s="1938"/>
      <c r="K38" s="1938"/>
      <c r="L38" s="1938"/>
      <c r="M38" s="1938"/>
      <c r="N38" s="1938"/>
      <c r="O38" s="1938"/>
    </row>
    <row r="39" spans="1:15">
      <c r="A39" s="1944"/>
      <c r="B39" s="1945"/>
      <c r="C39" s="1946"/>
      <c r="D39" s="1945"/>
      <c r="E39" s="1946"/>
      <c r="F39" s="1945"/>
      <c r="H39" s="1939"/>
      <c r="I39" s="1939"/>
      <c r="J39" s="1938"/>
      <c r="K39" s="1938"/>
      <c r="L39" s="1938"/>
      <c r="M39" s="1938"/>
      <c r="N39" s="1938"/>
      <c r="O39" s="1938"/>
    </row>
    <row r="40" spans="1:15">
      <c r="A40" s="2806" t="s">
        <v>1968</v>
      </c>
      <c r="B40" s="1951">
        <v>18030807829</v>
      </c>
      <c r="C40" s="1952">
        <v>15558424790</v>
      </c>
      <c r="D40" s="1951">
        <v>649824126.04859972</v>
      </c>
      <c r="E40" s="1952">
        <v>947290517.45360005</v>
      </c>
      <c r="F40" s="1951">
        <v>297466391.40500003</v>
      </c>
      <c r="H40" s="1939"/>
      <c r="I40" s="1939"/>
      <c r="J40" s="1938"/>
      <c r="K40" s="1938"/>
      <c r="L40" s="1938"/>
      <c r="M40" s="1938"/>
      <c r="N40" s="1938"/>
      <c r="O40" s="1938"/>
    </row>
    <row r="41" spans="1:15" hidden="1">
      <c r="A41" s="1960"/>
      <c r="B41" s="1953"/>
      <c r="C41" s="1954"/>
      <c r="D41" s="1953"/>
      <c r="E41" s="1954"/>
      <c r="F41" s="1953"/>
      <c r="H41" s="1938"/>
      <c r="I41" s="1938"/>
      <c r="J41" s="1938"/>
      <c r="K41" s="1938"/>
      <c r="L41" s="1938"/>
      <c r="M41" s="1938"/>
      <c r="N41" s="1938"/>
      <c r="O41" s="1938"/>
    </row>
    <row r="42" spans="1:15">
      <c r="A42" s="1960" t="s">
        <v>1966</v>
      </c>
      <c r="B42" s="1953"/>
      <c r="C42" s="1954"/>
      <c r="D42" s="1953"/>
      <c r="E42" s="1954"/>
      <c r="F42" s="1953"/>
      <c r="H42" s="1938"/>
      <c r="I42" s="1938"/>
      <c r="J42" s="1938"/>
      <c r="K42" s="1938"/>
      <c r="L42" s="1938"/>
      <c r="M42" s="1938"/>
      <c r="N42" s="1938"/>
      <c r="O42" s="1938"/>
    </row>
    <row r="43" spans="1:15" ht="26.25">
      <c r="A43" s="2807" t="s">
        <v>1970</v>
      </c>
      <c r="B43" s="6385"/>
      <c r="C43" s="6386"/>
      <c r="D43" s="6387"/>
      <c r="E43" s="1940">
        <v>4488810</v>
      </c>
      <c r="F43" s="1955"/>
      <c r="H43" s="1938"/>
      <c r="I43" s="1938"/>
      <c r="J43" s="1938"/>
      <c r="K43" s="1938"/>
      <c r="L43" s="1938"/>
      <c r="M43" s="1938"/>
      <c r="N43" s="1938"/>
      <c r="O43" s="1938"/>
    </row>
    <row r="44" spans="1:15" hidden="1">
      <c r="A44" s="1960"/>
      <c r="B44" s="1953"/>
      <c r="C44" s="1954"/>
      <c r="D44" s="1953"/>
      <c r="E44" s="1949"/>
      <c r="F44" s="1953"/>
    </row>
    <row r="45" spans="1:15">
      <c r="A45" s="1960" t="s">
        <v>1966</v>
      </c>
      <c r="B45" s="6392"/>
      <c r="C45" s="6393"/>
      <c r="D45" s="6393"/>
      <c r="E45" s="6393"/>
      <c r="F45" s="6394"/>
    </row>
    <row r="46" spans="1:15" ht="39">
      <c r="A46" s="2807" t="s">
        <v>1971</v>
      </c>
      <c r="B46" s="6385"/>
      <c r="C46" s="6386"/>
      <c r="D46" s="6387"/>
      <c r="E46" s="1940">
        <v>14595950</v>
      </c>
      <c r="F46" s="1955"/>
    </row>
    <row r="47" spans="1:15" hidden="1">
      <c r="A47" s="1960"/>
      <c r="B47" s="1953"/>
      <c r="C47" s="1954"/>
      <c r="D47" s="1953"/>
      <c r="E47" s="1949"/>
      <c r="F47" s="1953"/>
    </row>
    <row r="48" spans="1:15">
      <c r="A48" s="1960" t="s">
        <v>1966</v>
      </c>
      <c r="B48" s="6395"/>
      <c r="C48" s="6396"/>
      <c r="D48" s="6396"/>
      <c r="E48" s="6396"/>
      <c r="F48" s="6397"/>
    </row>
    <row r="49" spans="1:6" ht="39">
      <c r="A49" s="2808" t="s">
        <v>1972</v>
      </c>
      <c r="B49" s="6388"/>
      <c r="C49" s="6388"/>
      <c r="D49" s="6388"/>
      <c r="E49" s="1940">
        <v>16601280</v>
      </c>
      <c r="F49" s="1956"/>
    </row>
    <row r="50" spans="1:6" hidden="1">
      <c r="A50" s="1960"/>
      <c r="B50" s="1953"/>
      <c r="C50" s="1954"/>
      <c r="D50" s="1953"/>
      <c r="E50" s="1954"/>
      <c r="F50" s="1953"/>
    </row>
    <row r="51" spans="1:6" hidden="1">
      <c r="A51" s="1959"/>
      <c r="B51" s="1957"/>
      <c r="C51" s="1958"/>
      <c r="D51" s="1957"/>
      <c r="E51" s="1958"/>
      <c r="F51" s="1957"/>
    </row>
    <row r="52" spans="1:6">
      <c r="A52" s="1959" t="s">
        <v>1973</v>
      </c>
      <c r="B52" s="1957"/>
      <c r="C52" s="1958"/>
      <c r="D52" s="1957"/>
      <c r="E52" s="1952">
        <f>E40-E43-E46-E49</f>
        <v>911604477.45360005</v>
      </c>
      <c r="F52" s="1957"/>
    </row>
  </sheetData>
  <mergeCells count="33">
    <mergeCell ref="J31:K31"/>
    <mergeCell ref="J32:K32"/>
    <mergeCell ref="J26:K26"/>
    <mergeCell ref="J27:K27"/>
    <mergeCell ref="J28:K28"/>
    <mergeCell ref="J29:K29"/>
    <mergeCell ref="J30:K30"/>
    <mergeCell ref="J21:K21"/>
    <mergeCell ref="J22:K22"/>
    <mergeCell ref="J23:K23"/>
    <mergeCell ref="J24:K24"/>
    <mergeCell ref="J25:K25"/>
    <mergeCell ref="J16:K16"/>
    <mergeCell ref="J17:K17"/>
    <mergeCell ref="J18:K18"/>
    <mergeCell ref="J19:K19"/>
    <mergeCell ref="J20:K20"/>
    <mergeCell ref="J11:K11"/>
    <mergeCell ref="J12:K12"/>
    <mergeCell ref="J13:K13"/>
    <mergeCell ref="J14:K14"/>
    <mergeCell ref="J15:K15"/>
    <mergeCell ref="J6:K7"/>
    <mergeCell ref="J8:K8"/>
    <mergeCell ref="J9:K9"/>
    <mergeCell ref="J10:K10"/>
    <mergeCell ref="H6:I6"/>
    <mergeCell ref="B43:D43"/>
    <mergeCell ref="B46:D46"/>
    <mergeCell ref="B49:D49"/>
    <mergeCell ref="B5:D5"/>
    <mergeCell ref="B45:F45"/>
    <mergeCell ref="B48:F48"/>
  </mergeCells>
  <pageMargins left="0.70866141732283472" right="0.70866141732283472" top="0.74803149606299213" bottom="0.74803149606299213" header="0.31496062992125984" footer="0.31496062992125984"/>
  <pageSetup paperSize="9" scale="66" orientation="portrait" horizontalDpi="120" verticalDpi="144" r:id="rId1"/>
</worksheet>
</file>

<file path=xl/worksheets/sheet145.xml><?xml version="1.0" encoding="utf-8"?>
<worksheet xmlns="http://schemas.openxmlformats.org/spreadsheetml/2006/main" xmlns:r="http://schemas.openxmlformats.org/officeDocument/2006/relationships">
  <sheetPr codeName="Sheet124">
    <tabColor theme="1" tint="4.9989318521683403E-2"/>
  </sheetPr>
  <dimension ref="A1:X64"/>
  <sheetViews>
    <sheetView showGridLines="0" view="pageBreakPreview" zoomScale="70" zoomScaleNormal="80" zoomScaleSheetLayoutView="70" workbookViewId="0">
      <pane xSplit="6" ySplit="6" topLeftCell="G7" activePane="bottomRight" state="frozen"/>
      <selection activeCell="A37" sqref="A37:XFD37"/>
      <selection pane="topRight" activeCell="A37" sqref="A37:XFD37"/>
      <selection pane="bottomLeft" activeCell="A37" sqref="A37:XFD37"/>
      <selection pane="bottomRight" activeCell="A37" sqref="A37:XFD37"/>
    </sheetView>
  </sheetViews>
  <sheetFormatPr defaultRowHeight="15"/>
  <cols>
    <col min="1" max="1" width="32.42578125" style="1518" customWidth="1"/>
    <col min="2" max="6" width="0" style="1518" hidden="1" customWidth="1"/>
    <col min="7" max="7" width="16" style="1518" customWidth="1"/>
    <col min="8" max="8" width="14.140625" style="1518" customWidth="1"/>
    <col min="9" max="9" width="18.42578125" style="1518" customWidth="1"/>
    <col min="10" max="10" width="17.42578125" style="1518" customWidth="1"/>
    <col min="11" max="11" width="13.140625" style="1518" customWidth="1"/>
    <col min="12" max="12" width="14.42578125" style="1518" customWidth="1"/>
    <col min="13" max="13" width="14.140625" style="1518" customWidth="1"/>
    <col min="14" max="14" width="15.42578125" style="1518" customWidth="1"/>
    <col min="15" max="15" width="7" style="1518" customWidth="1"/>
    <col min="16" max="16" width="17.140625" style="1518" customWidth="1"/>
    <col min="17" max="17" width="0" style="1518" hidden="1" customWidth="1"/>
    <col min="18" max="18" width="11" style="1518" hidden="1" customWidth="1"/>
    <col min="19" max="19" width="8.42578125" style="1518" hidden="1" customWidth="1"/>
    <col min="20" max="20" width="11" style="1518" hidden="1" customWidth="1"/>
    <col min="21" max="21" width="11.5703125" style="1518" bestFit="1" customWidth="1"/>
    <col min="22" max="256" width="9.140625" style="1518"/>
    <col min="257" max="257" width="32.42578125" style="1518" customWidth="1"/>
    <col min="258" max="262" width="0" style="1518" hidden="1" customWidth="1"/>
    <col min="263" max="263" width="16" style="1518" customWidth="1"/>
    <col min="264" max="264" width="14.140625" style="1518" customWidth="1"/>
    <col min="265" max="265" width="13.5703125" style="1518" customWidth="1"/>
    <col min="266" max="266" width="17.42578125" style="1518" customWidth="1"/>
    <col min="267" max="267" width="11.42578125" style="1518" customWidth="1"/>
    <col min="268" max="268" width="14.42578125" style="1518" customWidth="1"/>
    <col min="269" max="269" width="11.28515625" style="1518" customWidth="1"/>
    <col min="270" max="270" width="15.42578125" style="1518" customWidth="1"/>
    <col min="271" max="271" width="0" style="1518" hidden="1" customWidth="1"/>
    <col min="272" max="272" width="17.140625" style="1518" customWidth="1"/>
    <col min="273" max="276" width="0" style="1518" hidden="1" customWidth="1"/>
    <col min="277" max="512" width="9.140625" style="1518"/>
    <col min="513" max="513" width="32.42578125" style="1518" customWidth="1"/>
    <col min="514" max="518" width="0" style="1518" hidden="1" customWidth="1"/>
    <col min="519" max="519" width="16" style="1518" customWidth="1"/>
    <col min="520" max="520" width="14.140625" style="1518" customWidth="1"/>
    <col min="521" max="521" width="13.5703125" style="1518" customWidth="1"/>
    <col min="522" max="522" width="17.42578125" style="1518" customWidth="1"/>
    <col min="523" max="523" width="11.42578125" style="1518" customWidth="1"/>
    <col min="524" max="524" width="14.42578125" style="1518" customWidth="1"/>
    <col min="525" max="525" width="11.28515625" style="1518" customWidth="1"/>
    <col min="526" max="526" width="15.42578125" style="1518" customWidth="1"/>
    <col min="527" max="527" width="0" style="1518" hidden="1" customWidth="1"/>
    <col min="528" max="528" width="17.140625" style="1518" customWidth="1"/>
    <col min="529" max="532" width="0" style="1518" hidden="1" customWidth="1"/>
    <col min="533" max="768" width="9.140625" style="1518"/>
    <col min="769" max="769" width="32.42578125" style="1518" customWidth="1"/>
    <col min="770" max="774" width="0" style="1518" hidden="1" customWidth="1"/>
    <col min="775" max="775" width="16" style="1518" customWidth="1"/>
    <col min="776" max="776" width="14.140625" style="1518" customWidth="1"/>
    <col min="777" max="777" width="13.5703125" style="1518" customWidth="1"/>
    <col min="778" max="778" width="17.42578125" style="1518" customWidth="1"/>
    <col min="779" max="779" width="11.42578125" style="1518" customWidth="1"/>
    <col min="780" max="780" width="14.42578125" style="1518" customWidth="1"/>
    <col min="781" max="781" width="11.28515625" style="1518" customWidth="1"/>
    <col min="782" max="782" width="15.42578125" style="1518" customWidth="1"/>
    <col min="783" max="783" width="0" style="1518" hidden="1" customWidth="1"/>
    <col min="784" max="784" width="17.140625" style="1518" customWidth="1"/>
    <col min="785" max="788" width="0" style="1518" hidden="1" customWidth="1"/>
    <col min="789" max="1024" width="9.140625" style="1518"/>
    <col min="1025" max="1025" width="32.42578125" style="1518" customWidth="1"/>
    <col min="1026" max="1030" width="0" style="1518" hidden="1" customWidth="1"/>
    <col min="1031" max="1031" width="16" style="1518" customWidth="1"/>
    <col min="1032" max="1032" width="14.140625" style="1518" customWidth="1"/>
    <col min="1033" max="1033" width="13.5703125" style="1518" customWidth="1"/>
    <col min="1034" max="1034" width="17.42578125" style="1518" customWidth="1"/>
    <col min="1035" max="1035" width="11.42578125" style="1518" customWidth="1"/>
    <col min="1036" max="1036" width="14.42578125" style="1518" customWidth="1"/>
    <col min="1037" max="1037" width="11.28515625" style="1518" customWidth="1"/>
    <col min="1038" max="1038" width="15.42578125" style="1518" customWidth="1"/>
    <col min="1039" max="1039" width="0" style="1518" hidden="1" customWidth="1"/>
    <col min="1040" max="1040" width="17.140625" style="1518" customWidth="1"/>
    <col min="1041" max="1044" width="0" style="1518" hidden="1" customWidth="1"/>
    <col min="1045" max="1280" width="9.140625" style="1518"/>
    <col min="1281" max="1281" width="32.42578125" style="1518" customWidth="1"/>
    <col min="1282" max="1286" width="0" style="1518" hidden="1" customWidth="1"/>
    <col min="1287" max="1287" width="16" style="1518" customWidth="1"/>
    <col min="1288" max="1288" width="14.140625" style="1518" customWidth="1"/>
    <col min="1289" max="1289" width="13.5703125" style="1518" customWidth="1"/>
    <col min="1290" max="1290" width="17.42578125" style="1518" customWidth="1"/>
    <col min="1291" max="1291" width="11.42578125" style="1518" customWidth="1"/>
    <col min="1292" max="1292" width="14.42578125" style="1518" customWidth="1"/>
    <col min="1293" max="1293" width="11.28515625" style="1518" customWidth="1"/>
    <col min="1294" max="1294" width="15.42578125" style="1518" customWidth="1"/>
    <col min="1295" max="1295" width="0" style="1518" hidden="1" customWidth="1"/>
    <col min="1296" max="1296" width="17.140625" style="1518" customWidth="1"/>
    <col min="1297" max="1300" width="0" style="1518" hidden="1" customWidth="1"/>
    <col min="1301" max="1536" width="9.140625" style="1518"/>
    <col min="1537" max="1537" width="32.42578125" style="1518" customWidth="1"/>
    <col min="1538" max="1542" width="0" style="1518" hidden="1" customWidth="1"/>
    <col min="1543" max="1543" width="16" style="1518" customWidth="1"/>
    <col min="1544" max="1544" width="14.140625" style="1518" customWidth="1"/>
    <col min="1545" max="1545" width="13.5703125" style="1518" customWidth="1"/>
    <col min="1546" max="1546" width="17.42578125" style="1518" customWidth="1"/>
    <col min="1547" max="1547" width="11.42578125" style="1518" customWidth="1"/>
    <col min="1548" max="1548" width="14.42578125" style="1518" customWidth="1"/>
    <col min="1549" max="1549" width="11.28515625" style="1518" customWidth="1"/>
    <col min="1550" max="1550" width="15.42578125" style="1518" customWidth="1"/>
    <col min="1551" max="1551" width="0" style="1518" hidden="1" customWidth="1"/>
    <col min="1552" max="1552" width="17.140625" style="1518" customWidth="1"/>
    <col min="1553" max="1556" width="0" style="1518" hidden="1" customWidth="1"/>
    <col min="1557" max="1792" width="9.140625" style="1518"/>
    <col min="1793" max="1793" width="32.42578125" style="1518" customWidth="1"/>
    <col min="1794" max="1798" width="0" style="1518" hidden="1" customWidth="1"/>
    <col min="1799" max="1799" width="16" style="1518" customWidth="1"/>
    <col min="1800" max="1800" width="14.140625" style="1518" customWidth="1"/>
    <col min="1801" max="1801" width="13.5703125" style="1518" customWidth="1"/>
    <col min="1802" max="1802" width="17.42578125" style="1518" customWidth="1"/>
    <col min="1803" max="1803" width="11.42578125" style="1518" customWidth="1"/>
    <col min="1804" max="1804" width="14.42578125" style="1518" customWidth="1"/>
    <col min="1805" max="1805" width="11.28515625" style="1518" customWidth="1"/>
    <col min="1806" max="1806" width="15.42578125" style="1518" customWidth="1"/>
    <col min="1807" max="1807" width="0" style="1518" hidden="1" customWidth="1"/>
    <col min="1808" max="1808" width="17.140625" style="1518" customWidth="1"/>
    <col min="1809" max="1812" width="0" style="1518" hidden="1" customWidth="1"/>
    <col min="1813" max="2048" width="9.140625" style="1518"/>
    <col min="2049" max="2049" width="32.42578125" style="1518" customWidth="1"/>
    <col min="2050" max="2054" width="0" style="1518" hidden="1" customWidth="1"/>
    <col min="2055" max="2055" width="16" style="1518" customWidth="1"/>
    <col min="2056" max="2056" width="14.140625" style="1518" customWidth="1"/>
    <col min="2057" max="2057" width="13.5703125" style="1518" customWidth="1"/>
    <col min="2058" max="2058" width="17.42578125" style="1518" customWidth="1"/>
    <col min="2059" max="2059" width="11.42578125" style="1518" customWidth="1"/>
    <col min="2060" max="2060" width="14.42578125" style="1518" customWidth="1"/>
    <col min="2061" max="2061" width="11.28515625" style="1518" customWidth="1"/>
    <col min="2062" max="2062" width="15.42578125" style="1518" customWidth="1"/>
    <col min="2063" max="2063" width="0" style="1518" hidden="1" customWidth="1"/>
    <col min="2064" max="2064" width="17.140625" style="1518" customWidth="1"/>
    <col min="2065" max="2068" width="0" style="1518" hidden="1" customWidth="1"/>
    <col min="2069" max="2304" width="9.140625" style="1518"/>
    <col min="2305" max="2305" width="32.42578125" style="1518" customWidth="1"/>
    <col min="2306" max="2310" width="0" style="1518" hidden="1" customWidth="1"/>
    <col min="2311" max="2311" width="16" style="1518" customWidth="1"/>
    <col min="2312" max="2312" width="14.140625" style="1518" customWidth="1"/>
    <col min="2313" max="2313" width="13.5703125" style="1518" customWidth="1"/>
    <col min="2314" max="2314" width="17.42578125" style="1518" customWidth="1"/>
    <col min="2315" max="2315" width="11.42578125" style="1518" customWidth="1"/>
    <col min="2316" max="2316" width="14.42578125" style="1518" customWidth="1"/>
    <col min="2317" max="2317" width="11.28515625" style="1518" customWidth="1"/>
    <col min="2318" max="2318" width="15.42578125" style="1518" customWidth="1"/>
    <col min="2319" max="2319" width="0" style="1518" hidden="1" customWidth="1"/>
    <col min="2320" max="2320" width="17.140625" style="1518" customWidth="1"/>
    <col min="2321" max="2324" width="0" style="1518" hidden="1" customWidth="1"/>
    <col min="2325" max="2560" width="9.140625" style="1518"/>
    <col min="2561" max="2561" width="32.42578125" style="1518" customWidth="1"/>
    <col min="2562" max="2566" width="0" style="1518" hidden="1" customWidth="1"/>
    <col min="2567" max="2567" width="16" style="1518" customWidth="1"/>
    <col min="2568" max="2568" width="14.140625" style="1518" customWidth="1"/>
    <col min="2569" max="2569" width="13.5703125" style="1518" customWidth="1"/>
    <col min="2570" max="2570" width="17.42578125" style="1518" customWidth="1"/>
    <col min="2571" max="2571" width="11.42578125" style="1518" customWidth="1"/>
    <col min="2572" max="2572" width="14.42578125" style="1518" customWidth="1"/>
    <col min="2573" max="2573" width="11.28515625" style="1518" customWidth="1"/>
    <col min="2574" max="2574" width="15.42578125" style="1518" customWidth="1"/>
    <col min="2575" max="2575" width="0" style="1518" hidden="1" customWidth="1"/>
    <col min="2576" max="2576" width="17.140625" style="1518" customWidth="1"/>
    <col min="2577" max="2580" width="0" style="1518" hidden="1" customWidth="1"/>
    <col min="2581" max="2816" width="9.140625" style="1518"/>
    <col min="2817" max="2817" width="32.42578125" style="1518" customWidth="1"/>
    <col min="2818" max="2822" width="0" style="1518" hidden="1" customWidth="1"/>
    <col min="2823" max="2823" width="16" style="1518" customWidth="1"/>
    <col min="2824" max="2824" width="14.140625" style="1518" customWidth="1"/>
    <col min="2825" max="2825" width="13.5703125" style="1518" customWidth="1"/>
    <col min="2826" max="2826" width="17.42578125" style="1518" customWidth="1"/>
    <col min="2827" max="2827" width="11.42578125" style="1518" customWidth="1"/>
    <col min="2828" max="2828" width="14.42578125" style="1518" customWidth="1"/>
    <col min="2829" max="2829" width="11.28515625" style="1518" customWidth="1"/>
    <col min="2830" max="2830" width="15.42578125" style="1518" customWidth="1"/>
    <col min="2831" max="2831" width="0" style="1518" hidden="1" customWidth="1"/>
    <col min="2832" max="2832" width="17.140625" style="1518" customWidth="1"/>
    <col min="2833" max="2836" width="0" style="1518" hidden="1" customWidth="1"/>
    <col min="2837" max="3072" width="9.140625" style="1518"/>
    <col min="3073" max="3073" width="32.42578125" style="1518" customWidth="1"/>
    <col min="3074" max="3078" width="0" style="1518" hidden="1" customWidth="1"/>
    <col min="3079" max="3079" width="16" style="1518" customWidth="1"/>
    <col min="3080" max="3080" width="14.140625" style="1518" customWidth="1"/>
    <col min="3081" max="3081" width="13.5703125" style="1518" customWidth="1"/>
    <col min="3082" max="3082" width="17.42578125" style="1518" customWidth="1"/>
    <col min="3083" max="3083" width="11.42578125" style="1518" customWidth="1"/>
    <col min="3084" max="3084" width="14.42578125" style="1518" customWidth="1"/>
    <col min="3085" max="3085" width="11.28515625" style="1518" customWidth="1"/>
    <col min="3086" max="3086" width="15.42578125" style="1518" customWidth="1"/>
    <col min="3087" max="3087" width="0" style="1518" hidden="1" customWidth="1"/>
    <col min="3088" max="3088" width="17.140625" style="1518" customWidth="1"/>
    <col min="3089" max="3092" width="0" style="1518" hidden="1" customWidth="1"/>
    <col min="3093" max="3328" width="9.140625" style="1518"/>
    <col min="3329" max="3329" width="32.42578125" style="1518" customWidth="1"/>
    <col min="3330" max="3334" width="0" style="1518" hidden="1" customWidth="1"/>
    <col min="3335" max="3335" width="16" style="1518" customWidth="1"/>
    <col min="3336" max="3336" width="14.140625" style="1518" customWidth="1"/>
    <col min="3337" max="3337" width="13.5703125" style="1518" customWidth="1"/>
    <col min="3338" max="3338" width="17.42578125" style="1518" customWidth="1"/>
    <col min="3339" max="3339" width="11.42578125" style="1518" customWidth="1"/>
    <col min="3340" max="3340" width="14.42578125" style="1518" customWidth="1"/>
    <col min="3341" max="3341" width="11.28515625" style="1518" customWidth="1"/>
    <col min="3342" max="3342" width="15.42578125" style="1518" customWidth="1"/>
    <col min="3343" max="3343" width="0" style="1518" hidden="1" customWidth="1"/>
    <col min="3344" max="3344" width="17.140625" style="1518" customWidth="1"/>
    <col min="3345" max="3348" width="0" style="1518" hidden="1" customWidth="1"/>
    <col min="3349" max="3584" width="9.140625" style="1518"/>
    <col min="3585" max="3585" width="32.42578125" style="1518" customWidth="1"/>
    <col min="3586" max="3590" width="0" style="1518" hidden="1" customWidth="1"/>
    <col min="3591" max="3591" width="16" style="1518" customWidth="1"/>
    <col min="3592" max="3592" width="14.140625" style="1518" customWidth="1"/>
    <col min="3593" max="3593" width="13.5703125" style="1518" customWidth="1"/>
    <col min="3594" max="3594" width="17.42578125" style="1518" customWidth="1"/>
    <col min="3595" max="3595" width="11.42578125" style="1518" customWidth="1"/>
    <col min="3596" max="3596" width="14.42578125" style="1518" customWidth="1"/>
    <col min="3597" max="3597" width="11.28515625" style="1518" customWidth="1"/>
    <col min="3598" max="3598" width="15.42578125" style="1518" customWidth="1"/>
    <col min="3599" max="3599" width="0" style="1518" hidden="1" customWidth="1"/>
    <col min="3600" max="3600" width="17.140625" style="1518" customWidth="1"/>
    <col min="3601" max="3604" width="0" style="1518" hidden="1" customWidth="1"/>
    <col min="3605" max="3840" width="9.140625" style="1518"/>
    <col min="3841" max="3841" width="32.42578125" style="1518" customWidth="1"/>
    <col min="3842" max="3846" width="0" style="1518" hidden="1" customWidth="1"/>
    <col min="3847" max="3847" width="16" style="1518" customWidth="1"/>
    <col min="3848" max="3848" width="14.140625" style="1518" customWidth="1"/>
    <col min="3849" max="3849" width="13.5703125" style="1518" customWidth="1"/>
    <col min="3850" max="3850" width="17.42578125" style="1518" customWidth="1"/>
    <col min="3851" max="3851" width="11.42578125" style="1518" customWidth="1"/>
    <col min="3852" max="3852" width="14.42578125" style="1518" customWidth="1"/>
    <col min="3853" max="3853" width="11.28515625" style="1518" customWidth="1"/>
    <col min="3854" max="3854" width="15.42578125" style="1518" customWidth="1"/>
    <col min="3855" max="3855" width="0" style="1518" hidden="1" customWidth="1"/>
    <col min="3856" max="3856" width="17.140625" style="1518" customWidth="1"/>
    <col min="3857" max="3860" width="0" style="1518" hidden="1" customWidth="1"/>
    <col min="3861" max="4096" width="9.140625" style="1518"/>
    <col min="4097" max="4097" width="32.42578125" style="1518" customWidth="1"/>
    <col min="4098" max="4102" width="0" style="1518" hidden="1" customWidth="1"/>
    <col min="4103" max="4103" width="16" style="1518" customWidth="1"/>
    <col min="4104" max="4104" width="14.140625" style="1518" customWidth="1"/>
    <col min="4105" max="4105" width="13.5703125" style="1518" customWidth="1"/>
    <col min="4106" max="4106" width="17.42578125" style="1518" customWidth="1"/>
    <col min="4107" max="4107" width="11.42578125" style="1518" customWidth="1"/>
    <col min="4108" max="4108" width="14.42578125" style="1518" customWidth="1"/>
    <col min="4109" max="4109" width="11.28515625" style="1518" customWidth="1"/>
    <col min="4110" max="4110" width="15.42578125" style="1518" customWidth="1"/>
    <col min="4111" max="4111" width="0" style="1518" hidden="1" customWidth="1"/>
    <col min="4112" max="4112" width="17.140625" style="1518" customWidth="1"/>
    <col min="4113" max="4116" width="0" style="1518" hidden="1" customWidth="1"/>
    <col min="4117" max="4352" width="9.140625" style="1518"/>
    <col min="4353" max="4353" width="32.42578125" style="1518" customWidth="1"/>
    <col min="4354" max="4358" width="0" style="1518" hidden="1" customWidth="1"/>
    <col min="4359" max="4359" width="16" style="1518" customWidth="1"/>
    <col min="4360" max="4360" width="14.140625" style="1518" customWidth="1"/>
    <col min="4361" max="4361" width="13.5703125" style="1518" customWidth="1"/>
    <col min="4362" max="4362" width="17.42578125" style="1518" customWidth="1"/>
    <col min="4363" max="4363" width="11.42578125" style="1518" customWidth="1"/>
    <col min="4364" max="4364" width="14.42578125" style="1518" customWidth="1"/>
    <col min="4365" max="4365" width="11.28515625" style="1518" customWidth="1"/>
    <col min="4366" max="4366" width="15.42578125" style="1518" customWidth="1"/>
    <col min="4367" max="4367" width="0" style="1518" hidden="1" customWidth="1"/>
    <col min="4368" max="4368" width="17.140625" style="1518" customWidth="1"/>
    <col min="4369" max="4372" width="0" style="1518" hidden="1" customWidth="1"/>
    <col min="4373" max="4608" width="9.140625" style="1518"/>
    <col min="4609" max="4609" width="32.42578125" style="1518" customWidth="1"/>
    <col min="4610" max="4614" width="0" style="1518" hidden="1" customWidth="1"/>
    <col min="4615" max="4615" width="16" style="1518" customWidth="1"/>
    <col min="4616" max="4616" width="14.140625" style="1518" customWidth="1"/>
    <col min="4617" max="4617" width="13.5703125" style="1518" customWidth="1"/>
    <col min="4618" max="4618" width="17.42578125" style="1518" customWidth="1"/>
    <col min="4619" max="4619" width="11.42578125" style="1518" customWidth="1"/>
    <col min="4620" max="4620" width="14.42578125" style="1518" customWidth="1"/>
    <col min="4621" max="4621" width="11.28515625" style="1518" customWidth="1"/>
    <col min="4622" max="4622" width="15.42578125" style="1518" customWidth="1"/>
    <col min="4623" max="4623" width="0" style="1518" hidden="1" customWidth="1"/>
    <col min="4624" max="4624" width="17.140625" style="1518" customWidth="1"/>
    <col min="4625" max="4628" width="0" style="1518" hidden="1" customWidth="1"/>
    <col min="4629" max="4864" width="9.140625" style="1518"/>
    <col min="4865" max="4865" width="32.42578125" style="1518" customWidth="1"/>
    <col min="4866" max="4870" width="0" style="1518" hidden="1" customWidth="1"/>
    <col min="4871" max="4871" width="16" style="1518" customWidth="1"/>
    <col min="4872" max="4872" width="14.140625" style="1518" customWidth="1"/>
    <col min="4873" max="4873" width="13.5703125" style="1518" customWidth="1"/>
    <col min="4874" max="4874" width="17.42578125" style="1518" customWidth="1"/>
    <col min="4875" max="4875" width="11.42578125" style="1518" customWidth="1"/>
    <col min="4876" max="4876" width="14.42578125" style="1518" customWidth="1"/>
    <col min="4877" max="4877" width="11.28515625" style="1518" customWidth="1"/>
    <col min="4878" max="4878" width="15.42578125" style="1518" customWidth="1"/>
    <col min="4879" max="4879" width="0" style="1518" hidden="1" customWidth="1"/>
    <col min="4880" max="4880" width="17.140625" style="1518" customWidth="1"/>
    <col min="4881" max="4884" width="0" style="1518" hidden="1" customWidth="1"/>
    <col min="4885" max="5120" width="9.140625" style="1518"/>
    <col min="5121" max="5121" width="32.42578125" style="1518" customWidth="1"/>
    <col min="5122" max="5126" width="0" style="1518" hidden="1" customWidth="1"/>
    <col min="5127" max="5127" width="16" style="1518" customWidth="1"/>
    <col min="5128" max="5128" width="14.140625" style="1518" customWidth="1"/>
    <col min="5129" max="5129" width="13.5703125" style="1518" customWidth="1"/>
    <col min="5130" max="5130" width="17.42578125" style="1518" customWidth="1"/>
    <col min="5131" max="5131" width="11.42578125" style="1518" customWidth="1"/>
    <col min="5132" max="5132" width="14.42578125" style="1518" customWidth="1"/>
    <col min="5133" max="5133" width="11.28515625" style="1518" customWidth="1"/>
    <col min="5134" max="5134" width="15.42578125" style="1518" customWidth="1"/>
    <col min="5135" max="5135" width="0" style="1518" hidden="1" customWidth="1"/>
    <col min="5136" max="5136" width="17.140625" style="1518" customWidth="1"/>
    <col min="5137" max="5140" width="0" style="1518" hidden="1" customWidth="1"/>
    <col min="5141" max="5376" width="9.140625" style="1518"/>
    <col min="5377" max="5377" width="32.42578125" style="1518" customWidth="1"/>
    <col min="5378" max="5382" width="0" style="1518" hidden="1" customWidth="1"/>
    <col min="5383" max="5383" width="16" style="1518" customWidth="1"/>
    <col min="5384" max="5384" width="14.140625" style="1518" customWidth="1"/>
    <col min="5385" max="5385" width="13.5703125" style="1518" customWidth="1"/>
    <col min="5386" max="5386" width="17.42578125" style="1518" customWidth="1"/>
    <col min="5387" max="5387" width="11.42578125" style="1518" customWidth="1"/>
    <col min="5388" max="5388" width="14.42578125" style="1518" customWidth="1"/>
    <col min="5389" max="5389" width="11.28515625" style="1518" customWidth="1"/>
    <col min="5390" max="5390" width="15.42578125" style="1518" customWidth="1"/>
    <col min="5391" max="5391" width="0" style="1518" hidden="1" customWidth="1"/>
    <col min="5392" max="5392" width="17.140625" style="1518" customWidth="1"/>
    <col min="5393" max="5396" width="0" style="1518" hidden="1" customWidth="1"/>
    <col min="5397" max="5632" width="9.140625" style="1518"/>
    <col min="5633" max="5633" width="32.42578125" style="1518" customWidth="1"/>
    <col min="5634" max="5638" width="0" style="1518" hidden="1" customWidth="1"/>
    <col min="5639" max="5639" width="16" style="1518" customWidth="1"/>
    <col min="5640" max="5640" width="14.140625" style="1518" customWidth="1"/>
    <col min="5641" max="5641" width="13.5703125" style="1518" customWidth="1"/>
    <col min="5642" max="5642" width="17.42578125" style="1518" customWidth="1"/>
    <col min="5643" max="5643" width="11.42578125" style="1518" customWidth="1"/>
    <col min="5644" max="5644" width="14.42578125" style="1518" customWidth="1"/>
    <col min="5645" max="5645" width="11.28515625" style="1518" customWidth="1"/>
    <col min="5646" max="5646" width="15.42578125" style="1518" customWidth="1"/>
    <col min="5647" max="5647" width="0" style="1518" hidden="1" customWidth="1"/>
    <col min="5648" max="5648" width="17.140625" style="1518" customWidth="1"/>
    <col min="5649" max="5652" width="0" style="1518" hidden="1" customWidth="1"/>
    <col min="5653" max="5888" width="9.140625" style="1518"/>
    <col min="5889" max="5889" width="32.42578125" style="1518" customWidth="1"/>
    <col min="5890" max="5894" width="0" style="1518" hidden="1" customWidth="1"/>
    <col min="5895" max="5895" width="16" style="1518" customWidth="1"/>
    <col min="5896" max="5896" width="14.140625" style="1518" customWidth="1"/>
    <col min="5897" max="5897" width="13.5703125" style="1518" customWidth="1"/>
    <col min="5898" max="5898" width="17.42578125" style="1518" customWidth="1"/>
    <col min="5899" max="5899" width="11.42578125" style="1518" customWidth="1"/>
    <col min="5900" max="5900" width="14.42578125" style="1518" customWidth="1"/>
    <col min="5901" max="5901" width="11.28515625" style="1518" customWidth="1"/>
    <col min="5902" max="5902" width="15.42578125" style="1518" customWidth="1"/>
    <col min="5903" max="5903" width="0" style="1518" hidden="1" customWidth="1"/>
    <col min="5904" max="5904" width="17.140625" style="1518" customWidth="1"/>
    <col min="5905" max="5908" width="0" style="1518" hidden="1" customWidth="1"/>
    <col min="5909" max="6144" width="9.140625" style="1518"/>
    <col min="6145" max="6145" width="32.42578125" style="1518" customWidth="1"/>
    <col min="6146" max="6150" width="0" style="1518" hidden="1" customWidth="1"/>
    <col min="6151" max="6151" width="16" style="1518" customWidth="1"/>
    <col min="6152" max="6152" width="14.140625" style="1518" customWidth="1"/>
    <col min="6153" max="6153" width="13.5703125" style="1518" customWidth="1"/>
    <col min="6154" max="6154" width="17.42578125" style="1518" customWidth="1"/>
    <col min="6155" max="6155" width="11.42578125" style="1518" customWidth="1"/>
    <col min="6156" max="6156" width="14.42578125" style="1518" customWidth="1"/>
    <col min="6157" max="6157" width="11.28515625" style="1518" customWidth="1"/>
    <col min="6158" max="6158" width="15.42578125" style="1518" customWidth="1"/>
    <col min="6159" max="6159" width="0" style="1518" hidden="1" customWidth="1"/>
    <col min="6160" max="6160" width="17.140625" style="1518" customWidth="1"/>
    <col min="6161" max="6164" width="0" style="1518" hidden="1" customWidth="1"/>
    <col min="6165" max="6400" width="9.140625" style="1518"/>
    <col min="6401" max="6401" width="32.42578125" style="1518" customWidth="1"/>
    <col min="6402" max="6406" width="0" style="1518" hidden="1" customWidth="1"/>
    <col min="6407" max="6407" width="16" style="1518" customWidth="1"/>
    <col min="6408" max="6408" width="14.140625" style="1518" customWidth="1"/>
    <col min="6409" max="6409" width="13.5703125" style="1518" customWidth="1"/>
    <col min="6410" max="6410" width="17.42578125" style="1518" customWidth="1"/>
    <col min="6411" max="6411" width="11.42578125" style="1518" customWidth="1"/>
    <col min="6412" max="6412" width="14.42578125" style="1518" customWidth="1"/>
    <col min="6413" max="6413" width="11.28515625" style="1518" customWidth="1"/>
    <col min="6414" max="6414" width="15.42578125" style="1518" customWidth="1"/>
    <col min="6415" max="6415" width="0" style="1518" hidden="1" customWidth="1"/>
    <col min="6416" max="6416" width="17.140625" style="1518" customWidth="1"/>
    <col min="6417" max="6420" width="0" style="1518" hidden="1" customWidth="1"/>
    <col min="6421" max="6656" width="9.140625" style="1518"/>
    <col min="6657" max="6657" width="32.42578125" style="1518" customWidth="1"/>
    <col min="6658" max="6662" width="0" style="1518" hidden="1" customWidth="1"/>
    <col min="6663" max="6663" width="16" style="1518" customWidth="1"/>
    <col min="6664" max="6664" width="14.140625" style="1518" customWidth="1"/>
    <col min="6665" max="6665" width="13.5703125" style="1518" customWidth="1"/>
    <col min="6666" max="6666" width="17.42578125" style="1518" customWidth="1"/>
    <col min="6667" max="6667" width="11.42578125" style="1518" customWidth="1"/>
    <col min="6668" max="6668" width="14.42578125" style="1518" customWidth="1"/>
    <col min="6669" max="6669" width="11.28515625" style="1518" customWidth="1"/>
    <col min="6670" max="6670" width="15.42578125" style="1518" customWidth="1"/>
    <col min="6671" max="6671" width="0" style="1518" hidden="1" customWidth="1"/>
    <col min="6672" max="6672" width="17.140625" style="1518" customWidth="1"/>
    <col min="6673" max="6676" width="0" style="1518" hidden="1" customWidth="1"/>
    <col min="6677" max="6912" width="9.140625" style="1518"/>
    <col min="6913" max="6913" width="32.42578125" style="1518" customWidth="1"/>
    <col min="6914" max="6918" width="0" style="1518" hidden="1" customWidth="1"/>
    <col min="6919" max="6919" width="16" style="1518" customWidth="1"/>
    <col min="6920" max="6920" width="14.140625" style="1518" customWidth="1"/>
    <col min="6921" max="6921" width="13.5703125" style="1518" customWidth="1"/>
    <col min="6922" max="6922" width="17.42578125" style="1518" customWidth="1"/>
    <col min="6923" max="6923" width="11.42578125" style="1518" customWidth="1"/>
    <col min="6924" max="6924" width="14.42578125" style="1518" customWidth="1"/>
    <col min="6925" max="6925" width="11.28515625" style="1518" customWidth="1"/>
    <col min="6926" max="6926" width="15.42578125" style="1518" customWidth="1"/>
    <col min="6927" max="6927" width="0" style="1518" hidden="1" customWidth="1"/>
    <col min="6928" max="6928" width="17.140625" style="1518" customWidth="1"/>
    <col min="6929" max="6932" width="0" style="1518" hidden="1" customWidth="1"/>
    <col min="6933" max="7168" width="9.140625" style="1518"/>
    <col min="7169" max="7169" width="32.42578125" style="1518" customWidth="1"/>
    <col min="7170" max="7174" width="0" style="1518" hidden="1" customWidth="1"/>
    <col min="7175" max="7175" width="16" style="1518" customWidth="1"/>
    <col min="7176" max="7176" width="14.140625" style="1518" customWidth="1"/>
    <col min="7177" max="7177" width="13.5703125" style="1518" customWidth="1"/>
    <col min="7178" max="7178" width="17.42578125" style="1518" customWidth="1"/>
    <col min="7179" max="7179" width="11.42578125" style="1518" customWidth="1"/>
    <col min="7180" max="7180" width="14.42578125" style="1518" customWidth="1"/>
    <col min="7181" max="7181" width="11.28515625" style="1518" customWidth="1"/>
    <col min="7182" max="7182" width="15.42578125" style="1518" customWidth="1"/>
    <col min="7183" max="7183" width="0" style="1518" hidden="1" customWidth="1"/>
    <col min="7184" max="7184" width="17.140625" style="1518" customWidth="1"/>
    <col min="7185" max="7188" width="0" style="1518" hidden="1" customWidth="1"/>
    <col min="7189" max="7424" width="9.140625" style="1518"/>
    <col min="7425" max="7425" width="32.42578125" style="1518" customWidth="1"/>
    <col min="7426" max="7430" width="0" style="1518" hidden="1" customWidth="1"/>
    <col min="7431" max="7431" width="16" style="1518" customWidth="1"/>
    <col min="7432" max="7432" width="14.140625" style="1518" customWidth="1"/>
    <col min="7433" max="7433" width="13.5703125" style="1518" customWidth="1"/>
    <col min="7434" max="7434" width="17.42578125" style="1518" customWidth="1"/>
    <col min="7435" max="7435" width="11.42578125" style="1518" customWidth="1"/>
    <col min="7436" max="7436" width="14.42578125" style="1518" customWidth="1"/>
    <col min="7437" max="7437" width="11.28515625" style="1518" customWidth="1"/>
    <col min="7438" max="7438" width="15.42578125" style="1518" customWidth="1"/>
    <col min="7439" max="7439" width="0" style="1518" hidden="1" customWidth="1"/>
    <col min="7440" max="7440" width="17.140625" style="1518" customWidth="1"/>
    <col min="7441" max="7444" width="0" style="1518" hidden="1" customWidth="1"/>
    <col min="7445" max="7680" width="9.140625" style="1518"/>
    <col min="7681" max="7681" width="32.42578125" style="1518" customWidth="1"/>
    <col min="7682" max="7686" width="0" style="1518" hidden="1" customWidth="1"/>
    <col min="7687" max="7687" width="16" style="1518" customWidth="1"/>
    <col min="7688" max="7688" width="14.140625" style="1518" customWidth="1"/>
    <col min="7689" max="7689" width="13.5703125" style="1518" customWidth="1"/>
    <col min="7690" max="7690" width="17.42578125" style="1518" customWidth="1"/>
    <col min="7691" max="7691" width="11.42578125" style="1518" customWidth="1"/>
    <col min="7692" max="7692" width="14.42578125" style="1518" customWidth="1"/>
    <col min="7693" max="7693" width="11.28515625" style="1518" customWidth="1"/>
    <col min="7694" max="7694" width="15.42578125" style="1518" customWidth="1"/>
    <col min="7695" max="7695" width="0" style="1518" hidden="1" customWidth="1"/>
    <col min="7696" max="7696" width="17.140625" style="1518" customWidth="1"/>
    <col min="7697" max="7700" width="0" style="1518" hidden="1" customWidth="1"/>
    <col min="7701" max="7936" width="9.140625" style="1518"/>
    <col min="7937" max="7937" width="32.42578125" style="1518" customWidth="1"/>
    <col min="7938" max="7942" width="0" style="1518" hidden="1" customWidth="1"/>
    <col min="7943" max="7943" width="16" style="1518" customWidth="1"/>
    <col min="7944" max="7944" width="14.140625" style="1518" customWidth="1"/>
    <col min="7945" max="7945" width="13.5703125" style="1518" customWidth="1"/>
    <col min="7946" max="7946" width="17.42578125" style="1518" customWidth="1"/>
    <col min="7947" max="7947" width="11.42578125" style="1518" customWidth="1"/>
    <col min="7948" max="7948" width="14.42578125" style="1518" customWidth="1"/>
    <col min="7949" max="7949" width="11.28515625" style="1518" customWidth="1"/>
    <col min="7950" max="7950" width="15.42578125" style="1518" customWidth="1"/>
    <col min="7951" max="7951" width="0" style="1518" hidden="1" customWidth="1"/>
    <col min="7952" max="7952" width="17.140625" style="1518" customWidth="1"/>
    <col min="7953" max="7956" width="0" style="1518" hidden="1" customWidth="1"/>
    <col min="7957" max="8192" width="9.140625" style="1518"/>
    <col min="8193" max="8193" width="32.42578125" style="1518" customWidth="1"/>
    <col min="8194" max="8198" width="0" style="1518" hidden="1" customWidth="1"/>
    <col min="8199" max="8199" width="16" style="1518" customWidth="1"/>
    <col min="8200" max="8200" width="14.140625" style="1518" customWidth="1"/>
    <col min="8201" max="8201" width="13.5703125" style="1518" customWidth="1"/>
    <col min="8202" max="8202" width="17.42578125" style="1518" customWidth="1"/>
    <col min="8203" max="8203" width="11.42578125" style="1518" customWidth="1"/>
    <col min="8204" max="8204" width="14.42578125" style="1518" customWidth="1"/>
    <col min="8205" max="8205" width="11.28515625" style="1518" customWidth="1"/>
    <col min="8206" max="8206" width="15.42578125" style="1518" customWidth="1"/>
    <col min="8207" max="8207" width="0" style="1518" hidden="1" customWidth="1"/>
    <col min="8208" max="8208" width="17.140625" style="1518" customWidth="1"/>
    <col min="8209" max="8212" width="0" style="1518" hidden="1" customWidth="1"/>
    <col min="8213" max="8448" width="9.140625" style="1518"/>
    <col min="8449" max="8449" width="32.42578125" style="1518" customWidth="1"/>
    <col min="8450" max="8454" width="0" style="1518" hidden="1" customWidth="1"/>
    <col min="8455" max="8455" width="16" style="1518" customWidth="1"/>
    <col min="8456" max="8456" width="14.140625" style="1518" customWidth="1"/>
    <col min="8457" max="8457" width="13.5703125" style="1518" customWidth="1"/>
    <col min="8458" max="8458" width="17.42578125" style="1518" customWidth="1"/>
    <col min="8459" max="8459" width="11.42578125" style="1518" customWidth="1"/>
    <col min="8460" max="8460" width="14.42578125" style="1518" customWidth="1"/>
    <col min="8461" max="8461" width="11.28515625" style="1518" customWidth="1"/>
    <col min="8462" max="8462" width="15.42578125" style="1518" customWidth="1"/>
    <col min="8463" max="8463" width="0" style="1518" hidden="1" customWidth="1"/>
    <col min="8464" max="8464" width="17.140625" style="1518" customWidth="1"/>
    <col min="8465" max="8468" width="0" style="1518" hidden="1" customWidth="1"/>
    <col min="8469" max="8704" width="9.140625" style="1518"/>
    <col min="8705" max="8705" width="32.42578125" style="1518" customWidth="1"/>
    <col min="8706" max="8710" width="0" style="1518" hidden="1" customWidth="1"/>
    <col min="8711" max="8711" width="16" style="1518" customWidth="1"/>
    <col min="8712" max="8712" width="14.140625" style="1518" customWidth="1"/>
    <col min="8713" max="8713" width="13.5703125" style="1518" customWidth="1"/>
    <col min="8714" max="8714" width="17.42578125" style="1518" customWidth="1"/>
    <col min="8715" max="8715" width="11.42578125" style="1518" customWidth="1"/>
    <col min="8716" max="8716" width="14.42578125" style="1518" customWidth="1"/>
    <col min="8717" max="8717" width="11.28515625" style="1518" customWidth="1"/>
    <col min="8718" max="8718" width="15.42578125" style="1518" customWidth="1"/>
    <col min="8719" max="8719" width="0" style="1518" hidden="1" customWidth="1"/>
    <col min="8720" max="8720" width="17.140625" style="1518" customWidth="1"/>
    <col min="8721" max="8724" width="0" style="1518" hidden="1" customWidth="1"/>
    <col min="8725" max="8960" width="9.140625" style="1518"/>
    <col min="8961" max="8961" width="32.42578125" style="1518" customWidth="1"/>
    <col min="8962" max="8966" width="0" style="1518" hidden="1" customWidth="1"/>
    <col min="8967" max="8967" width="16" style="1518" customWidth="1"/>
    <col min="8968" max="8968" width="14.140625" style="1518" customWidth="1"/>
    <col min="8969" max="8969" width="13.5703125" style="1518" customWidth="1"/>
    <col min="8970" max="8970" width="17.42578125" style="1518" customWidth="1"/>
    <col min="8971" max="8971" width="11.42578125" style="1518" customWidth="1"/>
    <col min="8972" max="8972" width="14.42578125" style="1518" customWidth="1"/>
    <col min="8973" max="8973" width="11.28515625" style="1518" customWidth="1"/>
    <col min="8974" max="8974" width="15.42578125" style="1518" customWidth="1"/>
    <col min="8975" max="8975" width="0" style="1518" hidden="1" customWidth="1"/>
    <col min="8976" max="8976" width="17.140625" style="1518" customWidth="1"/>
    <col min="8977" max="8980" width="0" style="1518" hidden="1" customWidth="1"/>
    <col min="8981" max="9216" width="9.140625" style="1518"/>
    <col min="9217" max="9217" width="32.42578125" style="1518" customWidth="1"/>
    <col min="9218" max="9222" width="0" style="1518" hidden="1" customWidth="1"/>
    <col min="9223" max="9223" width="16" style="1518" customWidth="1"/>
    <col min="9224" max="9224" width="14.140625" style="1518" customWidth="1"/>
    <col min="9225" max="9225" width="13.5703125" style="1518" customWidth="1"/>
    <col min="9226" max="9226" width="17.42578125" style="1518" customWidth="1"/>
    <col min="9227" max="9227" width="11.42578125" style="1518" customWidth="1"/>
    <col min="9228" max="9228" width="14.42578125" style="1518" customWidth="1"/>
    <col min="9229" max="9229" width="11.28515625" style="1518" customWidth="1"/>
    <col min="9230" max="9230" width="15.42578125" style="1518" customWidth="1"/>
    <col min="9231" max="9231" width="0" style="1518" hidden="1" customWidth="1"/>
    <col min="9232" max="9232" width="17.140625" style="1518" customWidth="1"/>
    <col min="9233" max="9236" width="0" style="1518" hidden="1" customWidth="1"/>
    <col min="9237" max="9472" width="9.140625" style="1518"/>
    <col min="9473" max="9473" width="32.42578125" style="1518" customWidth="1"/>
    <col min="9474" max="9478" width="0" style="1518" hidden="1" customWidth="1"/>
    <col min="9479" max="9479" width="16" style="1518" customWidth="1"/>
    <col min="9480" max="9480" width="14.140625" style="1518" customWidth="1"/>
    <col min="9481" max="9481" width="13.5703125" style="1518" customWidth="1"/>
    <col min="9482" max="9482" width="17.42578125" style="1518" customWidth="1"/>
    <col min="9483" max="9483" width="11.42578125" style="1518" customWidth="1"/>
    <col min="9484" max="9484" width="14.42578125" style="1518" customWidth="1"/>
    <col min="9485" max="9485" width="11.28515625" style="1518" customWidth="1"/>
    <col min="9486" max="9486" width="15.42578125" style="1518" customWidth="1"/>
    <col min="9487" max="9487" width="0" style="1518" hidden="1" customWidth="1"/>
    <col min="9488" max="9488" width="17.140625" style="1518" customWidth="1"/>
    <col min="9489" max="9492" width="0" style="1518" hidden="1" customWidth="1"/>
    <col min="9493" max="9728" width="9.140625" style="1518"/>
    <col min="9729" max="9729" width="32.42578125" style="1518" customWidth="1"/>
    <col min="9730" max="9734" width="0" style="1518" hidden="1" customWidth="1"/>
    <col min="9735" max="9735" width="16" style="1518" customWidth="1"/>
    <col min="9736" max="9736" width="14.140625" style="1518" customWidth="1"/>
    <col min="9737" max="9737" width="13.5703125" style="1518" customWidth="1"/>
    <col min="9738" max="9738" width="17.42578125" style="1518" customWidth="1"/>
    <col min="9739" max="9739" width="11.42578125" style="1518" customWidth="1"/>
    <col min="9740" max="9740" width="14.42578125" style="1518" customWidth="1"/>
    <col min="9741" max="9741" width="11.28515625" style="1518" customWidth="1"/>
    <col min="9742" max="9742" width="15.42578125" style="1518" customWidth="1"/>
    <col min="9743" max="9743" width="0" style="1518" hidden="1" customWidth="1"/>
    <col min="9744" max="9744" width="17.140625" style="1518" customWidth="1"/>
    <col min="9745" max="9748" width="0" style="1518" hidden="1" customWidth="1"/>
    <col min="9749" max="9984" width="9.140625" style="1518"/>
    <col min="9985" max="9985" width="32.42578125" style="1518" customWidth="1"/>
    <col min="9986" max="9990" width="0" style="1518" hidden="1" customWidth="1"/>
    <col min="9991" max="9991" width="16" style="1518" customWidth="1"/>
    <col min="9992" max="9992" width="14.140625" style="1518" customWidth="1"/>
    <col min="9993" max="9993" width="13.5703125" style="1518" customWidth="1"/>
    <col min="9994" max="9994" width="17.42578125" style="1518" customWidth="1"/>
    <col min="9995" max="9995" width="11.42578125" style="1518" customWidth="1"/>
    <col min="9996" max="9996" width="14.42578125" style="1518" customWidth="1"/>
    <col min="9997" max="9997" width="11.28515625" style="1518" customWidth="1"/>
    <col min="9998" max="9998" width="15.42578125" style="1518" customWidth="1"/>
    <col min="9999" max="9999" width="0" style="1518" hidden="1" customWidth="1"/>
    <col min="10000" max="10000" width="17.140625" style="1518" customWidth="1"/>
    <col min="10001" max="10004" width="0" style="1518" hidden="1" customWidth="1"/>
    <col min="10005" max="10240" width="9.140625" style="1518"/>
    <col min="10241" max="10241" width="32.42578125" style="1518" customWidth="1"/>
    <col min="10242" max="10246" width="0" style="1518" hidden="1" customWidth="1"/>
    <col min="10247" max="10247" width="16" style="1518" customWidth="1"/>
    <col min="10248" max="10248" width="14.140625" style="1518" customWidth="1"/>
    <col min="10249" max="10249" width="13.5703125" style="1518" customWidth="1"/>
    <col min="10250" max="10250" width="17.42578125" style="1518" customWidth="1"/>
    <col min="10251" max="10251" width="11.42578125" style="1518" customWidth="1"/>
    <col min="10252" max="10252" width="14.42578125" style="1518" customWidth="1"/>
    <col min="10253" max="10253" width="11.28515625" style="1518" customWidth="1"/>
    <col min="10254" max="10254" width="15.42578125" style="1518" customWidth="1"/>
    <col min="10255" max="10255" width="0" style="1518" hidden="1" customWidth="1"/>
    <col min="10256" max="10256" width="17.140625" style="1518" customWidth="1"/>
    <col min="10257" max="10260" width="0" style="1518" hidden="1" customWidth="1"/>
    <col min="10261" max="10496" width="9.140625" style="1518"/>
    <col min="10497" max="10497" width="32.42578125" style="1518" customWidth="1"/>
    <col min="10498" max="10502" width="0" style="1518" hidden="1" customWidth="1"/>
    <col min="10503" max="10503" width="16" style="1518" customWidth="1"/>
    <col min="10504" max="10504" width="14.140625" style="1518" customWidth="1"/>
    <col min="10505" max="10505" width="13.5703125" style="1518" customWidth="1"/>
    <col min="10506" max="10506" width="17.42578125" style="1518" customWidth="1"/>
    <col min="10507" max="10507" width="11.42578125" style="1518" customWidth="1"/>
    <col min="10508" max="10508" width="14.42578125" style="1518" customWidth="1"/>
    <col min="10509" max="10509" width="11.28515625" style="1518" customWidth="1"/>
    <col min="10510" max="10510" width="15.42578125" style="1518" customWidth="1"/>
    <col min="10511" max="10511" width="0" style="1518" hidden="1" customWidth="1"/>
    <col min="10512" max="10512" width="17.140625" style="1518" customWidth="1"/>
    <col min="10513" max="10516" width="0" style="1518" hidden="1" customWidth="1"/>
    <col min="10517" max="10752" width="9.140625" style="1518"/>
    <col min="10753" max="10753" width="32.42578125" style="1518" customWidth="1"/>
    <col min="10754" max="10758" width="0" style="1518" hidden="1" customWidth="1"/>
    <col min="10759" max="10759" width="16" style="1518" customWidth="1"/>
    <col min="10760" max="10760" width="14.140625" style="1518" customWidth="1"/>
    <col min="10761" max="10761" width="13.5703125" style="1518" customWidth="1"/>
    <col min="10762" max="10762" width="17.42578125" style="1518" customWidth="1"/>
    <col min="10763" max="10763" width="11.42578125" style="1518" customWidth="1"/>
    <col min="10764" max="10764" width="14.42578125" style="1518" customWidth="1"/>
    <col min="10765" max="10765" width="11.28515625" style="1518" customWidth="1"/>
    <col min="10766" max="10766" width="15.42578125" style="1518" customWidth="1"/>
    <col min="10767" max="10767" width="0" style="1518" hidden="1" customWidth="1"/>
    <col min="10768" max="10768" width="17.140625" style="1518" customWidth="1"/>
    <col min="10769" max="10772" width="0" style="1518" hidden="1" customWidth="1"/>
    <col min="10773" max="11008" width="9.140625" style="1518"/>
    <col min="11009" max="11009" width="32.42578125" style="1518" customWidth="1"/>
    <col min="11010" max="11014" width="0" style="1518" hidden="1" customWidth="1"/>
    <col min="11015" max="11015" width="16" style="1518" customWidth="1"/>
    <col min="11016" max="11016" width="14.140625" style="1518" customWidth="1"/>
    <col min="11017" max="11017" width="13.5703125" style="1518" customWidth="1"/>
    <col min="11018" max="11018" width="17.42578125" style="1518" customWidth="1"/>
    <col min="11019" max="11019" width="11.42578125" style="1518" customWidth="1"/>
    <col min="11020" max="11020" width="14.42578125" style="1518" customWidth="1"/>
    <col min="11021" max="11021" width="11.28515625" style="1518" customWidth="1"/>
    <col min="11022" max="11022" width="15.42578125" style="1518" customWidth="1"/>
    <col min="11023" max="11023" width="0" style="1518" hidden="1" customWidth="1"/>
    <col min="11024" max="11024" width="17.140625" style="1518" customWidth="1"/>
    <col min="11025" max="11028" width="0" style="1518" hidden="1" customWidth="1"/>
    <col min="11029" max="11264" width="9.140625" style="1518"/>
    <col min="11265" max="11265" width="32.42578125" style="1518" customWidth="1"/>
    <col min="11266" max="11270" width="0" style="1518" hidden="1" customWidth="1"/>
    <col min="11271" max="11271" width="16" style="1518" customWidth="1"/>
    <col min="11272" max="11272" width="14.140625" style="1518" customWidth="1"/>
    <col min="11273" max="11273" width="13.5703125" style="1518" customWidth="1"/>
    <col min="11274" max="11274" width="17.42578125" style="1518" customWidth="1"/>
    <col min="11275" max="11275" width="11.42578125" style="1518" customWidth="1"/>
    <col min="11276" max="11276" width="14.42578125" style="1518" customWidth="1"/>
    <col min="11277" max="11277" width="11.28515625" style="1518" customWidth="1"/>
    <col min="11278" max="11278" width="15.42578125" style="1518" customWidth="1"/>
    <col min="11279" max="11279" width="0" style="1518" hidden="1" customWidth="1"/>
    <col min="11280" max="11280" width="17.140625" style="1518" customWidth="1"/>
    <col min="11281" max="11284" width="0" style="1518" hidden="1" customWidth="1"/>
    <col min="11285" max="11520" width="9.140625" style="1518"/>
    <col min="11521" max="11521" width="32.42578125" style="1518" customWidth="1"/>
    <col min="11522" max="11526" width="0" style="1518" hidden="1" customWidth="1"/>
    <col min="11527" max="11527" width="16" style="1518" customWidth="1"/>
    <col min="11528" max="11528" width="14.140625" style="1518" customWidth="1"/>
    <col min="11529" max="11529" width="13.5703125" style="1518" customWidth="1"/>
    <col min="11530" max="11530" width="17.42578125" style="1518" customWidth="1"/>
    <col min="11531" max="11531" width="11.42578125" style="1518" customWidth="1"/>
    <col min="11532" max="11532" width="14.42578125" style="1518" customWidth="1"/>
    <col min="11533" max="11533" width="11.28515625" style="1518" customWidth="1"/>
    <col min="11534" max="11534" width="15.42578125" style="1518" customWidth="1"/>
    <col min="11535" max="11535" width="0" style="1518" hidden="1" customWidth="1"/>
    <col min="11536" max="11536" width="17.140625" style="1518" customWidth="1"/>
    <col min="11537" max="11540" width="0" style="1518" hidden="1" customWidth="1"/>
    <col min="11541" max="11776" width="9.140625" style="1518"/>
    <col min="11777" max="11777" width="32.42578125" style="1518" customWidth="1"/>
    <col min="11778" max="11782" width="0" style="1518" hidden="1" customWidth="1"/>
    <col min="11783" max="11783" width="16" style="1518" customWidth="1"/>
    <col min="11784" max="11784" width="14.140625" style="1518" customWidth="1"/>
    <col min="11785" max="11785" width="13.5703125" style="1518" customWidth="1"/>
    <col min="11786" max="11786" width="17.42578125" style="1518" customWidth="1"/>
    <col min="11787" max="11787" width="11.42578125" style="1518" customWidth="1"/>
    <col min="11788" max="11788" width="14.42578125" style="1518" customWidth="1"/>
    <col min="11789" max="11789" width="11.28515625" style="1518" customWidth="1"/>
    <col min="11790" max="11790" width="15.42578125" style="1518" customWidth="1"/>
    <col min="11791" max="11791" width="0" style="1518" hidden="1" customWidth="1"/>
    <col min="11792" max="11792" width="17.140625" style="1518" customWidth="1"/>
    <col min="11793" max="11796" width="0" style="1518" hidden="1" customWidth="1"/>
    <col min="11797" max="12032" width="9.140625" style="1518"/>
    <col min="12033" max="12033" width="32.42578125" style="1518" customWidth="1"/>
    <col min="12034" max="12038" width="0" style="1518" hidden="1" customWidth="1"/>
    <col min="12039" max="12039" width="16" style="1518" customWidth="1"/>
    <col min="12040" max="12040" width="14.140625" style="1518" customWidth="1"/>
    <col min="12041" max="12041" width="13.5703125" style="1518" customWidth="1"/>
    <col min="12042" max="12042" width="17.42578125" style="1518" customWidth="1"/>
    <col min="12043" max="12043" width="11.42578125" style="1518" customWidth="1"/>
    <col min="12044" max="12044" width="14.42578125" style="1518" customWidth="1"/>
    <col min="12045" max="12045" width="11.28515625" style="1518" customWidth="1"/>
    <col min="12046" max="12046" width="15.42578125" style="1518" customWidth="1"/>
    <col min="12047" max="12047" width="0" style="1518" hidden="1" customWidth="1"/>
    <col min="12048" max="12048" width="17.140625" style="1518" customWidth="1"/>
    <col min="12049" max="12052" width="0" style="1518" hidden="1" customWidth="1"/>
    <col min="12053" max="12288" width="9.140625" style="1518"/>
    <col min="12289" max="12289" width="32.42578125" style="1518" customWidth="1"/>
    <col min="12290" max="12294" width="0" style="1518" hidden="1" customWidth="1"/>
    <col min="12295" max="12295" width="16" style="1518" customWidth="1"/>
    <col min="12296" max="12296" width="14.140625" style="1518" customWidth="1"/>
    <col min="12297" max="12297" width="13.5703125" style="1518" customWidth="1"/>
    <col min="12298" max="12298" width="17.42578125" style="1518" customWidth="1"/>
    <col min="12299" max="12299" width="11.42578125" style="1518" customWidth="1"/>
    <col min="12300" max="12300" width="14.42578125" style="1518" customWidth="1"/>
    <col min="12301" max="12301" width="11.28515625" style="1518" customWidth="1"/>
    <col min="12302" max="12302" width="15.42578125" style="1518" customWidth="1"/>
    <col min="12303" max="12303" width="0" style="1518" hidden="1" customWidth="1"/>
    <col min="12304" max="12304" width="17.140625" style="1518" customWidth="1"/>
    <col min="12305" max="12308" width="0" style="1518" hidden="1" customWidth="1"/>
    <col min="12309" max="12544" width="9.140625" style="1518"/>
    <col min="12545" max="12545" width="32.42578125" style="1518" customWidth="1"/>
    <col min="12546" max="12550" width="0" style="1518" hidden="1" customWidth="1"/>
    <col min="12551" max="12551" width="16" style="1518" customWidth="1"/>
    <col min="12552" max="12552" width="14.140625" style="1518" customWidth="1"/>
    <col min="12553" max="12553" width="13.5703125" style="1518" customWidth="1"/>
    <col min="12554" max="12554" width="17.42578125" style="1518" customWidth="1"/>
    <col min="12555" max="12555" width="11.42578125" style="1518" customWidth="1"/>
    <col min="12556" max="12556" width="14.42578125" style="1518" customWidth="1"/>
    <col min="12557" max="12557" width="11.28515625" style="1518" customWidth="1"/>
    <col min="12558" max="12558" width="15.42578125" style="1518" customWidth="1"/>
    <col min="12559" max="12559" width="0" style="1518" hidden="1" customWidth="1"/>
    <col min="12560" max="12560" width="17.140625" style="1518" customWidth="1"/>
    <col min="12561" max="12564" width="0" style="1518" hidden="1" customWidth="1"/>
    <col min="12565" max="12800" width="9.140625" style="1518"/>
    <col min="12801" max="12801" width="32.42578125" style="1518" customWidth="1"/>
    <col min="12802" max="12806" width="0" style="1518" hidden="1" customWidth="1"/>
    <col min="12807" max="12807" width="16" style="1518" customWidth="1"/>
    <col min="12808" max="12808" width="14.140625" style="1518" customWidth="1"/>
    <col min="12809" max="12809" width="13.5703125" style="1518" customWidth="1"/>
    <col min="12810" max="12810" width="17.42578125" style="1518" customWidth="1"/>
    <col min="12811" max="12811" width="11.42578125" style="1518" customWidth="1"/>
    <col min="12812" max="12812" width="14.42578125" style="1518" customWidth="1"/>
    <col min="12813" max="12813" width="11.28515625" style="1518" customWidth="1"/>
    <col min="12814" max="12814" width="15.42578125" style="1518" customWidth="1"/>
    <col min="12815" max="12815" width="0" style="1518" hidden="1" customWidth="1"/>
    <col min="12816" max="12816" width="17.140625" style="1518" customWidth="1"/>
    <col min="12817" max="12820" width="0" style="1518" hidden="1" customWidth="1"/>
    <col min="12821" max="13056" width="9.140625" style="1518"/>
    <col min="13057" max="13057" width="32.42578125" style="1518" customWidth="1"/>
    <col min="13058" max="13062" width="0" style="1518" hidden="1" customWidth="1"/>
    <col min="13063" max="13063" width="16" style="1518" customWidth="1"/>
    <col min="13064" max="13064" width="14.140625" style="1518" customWidth="1"/>
    <col min="13065" max="13065" width="13.5703125" style="1518" customWidth="1"/>
    <col min="13066" max="13066" width="17.42578125" style="1518" customWidth="1"/>
    <col min="13067" max="13067" width="11.42578125" style="1518" customWidth="1"/>
    <col min="13068" max="13068" width="14.42578125" style="1518" customWidth="1"/>
    <col min="13069" max="13069" width="11.28515625" style="1518" customWidth="1"/>
    <col min="13070" max="13070" width="15.42578125" style="1518" customWidth="1"/>
    <col min="13071" max="13071" width="0" style="1518" hidden="1" customWidth="1"/>
    <col min="13072" max="13072" width="17.140625" style="1518" customWidth="1"/>
    <col min="13073" max="13076" width="0" style="1518" hidden="1" customWidth="1"/>
    <col min="13077" max="13312" width="9.140625" style="1518"/>
    <col min="13313" max="13313" width="32.42578125" style="1518" customWidth="1"/>
    <col min="13314" max="13318" width="0" style="1518" hidden="1" customWidth="1"/>
    <col min="13319" max="13319" width="16" style="1518" customWidth="1"/>
    <col min="13320" max="13320" width="14.140625" style="1518" customWidth="1"/>
    <col min="13321" max="13321" width="13.5703125" style="1518" customWidth="1"/>
    <col min="13322" max="13322" width="17.42578125" style="1518" customWidth="1"/>
    <col min="13323" max="13323" width="11.42578125" style="1518" customWidth="1"/>
    <col min="13324" max="13324" width="14.42578125" style="1518" customWidth="1"/>
    <col min="13325" max="13325" width="11.28515625" style="1518" customWidth="1"/>
    <col min="13326" max="13326" width="15.42578125" style="1518" customWidth="1"/>
    <col min="13327" max="13327" width="0" style="1518" hidden="1" customWidth="1"/>
    <col min="13328" max="13328" width="17.140625" style="1518" customWidth="1"/>
    <col min="13329" max="13332" width="0" style="1518" hidden="1" customWidth="1"/>
    <col min="13333" max="13568" width="9.140625" style="1518"/>
    <col min="13569" max="13569" width="32.42578125" style="1518" customWidth="1"/>
    <col min="13570" max="13574" width="0" style="1518" hidden="1" customWidth="1"/>
    <col min="13575" max="13575" width="16" style="1518" customWidth="1"/>
    <col min="13576" max="13576" width="14.140625" style="1518" customWidth="1"/>
    <col min="13577" max="13577" width="13.5703125" style="1518" customWidth="1"/>
    <col min="13578" max="13578" width="17.42578125" style="1518" customWidth="1"/>
    <col min="13579" max="13579" width="11.42578125" style="1518" customWidth="1"/>
    <col min="13580" max="13580" width="14.42578125" style="1518" customWidth="1"/>
    <col min="13581" max="13581" width="11.28515625" style="1518" customWidth="1"/>
    <col min="13582" max="13582" width="15.42578125" style="1518" customWidth="1"/>
    <col min="13583" max="13583" width="0" style="1518" hidden="1" customWidth="1"/>
    <col min="13584" max="13584" width="17.140625" style="1518" customWidth="1"/>
    <col min="13585" max="13588" width="0" style="1518" hidden="1" customWidth="1"/>
    <col min="13589" max="13824" width="9.140625" style="1518"/>
    <col min="13825" max="13825" width="32.42578125" style="1518" customWidth="1"/>
    <col min="13826" max="13830" width="0" style="1518" hidden="1" customWidth="1"/>
    <col min="13831" max="13831" width="16" style="1518" customWidth="1"/>
    <col min="13832" max="13832" width="14.140625" style="1518" customWidth="1"/>
    <col min="13833" max="13833" width="13.5703125" style="1518" customWidth="1"/>
    <col min="13834" max="13834" width="17.42578125" style="1518" customWidth="1"/>
    <col min="13835" max="13835" width="11.42578125" style="1518" customWidth="1"/>
    <col min="13836" max="13836" width="14.42578125" style="1518" customWidth="1"/>
    <col min="13837" max="13837" width="11.28515625" style="1518" customWidth="1"/>
    <col min="13838" max="13838" width="15.42578125" style="1518" customWidth="1"/>
    <col min="13839" max="13839" width="0" style="1518" hidden="1" customWidth="1"/>
    <col min="13840" max="13840" width="17.140625" style="1518" customWidth="1"/>
    <col min="13841" max="13844" width="0" style="1518" hidden="1" customWidth="1"/>
    <col min="13845" max="14080" width="9.140625" style="1518"/>
    <col min="14081" max="14081" width="32.42578125" style="1518" customWidth="1"/>
    <col min="14082" max="14086" width="0" style="1518" hidden="1" customWidth="1"/>
    <col min="14087" max="14087" width="16" style="1518" customWidth="1"/>
    <col min="14088" max="14088" width="14.140625" style="1518" customWidth="1"/>
    <col min="14089" max="14089" width="13.5703125" style="1518" customWidth="1"/>
    <col min="14090" max="14090" width="17.42578125" style="1518" customWidth="1"/>
    <col min="14091" max="14091" width="11.42578125" style="1518" customWidth="1"/>
    <col min="14092" max="14092" width="14.42578125" style="1518" customWidth="1"/>
    <col min="14093" max="14093" width="11.28515625" style="1518" customWidth="1"/>
    <col min="14094" max="14094" width="15.42578125" style="1518" customWidth="1"/>
    <col min="14095" max="14095" width="0" style="1518" hidden="1" customWidth="1"/>
    <col min="14096" max="14096" width="17.140625" style="1518" customWidth="1"/>
    <col min="14097" max="14100" width="0" style="1518" hidden="1" customWidth="1"/>
    <col min="14101" max="14336" width="9.140625" style="1518"/>
    <col min="14337" max="14337" width="32.42578125" style="1518" customWidth="1"/>
    <col min="14338" max="14342" width="0" style="1518" hidden="1" customWidth="1"/>
    <col min="14343" max="14343" width="16" style="1518" customWidth="1"/>
    <col min="14344" max="14344" width="14.140625" style="1518" customWidth="1"/>
    <col min="14345" max="14345" width="13.5703125" style="1518" customWidth="1"/>
    <col min="14346" max="14346" width="17.42578125" style="1518" customWidth="1"/>
    <col min="14347" max="14347" width="11.42578125" style="1518" customWidth="1"/>
    <col min="14348" max="14348" width="14.42578125" style="1518" customWidth="1"/>
    <col min="14349" max="14349" width="11.28515625" style="1518" customWidth="1"/>
    <col min="14350" max="14350" width="15.42578125" style="1518" customWidth="1"/>
    <col min="14351" max="14351" width="0" style="1518" hidden="1" customWidth="1"/>
    <col min="14352" max="14352" width="17.140625" style="1518" customWidth="1"/>
    <col min="14353" max="14356" width="0" style="1518" hidden="1" customWidth="1"/>
    <col min="14357" max="14592" width="9.140625" style="1518"/>
    <col min="14593" max="14593" width="32.42578125" style="1518" customWidth="1"/>
    <col min="14594" max="14598" width="0" style="1518" hidden="1" customWidth="1"/>
    <col min="14599" max="14599" width="16" style="1518" customWidth="1"/>
    <col min="14600" max="14600" width="14.140625" style="1518" customWidth="1"/>
    <col min="14601" max="14601" width="13.5703125" style="1518" customWidth="1"/>
    <col min="14602" max="14602" width="17.42578125" style="1518" customWidth="1"/>
    <col min="14603" max="14603" width="11.42578125" style="1518" customWidth="1"/>
    <col min="14604" max="14604" width="14.42578125" style="1518" customWidth="1"/>
    <col min="14605" max="14605" width="11.28515625" style="1518" customWidth="1"/>
    <col min="14606" max="14606" width="15.42578125" style="1518" customWidth="1"/>
    <col min="14607" max="14607" width="0" style="1518" hidden="1" customWidth="1"/>
    <col min="14608" max="14608" width="17.140625" style="1518" customWidth="1"/>
    <col min="14609" max="14612" width="0" style="1518" hidden="1" customWidth="1"/>
    <col min="14613" max="14848" width="9.140625" style="1518"/>
    <col min="14849" max="14849" width="32.42578125" style="1518" customWidth="1"/>
    <col min="14850" max="14854" width="0" style="1518" hidden="1" customWidth="1"/>
    <col min="14855" max="14855" width="16" style="1518" customWidth="1"/>
    <col min="14856" max="14856" width="14.140625" style="1518" customWidth="1"/>
    <col min="14857" max="14857" width="13.5703125" style="1518" customWidth="1"/>
    <col min="14858" max="14858" width="17.42578125" style="1518" customWidth="1"/>
    <col min="14859" max="14859" width="11.42578125" style="1518" customWidth="1"/>
    <col min="14860" max="14860" width="14.42578125" style="1518" customWidth="1"/>
    <col min="14861" max="14861" width="11.28515625" style="1518" customWidth="1"/>
    <col min="14862" max="14862" width="15.42578125" style="1518" customWidth="1"/>
    <col min="14863" max="14863" width="0" style="1518" hidden="1" customWidth="1"/>
    <col min="14864" max="14864" width="17.140625" style="1518" customWidth="1"/>
    <col min="14865" max="14868" width="0" style="1518" hidden="1" customWidth="1"/>
    <col min="14869" max="15104" width="9.140625" style="1518"/>
    <col min="15105" max="15105" width="32.42578125" style="1518" customWidth="1"/>
    <col min="15106" max="15110" width="0" style="1518" hidden="1" customWidth="1"/>
    <col min="15111" max="15111" width="16" style="1518" customWidth="1"/>
    <col min="15112" max="15112" width="14.140625" style="1518" customWidth="1"/>
    <col min="15113" max="15113" width="13.5703125" style="1518" customWidth="1"/>
    <col min="15114" max="15114" width="17.42578125" style="1518" customWidth="1"/>
    <col min="15115" max="15115" width="11.42578125" style="1518" customWidth="1"/>
    <col min="15116" max="15116" width="14.42578125" style="1518" customWidth="1"/>
    <col min="15117" max="15117" width="11.28515625" style="1518" customWidth="1"/>
    <col min="15118" max="15118" width="15.42578125" style="1518" customWidth="1"/>
    <col min="15119" max="15119" width="0" style="1518" hidden="1" customWidth="1"/>
    <col min="15120" max="15120" width="17.140625" style="1518" customWidth="1"/>
    <col min="15121" max="15124" width="0" style="1518" hidden="1" customWidth="1"/>
    <col min="15125" max="15360" width="9.140625" style="1518"/>
    <col min="15361" max="15361" width="32.42578125" style="1518" customWidth="1"/>
    <col min="15362" max="15366" width="0" style="1518" hidden="1" customWidth="1"/>
    <col min="15367" max="15367" width="16" style="1518" customWidth="1"/>
    <col min="15368" max="15368" width="14.140625" style="1518" customWidth="1"/>
    <col min="15369" max="15369" width="13.5703125" style="1518" customWidth="1"/>
    <col min="15370" max="15370" width="17.42578125" style="1518" customWidth="1"/>
    <col min="15371" max="15371" width="11.42578125" style="1518" customWidth="1"/>
    <col min="15372" max="15372" width="14.42578125" style="1518" customWidth="1"/>
    <col min="15373" max="15373" width="11.28515625" style="1518" customWidth="1"/>
    <col min="15374" max="15374" width="15.42578125" style="1518" customWidth="1"/>
    <col min="15375" max="15375" width="0" style="1518" hidden="1" customWidth="1"/>
    <col min="15376" max="15376" width="17.140625" style="1518" customWidth="1"/>
    <col min="15377" max="15380" width="0" style="1518" hidden="1" customWidth="1"/>
    <col min="15381" max="15616" width="9.140625" style="1518"/>
    <col min="15617" max="15617" width="32.42578125" style="1518" customWidth="1"/>
    <col min="15618" max="15622" width="0" style="1518" hidden="1" customWidth="1"/>
    <col min="15623" max="15623" width="16" style="1518" customWidth="1"/>
    <col min="15624" max="15624" width="14.140625" style="1518" customWidth="1"/>
    <col min="15625" max="15625" width="13.5703125" style="1518" customWidth="1"/>
    <col min="15626" max="15626" width="17.42578125" style="1518" customWidth="1"/>
    <col min="15627" max="15627" width="11.42578125" style="1518" customWidth="1"/>
    <col min="15628" max="15628" width="14.42578125" style="1518" customWidth="1"/>
    <col min="15629" max="15629" width="11.28515625" style="1518" customWidth="1"/>
    <col min="15630" max="15630" width="15.42578125" style="1518" customWidth="1"/>
    <col min="15631" max="15631" width="0" style="1518" hidden="1" customWidth="1"/>
    <col min="15632" max="15632" width="17.140625" style="1518" customWidth="1"/>
    <col min="15633" max="15636" width="0" style="1518" hidden="1" customWidth="1"/>
    <col min="15637" max="15872" width="9.140625" style="1518"/>
    <col min="15873" max="15873" width="32.42578125" style="1518" customWidth="1"/>
    <col min="15874" max="15878" width="0" style="1518" hidden="1" customWidth="1"/>
    <col min="15879" max="15879" width="16" style="1518" customWidth="1"/>
    <col min="15880" max="15880" width="14.140625" style="1518" customWidth="1"/>
    <col min="15881" max="15881" width="13.5703125" style="1518" customWidth="1"/>
    <col min="15882" max="15882" width="17.42578125" style="1518" customWidth="1"/>
    <col min="15883" max="15883" width="11.42578125" style="1518" customWidth="1"/>
    <col min="15884" max="15884" width="14.42578125" style="1518" customWidth="1"/>
    <col min="15885" max="15885" width="11.28515625" style="1518" customWidth="1"/>
    <col min="15886" max="15886" width="15.42578125" style="1518" customWidth="1"/>
    <col min="15887" max="15887" width="0" style="1518" hidden="1" customWidth="1"/>
    <col min="15888" max="15888" width="17.140625" style="1518" customWidth="1"/>
    <col min="15889" max="15892" width="0" style="1518" hidden="1" customWidth="1"/>
    <col min="15893" max="16128" width="9.140625" style="1518"/>
    <col min="16129" max="16129" width="32.42578125" style="1518" customWidth="1"/>
    <col min="16130" max="16134" width="0" style="1518" hidden="1" customWidth="1"/>
    <col min="16135" max="16135" width="16" style="1518" customWidth="1"/>
    <col min="16136" max="16136" width="14.140625" style="1518" customWidth="1"/>
    <col min="16137" max="16137" width="13.5703125" style="1518" customWidth="1"/>
    <col min="16138" max="16138" width="17.42578125" style="1518" customWidth="1"/>
    <col min="16139" max="16139" width="11.42578125" style="1518" customWidth="1"/>
    <col min="16140" max="16140" width="14.42578125" style="1518" customWidth="1"/>
    <col min="16141" max="16141" width="11.28515625" style="1518" customWidth="1"/>
    <col min="16142" max="16142" width="15.42578125" style="1518" customWidth="1"/>
    <col min="16143" max="16143" width="0" style="1518" hidden="1" customWidth="1"/>
    <col min="16144" max="16144" width="17.140625" style="1518" customWidth="1"/>
    <col min="16145" max="16148" width="0" style="1518" hidden="1" customWidth="1"/>
    <col min="16149" max="16384" width="9.140625" style="1518"/>
  </cols>
  <sheetData>
    <row r="1" spans="1:22">
      <c r="A1" s="1518" t="s">
        <v>2115</v>
      </c>
    </row>
    <row r="2" spans="1:22">
      <c r="A2" s="2795" t="s">
        <v>2116</v>
      </c>
    </row>
    <row r="3" spans="1:22">
      <c r="P3" s="1524" t="s">
        <v>2616</v>
      </c>
    </row>
    <row r="4" spans="1:22" ht="72.75" customHeight="1">
      <c r="A4" s="2134" t="s">
        <v>2066</v>
      </c>
      <c r="B4" s="2134" t="s">
        <v>2067</v>
      </c>
      <c r="C4" s="2134" t="s">
        <v>2068</v>
      </c>
      <c r="D4" s="2134" t="s">
        <v>2069</v>
      </c>
      <c r="E4" s="2134" t="s">
        <v>2070</v>
      </c>
      <c r="F4" s="2134" t="s">
        <v>2071</v>
      </c>
      <c r="G4" s="2134" t="s">
        <v>2072</v>
      </c>
      <c r="H4" s="2134" t="s">
        <v>2691</v>
      </c>
      <c r="I4" s="2134" t="s">
        <v>2692</v>
      </c>
      <c r="J4" s="2134" t="s">
        <v>2693</v>
      </c>
      <c r="K4" s="2134" t="s">
        <v>2075</v>
      </c>
      <c r="L4" s="2134" t="s">
        <v>2694</v>
      </c>
      <c r="M4" s="2134" t="s">
        <v>2695</v>
      </c>
      <c r="N4" s="2134" t="s">
        <v>2078</v>
      </c>
      <c r="O4" s="2134" t="s">
        <v>2079</v>
      </c>
      <c r="P4" s="2809" t="s">
        <v>2117</v>
      </c>
      <c r="Q4" s="1519" t="s">
        <v>2081</v>
      </c>
      <c r="R4" s="1519" t="s">
        <v>2082</v>
      </c>
      <c r="S4" s="1520" t="s">
        <v>2083</v>
      </c>
      <c r="T4" s="1521" t="s">
        <v>2109</v>
      </c>
      <c r="V4" s="1524" t="s">
        <v>2819</v>
      </c>
    </row>
    <row r="5" spans="1:22">
      <c r="A5" s="2796">
        <v>1</v>
      </c>
      <c r="B5" s="2796">
        <v>2</v>
      </c>
      <c r="C5" s="2796">
        <v>3</v>
      </c>
      <c r="D5" s="2796">
        <v>4</v>
      </c>
      <c r="E5" s="2796">
        <v>5</v>
      </c>
      <c r="F5" s="2796">
        <v>6</v>
      </c>
      <c r="G5" s="2796">
        <v>7</v>
      </c>
      <c r="H5" s="2796"/>
      <c r="I5" s="2796">
        <v>8</v>
      </c>
      <c r="J5" s="2796">
        <v>9</v>
      </c>
      <c r="K5" s="2796">
        <v>10</v>
      </c>
      <c r="L5" s="2796">
        <v>11</v>
      </c>
      <c r="M5" s="2796">
        <v>12</v>
      </c>
      <c r="N5" s="2796">
        <v>13</v>
      </c>
      <c r="O5" s="2796">
        <v>14</v>
      </c>
      <c r="P5" s="2796">
        <v>15</v>
      </c>
      <c r="Q5" s="1522">
        <v>16</v>
      </c>
      <c r="R5" s="1522">
        <v>17</v>
      </c>
      <c r="S5" s="1523"/>
      <c r="T5" s="1524"/>
      <c r="V5" s="1524"/>
    </row>
    <row r="6" spans="1:22">
      <c r="A6" s="2796"/>
      <c r="B6" s="2796"/>
      <c r="C6" s="2796" t="s">
        <v>2084</v>
      </c>
      <c r="D6" s="2796"/>
      <c r="E6" s="2796"/>
      <c r="F6" s="2796"/>
      <c r="G6" s="2796"/>
      <c r="H6" s="2796"/>
      <c r="I6" s="2796"/>
      <c r="J6" s="2796"/>
      <c r="K6" s="2796" t="s">
        <v>2085</v>
      </c>
      <c r="L6" s="2796"/>
      <c r="M6" s="2796"/>
      <c r="N6" s="2796" t="s">
        <v>2086</v>
      </c>
      <c r="O6" s="2796"/>
      <c r="P6" s="2796" t="s">
        <v>2087</v>
      </c>
      <c r="Q6" s="1522"/>
      <c r="R6" s="1522" t="s">
        <v>2088</v>
      </c>
      <c r="S6" s="1523"/>
      <c r="T6" s="1524"/>
      <c r="V6" s="1524"/>
    </row>
    <row r="7" spans="1:22" ht="19.5" hidden="1" customHeight="1">
      <c r="A7" s="1547"/>
      <c r="B7" s="1548"/>
      <c r="C7" s="1548"/>
      <c r="D7" s="1548"/>
      <c r="E7" s="1548"/>
      <c r="F7" s="1548"/>
      <c r="G7" s="1548"/>
      <c r="H7" s="1548"/>
      <c r="I7" s="1548"/>
      <c r="J7" s="1548"/>
      <c r="K7" s="1548"/>
      <c r="L7" s="1548"/>
      <c r="M7" s="1548"/>
      <c r="N7" s="1548"/>
      <c r="O7" s="1548"/>
      <c r="P7" s="1549"/>
      <c r="Q7" s="1526"/>
      <c r="R7" s="1525"/>
      <c r="S7" s="1527"/>
      <c r="T7" s="1528"/>
      <c r="V7" s="1524"/>
    </row>
    <row r="8" spans="1:22">
      <c r="A8" s="2797" t="s">
        <v>1097</v>
      </c>
      <c r="B8" s="1524"/>
      <c r="C8" s="1524"/>
      <c r="D8" s="1524"/>
      <c r="E8" s="1524"/>
      <c r="F8" s="1524"/>
      <c r="G8" s="1550">
        <v>22953418</v>
      </c>
      <c r="H8" s="1550">
        <v>0</v>
      </c>
      <c r="I8" s="1550">
        <v>0</v>
      </c>
      <c r="J8" s="1550">
        <v>0</v>
      </c>
      <c r="K8" s="1550">
        <f>+G8-H8-I8-J8</f>
        <v>22953418</v>
      </c>
      <c r="L8" s="1550">
        <v>0</v>
      </c>
      <c r="M8" s="1550">
        <v>0</v>
      </c>
      <c r="N8" s="1550">
        <f>+K8-L8-M8</f>
        <v>22953418</v>
      </c>
      <c r="O8" s="1550">
        <v>0</v>
      </c>
      <c r="P8" s="1550">
        <f>+N8*O8</f>
        <v>0</v>
      </c>
      <c r="Q8" s="1529"/>
      <c r="R8" s="1530"/>
      <c r="S8" s="1530"/>
      <c r="T8" s="1531">
        <v>0</v>
      </c>
      <c r="V8" s="3448">
        <f>P8/AVERAGE(G8,N8)</f>
        <v>0</v>
      </c>
    </row>
    <row r="9" spans="1:22" hidden="1">
      <c r="A9" s="2797"/>
      <c r="B9" s="1524"/>
      <c r="C9" s="1524"/>
      <c r="D9" s="1524"/>
      <c r="E9" s="1524"/>
      <c r="F9" s="1524"/>
      <c r="G9" s="1550"/>
      <c r="H9" s="1550"/>
      <c r="I9" s="1550"/>
      <c r="J9" s="1550"/>
      <c r="K9" s="1550"/>
      <c r="L9" s="1550"/>
      <c r="M9" s="1550"/>
      <c r="N9" s="1550"/>
      <c r="O9" s="1550"/>
      <c r="P9" s="1550"/>
      <c r="Q9" s="1529"/>
      <c r="R9" s="1530"/>
      <c r="S9" s="1530"/>
      <c r="T9" s="1531"/>
      <c r="V9" s="3448" t="e">
        <f t="shared" ref="V9:V56" si="0">P9/AVERAGE(G9,N9)</f>
        <v>#DIV/0!</v>
      </c>
    </row>
    <row r="10" spans="1:22">
      <c r="A10" s="2797" t="s">
        <v>2089</v>
      </c>
      <c r="B10" s="1524"/>
      <c r="C10" s="1524"/>
      <c r="D10" s="1524"/>
      <c r="E10" s="1524"/>
      <c r="F10" s="1524"/>
      <c r="G10" s="1550">
        <f>[113]BLDG!G76</f>
        <v>626226454</v>
      </c>
      <c r="H10" s="1550">
        <f>[113]BLDG!H76</f>
        <v>0</v>
      </c>
      <c r="I10" s="1550">
        <f>[113]BLDG!I76</f>
        <v>0</v>
      </c>
      <c r="J10" s="1550">
        <f>[113]BLDG!J76</f>
        <v>0</v>
      </c>
      <c r="K10" s="1550">
        <f>[113]BLDG!K76</f>
        <v>626226454</v>
      </c>
      <c r="L10" s="1550">
        <f>[113]BLDG!L76</f>
        <v>0</v>
      </c>
      <c r="M10" s="1550">
        <f>[113]BLDG!M76</f>
        <v>0</v>
      </c>
      <c r="N10" s="1550">
        <f>[113]BLDG!N76</f>
        <v>626226454</v>
      </c>
      <c r="O10" s="1550">
        <f>[113]BLDG!O76</f>
        <v>0</v>
      </c>
      <c r="P10" s="1551">
        <f>[113]BLDG!P76</f>
        <v>20409358.398800001</v>
      </c>
      <c r="Q10" s="1529">
        <f>[113]BLDG!Q76</f>
        <v>183228906.67139998</v>
      </c>
      <c r="R10" s="1532">
        <f>[113]BLDG!R76</f>
        <v>212432479.17019996</v>
      </c>
      <c r="S10" s="1531"/>
      <c r="T10" s="1533">
        <f>[113]BLDG!$R$76</f>
        <v>212432479.17019996</v>
      </c>
      <c r="U10" s="1530"/>
      <c r="V10" s="3448">
        <f t="shared" si="0"/>
        <v>3.2591019220660392E-2</v>
      </c>
    </row>
    <row r="11" spans="1:22" hidden="1">
      <c r="A11" s="2797"/>
      <c r="B11" s="1524"/>
      <c r="C11" s="1524"/>
      <c r="D11" s="1524"/>
      <c r="E11" s="1524"/>
      <c r="F11" s="1524"/>
      <c r="G11" s="1550"/>
      <c r="H11" s="1550"/>
      <c r="I11" s="1550"/>
      <c r="J11" s="1550"/>
      <c r="K11" s="1550"/>
      <c r="L11" s="1550"/>
      <c r="M11" s="1550"/>
      <c r="N11" s="1550"/>
      <c r="O11" s="1550"/>
      <c r="P11" s="1550"/>
      <c r="Q11" s="1529"/>
      <c r="R11" s="1534"/>
      <c r="S11" s="1535"/>
      <c r="T11" s="1536"/>
      <c r="U11" s="1530"/>
      <c r="V11" s="3448" t="e">
        <f t="shared" si="0"/>
        <v>#DIV/0!</v>
      </c>
    </row>
    <row r="12" spans="1:22">
      <c r="A12" s="2797" t="s">
        <v>2110</v>
      </c>
      <c r="B12" s="1524"/>
      <c r="C12" s="1524"/>
      <c r="D12" s="1524"/>
      <c r="E12" s="1524"/>
      <c r="F12" s="1524"/>
      <c r="G12" s="1550">
        <f>'[113]Bldg cash coll port chky'!G21</f>
        <v>149466</v>
      </c>
      <c r="H12" s="1550">
        <f>'[113]Bldg cash coll port chky'!H21</f>
        <v>0</v>
      </c>
      <c r="I12" s="1550">
        <f>'[113]Bldg cash coll port chky'!I21</f>
        <v>0</v>
      </c>
      <c r="J12" s="1550">
        <f>'[113]Bldg cash coll port chky'!J21</f>
        <v>0</v>
      </c>
      <c r="K12" s="1550">
        <f>'[113]Bldg cash coll port chky'!K21</f>
        <v>149466</v>
      </c>
      <c r="L12" s="1550">
        <f>'[113]Bldg cash coll port chky'!L21</f>
        <v>0</v>
      </c>
      <c r="M12" s="1550">
        <f>'[113]Bldg cash coll port chky'!M21</f>
        <v>0</v>
      </c>
      <c r="N12" s="1550">
        <f>'[113]Bldg cash coll port chky'!N21</f>
        <v>149466</v>
      </c>
      <c r="O12" s="1550">
        <f>'[113]Bldg cash coll port chky'!O21</f>
        <v>0</v>
      </c>
      <c r="P12" s="1551">
        <f>'[113]Bldg cash coll port chky'!P21</f>
        <v>4229.1747999999998</v>
      </c>
      <c r="Q12" s="1529">
        <f>'[113]Bldg cash coll port chky'!Q21</f>
        <v>56084.969799999992</v>
      </c>
      <c r="R12" s="1537">
        <f>'[113]Bldg cash coll port chky'!R21</f>
        <v>80873.744600000005</v>
      </c>
      <c r="S12" s="1535"/>
      <c r="T12" s="1533">
        <f>'[113]Bldg cash coll port chky'!$R$21</f>
        <v>80873.744600000005</v>
      </c>
      <c r="U12" s="1530"/>
      <c r="V12" s="3448">
        <f t="shared" si="0"/>
        <v>2.8295229684342928E-2</v>
      </c>
    </row>
    <row r="13" spans="1:22" hidden="1">
      <c r="A13" s="2797"/>
      <c r="B13" s="1524"/>
      <c r="C13" s="1524"/>
      <c r="D13" s="1524"/>
      <c r="E13" s="1524"/>
      <c r="F13" s="1524"/>
      <c r="G13" s="1550"/>
      <c r="H13" s="1550"/>
      <c r="I13" s="1550"/>
      <c r="J13" s="1550"/>
      <c r="K13" s="1550"/>
      <c r="L13" s="1550"/>
      <c r="M13" s="1550"/>
      <c r="N13" s="1550"/>
      <c r="O13" s="1550"/>
      <c r="P13" s="1550"/>
      <c r="Q13" s="1529"/>
      <c r="R13" s="1534"/>
      <c r="S13" s="1535"/>
      <c r="T13" s="1536"/>
      <c r="U13" s="1530"/>
      <c r="V13" s="3448" t="e">
        <f t="shared" si="0"/>
        <v>#DIV/0!</v>
      </c>
    </row>
    <row r="14" spans="1:22">
      <c r="A14" s="2797" t="s">
        <v>1955</v>
      </c>
      <c r="B14" s="1524"/>
      <c r="C14" s="1524"/>
      <c r="D14" s="1524"/>
      <c r="E14" s="1524"/>
      <c r="F14" s="1524"/>
      <c r="G14" s="1550">
        <f>'[113]Motor vehicle'!G42</f>
        <v>146095852</v>
      </c>
      <c r="H14" s="1550">
        <f>'[113]Motor vehicle'!H42</f>
        <v>0</v>
      </c>
      <c r="I14" s="1550">
        <f>'[113]Motor vehicle'!I42</f>
        <v>0</v>
      </c>
      <c r="J14" s="1550">
        <f>'[113]Motor vehicle'!J42</f>
        <v>0</v>
      </c>
      <c r="K14" s="1550">
        <f>'[113]Motor vehicle'!K42</f>
        <v>146095852</v>
      </c>
      <c r="L14" s="1550">
        <f>'[113]Motor vehicle'!L42</f>
        <v>0</v>
      </c>
      <c r="M14" s="1550">
        <f>'[113]Motor vehicle'!M42</f>
        <v>0</v>
      </c>
      <c r="N14" s="1550">
        <f>'[113]Motor vehicle'!N42</f>
        <v>146095852</v>
      </c>
      <c r="O14" s="1550">
        <f>'[113]Motor vehicle'!O42</f>
        <v>0</v>
      </c>
      <c r="P14" s="1551">
        <f>'[113]Motor vehicle'!P42</f>
        <v>10344899.5875</v>
      </c>
      <c r="Q14" s="1529">
        <f>'[113]Motor vehicle'!Q42</f>
        <v>36426906.449999996</v>
      </c>
      <c r="R14" s="1537">
        <f>'[113]Motor vehicle'!R42</f>
        <v>95498876.137500018</v>
      </c>
      <c r="S14" s="1535"/>
      <c r="T14" s="1533">
        <f>'[113]Motor vehicle'!$R$42</f>
        <v>95498876.137500018</v>
      </c>
      <c r="U14" s="1530"/>
      <c r="V14" s="3448">
        <f t="shared" si="0"/>
        <v>7.0808989070408376E-2</v>
      </c>
    </row>
    <row r="15" spans="1:22" hidden="1">
      <c r="A15" s="2797"/>
      <c r="B15" s="1524"/>
      <c r="C15" s="1524"/>
      <c r="D15" s="1524"/>
      <c r="E15" s="1524"/>
      <c r="F15" s="1524"/>
      <c r="G15" s="1550"/>
      <c r="H15" s="1550"/>
      <c r="I15" s="1550"/>
      <c r="J15" s="1550"/>
      <c r="K15" s="1550"/>
      <c r="L15" s="1550"/>
      <c r="M15" s="1550"/>
      <c r="N15" s="1550"/>
      <c r="O15" s="1550"/>
      <c r="P15" s="1550"/>
      <c r="Q15" s="1529"/>
      <c r="R15" s="1534"/>
      <c r="S15" s="1535"/>
      <c r="T15" s="1536"/>
      <c r="U15" s="1530"/>
      <c r="V15" s="3448" t="e">
        <f t="shared" si="0"/>
        <v>#DIV/0!</v>
      </c>
    </row>
    <row r="16" spans="1:22">
      <c r="A16" s="2797" t="s">
        <v>1956</v>
      </c>
      <c r="B16" s="1524"/>
      <c r="C16" s="1524"/>
      <c r="D16" s="1524"/>
      <c r="E16" s="1524"/>
      <c r="F16" s="1524"/>
      <c r="G16" s="1550">
        <f>'[113]Mach Tools'!G68</f>
        <v>237563872</v>
      </c>
      <c r="H16" s="1550">
        <v>0</v>
      </c>
      <c r="I16" s="1550">
        <f>'[113]Mach Tools'!I68</f>
        <v>101614</v>
      </c>
      <c r="J16" s="1550">
        <f>'[113]Mach Tools'!J68</f>
        <v>0</v>
      </c>
      <c r="K16" s="1550">
        <f>'[113]Mach Tools'!K68</f>
        <v>237462258</v>
      </c>
      <c r="L16" s="1550">
        <f>'[113]Mach Tools'!L68</f>
        <v>0</v>
      </c>
      <c r="M16" s="1550">
        <f>'[113]Mach Tools'!M68</f>
        <v>0</v>
      </c>
      <c r="N16" s="1550">
        <f>'[113]Mach Tools'!N68</f>
        <v>237462258</v>
      </c>
      <c r="O16" s="1550">
        <f>'[113]Mach Tools'!O68</f>
        <v>0</v>
      </c>
      <c r="P16" s="1551">
        <f>'[113]Mach Tools'!P68</f>
        <v>11047734.773999998</v>
      </c>
      <c r="Q16" s="1529">
        <f>'[113]Mach Tools'!Q68</f>
        <v>55369222.5704</v>
      </c>
      <c r="R16" s="1537">
        <f>'[113]Mach Tools'!R68</f>
        <v>91298882.044400021</v>
      </c>
      <c r="S16" s="1535"/>
      <c r="T16" s="1533">
        <f>'[113]Mach Tools'!$R$68</f>
        <v>91298882.044400021</v>
      </c>
      <c r="V16" s="3448">
        <f t="shared" si="0"/>
        <v>4.6514219224108783E-2</v>
      </c>
    </row>
    <row r="17" spans="1:22" hidden="1">
      <c r="A17" s="2797"/>
      <c r="B17" s="1524"/>
      <c r="C17" s="1524"/>
      <c r="D17" s="1524"/>
      <c r="E17" s="1524"/>
      <c r="F17" s="1524"/>
      <c r="G17" s="1550"/>
      <c r="H17" s="1550"/>
      <c r="I17" s="1550"/>
      <c r="J17" s="1550"/>
      <c r="K17" s="1550"/>
      <c r="L17" s="1550"/>
      <c r="M17" s="1550"/>
      <c r="N17" s="1550"/>
      <c r="O17" s="1550"/>
      <c r="P17" s="1551"/>
      <c r="Q17" s="1529"/>
      <c r="R17" s="1537"/>
      <c r="S17" s="1535"/>
      <c r="T17" s="1536"/>
      <c r="V17" s="3448" t="e">
        <f t="shared" si="0"/>
        <v>#DIV/0!</v>
      </c>
    </row>
    <row r="18" spans="1:22">
      <c r="A18" s="2797" t="s">
        <v>1958</v>
      </c>
      <c r="B18" s="1524"/>
      <c r="C18" s="1524"/>
      <c r="D18" s="1524"/>
      <c r="E18" s="1524"/>
      <c r="F18" s="1524"/>
      <c r="G18" s="1550">
        <f>'[113]Furniture '!G47</f>
        <v>23400257</v>
      </c>
      <c r="H18" s="1550">
        <f>'[113]Furniture '!H47</f>
        <v>0</v>
      </c>
      <c r="I18" s="1550">
        <f>'[113]Furniture '!I47</f>
        <v>0</v>
      </c>
      <c r="J18" s="1550">
        <f>'[113]Furniture '!J47</f>
        <v>0</v>
      </c>
      <c r="K18" s="1550">
        <f>'[113]Furniture '!K47</f>
        <v>23400257</v>
      </c>
      <c r="L18" s="1550">
        <f>'[113]Furniture '!L47</f>
        <v>0</v>
      </c>
      <c r="M18" s="1550">
        <f>'[113]Furniture '!M47</f>
        <v>0</v>
      </c>
      <c r="N18" s="1550">
        <f>'[113]Furniture '!N47</f>
        <v>23400257</v>
      </c>
      <c r="O18" s="1550">
        <f>'[113]Furniture '!O47</f>
        <v>0</v>
      </c>
      <c r="P18" s="1551">
        <f>'[113]Furniture '!P47</f>
        <v>1420846.4856</v>
      </c>
      <c r="Q18" s="1529">
        <f>'[113]Furniture '!Q47</f>
        <v>9900421.111200003</v>
      </c>
      <c r="R18" s="1537">
        <f>'[113]Furniture '!R47</f>
        <v>12179890.096799998</v>
      </c>
      <c r="S18" s="1535"/>
      <c r="T18" s="1533">
        <f>'[113]Furniture '!$R$47</f>
        <v>12179890.096799998</v>
      </c>
      <c r="V18" s="3448">
        <f t="shared" si="0"/>
        <v>6.0719268408035008E-2</v>
      </c>
    </row>
    <row r="19" spans="1:22" hidden="1">
      <c r="A19" s="2797"/>
      <c r="B19" s="1524"/>
      <c r="C19" s="1524"/>
      <c r="D19" s="1524"/>
      <c r="E19" s="1524"/>
      <c r="F19" s="1524"/>
      <c r="G19" s="1550"/>
      <c r="H19" s="1550"/>
      <c r="I19" s="1550"/>
      <c r="J19" s="1550"/>
      <c r="K19" s="1550"/>
      <c r="L19" s="1550"/>
      <c r="M19" s="1550"/>
      <c r="N19" s="1550"/>
      <c r="O19" s="1550"/>
      <c r="P19" s="1550"/>
      <c r="Q19" s="1529"/>
      <c r="R19" s="1534"/>
      <c r="S19" s="1535"/>
      <c r="T19" s="1536"/>
      <c r="V19" s="3448" t="e">
        <f t="shared" si="0"/>
        <v>#DIV/0!</v>
      </c>
    </row>
    <row r="20" spans="1:22">
      <c r="A20" s="2797" t="s">
        <v>2090</v>
      </c>
      <c r="B20" s="1524"/>
      <c r="C20" s="1524"/>
      <c r="D20" s="1524"/>
      <c r="E20" s="1524"/>
      <c r="F20" s="1524"/>
      <c r="G20" s="1550">
        <f>'[113]Room A.C.'!G33</f>
        <v>19232674</v>
      </c>
      <c r="H20" s="1550">
        <f>'[113]Room A.C.'!H33</f>
        <v>0</v>
      </c>
      <c r="I20" s="1550">
        <f>'[113]Room A.C.'!I33</f>
        <v>299654</v>
      </c>
      <c r="J20" s="1550">
        <f>'[113]Room A.C.'!J33</f>
        <v>0</v>
      </c>
      <c r="K20" s="1550">
        <f>'[113]Room A.C.'!K33</f>
        <v>18933020</v>
      </c>
      <c r="L20" s="1550">
        <f>'[113]Room A.C.'!L33</f>
        <v>0</v>
      </c>
      <c r="M20" s="1550">
        <f>'[113]Room A.C.'!M33</f>
        <v>0</v>
      </c>
      <c r="N20" s="1550">
        <f>'[113]Room A.C.'!N33</f>
        <v>18933020</v>
      </c>
      <c r="O20" s="1550">
        <f>'[113]Room A.C.'!O33</f>
        <v>0</v>
      </c>
      <c r="P20" s="1551">
        <f>'[113]Room A.C.'!P33</f>
        <v>289442.01</v>
      </c>
      <c r="Q20" s="1529">
        <f>'[113]Room A.C.'!Q33</f>
        <v>948857.73499999999</v>
      </c>
      <c r="R20" s="1537">
        <f>'[113]Room A.C.'!R33</f>
        <v>15535935.545000004</v>
      </c>
      <c r="S20" s="1535"/>
      <c r="T20" s="1533">
        <f>'[113]Room A.C.'!$R$33</f>
        <v>15535935.545000004</v>
      </c>
      <c r="V20" s="3448">
        <f t="shared" si="0"/>
        <v>1.5167653442906083E-2</v>
      </c>
    </row>
    <row r="21" spans="1:22" hidden="1">
      <c r="A21" s="2797"/>
      <c r="B21" s="1524"/>
      <c r="C21" s="1524"/>
      <c r="D21" s="1524"/>
      <c r="E21" s="1524"/>
      <c r="F21" s="1524"/>
      <c r="G21" s="1550"/>
      <c r="H21" s="1550"/>
      <c r="I21" s="1550"/>
      <c r="J21" s="1550"/>
      <c r="K21" s="1550"/>
      <c r="L21" s="1550"/>
      <c r="M21" s="1550"/>
      <c r="N21" s="1550"/>
      <c r="O21" s="1550"/>
      <c r="P21" s="1550"/>
      <c r="Q21" s="1529"/>
      <c r="R21" s="1534"/>
      <c r="S21" s="1535"/>
      <c r="T21" s="1536"/>
      <c r="V21" s="3448" t="e">
        <f t="shared" si="0"/>
        <v>#DIV/0!</v>
      </c>
    </row>
    <row r="22" spans="1:22">
      <c r="A22" s="2797" t="s">
        <v>2091</v>
      </c>
      <c r="B22" s="1524"/>
      <c r="C22" s="1524"/>
      <c r="D22" s="1524"/>
      <c r="E22" s="1524"/>
      <c r="F22" s="1524"/>
      <c r="G22" s="1550">
        <f>[113]P.C.!G28</f>
        <v>171068021</v>
      </c>
      <c r="H22" s="1550">
        <f>[113]P.C.!H28</f>
        <v>12100000</v>
      </c>
      <c r="I22" s="1550">
        <f>[113]P.C.!I28</f>
        <v>1241221</v>
      </c>
      <c r="J22" s="1550">
        <v>0</v>
      </c>
      <c r="K22" s="1550">
        <f>[113]P.C.!K28</f>
        <v>157726800</v>
      </c>
      <c r="L22" s="1550">
        <f>[113]P.C.!L28</f>
        <v>0</v>
      </c>
      <c r="M22" s="1550">
        <f>[113]P.C.!M28</f>
        <v>0</v>
      </c>
      <c r="N22" s="1550">
        <f>[113]P.C.!N28</f>
        <v>157726800</v>
      </c>
      <c r="O22" s="1550">
        <f>[113]P.C.!O28</f>
        <v>0</v>
      </c>
      <c r="P22" s="1551">
        <f>[113]P.C.!P28</f>
        <v>13019131.199999999</v>
      </c>
      <c r="Q22" s="1529">
        <f>[113]P.C.!Q28</f>
        <v>40657922.100000001</v>
      </c>
      <c r="R22" s="1537">
        <f>[113]P.C.!R28</f>
        <v>117516386.10000001</v>
      </c>
      <c r="S22" s="1535"/>
      <c r="T22" s="1533">
        <f>[113]P.C.!$R$28</f>
        <v>117516386.10000001</v>
      </c>
      <c r="V22" s="3448">
        <f t="shared" si="0"/>
        <v>7.9193043007207212E-2</v>
      </c>
    </row>
    <row r="23" spans="1:22" hidden="1">
      <c r="A23" s="2797"/>
      <c r="B23" s="1524"/>
      <c r="C23" s="1524"/>
      <c r="D23" s="1524"/>
      <c r="E23" s="1524"/>
      <c r="F23" s="1524"/>
      <c r="G23" s="1550"/>
      <c r="H23" s="1550"/>
      <c r="I23" s="1550"/>
      <c r="J23" s="1550"/>
      <c r="K23" s="1550"/>
      <c r="L23" s="1550"/>
      <c r="M23" s="1550"/>
      <c r="N23" s="1550"/>
      <c r="O23" s="1550"/>
      <c r="P23" s="1550"/>
      <c r="Q23" s="1529"/>
      <c r="R23" s="1534"/>
      <c r="S23" s="1535"/>
      <c r="T23" s="1536"/>
      <c r="V23" s="3448" t="e">
        <f t="shared" si="0"/>
        <v>#DIV/0!</v>
      </c>
    </row>
    <row r="24" spans="1:22">
      <c r="A24" s="2797" t="s">
        <v>2106</v>
      </c>
      <c r="B24" s="1524"/>
      <c r="C24" s="1524"/>
      <c r="D24" s="1524"/>
      <c r="E24" s="1524"/>
      <c r="F24" s="1524"/>
      <c r="G24" s="1550">
        <f>'[113]Electronic Eqip.OE'!G32</f>
        <v>17259667</v>
      </c>
      <c r="H24" s="1550">
        <f>'[113]Electronic Eqip.OE'!H32</f>
        <v>0</v>
      </c>
      <c r="I24" s="1550">
        <f>'[113]Electronic Eqip.OE'!I32</f>
        <v>0</v>
      </c>
      <c r="J24" s="1550">
        <f>'[113]Electronic Eqip.OE'!J32</f>
        <v>0</v>
      </c>
      <c r="K24" s="1550">
        <f>'[113]Electronic Eqip.OE'!K32</f>
        <v>17259667</v>
      </c>
      <c r="L24" s="1550">
        <f>'[113]Electronic Eqip.OE'!L32</f>
        <v>0</v>
      </c>
      <c r="M24" s="1550">
        <f>'[113]Electronic Eqip.OE'!M32</f>
        <v>0</v>
      </c>
      <c r="N24" s="1550">
        <f>'[113]Electronic Eqip.OE'!N32</f>
        <v>17259667</v>
      </c>
      <c r="O24" s="1550">
        <f>'[113]Electronic Eqip.OE'!O32</f>
        <v>0</v>
      </c>
      <c r="P24" s="1551">
        <f>'[113]Electronic Eqip.OE'!P32</f>
        <v>1983554.7</v>
      </c>
      <c r="Q24" s="1529">
        <f>'[113]Electronic Eqip.OE'!Q32</f>
        <v>7865462.7749999994</v>
      </c>
      <c r="R24" s="1537">
        <f>'[113]Electronic Eqip.OE'!R32</f>
        <v>13481389.574999999</v>
      </c>
      <c r="S24" s="1535"/>
      <c r="T24" s="1533">
        <f>'[113]Electronic Eqip.OE'!$R$32</f>
        <v>13481389.574999999</v>
      </c>
      <c r="V24" s="3448">
        <f t="shared" si="0"/>
        <v>0.11492427403147465</v>
      </c>
    </row>
    <row r="25" spans="1:22" hidden="1">
      <c r="A25" s="2797"/>
      <c r="B25" s="1524"/>
      <c r="C25" s="1524"/>
      <c r="D25" s="1524"/>
      <c r="E25" s="1524"/>
      <c r="F25" s="1524"/>
      <c r="G25" s="1550"/>
      <c r="H25" s="1550"/>
      <c r="I25" s="1550"/>
      <c r="J25" s="1550"/>
      <c r="K25" s="1550"/>
      <c r="L25" s="1550"/>
      <c r="M25" s="1550"/>
      <c r="N25" s="1550"/>
      <c r="O25" s="1550"/>
      <c r="P25" s="1550"/>
      <c r="Q25" s="1529"/>
      <c r="R25" s="1534"/>
      <c r="S25" s="1535"/>
      <c r="T25" s="1536"/>
      <c r="V25" s="3448" t="e">
        <f t="shared" si="0"/>
        <v>#DIV/0!</v>
      </c>
    </row>
    <row r="26" spans="1:22">
      <c r="A26" s="2797" t="s">
        <v>2104</v>
      </c>
      <c r="B26" s="1524"/>
      <c r="C26" s="1524"/>
      <c r="D26" s="1524"/>
      <c r="E26" s="1524"/>
      <c r="F26" s="1524"/>
      <c r="G26" s="1550">
        <f>'[113]Electonic Eqp sep M.T.'!G31</f>
        <v>17110545</v>
      </c>
      <c r="H26" s="1550">
        <f>'[113]Electonic Eqp sep M.T.'!H31</f>
        <v>0</v>
      </c>
      <c r="I26" s="1550">
        <f>'[113]Electonic Eqp sep M.T.'!I31</f>
        <v>0</v>
      </c>
      <c r="J26" s="1550">
        <f>'[113]Electonic Eqp sep M.T.'!J31</f>
        <v>0</v>
      </c>
      <c r="K26" s="1550">
        <f>'[113]Electonic Eqp sep M.T.'!K31</f>
        <v>17110545</v>
      </c>
      <c r="L26" s="1550">
        <f>'[113]Electonic Eqp sep M.T.'!L31</f>
        <v>0</v>
      </c>
      <c r="M26" s="1550">
        <f>'[113]Electonic Eqp sep M.T.'!M31</f>
        <v>0</v>
      </c>
      <c r="N26" s="1550">
        <f>'[113]Electonic Eqp sep M.T.'!N31</f>
        <v>17110545</v>
      </c>
      <c r="O26" s="1550">
        <f>'[113]Electonic Eqp sep M.T.'!O31</f>
        <v>0</v>
      </c>
      <c r="P26" s="1551">
        <f>'[113]Electonic Eqp sep M.T.'!P31</f>
        <v>1166940.75</v>
      </c>
      <c r="Q26" s="1529">
        <f>'[113]Electonic Eqp sep M.T.'!Q31</f>
        <v>3563729.3249999997</v>
      </c>
      <c r="R26" s="1537">
        <f>'[113]Electonic Eqp sep M.T.'!R31</f>
        <v>13128516.075000001</v>
      </c>
      <c r="S26" s="1535"/>
      <c r="T26" s="1533">
        <f>'[113]Electonic Eqp sep M.T.'!$R$31</f>
        <v>13128516.075000001</v>
      </c>
      <c r="V26" s="3448">
        <f t="shared" si="0"/>
        <v>6.8200092399160875E-2</v>
      </c>
    </row>
    <row r="27" spans="1:22" hidden="1">
      <c r="A27" s="2797"/>
      <c r="B27" s="1524"/>
      <c r="C27" s="1524"/>
      <c r="D27" s="1524"/>
      <c r="E27" s="1524"/>
      <c r="F27" s="1524"/>
      <c r="G27" s="1550"/>
      <c r="H27" s="1550"/>
      <c r="I27" s="1550"/>
      <c r="J27" s="1550"/>
      <c r="K27" s="1550"/>
      <c r="L27" s="1550"/>
      <c r="M27" s="1550"/>
      <c r="N27" s="1550"/>
      <c r="O27" s="1550"/>
      <c r="P27" s="1550"/>
      <c r="Q27" s="1529"/>
      <c r="R27" s="1534"/>
      <c r="S27" s="1535"/>
      <c r="T27" s="1536"/>
      <c r="V27" s="3448" t="e">
        <f t="shared" si="0"/>
        <v>#DIV/0!</v>
      </c>
    </row>
    <row r="28" spans="1:22">
      <c r="A28" s="2797" t="s">
        <v>2107</v>
      </c>
      <c r="B28" s="1524"/>
      <c r="C28" s="1524"/>
      <c r="D28" s="1524"/>
      <c r="E28" s="1524"/>
      <c r="F28" s="1524"/>
      <c r="G28" s="1550">
        <f>'[113]Cyclostyle mach'!G25</f>
        <v>1434612</v>
      </c>
      <c r="H28" s="1550">
        <f>'[113]Cyclostyle mach'!H25</f>
        <v>0</v>
      </c>
      <c r="I28" s="1550">
        <f>'[113]Cyclostyle mach'!I25</f>
        <v>0</v>
      </c>
      <c r="J28" s="1550">
        <f>'[113]Cyclostyle mach'!J25</f>
        <v>0</v>
      </c>
      <c r="K28" s="1550">
        <f>'[113]Cyclostyle mach'!K25</f>
        <v>1434612</v>
      </c>
      <c r="L28" s="1550">
        <f>'[113]Cyclostyle mach'!L25</f>
        <v>0</v>
      </c>
      <c r="M28" s="1550">
        <f>'[113]Cyclostyle mach'!M25</f>
        <v>0</v>
      </c>
      <c r="N28" s="1550">
        <f>'[113]Cyclostyle mach'!N25</f>
        <v>1434612</v>
      </c>
      <c r="O28" s="1550">
        <f>'[113]Cyclostyle mach'!O25</f>
        <v>0</v>
      </c>
      <c r="P28" s="1551">
        <f>'[113]Cyclostyle mach'!P25</f>
        <v>87807.510000000009</v>
      </c>
      <c r="Q28" s="1529">
        <f>'[113]Cyclostyle mach'!Q25</f>
        <v>422140.14</v>
      </c>
      <c r="R28" s="1537">
        <f>'[113]Cyclostyle mach'!R25</f>
        <v>936436.05</v>
      </c>
      <c r="S28" s="1535"/>
      <c r="T28" s="1533">
        <f>'[113]Cyclostyle mach'!$R$25</f>
        <v>936436.05</v>
      </c>
      <c r="V28" s="3448">
        <f t="shared" si="0"/>
        <v>6.120645163988591E-2</v>
      </c>
    </row>
    <row r="29" spans="1:22" hidden="1">
      <c r="A29" s="2797"/>
      <c r="B29" s="1524"/>
      <c r="C29" s="1524"/>
      <c r="D29" s="1524"/>
      <c r="E29" s="1524"/>
      <c r="F29" s="1524"/>
      <c r="G29" s="1550"/>
      <c r="H29" s="1550"/>
      <c r="I29" s="1550"/>
      <c r="J29" s="1550"/>
      <c r="K29" s="1550"/>
      <c r="L29" s="1550"/>
      <c r="M29" s="1550"/>
      <c r="N29" s="1550"/>
      <c r="O29" s="1550"/>
      <c r="P29" s="1551"/>
      <c r="Q29" s="1529"/>
      <c r="R29" s="1537"/>
      <c r="S29" s="1535"/>
      <c r="T29" s="1536"/>
      <c r="V29" s="3448" t="e">
        <f t="shared" si="0"/>
        <v>#DIV/0!</v>
      </c>
    </row>
    <row r="30" spans="1:22">
      <c r="A30" s="2797" t="s">
        <v>2099</v>
      </c>
      <c r="B30" s="1524"/>
      <c r="C30" s="1524"/>
      <c r="D30" s="1524"/>
      <c r="E30" s="1524"/>
      <c r="F30" s="1524"/>
      <c r="G30" s="1550">
        <f>'[113]CABLE &amp; MAINS'!G61</f>
        <v>6198998243</v>
      </c>
      <c r="H30" s="1550">
        <f>'[113]CABLE &amp; MAINS'!H61</f>
        <v>1350000</v>
      </c>
      <c r="I30" s="1550">
        <f>'[113]CABLE &amp; MAINS'!I61</f>
        <v>3277689</v>
      </c>
      <c r="J30" s="1550">
        <f>'[113]CABLE &amp; MAINS'!J61</f>
        <v>0</v>
      </c>
      <c r="K30" s="1550">
        <f>'[113]CABLE &amp; MAINS'!K61</f>
        <v>6194370554</v>
      </c>
      <c r="L30" s="1550">
        <f>'[113]CABLE &amp; MAINS'!L61</f>
        <v>175078000</v>
      </c>
      <c r="M30" s="1550">
        <f>'[113]CABLE &amp; MAINS'!M61</f>
        <v>648320217</v>
      </c>
      <c r="N30" s="1550">
        <f>'[113]CABLE &amp; MAINS'!N61</f>
        <v>5370972337</v>
      </c>
      <c r="O30" s="1550">
        <f>'[113]CABLE &amp; MAINS'!O61</f>
        <v>0</v>
      </c>
      <c r="P30" s="1551">
        <f>'[113]CABLE &amp; MAINS'!P61</f>
        <v>275394834.53369999</v>
      </c>
      <c r="Q30" s="1529">
        <f>'[113]CABLE &amp; MAINS'!Q61</f>
        <v>1415468130.6014998</v>
      </c>
      <c r="R30" s="1532">
        <f>'[113]CABLE &amp; MAINS'!R61</f>
        <v>1782399889.7351999</v>
      </c>
      <c r="S30" s="1531"/>
      <c r="T30" s="1533">
        <f>'[113]CABLE &amp; MAINS'!$R$61</f>
        <v>1782399889.7351999</v>
      </c>
      <c r="U30" s="1518">
        <f>G30-H30-I30-L30-M30</f>
        <v>5370972337</v>
      </c>
      <c r="V30" s="3448">
        <f t="shared" si="0"/>
        <v>4.7605105411374346E-2</v>
      </c>
    </row>
    <row r="31" spans="1:22" hidden="1">
      <c r="A31" s="2797"/>
      <c r="B31" s="1524"/>
      <c r="C31" s="1524"/>
      <c r="D31" s="1524"/>
      <c r="E31" s="1524"/>
      <c r="F31" s="1524"/>
      <c r="G31" s="1550"/>
      <c r="H31" s="1550"/>
      <c r="I31" s="1550"/>
      <c r="J31" s="1550"/>
      <c r="K31" s="1550"/>
      <c r="L31" s="1550"/>
      <c r="M31" s="1550"/>
      <c r="N31" s="1550"/>
      <c r="O31" s="1550"/>
      <c r="P31" s="1551"/>
      <c r="Q31" s="1529"/>
      <c r="R31" s="1537"/>
      <c r="S31" s="1535"/>
      <c r="T31" s="1536"/>
      <c r="V31" s="3448" t="e">
        <f t="shared" si="0"/>
        <v>#DIV/0!</v>
      </c>
    </row>
    <row r="32" spans="1:22">
      <c r="A32" s="2797" t="s">
        <v>2100</v>
      </c>
      <c r="B32" s="1524"/>
      <c r="C32" s="1524"/>
      <c r="D32" s="1524"/>
      <c r="E32" s="1524"/>
      <c r="F32" s="1524"/>
      <c r="G32" s="1550">
        <f>'[113]DIST PILLARS'!G33</f>
        <v>251608194</v>
      </c>
      <c r="H32" s="1550">
        <f>'[113]DIST PILLARS'!H33</f>
        <v>0</v>
      </c>
      <c r="I32" s="1550">
        <f>'[113]DIST PILLARS'!I33</f>
        <v>2923000</v>
      </c>
      <c r="J32" s="1550">
        <f>'[113]DIST PILLARS'!J33</f>
        <v>0</v>
      </c>
      <c r="K32" s="1550">
        <f>'[113]DIST PILLARS'!K33</f>
        <v>248685194</v>
      </c>
      <c r="L32" s="1550">
        <f>'[113]DIST PILLARS'!L33</f>
        <v>7177000</v>
      </c>
      <c r="M32" s="1550">
        <f>'[113]DIST PILLARS'!M33</f>
        <v>0</v>
      </c>
      <c r="N32" s="1550">
        <f>'[113]DIST PILLARS'!N33</f>
        <v>241508194</v>
      </c>
      <c r="O32" s="1550">
        <f>'[113]DIST PILLARS'!O33</f>
        <v>0</v>
      </c>
      <c r="P32" s="1551">
        <f>'[113]DIST PILLARS'!P33</f>
        <v>12014103.560999999</v>
      </c>
      <c r="Q32" s="1529">
        <f>'[113]DIST PILLARS'!Q33</f>
        <v>71978017.009799987</v>
      </c>
      <c r="R32" s="1537">
        <f>'[113]DIST PILLARS'!R33</f>
        <v>95117079.070799991</v>
      </c>
      <c r="S32" s="1535"/>
      <c r="T32" s="1533">
        <f>'[113]DIST PILLARS'!$R$33</f>
        <v>95117079.070799991</v>
      </c>
      <c r="V32" s="3448">
        <f t="shared" si="0"/>
        <v>4.8727253254458862E-2</v>
      </c>
    </row>
    <row r="33" spans="1:24" hidden="1">
      <c r="A33" s="2797"/>
      <c r="B33" s="1524"/>
      <c r="C33" s="1524"/>
      <c r="D33" s="1524"/>
      <c r="E33" s="1524"/>
      <c r="F33" s="1524"/>
      <c r="G33" s="1550"/>
      <c r="H33" s="1550"/>
      <c r="I33" s="1550"/>
      <c r="J33" s="1550"/>
      <c r="K33" s="1550"/>
      <c r="L33" s="1550"/>
      <c r="M33" s="1550"/>
      <c r="N33" s="1550"/>
      <c r="O33" s="1550"/>
      <c r="P33" s="1551"/>
      <c r="Q33" s="1529"/>
      <c r="R33" s="1537"/>
      <c r="S33" s="1535"/>
      <c r="T33" s="1536"/>
      <c r="V33" s="3448" t="e">
        <f t="shared" si="0"/>
        <v>#DIV/0!</v>
      </c>
    </row>
    <row r="34" spans="1:24">
      <c r="A34" s="2797" t="s">
        <v>2111</v>
      </c>
      <c r="B34" s="1524"/>
      <c r="C34" s="1524"/>
      <c r="D34" s="1524"/>
      <c r="E34" s="1524"/>
      <c r="F34" s="1524"/>
      <c r="G34" s="1550">
        <f>'[113]ST LTG LAMPS'!G51</f>
        <v>450348667</v>
      </c>
      <c r="H34" s="1550">
        <f>'[113]ST LTG LAMPS'!H51</f>
        <v>1350000</v>
      </c>
      <c r="I34" s="1550">
        <f>'[113]ST LTG LAMPS'!I51</f>
        <v>0</v>
      </c>
      <c r="J34" s="1550">
        <f>'[113]ST LTG LAMPS'!J51</f>
        <v>0</v>
      </c>
      <c r="K34" s="1550">
        <f>'[113]ST LTG LAMPS'!K51</f>
        <v>448998667</v>
      </c>
      <c r="L34" s="1550">
        <f>'[113]ST LTG LAMPS'!L51</f>
        <v>0</v>
      </c>
      <c r="M34" s="1550">
        <f>'[113]ST LTG LAMPS'!M51</f>
        <v>0</v>
      </c>
      <c r="N34" s="1550">
        <f>'[113]ST LTG LAMPS'!N51</f>
        <v>448998667</v>
      </c>
      <c r="O34" s="1550">
        <f>'[113]ST LTG LAMPS'!O51</f>
        <v>0</v>
      </c>
      <c r="P34" s="1551">
        <f>'[113]ST LTG LAMPS'!P51</f>
        <v>14147343.009599997</v>
      </c>
      <c r="Q34" s="1529">
        <f>'[113]ST LTG LAMPS'!Q51</f>
        <v>138984537.86160001</v>
      </c>
      <c r="R34" s="1537">
        <f>'[113]ST LTG LAMPS'!R51</f>
        <v>321596034.57120013</v>
      </c>
      <c r="S34" s="1535"/>
      <c r="T34" s="1533">
        <f>'[113]ST LTG LAMPS'!$R$51</f>
        <v>321596034.57120013</v>
      </c>
      <c r="V34" s="3448">
        <f t="shared" si="0"/>
        <v>3.1461355306802961E-2</v>
      </c>
    </row>
    <row r="35" spans="1:24" hidden="1">
      <c r="A35" s="2797"/>
      <c r="B35" s="1524"/>
      <c r="C35" s="1524"/>
      <c r="D35" s="1524"/>
      <c r="E35" s="1524"/>
      <c r="F35" s="1524"/>
      <c r="G35" s="1550"/>
      <c r="H35" s="1550"/>
      <c r="I35" s="1550"/>
      <c r="J35" s="1550"/>
      <c r="K35" s="1550"/>
      <c r="L35" s="1550"/>
      <c r="M35" s="1550"/>
      <c r="N35" s="1550"/>
      <c r="O35" s="1550"/>
      <c r="P35" s="1551"/>
      <c r="Q35" s="1529"/>
      <c r="R35" s="1537"/>
      <c r="S35" s="1535"/>
      <c r="T35" s="1536"/>
      <c r="V35" s="3448" t="e">
        <f t="shared" si="0"/>
        <v>#DIV/0!</v>
      </c>
    </row>
    <row r="36" spans="1:24">
      <c r="A36" s="2797" t="s">
        <v>2112</v>
      </c>
      <c r="B36" s="1524"/>
      <c r="C36" s="1524"/>
      <c r="D36" s="1524"/>
      <c r="E36" s="1524"/>
      <c r="F36" s="1524"/>
      <c r="G36" s="1550">
        <f>'[113]METERS CONVN'!G35</f>
        <v>710865187</v>
      </c>
      <c r="H36" s="1550">
        <f>'[113]METERS CONVN'!H35</f>
        <v>0</v>
      </c>
      <c r="I36" s="1550">
        <f>'[113]METERS CONVN'!I35</f>
        <v>0</v>
      </c>
      <c r="J36" s="1550">
        <f>'[113]METERS CONVN'!J35</f>
        <v>0</v>
      </c>
      <c r="K36" s="1550">
        <f>'[113]METERS CONVN'!K35</f>
        <v>710865187</v>
      </c>
      <c r="L36" s="1550">
        <f>'[113]METERS CONVN'!L35</f>
        <v>50225000</v>
      </c>
      <c r="M36" s="1550">
        <f>'[113]METERS CONVN'!M35</f>
        <v>0</v>
      </c>
      <c r="N36" s="1550">
        <f>'[113]METERS CONVN'!N35</f>
        <v>660640187</v>
      </c>
      <c r="O36" s="1550">
        <f>'[113]METERS CONVN'!O35</f>
        <v>0</v>
      </c>
      <c r="P36" s="1551">
        <f>'[113]METERS CONVN'!P35</f>
        <v>17093615.5656</v>
      </c>
      <c r="Q36" s="1529">
        <f>'[113]METERS CONVN'!Q35</f>
        <v>190923861.34559998</v>
      </c>
      <c r="R36" s="1537">
        <f>'[113]METERS CONVN'!R35</f>
        <v>521560377.81120008</v>
      </c>
      <c r="S36" s="1535"/>
      <c r="T36" s="1533">
        <f>'[113]METERS CONVN'!$R$35</f>
        <v>521560377.81120008</v>
      </c>
      <c r="V36" s="3448">
        <f t="shared" si="0"/>
        <v>2.4926793419330781E-2</v>
      </c>
    </row>
    <row r="37" spans="1:24" hidden="1">
      <c r="A37" s="2797"/>
      <c r="B37" s="1524"/>
      <c r="C37" s="1524"/>
      <c r="D37" s="1524"/>
      <c r="E37" s="1524"/>
      <c r="F37" s="1524"/>
      <c r="G37" s="1550"/>
      <c r="H37" s="1550"/>
      <c r="I37" s="1550"/>
      <c r="J37" s="1550"/>
      <c r="K37" s="1550"/>
      <c r="L37" s="1550"/>
      <c r="M37" s="1550"/>
      <c r="N37" s="1550"/>
      <c r="O37" s="1550"/>
      <c r="P37" s="1551"/>
      <c r="Q37" s="1529"/>
      <c r="R37" s="1537"/>
      <c r="S37" s="1535"/>
      <c r="T37" s="1536"/>
      <c r="V37" s="3448" t="e">
        <f t="shared" si="0"/>
        <v>#DIV/0!</v>
      </c>
    </row>
    <row r="38" spans="1:24">
      <c r="A38" s="2797" t="s">
        <v>2102</v>
      </c>
      <c r="B38" s="1524"/>
      <c r="C38" s="1524"/>
      <c r="D38" s="1524"/>
      <c r="E38" s="1524"/>
      <c r="F38" s="1524"/>
      <c r="G38" s="1550">
        <f>'[113]METERS ELECT'!G26</f>
        <v>1302182412</v>
      </c>
      <c r="H38" s="1550">
        <f>'[113]METERS ELECT'!H26</f>
        <v>22500000</v>
      </c>
      <c r="I38" s="1550">
        <f>'[113]METERS ELECT'!I26</f>
        <v>0</v>
      </c>
      <c r="J38" s="1550">
        <f>'[113]METERS ELECT'!J26</f>
        <v>0</v>
      </c>
      <c r="K38" s="1550">
        <f>'[113]METERS ELECT'!K26</f>
        <v>1279682412</v>
      </c>
      <c r="L38" s="1550">
        <f>'[113]METERS ELECT'!L26</f>
        <v>74225000</v>
      </c>
      <c r="M38" s="1550">
        <f>'[113]METERS ELECT'!M26</f>
        <v>0</v>
      </c>
      <c r="N38" s="1550">
        <f>'[113]METERS ELECT'!N26</f>
        <v>1205457412</v>
      </c>
      <c r="O38" s="1550">
        <f>'[113]METERS ELECT'!O26</f>
        <v>0</v>
      </c>
      <c r="P38" s="1551">
        <f>'[113]METERS ELECT'!P26</f>
        <v>131652779.24250001</v>
      </c>
      <c r="Q38" s="1529">
        <f>'[113]METERS ELECT'!Q26</f>
        <v>474358811.6624999</v>
      </c>
      <c r="R38" s="1537">
        <f>'[113]METERS ELECT'!R26</f>
        <v>607259206.005</v>
      </c>
      <c r="S38" s="1535"/>
      <c r="T38" s="1533">
        <f>'[113]METERS ELECT'!$R$26</f>
        <v>607259206.005</v>
      </c>
      <c r="V38" s="3448">
        <f t="shared" si="0"/>
        <v>0.10500134667066925</v>
      </c>
    </row>
    <row r="39" spans="1:24" hidden="1">
      <c r="A39" s="2797"/>
      <c r="B39" s="1524"/>
      <c r="C39" s="1524"/>
      <c r="D39" s="1524"/>
      <c r="E39" s="1524"/>
      <c r="F39" s="1524"/>
      <c r="G39" s="1550"/>
      <c r="H39" s="1550"/>
      <c r="I39" s="1550"/>
      <c r="J39" s="1550"/>
      <c r="K39" s="1550"/>
      <c r="L39" s="1550"/>
      <c r="M39" s="1550"/>
      <c r="N39" s="1550"/>
      <c r="O39" s="1550"/>
      <c r="P39" s="1551"/>
      <c r="Q39" s="1529"/>
      <c r="R39" s="1537"/>
      <c r="S39" s="1535"/>
      <c r="T39" s="1536"/>
      <c r="V39" s="3448" t="e">
        <f t="shared" si="0"/>
        <v>#DIV/0!</v>
      </c>
    </row>
    <row r="40" spans="1:24">
      <c r="A40" s="2797" t="s">
        <v>2113</v>
      </c>
      <c r="B40" s="1524"/>
      <c r="C40" s="1524"/>
      <c r="D40" s="1524"/>
      <c r="E40" s="1524"/>
      <c r="F40" s="1524"/>
      <c r="G40" s="1550">
        <f>'[113]BUSINESS PROC AUTO'!G12</f>
        <v>446717774</v>
      </c>
      <c r="H40" s="1550">
        <f>'[113]BUSINESS PROC AUTO'!H12</f>
        <v>0</v>
      </c>
      <c r="I40" s="1550">
        <f>'[113]BUSINESS PROC AUTO'!I12</f>
        <v>0</v>
      </c>
      <c r="J40" s="1550">
        <f>'[113]BUSINESS PROC AUTO'!J12</f>
        <v>0</v>
      </c>
      <c r="K40" s="1550">
        <f>'[113]BUSINESS PROC AUTO'!K12</f>
        <v>446717774</v>
      </c>
      <c r="L40" s="1550">
        <f>'[113]BUSINESS PROC AUTO'!L12</f>
        <v>0</v>
      </c>
      <c r="M40" s="1550">
        <f>'[113]BUSINESS PROC AUTO'!M12</f>
        <v>0</v>
      </c>
      <c r="N40" s="1550">
        <f>'[113]BUSINESS PROC AUTO'!N12</f>
        <v>446717774</v>
      </c>
      <c r="O40" s="1550">
        <f>'[113]BUSINESS PROC AUTO'!O12</f>
        <v>0</v>
      </c>
      <c r="P40" s="1551">
        <f>'[113]BUSINESS PROC AUTO'!P12</f>
        <v>67007666.099999994</v>
      </c>
      <c r="Q40" s="1529">
        <f>'[113]BUSINESS PROC AUTO'!Q12</f>
        <v>160054908.30000001</v>
      </c>
      <c r="R40" s="1537">
        <f>'[113]BUSINESS PROC AUTO'!R12</f>
        <v>227062574.40000001</v>
      </c>
      <c r="S40" s="1535"/>
      <c r="T40" s="1533">
        <f>'[113]BUSINESS PROC AUTO'!$R$12</f>
        <v>227062574.40000001</v>
      </c>
      <c r="V40" s="3448">
        <f t="shared" si="0"/>
        <v>0.15</v>
      </c>
    </row>
    <row r="41" spans="1:24" hidden="1">
      <c r="A41" s="2797"/>
      <c r="B41" s="1524"/>
      <c r="C41" s="1524"/>
      <c r="D41" s="1524"/>
      <c r="E41" s="1524"/>
      <c r="F41" s="1524"/>
      <c r="G41" s="1550"/>
      <c r="H41" s="1550"/>
      <c r="I41" s="1550"/>
      <c r="J41" s="1550"/>
      <c r="K41" s="1550"/>
      <c r="L41" s="1550"/>
      <c r="M41" s="1550"/>
      <c r="N41" s="1550"/>
      <c r="O41" s="1550"/>
      <c r="P41" s="1551"/>
      <c r="Q41" s="1529"/>
      <c r="R41" s="1537"/>
      <c r="S41" s="1535"/>
      <c r="T41" s="1536"/>
      <c r="V41" s="3448" t="e">
        <f t="shared" si="0"/>
        <v>#DIV/0!</v>
      </c>
    </row>
    <row r="42" spans="1:24">
      <c r="A42" s="2797" t="s">
        <v>2096</v>
      </c>
      <c r="B42" s="1524"/>
      <c r="C42" s="1524"/>
      <c r="D42" s="1524"/>
      <c r="E42" s="1524"/>
      <c r="F42" s="1524"/>
      <c r="G42" s="1550">
        <f>[113]SWICHGR!G58</f>
        <v>4789388028</v>
      </c>
      <c r="H42" s="1550">
        <f>[113]SWICHGR!H58</f>
        <v>0</v>
      </c>
      <c r="I42" s="1550">
        <f>[113]SWICHGR!I58</f>
        <v>26580503</v>
      </c>
      <c r="J42" s="1550">
        <f>[113]SWICHGR!J58</f>
        <v>0</v>
      </c>
      <c r="K42" s="1550">
        <f>[113]SWICHGR!K58</f>
        <v>4762807525</v>
      </c>
      <c r="L42" s="1550">
        <f>[113]SWICHGR!L58</f>
        <v>241063000</v>
      </c>
      <c r="M42" s="1550">
        <f>[113]SWICHGR!M58</f>
        <v>0</v>
      </c>
      <c r="N42" s="1550">
        <f>[113]SWICHGR!N58</f>
        <v>4521744525</v>
      </c>
      <c r="O42" s="1550">
        <f>[113]SWICHGR!O58</f>
        <v>0</v>
      </c>
      <c r="P42" s="1551">
        <f>[113]SWICHGR!P58</f>
        <v>192491363.38079998</v>
      </c>
      <c r="Q42" s="1529">
        <f>[113]SWICHGR!Q58</f>
        <v>1204989518.1336</v>
      </c>
      <c r="R42" s="1537">
        <f>[113]SWICHGR!R58</f>
        <v>2185948169.1143999</v>
      </c>
      <c r="S42" s="1535"/>
      <c r="T42" s="1533">
        <f>[113]SWICHGR!$R$58</f>
        <v>2185948169.1143999</v>
      </c>
      <c r="V42" s="3448">
        <f t="shared" si="0"/>
        <v>4.1346498352400798E-2</v>
      </c>
      <c r="X42" s="3449"/>
    </row>
    <row r="43" spans="1:24" hidden="1">
      <c r="A43" s="2797"/>
      <c r="B43" s="1524"/>
      <c r="C43" s="1524"/>
      <c r="D43" s="1524"/>
      <c r="E43" s="1524"/>
      <c r="F43" s="1524"/>
      <c r="G43" s="1550"/>
      <c r="H43" s="1550"/>
      <c r="I43" s="1550"/>
      <c r="J43" s="1550"/>
      <c r="K43" s="1550"/>
      <c r="L43" s="1550"/>
      <c r="M43" s="1550"/>
      <c r="N43" s="1550"/>
      <c r="O43" s="1550"/>
      <c r="P43" s="1551"/>
      <c r="Q43" s="1529"/>
      <c r="R43" s="1537"/>
      <c r="S43" s="1535"/>
      <c r="T43" s="1536"/>
      <c r="V43" s="3448" t="e">
        <f t="shared" si="0"/>
        <v>#DIV/0!</v>
      </c>
    </row>
    <row r="44" spans="1:24">
      <c r="A44" s="2797" t="s">
        <v>1951</v>
      </c>
      <c r="B44" s="1524"/>
      <c r="C44" s="1524"/>
      <c r="D44" s="1524"/>
      <c r="E44" s="1524"/>
      <c r="F44" s="1524"/>
      <c r="G44" s="1550">
        <f>[113]Transformer!G74</f>
        <v>3190039346.3499999</v>
      </c>
      <c r="H44" s="1550">
        <f>[113]Transformer!H74</f>
        <v>0</v>
      </c>
      <c r="I44" s="1550">
        <f>[113]Transformer!I74</f>
        <v>9328192</v>
      </c>
      <c r="J44" s="1550">
        <f>[113]Transformer!J74</f>
        <v>0</v>
      </c>
      <c r="K44" s="1550">
        <f>[113]Transformer!K74</f>
        <v>3180711154.3499999</v>
      </c>
      <c r="L44" s="1550">
        <f>[113]Transformer!L74</f>
        <v>145781500</v>
      </c>
      <c r="M44" s="1550">
        <f>[113]Transformer!M74</f>
        <v>0</v>
      </c>
      <c r="N44" s="1550">
        <f>[113]Transformer!N74</f>
        <v>3034929654.3499999</v>
      </c>
      <c r="O44" s="1550">
        <f>[113]Transformer!O74</f>
        <v>0</v>
      </c>
      <c r="P44" s="1551">
        <f>[113]Transformer!P74</f>
        <v>158839504.154396</v>
      </c>
      <c r="Q44" s="1529">
        <f>[113]Transformer!Q74</f>
        <v>845598908.52534389</v>
      </c>
      <c r="R44" s="1537">
        <f>[113]Transformer!R74</f>
        <v>1014143678.80674</v>
      </c>
      <c r="S44" s="1535"/>
      <c r="T44" s="1533">
        <f>[113]Transformer!$R$74</f>
        <v>1014143678.80674</v>
      </c>
      <c r="V44" s="3448">
        <f t="shared" si="0"/>
        <v>5.1033026553717602E-2</v>
      </c>
      <c r="X44" s="3449"/>
    </row>
    <row r="45" spans="1:24" hidden="1">
      <c r="A45" s="2797"/>
      <c r="B45" s="1524"/>
      <c r="C45" s="1524"/>
      <c r="D45" s="1524"/>
      <c r="E45" s="1524"/>
      <c r="F45" s="1524"/>
      <c r="G45" s="1550"/>
      <c r="H45" s="1550"/>
      <c r="I45" s="1550"/>
      <c r="J45" s="1550"/>
      <c r="K45" s="1550"/>
      <c r="L45" s="1550"/>
      <c r="M45" s="1550"/>
      <c r="N45" s="1550"/>
      <c r="O45" s="1550"/>
      <c r="P45" s="1551"/>
      <c r="Q45" s="1529"/>
      <c r="R45" s="1537"/>
      <c r="S45" s="1535"/>
      <c r="T45" s="1536"/>
      <c r="V45" s="3448" t="e">
        <f t="shared" si="0"/>
        <v>#DIV/0!</v>
      </c>
    </row>
    <row r="46" spans="1:24">
      <c r="A46" s="2797" t="s">
        <v>428</v>
      </c>
      <c r="B46" s="1524"/>
      <c r="C46" s="1524"/>
      <c r="D46" s="1524"/>
      <c r="E46" s="1524"/>
      <c r="F46" s="1524"/>
      <c r="G46" s="1550">
        <f>[113]Scada!G21</f>
        <v>416948754</v>
      </c>
      <c r="H46" s="1550">
        <f>[113]Scada!H21</f>
        <v>0</v>
      </c>
      <c r="I46" s="1550">
        <f>[113]Scada!I21</f>
        <v>0</v>
      </c>
      <c r="J46" s="1550">
        <f>[113]Scada!J21</f>
        <v>0</v>
      </c>
      <c r="K46" s="1550">
        <f>[113]Scada!K21</f>
        <v>416948754</v>
      </c>
      <c r="L46" s="1550">
        <f>[113]Scada!L21</f>
        <v>0</v>
      </c>
      <c r="M46" s="1550">
        <f>[113]Scada!M21</f>
        <v>0</v>
      </c>
      <c r="N46" s="1550">
        <f>[113]Scada!N21</f>
        <v>416948754</v>
      </c>
      <c r="O46" s="1550">
        <f>[113]Scada!O21</f>
        <v>0</v>
      </c>
      <c r="P46" s="1551">
        <f>[113]Scada!P21</f>
        <v>37678562.099999994</v>
      </c>
      <c r="Q46" s="1529">
        <f>[113]Scada!Q21</f>
        <v>52208222.024999999</v>
      </c>
      <c r="R46" s="1537">
        <f>[113]Scada!R21</f>
        <v>219747312.52500001</v>
      </c>
      <c r="S46" s="1535"/>
      <c r="T46" s="1533">
        <f>[113]Scada!$R$21</f>
        <v>219747312.52500001</v>
      </c>
      <c r="V46" s="3448">
        <f t="shared" si="0"/>
        <v>9.0367369463346559E-2</v>
      </c>
    </row>
    <row r="47" spans="1:24" hidden="1">
      <c r="A47" s="2797"/>
      <c r="B47" s="1524"/>
      <c r="C47" s="1524"/>
      <c r="D47" s="1524"/>
      <c r="E47" s="1524"/>
      <c r="F47" s="1524"/>
      <c r="G47" s="1550"/>
      <c r="H47" s="1550"/>
      <c r="I47" s="1550"/>
      <c r="J47" s="1550"/>
      <c r="K47" s="1550"/>
      <c r="L47" s="1550"/>
      <c r="M47" s="1550"/>
      <c r="N47" s="1550"/>
      <c r="O47" s="1550"/>
      <c r="P47" s="1551"/>
      <c r="Q47" s="1529"/>
      <c r="R47" s="1537"/>
      <c r="S47" s="1535"/>
      <c r="T47" s="1536"/>
      <c r="V47" s="3448" t="e">
        <f t="shared" si="0"/>
        <v>#DIV/0!</v>
      </c>
    </row>
    <row r="48" spans="1:24">
      <c r="A48" s="2797" t="s">
        <v>1953</v>
      </c>
      <c r="B48" s="1524"/>
      <c r="C48" s="1524"/>
      <c r="D48" s="1524"/>
      <c r="E48" s="1524"/>
      <c r="F48" s="1524"/>
      <c r="G48" s="1550">
        <f>[113]Batteries!G33</f>
        <v>64269317</v>
      </c>
      <c r="H48" s="1550">
        <f>[113]Batteries!H33</f>
        <v>0</v>
      </c>
      <c r="I48" s="1550">
        <f>[113]Batteries!I33</f>
        <v>0</v>
      </c>
      <c r="J48" s="1550">
        <f>[113]Batteries!J33</f>
        <v>0</v>
      </c>
      <c r="K48" s="1550">
        <f>[113]Batteries!K33</f>
        <v>64269317</v>
      </c>
      <c r="L48" s="1550">
        <f>[113]Batteries!L33</f>
        <v>0</v>
      </c>
      <c r="M48" s="1550">
        <f>[113]Batteries!M33</f>
        <v>0</v>
      </c>
      <c r="N48" s="1550">
        <f>[113]Batteries!N33</f>
        <v>64269317</v>
      </c>
      <c r="O48" s="1550">
        <f>[113]Batteries!O33</f>
        <v>0</v>
      </c>
      <c r="P48" s="1551">
        <f>[113]Batteries!P33</f>
        <v>1631472.5855999999</v>
      </c>
      <c r="Q48" s="1529">
        <f>[113]Batteries!Q33</f>
        <v>6651701.9327999996</v>
      </c>
      <c r="R48" s="1537">
        <f>[113]Batteries!R33</f>
        <v>38316368.018400006</v>
      </c>
      <c r="S48" s="1535"/>
      <c r="T48" s="1533">
        <f>[113]Batteries!$R$33</f>
        <v>38316368.018400006</v>
      </c>
      <c r="V48" s="3448">
        <f t="shared" si="0"/>
        <v>2.5384937350431153E-2</v>
      </c>
    </row>
    <row r="49" spans="1:22" hidden="1">
      <c r="A49" s="2797"/>
      <c r="B49" s="1524"/>
      <c r="C49" s="1524"/>
      <c r="D49" s="1524"/>
      <c r="E49" s="1524"/>
      <c r="F49" s="1524"/>
      <c r="G49" s="1550"/>
      <c r="H49" s="1550"/>
      <c r="I49" s="1550"/>
      <c r="J49" s="1550"/>
      <c r="K49" s="1550"/>
      <c r="L49" s="1550"/>
      <c r="M49" s="1550"/>
      <c r="N49" s="1550"/>
      <c r="O49" s="1550"/>
      <c r="P49" s="1551"/>
      <c r="Q49" s="1529"/>
      <c r="R49" s="1537"/>
      <c r="S49" s="1535"/>
      <c r="T49" s="1536"/>
      <c r="V49" s="3448" t="e">
        <f t="shared" si="0"/>
        <v>#DIV/0!</v>
      </c>
    </row>
    <row r="50" spans="1:22">
      <c r="A50" s="2797" t="s">
        <v>2098</v>
      </c>
      <c r="B50" s="1524"/>
      <c r="C50" s="1524"/>
      <c r="D50" s="1524"/>
      <c r="E50" s="1524"/>
      <c r="F50" s="1524"/>
      <c r="G50" s="1550">
        <f>[113]Capacitors!G39</f>
        <v>94171129</v>
      </c>
      <c r="H50" s="1550">
        <f>[113]Capacitors!H39</f>
        <v>0</v>
      </c>
      <c r="I50" s="1550">
        <f>[113]Capacitors!I39</f>
        <v>205067</v>
      </c>
      <c r="J50" s="1550">
        <f>[113]Capacitors!J39</f>
        <v>0</v>
      </c>
      <c r="K50" s="1550">
        <f>[113]Capacitors!K39</f>
        <v>93966062</v>
      </c>
      <c r="L50" s="1550">
        <f>[113]Capacitors!L39</f>
        <v>0</v>
      </c>
      <c r="M50" s="1550">
        <f>[113]Capacitors!M39</f>
        <v>0</v>
      </c>
      <c r="N50" s="1550">
        <f>[113]Capacitors!N39</f>
        <v>93966062</v>
      </c>
      <c r="O50" s="1550">
        <f>[113]Capacitors!O39</f>
        <v>0</v>
      </c>
      <c r="P50" s="1551">
        <f>[113]Capacitors!P39</f>
        <v>4855801.7147999993</v>
      </c>
      <c r="Q50" s="1529">
        <f>[113]Capacitors!Q39</f>
        <v>29538350.194800001</v>
      </c>
      <c r="R50" s="1537">
        <f>[113]Capacitors!R39</f>
        <v>45600142.809600003</v>
      </c>
      <c r="S50" s="1535"/>
      <c r="T50" s="1533">
        <f>[113]Capacitors!$R$39</f>
        <v>45600142.809600003</v>
      </c>
      <c r="V50" s="3448">
        <f t="shared" si="0"/>
        <v>5.161979605404015E-2</v>
      </c>
    </row>
    <row r="51" spans="1:22" hidden="1">
      <c r="A51" s="2797"/>
      <c r="B51" s="1524"/>
      <c r="C51" s="1524"/>
      <c r="D51" s="1524"/>
      <c r="E51" s="1524"/>
      <c r="F51" s="1524"/>
      <c r="G51" s="1550"/>
      <c r="H51" s="1550"/>
      <c r="I51" s="1550"/>
      <c r="J51" s="1550"/>
      <c r="K51" s="1550"/>
      <c r="L51" s="1550"/>
      <c r="M51" s="1550"/>
      <c r="N51" s="1550"/>
      <c r="O51" s="1550"/>
      <c r="P51" s="1551"/>
      <c r="Q51" s="1529"/>
      <c r="R51" s="1537"/>
      <c r="S51" s="1535"/>
      <c r="T51" s="1536"/>
      <c r="V51" s="3448" t="e">
        <f t="shared" si="0"/>
        <v>#DIV/0!</v>
      </c>
    </row>
    <row r="52" spans="1:22">
      <c r="A52" s="2797" t="s">
        <v>2114</v>
      </c>
      <c r="B52" s="1524"/>
      <c r="C52" s="1524"/>
      <c r="D52" s="1524"/>
      <c r="E52" s="1524"/>
      <c r="F52" s="1524"/>
      <c r="G52" s="1550">
        <f>'[113]DEA on hire'!G36</f>
        <v>465756</v>
      </c>
      <c r="H52" s="1550">
        <f>'[113]DEA on hire'!H36</f>
        <v>0</v>
      </c>
      <c r="I52" s="1550">
        <f>'[113]DEA on hire'!I36</f>
        <v>32838</v>
      </c>
      <c r="J52" s="1550">
        <f>'[113]DEA on hire'!J36</f>
        <v>0</v>
      </c>
      <c r="K52" s="1550">
        <f>'[113]DEA on hire'!K36</f>
        <v>432918</v>
      </c>
      <c r="L52" s="1550">
        <f>'[113]DEA on hire'!L36</f>
        <v>0</v>
      </c>
      <c r="M52" s="1550">
        <f>'[113]DEA on hire'!M36</f>
        <v>0</v>
      </c>
      <c r="N52" s="1550">
        <f>'[113]DEA on hire'!N36</f>
        <v>432918</v>
      </c>
      <c r="O52" s="1550">
        <f>'[113]DEA on hire'!O36</f>
        <v>0</v>
      </c>
      <c r="P52" s="1551">
        <f>'[113]DEA on hire'!P36</f>
        <v>0</v>
      </c>
      <c r="Q52" s="1529">
        <f>'[113]DEA on hire'!Q36</f>
        <v>0</v>
      </c>
      <c r="R52" s="1537">
        <f>'[113]DEA on hire'!R36</f>
        <v>419180.4</v>
      </c>
      <c r="S52" s="1535"/>
      <c r="T52" s="1533">
        <f>'[113]DEA on hire'!$R$36</f>
        <v>419180.4</v>
      </c>
      <c r="V52" s="3448">
        <f t="shared" si="0"/>
        <v>0</v>
      </c>
    </row>
    <row r="53" spans="1:22" hidden="1">
      <c r="A53" s="2797"/>
      <c r="B53" s="1524"/>
      <c r="C53" s="1524"/>
      <c r="D53" s="1524"/>
      <c r="E53" s="1524"/>
      <c r="F53" s="1524"/>
      <c r="G53" s="1550"/>
      <c r="H53" s="1550"/>
      <c r="I53" s="1550"/>
      <c r="J53" s="1550"/>
      <c r="K53" s="1550"/>
      <c r="L53" s="1550"/>
      <c r="M53" s="1550"/>
      <c r="N53" s="1550"/>
      <c r="O53" s="1550"/>
      <c r="P53" s="1551"/>
      <c r="Q53" s="1529"/>
      <c r="R53" s="1537"/>
      <c r="S53" s="1535"/>
      <c r="T53" s="1536"/>
      <c r="V53" s="3448" t="e">
        <f t="shared" si="0"/>
        <v>#DIV/0!</v>
      </c>
    </row>
    <row r="54" spans="1:22">
      <c r="A54" s="2797" t="s">
        <v>2105</v>
      </c>
      <c r="B54" s="1524"/>
      <c r="C54" s="1524"/>
      <c r="D54" s="1524"/>
      <c r="E54" s="1524"/>
      <c r="F54" s="1524"/>
      <c r="G54" s="1550">
        <f>'[113]Loose Tools'!G42</f>
        <v>2852516</v>
      </c>
      <c r="H54" s="1550">
        <f>'[113]Loose Tools'!H42</f>
        <v>0</v>
      </c>
      <c r="I54" s="1550">
        <f>'[113]Loose Tools'!I42</f>
        <v>1595164</v>
      </c>
      <c r="J54" s="1550">
        <f>'[113]Loose Tools'!J42</f>
        <v>0</v>
      </c>
      <c r="K54" s="1552">
        <f>'[113]Loose Tools'!K42</f>
        <v>1257352</v>
      </c>
      <c r="L54" s="1550">
        <f>'[113]Loose Tools'!L42</f>
        <v>0</v>
      </c>
      <c r="M54" s="1550">
        <f>'[113]Loose Tools'!M42</f>
        <v>0</v>
      </c>
      <c r="N54" s="1550">
        <f>'[113]Loose Tools'!N42</f>
        <v>1257352</v>
      </c>
      <c r="O54" s="1550">
        <f>'[113]Loose Tools'!O42</f>
        <v>0</v>
      </c>
      <c r="P54" s="1550">
        <f>'[113]Loose Tools'!P42</f>
        <v>0</v>
      </c>
      <c r="Q54" s="1538">
        <f>'[113]Loose Tools'!Q42</f>
        <v>0</v>
      </c>
      <c r="R54" s="1530">
        <f>'[113]Loose Tools'!R42</f>
        <v>2567264.3999999994</v>
      </c>
      <c r="S54" s="1532"/>
      <c r="T54" s="1533">
        <f>'[113]Loose Tools'!$R$42</f>
        <v>2567264.3999999994</v>
      </c>
      <c r="V54" s="3448">
        <f t="shared" si="0"/>
        <v>0</v>
      </c>
    </row>
    <row r="55" spans="1:22" hidden="1">
      <c r="A55" s="2797"/>
      <c r="B55" s="1524"/>
      <c r="C55" s="1524"/>
      <c r="D55" s="1524"/>
      <c r="E55" s="1524"/>
      <c r="F55" s="1524"/>
      <c r="G55" s="1550"/>
      <c r="H55" s="1550"/>
      <c r="I55" s="1550"/>
      <c r="J55" s="1550"/>
      <c r="K55" s="1550"/>
      <c r="L55" s="1550"/>
      <c r="M55" s="1550"/>
      <c r="N55" s="1550"/>
      <c r="O55" s="1550"/>
      <c r="P55" s="1551"/>
      <c r="Q55" s="1529"/>
      <c r="R55" s="1537"/>
      <c r="S55" s="1535"/>
      <c r="T55" s="1536"/>
      <c r="V55" s="3448" t="e">
        <f t="shared" si="0"/>
        <v>#DIV/0!</v>
      </c>
    </row>
    <row r="56" spans="1:22">
      <c r="A56" s="2797" t="s">
        <v>2108</v>
      </c>
      <c r="B56" s="1524"/>
      <c r="C56" s="1524"/>
      <c r="D56" s="1524"/>
      <c r="E56" s="1524"/>
      <c r="F56" s="1524"/>
      <c r="G56" s="1550">
        <f>'[113]Office Equip'!G53</f>
        <v>20004019</v>
      </c>
      <c r="H56" s="1550">
        <f>'[113]Office Equip'!H53</f>
        <v>0</v>
      </c>
      <c r="I56" s="1550">
        <f>'[113]Office Equip'!I53</f>
        <v>17381</v>
      </c>
      <c r="J56" s="1550">
        <f>'[113]Office Equip'!J53</f>
        <v>68450</v>
      </c>
      <c r="K56" s="1550">
        <f>'[113]Office Equip'!K53</f>
        <v>20055088</v>
      </c>
      <c r="L56" s="1550">
        <f>'[113]Office Equip'!L53</f>
        <v>0</v>
      </c>
      <c r="M56" s="1550">
        <f>'[113]Office Equip'!M53</f>
        <v>0</v>
      </c>
      <c r="N56" s="1550">
        <f>'[113]Office Equip'!N53</f>
        <v>20055088</v>
      </c>
      <c r="O56" s="1550">
        <f>'[113]Office Equip'!O53</f>
        <v>0</v>
      </c>
      <c r="P56" s="1551">
        <f>'[113]Office Equip'!P53</f>
        <v>1146145.8018999998</v>
      </c>
      <c r="Q56" s="1529">
        <f>'[113]Office Equip'!Q53</f>
        <v>6592573.2574000005</v>
      </c>
      <c r="R56" s="1537">
        <f>'[113]Office Equip'!R53</f>
        <v>9494640.6593000013</v>
      </c>
      <c r="S56" s="1535"/>
      <c r="T56" s="1533">
        <f>'[113]Office Equip'!$R$53</f>
        <v>9494640.6593000013</v>
      </c>
      <c r="V56" s="3448">
        <f t="shared" si="0"/>
        <v>5.7222733492286779E-2</v>
      </c>
    </row>
    <row r="57" spans="1:22" hidden="1">
      <c r="A57" s="2797"/>
      <c r="B57" s="1524"/>
      <c r="C57" s="1524"/>
      <c r="D57" s="1524"/>
      <c r="E57" s="1524"/>
      <c r="F57" s="1524"/>
      <c r="G57" s="1550"/>
      <c r="H57" s="1550"/>
      <c r="I57" s="1550"/>
      <c r="J57" s="1550"/>
      <c r="K57" s="1550"/>
      <c r="L57" s="1550"/>
      <c r="M57" s="1550"/>
      <c r="N57" s="1550"/>
      <c r="O57" s="1550"/>
      <c r="P57" s="1550"/>
      <c r="Q57" s="1529"/>
      <c r="R57" s="1534"/>
      <c r="S57" s="1539"/>
      <c r="T57" s="1536"/>
    </row>
    <row r="58" spans="1:22" ht="22.5" customHeight="1" thickBot="1">
      <c r="A58" s="2798" t="s">
        <v>2092</v>
      </c>
      <c r="B58" s="1540"/>
      <c r="C58" s="1540"/>
      <c r="D58" s="1540"/>
      <c r="E58" s="1540"/>
      <c r="F58" s="1540"/>
      <c r="G58" s="1550">
        <f>SUM(G8:G56)</f>
        <v>19221354180.349998</v>
      </c>
      <c r="H58" s="1550">
        <f t="shared" ref="H58:P58" si="1">SUM(H8:H56)</f>
        <v>37300000</v>
      </c>
      <c r="I58" s="1550">
        <f t="shared" si="1"/>
        <v>45602323</v>
      </c>
      <c r="J58" s="1550">
        <f t="shared" si="1"/>
        <v>68450</v>
      </c>
      <c r="K58" s="1550">
        <f t="shared" si="1"/>
        <v>19138520307.349998</v>
      </c>
      <c r="L58" s="1550">
        <f t="shared" si="1"/>
        <v>693549500</v>
      </c>
      <c r="M58" s="1550">
        <f t="shared" si="1"/>
        <v>648320217</v>
      </c>
      <c r="N58" s="1550">
        <f t="shared" si="1"/>
        <v>17796650590.349998</v>
      </c>
      <c r="O58" s="1550">
        <f t="shared" si="1"/>
        <v>0</v>
      </c>
      <c r="P58" s="1551">
        <f t="shared" si="1"/>
        <v>973727136.34059596</v>
      </c>
      <c r="Q58" s="1541">
        <f>SUM(Q10:Q56)</f>
        <v>4935787194.6977434</v>
      </c>
      <c r="R58" s="1542">
        <f>SUM(R10:R56)</f>
        <v>7643321582.8653383</v>
      </c>
      <c r="S58" s="1543"/>
      <c r="T58" s="1544">
        <f>SUM(T8:T56)</f>
        <v>7643321582.8653383</v>
      </c>
    </row>
    <row r="59" spans="1:22" ht="15.75" thickTop="1">
      <c r="A59" s="1530"/>
      <c r="P59" s="1531"/>
    </row>
    <row r="60" spans="1:22">
      <c r="A60" s="1530" t="s">
        <v>2118</v>
      </c>
      <c r="M60" s="3142">
        <f>M58/10^7</f>
        <v>64.832021699999999</v>
      </c>
      <c r="P60" s="1531">
        <v>8463360</v>
      </c>
    </row>
    <row r="61" spans="1:22">
      <c r="A61" s="1530" t="s">
        <v>2119</v>
      </c>
      <c r="P61" s="1531"/>
    </row>
    <row r="62" spans="1:22">
      <c r="A62" s="1530"/>
      <c r="P62" s="1531"/>
    </row>
    <row r="63" spans="1:22" ht="19.5" customHeight="1" thickBot="1">
      <c r="A63" s="2799" t="s">
        <v>2120</v>
      </c>
      <c r="B63" s="1545"/>
      <c r="C63" s="1545"/>
      <c r="D63" s="1545"/>
      <c r="E63" s="1545"/>
      <c r="F63" s="1545"/>
      <c r="G63" s="1545"/>
      <c r="H63" s="1545"/>
      <c r="I63" s="1545"/>
      <c r="J63" s="1545"/>
      <c r="K63" s="1545"/>
      <c r="L63" s="1545"/>
      <c r="M63" s="1545"/>
      <c r="N63" s="1545"/>
      <c r="O63" s="1545"/>
      <c r="P63" s="1546">
        <f>+P58-P60</f>
        <v>965263776.34059596</v>
      </c>
    </row>
    <row r="64" spans="1:22" ht="15.75" thickTop="1"/>
  </sheetData>
  <pageMargins left="0.7" right="0.7" top="0.75" bottom="0.75" header="0.3" footer="0.3"/>
  <pageSetup paperSize="122" scale="45" orientation="portrait" horizontalDpi="180" verticalDpi="180" r:id="rId1"/>
</worksheet>
</file>

<file path=xl/worksheets/sheet146.xml><?xml version="1.0" encoding="utf-8"?>
<worksheet xmlns="http://schemas.openxmlformats.org/spreadsheetml/2006/main" xmlns:r="http://schemas.openxmlformats.org/officeDocument/2006/relationships">
  <sheetPr codeName="Sheet125">
    <tabColor theme="1" tint="4.9989318521683403E-2"/>
  </sheetPr>
  <dimension ref="A1:P195"/>
  <sheetViews>
    <sheetView showGridLines="0" view="pageBreakPreview" zoomScale="70" zoomScaleSheetLayoutView="70" workbookViewId="0">
      <pane ySplit="10" topLeftCell="A14" activePane="bottomLeft" state="frozen"/>
      <selection activeCell="I49" sqref="I49"/>
      <selection pane="bottomLeft" activeCell="I49" sqref="I49"/>
    </sheetView>
  </sheetViews>
  <sheetFormatPr defaultRowHeight="15.75"/>
  <cols>
    <col min="1" max="1" width="8.85546875" style="266" customWidth="1"/>
    <col min="2" max="2" width="39.85546875" style="266" customWidth="1"/>
    <col min="3" max="3" width="9.42578125" style="330" hidden="1" customWidth="1"/>
    <col min="4" max="4" width="5.140625" style="266" hidden="1" customWidth="1"/>
    <col min="5" max="5" width="7.85546875" style="266" hidden="1" customWidth="1"/>
    <col min="6" max="6" width="0" style="266" hidden="1" customWidth="1"/>
    <col min="7" max="7" width="5.85546875" style="266" hidden="1" customWidth="1"/>
    <col min="8" max="8" width="8.7109375" style="266" hidden="1" customWidth="1"/>
    <col min="9" max="9" width="8.140625" style="266" hidden="1" customWidth="1"/>
    <col min="10" max="10" width="4.7109375" style="266" hidden="1" customWidth="1"/>
    <col min="11" max="11" width="4.140625" style="266" hidden="1" customWidth="1"/>
    <col min="12" max="12" width="15.85546875" style="266" customWidth="1"/>
    <col min="13" max="13" width="11.5703125" style="266" customWidth="1"/>
    <col min="14" max="14" width="11.28515625" style="266" customWidth="1"/>
    <col min="15" max="256" width="9.140625" style="266"/>
    <col min="257" max="257" width="6.140625" style="266" customWidth="1"/>
    <col min="258" max="258" width="39.85546875" style="266" customWidth="1"/>
    <col min="259" max="259" width="9.42578125" style="266" customWidth="1"/>
    <col min="260" max="260" width="5.140625" style="266" customWidth="1"/>
    <col min="261" max="261" width="7.85546875" style="266" customWidth="1"/>
    <col min="262" max="262" width="9.140625" style="266"/>
    <col min="263" max="263" width="5.85546875" style="266" customWidth="1"/>
    <col min="264" max="264" width="8.7109375" style="266" customWidth="1"/>
    <col min="265" max="265" width="8.140625" style="266" customWidth="1"/>
    <col min="266" max="266" width="4.7109375" style="266" customWidth="1"/>
    <col min="267" max="267" width="4.140625" style="266" customWidth="1"/>
    <col min="268" max="268" width="7.42578125" style="266" customWidth="1"/>
    <col min="269" max="269" width="11.5703125" style="266" customWidth="1"/>
    <col min="270" max="270" width="8.7109375" style="266" customWidth="1"/>
    <col min="271" max="512" width="9.140625" style="266"/>
    <col min="513" max="513" width="6.140625" style="266" customWidth="1"/>
    <col min="514" max="514" width="39.85546875" style="266" customWidth="1"/>
    <col min="515" max="515" width="9.42578125" style="266" customWidth="1"/>
    <col min="516" max="516" width="5.140625" style="266" customWidth="1"/>
    <col min="517" max="517" width="7.85546875" style="266" customWidth="1"/>
    <col min="518" max="518" width="9.140625" style="266"/>
    <col min="519" max="519" width="5.85546875" style="266" customWidth="1"/>
    <col min="520" max="520" width="8.7109375" style="266" customWidth="1"/>
    <col min="521" max="521" width="8.140625" style="266" customWidth="1"/>
    <col min="522" max="522" width="4.7109375" style="266" customWidth="1"/>
    <col min="523" max="523" width="4.140625" style="266" customWidth="1"/>
    <col min="524" max="524" width="7.42578125" style="266" customWidth="1"/>
    <col min="525" max="525" width="11.5703125" style="266" customWidth="1"/>
    <col min="526" max="526" width="8.7109375" style="266" customWidth="1"/>
    <col min="527" max="768" width="9.140625" style="266"/>
    <col min="769" max="769" width="6.140625" style="266" customWidth="1"/>
    <col min="770" max="770" width="39.85546875" style="266" customWidth="1"/>
    <col min="771" max="771" width="9.42578125" style="266" customWidth="1"/>
    <col min="772" max="772" width="5.140625" style="266" customWidth="1"/>
    <col min="773" max="773" width="7.85546875" style="266" customWidth="1"/>
    <col min="774" max="774" width="9.140625" style="266"/>
    <col min="775" max="775" width="5.85546875" style="266" customWidth="1"/>
    <col min="776" max="776" width="8.7109375" style="266" customWidth="1"/>
    <col min="777" max="777" width="8.140625" style="266" customWidth="1"/>
    <col min="778" max="778" width="4.7109375" style="266" customWidth="1"/>
    <col min="779" max="779" width="4.140625" style="266" customWidth="1"/>
    <col min="780" max="780" width="7.42578125" style="266" customWidth="1"/>
    <col min="781" max="781" width="11.5703125" style="266" customWidth="1"/>
    <col min="782" max="782" width="8.7109375" style="266" customWidth="1"/>
    <col min="783" max="1024" width="9.140625" style="266"/>
    <col min="1025" max="1025" width="6.140625" style="266" customWidth="1"/>
    <col min="1026" max="1026" width="39.85546875" style="266" customWidth="1"/>
    <col min="1027" max="1027" width="9.42578125" style="266" customWidth="1"/>
    <col min="1028" max="1028" width="5.140625" style="266" customWidth="1"/>
    <col min="1029" max="1029" width="7.85546875" style="266" customWidth="1"/>
    <col min="1030" max="1030" width="9.140625" style="266"/>
    <col min="1031" max="1031" width="5.85546875" style="266" customWidth="1"/>
    <col min="1032" max="1032" width="8.7109375" style="266" customWidth="1"/>
    <col min="1033" max="1033" width="8.140625" style="266" customWidth="1"/>
    <col min="1034" max="1034" width="4.7109375" style="266" customWidth="1"/>
    <col min="1035" max="1035" width="4.140625" style="266" customWidth="1"/>
    <col min="1036" max="1036" width="7.42578125" style="266" customWidth="1"/>
    <col min="1037" max="1037" width="11.5703125" style="266" customWidth="1"/>
    <col min="1038" max="1038" width="8.7109375" style="266" customWidth="1"/>
    <col min="1039" max="1280" width="9.140625" style="266"/>
    <col min="1281" max="1281" width="6.140625" style="266" customWidth="1"/>
    <col min="1282" max="1282" width="39.85546875" style="266" customWidth="1"/>
    <col min="1283" max="1283" width="9.42578125" style="266" customWidth="1"/>
    <col min="1284" max="1284" width="5.140625" style="266" customWidth="1"/>
    <col min="1285" max="1285" width="7.85546875" style="266" customWidth="1"/>
    <col min="1286" max="1286" width="9.140625" style="266"/>
    <col min="1287" max="1287" width="5.85546875" style="266" customWidth="1"/>
    <col min="1288" max="1288" width="8.7109375" style="266" customWidth="1"/>
    <col min="1289" max="1289" width="8.140625" style="266" customWidth="1"/>
    <col min="1290" max="1290" width="4.7109375" style="266" customWidth="1"/>
    <col min="1291" max="1291" width="4.140625" style="266" customWidth="1"/>
    <col min="1292" max="1292" width="7.42578125" style="266" customWidth="1"/>
    <col min="1293" max="1293" width="11.5703125" style="266" customWidth="1"/>
    <col min="1294" max="1294" width="8.7109375" style="266" customWidth="1"/>
    <col min="1295" max="1536" width="9.140625" style="266"/>
    <col min="1537" max="1537" width="6.140625" style="266" customWidth="1"/>
    <col min="1538" max="1538" width="39.85546875" style="266" customWidth="1"/>
    <col min="1539" max="1539" width="9.42578125" style="266" customWidth="1"/>
    <col min="1540" max="1540" width="5.140625" style="266" customWidth="1"/>
    <col min="1541" max="1541" width="7.85546875" style="266" customWidth="1"/>
    <col min="1542" max="1542" width="9.140625" style="266"/>
    <col min="1543" max="1543" width="5.85546875" style="266" customWidth="1"/>
    <col min="1544" max="1544" width="8.7109375" style="266" customWidth="1"/>
    <col min="1545" max="1545" width="8.140625" style="266" customWidth="1"/>
    <col min="1546" max="1546" width="4.7109375" style="266" customWidth="1"/>
    <col min="1547" max="1547" width="4.140625" style="266" customWidth="1"/>
    <col min="1548" max="1548" width="7.42578125" style="266" customWidth="1"/>
    <col min="1549" max="1549" width="11.5703125" style="266" customWidth="1"/>
    <col min="1550" max="1550" width="8.7109375" style="266" customWidth="1"/>
    <col min="1551" max="1792" width="9.140625" style="266"/>
    <col min="1793" max="1793" width="6.140625" style="266" customWidth="1"/>
    <col min="1794" max="1794" width="39.85546875" style="266" customWidth="1"/>
    <col min="1795" max="1795" width="9.42578125" style="266" customWidth="1"/>
    <col min="1796" max="1796" width="5.140625" style="266" customWidth="1"/>
    <col min="1797" max="1797" width="7.85546875" style="266" customWidth="1"/>
    <col min="1798" max="1798" width="9.140625" style="266"/>
    <col min="1799" max="1799" width="5.85546875" style="266" customWidth="1"/>
    <col min="1800" max="1800" width="8.7109375" style="266" customWidth="1"/>
    <col min="1801" max="1801" width="8.140625" style="266" customWidth="1"/>
    <col min="1802" max="1802" width="4.7109375" style="266" customWidth="1"/>
    <col min="1803" max="1803" width="4.140625" style="266" customWidth="1"/>
    <col min="1804" max="1804" width="7.42578125" style="266" customWidth="1"/>
    <col min="1805" max="1805" width="11.5703125" style="266" customWidth="1"/>
    <col min="1806" max="1806" width="8.7109375" style="266" customWidth="1"/>
    <col min="1807" max="2048" width="9.140625" style="266"/>
    <col min="2049" max="2049" width="6.140625" style="266" customWidth="1"/>
    <col min="2050" max="2050" width="39.85546875" style="266" customWidth="1"/>
    <col min="2051" max="2051" width="9.42578125" style="266" customWidth="1"/>
    <col min="2052" max="2052" width="5.140625" style="266" customWidth="1"/>
    <col min="2053" max="2053" width="7.85546875" style="266" customWidth="1"/>
    <col min="2054" max="2054" width="9.140625" style="266"/>
    <col min="2055" max="2055" width="5.85546875" style="266" customWidth="1"/>
    <col min="2056" max="2056" width="8.7109375" style="266" customWidth="1"/>
    <col min="2057" max="2057" width="8.140625" style="266" customWidth="1"/>
    <col min="2058" max="2058" width="4.7109375" style="266" customWidth="1"/>
    <col min="2059" max="2059" width="4.140625" style="266" customWidth="1"/>
    <col min="2060" max="2060" width="7.42578125" style="266" customWidth="1"/>
    <col min="2061" max="2061" width="11.5703125" style="266" customWidth="1"/>
    <col min="2062" max="2062" width="8.7109375" style="266" customWidth="1"/>
    <col min="2063" max="2304" width="9.140625" style="266"/>
    <col min="2305" max="2305" width="6.140625" style="266" customWidth="1"/>
    <col min="2306" max="2306" width="39.85546875" style="266" customWidth="1"/>
    <col min="2307" max="2307" width="9.42578125" style="266" customWidth="1"/>
    <col min="2308" max="2308" width="5.140625" style="266" customWidth="1"/>
    <col min="2309" max="2309" width="7.85546875" style="266" customWidth="1"/>
    <col min="2310" max="2310" width="9.140625" style="266"/>
    <col min="2311" max="2311" width="5.85546875" style="266" customWidth="1"/>
    <col min="2312" max="2312" width="8.7109375" style="266" customWidth="1"/>
    <col min="2313" max="2313" width="8.140625" style="266" customWidth="1"/>
    <col min="2314" max="2314" width="4.7109375" style="266" customWidth="1"/>
    <col min="2315" max="2315" width="4.140625" style="266" customWidth="1"/>
    <col min="2316" max="2316" width="7.42578125" style="266" customWidth="1"/>
    <col min="2317" max="2317" width="11.5703125" style="266" customWidth="1"/>
    <col min="2318" max="2318" width="8.7109375" style="266" customWidth="1"/>
    <col min="2319" max="2560" width="9.140625" style="266"/>
    <col min="2561" max="2561" width="6.140625" style="266" customWidth="1"/>
    <col min="2562" max="2562" width="39.85546875" style="266" customWidth="1"/>
    <col min="2563" max="2563" width="9.42578125" style="266" customWidth="1"/>
    <col min="2564" max="2564" width="5.140625" style="266" customWidth="1"/>
    <col min="2565" max="2565" width="7.85546875" style="266" customWidth="1"/>
    <col min="2566" max="2566" width="9.140625" style="266"/>
    <col min="2567" max="2567" width="5.85546875" style="266" customWidth="1"/>
    <col min="2568" max="2568" width="8.7109375" style="266" customWidth="1"/>
    <col min="2569" max="2569" width="8.140625" style="266" customWidth="1"/>
    <col min="2570" max="2570" width="4.7109375" style="266" customWidth="1"/>
    <col min="2571" max="2571" width="4.140625" style="266" customWidth="1"/>
    <col min="2572" max="2572" width="7.42578125" style="266" customWidth="1"/>
    <col min="2573" max="2573" width="11.5703125" style="266" customWidth="1"/>
    <col min="2574" max="2574" width="8.7109375" style="266" customWidth="1"/>
    <col min="2575" max="2816" width="9.140625" style="266"/>
    <col min="2817" max="2817" width="6.140625" style="266" customWidth="1"/>
    <col min="2818" max="2818" width="39.85546875" style="266" customWidth="1"/>
    <col min="2819" max="2819" width="9.42578125" style="266" customWidth="1"/>
    <col min="2820" max="2820" width="5.140625" style="266" customWidth="1"/>
    <col min="2821" max="2821" width="7.85546875" style="266" customWidth="1"/>
    <col min="2822" max="2822" width="9.140625" style="266"/>
    <col min="2823" max="2823" width="5.85546875" style="266" customWidth="1"/>
    <col min="2824" max="2824" width="8.7109375" style="266" customWidth="1"/>
    <col min="2825" max="2825" width="8.140625" style="266" customWidth="1"/>
    <col min="2826" max="2826" width="4.7109375" style="266" customWidth="1"/>
    <col min="2827" max="2827" width="4.140625" style="266" customWidth="1"/>
    <col min="2828" max="2828" width="7.42578125" style="266" customWidth="1"/>
    <col min="2829" max="2829" width="11.5703125" style="266" customWidth="1"/>
    <col min="2830" max="2830" width="8.7109375" style="266" customWidth="1"/>
    <col min="2831" max="3072" width="9.140625" style="266"/>
    <col min="3073" max="3073" width="6.140625" style="266" customWidth="1"/>
    <col min="3074" max="3074" width="39.85546875" style="266" customWidth="1"/>
    <col min="3075" max="3075" width="9.42578125" style="266" customWidth="1"/>
    <col min="3076" max="3076" width="5.140625" style="266" customWidth="1"/>
    <col min="3077" max="3077" width="7.85546875" style="266" customWidth="1"/>
    <col min="3078" max="3078" width="9.140625" style="266"/>
    <col min="3079" max="3079" width="5.85546875" style="266" customWidth="1"/>
    <col min="3080" max="3080" width="8.7109375" style="266" customWidth="1"/>
    <col min="3081" max="3081" width="8.140625" style="266" customWidth="1"/>
    <col min="3082" max="3082" width="4.7109375" style="266" customWidth="1"/>
    <col min="3083" max="3083" width="4.140625" style="266" customWidth="1"/>
    <col min="3084" max="3084" width="7.42578125" style="266" customWidth="1"/>
    <col min="3085" max="3085" width="11.5703125" style="266" customWidth="1"/>
    <col min="3086" max="3086" width="8.7109375" style="266" customWidth="1"/>
    <col min="3087" max="3328" width="9.140625" style="266"/>
    <col min="3329" max="3329" width="6.140625" style="266" customWidth="1"/>
    <col min="3330" max="3330" width="39.85546875" style="266" customWidth="1"/>
    <col min="3331" max="3331" width="9.42578125" style="266" customWidth="1"/>
    <col min="3332" max="3332" width="5.140625" style="266" customWidth="1"/>
    <col min="3333" max="3333" width="7.85546875" style="266" customWidth="1"/>
    <col min="3334" max="3334" width="9.140625" style="266"/>
    <col min="3335" max="3335" width="5.85546875" style="266" customWidth="1"/>
    <col min="3336" max="3336" width="8.7109375" style="266" customWidth="1"/>
    <col min="3337" max="3337" width="8.140625" style="266" customWidth="1"/>
    <col min="3338" max="3338" width="4.7109375" style="266" customWidth="1"/>
    <col min="3339" max="3339" width="4.140625" style="266" customWidth="1"/>
    <col min="3340" max="3340" width="7.42578125" style="266" customWidth="1"/>
    <col min="3341" max="3341" width="11.5703125" style="266" customWidth="1"/>
    <col min="3342" max="3342" width="8.7109375" style="266" customWidth="1"/>
    <col min="3343" max="3584" width="9.140625" style="266"/>
    <col min="3585" max="3585" width="6.140625" style="266" customWidth="1"/>
    <col min="3586" max="3586" width="39.85546875" style="266" customWidth="1"/>
    <col min="3587" max="3587" width="9.42578125" style="266" customWidth="1"/>
    <col min="3588" max="3588" width="5.140625" style="266" customWidth="1"/>
    <col min="3589" max="3589" width="7.85546875" style="266" customWidth="1"/>
    <col min="3590" max="3590" width="9.140625" style="266"/>
    <col min="3591" max="3591" width="5.85546875" style="266" customWidth="1"/>
    <col min="3592" max="3592" width="8.7109375" style="266" customWidth="1"/>
    <col min="3593" max="3593" width="8.140625" style="266" customWidth="1"/>
    <col min="3594" max="3594" width="4.7109375" style="266" customWidth="1"/>
    <col min="3595" max="3595" width="4.140625" style="266" customWidth="1"/>
    <col min="3596" max="3596" width="7.42578125" style="266" customWidth="1"/>
    <col min="3597" max="3597" width="11.5703125" style="266" customWidth="1"/>
    <col min="3598" max="3598" width="8.7109375" style="266" customWidth="1"/>
    <col min="3599" max="3840" width="9.140625" style="266"/>
    <col min="3841" max="3841" width="6.140625" style="266" customWidth="1"/>
    <col min="3842" max="3842" width="39.85546875" style="266" customWidth="1"/>
    <col min="3843" max="3843" width="9.42578125" style="266" customWidth="1"/>
    <col min="3844" max="3844" width="5.140625" style="266" customWidth="1"/>
    <col min="3845" max="3845" width="7.85546875" style="266" customWidth="1"/>
    <col min="3846" max="3846" width="9.140625" style="266"/>
    <col min="3847" max="3847" width="5.85546875" style="266" customWidth="1"/>
    <col min="3848" max="3848" width="8.7109375" style="266" customWidth="1"/>
    <col min="3849" max="3849" width="8.140625" style="266" customWidth="1"/>
    <col min="3850" max="3850" width="4.7109375" style="266" customWidth="1"/>
    <col min="3851" max="3851" width="4.140625" style="266" customWidth="1"/>
    <col min="3852" max="3852" width="7.42578125" style="266" customWidth="1"/>
    <col min="3853" max="3853" width="11.5703125" style="266" customWidth="1"/>
    <col min="3854" max="3854" width="8.7109375" style="266" customWidth="1"/>
    <col min="3855" max="4096" width="9.140625" style="266"/>
    <col min="4097" max="4097" width="6.140625" style="266" customWidth="1"/>
    <col min="4098" max="4098" width="39.85546875" style="266" customWidth="1"/>
    <col min="4099" max="4099" width="9.42578125" style="266" customWidth="1"/>
    <col min="4100" max="4100" width="5.140625" style="266" customWidth="1"/>
    <col min="4101" max="4101" width="7.85546875" style="266" customWidth="1"/>
    <col min="4102" max="4102" width="9.140625" style="266"/>
    <col min="4103" max="4103" width="5.85546875" style="266" customWidth="1"/>
    <col min="4104" max="4104" width="8.7109375" style="266" customWidth="1"/>
    <col min="4105" max="4105" width="8.140625" style="266" customWidth="1"/>
    <col min="4106" max="4106" width="4.7109375" style="266" customWidth="1"/>
    <col min="4107" max="4107" width="4.140625" style="266" customWidth="1"/>
    <col min="4108" max="4108" width="7.42578125" style="266" customWidth="1"/>
    <col min="4109" max="4109" width="11.5703125" style="266" customWidth="1"/>
    <col min="4110" max="4110" width="8.7109375" style="266" customWidth="1"/>
    <col min="4111" max="4352" width="9.140625" style="266"/>
    <col min="4353" max="4353" width="6.140625" style="266" customWidth="1"/>
    <col min="4354" max="4354" width="39.85546875" style="266" customWidth="1"/>
    <col min="4355" max="4355" width="9.42578125" style="266" customWidth="1"/>
    <col min="4356" max="4356" width="5.140625" style="266" customWidth="1"/>
    <col min="4357" max="4357" width="7.85546875" style="266" customWidth="1"/>
    <col min="4358" max="4358" width="9.140625" style="266"/>
    <col min="4359" max="4359" width="5.85546875" style="266" customWidth="1"/>
    <col min="4360" max="4360" width="8.7109375" style="266" customWidth="1"/>
    <col min="4361" max="4361" width="8.140625" style="266" customWidth="1"/>
    <col min="4362" max="4362" width="4.7109375" style="266" customWidth="1"/>
    <col min="4363" max="4363" width="4.140625" style="266" customWidth="1"/>
    <col min="4364" max="4364" width="7.42578125" style="266" customWidth="1"/>
    <col min="4365" max="4365" width="11.5703125" style="266" customWidth="1"/>
    <col min="4366" max="4366" width="8.7109375" style="266" customWidth="1"/>
    <col min="4367" max="4608" width="9.140625" style="266"/>
    <col min="4609" max="4609" width="6.140625" style="266" customWidth="1"/>
    <col min="4610" max="4610" width="39.85546875" style="266" customWidth="1"/>
    <col min="4611" max="4611" width="9.42578125" style="266" customWidth="1"/>
    <col min="4612" max="4612" width="5.140625" style="266" customWidth="1"/>
    <col min="4613" max="4613" width="7.85546875" style="266" customWidth="1"/>
    <col min="4614" max="4614" width="9.140625" style="266"/>
    <col min="4615" max="4615" width="5.85546875" style="266" customWidth="1"/>
    <col min="4616" max="4616" width="8.7109375" style="266" customWidth="1"/>
    <col min="4617" max="4617" width="8.140625" style="266" customWidth="1"/>
    <col min="4618" max="4618" width="4.7109375" style="266" customWidth="1"/>
    <col min="4619" max="4619" width="4.140625" style="266" customWidth="1"/>
    <col min="4620" max="4620" width="7.42578125" style="266" customWidth="1"/>
    <col min="4621" max="4621" width="11.5703125" style="266" customWidth="1"/>
    <col min="4622" max="4622" width="8.7109375" style="266" customWidth="1"/>
    <col min="4623" max="4864" width="9.140625" style="266"/>
    <col min="4865" max="4865" width="6.140625" style="266" customWidth="1"/>
    <col min="4866" max="4866" width="39.85546875" style="266" customWidth="1"/>
    <col min="4867" max="4867" width="9.42578125" style="266" customWidth="1"/>
    <col min="4868" max="4868" width="5.140625" style="266" customWidth="1"/>
    <col min="4869" max="4869" width="7.85546875" style="266" customWidth="1"/>
    <col min="4870" max="4870" width="9.140625" style="266"/>
    <col min="4871" max="4871" width="5.85546875" style="266" customWidth="1"/>
    <col min="4872" max="4872" width="8.7109375" style="266" customWidth="1"/>
    <col min="4873" max="4873" width="8.140625" style="266" customWidth="1"/>
    <col min="4874" max="4874" width="4.7109375" style="266" customWidth="1"/>
    <col min="4875" max="4875" width="4.140625" style="266" customWidth="1"/>
    <col min="4876" max="4876" width="7.42578125" style="266" customWidth="1"/>
    <col min="4877" max="4877" width="11.5703125" style="266" customWidth="1"/>
    <col min="4878" max="4878" width="8.7109375" style="266" customWidth="1"/>
    <col min="4879" max="5120" width="9.140625" style="266"/>
    <col min="5121" max="5121" width="6.140625" style="266" customWidth="1"/>
    <col min="5122" max="5122" width="39.85546875" style="266" customWidth="1"/>
    <col min="5123" max="5123" width="9.42578125" style="266" customWidth="1"/>
    <col min="5124" max="5124" width="5.140625" style="266" customWidth="1"/>
    <col min="5125" max="5125" width="7.85546875" style="266" customWidth="1"/>
    <col min="5126" max="5126" width="9.140625" style="266"/>
    <col min="5127" max="5127" width="5.85546875" style="266" customWidth="1"/>
    <col min="5128" max="5128" width="8.7109375" style="266" customWidth="1"/>
    <col min="5129" max="5129" width="8.140625" style="266" customWidth="1"/>
    <col min="5130" max="5130" width="4.7109375" style="266" customWidth="1"/>
    <col min="5131" max="5131" width="4.140625" style="266" customWidth="1"/>
    <col min="5132" max="5132" width="7.42578125" style="266" customWidth="1"/>
    <col min="5133" max="5133" width="11.5703125" style="266" customWidth="1"/>
    <col min="5134" max="5134" width="8.7109375" style="266" customWidth="1"/>
    <col min="5135" max="5376" width="9.140625" style="266"/>
    <col min="5377" max="5377" width="6.140625" style="266" customWidth="1"/>
    <col min="5378" max="5378" width="39.85546875" style="266" customWidth="1"/>
    <col min="5379" max="5379" width="9.42578125" style="266" customWidth="1"/>
    <col min="5380" max="5380" width="5.140625" style="266" customWidth="1"/>
    <col min="5381" max="5381" width="7.85546875" style="266" customWidth="1"/>
    <col min="5382" max="5382" width="9.140625" style="266"/>
    <col min="5383" max="5383" width="5.85546875" style="266" customWidth="1"/>
    <col min="5384" max="5384" width="8.7109375" style="266" customWidth="1"/>
    <col min="5385" max="5385" width="8.140625" style="266" customWidth="1"/>
    <col min="5386" max="5386" width="4.7109375" style="266" customWidth="1"/>
    <col min="5387" max="5387" width="4.140625" style="266" customWidth="1"/>
    <col min="5388" max="5388" width="7.42578125" style="266" customWidth="1"/>
    <col min="5389" max="5389" width="11.5703125" style="266" customWidth="1"/>
    <col min="5390" max="5390" width="8.7109375" style="266" customWidth="1"/>
    <col min="5391" max="5632" width="9.140625" style="266"/>
    <col min="5633" max="5633" width="6.140625" style="266" customWidth="1"/>
    <col min="5634" max="5634" width="39.85546875" style="266" customWidth="1"/>
    <col min="5635" max="5635" width="9.42578125" style="266" customWidth="1"/>
    <col min="5636" max="5636" width="5.140625" style="266" customWidth="1"/>
    <col min="5637" max="5637" width="7.85546875" style="266" customWidth="1"/>
    <col min="5638" max="5638" width="9.140625" style="266"/>
    <col min="5639" max="5639" width="5.85546875" style="266" customWidth="1"/>
    <col min="5640" max="5640" width="8.7109375" style="266" customWidth="1"/>
    <col min="5641" max="5641" width="8.140625" style="266" customWidth="1"/>
    <col min="5642" max="5642" width="4.7109375" style="266" customWidth="1"/>
    <col min="5643" max="5643" width="4.140625" style="266" customWidth="1"/>
    <col min="5644" max="5644" width="7.42578125" style="266" customWidth="1"/>
    <col min="5645" max="5645" width="11.5703125" style="266" customWidth="1"/>
    <col min="5646" max="5646" width="8.7109375" style="266" customWidth="1"/>
    <col min="5647" max="5888" width="9.140625" style="266"/>
    <col min="5889" max="5889" width="6.140625" style="266" customWidth="1"/>
    <col min="5890" max="5890" width="39.85546875" style="266" customWidth="1"/>
    <col min="5891" max="5891" width="9.42578125" style="266" customWidth="1"/>
    <col min="5892" max="5892" width="5.140625" style="266" customWidth="1"/>
    <col min="5893" max="5893" width="7.85546875" style="266" customWidth="1"/>
    <col min="5894" max="5894" width="9.140625" style="266"/>
    <col min="5895" max="5895" width="5.85546875" style="266" customWidth="1"/>
    <col min="5896" max="5896" width="8.7109375" style="266" customWidth="1"/>
    <col min="5897" max="5897" width="8.140625" style="266" customWidth="1"/>
    <col min="5898" max="5898" width="4.7109375" style="266" customWidth="1"/>
    <col min="5899" max="5899" width="4.140625" style="266" customWidth="1"/>
    <col min="5900" max="5900" width="7.42578125" style="266" customWidth="1"/>
    <col min="5901" max="5901" width="11.5703125" style="266" customWidth="1"/>
    <col min="5902" max="5902" width="8.7109375" style="266" customWidth="1"/>
    <col min="5903" max="6144" width="9.140625" style="266"/>
    <col min="6145" max="6145" width="6.140625" style="266" customWidth="1"/>
    <col min="6146" max="6146" width="39.85546875" style="266" customWidth="1"/>
    <col min="6147" max="6147" width="9.42578125" style="266" customWidth="1"/>
    <col min="6148" max="6148" width="5.140625" style="266" customWidth="1"/>
    <col min="6149" max="6149" width="7.85546875" style="266" customWidth="1"/>
    <col min="6150" max="6150" width="9.140625" style="266"/>
    <col min="6151" max="6151" width="5.85546875" style="266" customWidth="1"/>
    <col min="6152" max="6152" width="8.7109375" style="266" customWidth="1"/>
    <col min="6153" max="6153" width="8.140625" style="266" customWidth="1"/>
    <col min="6154" max="6154" width="4.7109375" style="266" customWidth="1"/>
    <col min="6155" max="6155" width="4.140625" style="266" customWidth="1"/>
    <col min="6156" max="6156" width="7.42578125" style="266" customWidth="1"/>
    <col min="6157" max="6157" width="11.5703125" style="266" customWidth="1"/>
    <col min="6158" max="6158" width="8.7109375" style="266" customWidth="1"/>
    <col min="6159" max="6400" width="9.140625" style="266"/>
    <col min="6401" max="6401" width="6.140625" style="266" customWidth="1"/>
    <col min="6402" max="6402" width="39.85546875" style="266" customWidth="1"/>
    <col min="6403" max="6403" width="9.42578125" style="266" customWidth="1"/>
    <col min="6404" max="6404" width="5.140625" style="266" customWidth="1"/>
    <col min="6405" max="6405" width="7.85546875" style="266" customWidth="1"/>
    <col min="6406" max="6406" width="9.140625" style="266"/>
    <col min="6407" max="6407" width="5.85546875" style="266" customWidth="1"/>
    <col min="6408" max="6408" width="8.7109375" style="266" customWidth="1"/>
    <col min="6409" max="6409" width="8.140625" style="266" customWidth="1"/>
    <col min="6410" max="6410" width="4.7109375" style="266" customWidth="1"/>
    <col min="6411" max="6411" width="4.140625" style="266" customWidth="1"/>
    <col min="6412" max="6412" width="7.42578125" style="266" customWidth="1"/>
    <col min="6413" max="6413" width="11.5703125" style="266" customWidth="1"/>
    <col min="6414" max="6414" width="8.7109375" style="266" customWidth="1"/>
    <col min="6415" max="6656" width="9.140625" style="266"/>
    <col min="6657" max="6657" width="6.140625" style="266" customWidth="1"/>
    <col min="6658" max="6658" width="39.85546875" style="266" customWidth="1"/>
    <col min="6659" max="6659" width="9.42578125" style="266" customWidth="1"/>
    <col min="6660" max="6660" width="5.140625" style="266" customWidth="1"/>
    <col min="6661" max="6661" width="7.85546875" style="266" customWidth="1"/>
    <col min="6662" max="6662" width="9.140625" style="266"/>
    <col min="6663" max="6663" width="5.85546875" style="266" customWidth="1"/>
    <col min="6664" max="6664" width="8.7109375" style="266" customWidth="1"/>
    <col min="6665" max="6665" width="8.140625" style="266" customWidth="1"/>
    <col min="6666" max="6666" width="4.7109375" style="266" customWidth="1"/>
    <col min="6667" max="6667" width="4.140625" style="266" customWidth="1"/>
    <col min="6668" max="6668" width="7.42578125" style="266" customWidth="1"/>
    <col min="6669" max="6669" width="11.5703125" style="266" customWidth="1"/>
    <col min="6670" max="6670" width="8.7109375" style="266" customWidth="1"/>
    <col min="6671" max="6912" width="9.140625" style="266"/>
    <col min="6913" max="6913" width="6.140625" style="266" customWidth="1"/>
    <col min="6914" max="6914" width="39.85546875" style="266" customWidth="1"/>
    <col min="6915" max="6915" width="9.42578125" style="266" customWidth="1"/>
    <col min="6916" max="6916" width="5.140625" style="266" customWidth="1"/>
    <col min="6917" max="6917" width="7.85546875" style="266" customWidth="1"/>
    <col min="6918" max="6918" width="9.140625" style="266"/>
    <col min="6919" max="6919" width="5.85546875" style="266" customWidth="1"/>
    <col min="6920" max="6920" width="8.7109375" style="266" customWidth="1"/>
    <col min="6921" max="6921" width="8.140625" style="266" customWidth="1"/>
    <col min="6922" max="6922" width="4.7109375" style="266" customWidth="1"/>
    <col min="6923" max="6923" width="4.140625" style="266" customWidth="1"/>
    <col min="6924" max="6924" width="7.42578125" style="266" customWidth="1"/>
    <col min="6925" max="6925" width="11.5703125" style="266" customWidth="1"/>
    <col min="6926" max="6926" width="8.7109375" style="266" customWidth="1"/>
    <col min="6927" max="7168" width="9.140625" style="266"/>
    <col min="7169" max="7169" width="6.140625" style="266" customWidth="1"/>
    <col min="7170" max="7170" width="39.85546875" style="266" customWidth="1"/>
    <col min="7171" max="7171" width="9.42578125" style="266" customWidth="1"/>
    <col min="7172" max="7172" width="5.140625" style="266" customWidth="1"/>
    <col min="7173" max="7173" width="7.85546875" style="266" customWidth="1"/>
    <col min="7174" max="7174" width="9.140625" style="266"/>
    <col min="7175" max="7175" width="5.85546875" style="266" customWidth="1"/>
    <col min="7176" max="7176" width="8.7109375" style="266" customWidth="1"/>
    <col min="7177" max="7177" width="8.140625" style="266" customWidth="1"/>
    <col min="7178" max="7178" width="4.7109375" style="266" customWidth="1"/>
    <col min="7179" max="7179" width="4.140625" style="266" customWidth="1"/>
    <col min="7180" max="7180" width="7.42578125" style="266" customWidth="1"/>
    <col min="7181" max="7181" width="11.5703125" style="266" customWidth="1"/>
    <col min="7182" max="7182" width="8.7109375" style="266" customWidth="1"/>
    <col min="7183" max="7424" width="9.140625" style="266"/>
    <col min="7425" max="7425" width="6.140625" style="266" customWidth="1"/>
    <col min="7426" max="7426" width="39.85546875" style="266" customWidth="1"/>
    <col min="7427" max="7427" width="9.42578125" style="266" customWidth="1"/>
    <col min="7428" max="7428" width="5.140625" style="266" customWidth="1"/>
    <col min="7429" max="7429" width="7.85546875" style="266" customWidth="1"/>
    <col min="7430" max="7430" width="9.140625" style="266"/>
    <col min="7431" max="7431" width="5.85546875" style="266" customWidth="1"/>
    <col min="7432" max="7432" width="8.7109375" style="266" customWidth="1"/>
    <col min="7433" max="7433" width="8.140625" style="266" customWidth="1"/>
    <col min="7434" max="7434" width="4.7109375" style="266" customWidth="1"/>
    <col min="7435" max="7435" width="4.140625" style="266" customWidth="1"/>
    <col min="7436" max="7436" width="7.42578125" style="266" customWidth="1"/>
    <col min="7437" max="7437" width="11.5703125" style="266" customWidth="1"/>
    <col min="7438" max="7438" width="8.7109375" style="266" customWidth="1"/>
    <col min="7439" max="7680" width="9.140625" style="266"/>
    <col min="7681" max="7681" width="6.140625" style="266" customWidth="1"/>
    <col min="7682" max="7682" width="39.85546875" style="266" customWidth="1"/>
    <col min="7683" max="7683" width="9.42578125" style="266" customWidth="1"/>
    <col min="7684" max="7684" width="5.140625" style="266" customWidth="1"/>
    <col min="7685" max="7685" width="7.85546875" style="266" customWidth="1"/>
    <col min="7686" max="7686" width="9.140625" style="266"/>
    <col min="7687" max="7687" width="5.85546875" style="266" customWidth="1"/>
    <col min="7688" max="7688" width="8.7109375" style="266" customWidth="1"/>
    <col min="7689" max="7689" width="8.140625" style="266" customWidth="1"/>
    <col min="7690" max="7690" width="4.7109375" style="266" customWidth="1"/>
    <col min="7691" max="7691" width="4.140625" style="266" customWidth="1"/>
    <col min="7692" max="7692" width="7.42578125" style="266" customWidth="1"/>
    <col min="7693" max="7693" width="11.5703125" style="266" customWidth="1"/>
    <col min="7694" max="7694" width="8.7109375" style="266" customWidth="1"/>
    <col min="7695" max="7936" width="9.140625" style="266"/>
    <col min="7937" max="7937" width="6.140625" style="266" customWidth="1"/>
    <col min="7938" max="7938" width="39.85546875" style="266" customWidth="1"/>
    <col min="7939" max="7939" width="9.42578125" style="266" customWidth="1"/>
    <col min="7940" max="7940" width="5.140625" style="266" customWidth="1"/>
    <col min="7941" max="7941" width="7.85546875" style="266" customWidth="1"/>
    <col min="7942" max="7942" width="9.140625" style="266"/>
    <col min="7943" max="7943" width="5.85546875" style="266" customWidth="1"/>
    <col min="7944" max="7944" width="8.7109375" style="266" customWidth="1"/>
    <col min="7945" max="7945" width="8.140625" style="266" customWidth="1"/>
    <col min="7946" max="7946" width="4.7109375" style="266" customWidth="1"/>
    <col min="7947" max="7947" width="4.140625" style="266" customWidth="1"/>
    <col min="7948" max="7948" width="7.42578125" style="266" customWidth="1"/>
    <col min="7949" max="7949" width="11.5703125" style="266" customWidth="1"/>
    <col min="7950" max="7950" width="8.7109375" style="266" customWidth="1"/>
    <col min="7951" max="8192" width="9.140625" style="266"/>
    <col min="8193" max="8193" width="6.140625" style="266" customWidth="1"/>
    <col min="8194" max="8194" width="39.85546875" style="266" customWidth="1"/>
    <col min="8195" max="8195" width="9.42578125" style="266" customWidth="1"/>
    <col min="8196" max="8196" width="5.140625" style="266" customWidth="1"/>
    <col min="8197" max="8197" width="7.85546875" style="266" customWidth="1"/>
    <col min="8198" max="8198" width="9.140625" style="266"/>
    <col min="8199" max="8199" width="5.85546875" style="266" customWidth="1"/>
    <col min="8200" max="8200" width="8.7109375" style="266" customWidth="1"/>
    <col min="8201" max="8201" width="8.140625" style="266" customWidth="1"/>
    <col min="8202" max="8202" width="4.7109375" style="266" customWidth="1"/>
    <col min="8203" max="8203" width="4.140625" style="266" customWidth="1"/>
    <col min="8204" max="8204" width="7.42578125" style="266" customWidth="1"/>
    <col min="8205" max="8205" width="11.5703125" style="266" customWidth="1"/>
    <col min="8206" max="8206" width="8.7109375" style="266" customWidth="1"/>
    <col min="8207" max="8448" width="9.140625" style="266"/>
    <col min="8449" max="8449" width="6.140625" style="266" customWidth="1"/>
    <col min="8450" max="8450" width="39.85546875" style="266" customWidth="1"/>
    <col min="8451" max="8451" width="9.42578125" style="266" customWidth="1"/>
    <col min="8452" max="8452" width="5.140625" style="266" customWidth="1"/>
    <col min="8453" max="8453" width="7.85546875" style="266" customWidth="1"/>
    <col min="8454" max="8454" width="9.140625" style="266"/>
    <col min="8455" max="8455" width="5.85546875" style="266" customWidth="1"/>
    <col min="8456" max="8456" width="8.7109375" style="266" customWidth="1"/>
    <col min="8457" max="8457" width="8.140625" style="266" customWidth="1"/>
    <col min="8458" max="8458" width="4.7109375" style="266" customWidth="1"/>
    <col min="8459" max="8459" width="4.140625" style="266" customWidth="1"/>
    <col min="8460" max="8460" width="7.42578125" style="266" customWidth="1"/>
    <col min="8461" max="8461" width="11.5703125" style="266" customWidth="1"/>
    <col min="8462" max="8462" width="8.7109375" style="266" customWidth="1"/>
    <col min="8463" max="8704" width="9.140625" style="266"/>
    <col min="8705" max="8705" width="6.140625" style="266" customWidth="1"/>
    <col min="8706" max="8706" width="39.85546875" style="266" customWidth="1"/>
    <col min="8707" max="8707" width="9.42578125" style="266" customWidth="1"/>
    <col min="8708" max="8708" width="5.140625" style="266" customWidth="1"/>
    <col min="8709" max="8709" width="7.85546875" style="266" customWidth="1"/>
    <col min="8710" max="8710" width="9.140625" style="266"/>
    <col min="8711" max="8711" width="5.85546875" style="266" customWidth="1"/>
    <col min="8712" max="8712" width="8.7109375" style="266" customWidth="1"/>
    <col min="8713" max="8713" width="8.140625" style="266" customWidth="1"/>
    <col min="8714" max="8714" width="4.7109375" style="266" customWidth="1"/>
    <col min="8715" max="8715" width="4.140625" style="266" customWidth="1"/>
    <col min="8716" max="8716" width="7.42578125" style="266" customWidth="1"/>
    <col min="8717" max="8717" width="11.5703125" style="266" customWidth="1"/>
    <col min="8718" max="8718" width="8.7109375" style="266" customWidth="1"/>
    <col min="8719" max="8960" width="9.140625" style="266"/>
    <col min="8961" max="8961" width="6.140625" style="266" customWidth="1"/>
    <col min="8962" max="8962" width="39.85546875" style="266" customWidth="1"/>
    <col min="8963" max="8963" width="9.42578125" style="266" customWidth="1"/>
    <col min="8964" max="8964" width="5.140625" style="266" customWidth="1"/>
    <col min="8965" max="8965" width="7.85546875" style="266" customWidth="1"/>
    <col min="8966" max="8966" width="9.140625" style="266"/>
    <col min="8967" max="8967" width="5.85546875" style="266" customWidth="1"/>
    <col min="8968" max="8968" width="8.7109375" style="266" customWidth="1"/>
    <col min="8969" max="8969" width="8.140625" style="266" customWidth="1"/>
    <col min="8970" max="8970" width="4.7109375" style="266" customWidth="1"/>
    <col min="8971" max="8971" width="4.140625" style="266" customWidth="1"/>
    <col min="8972" max="8972" width="7.42578125" style="266" customWidth="1"/>
    <col min="8973" max="8973" width="11.5703125" style="266" customWidth="1"/>
    <col min="8974" max="8974" width="8.7109375" style="266" customWidth="1"/>
    <col min="8975" max="9216" width="9.140625" style="266"/>
    <col min="9217" max="9217" width="6.140625" style="266" customWidth="1"/>
    <col min="9218" max="9218" width="39.85546875" style="266" customWidth="1"/>
    <col min="9219" max="9219" width="9.42578125" style="266" customWidth="1"/>
    <col min="9220" max="9220" width="5.140625" style="266" customWidth="1"/>
    <col min="9221" max="9221" width="7.85546875" style="266" customWidth="1"/>
    <col min="9222" max="9222" width="9.140625" style="266"/>
    <col min="9223" max="9223" width="5.85546875" style="266" customWidth="1"/>
    <col min="9224" max="9224" width="8.7109375" style="266" customWidth="1"/>
    <col min="9225" max="9225" width="8.140625" style="266" customWidth="1"/>
    <col min="9226" max="9226" width="4.7109375" style="266" customWidth="1"/>
    <col min="9227" max="9227" width="4.140625" style="266" customWidth="1"/>
    <col min="9228" max="9228" width="7.42578125" style="266" customWidth="1"/>
    <col min="9229" max="9229" width="11.5703125" style="266" customWidth="1"/>
    <col min="9230" max="9230" width="8.7109375" style="266" customWidth="1"/>
    <col min="9231" max="9472" width="9.140625" style="266"/>
    <col min="9473" max="9473" width="6.140625" style="266" customWidth="1"/>
    <col min="9474" max="9474" width="39.85546875" style="266" customWidth="1"/>
    <col min="9475" max="9475" width="9.42578125" style="266" customWidth="1"/>
    <col min="9476" max="9476" width="5.140625" style="266" customWidth="1"/>
    <col min="9477" max="9477" width="7.85546875" style="266" customWidth="1"/>
    <col min="9478" max="9478" width="9.140625" style="266"/>
    <col min="9479" max="9479" width="5.85546875" style="266" customWidth="1"/>
    <col min="9480" max="9480" width="8.7109375" style="266" customWidth="1"/>
    <col min="9481" max="9481" width="8.140625" style="266" customWidth="1"/>
    <col min="9482" max="9482" width="4.7109375" style="266" customWidth="1"/>
    <col min="9483" max="9483" width="4.140625" style="266" customWidth="1"/>
    <col min="9484" max="9484" width="7.42578125" style="266" customWidth="1"/>
    <col min="9485" max="9485" width="11.5703125" style="266" customWidth="1"/>
    <col min="9486" max="9486" width="8.7109375" style="266" customWidth="1"/>
    <col min="9487" max="9728" width="9.140625" style="266"/>
    <col min="9729" max="9729" width="6.140625" style="266" customWidth="1"/>
    <col min="9730" max="9730" width="39.85546875" style="266" customWidth="1"/>
    <col min="9731" max="9731" width="9.42578125" style="266" customWidth="1"/>
    <col min="9732" max="9732" width="5.140625" style="266" customWidth="1"/>
    <col min="9733" max="9733" width="7.85546875" style="266" customWidth="1"/>
    <col min="9734" max="9734" width="9.140625" style="266"/>
    <col min="9735" max="9735" width="5.85546875" style="266" customWidth="1"/>
    <col min="9736" max="9736" width="8.7109375" style="266" customWidth="1"/>
    <col min="9737" max="9737" width="8.140625" style="266" customWidth="1"/>
    <col min="9738" max="9738" width="4.7109375" style="266" customWidth="1"/>
    <col min="9739" max="9739" width="4.140625" style="266" customWidth="1"/>
    <col min="9740" max="9740" width="7.42578125" style="266" customWidth="1"/>
    <col min="9741" max="9741" width="11.5703125" style="266" customWidth="1"/>
    <col min="9742" max="9742" width="8.7109375" style="266" customWidth="1"/>
    <col min="9743" max="9984" width="9.140625" style="266"/>
    <col min="9985" max="9985" width="6.140625" style="266" customWidth="1"/>
    <col min="9986" max="9986" width="39.85546875" style="266" customWidth="1"/>
    <col min="9987" max="9987" width="9.42578125" style="266" customWidth="1"/>
    <col min="9988" max="9988" width="5.140625" style="266" customWidth="1"/>
    <col min="9989" max="9989" width="7.85546875" style="266" customWidth="1"/>
    <col min="9990" max="9990" width="9.140625" style="266"/>
    <col min="9991" max="9991" width="5.85546875" style="266" customWidth="1"/>
    <col min="9992" max="9992" width="8.7109375" style="266" customWidth="1"/>
    <col min="9993" max="9993" width="8.140625" style="266" customWidth="1"/>
    <col min="9994" max="9994" width="4.7109375" style="266" customWidth="1"/>
    <col min="9995" max="9995" width="4.140625" style="266" customWidth="1"/>
    <col min="9996" max="9996" width="7.42578125" style="266" customWidth="1"/>
    <col min="9997" max="9997" width="11.5703125" style="266" customWidth="1"/>
    <col min="9998" max="9998" width="8.7109375" style="266" customWidth="1"/>
    <col min="9999" max="10240" width="9.140625" style="266"/>
    <col min="10241" max="10241" width="6.140625" style="266" customWidth="1"/>
    <col min="10242" max="10242" width="39.85546875" style="266" customWidth="1"/>
    <col min="10243" max="10243" width="9.42578125" style="266" customWidth="1"/>
    <col min="10244" max="10244" width="5.140625" style="266" customWidth="1"/>
    <col min="10245" max="10245" width="7.85546875" style="266" customWidth="1"/>
    <col min="10246" max="10246" width="9.140625" style="266"/>
    <col min="10247" max="10247" width="5.85546875" style="266" customWidth="1"/>
    <col min="10248" max="10248" width="8.7109375" style="266" customWidth="1"/>
    <col min="10249" max="10249" width="8.140625" style="266" customWidth="1"/>
    <col min="10250" max="10250" width="4.7109375" style="266" customWidth="1"/>
    <col min="10251" max="10251" width="4.140625" style="266" customWidth="1"/>
    <col min="10252" max="10252" width="7.42578125" style="266" customWidth="1"/>
    <col min="10253" max="10253" width="11.5703125" style="266" customWidth="1"/>
    <col min="10254" max="10254" width="8.7109375" style="266" customWidth="1"/>
    <col min="10255" max="10496" width="9.140625" style="266"/>
    <col min="10497" max="10497" width="6.140625" style="266" customWidth="1"/>
    <col min="10498" max="10498" width="39.85546875" style="266" customWidth="1"/>
    <col min="10499" max="10499" width="9.42578125" style="266" customWidth="1"/>
    <col min="10500" max="10500" width="5.140625" style="266" customWidth="1"/>
    <col min="10501" max="10501" width="7.85546875" style="266" customWidth="1"/>
    <col min="10502" max="10502" width="9.140625" style="266"/>
    <col min="10503" max="10503" width="5.85546875" style="266" customWidth="1"/>
    <col min="10504" max="10504" width="8.7109375" style="266" customWidth="1"/>
    <col min="10505" max="10505" width="8.140625" style="266" customWidth="1"/>
    <col min="10506" max="10506" width="4.7109375" style="266" customWidth="1"/>
    <col min="10507" max="10507" width="4.140625" style="266" customWidth="1"/>
    <col min="10508" max="10508" width="7.42578125" style="266" customWidth="1"/>
    <col min="10509" max="10509" width="11.5703125" style="266" customWidth="1"/>
    <col min="10510" max="10510" width="8.7109375" style="266" customWidth="1"/>
    <col min="10511" max="10752" width="9.140625" style="266"/>
    <col min="10753" max="10753" width="6.140625" style="266" customWidth="1"/>
    <col min="10754" max="10754" width="39.85546875" style="266" customWidth="1"/>
    <col min="10755" max="10755" width="9.42578125" style="266" customWidth="1"/>
    <col min="10756" max="10756" width="5.140625" style="266" customWidth="1"/>
    <col min="10757" max="10757" width="7.85546875" style="266" customWidth="1"/>
    <col min="10758" max="10758" width="9.140625" style="266"/>
    <col min="10759" max="10759" width="5.85546875" style="266" customWidth="1"/>
    <col min="10760" max="10760" width="8.7109375" style="266" customWidth="1"/>
    <col min="10761" max="10761" width="8.140625" style="266" customWidth="1"/>
    <col min="10762" max="10762" width="4.7109375" style="266" customWidth="1"/>
    <col min="10763" max="10763" width="4.140625" style="266" customWidth="1"/>
    <col min="10764" max="10764" width="7.42578125" style="266" customWidth="1"/>
    <col min="10765" max="10765" width="11.5703125" style="266" customWidth="1"/>
    <col min="10766" max="10766" width="8.7109375" style="266" customWidth="1"/>
    <col min="10767" max="11008" width="9.140625" style="266"/>
    <col min="11009" max="11009" width="6.140625" style="266" customWidth="1"/>
    <col min="11010" max="11010" width="39.85546875" style="266" customWidth="1"/>
    <col min="11011" max="11011" width="9.42578125" style="266" customWidth="1"/>
    <col min="11012" max="11012" width="5.140625" style="266" customWidth="1"/>
    <col min="11013" max="11013" width="7.85546875" style="266" customWidth="1"/>
    <col min="11014" max="11014" width="9.140625" style="266"/>
    <col min="11015" max="11015" width="5.85546875" style="266" customWidth="1"/>
    <col min="11016" max="11016" width="8.7109375" style="266" customWidth="1"/>
    <col min="11017" max="11017" width="8.140625" style="266" customWidth="1"/>
    <col min="11018" max="11018" width="4.7109375" style="266" customWidth="1"/>
    <col min="11019" max="11019" width="4.140625" style="266" customWidth="1"/>
    <col min="11020" max="11020" width="7.42578125" style="266" customWidth="1"/>
    <col min="11021" max="11021" width="11.5703125" style="266" customWidth="1"/>
    <col min="11022" max="11022" width="8.7109375" style="266" customWidth="1"/>
    <col min="11023" max="11264" width="9.140625" style="266"/>
    <col min="11265" max="11265" width="6.140625" style="266" customWidth="1"/>
    <col min="11266" max="11266" width="39.85546875" style="266" customWidth="1"/>
    <col min="11267" max="11267" width="9.42578125" style="266" customWidth="1"/>
    <col min="11268" max="11268" width="5.140625" style="266" customWidth="1"/>
    <col min="11269" max="11269" width="7.85546875" style="266" customWidth="1"/>
    <col min="11270" max="11270" width="9.140625" style="266"/>
    <col min="11271" max="11271" width="5.85546875" style="266" customWidth="1"/>
    <col min="11272" max="11272" width="8.7109375" style="266" customWidth="1"/>
    <col min="11273" max="11273" width="8.140625" style="266" customWidth="1"/>
    <col min="11274" max="11274" width="4.7109375" style="266" customWidth="1"/>
    <col min="11275" max="11275" width="4.140625" style="266" customWidth="1"/>
    <col min="11276" max="11276" width="7.42578125" style="266" customWidth="1"/>
    <col min="11277" max="11277" width="11.5703125" style="266" customWidth="1"/>
    <col min="11278" max="11278" width="8.7109375" style="266" customWidth="1"/>
    <col min="11279" max="11520" width="9.140625" style="266"/>
    <col min="11521" max="11521" width="6.140625" style="266" customWidth="1"/>
    <col min="11522" max="11522" width="39.85546875" style="266" customWidth="1"/>
    <col min="11523" max="11523" width="9.42578125" style="266" customWidth="1"/>
    <col min="11524" max="11524" width="5.140625" style="266" customWidth="1"/>
    <col min="11525" max="11525" width="7.85546875" style="266" customWidth="1"/>
    <col min="11526" max="11526" width="9.140625" style="266"/>
    <col min="11527" max="11527" width="5.85546875" style="266" customWidth="1"/>
    <col min="11528" max="11528" width="8.7109375" style="266" customWidth="1"/>
    <col min="11529" max="11529" width="8.140625" style="266" customWidth="1"/>
    <col min="11530" max="11530" width="4.7109375" style="266" customWidth="1"/>
    <col min="11531" max="11531" width="4.140625" style="266" customWidth="1"/>
    <col min="11532" max="11532" width="7.42578125" style="266" customWidth="1"/>
    <col min="11533" max="11533" width="11.5703125" style="266" customWidth="1"/>
    <col min="11534" max="11534" width="8.7109375" style="266" customWidth="1"/>
    <col min="11535" max="11776" width="9.140625" style="266"/>
    <col min="11777" max="11777" width="6.140625" style="266" customWidth="1"/>
    <col min="11778" max="11778" width="39.85546875" style="266" customWidth="1"/>
    <col min="11779" max="11779" width="9.42578125" style="266" customWidth="1"/>
    <col min="11780" max="11780" width="5.140625" style="266" customWidth="1"/>
    <col min="11781" max="11781" width="7.85546875" style="266" customWidth="1"/>
    <col min="11782" max="11782" width="9.140625" style="266"/>
    <col min="11783" max="11783" width="5.85546875" style="266" customWidth="1"/>
    <col min="11784" max="11784" width="8.7109375" style="266" customWidth="1"/>
    <col min="11785" max="11785" width="8.140625" style="266" customWidth="1"/>
    <col min="11786" max="11786" width="4.7109375" style="266" customWidth="1"/>
    <col min="11787" max="11787" width="4.140625" style="266" customWidth="1"/>
    <col min="11788" max="11788" width="7.42578125" style="266" customWidth="1"/>
    <col min="11789" max="11789" width="11.5703125" style="266" customWidth="1"/>
    <col min="11790" max="11790" width="8.7109375" style="266" customWidth="1"/>
    <col min="11791" max="12032" width="9.140625" style="266"/>
    <col min="12033" max="12033" width="6.140625" style="266" customWidth="1"/>
    <col min="12034" max="12034" width="39.85546875" style="266" customWidth="1"/>
    <col min="12035" max="12035" width="9.42578125" style="266" customWidth="1"/>
    <col min="12036" max="12036" width="5.140625" style="266" customWidth="1"/>
    <col min="12037" max="12037" width="7.85546875" style="266" customWidth="1"/>
    <col min="12038" max="12038" width="9.140625" style="266"/>
    <col min="12039" max="12039" width="5.85546875" style="266" customWidth="1"/>
    <col min="12040" max="12040" width="8.7109375" style="266" customWidth="1"/>
    <col min="12041" max="12041" width="8.140625" style="266" customWidth="1"/>
    <col min="12042" max="12042" width="4.7109375" style="266" customWidth="1"/>
    <col min="12043" max="12043" width="4.140625" style="266" customWidth="1"/>
    <col min="12044" max="12044" width="7.42578125" style="266" customWidth="1"/>
    <col min="12045" max="12045" width="11.5703125" style="266" customWidth="1"/>
    <col min="12046" max="12046" width="8.7109375" style="266" customWidth="1"/>
    <col min="12047" max="12288" width="9.140625" style="266"/>
    <col min="12289" max="12289" width="6.140625" style="266" customWidth="1"/>
    <col min="12290" max="12290" width="39.85546875" style="266" customWidth="1"/>
    <col min="12291" max="12291" width="9.42578125" style="266" customWidth="1"/>
    <col min="12292" max="12292" width="5.140625" style="266" customWidth="1"/>
    <col min="12293" max="12293" width="7.85546875" style="266" customWidth="1"/>
    <col min="12294" max="12294" width="9.140625" style="266"/>
    <col min="12295" max="12295" width="5.85546875" style="266" customWidth="1"/>
    <col min="12296" max="12296" width="8.7109375" style="266" customWidth="1"/>
    <col min="12297" max="12297" width="8.140625" style="266" customWidth="1"/>
    <col min="12298" max="12298" width="4.7109375" style="266" customWidth="1"/>
    <col min="12299" max="12299" width="4.140625" style="266" customWidth="1"/>
    <col min="12300" max="12300" width="7.42578125" style="266" customWidth="1"/>
    <col min="12301" max="12301" width="11.5703125" style="266" customWidth="1"/>
    <col min="12302" max="12302" width="8.7109375" style="266" customWidth="1"/>
    <col min="12303" max="12544" width="9.140625" style="266"/>
    <col min="12545" max="12545" width="6.140625" style="266" customWidth="1"/>
    <col min="12546" max="12546" width="39.85546875" style="266" customWidth="1"/>
    <col min="12547" max="12547" width="9.42578125" style="266" customWidth="1"/>
    <col min="12548" max="12548" width="5.140625" style="266" customWidth="1"/>
    <col min="12549" max="12549" width="7.85546875" style="266" customWidth="1"/>
    <col min="12550" max="12550" width="9.140625" style="266"/>
    <col min="12551" max="12551" width="5.85546875" style="266" customWidth="1"/>
    <col min="12552" max="12552" width="8.7109375" style="266" customWidth="1"/>
    <col min="12553" max="12553" width="8.140625" style="266" customWidth="1"/>
    <col min="12554" max="12554" width="4.7109375" style="266" customWidth="1"/>
    <col min="12555" max="12555" width="4.140625" style="266" customWidth="1"/>
    <col min="12556" max="12556" width="7.42578125" style="266" customWidth="1"/>
    <col min="12557" max="12557" width="11.5703125" style="266" customWidth="1"/>
    <col min="12558" max="12558" width="8.7109375" style="266" customWidth="1"/>
    <col min="12559" max="12800" width="9.140625" style="266"/>
    <col min="12801" max="12801" width="6.140625" style="266" customWidth="1"/>
    <col min="12802" max="12802" width="39.85546875" style="266" customWidth="1"/>
    <col min="12803" max="12803" width="9.42578125" style="266" customWidth="1"/>
    <col min="12804" max="12804" width="5.140625" style="266" customWidth="1"/>
    <col min="12805" max="12805" width="7.85546875" style="266" customWidth="1"/>
    <col min="12806" max="12806" width="9.140625" style="266"/>
    <col min="12807" max="12807" width="5.85546875" style="266" customWidth="1"/>
    <col min="12808" max="12808" width="8.7109375" style="266" customWidth="1"/>
    <col min="12809" max="12809" width="8.140625" style="266" customWidth="1"/>
    <col min="12810" max="12810" width="4.7109375" style="266" customWidth="1"/>
    <col min="12811" max="12811" width="4.140625" style="266" customWidth="1"/>
    <col min="12812" max="12812" width="7.42578125" style="266" customWidth="1"/>
    <col min="12813" max="12813" width="11.5703125" style="266" customWidth="1"/>
    <col min="12814" max="12814" width="8.7109375" style="266" customWidth="1"/>
    <col min="12815" max="13056" width="9.140625" style="266"/>
    <col min="13057" max="13057" width="6.140625" style="266" customWidth="1"/>
    <col min="13058" max="13058" width="39.85546875" style="266" customWidth="1"/>
    <col min="13059" max="13059" width="9.42578125" style="266" customWidth="1"/>
    <col min="13060" max="13060" width="5.140625" style="266" customWidth="1"/>
    <col min="13061" max="13061" width="7.85546875" style="266" customWidth="1"/>
    <col min="13062" max="13062" width="9.140625" style="266"/>
    <col min="13063" max="13063" width="5.85546875" style="266" customWidth="1"/>
    <col min="13064" max="13064" width="8.7109375" style="266" customWidth="1"/>
    <col min="13065" max="13065" width="8.140625" style="266" customWidth="1"/>
    <col min="13066" max="13066" width="4.7109375" style="266" customWidth="1"/>
    <col min="13067" max="13067" width="4.140625" style="266" customWidth="1"/>
    <col min="13068" max="13068" width="7.42578125" style="266" customWidth="1"/>
    <col min="13069" max="13069" width="11.5703125" style="266" customWidth="1"/>
    <col min="13070" max="13070" width="8.7109375" style="266" customWidth="1"/>
    <col min="13071" max="13312" width="9.140625" style="266"/>
    <col min="13313" max="13313" width="6.140625" style="266" customWidth="1"/>
    <col min="13314" max="13314" width="39.85546875" style="266" customWidth="1"/>
    <col min="13315" max="13315" width="9.42578125" style="266" customWidth="1"/>
    <col min="13316" max="13316" width="5.140625" style="266" customWidth="1"/>
    <col min="13317" max="13317" width="7.85546875" style="266" customWidth="1"/>
    <col min="13318" max="13318" width="9.140625" style="266"/>
    <col min="13319" max="13319" width="5.85546875" style="266" customWidth="1"/>
    <col min="13320" max="13320" width="8.7109375" style="266" customWidth="1"/>
    <col min="13321" max="13321" width="8.140625" style="266" customWidth="1"/>
    <col min="13322" max="13322" width="4.7109375" style="266" customWidth="1"/>
    <col min="13323" max="13323" width="4.140625" style="266" customWidth="1"/>
    <col min="13324" max="13324" width="7.42578125" style="266" customWidth="1"/>
    <col min="13325" max="13325" width="11.5703125" style="266" customWidth="1"/>
    <col min="13326" max="13326" width="8.7109375" style="266" customWidth="1"/>
    <col min="13327" max="13568" width="9.140625" style="266"/>
    <col min="13569" max="13569" width="6.140625" style="266" customWidth="1"/>
    <col min="13570" max="13570" width="39.85546875" style="266" customWidth="1"/>
    <col min="13571" max="13571" width="9.42578125" style="266" customWidth="1"/>
    <col min="13572" max="13572" width="5.140625" style="266" customWidth="1"/>
    <col min="13573" max="13573" width="7.85546875" style="266" customWidth="1"/>
    <col min="13574" max="13574" width="9.140625" style="266"/>
    <col min="13575" max="13575" width="5.85546875" style="266" customWidth="1"/>
    <col min="13576" max="13576" width="8.7109375" style="266" customWidth="1"/>
    <col min="13577" max="13577" width="8.140625" style="266" customWidth="1"/>
    <col min="13578" max="13578" width="4.7109375" style="266" customWidth="1"/>
    <col min="13579" max="13579" width="4.140625" style="266" customWidth="1"/>
    <col min="13580" max="13580" width="7.42578125" style="266" customWidth="1"/>
    <col min="13581" max="13581" width="11.5703125" style="266" customWidth="1"/>
    <col min="13582" max="13582" width="8.7109375" style="266" customWidth="1"/>
    <col min="13583" max="13824" width="9.140625" style="266"/>
    <col min="13825" max="13825" width="6.140625" style="266" customWidth="1"/>
    <col min="13826" max="13826" width="39.85546875" style="266" customWidth="1"/>
    <col min="13827" max="13827" width="9.42578125" style="266" customWidth="1"/>
    <col min="13828" max="13828" width="5.140625" style="266" customWidth="1"/>
    <col min="13829" max="13829" width="7.85546875" style="266" customWidth="1"/>
    <col min="13830" max="13830" width="9.140625" style="266"/>
    <col min="13831" max="13831" width="5.85546875" style="266" customWidth="1"/>
    <col min="13832" max="13832" width="8.7109375" style="266" customWidth="1"/>
    <col min="13833" max="13833" width="8.140625" style="266" customWidth="1"/>
    <col min="13834" max="13834" width="4.7109375" style="266" customWidth="1"/>
    <col min="13835" max="13835" width="4.140625" style="266" customWidth="1"/>
    <col min="13836" max="13836" width="7.42578125" style="266" customWidth="1"/>
    <col min="13837" max="13837" width="11.5703125" style="266" customWidth="1"/>
    <col min="13838" max="13838" width="8.7109375" style="266" customWidth="1"/>
    <col min="13839" max="14080" width="9.140625" style="266"/>
    <col min="14081" max="14081" width="6.140625" style="266" customWidth="1"/>
    <col min="14082" max="14082" width="39.85546875" style="266" customWidth="1"/>
    <col min="14083" max="14083" width="9.42578125" style="266" customWidth="1"/>
    <col min="14084" max="14084" width="5.140625" style="266" customWidth="1"/>
    <col min="14085" max="14085" width="7.85546875" style="266" customWidth="1"/>
    <col min="14086" max="14086" width="9.140625" style="266"/>
    <col min="14087" max="14087" width="5.85546875" style="266" customWidth="1"/>
    <col min="14088" max="14088" width="8.7109375" style="266" customWidth="1"/>
    <col min="14089" max="14089" width="8.140625" style="266" customWidth="1"/>
    <col min="14090" max="14090" width="4.7109375" style="266" customWidth="1"/>
    <col min="14091" max="14091" width="4.140625" style="266" customWidth="1"/>
    <col min="14092" max="14092" width="7.42578125" style="266" customWidth="1"/>
    <col min="14093" max="14093" width="11.5703125" style="266" customWidth="1"/>
    <col min="14094" max="14094" width="8.7109375" style="266" customWidth="1"/>
    <col min="14095" max="14336" width="9.140625" style="266"/>
    <col min="14337" max="14337" width="6.140625" style="266" customWidth="1"/>
    <col min="14338" max="14338" width="39.85546875" style="266" customWidth="1"/>
    <col min="14339" max="14339" width="9.42578125" style="266" customWidth="1"/>
    <col min="14340" max="14340" width="5.140625" style="266" customWidth="1"/>
    <col min="14341" max="14341" width="7.85546875" style="266" customWidth="1"/>
    <col min="14342" max="14342" width="9.140625" style="266"/>
    <col min="14343" max="14343" width="5.85546875" style="266" customWidth="1"/>
    <col min="14344" max="14344" width="8.7109375" style="266" customWidth="1"/>
    <col min="14345" max="14345" width="8.140625" style="266" customWidth="1"/>
    <col min="14346" max="14346" width="4.7109375" style="266" customWidth="1"/>
    <col min="14347" max="14347" width="4.140625" style="266" customWidth="1"/>
    <col min="14348" max="14348" width="7.42578125" style="266" customWidth="1"/>
    <col min="14349" max="14349" width="11.5703125" style="266" customWidth="1"/>
    <col min="14350" max="14350" width="8.7109375" style="266" customWidth="1"/>
    <col min="14351" max="14592" width="9.140625" style="266"/>
    <col min="14593" max="14593" width="6.140625" style="266" customWidth="1"/>
    <col min="14594" max="14594" width="39.85546875" style="266" customWidth="1"/>
    <col min="14595" max="14595" width="9.42578125" style="266" customWidth="1"/>
    <col min="14596" max="14596" width="5.140625" style="266" customWidth="1"/>
    <col min="14597" max="14597" width="7.85546875" style="266" customWidth="1"/>
    <col min="14598" max="14598" width="9.140625" style="266"/>
    <col min="14599" max="14599" width="5.85546875" style="266" customWidth="1"/>
    <col min="14600" max="14600" width="8.7109375" style="266" customWidth="1"/>
    <col min="14601" max="14601" width="8.140625" style="266" customWidth="1"/>
    <col min="14602" max="14602" width="4.7109375" style="266" customWidth="1"/>
    <col min="14603" max="14603" width="4.140625" style="266" customWidth="1"/>
    <col min="14604" max="14604" width="7.42578125" style="266" customWidth="1"/>
    <col min="14605" max="14605" width="11.5703125" style="266" customWidth="1"/>
    <col min="14606" max="14606" width="8.7109375" style="266" customWidth="1"/>
    <col min="14607" max="14848" width="9.140625" style="266"/>
    <col min="14849" max="14849" width="6.140625" style="266" customWidth="1"/>
    <col min="14850" max="14850" width="39.85546875" style="266" customWidth="1"/>
    <col min="14851" max="14851" width="9.42578125" style="266" customWidth="1"/>
    <col min="14852" max="14852" width="5.140625" style="266" customWidth="1"/>
    <col min="14853" max="14853" width="7.85546875" style="266" customWidth="1"/>
    <col min="14854" max="14854" width="9.140625" style="266"/>
    <col min="14855" max="14855" width="5.85546875" style="266" customWidth="1"/>
    <col min="14856" max="14856" width="8.7109375" style="266" customWidth="1"/>
    <col min="14857" max="14857" width="8.140625" style="266" customWidth="1"/>
    <col min="14858" max="14858" width="4.7109375" style="266" customWidth="1"/>
    <col min="14859" max="14859" width="4.140625" style="266" customWidth="1"/>
    <col min="14860" max="14860" width="7.42578125" style="266" customWidth="1"/>
    <col min="14861" max="14861" width="11.5703125" style="266" customWidth="1"/>
    <col min="14862" max="14862" width="8.7109375" style="266" customWidth="1"/>
    <col min="14863" max="15104" width="9.140625" style="266"/>
    <col min="15105" max="15105" width="6.140625" style="266" customWidth="1"/>
    <col min="15106" max="15106" width="39.85546875" style="266" customWidth="1"/>
    <col min="15107" max="15107" width="9.42578125" style="266" customWidth="1"/>
    <col min="15108" max="15108" width="5.140625" style="266" customWidth="1"/>
    <col min="15109" max="15109" width="7.85546875" style="266" customWidth="1"/>
    <col min="15110" max="15110" width="9.140625" style="266"/>
    <col min="15111" max="15111" width="5.85546875" style="266" customWidth="1"/>
    <col min="15112" max="15112" width="8.7109375" style="266" customWidth="1"/>
    <col min="15113" max="15113" width="8.140625" style="266" customWidth="1"/>
    <col min="15114" max="15114" width="4.7109375" style="266" customWidth="1"/>
    <col min="15115" max="15115" width="4.140625" style="266" customWidth="1"/>
    <col min="15116" max="15116" width="7.42578125" style="266" customWidth="1"/>
    <col min="15117" max="15117" width="11.5703125" style="266" customWidth="1"/>
    <col min="15118" max="15118" width="8.7109375" style="266" customWidth="1"/>
    <col min="15119" max="15360" width="9.140625" style="266"/>
    <col min="15361" max="15361" width="6.140625" style="266" customWidth="1"/>
    <col min="15362" max="15362" width="39.85546875" style="266" customWidth="1"/>
    <col min="15363" max="15363" width="9.42578125" style="266" customWidth="1"/>
    <col min="15364" max="15364" width="5.140625" style="266" customWidth="1"/>
    <col min="15365" max="15365" width="7.85546875" style="266" customWidth="1"/>
    <col min="15366" max="15366" width="9.140625" style="266"/>
    <col min="15367" max="15367" width="5.85546875" style="266" customWidth="1"/>
    <col min="15368" max="15368" width="8.7109375" style="266" customWidth="1"/>
    <col min="15369" max="15369" width="8.140625" style="266" customWidth="1"/>
    <col min="15370" max="15370" width="4.7109375" style="266" customWidth="1"/>
    <col min="15371" max="15371" width="4.140625" style="266" customWidth="1"/>
    <col min="15372" max="15372" width="7.42578125" style="266" customWidth="1"/>
    <col min="15373" max="15373" width="11.5703125" style="266" customWidth="1"/>
    <col min="15374" max="15374" width="8.7109375" style="266" customWidth="1"/>
    <col min="15375" max="15616" width="9.140625" style="266"/>
    <col min="15617" max="15617" width="6.140625" style="266" customWidth="1"/>
    <col min="15618" max="15618" width="39.85546875" style="266" customWidth="1"/>
    <col min="15619" max="15619" width="9.42578125" style="266" customWidth="1"/>
    <col min="15620" max="15620" width="5.140625" style="266" customWidth="1"/>
    <col min="15621" max="15621" width="7.85546875" style="266" customWidth="1"/>
    <col min="15622" max="15622" width="9.140625" style="266"/>
    <col min="15623" max="15623" width="5.85546875" style="266" customWidth="1"/>
    <col min="15624" max="15624" width="8.7109375" style="266" customWidth="1"/>
    <col min="15625" max="15625" width="8.140625" style="266" customWidth="1"/>
    <col min="15626" max="15626" width="4.7109375" style="266" customWidth="1"/>
    <col min="15627" max="15627" width="4.140625" style="266" customWidth="1"/>
    <col min="15628" max="15628" width="7.42578125" style="266" customWidth="1"/>
    <col min="15629" max="15629" width="11.5703125" style="266" customWidth="1"/>
    <col min="15630" max="15630" width="8.7109375" style="266" customWidth="1"/>
    <col min="15631" max="15872" width="9.140625" style="266"/>
    <col min="15873" max="15873" width="6.140625" style="266" customWidth="1"/>
    <col min="15874" max="15874" width="39.85546875" style="266" customWidth="1"/>
    <col min="15875" max="15875" width="9.42578125" style="266" customWidth="1"/>
    <col min="15876" max="15876" width="5.140625" style="266" customWidth="1"/>
    <col min="15877" max="15877" width="7.85546875" style="266" customWidth="1"/>
    <col min="15878" max="15878" width="9.140625" style="266"/>
    <col min="15879" max="15879" width="5.85546875" style="266" customWidth="1"/>
    <col min="15880" max="15880" width="8.7109375" style="266" customWidth="1"/>
    <col min="15881" max="15881" width="8.140625" style="266" customWidth="1"/>
    <col min="15882" max="15882" width="4.7109375" style="266" customWidth="1"/>
    <col min="15883" max="15883" width="4.140625" style="266" customWidth="1"/>
    <col min="15884" max="15884" width="7.42578125" style="266" customWidth="1"/>
    <col min="15885" max="15885" width="11.5703125" style="266" customWidth="1"/>
    <col min="15886" max="15886" width="8.7109375" style="266" customWidth="1"/>
    <col min="15887" max="16128" width="9.140625" style="266"/>
    <col min="16129" max="16129" width="6.140625" style="266" customWidth="1"/>
    <col min="16130" max="16130" width="39.85546875" style="266" customWidth="1"/>
    <col min="16131" max="16131" width="9.42578125" style="266" customWidth="1"/>
    <col min="16132" max="16132" width="5.140625" style="266" customWidth="1"/>
    <col min="16133" max="16133" width="7.85546875" style="266" customWidth="1"/>
    <col min="16134" max="16134" width="9.140625" style="266"/>
    <col min="16135" max="16135" width="5.85546875" style="266" customWidth="1"/>
    <col min="16136" max="16136" width="8.7109375" style="266" customWidth="1"/>
    <col min="16137" max="16137" width="8.140625" style="266" customWidth="1"/>
    <col min="16138" max="16138" width="4.7109375" style="266" customWidth="1"/>
    <col min="16139" max="16139" width="4.140625" style="266" customWidth="1"/>
    <col min="16140" max="16140" width="7.42578125" style="266" customWidth="1"/>
    <col min="16141" max="16141" width="11.5703125" style="266" customWidth="1"/>
    <col min="16142" max="16142" width="8.7109375" style="266" customWidth="1"/>
    <col min="16143" max="16384" width="9.140625" style="266"/>
  </cols>
  <sheetData>
    <row r="1" spans="1:16">
      <c r="A1" s="1574" t="s">
        <v>2424</v>
      </c>
      <c r="B1" s="1574"/>
      <c r="C1" s="1574"/>
      <c r="D1" s="1574"/>
      <c r="E1" s="1574"/>
      <c r="F1" s="1574"/>
      <c r="G1" s="1574"/>
      <c r="H1" s="1574"/>
      <c r="I1" s="1574"/>
      <c r="J1" s="1574"/>
      <c r="K1" s="1574"/>
      <c r="L1" s="1574"/>
      <c r="M1" s="1574"/>
      <c r="N1" s="1574"/>
    </row>
    <row r="2" spans="1:16" ht="16.5" thickBot="1">
      <c r="A2" s="267"/>
      <c r="B2" s="267"/>
      <c r="C2" s="334" t="s">
        <v>370</v>
      </c>
      <c r="D2" s="267"/>
      <c r="E2" s="267"/>
      <c r="F2" s="267"/>
      <c r="G2" s="267"/>
      <c r="H2" s="267"/>
      <c r="I2" s="267"/>
      <c r="J2" s="267"/>
      <c r="K2" s="267"/>
      <c r="L2" s="267"/>
      <c r="M2" s="267"/>
      <c r="N2" s="269" t="s">
        <v>2190</v>
      </c>
    </row>
    <row r="3" spans="1:16">
      <c r="A3" s="6401" t="s">
        <v>371</v>
      </c>
      <c r="B3" s="1595" t="s">
        <v>372</v>
      </c>
      <c r="C3" s="1575" t="s">
        <v>373</v>
      </c>
      <c r="D3" s="1575"/>
      <c r="E3" s="1575"/>
      <c r="F3" s="1575"/>
      <c r="G3" s="1575"/>
      <c r="H3" s="1575"/>
      <c r="I3" s="1575"/>
      <c r="J3" s="1575"/>
      <c r="K3" s="1575"/>
      <c r="L3" s="1558"/>
      <c r="M3" s="1589"/>
      <c r="N3" s="1590"/>
    </row>
    <row r="4" spans="1:16">
      <c r="A4" s="6402"/>
      <c r="B4" s="381"/>
      <c r="C4" s="316"/>
      <c r="D4" s="316"/>
      <c r="E4" s="311"/>
      <c r="F4" s="316"/>
      <c r="G4" s="316"/>
      <c r="H4" s="311"/>
      <c r="I4" s="316"/>
      <c r="J4" s="316"/>
      <c r="K4" s="317"/>
      <c r="L4" s="1559" t="s">
        <v>374</v>
      </c>
      <c r="M4" s="1558" t="s">
        <v>94</v>
      </c>
      <c r="N4" s="1591"/>
    </row>
    <row r="5" spans="1:16">
      <c r="A5" s="6402"/>
      <c r="B5" s="1592"/>
      <c r="C5" s="316" t="s">
        <v>375</v>
      </c>
      <c r="D5" s="316" t="s">
        <v>341</v>
      </c>
      <c r="E5" s="312"/>
      <c r="F5" s="316" t="s">
        <v>376</v>
      </c>
      <c r="G5" s="316" t="s">
        <v>342</v>
      </c>
      <c r="H5" s="312"/>
      <c r="I5" s="316" t="s">
        <v>377</v>
      </c>
      <c r="J5" s="316" t="s">
        <v>378</v>
      </c>
      <c r="K5" s="316"/>
      <c r="L5" s="1559" t="s">
        <v>379</v>
      </c>
      <c r="M5" s="1559" t="s">
        <v>96</v>
      </c>
      <c r="N5" s="1592" t="s">
        <v>94</v>
      </c>
    </row>
    <row r="6" spans="1:16">
      <c r="A6" s="6402"/>
      <c r="B6" s="1592"/>
      <c r="C6" s="314"/>
      <c r="D6" s="314"/>
      <c r="E6" s="315"/>
      <c r="F6" s="314"/>
      <c r="G6" s="314"/>
      <c r="H6" s="315"/>
      <c r="I6" s="314"/>
      <c r="J6" s="314" t="s">
        <v>263</v>
      </c>
      <c r="K6" s="314"/>
      <c r="L6" s="1831" t="s">
        <v>380</v>
      </c>
      <c r="M6" s="1597" t="s">
        <v>381</v>
      </c>
      <c r="N6" s="1593"/>
    </row>
    <row r="7" spans="1:16" ht="16.5" thickBot="1">
      <c r="A7" s="6403"/>
      <c r="B7" s="1597"/>
      <c r="C7" s="1579" t="s">
        <v>382</v>
      </c>
      <c r="D7" s="1578" t="s">
        <v>96</v>
      </c>
      <c r="E7" s="1579" t="s">
        <v>383</v>
      </c>
      <c r="F7" s="1576" t="s">
        <v>384</v>
      </c>
      <c r="G7" s="1577" t="s">
        <v>96</v>
      </c>
      <c r="H7" s="1580" t="s">
        <v>383</v>
      </c>
      <c r="I7" s="1581" t="s">
        <v>385</v>
      </c>
      <c r="J7" s="1577" t="s">
        <v>96</v>
      </c>
      <c r="K7" s="1576" t="s">
        <v>386</v>
      </c>
      <c r="L7" s="1588"/>
      <c r="M7" s="1830" t="s">
        <v>387</v>
      </c>
      <c r="N7" s="1594" t="s">
        <v>383</v>
      </c>
    </row>
    <row r="8" spans="1:16">
      <c r="A8" s="321"/>
      <c r="C8" s="384"/>
      <c r="D8" s="385"/>
      <c r="E8" s="385"/>
      <c r="F8" s="307"/>
      <c r="G8" s="384"/>
      <c r="H8" s="307"/>
      <c r="I8" s="348"/>
      <c r="J8" s="384"/>
      <c r="K8" s="385"/>
      <c r="L8" s="384"/>
      <c r="M8" s="1582"/>
      <c r="N8" s="385"/>
    </row>
    <row r="9" spans="1:16">
      <c r="A9" s="325">
        <v>1</v>
      </c>
      <c r="B9" s="327" t="s">
        <v>388</v>
      </c>
      <c r="C9" s="321"/>
      <c r="D9" s="323"/>
      <c r="E9" s="323"/>
      <c r="G9" s="321"/>
      <c r="I9" s="330"/>
      <c r="J9" s="321"/>
      <c r="K9" s="323"/>
      <c r="L9" s="328">
        <v>4.3499999999999996</v>
      </c>
      <c r="M9" s="331">
        <v>0</v>
      </c>
      <c r="N9" s="42">
        <v>0</v>
      </c>
    </row>
    <row r="10" spans="1:16">
      <c r="A10" s="329">
        <v>2</v>
      </c>
      <c r="B10" s="266" t="s">
        <v>389</v>
      </c>
      <c r="C10" s="42"/>
      <c r="D10" s="326"/>
      <c r="E10" s="326"/>
      <c r="F10" s="327"/>
      <c r="G10" s="42"/>
      <c r="H10" s="327"/>
      <c r="I10" s="328"/>
      <c r="J10" s="42"/>
      <c r="K10" s="326"/>
      <c r="L10" s="396">
        <v>97.24</v>
      </c>
      <c r="M10" s="42">
        <v>3.99</v>
      </c>
      <c r="N10" s="321">
        <v>0</v>
      </c>
    </row>
    <row r="11" spans="1:16" hidden="1">
      <c r="A11" s="325">
        <v>3</v>
      </c>
      <c r="B11" s="327" t="s">
        <v>390</v>
      </c>
      <c r="C11" s="321"/>
      <c r="D11" s="323"/>
      <c r="E11" s="323"/>
      <c r="G11" s="321"/>
      <c r="I11" s="330"/>
      <c r="J11" s="321"/>
      <c r="K11" s="323"/>
      <c r="L11" s="328"/>
      <c r="M11" s="321"/>
      <c r="N11" s="42"/>
    </row>
    <row r="12" spans="1:16" hidden="1">
      <c r="A12" s="329">
        <v>4</v>
      </c>
      <c r="B12" s="334" t="s">
        <v>391</v>
      </c>
      <c r="C12" s="42"/>
      <c r="D12" s="326"/>
      <c r="E12" s="326"/>
      <c r="F12" s="327"/>
      <c r="G12" s="42"/>
      <c r="H12" s="327"/>
      <c r="I12" s="328"/>
      <c r="J12" s="42"/>
      <c r="K12" s="326"/>
      <c r="L12" s="330"/>
      <c r="M12" s="42"/>
      <c r="N12" s="321"/>
    </row>
    <row r="13" spans="1:16" hidden="1">
      <c r="A13" s="325">
        <v>5</v>
      </c>
      <c r="B13" s="327" t="s">
        <v>392</v>
      </c>
      <c r="C13" s="321"/>
      <c r="D13" s="323"/>
      <c r="E13" s="323"/>
      <c r="G13" s="321"/>
      <c r="I13" s="330"/>
      <c r="J13" s="321"/>
      <c r="K13" s="323"/>
      <c r="L13" s="328"/>
      <c r="M13" s="321"/>
      <c r="N13" s="42"/>
    </row>
    <row r="14" spans="1:16">
      <c r="A14" s="329">
        <v>6</v>
      </c>
      <c r="B14" s="334" t="s">
        <v>393</v>
      </c>
      <c r="C14" s="42"/>
      <c r="D14" s="326"/>
      <c r="E14" s="326"/>
      <c r="F14" s="327"/>
      <c r="G14" s="42"/>
      <c r="H14" s="327"/>
      <c r="I14" s="328"/>
      <c r="J14" s="42"/>
      <c r="K14" s="326"/>
      <c r="L14" s="330">
        <v>843.24</v>
      </c>
      <c r="M14" s="44">
        <v>46.81</v>
      </c>
      <c r="N14" s="321">
        <v>3.61</v>
      </c>
      <c r="P14" s="388"/>
    </row>
    <row r="15" spans="1:16" hidden="1">
      <c r="A15" s="333" t="s">
        <v>233</v>
      </c>
      <c r="B15" s="327" t="s">
        <v>394</v>
      </c>
      <c r="C15" s="321"/>
      <c r="D15" s="323"/>
      <c r="E15" s="323"/>
      <c r="G15" s="321"/>
      <c r="I15" s="330"/>
      <c r="J15" s="321"/>
      <c r="K15" s="323"/>
      <c r="L15" s="328"/>
      <c r="M15" s="321"/>
      <c r="N15" s="42"/>
    </row>
    <row r="16" spans="1:16" hidden="1">
      <c r="A16" s="321"/>
      <c r="B16" s="334" t="s">
        <v>395</v>
      </c>
      <c r="C16" s="42"/>
      <c r="D16" s="326"/>
      <c r="E16" s="326"/>
      <c r="F16" s="327"/>
      <c r="G16" s="42"/>
      <c r="H16" s="327"/>
      <c r="I16" s="328"/>
      <c r="J16" s="42"/>
      <c r="K16" s="326"/>
      <c r="L16" s="330"/>
      <c r="M16" s="42"/>
      <c r="N16" s="321"/>
    </row>
    <row r="17" spans="1:16" hidden="1">
      <c r="A17" s="42"/>
      <c r="B17" s="327" t="s">
        <v>396</v>
      </c>
      <c r="C17" s="321"/>
      <c r="D17" s="323"/>
      <c r="E17" s="323"/>
      <c r="G17" s="321"/>
      <c r="I17" s="330"/>
      <c r="J17" s="321"/>
      <c r="K17" s="323"/>
      <c r="L17" s="328"/>
      <c r="M17" s="321"/>
      <c r="N17" s="42"/>
    </row>
    <row r="18" spans="1:16" hidden="1">
      <c r="A18" s="321"/>
      <c r="B18" s="334" t="s">
        <v>397</v>
      </c>
      <c r="C18" s="42"/>
      <c r="D18" s="326"/>
      <c r="E18" s="326"/>
      <c r="F18" s="327"/>
      <c r="G18" s="42"/>
      <c r="H18" s="327"/>
      <c r="I18" s="328"/>
      <c r="J18" s="42"/>
      <c r="K18" s="326"/>
      <c r="L18" s="330"/>
      <c r="M18" s="42"/>
      <c r="N18" s="321"/>
    </row>
    <row r="19" spans="1:16" hidden="1">
      <c r="A19" s="42"/>
      <c r="B19" s="327" t="s">
        <v>398</v>
      </c>
      <c r="C19" s="321"/>
      <c r="D19" s="323"/>
      <c r="E19" s="323"/>
      <c r="G19" s="321"/>
      <c r="I19" s="330"/>
      <c r="J19" s="321"/>
      <c r="K19" s="323"/>
      <c r="L19" s="328"/>
      <c r="M19" s="321"/>
      <c r="N19" s="42"/>
    </row>
    <row r="20" spans="1:16" hidden="1">
      <c r="A20" s="321"/>
      <c r="B20" s="334" t="s">
        <v>399</v>
      </c>
      <c r="C20" s="42"/>
      <c r="D20" s="326"/>
      <c r="E20" s="326"/>
      <c r="F20" s="327"/>
      <c r="G20" s="42"/>
      <c r="H20" s="327"/>
      <c r="I20" s="328"/>
      <c r="J20" s="42"/>
      <c r="K20" s="326"/>
      <c r="L20" s="330"/>
      <c r="M20" s="42"/>
      <c r="N20" s="321"/>
    </row>
    <row r="21" spans="1:16" hidden="1">
      <c r="A21" s="42"/>
      <c r="B21" s="327" t="s">
        <v>400</v>
      </c>
      <c r="C21" s="321"/>
      <c r="D21" s="323"/>
      <c r="E21" s="323"/>
      <c r="G21" s="321"/>
      <c r="I21" s="330"/>
      <c r="J21" s="321"/>
      <c r="K21" s="323"/>
      <c r="L21" s="328"/>
      <c r="M21" s="321"/>
      <c r="N21" s="42"/>
    </row>
    <row r="22" spans="1:16" hidden="1">
      <c r="A22" s="321"/>
      <c r="B22" s="334" t="s">
        <v>401</v>
      </c>
      <c r="C22" s="42"/>
      <c r="D22" s="326"/>
      <c r="E22" s="326"/>
      <c r="F22" s="327"/>
      <c r="G22" s="42"/>
      <c r="H22" s="327"/>
      <c r="I22" s="328"/>
      <c r="J22" s="42"/>
      <c r="K22" s="326"/>
      <c r="L22" s="330"/>
      <c r="M22" s="42"/>
      <c r="N22" s="321"/>
    </row>
    <row r="23" spans="1:16" hidden="1">
      <c r="A23" s="42"/>
      <c r="B23" s="327" t="s">
        <v>402</v>
      </c>
      <c r="C23" s="42"/>
      <c r="D23" s="326"/>
      <c r="E23" s="323"/>
      <c r="G23" s="321"/>
      <c r="I23" s="330"/>
      <c r="J23" s="321"/>
      <c r="K23" s="323"/>
      <c r="L23" s="328"/>
      <c r="M23" s="321"/>
      <c r="N23" s="42"/>
    </row>
    <row r="24" spans="1:16" hidden="1">
      <c r="A24" s="330"/>
      <c r="B24" s="335" t="s">
        <v>403</v>
      </c>
      <c r="C24" s="42"/>
      <c r="D24" s="326"/>
      <c r="E24" s="326"/>
      <c r="F24" s="327"/>
      <c r="G24" s="42"/>
      <c r="H24" s="327"/>
      <c r="I24" s="328"/>
      <c r="J24" s="42"/>
      <c r="K24" s="326"/>
      <c r="M24" s="42"/>
      <c r="N24" s="321"/>
    </row>
    <row r="25" spans="1:16" hidden="1">
      <c r="A25" s="42"/>
      <c r="B25" s="327" t="s">
        <v>404</v>
      </c>
      <c r="C25" s="321"/>
      <c r="E25" s="336"/>
      <c r="F25" s="337"/>
      <c r="G25" s="336"/>
      <c r="H25" s="324"/>
      <c r="J25" s="321"/>
      <c r="L25" s="328"/>
      <c r="M25" s="336"/>
      <c r="N25" s="42"/>
    </row>
    <row r="26" spans="1:16" hidden="1">
      <c r="A26" s="336"/>
      <c r="B26" s="334" t="s">
        <v>405</v>
      </c>
      <c r="C26" s="42"/>
      <c r="D26" s="327"/>
      <c r="E26" s="42"/>
      <c r="F26" s="327"/>
      <c r="G26" s="42"/>
      <c r="H26" s="326"/>
      <c r="I26" s="327"/>
      <c r="J26" s="42"/>
      <c r="K26" s="327"/>
      <c r="L26" s="387"/>
      <c r="M26" s="42"/>
      <c r="N26" s="336"/>
    </row>
    <row r="27" spans="1:16" hidden="1">
      <c r="A27" s="42"/>
      <c r="B27" s="327" t="s">
        <v>406</v>
      </c>
      <c r="C27" s="321"/>
      <c r="E27" s="321"/>
      <c r="F27" s="267"/>
      <c r="G27" s="321"/>
      <c r="H27" s="323"/>
      <c r="J27" s="321"/>
      <c r="L27" s="328"/>
      <c r="M27" s="321"/>
      <c r="N27" s="42"/>
    </row>
    <row r="28" spans="1:16" hidden="1">
      <c r="A28" s="338" t="s">
        <v>234</v>
      </c>
      <c r="B28" s="334" t="s">
        <v>407</v>
      </c>
      <c r="C28" s="336"/>
      <c r="D28" s="337"/>
      <c r="E28" s="336"/>
      <c r="F28" s="337"/>
      <c r="G28" s="336"/>
      <c r="H28" s="324"/>
      <c r="I28" s="337"/>
      <c r="J28" s="336"/>
      <c r="K28" s="337"/>
      <c r="L28" s="330"/>
      <c r="M28" s="336"/>
      <c r="N28" s="321"/>
    </row>
    <row r="29" spans="1:16">
      <c r="A29" s="328"/>
      <c r="B29" s="269" t="s">
        <v>2425</v>
      </c>
      <c r="C29" s="269"/>
      <c r="D29" s="269"/>
      <c r="E29" s="269"/>
      <c r="F29" s="269"/>
      <c r="G29" s="269"/>
      <c r="H29" s="269"/>
      <c r="I29" s="269"/>
      <c r="J29" s="269"/>
      <c r="K29" s="269"/>
      <c r="L29" s="269">
        <v>598.9799999999999</v>
      </c>
      <c r="M29" s="269">
        <v>30.84</v>
      </c>
      <c r="N29" s="269">
        <v>0.75</v>
      </c>
      <c r="P29" s="388"/>
    </row>
    <row r="30" spans="1:16" hidden="1">
      <c r="A30" s="330"/>
      <c r="B30" s="1583" t="s">
        <v>408</v>
      </c>
      <c r="C30" s="269"/>
      <c r="D30" s="269"/>
      <c r="E30" s="269"/>
      <c r="F30" s="269"/>
      <c r="G30" s="269"/>
      <c r="H30" s="269"/>
      <c r="I30" s="269"/>
      <c r="J30" s="269"/>
      <c r="K30" s="269"/>
      <c r="L30" s="269"/>
      <c r="M30" s="269"/>
      <c r="N30" s="269"/>
    </row>
    <row r="31" spans="1:16" hidden="1">
      <c r="A31" s="328"/>
      <c r="B31" s="269" t="s">
        <v>409</v>
      </c>
      <c r="C31" s="269"/>
      <c r="D31" s="269"/>
      <c r="E31" s="269"/>
      <c r="F31" s="269"/>
      <c r="G31" s="269"/>
      <c r="H31" s="269"/>
      <c r="I31" s="269"/>
      <c r="J31" s="269"/>
      <c r="K31" s="269"/>
      <c r="L31" s="269"/>
      <c r="M31" s="269"/>
      <c r="N31" s="269"/>
    </row>
    <row r="32" spans="1:16" hidden="1">
      <c r="A32" s="330"/>
      <c r="B32" s="1583" t="s">
        <v>410</v>
      </c>
      <c r="C32" s="269"/>
      <c r="D32" s="269"/>
      <c r="E32" s="269"/>
      <c r="F32" s="269"/>
      <c r="G32" s="269"/>
      <c r="H32" s="269"/>
      <c r="I32" s="269"/>
      <c r="J32" s="269"/>
      <c r="K32" s="269"/>
      <c r="L32" s="269"/>
      <c r="M32" s="269"/>
      <c r="N32" s="269"/>
    </row>
    <row r="33" spans="1:14" hidden="1">
      <c r="A33" s="328"/>
      <c r="B33" s="269" t="s">
        <v>411</v>
      </c>
      <c r="C33" s="269"/>
      <c r="D33" s="269"/>
      <c r="E33" s="269"/>
      <c r="F33" s="269"/>
      <c r="G33" s="269"/>
      <c r="H33" s="269"/>
      <c r="I33" s="269"/>
      <c r="J33" s="269"/>
      <c r="K33" s="269"/>
      <c r="L33" s="269"/>
      <c r="M33" s="269"/>
      <c r="N33" s="269"/>
    </row>
    <row r="34" spans="1:14" hidden="1">
      <c r="A34" s="330"/>
      <c r="B34" s="1583" t="s">
        <v>412</v>
      </c>
      <c r="C34" s="269"/>
      <c r="D34" s="269"/>
      <c r="E34" s="269"/>
      <c r="F34" s="269"/>
      <c r="G34" s="269"/>
      <c r="H34" s="269"/>
      <c r="I34" s="269"/>
      <c r="J34" s="269"/>
      <c r="K34" s="269"/>
      <c r="L34" s="269"/>
      <c r="M34" s="269"/>
      <c r="N34" s="269"/>
    </row>
    <row r="35" spans="1:14" hidden="1">
      <c r="A35" s="328"/>
      <c r="B35" s="269" t="s">
        <v>409</v>
      </c>
      <c r="C35" s="269"/>
      <c r="D35" s="269"/>
      <c r="E35" s="269"/>
      <c r="F35" s="269"/>
      <c r="G35" s="269"/>
      <c r="H35" s="269"/>
      <c r="I35" s="269"/>
      <c r="J35" s="269"/>
      <c r="K35" s="269"/>
      <c r="L35" s="269"/>
      <c r="M35" s="269"/>
      <c r="N35" s="269"/>
    </row>
    <row r="36" spans="1:14" hidden="1">
      <c r="A36" s="330"/>
      <c r="B36" s="1583" t="s">
        <v>410</v>
      </c>
      <c r="C36" s="269"/>
      <c r="D36" s="269"/>
      <c r="E36" s="269"/>
      <c r="F36" s="269"/>
      <c r="G36" s="269"/>
      <c r="H36" s="269"/>
      <c r="I36" s="269"/>
      <c r="J36" s="269"/>
      <c r="K36" s="269"/>
      <c r="L36" s="269"/>
      <c r="M36" s="269"/>
      <c r="N36" s="269"/>
    </row>
    <row r="37" spans="1:14" hidden="1">
      <c r="A37" s="328"/>
      <c r="B37" s="269" t="s">
        <v>411</v>
      </c>
      <c r="C37" s="269"/>
      <c r="D37" s="269"/>
      <c r="E37" s="269"/>
      <c r="F37" s="269"/>
      <c r="G37" s="269"/>
      <c r="H37" s="269"/>
      <c r="I37" s="269"/>
      <c r="J37" s="269"/>
      <c r="K37" s="269"/>
      <c r="L37" s="269"/>
      <c r="M37" s="269"/>
      <c r="N37" s="269"/>
    </row>
    <row r="38" spans="1:14" hidden="1">
      <c r="A38" s="330"/>
      <c r="B38" s="1583" t="s">
        <v>413</v>
      </c>
      <c r="C38" s="269"/>
      <c r="D38" s="269"/>
      <c r="E38" s="269"/>
      <c r="F38" s="269"/>
      <c r="G38" s="269"/>
      <c r="H38" s="269"/>
      <c r="I38" s="269"/>
      <c r="J38" s="269"/>
      <c r="K38" s="269"/>
      <c r="L38" s="269"/>
      <c r="M38" s="269"/>
      <c r="N38" s="269"/>
    </row>
    <row r="39" spans="1:14" hidden="1">
      <c r="A39" s="328"/>
      <c r="B39" s="269" t="s">
        <v>409</v>
      </c>
      <c r="C39" s="269"/>
      <c r="D39" s="269"/>
      <c r="E39" s="269"/>
      <c r="F39" s="269"/>
      <c r="G39" s="269"/>
      <c r="H39" s="269"/>
      <c r="I39" s="269"/>
      <c r="J39" s="269"/>
      <c r="K39" s="269"/>
      <c r="L39" s="269"/>
      <c r="M39" s="269"/>
      <c r="N39" s="269"/>
    </row>
    <row r="40" spans="1:14" hidden="1">
      <c r="A40" s="330"/>
      <c r="B40" s="1583" t="s">
        <v>410</v>
      </c>
      <c r="C40" s="269"/>
      <c r="D40" s="269"/>
      <c r="E40" s="269"/>
      <c r="F40" s="269"/>
      <c r="G40" s="269"/>
      <c r="H40" s="269"/>
      <c r="I40" s="269"/>
      <c r="J40" s="269"/>
      <c r="K40" s="269"/>
      <c r="L40" s="269"/>
      <c r="M40" s="269"/>
      <c r="N40" s="269"/>
    </row>
    <row r="41" spans="1:14" hidden="1">
      <c r="A41" s="328"/>
      <c r="B41" s="269" t="s">
        <v>411</v>
      </c>
      <c r="C41" s="269"/>
      <c r="D41" s="269"/>
      <c r="E41" s="269"/>
      <c r="F41" s="269"/>
      <c r="G41" s="269"/>
      <c r="H41" s="269"/>
      <c r="I41" s="269"/>
      <c r="J41" s="269"/>
      <c r="K41" s="269"/>
      <c r="L41" s="269"/>
      <c r="M41" s="269"/>
      <c r="N41" s="269"/>
    </row>
    <row r="42" spans="1:14" hidden="1">
      <c r="A42" s="330"/>
      <c r="B42" s="269"/>
      <c r="C42" s="269"/>
      <c r="D42" s="269"/>
      <c r="E42" s="269"/>
      <c r="F42" s="269"/>
      <c r="G42" s="269"/>
      <c r="H42" s="269"/>
      <c r="I42" s="269"/>
      <c r="J42" s="269"/>
      <c r="K42" s="269"/>
      <c r="L42" s="269"/>
      <c r="M42" s="269"/>
      <c r="N42" s="269"/>
    </row>
    <row r="43" spans="1:14" hidden="1">
      <c r="A43" s="328"/>
      <c r="B43" s="269" t="s">
        <v>414</v>
      </c>
      <c r="C43" s="269"/>
      <c r="D43" s="269"/>
      <c r="E43" s="269"/>
      <c r="F43" s="269"/>
      <c r="G43" s="269"/>
      <c r="H43" s="269"/>
      <c r="I43" s="269"/>
      <c r="J43" s="269"/>
      <c r="K43" s="269"/>
      <c r="L43" s="269"/>
      <c r="M43" s="269"/>
      <c r="N43" s="269"/>
    </row>
    <row r="44" spans="1:14" hidden="1">
      <c r="A44" s="330"/>
      <c r="B44" s="1583" t="s">
        <v>415</v>
      </c>
      <c r="C44" s="269"/>
      <c r="D44" s="269"/>
      <c r="E44" s="269"/>
      <c r="F44" s="269"/>
      <c r="G44" s="269"/>
      <c r="H44" s="269"/>
      <c r="I44" s="269"/>
      <c r="J44" s="269"/>
      <c r="K44" s="269"/>
      <c r="L44" s="269"/>
      <c r="M44" s="269"/>
      <c r="N44" s="269"/>
    </row>
    <row r="45" spans="1:14" hidden="1">
      <c r="A45" s="328"/>
      <c r="B45" s="269" t="s">
        <v>416</v>
      </c>
      <c r="C45" s="269"/>
      <c r="D45" s="269"/>
      <c r="E45" s="269"/>
      <c r="F45" s="269"/>
      <c r="G45" s="269"/>
      <c r="H45" s="269"/>
      <c r="I45" s="269"/>
      <c r="J45" s="269"/>
      <c r="K45" s="269"/>
      <c r="L45" s="269"/>
      <c r="M45" s="269"/>
      <c r="N45" s="269"/>
    </row>
    <row r="46" spans="1:14" hidden="1">
      <c r="A46" s="330"/>
      <c r="B46" s="1583" t="s">
        <v>417</v>
      </c>
      <c r="C46" s="269"/>
      <c r="D46" s="269"/>
      <c r="E46" s="269"/>
      <c r="F46" s="269"/>
      <c r="G46" s="269"/>
      <c r="H46" s="269"/>
      <c r="I46" s="269"/>
      <c r="J46" s="269"/>
      <c r="K46" s="269"/>
      <c r="L46" s="269"/>
      <c r="M46" s="269"/>
      <c r="N46" s="269"/>
    </row>
    <row r="47" spans="1:14" hidden="1">
      <c r="A47" s="328"/>
      <c r="B47" s="269" t="s">
        <v>418</v>
      </c>
      <c r="C47" s="269"/>
      <c r="D47" s="269"/>
      <c r="E47" s="269"/>
      <c r="F47" s="269"/>
      <c r="G47" s="269"/>
      <c r="H47" s="269"/>
      <c r="I47" s="269"/>
      <c r="J47" s="269"/>
      <c r="K47" s="269"/>
      <c r="L47" s="269"/>
      <c r="M47" s="269"/>
      <c r="N47" s="269"/>
    </row>
    <row r="48" spans="1:14" hidden="1">
      <c r="A48" s="328"/>
      <c r="B48" s="1583" t="s">
        <v>419</v>
      </c>
      <c r="C48" s="269"/>
      <c r="D48" s="269"/>
      <c r="E48" s="269"/>
      <c r="F48" s="269"/>
      <c r="G48" s="269"/>
      <c r="H48" s="269"/>
      <c r="I48" s="269"/>
      <c r="J48" s="269"/>
      <c r="K48" s="269"/>
      <c r="L48" s="269"/>
      <c r="M48" s="269"/>
      <c r="N48" s="269"/>
    </row>
    <row r="49" spans="1:16" hidden="1">
      <c r="A49" s="330"/>
      <c r="B49" s="269" t="s">
        <v>416</v>
      </c>
      <c r="C49" s="269"/>
      <c r="D49" s="269"/>
      <c r="E49" s="269"/>
      <c r="F49" s="269"/>
      <c r="G49" s="269"/>
      <c r="H49" s="269"/>
      <c r="I49" s="269"/>
      <c r="J49" s="269"/>
      <c r="K49" s="269"/>
      <c r="L49" s="269"/>
      <c r="M49" s="269"/>
      <c r="N49" s="269"/>
    </row>
    <row r="50" spans="1:16" hidden="1">
      <c r="A50" s="328"/>
      <c r="B50" s="1583" t="s">
        <v>417</v>
      </c>
      <c r="C50" s="269"/>
      <c r="D50" s="269"/>
      <c r="E50" s="269"/>
      <c r="F50" s="269"/>
      <c r="G50" s="269"/>
      <c r="H50" s="269"/>
      <c r="I50" s="269"/>
      <c r="J50" s="269"/>
      <c r="K50" s="269"/>
      <c r="L50" s="269"/>
      <c r="M50" s="269"/>
      <c r="N50" s="269"/>
    </row>
    <row r="51" spans="1:16" hidden="1">
      <c r="A51" s="330"/>
      <c r="B51" s="269" t="s">
        <v>418</v>
      </c>
      <c r="C51" s="269"/>
      <c r="D51" s="269"/>
      <c r="E51" s="269"/>
      <c r="F51" s="269"/>
      <c r="G51" s="269"/>
      <c r="H51" s="269"/>
      <c r="I51" s="269"/>
      <c r="J51" s="269"/>
      <c r="K51" s="269"/>
      <c r="L51" s="269"/>
      <c r="M51" s="269"/>
      <c r="N51" s="269"/>
    </row>
    <row r="52" spans="1:16" hidden="1">
      <c r="A52" s="328"/>
      <c r="B52" s="1583" t="s">
        <v>420</v>
      </c>
      <c r="C52" s="269"/>
      <c r="D52" s="269"/>
      <c r="E52" s="269"/>
      <c r="F52" s="269"/>
      <c r="G52" s="269"/>
      <c r="H52" s="269"/>
      <c r="I52" s="269"/>
      <c r="J52" s="269"/>
      <c r="K52" s="269"/>
      <c r="L52" s="269"/>
      <c r="M52" s="269"/>
      <c r="N52" s="269"/>
    </row>
    <row r="53" spans="1:16" hidden="1">
      <c r="A53" s="330"/>
      <c r="B53" s="269" t="s">
        <v>416</v>
      </c>
      <c r="C53" s="269"/>
      <c r="D53" s="269"/>
      <c r="E53" s="269"/>
      <c r="F53" s="269"/>
      <c r="G53" s="269"/>
      <c r="H53" s="269"/>
      <c r="I53" s="269"/>
      <c r="J53" s="269"/>
      <c r="K53" s="269"/>
      <c r="L53" s="269"/>
      <c r="M53" s="269"/>
      <c r="N53" s="269"/>
    </row>
    <row r="54" spans="1:16" hidden="1">
      <c r="A54" s="328"/>
      <c r="B54" s="1583" t="s">
        <v>417</v>
      </c>
      <c r="C54" s="269"/>
      <c r="D54" s="269"/>
      <c r="E54" s="269"/>
      <c r="F54" s="269"/>
      <c r="G54" s="269"/>
      <c r="H54" s="269"/>
      <c r="I54" s="269"/>
      <c r="J54" s="269"/>
      <c r="K54" s="269"/>
      <c r="L54" s="269"/>
      <c r="M54" s="269"/>
      <c r="N54" s="269"/>
    </row>
    <row r="55" spans="1:16" hidden="1">
      <c r="A55" s="330"/>
      <c r="B55" s="269" t="s">
        <v>418</v>
      </c>
      <c r="C55" s="269"/>
      <c r="D55" s="269"/>
      <c r="E55" s="269"/>
      <c r="F55" s="269"/>
      <c r="G55" s="269"/>
      <c r="H55" s="269"/>
      <c r="I55" s="269"/>
      <c r="J55" s="269"/>
      <c r="K55" s="269"/>
      <c r="L55" s="269"/>
      <c r="M55" s="269"/>
      <c r="N55" s="269"/>
    </row>
    <row r="56" spans="1:16">
      <c r="A56" s="341">
        <v>7</v>
      </c>
      <c r="B56" s="269" t="s">
        <v>421</v>
      </c>
      <c r="C56" s="269"/>
      <c r="D56" s="269"/>
      <c r="E56" s="269"/>
      <c r="F56" s="269"/>
      <c r="G56" s="269"/>
      <c r="H56" s="269"/>
      <c r="I56" s="269"/>
      <c r="J56" s="269"/>
      <c r="K56" s="269"/>
      <c r="L56" s="269">
        <v>192.64</v>
      </c>
      <c r="M56" s="273">
        <v>17.399999999999999</v>
      </c>
      <c r="N56" s="269">
        <v>9.24</v>
      </c>
      <c r="P56" s="388"/>
    </row>
    <row r="57" spans="1:16">
      <c r="A57" s="343">
        <v>8</v>
      </c>
      <c r="B57" s="321" t="s">
        <v>422</v>
      </c>
      <c r="C57" s="384"/>
      <c r="D57" s="385"/>
      <c r="E57" s="385"/>
      <c r="F57" s="307"/>
      <c r="G57" s="384"/>
      <c r="H57" s="307"/>
      <c r="I57" s="348"/>
      <c r="J57" s="384"/>
      <c r="K57" s="385"/>
      <c r="L57" s="266">
        <v>44.330000000000005</v>
      </c>
      <c r="M57" s="1584">
        <v>0.99</v>
      </c>
      <c r="N57" s="321">
        <v>0.14000000000000001</v>
      </c>
      <c r="P57" s="388"/>
    </row>
    <row r="58" spans="1:16">
      <c r="A58" s="341">
        <v>9</v>
      </c>
      <c r="B58" s="42" t="s">
        <v>423</v>
      </c>
      <c r="C58" s="321"/>
      <c r="D58" s="323"/>
      <c r="E58" s="323"/>
      <c r="G58" s="321"/>
      <c r="I58" s="330"/>
      <c r="J58" s="321"/>
      <c r="K58" s="323"/>
      <c r="L58" s="342">
        <v>17.010000000000002</v>
      </c>
      <c r="M58" s="331">
        <v>0</v>
      </c>
      <c r="N58" s="42">
        <v>0</v>
      </c>
      <c r="P58" s="388"/>
    </row>
    <row r="59" spans="1:16">
      <c r="A59" s="343">
        <v>10</v>
      </c>
      <c r="B59" s="321" t="s">
        <v>424</v>
      </c>
      <c r="C59" s="42"/>
      <c r="D59" s="326"/>
      <c r="E59" s="326"/>
      <c r="F59" s="327"/>
      <c r="G59" s="42"/>
      <c r="H59" s="327"/>
      <c r="I59" s="328"/>
      <c r="J59" s="42"/>
      <c r="K59" s="326"/>
      <c r="L59" s="266">
        <v>27.17</v>
      </c>
      <c r="M59" s="44">
        <v>1.32</v>
      </c>
      <c r="N59" s="331">
        <v>2.2000000000000002</v>
      </c>
      <c r="P59" s="388"/>
    </row>
    <row r="60" spans="1:16">
      <c r="A60" s="341">
        <v>11</v>
      </c>
      <c r="B60" s="42" t="s">
        <v>425</v>
      </c>
      <c r="C60" s="321"/>
      <c r="D60" s="323"/>
      <c r="E60" s="323"/>
      <c r="G60" s="321"/>
      <c r="I60" s="330"/>
      <c r="J60" s="321"/>
      <c r="K60" s="323"/>
      <c r="L60" s="327">
        <v>23.13</v>
      </c>
      <c r="M60" s="321">
        <v>0.98</v>
      </c>
      <c r="N60" s="42">
        <v>0.17</v>
      </c>
      <c r="P60" s="388"/>
    </row>
    <row r="61" spans="1:16">
      <c r="A61" s="343">
        <v>12</v>
      </c>
      <c r="B61" s="42" t="s">
        <v>426</v>
      </c>
      <c r="C61" s="42"/>
      <c r="D61" s="326"/>
      <c r="E61" s="326"/>
      <c r="F61" s="327"/>
      <c r="G61" s="42"/>
      <c r="H61" s="327"/>
      <c r="I61" s="328"/>
      <c r="J61" s="42"/>
      <c r="K61" s="326"/>
      <c r="L61" s="334">
        <v>0.05</v>
      </c>
      <c r="M61" s="44">
        <v>0</v>
      </c>
      <c r="N61" s="321">
        <v>0.01</v>
      </c>
    </row>
    <row r="62" spans="1:16">
      <c r="A62" s="341">
        <v>13</v>
      </c>
      <c r="B62" s="42" t="s">
        <v>427</v>
      </c>
      <c r="C62" s="321"/>
      <c r="D62" s="323"/>
      <c r="E62" s="323"/>
      <c r="G62" s="321"/>
      <c r="I62" s="330"/>
      <c r="J62" s="321"/>
      <c r="K62" s="323"/>
      <c r="L62" s="327">
        <v>0.16</v>
      </c>
      <c r="M62" s="331">
        <v>0</v>
      </c>
      <c r="N62" s="42">
        <v>0</v>
      </c>
    </row>
    <row r="63" spans="1:16">
      <c r="A63" s="343">
        <v>14</v>
      </c>
      <c r="B63" s="321" t="s">
        <v>428</v>
      </c>
      <c r="C63" s="42"/>
      <c r="D63" s="326"/>
      <c r="E63" s="326"/>
      <c r="F63" s="327"/>
      <c r="G63" s="42"/>
      <c r="H63" s="327"/>
      <c r="I63" s="328"/>
      <c r="J63" s="42"/>
      <c r="K63" s="326"/>
      <c r="L63" s="334">
        <v>3.09</v>
      </c>
      <c r="M63" s="42">
        <v>23.91</v>
      </c>
      <c r="N63" s="321">
        <v>0</v>
      </c>
    </row>
    <row r="64" spans="1:16">
      <c r="A64" s="1585"/>
      <c r="B64" s="1586" t="s">
        <v>47</v>
      </c>
      <c r="C64" s="1585"/>
      <c r="D64" s="1585"/>
      <c r="E64" s="1585"/>
      <c r="F64" s="1585"/>
      <c r="G64" s="1585"/>
      <c r="H64" s="1585"/>
      <c r="I64" s="1585"/>
      <c r="J64" s="1585"/>
      <c r="K64" s="1585"/>
      <c r="L64" s="1587">
        <f>SUM(L9:L63)</f>
        <v>1851.3899999999999</v>
      </c>
      <c r="M64" s="1587">
        <f>SUM(M9:M63)</f>
        <v>126.23999999999998</v>
      </c>
      <c r="N64" s="1586">
        <f>SUM(N9:N63)</f>
        <v>16.120000000000005</v>
      </c>
      <c r="O64" s="388"/>
    </row>
    <row r="65" spans="2:3">
      <c r="B65" s="267"/>
      <c r="C65" s="267"/>
    </row>
    <row r="66" spans="2:3">
      <c r="B66" s="332" t="s">
        <v>295</v>
      </c>
      <c r="C66" s="267"/>
    </row>
    <row r="67" spans="2:3">
      <c r="B67" s="332" t="s">
        <v>296</v>
      </c>
      <c r="C67" s="267"/>
    </row>
    <row r="68" spans="2:3">
      <c r="B68" s="334" t="s">
        <v>429</v>
      </c>
      <c r="C68" s="267"/>
    </row>
    <row r="69" spans="2:3">
      <c r="B69" s="334" t="s">
        <v>430</v>
      </c>
      <c r="C69" s="267"/>
    </row>
    <row r="70" spans="2:3">
      <c r="B70" s="267"/>
      <c r="C70" s="267"/>
    </row>
    <row r="71" spans="2:3">
      <c r="B71" s="267"/>
      <c r="C71" s="267"/>
    </row>
    <row r="72" spans="2:3">
      <c r="B72" s="267"/>
      <c r="C72" s="267"/>
    </row>
    <row r="73" spans="2:3">
      <c r="B73" s="267"/>
      <c r="C73" s="267"/>
    </row>
    <row r="74" spans="2:3">
      <c r="B74" s="267"/>
      <c r="C74" s="267"/>
    </row>
    <row r="75" spans="2:3">
      <c r="B75" s="267"/>
      <c r="C75" s="267"/>
    </row>
    <row r="76" spans="2:3">
      <c r="B76" s="267"/>
      <c r="C76" s="267"/>
    </row>
    <row r="77" spans="2:3">
      <c r="B77" s="267"/>
      <c r="C77" s="267"/>
    </row>
    <row r="78" spans="2:3">
      <c r="B78" s="267"/>
      <c r="C78" s="267"/>
    </row>
    <row r="79" spans="2:3">
      <c r="B79" s="267"/>
      <c r="C79" s="267"/>
    </row>
    <row r="80" spans="2:3">
      <c r="B80" s="267"/>
      <c r="C80" s="267"/>
    </row>
    <row r="81" spans="2:3">
      <c r="B81" s="267"/>
      <c r="C81" s="267"/>
    </row>
    <row r="82" spans="2:3">
      <c r="B82" s="267"/>
      <c r="C82" s="267"/>
    </row>
    <row r="83" spans="2:3">
      <c r="B83" s="267"/>
      <c r="C83" s="267"/>
    </row>
    <row r="84" spans="2:3">
      <c r="B84" s="267"/>
      <c r="C84" s="267"/>
    </row>
    <row r="85" spans="2:3">
      <c r="B85" s="267"/>
      <c r="C85" s="267"/>
    </row>
    <row r="86" spans="2:3">
      <c r="B86" s="267"/>
      <c r="C86" s="267"/>
    </row>
    <row r="87" spans="2:3">
      <c r="B87" s="267"/>
      <c r="C87" s="267"/>
    </row>
    <row r="88" spans="2:3">
      <c r="B88" s="267"/>
      <c r="C88" s="267"/>
    </row>
    <row r="89" spans="2:3">
      <c r="B89" s="267"/>
      <c r="C89" s="267"/>
    </row>
    <row r="90" spans="2:3">
      <c r="B90" s="267"/>
      <c r="C90" s="267"/>
    </row>
    <row r="91" spans="2:3">
      <c r="B91" s="267"/>
      <c r="C91" s="267"/>
    </row>
    <row r="92" spans="2:3">
      <c r="B92" s="267"/>
      <c r="C92" s="267"/>
    </row>
    <row r="93" spans="2:3">
      <c r="B93" s="267"/>
      <c r="C93" s="267"/>
    </row>
    <row r="94" spans="2:3">
      <c r="B94" s="267"/>
      <c r="C94" s="267"/>
    </row>
    <row r="95" spans="2:3">
      <c r="B95" s="267"/>
      <c r="C95" s="267"/>
    </row>
    <row r="96" spans="2:3">
      <c r="B96" s="267"/>
      <c r="C96" s="267"/>
    </row>
    <row r="97" spans="2:3">
      <c r="B97" s="267"/>
      <c r="C97" s="267"/>
    </row>
    <row r="98" spans="2:3">
      <c r="B98" s="267"/>
      <c r="C98" s="267"/>
    </row>
    <row r="99" spans="2:3">
      <c r="B99" s="267"/>
      <c r="C99" s="267"/>
    </row>
    <row r="100" spans="2:3">
      <c r="B100" s="267"/>
      <c r="C100" s="267"/>
    </row>
    <row r="101" spans="2:3">
      <c r="B101" s="267"/>
      <c r="C101" s="267"/>
    </row>
    <row r="102" spans="2:3">
      <c r="B102" s="267"/>
      <c r="C102" s="267"/>
    </row>
    <row r="103" spans="2:3">
      <c r="B103" s="267"/>
      <c r="C103" s="267"/>
    </row>
    <row r="104" spans="2:3">
      <c r="B104" s="267"/>
      <c r="C104" s="267"/>
    </row>
    <row r="105" spans="2:3">
      <c r="B105" s="267"/>
      <c r="C105" s="267"/>
    </row>
    <row r="106" spans="2:3">
      <c r="B106" s="267"/>
      <c r="C106" s="267"/>
    </row>
    <row r="107" spans="2:3">
      <c r="B107" s="267"/>
      <c r="C107" s="267"/>
    </row>
    <row r="108" spans="2:3">
      <c r="B108" s="267"/>
      <c r="C108" s="267"/>
    </row>
    <row r="109" spans="2:3">
      <c r="B109" s="267"/>
      <c r="C109" s="267"/>
    </row>
    <row r="110" spans="2:3">
      <c r="B110" s="267"/>
      <c r="C110" s="267"/>
    </row>
    <row r="111" spans="2:3">
      <c r="B111" s="267"/>
      <c r="C111" s="267"/>
    </row>
    <row r="112" spans="2:3">
      <c r="B112" s="267"/>
      <c r="C112" s="267"/>
    </row>
    <row r="113" spans="2:3">
      <c r="B113" s="267"/>
      <c r="C113" s="267"/>
    </row>
    <row r="114" spans="2:3">
      <c r="B114" s="267"/>
      <c r="C114" s="267"/>
    </row>
    <row r="115" spans="2:3">
      <c r="B115" s="267"/>
      <c r="C115" s="267"/>
    </row>
    <row r="116" spans="2:3">
      <c r="B116" s="267"/>
      <c r="C116" s="267"/>
    </row>
    <row r="117" spans="2:3">
      <c r="B117" s="267"/>
      <c r="C117" s="267"/>
    </row>
    <row r="118" spans="2:3">
      <c r="B118" s="267"/>
      <c r="C118" s="267"/>
    </row>
    <row r="119" spans="2:3">
      <c r="B119" s="267"/>
      <c r="C119" s="267"/>
    </row>
    <row r="120" spans="2:3">
      <c r="B120" s="267"/>
      <c r="C120" s="267"/>
    </row>
    <row r="121" spans="2:3">
      <c r="B121" s="267"/>
      <c r="C121" s="267"/>
    </row>
    <row r="122" spans="2:3">
      <c r="B122" s="267"/>
      <c r="C122" s="267"/>
    </row>
    <row r="123" spans="2:3">
      <c r="B123" s="267"/>
      <c r="C123" s="267"/>
    </row>
    <row r="124" spans="2:3">
      <c r="B124" s="267"/>
      <c r="C124" s="267"/>
    </row>
    <row r="125" spans="2:3">
      <c r="B125" s="267"/>
      <c r="C125" s="267"/>
    </row>
    <row r="126" spans="2:3">
      <c r="B126" s="267"/>
      <c r="C126" s="267"/>
    </row>
    <row r="127" spans="2:3">
      <c r="B127" s="267"/>
      <c r="C127" s="267"/>
    </row>
    <row r="128" spans="2:3">
      <c r="B128" s="267"/>
      <c r="C128" s="267"/>
    </row>
    <row r="129" spans="2:3">
      <c r="B129" s="267"/>
      <c r="C129" s="267"/>
    </row>
    <row r="130" spans="2:3">
      <c r="B130" s="267"/>
      <c r="C130" s="267"/>
    </row>
    <row r="131" spans="2:3">
      <c r="B131" s="267"/>
      <c r="C131" s="267"/>
    </row>
    <row r="132" spans="2:3">
      <c r="B132" s="267"/>
      <c r="C132" s="267"/>
    </row>
    <row r="133" spans="2:3">
      <c r="B133" s="267"/>
      <c r="C133" s="267"/>
    </row>
    <row r="134" spans="2:3">
      <c r="B134" s="267"/>
      <c r="C134" s="267"/>
    </row>
    <row r="135" spans="2:3">
      <c r="B135" s="267"/>
      <c r="C135" s="267"/>
    </row>
    <row r="136" spans="2:3">
      <c r="B136" s="267"/>
      <c r="C136" s="267"/>
    </row>
    <row r="137" spans="2:3">
      <c r="B137" s="267"/>
      <c r="C137" s="267"/>
    </row>
    <row r="138" spans="2:3">
      <c r="B138" s="267"/>
      <c r="C138" s="267"/>
    </row>
    <row r="139" spans="2:3">
      <c r="B139" s="267"/>
      <c r="C139" s="267"/>
    </row>
    <row r="140" spans="2:3">
      <c r="B140" s="267"/>
      <c r="C140" s="267"/>
    </row>
    <row r="141" spans="2:3">
      <c r="B141" s="267"/>
      <c r="C141" s="267"/>
    </row>
    <row r="142" spans="2:3">
      <c r="B142" s="267"/>
      <c r="C142" s="267"/>
    </row>
    <row r="143" spans="2:3">
      <c r="B143" s="267"/>
      <c r="C143" s="267"/>
    </row>
    <row r="144" spans="2:3">
      <c r="B144" s="267"/>
      <c r="C144" s="267"/>
    </row>
    <row r="145" spans="2:3">
      <c r="B145" s="267"/>
      <c r="C145" s="267"/>
    </row>
    <row r="146" spans="2:3">
      <c r="B146" s="267"/>
      <c r="C146" s="267"/>
    </row>
    <row r="147" spans="2:3">
      <c r="B147" s="267"/>
      <c r="C147" s="267"/>
    </row>
    <row r="148" spans="2:3">
      <c r="B148" s="267"/>
      <c r="C148" s="267"/>
    </row>
    <row r="149" spans="2:3">
      <c r="B149" s="267"/>
      <c r="C149" s="267"/>
    </row>
    <row r="150" spans="2:3">
      <c r="B150" s="267"/>
      <c r="C150" s="267"/>
    </row>
    <row r="151" spans="2:3">
      <c r="B151" s="267"/>
      <c r="C151" s="267"/>
    </row>
    <row r="152" spans="2:3">
      <c r="B152" s="267"/>
      <c r="C152" s="267"/>
    </row>
    <row r="153" spans="2:3">
      <c r="B153" s="267"/>
      <c r="C153" s="267"/>
    </row>
    <row r="154" spans="2:3">
      <c r="B154" s="267"/>
      <c r="C154" s="267"/>
    </row>
    <row r="155" spans="2:3">
      <c r="B155" s="267"/>
      <c r="C155" s="267"/>
    </row>
    <row r="156" spans="2:3">
      <c r="B156" s="267"/>
      <c r="C156" s="267"/>
    </row>
    <row r="157" spans="2:3">
      <c r="B157" s="267"/>
      <c r="C157" s="267"/>
    </row>
    <row r="158" spans="2:3">
      <c r="B158" s="267"/>
      <c r="C158" s="267"/>
    </row>
    <row r="159" spans="2:3">
      <c r="B159" s="267"/>
      <c r="C159" s="267"/>
    </row>
    <row r="160" spans="2:3">
      <c r="B160" s="267"/>
      <c r="C160" s="267"/>
    </row>
    <row r="161" spans="2:3">
      <c r="B161" s="267"/>
      <c r="C161" s="267"/>
    </row>
    <row r="162" spans="2:3">
      <c r="B162" s="267"/>
      <c r="C162" s="267"/>
    </row>
    <row r="163" spans="2:3">
      <c r="B163" s="267"/>
      <c r="C163" s="267"/>
    </row>
    <row r="164" spans="2:3">
      <c r="B164" s="267"/>
      <c r="C164" s="267"/>
    </row>
    <row r="165" spans="2:3">
      <c r="B165" s="267"/>
      <c r="C165" s="267"/>
    </row>
    <row r="166" spans="2:3">
      <c r="B166" s="267"/>
      <c r="C166" s="267"/>
    </row>
    <row r="167" spans="2:3">
      <c r="B167" s="267"/>
      <c r="C167" s="267"/>
    </row>
    <row r="168" spans="2:3">
      <c r="B168" s="267"/>
      <c r="C168" s="267"/>
    </row>
    <row r="169" spans="2:3">
      <c r="B169" s="267"/>
      <c r="C169" s="267"/>
    </row>
    <row r="170" spans="2:3">
      <c r="B170" s="267"/>
      <c r="C170" s="267"/>
    </row>
    <row r="171" spans="2:3">
      <c r="B171" s="267"/>
      <c r="C171" s="267"/>
    </row>
    <row r="172" spans="2:3">
      <c r="B172" s="267"/>
      <c r="C172" s="267"/>
    </row>
    <row r="173" spans="2:3">
      <c r="B173" s="267"/>
      <c r="C173" s="267"/>
    </row>
    <row r="174" spans="2:3">
      <c r="B174" s="267"/>
      <c r="C174" s="267"/>
    </row>
    <row r="175" spans="2:3">
      <c r="B175" s="267"/>
      <c r="C175" s="267"/>
    </row>
    <row r="176" spans="2:3">
      <c r="B176" s="267"/>
      <c r="C176" s="267"/>
    </row>
    <row r="177" spans="2:3">
      <c r="B177" s="267"/>
      <c r="C177" s="267"/>
    </row>
    <row r="178" spans="2:3">
      <c r="B178" s="267"/>
      <c r="C178" s="267"/>
    </row>
    <row r="179" spans="2:3">
      <c r="B179" s="267"/>
      <c r="C179" s="267"/>
    </row>
    <row r="180" spans="2:3">
      <c r="B180" s="267"/>
      <c r="C180" s="267"/>
    </row>
    <row r="181" spans="2:3">
      <c r="B181" s="267"/>
      <c r="C181" s="267"/>
    </row>
    <row r="182" spans="2:3">
      <c r="B182" s="267"/>
      <c r="C182" s="267"/>
    </row>
    <row r="183" spans="2:3">
      <c r="B183" s="267"/>
      <c r="C183" s="267"/>
    </row>
    <row r="184" spans="2:3">
      <c r="B184" s="267"/>
      <c r="C184" s="267"/>
    </row>
    <row r="185" spans="2:3">
      <c r="B185" s="267"/>
      <c r="C185" s="267"/>
    </row>
    <row r="186" spans="2:3">
      <c r="B186" s="267"/>
      <c r="C186" s="267"/>
    </row>
    <row r="187" spans="2:3">
      <c r="B187" s="267"/>
      <c r="C187" s="267"/>
    </row>
    <row r="188" spans="2:3">
      <c r="B188" s="267"/>
      <c r="C188" s="267"/>
    </row>
    <row r="189" spans="2:3">
      <c r="B189" s="267"/>
      <c r="C189" s="267"/>
    </row>
    <row r="190" spans="2:3">
      <c r="B190" s="267"/>
      <c r="C190" s="267"/>
    </row>
    <row r="191" spans="2:3">
      <c r="B191" s="267"/>
      <c r="C191" s="267"/>
    </row>
    <row r="192" spans="2:3">
      <c r="B192" s="267"/>
      <c r="C192" s="267"/>
    </row>
    <row r="193" spans="2:3">
      <c r="B193" s="267"/>
      <c r="C193" s="267"/>
    </row>
    <row r="194" spans="2:3">
      <c r="B194" s="267"/>
      <c r="C194" s="267"/>
    </row>
    <row r="195" spans="2:3">
      <c r="B195" s="267"/>
      <c r="C195" s="267"/>
    </row>
  </sheetData>
  <sheetProtection selectLockedCells="1" selectUnlockedCells="1"/>
  <mergeCells count="1">
    <mergeCell ref="A3:A7"/>
  </mergeCells>
  <pageMargins left="0.2902777777777778" right="0.15972222222222221" top="0.44027777777777777" bottom="0.82013888888888886" header="0.51180555555555551" footer="0.51180555555555551"/>
  <pageSetup paperSize="9" scale="65" firstPageNumber="0" orientation="portrait" horizontalDpi="300" verticalDpi="300" r:id="rId1"/>
  <headerFooter alignWithMargins="0"/>
</worksheet>
</file>

<file path=xl/worksheets/sheet147.xml><?xml version="1.0" encoding="utf-8"?>
<worksheet xmlns="http://schemas.openxmlformats.org/spreadsheetml/2006/main" xmlns:r="http://schemas.openxmlformats.org/officeDocument/2006/relationships">
  <sheetPr codeName="Sheet126">
    <tabColor theme="1" tint="4.9989318521683403E-2"/>
    <pageSetUpPr fitToPage="1"/>
  </sheetPr>
  <dimension ref="A1:N67"/>
  <sheetViews>
    <sheetView showGridLines="0" view="pageBreakPreview" topLeftCell="A2" zoomScale="60" workbookViewId="0">
      <pane xSplit="11" ySplit="13" topLeftCell="L15" activePane="bottomRight" state="frozen"/>
      <selection activeCell="I49" sqref="I49"/>
      <selection pane="topRight" activeCell="I49" sqref="I49"/>
      <selection pane="bottomLeft" activeCell="I49" sqref="I49"/>
      <selection pane="bottomRight" activeCell="I49" sqref="I49"/>
    </sheetView>
  </sheetViews>
  <sheetFormatPr defaultRowHeight="15.75"/>
  <cols>
    <col min="1" max="1" width="6.42578125" style="266" customWidth="1"/>
    <col min="2" max="2" width="38.140625" style="266" customWidth="1"/>
    <col min="3" max="3" width="6.140625" style="266" hidden="1" customWidth="1"/>
    <col min="4" max="4" width="4.28515625" style="266" hidden="1" customWidth="1"/>
    <col min="5" max="5" width="4.85546875" style="266" hidden="1" customWidth="1"/>
    <col min="6" max="6" width="4.5703125" style="266" hidden="1" customWidth="1"/>
    <col min="7" max="7" width="3.85546875" style="266" hidden="1" customWidth="1"/>
    <col min="8" max="8" width="4.5703125" style="266" hidden="1" customWidth="1"/>
    <col min="9" max="9" width="4.140625" style="266" hidden="1" customWidth="1"/>
    <col min="10" max="10" width="3.7109375" style="266" hidden="1" customWidth="1"/>
    <col min="11" max="11" width="4.140625" style="266" hidden="1" customWidth="1"/>
    <col min="12" max="12" width="15.7109375" style="266" customWidth="1"/>
    <col min="13" max="13" width="13" style="266" customWidth="1"/>
    <col min="14" max="14" width="16.5703125" style="266" hidden="1" customWidth="1"/>
    <col min="15" max="256" width="9.140625" style="266"/>
    <col min="257" max="257" width="6.42578125" style="266" customWidth="1"/>
    <col min="258" max="258" width="38.140625" style="266" customWidth="1"/>
    <col min="259" max="259" width="6.140625" style="266" customWidth="1"/>
    <col min="260" max="260" width="4.28515625" style="266" customWidth="1"/>
    <col min="261" max="261" width="4.85546875" style="266" customWidth="1"/>
    <col min="262" max="262" width="4.5703125" style="266" customWidth="1"/>
    <col min="263" max="263" width="3.85546875" style="266" customWidth="1"/>
    <col min="264" max="264" width="4.5703125" style="266" customWidth="1"/>
    <col min="265" max="265" width="4.140625" style="266" customWidth="1"/>
    <col min="266" max="266" width="3.7109375" style="266" customWidth="1"/>
    <col min="267" max="267" width="4.140625" style="266" customWidth="1"/>
    <col min="268" max="268" width="8.5703125" style="266" customWidth="1"/>
    <col min="269" max="269" width="6.85546875" style="266" customWidth="1"/>
    <col min="270" max="270" width="16.5703125" style="266" customWidth="1"/>
    <col min="271" max="512" width="9.140625" style="266"/>
    <col min="513" max="513" width="6.42578125" style="266" customWidth="1"/>
    <col min="514" max="514" width="38.140625" style="266" customWidth="1"/>
    <col min="515" max="515" width="6.140625" style="266" customWidth="1"/>
    <col min="516" max="516" width="4.28515625" style="266" customWidth="1"/>
    <col min="517" max="517" width="4.85546875" style="266" customWidth="1"/>
    <col min="518" max="518" width="4.5703125" style="266" customWidth="1"/>
    <col min="519" max="519" width="3.85546875" style="266" customWidth="1"/>
    <col min="520" max="520" width="4.5703125" style="266" customWidth="1"/>
    <col min="521" max="521" width="4.140625" style="266" customWidth="1"/>
    <col min="522" max="522" width="3.7109375" style="266" customWidth="1"/>
    <col min="523" max="523" width="4.140625" style="266" customWidth="1"/>
    <col min="524" max="524" width="8.5703125" style="266" customWidth="1"/>
    <col min="525" max="525" width="6.85546875" style="266" customWidth="1"/>
    <col min="526" max="526" width="16.5703125" style="266" customWidth="1"/>
    <col min="527" max="768" width="9.140625" style="266"/>
    <col min="769" max="769" width="6.42578125" style="266" customWidth="1"/>
    <col min="770" max="770" width="38.140625" style="266" customWidth="1"/>
    <col min="771" max="771" width="6.140625" style="266" customWidth="1"/>
    <col min="772" max="772" width="4.28515625" style="266" customWidth="1"/>
    <col min="773" max="773" width="4.85546875" style="266" customWidth="1"/>
    <col min="774" max="774" width="4.5703125" style="266" customWidth="1"/>
    <col min="775" max="775" width="3.85546875" style="266" customWidth="1"/>
    <col min="776" max="776" width="4.5703125" style="266" customWidth="1"/>
    <col min="777" max="777" width="4.140625" style="266" customWidth="1"/>
    <col min="778" max="778" width="3.7109375" style="266" customWidth="1"/>
    <col min="779" max="779" width="4.140625" style="266" customWidth="1"/>
    <col min="780" max="780" width="8.5703125" style="266" customWidth="1"/>
    <col min="781" max="781" width="6.85546875" style="266" customWidth="1"/>
    <col min="782" max="782" width="16.5703125" style="266" customWidth="1"/>
    <col min="783" max="1024" width="9.140625" style="266"/>
    <col min="1025" max="1025" width="6.42578125" style="266" customWidth="1"/>
    <col min="1026" max="1026" width="38.140625" style="266" customWidth="1"/>
    <col min="1027" max="1027" width="6.140625" style="266" customWidth="1"/>
    <col min="1028" max="1028" width="4.28515625" style="266" customWidth="1"/>
    <col min="1029" max="1029" width="4.85546875" style="266" customWidth="1"/>
    <col min="1030" max="1030" width="4.5703125" style="266" customWidth="1"/>
    <col min="1031" max="1031" width="3.85546875" style="266" customWidth="1"/>
    <col min="1032" max="1032" width="4.5703125" style="266" customWidth="1"/>
    <col min="1033" max="1033" width="4.140625" style="266" customWidth="1"/>
    <col min="1034" max="1034" width="3.7109375" style="266" customWidth="1"/>
    <col min="1035" max="1035" width="4.140625" style="266" customWidth="1"/>
    <col min="1036" max="1036" width="8.5703125" style="266" customWidth="1"/>
    <col min="1037" max="1037" width="6.85546875" style="266" customWidth="1"/>
    <col min="1038" max="1038" width="16.5703125" style="266" customWidth="1"/>
    <col min="1039" max="1280" width="9.140625" style="266"/>
    <col min="1281" max="1281" width="6.42578125" style="266" customWidth="1"/>
    <col min="1282" max="1282" width="38.140625" style="266" customWidth="1"/>
    <col min="1283" max="1283" width="6.140625" style="266" customWidth="1"/>
    <col min="1284" max="1284" width="4.28515625" style="266" customWidth="1"/>
    <col min="1285" max="1285" width="4.85546875" style="266" customWidth="1"/>
    <col min="1286" max="1286" width="4.5703125" style="266" customWidth="1"/>
    <col min="1287" max="1287" width="3.85546875" style="266" customWidth="1"/>
    <col min="1288" max="1288" width="4.5703125" style="266" customWidth="1"/>
    <col min="1289" max="1289" width="4.140625" style="266" customWidth="1"/>
    <col min="1290" max="1290" width="3.7109375" style="266" customWidth="1"/>
    <col min="1291" max="1291" width="4.140625" style="266" customWidth="1"/>
    <col min="1292" max="1292" width="8.5703125" style="266" customWidth="1"/>
    <col min="1293" max="1293" width="6.85546875" style="266" customWidth="1"/>
    <col min="1294" max="1294" width="16.5703125" style="266" customWidth="1"/>
    <col min="1295" max="1536" width="9.140625" style="266"/>
    <col min="1537" max="1537" width="6.42578125" style="266" customWidth="1"/>
    <col min="1538" max="1538" width="38.140625" style="266" customWidth="1"/>
    <col min="1539" max="1539" width="6.140625" style="266" customWidth="1"/>
    <col min="1540" max="1540" width="4.28515625" style="266" customWidth="1"/>
    <col min="1541" max="1541" width="4.85546875" style="266" customWidth="1"/>
    <col min="1542" max="1542" width="4.5703125" style="266" customWidth="1"/>
    <col min="1543" max="1543" width="3.85546875" style="266" customWidth="1"/>
    <col min="1544" max="1544" width="4.5703125" style="266" customWidth="1"/>
    <col min="1545" max="1545" width="4.140625" style="266" customWidth="1"/>
    <col min="1546" max="1546" width="3.7109375" style="266" customWidth="1"/>
    <col min="1547" max="1547" width="4.140625" style="266" customWidth="1"/>
    <col min="1548" max="1548" width="8.5703125" style="266" customWidth="1"/>
    <col min="1549" max="1549" width="6.85546875" style="266" customWidth="1"/>
    <col min="1550" max="1550" width="16.5703125" style="266" customWidth="1"/>
    <col min="1551" max="1792" width="9.140625" style="266"/>
    <col min="1793" max="1793" width="6.42578125" style="266" customWidth="1"/>
    <col min="1794" max="1794" width="38.140625" style="266" customWidth="1"/>
    <col min="1795" max="1795" width="6.140625" style="266" customWidth="1"/>
    <col min="1796" max="1796" width="4.28515625" style="266" customWidth="1"/>
    <col min="1797" max="1797" width="4.85546875" style="266" customWidth="1"/>
    <col min="1798" max="1798" width="4.5703125" style="266" customWidth="1"/>
    <col min="1799" max="1799" width="3.85546875" style="266" customWidth="1"/>
    <col min="1800" max="1800" width="4.5703125" style="266" customWidth="1"/>
    <col min="1801" max="1801" width="4.140625" style="266" customWidth="1"/>
    <col min="1802" max="1802" width="3.7109375" style="266" customWidth="1"/>
    <col min="1803" max="1803" width="4.140625" style="266" customWidth="1"/>
    <col min="1804" max="1804" width="8.5703125" style="266" customWidth="1"/>
    <col min="1805" max="1805" width="6.85546875" style="266" customWidth="1"/>
    <col min="1806" max="1806" width="16.5703125" style="266" customWidth="1"/>
    <col min="1807" max="2048" width="9.140625" style="266"/>
    <col min="2049" max="2049" width="6.42578125" style="266" customWidth="1"/>
    <col min="2050" max="2050" width="38.140625" style="266" customWidth="1"/>
    <col min="2051" max="2051" width="6.140625" style="266" customWidth="1"/>
    <col min="2052" max="2052" width="4.28515625" style="266" customWidth="1"/>
    <col min="2053" max="2053" width="4.85546875" style="266" customWidth="1"/>
    <col min="2054" max="2054" width="4.5703125" style="266" customWidth="1"/>
    <col min="2055" max="2055" width="3.85546875" style="266" customWidth="1"/>
    <col min="2056" max="2056" width="4.5703125" style="266" customWidth="1"/>
    <col min="2057" max="2057" width="4.140625" style="266" customWidth="1"/>
    <col min="2058" max="2058" width="3.7109375" style="266" customWidth="1"/>
    <col min="2059" max="2059" width="4.140625" style="266" customWidth="1"/>
    <col min="2060" max="2060" width="8.5703125" style="266" customWidth="1"/>
    <col min="2061" max="2061" width="6.85546875" style="266" customWidth="1"/>
    <col min="2062" max="2062" width="16.5703125" style="266" customWidth="1"/>
    <col min="2063" max="2304" width="9.140625" style="266"/>
    <col min="2305" max="2305" width="6.42578125" style="266" customWidth="1"/>
    <col min="2306" max="2306" width="38.140625" style="266" customWidth="1"/>
    <col min="2307" max="2307" width="6.140625" style="266" customWidth="1"/>
    <col min="2308" max="2308" width="4.28515625" style="266" customWidth="1"/>
    <col min="2309" max="2309" width="4.85546875" style="266" customWidth="1"/>
    <col min="2310" max="2310" width="4.5703125" style="266" customWidth="1"/>
    <col min="2311" max="2311" width="3.85546875" style="266" customWidth="1"/>
    <col min="2312" max="2312" width="4.5703125" style="266" customWidth="1"/>
    <col min="2313" max="2313" width="4.140625" style="266" customWidth="1"/>
    <col min="2314" max="2314" width="3.7109375" style="266" customWidth="1"/>
    <col min="2315" max="2315" width="4.140625" style="266" customWidth="1"/>
    <col min="2316" max="2316" width="8.5703125" style="266" customWidth="1"/>
    <col min="2317" max="2317" width="6.85546875" style="266" customWidth="1"/>
    <col min="2318" max="2318" width="16.5703125" style="266" customWidth="1"/>
    <col min="2319" max="2560" width="9.140625" style="266"/>
    <col min="2561" max="2561" width="6.42578125" style="266" customWidth="1"/>
    <col min="2562" max="2562" width="38.140625" style="266" customWidth="1"/>
    <col min="2563" max="2563" width="6.140625" style="266" customWidth="1"/>
    <col min="2564" max="2564" width="4.28515625" style="266" customWidth="1"/>
    <col min="2565" max="2565" width="4.85546875" style="266" customWidth="1"/>
    <col min="2566" max="2566" width="4.5703125" style="266" customWidth="1"/>
    <col min="2567" max="2567" width="3.85546875" style="266" customWidth="1"/>
    <col min="2568" max="2568" width="4.5703125" style="266" customWidth="1"/>
    <col min="2569" max="2569" width="4.140625" style="266" customWidth="1"/>
    <col min="2570" max="2570" width="3.7109375" style="266" customWidth="1"/>
    <col min="2571" max="2571" width="4.140625" style="266" customWidth="1"/>
    <col min="2572" max="2572" width="8.5703125" style="266" customWidth="1"/>
    <col min="2573" max="2573" width="6.85546875" style="266" customWidth="1"/>
    <col min="2574" max="2574" width="16.5703125" style="266" customWidth="1"/>
    <col min="2575" max="2816" width="9.140625" style="266"/>
    <col min="2817" max="2817" width="6.42578125" style="266" customWidth="1"/>
    <col min="2818" max="2818" width="38.140625" style="266" customWidth="1"/>
    <col min="2819" max="2819" width="6.140625" style="266" customWidth="1"/>
    <col min="2820" max="2820" width="4.28515625" style="266" customWidth="1"/>
    <col min="2821" max="2821" width="4.85546875" style="266" customWidth="1"/>
    <col min="2822" max="2822" width="4.5703125" style="266" customWidth="1"/>
    <col min="2823" max="2823" width="3.85546875" style="266" customWidth="1"/>
    <col min="2824" max="2824" width="4.5703125" style="266" customWidth="1"/>
    <col min="2825" max="2825" width="4.140625" style="266" customWidth="1"/>
    <col min="2826" max="2826" width="3.7109375" style="266" customWidth="1"/>
    <col min="2827" max="2827" width="4.140625" style="266" customWidth="1"/>
    <col min="2828" max="2828" width="8.5703125" style="266" customWidth="1"/>
    <col min="2829" max="2829" width="6.85546875" style="266" customWidth="1"/>
    <col min="2830" max="2830" width="16.5703125" style="266" customWidth="1"/>
    <col min="2831" max="3072" width="9.140625" style="266"/>
    <col min="3073" max="3073" width="6.42578125" style="266" customWidth="1"/>
    <col min="3074" max="3074" width="38.140625" style="266" customWidth="1"/>
    <col min="3075" max="3075" width="6.140625" style="266" customWidth="1"/>
    <col min="3076" max="3076" width="4.28515625" style="266" customWidth="1"/>
    <col min="3077" max="3077" width="4.85546875" style="266" customWidth="1"/>
    <col min="3078" max="3078" width="4.5703125" style="266" customWidth="1"/>
    <col min="3079" max="3079" width="3.85546875" style="266" customWidth="1"/>
    <col min="3080" max="3080" width="4.5703125" style="266" customWidth="1"/>
    <col min="3081" max="3081" width="4.140625" style="266" customWidth="1"/>
    <col min="3082" max="3082" width="3.7109375" style="266" customWidth="1"/>
    <col min="3083" max="3083" width="4.140625" style="266" customWidth="1"/>
    <col min="3084" max="3084" width="8.5703125" style="266" customWidth="1"/>
    <col min="3085" max="3085" width="6.85546875" style="266" customWidth="1"/>
    <col min="3086" max="3086" width="16.5703125" style="266" customWidth="1"/>
    <col min="3087" max="3328" width="9.140625" style="266"/>
    <col min="3329" max="3329" width="6.42578125" style="266" customWidth="1"/>
    <col min="3330" max="3330" width="38.140625" style="266" customWidth="1"/>
    <col min="3331" max="3331" width="6.140625" style="266" customWidth="1"/>
    <col min="3332" max="3332" width="4.28515625" style="266" customWidth="1"/>
    <col min="3333" max="3333" width="4.85546875" style="266" customWidth="1"/>
    <col min="3334" max="3334" width="4.5703125" style="266" customWidth="1"/>
    <col min="3335" max="3335" width="3.85546875" style="266" customWidth="1"/>
    <col min="3336" max="3336" width="4.5703125" style="266" customWidth="1"/>
    <col min="3337" max="3337" width="4.140625" style="266" customWidth="1"/>
    <col min="3338" max="3338" width="3.7109375" style="266" customWidth="1"/>
    <col min="3339" max="3339" width="4.140625" style="266" customWidth="1"/>
    <col min="3340" max="3340" width="8.5703125" style="266" customWidth="1"/>
    <col min="3341" max="3341" width="6.85546875" style="266" customWidth="1"/>
    <col min="3342" max="3342" width="16.5703125" style="266" customWidth="1"/>
    <col min="3343" max="3584" width="9.140625" style="266"/>
    <col min="3585" max="3585" width="6.42578125" style="266" customWidth="1"/>
    <col min="3586" max="3586" width="38.140625" style="266" customWidth="1"/>
    <col min="3587" max="3587" width="6.140625" style="266" customWidth="1"/>
    <col min="3588" max="3588" width="4.28515625" style="266" customWidth="1"/>
    <col min="3589" max="3589" width="4.85546875" style="266" customWidth="1"/>
    <col min="3590" max="3590" width="4.5703125" style="266" customWidth="1"/>
    <col min="3591" max="3591" width="3.85546875" style="266" customWidth="1"/>
    <col min="3592" max="3592" width="4.5703125" style="266" customWidth="1"/>
    <col min="3593" max="3593" width="4.140625" style="266" customWidth="1"/>
    <col min="3594" max="3594" width="3.7109375" style="266" customWidth="1"/>
    <col min="3595" max="3595" width="4.140625" style="266" customWidth="1"/>
    <col min="3596" max="3596" width="8.5703125" style="266" customWidth="1"/>
    <col min="3597" max="3597" width="6.85546875" style="266" customWidth="1"/>
    <col min="3598" max="3598" width="16.5703125" style="266" customWidth="1"/>
    <col min="3599" max="3840" width="9.140625" style="266"/>
    <col min="3841" max="3841" width="6.42578125" style="266" customWidth="1"/>
    <col min="3842" max="3842" width="38.140625" style="266" customWidth="1"/>
    <col min="3843" max="3843" width="6.140625" style="266" customWidth="1"/>
    <col min="3844" max="3844" width="4.28515625" style="266" customWidth="1"/>
    <col min="3845" max="3845" width="4.85546875" style="266" customWidth="1"/>
    <col min="3846" max="3846" width="4.5703125" style="266" customWidth="1"/>
    <col min="3847" max="3847" width="3.85546875" style="266" customWidth="1"/>
    <col min="3848" max="3848" width="4.5703125" style="266" customWidth="1"/>
    <col min="3849" max="3849" width="4.140625" style="266" customWidth="1"/>
    <col min="3850" max="3850" width="3.7109375" style="266" customWidth="1"/>
    <col min="3851" max="3851" width="4.140625" style="266" customWidth="1"/>
    <col min="3852" max="3852" width="8.5703125" style="266" customWidth="1"/>
    <col min="3853" max="3853" width="6.85546875" style="266" customWidth="1"/>
    <col min="3854" max="3854" width="16.5703125" style="266" customWidth="1"/>
    <col min="3855" max="4096" width="9.140625" style="266"/>
    <col min="4097" max="4097" width="6.42578125" style="266" customWidth="1"/>
    <col min="4098" max="4098" width="38.140625" style="266" customWidth="1"/>
    <col min="4099" max="4099" width="6.140625" style="266" customWidth="1"/>
    <col min="4100" max="4100" width="4.28515625" style="266" customWidth="1"/>
    <col min="4101" max="4101" width="4.85546875" style="266" customWidth="1"/>
    <col min="4102" max="4102" width="4.5703125" style="266" customWidth="1"/>
    <col min="4103" max="4103" width="3.85546875" style="266" customWidth="1"/>
    <col min="4104" max="4104" width="4.5703125" style="266" customWidth="1"/>
    <col min="4105" max="4105" width="4.140625" style="266" customWidth="1"/>
    <col min="4106" max="4106" width="3.7109375" style="266" customWidth="1"/>
    <col min="4107" max="4107" width="4.140625" style="266" customWidth="1"/>
    <col min="4108" max="4108" width="8.5703125" style="266" customWidth="1"/>
    <col min="4109" max="4109" width="6.85546875" style="266" customWidth="1"/>
    <col min="4110" max="4110" width="16.5703125" style="266" customWidth="1"/>
    <col min="4111" max="4352" width="9.140625" style="266"/>
    <col min="4353" max="4353" width="6.42578125" style="266" customWidth="1"/>
    <col min="4354" max="4354" width="38.140625" style="266" customWidth="1"/>
    <col min="4355" max="4355" width="6.140625" style="266" customWidth="1"/>
    <col min="4356" max="4356" width="4.28515625" style="266" customWidth="1"/>
    <col min="4357" max="4357" width="4.85546875" style="266" customWidth="1"/>
    <col min="4358" max="4358" width="4.5703125" style="266" customWidth="1"/>
    <col min="4359" max="4359" width="3.85546875" style="266" customWidth="1"/>
    <col min="4360" max="4360" width="4.5703125" style="266" customWidth="1"/>
    <col min="4361" max="4361" width="4.140625" style="266" customWidth="1"/>
    <col min="4362" max="4362" width="3.7109375" style="266" customWidth="1"/>
    <col min="4363" max="4363" width="4.140625" style="266" customWidth="1"/>
    <col min="4364" max="4364" width="8.5703125" style="266" customWidth="1"/>
    <col min="4365" max="4365" width="6.85546875" style="266" customWidth="1"/>
    <col min="4366" max="4366" width="16.5703125" style="266" customWidth="1"/>
    <col min="4367" max="4608" width="9.140625" style="266"/>
    <col min="4609" max="4609" width="6.42578125" style="266" customWidth="1"/>
    <col min="4610" max="4610" width="38.140625" style="266" customWidth="1"/>
    <col min="4611" max="4611" width="6.140625" style="266" customWidth="1"/>
    <col min="4612" max="4612" width="4.28515625" style="266" customWidth="1"/>
    <col min="4613" max="4613" width="4.85546875" style="266" customWidth="1"/>
    <col min="4614" max="4614" width="4.5703125" style="266" customWidth="1"/>
    <col min="4615" max="4615" width="3.85546875" style="266" customWidth="1"/>
    <col min="4616" max="4616" width="4.5703125" style="266" customWidth="1"/>
    <col min="4617" max="4617" width="4.140625" style="266" customWidth="1"/>
    <col min="4618" max="4618" width="3.7109375" style="266" customWidth="1"/>
    <col min="4619" max="4619" width="4.140625" style="266" customWidth="1"/>
    <col min="4620" max="4620" width="8.5703125" style="266" customWidth="1"/>
    <col min="4621" max="4621" width="6.85546875" style="266" customWidth="1"/>
    <col min="4622" max="4622" width="16.5703125" style="266" customWidth="1"/>
    <col min="4623" max="4864" width="9.140625" style="266"/>
    <col min="4865" max="4865" width="6.42578125" style="266" customWidth="1"/>
    <col min="4866" max="4866" width="38.140625" style="266" customWidth="1"/>
    <col min="4867" max="4867" width="6.140625" style="266" customWidth="1"/>
    <col min="4868" max="4868" width="4.28515625" style="266" customWidth="1"/>
    <col min="4869" max="4869" width="4.85546875" style="266" customWidth="1"/>
    <col min="4870" max="4870" width="4.5703125" style="266" customWidth="1"/>
    <col min="4871" max="4871" width="3.85546875" style="266" customWidth="1"/>
    <col min="4872" max="4872" width="4.5703125" style="266" customWidth="1"/>
    <col min="4873" max="4873" width="4.140625" style="266" customWidth="1"/>
    <col min="4874" max="4874" width="3.7109375" style="266" customWidth="1"/>
    <col min="4875" max="4875" width="4.140625" style="266" customWidth="1"/>
    <col min="4876" max="4876" width="8.5703125" style="266" customWidth="1"/>
    <col min="4877" max="4877" width="6.85546875" style="266" customWidth="1"/>
    <col min="4878" max="4878" width="16.5703125" style="266" customWidth="1"/>
    <col min="4879" max="5120" width="9.140625" style="266"/>
    <col min="5121" max="5121" width="6.42578125" style="266" customWidth="1"/>
    <col min="5122" max="5122" width="38.140625" style="266" customWidth="1"/>
    <col min="5123" max="5123" width="6.140625" style="266" customWidth="1"/>
    <col min="5124" max="5124" width="4.28515625" style="266" customWidth="1"/>
    <col min="5125" max="5125" width="4.85546875" style="266" customWidth="1"/>
    <col min="5126" max="5126" width="4.5703125" style="266" customWidth="1"/>
    <col min="5127" max="5127" width="3.85546875" style="266" customWidth="1"/>
    <col min="5128" max="5128" width="4.5703125" style="266" customWidth="1"/>
    <col min="5129" max="5129" width="4.140625" style="266" customWidth="1"/>
    <col min="5130" max="5130" width="3.7109375" style="266" customWidth="1"/>
    <col min="5131" max="5131" width="4.140625" style="266" customWidth="1"/>
    <col min="5132" max="5132" width="8.5703125" style="266" customWidth="1"/>
    <col min="5133" max="5133" width="6.85546875" style="266" customWidth="1"/>
    <col min="5134" max="5134" width="16.5703125" style="266" customWidth="1"/>
    <col min="5135" max="5376" width="9.140625" style="266"/>
    <col min="5377" max="5377" width="6.42578125" style="266" customWidth="1"/>
    <col min="5378" max="5378" width="38.140625" style="266" customWidth="1"/>
    <col min="5379" max="5379" width="6.140625" style="266" customWidth="1"/>
    <col min="5380" max="5380" width="4.28515625" style="266" customWidth="1"/>
    <col min="5381" max="5381" width="4.85546875" style="266" customWidth="1"/>
    <col min="5382" max="5382" width="4.5703125" style="266" customWidth="1"/>
    <col min="5383" max="5383" width="3.85546875" style="266" customWidth="1"/>
    <col min="5384" max="5384" width="4.5703125" style="266" customWidth="1"/>
    <col min="5385" max="5385" width="4.140625" style="266" customWidth="1"/>
    <col min="5386" max="5386" width="3.7109375" style="266" customWidth="1"/>
    <col min="5387" max="5387" width="4.140625" style="266" customWidth="1"/>
    <col min="5388" max="5388" width="8.5703125" style="266" customWidth="1"/>
    <col min="5389" max="5389" width="6.85546875" style="266" customWidth="1"/>
    <col min="5390" max="5390" width="16.5703125" style="266" customWidth="1"/>
    <col min="5391" max="5632" width="9.140625" style="266"/>
    <col min="5633" max="5633" width="6.42578125" style="266" customWidth="1"/>
    <col min="5634" max="5634" width="38.140625" style="266" customWidth="1"/>
    <col min="5635" max="5635" width="6.140625" style="266" customWidth="1"/>
    <col min="5636" max="5636" width="4.28515625" style="266" customWidth="1"/>
    <col min="5637" max="5637" width="4.85546875" style="266" customWidth="1"/>
    <col min="5638" max="5638" width="4.5703125" style="266" customWidth="1"/>
    <col min="5639" max="5639" width="3.85546875" style="266" customWidth="1"/>
    <col min="5640" max="5640" width="4.5703125" style="266" customWidth="1"/>
    <col min="5641" max="5641" width="4.140625" style="266" customWidth="1"/>
    <col min="5642" max="5642" width="3.7109375" style="266" customWidth="1"/>
    <col min="5643" max="5643" width="4.140625" style="266" customWidth="1"/>
    <col min="5644" max="5644" width="8.5703125" style="266" customWidth="1"/>
    <col min="5645" max="5645" width="6.85546875" style="266" customWidth="1"/>
    <col min="5646" max="5646" width="16.5703125" style="266" customWidth="1"/>
    <col min="5647" max="5888" width="9.140625" style="266"/>
    <col min="5889" max="5889" width="6.42578125" style="266" customWidth="1"/>
    <col min="5890" max="5890" width="38.140625" style="266" customWidth="1"/>
    <col min="5891" max="5891" width="6.140625" style="266" customWidth="1"/>
    <col min="5892" max="5892" width="4.28515625" style="266" customWidth="1"/>
    <col min="5893" max="5893" width="4.85546875" style="266" customWidth="1"/>
    <col min="5894" max="5894" width="4.5703125" style="266" customWidth="1"/>
    <col min="5895" max="5895" width="3.85546875" style="266" customWidth="1"/>
    <col min="5896" max="5896" width="4.5703125" style="266" customWidth="1"/>
    <col min="5897" max="5897" width="4.140625" style="266" customWidth="1"/>
    <col min="5898" max="5898" width="3.7109375" style="266" customWidth="1"/>
    <col min="5899" max="5899" width="4.140625" style="266" customWidth="1"/>
    <col min="5900" max="5900" width="8.5703125" style="266" customWidth="1"/>
    <col min="5901" max="5901" width="6.85546875" style="266" customWidth="1"/>
    <col min="5902" max="5902" width="16.5703125" style="266" customWidth="1"/>
    <col min="5903" max="6144" width="9.140625" style="266"/>
    <col min="6145" max="6145" width="6.42578125" style="266" customWidth="1"/>
    <col min="6146" max="6146" width="38.140625" style="266" customWidth="1"/>
    <col min="6147" max="6147" width="6.140625" style="266" customWidth="1"/>
    <col min="6148" max="6148" width="4.28515625" style="266" customWidth="1"/>
    <col min="6149" max="6149" width="4.85546875" style="266" customWidth="1"/>
    <col min="6150" max="6150" width="4.5703125" style="266" customWidth="1"/>
    <col min="6151" max="6151" width="3.85546875" style="266" customWidth="1"/>
    <col min="6152" max="6152" width="4.5703125" style="266" customWidth="1"/>
    <col min="6153" max="6153" width="4.140625" style="266" customWidth="1"/>
    <col min="6154" max="6154" width="3.7109375" style="266" customWidth="1"/>
    <col min="6155" max="6155" width="4.140625" style="266" customWidth="1"/>
    <col min="6156" max="6156" width="8.5703125" style="266" customWidth="1"/>
    <col min="6157" max="6157" width="6.85546875" style="266" customWidth="1"/>
    <col min="6158" max="6158" width="16.5703125" style="266" customWidth="1"/>
    <col min="6159" max="6400" width="9.140625" style="266"/>
    <col min="6401" max="6401" width="6.42578125" style="266" customWidth="1"/>
    <col min="6402" max="6402" width="38.140625" style="266" customWidth="1"/>
    <col min="6403" max="6403" width="6.140625" style="266" customWidth="1"/>
    <col min="6404" max="6404" width="4.28515625" style="266" customWidth="1"/>
    <col min="6405" max="6405" width="4.85546875" style="266" customWidth="1"/>
    <col min="6406" max="6406" width="4.5703125" style="266" customWidth="1"/>
    <col min="6407" max="6407" width="3.85546875" style="266" customWidth="1"/>
    <col min="6408" max="6408" width="4.5703125" style="266" customWidth="1"/>
    <col min="6409" max="6409" width="4.140625" style="266" customWidth="1"/>
    <col min="6410" max="6410" width="3.7109375" style="266" customWidth="1"/>
    <col min="6411" max="6411" width="4.140625" style="266" customWidth="1"/>
    <col min="6412" max="6412" width="8.5703125" style="266" customWidth="1"/>
    <col min="6413" max="6413" width="6.85546875" style="266" customWidth="1"/>
    <col min="6414" max="6414" width="16.5703125" style="266" customWidth="1"/>
    <col min="6415" max="6656" width="9.140625" style="266"/>
    <col min="6657" max="6657" width="6.42578125" style="266" customWidth="1"/>
    <col min="6658" max="6658" width="38.140625" style="266" customWidth="1"/>
    <col min="6659" max="6659" width="6.140625" style="266" customWidth="1"/>
    <col min="6660" max="6660" width="4.28515625" style="266" customWidth="1"/>
    <col min="6661" max="6661" width="4.85546875" style="266" customWidth="1"/>
    <col min="6662" max="6662" width="4.5703125" style="266" customWidth="1"/>
    <col min="6663" max="6663" width="3.85546875" style="266" customWidth="1"/>
    <col min="6664" max="6664" width="4.5703125" style="266" customWidth="1"/>
    <col min="6665" max="6665" width="4.140625" style="266" customWidth="1"/>
    <col min="6666" max="6666" width="3.7109375" style="266" customWidth="1"/>
    <col min="6667" max="6667" width="4.140625" style="266" customWidth="1"/>
    <col min="6668" max="6668" width="8.5703125" style="266" customWidth="1"/>
    <col min="6669" max="6669" width="6.85546875" style="266" customWidth="1"/>
    <col min="6670" max="6670" width="16.5703125" style="266" customWidth="1"/>
    <col min="6671" max="6912" width="9.140625" style="266"/>
    <col min="6913" max="6913" width="6.42578125" style="266" customWidth="1"/>
    <col min="6914" max="6914" width="38.140625" style="266" customWidth="1"/>
    <col min="6915" max="6915" width="6.140625" style="266" customWidth="1"/>
    <col min="6916" max="6916" width="4.28515625" style="266" customWidth="1"/>
    <col min="6917" max="6917" width="4.85546875" style="266" customWidth="1"/>
    <col min="6918" max="6918" width="4.5703125" style="266" customWidth="1"/>
    <col min="6919" max="6919" width="3.85546875" style="266" customWidth="1"/>
    <col min="6920" max="6920" width="4.5703125" style="266" customWidth="1"/>
    <col min="6921" max="6921" width="4.140625" style="266" customWidth="1"/>
    <col min="6922" max="6922" width="3.7109375" style="266" customWidth="1"/>
    <col min="6923" max="6923" width="4.140625" style="266" customWidth="1"/>
    <col min="6924" max="6924" width="8.5703125" style="266" customWidth="1"/>
    <col min="6925" max="6925" width="6.85546875" style="266" customWidth="1"/>
    <col min="6926" max="6926" width="16.5703125" style="266" customWidth="1"/>
    <col min="6927" max="7168" width="9.140625" style="266"/>
    <col min="7169" max="7169" width="6.42578125" style="266" customWidth="1"/>
    <col min="7170" max="7170" width="38.140625" style="266" customWidth="1"/>
    <col min="7171" max="7171" width="6.140625" style="266" customWidth="1"/>
    <col min="7172" max="7172" width="4.28515625" style="266" customWidth="1"/>
    <col min="7173" max="7173" width="4.85546875" style="266" customWidth="1"/>
    <col min="7174" max="7174" width="4.5703125" style="266" customWidth="1"/>
    <col min="7175" max="7175" width="3.85546875" style="266" customWidth="1"/>
    <col min="7176" max="7176" width="4.5703125" style="266" customWidth="1"/>
    <col min="7177" max="7177" width="4.140625" style="266" customWidth="1"/>
    <col min="7178" max="7178" width="3.7109375" style="266" customWidth="1"/>
    <col min="7179" max="7179" width="4.140625" style="266" customWidth="1"/>
    <col min="7180" max="7180" width="8.5703125" style="266" customWidth="1"/>
    <col min="7181" max="7181" width="6.85546875" style="266" customWidth="1"/>
    <col min="7182" max="7182" width="16.5703125" style="266" customWidth="1"/>
    <col min="7183" max="7424" width="9.140625" style="266"/>
    <col min="7425" max="7425" width="6.42578125" style="266" customWidth="1"/>
    <col min="7426" max="7426" width="38.140625" style="266" customWidth="1"/>
    <col min="7427" max="7427" width="6.140625" style="266" customWidth="1"/>
    <col min="7428" max="7428" width="4.28515625" style="266" customWidth="1"/>
    <col min="7429" max="7429" width="4.85546875" style="266" customWidth="1"/>
    <col min="7430" max="7430" width="4.5703125" style="266" customWidth="1"/>
    <col min="7431" max="7431" width="3.85546875" style="266" customWidth="1"/>
    <col min="7432" max="7432" width="4.5703125" style="266" customWidth="1"/>
    <col min="7433" max="7433" width="4.140625" style="266" customWidth="1"/>
    <col min="7434" max="7434" width="3.7109375" style="266" customWidth="1"/>
    <col min="7435" max="7435" width="4.140625" style="266" customWidth="1"/>
    <col min="7436" max="7436" width="8.5703125" style="266" customWidth="1"/>
    <col min="7437" max="7437" width="6.85546875" style="266" customWidth="1"/>
    <col min="7438" max="7438" width="16.5703125" style="266" customWidth="1"/>
    <col min="7439" max="7680" width="9.140625" style="266"/>
    <col min="7681" max="7681" width="6.42578125" style="266" customWidth="1"/>
    <col min="7682" max="7682" width="38.140625" style="266" customWidth="1"/>
    <col min="7683" max="7683" width="6.140625" style="266" customWidth="1"/>
    <col min="7684" max="7684" width="4.28515625" style="266" customWidth="1"/>
    <col min="7685" max="7685" width="4.85546875" style="266" customWidth="1"/>
    <col min="7686" max="7686" width="4.5703125" style="266" customWidth="1"/>
    <col min="7687" max="7687" width="3.85546875" style="266" customWidth="1"/>
    <col min="7688" max="7688" width="4.5703125" style="266" customWidth="1"/>
    <col min="7689" max="7689" width="4.140625" style="266" customWidth="1"/>
    <col min="7690" max="7690" width="3.7109375" style="266" customWidth="1"/>
    <col min="7691" max="7691" width="4.140625" style="266" customWidth="1"/>
    <col min="7692" max="7692" width="8.5703125" style="266" customWidth="1"/>
    <col min="7693" max="7693" width="6.85546875" style="266" customWidth="1"/>
    <col min="7694" max="7694" width="16.5703125" style="266" customWidth="1"/>
    <col min="7695" max="7936" width="9.140625" style="266"/>
    <col min="7937" max="7937" width="6.42578125" style="266" customWidth="1"/>
    <col min="7938" max="7938" width="38.140625" style="266" customWidth="1"/>
    <col min="7939" max="7939" width="6.140625" style="266" customWidth="1"/>
    <col min="7940" max="7940" width="4.28515625" style="266" customWidth="1"/>
    <col min="7941" max="7941" width="4.85546875" style="266" customWidth="1"/>
    <col min="7942" max="7942" width="4.5703125" style="266" customWidth="1"/>
    <col min="7943" max="7943" width="3.85546875" style="266" customWidth="1"/>
    <col min="7944" max="7944" width="4.5703125" style="266" customWidth="1"/>
    <col min="7945" max="7945" width="4.140625" style="266" customWidth="1"/>
    <col min="7946" max="7946" width="3.7109375" style="266" customWidth="1"/>
    <col min="7947" max="7947" width="4.140625" style="266" customWidth="1"/>
    <col min="7948" max="7948" width="8.5703125" style="266" customWidth="1"/>
    <col min="7949" max="7949" width="6.85546875" style="266" customWidth="1"/>
    <col min="7950" max="7950" width="16.5703125" style="266" customWidth="1"/>
    <col min="7951" max="8192" width="9.140625" style="266"/>
    <col min="8193" max="8193" width="6.42578125" style="266" customWidth="1"/>
    <col min="8194" max="8194" width="38.140625" style="266" customWidth="1"/>
    <col min="8195" max="8195" width="6.140625" style="266" customWidth="1"/>
    <col min="8196" max="8196" width="4.28515625" style="266" customWidth="1"/>
    <col min="8197" max="8197" width="4.85546875" style="266" customWidth="1"/>
    <col min="8198" max="8198" width="4.5703125" style="266" customWidth="1"/>
    <col min="8199" max="8199" width="3.85546875" style="266" customWidth="1"/>
    <col min="8200" max="8200" width="4.5703125" style="266" customWidth="1"/>
    <col min="8201" max="8201" width="4.140625" style="266" customWidth="1"/>
    <col min="8202" max="8202" width="3.7109375" style="266" customWidth="1"/>
    <col min="8203" max="8203" width="4.140625" style="266" customWidth="1"/>
    <col min="8204" max="8204" width="8.5703125" style="266" customWidth="1"/>
    <col min="8205" max="8205" width="6.85546875" style="266" customWidth="1"/>
    <col min="8206" max="8206" width="16.5703125" style="266" customWidth="1"/>
    <col min="8207" max="8448" width="9.140625" style="266"/>
    <col min="8449" max="8449" width="6.42578125" style="266" customWidth="1"/>
    <col min="8450" max="8450" width="38.140625" style="266" customWidth="1"/>
    <col min="8451" max="8451" width="6.140625" style="266" customWidth="1"/>
    <col min="8452" max="8452" width="4.28515625" style="266" customWidth="1"/>
    <col min="8453" max="8453" width="4.85546875" style="266" customWidth="1"/>
    <col min="8454" max="8454" width="4.5703125" style="266" customWidth="1"/>
    <col min="8455" max="8455" width="3.85546875" style="266" customWidth="1"/>
    <col min="8456" max="8456" width="4.5703125" style="266" customWidth="1"/>
    <col min="8457" max="8457" width="4.140625" style="266" customWidth="1"/>
    <col min="8458" max="8458" width="3.7109375" style="266" customWidth="1"/>
    <col min="8459" max="8459" width="4.140625" style="266" customWidth="1"/>
    <col min="8460" max="8460" width="8.5703125" style="266" customWidth="1"/>
    <col min="8461" max="8461" width="6.85546875" style="266" customWidth="1"/>
    <col min="8462" max="8462" width="16.5703125" style="266" customWidth="1"/>
    <col min="8463" max="8704" width="9.140625" style="266"/>
    <col min="8705" max="8705" width="6.42578125" style="266" customWidth="1"/>
    <col min="8706" max="8706" width="38.140625" style="266" customWidth="1"/>
    <col min="8707" max="8707" width="6.140625" style="266" customWidth="1"/>
    <col min="8708" max="8708" width="4.28515625" style="266" customWidth="1"/>
    <col min="8709" max="8709" width="4.85546875" style="266" customWidth="1"/>
    <col min="8710" max="8710" width="4.5703125" style="266" customWidth="1"/>
    <col min="8711" max="8711" width="3.85546875" style="266" customWidth="1"/>
    <col min="8712" max="8712" width="4.5703125" style="266" customWidth="1"/>
    <col min="8713" max="8713" width="4.140625" style="266" customWidth="1"/>
    <col min="8714" max="8714" width="3.7109375" style="266" customWidth="1"/>
    <col min="8715" max="8715" width="4.140625" style="266" customWidth="1"/>
    <col min="8716" max="8716" width="8.5703125" style="266" customWidth="1"/>
    <col min="8717" max="8717" width="6.85546875" style="266" customWidth="1"/>
    <col min="8718" max="8718" width="16.5703125" style="266" customWidth="1"/>
    <col min="8719" max="8960" width="9.140625" style="266"/>
    <col min="8961" max="8961" width="6.42578125" style="266" customWidth="1"/>
    <col min="8962" max="8962" width="38.140625" style="266" customWidth="1"/>
    <col min="8963" max="8963" width="6.140625" style="266" customWidth="1"/>
    <col min="8964" max="8964" width="4.28515625" style="266" customWidth="1"/>
    <col min="8965" max="8965" width="4.85546875" style="266" customWidth="1"/>
    <col min="8966" max="8966" width="4.5703125" style="266" customWidth="1"/>
    <col min="8967" max="8967" width="3.85546875" style="266" customWidth="1"/>
    <col min="8968" max="8968" width="4.5703125" style="266" customWidth="1"/>
    <col min="8969" max="8969" width="4.140625" style="266" customWidth="1"/>
    <col min="8970" max="8970" width="3.7109375" style="266" customWidth="1"/>
    <col min="8971" max="8971" width="4.140625" style="266" customWidth="1"/>
    <col min="8972" max="8972" width="8.5703125" style="266" customWidth="1"/>
    <col min="8973" max="8973" width="6.85546875" style="266" customWidth="1"/>
    <col min="8974" max="8974" width="16.5703125" style="266" customWidth="1"/>
    <col min="8975" max="9216" width="9.140625" style="266"/>
    <col min="9217" max="9217" width="6.42578125" style="266" customWidth="1"/>
    <col min="9218" max="9218" width="38.140625" style="266" customWidth="1"/>
    <col min="9219" max="9219" width="6.140625" style="266" customWidth="1"/>
    <col min="9220" max="9220" width="4.28515625" style="266" customWidth="1"/>
    <col min="9221" max="9221" width="4.85546875" style="266" customWidth="1"/>
    <col min="9222" max="9222" width="4.5703125" style="266" customWidth="1"/>
    <col min="9223" max="9223" width="3.85546875" style="266" customWidth="1"/>
    <col min="9224" max="9224" width="4.5703125" style="266" customWidth="1"/>
    <col min="9225" max="9225" width="4.140625" style="266" customWidth="1"/>
    <col min="9226" max="9226" width="3.7109375" style="266" customWidth="1"/>
    <col min="9227" max="9227" width="4.140625" style="266" customWidth="1"/>
    <col min="9228" max="9228" width="8.5703125" style="266" customWidth="1"/>
    <col min="9229" max="9229" width="6.85546875" style="266" customWidth="1"/>
    <col min="9230" max="9230" width="16.5703125" style="266" customWidth="1"/>
    <col min="9231" max="9472" width="9.140625" style="266"/>
    <col min="9473" max="9473" width="6.42578125" style="266" customWidth="1"/>
    <col min="9474" max="9474" width="38.140625" style="266" customWidth="1"/>
    <col min="9475" max="9475" width="6.140625" style="266" customWidth="1"/>
    <col min="9476" max="9476" width="4.28515625" style="266" customWidth="1"/>
    <col min="9477" max="9477" width="4.85546875" style="266" customWidth="1"/>
    <col min="9478" max="9478" width="4.5703125" style="266" customWidth="1"/>
    <col min="9479" max="9479" width="3.85546875" style="266" customWidth="1"/>
    <col min="9480" max="9480" width="4.5703125" style="266" customWidth="1"/>
    <col min="9481" max="9481" width="4.140625" style="266" customWidth="1"/>
    <col min="9482" max="9482" width="3.7109375" style="266" customWidth="1"/>
    <col min="9483" max="9483" width="4.140625" style="266" customWidth="1"/>
    <col min="9484" max="9484" width="8.5703125" style="266" customWidth="1"/>
    <col min="9485" max="9485" width="6.85546875" style="266" customWidth="1"/>
    <col min="9486" max="9486" width="16.5703125" style="266" customWidth="1"/>
    <col min="9487" max="9728" width="9.140625" style="266"/>
    <col min="9729" max="9729" width="6.42578125" style="266" customWidth="1"/>
    <col min="9730" max="9730" width="38.140625" style="266" customWidth="1"/>
    <col min="9731" max="9731" width="6.140625" style="266" customWidth="1"/>
    <col min="9732" max="9732" width="4.28515625" style="266" customWidth="1"/>
    <col min="9733" max="9733" width="4.85546875" style="266" customWidth="1"/>
    <col min="9734" max="9734" width="4.5703125" style="266" customWidth="1"/>
    <col min="9735" max="9735" width="3.85546875" style="266" customWidth="1"/>
    <col min="9736" max="9736" width="4.5703125" style="266" customWidth="1"/>
    <col min="9737" max="9737" width="4.140625" style="266" customWidth="1"/>
    <col min="9738" max="9738" width="3.7109375" style="266" customWidth="1"/>
    <col min="9739" max="9739" width="4.140625" style="266" customWidth="1"/>
    <col min="9740" max="9740" width="8.5703125" style="266" customWidth="1"/>
    <col min="9741" max="9741" width="6.85546875" style="266" customWidth="1"/>
    <col min="9742" max="9742" width="16.5703125" style="266" customWidth="1"/>
    <col min="9743" max="9984" width="9.140625" style="266"/>
    <col min="9985" max="9985" width="6.42578125" style="266" customWidth="1"/>
    <col min="9986" max="9986" width="38.140625" style="266" customWidth="1"/>
    <col min="9987" max="9987" width="6.140625" style="266" customWidth="1"/>
    <col min="9988" max="9988" width="4.28515625" style="266" customWidth="1"/>
    <col min="9989" max="9989" width="4.85546875" style="266" customWidth="1"/>
    <col min="9990" max="9990" width="4.5703125" style="266" customWidth="1"/>
    <col min="9991" max="9991" width="3.85546875" style="266" customWidth="1"/>
    <col min="9992" max="9992" width="4.5703125" style="266" customWidth="1"/>
    <col min="9993" max="9993" width="4.140625" style="266" customWidth="1"/>
    <col min="9994" max="9994" width="3.7109375" style="266" customWidth="1"/>
    <col min="9995" max="9995" width="4.140625" style="266" customWidth="1"/>
    <col min="9996" max="9996" width="8.5703125" style="266" customWidth="1"/>
    <col min="9997" max="9997" width="6.85546875" style="266" customWidth="1"/>
    <col min="9998" max="9998" width="16.5703125" style="266" customWidth="1"/>
    <col min="9999" max="10240" width="9.140625" style="266"/>
    <col min="10241" max="10241" width="6.42578125" style="266" customWidth="1"/>
    <col min="10242" max="10242" width="38.140625" style="266" customWidth="1"/>
    <col min="10243" max="10243" width="6.140625" style="266" customWidth="1"/>
    <col min="10244" max="10244" width="4.28515625" style="266" customWidth="1"/>
    <col min="10245" max="10245" width="4.85546875" style="266" customWidth="1"/>
    <col min="10246" max="10246" width="4.5703125" style="266" customWidth="1"/>
    <col min="10247" max="10247" width="3.85546875" style="266" customWidth="1"/>
    <col min="10248" max="10248" width="4.5703125" style="266" customWidth="1"/>
    <col min="10249" max="10249" width="4.140625" style="266" customWidth="1"/>
    <col min="10250" max="10250" width="3.7109375" style="266" customWidth="1"/>
    <col min="10251" max="10251" width="4.140625" style="266" customWidth="1"/>
    <col min="10252" max="10252" width="8.5703125" style="266" customWidth="1"/>
    <col min="10253" max="10253" width="6.85546875" style="266" customWidth="1"/>
    <col min="10254" max="10254" width="16.5703125" style="266" customWidth="1"/>
    <col min="10255" max="10496" width="9.140625" style="266"/>
    <col min="10497" max="10497" width="6.42578125" style="266" customWidth="1"/>
    <col min="10498" max="10498" width="38.140625" style="266" customWidth="1"/>
    <col min="10499" max="10499" width="6.140625" style="266" customWidth="1"/>
    <col min="10500" max="10500" width="4.28515625" style="266" customWidth="1"/>
    <col min="10501" max="10501" width="4.85546875" style="266" customWidth="1"/>
    <col min="10502" max="10502" width="4.5703125" style="266" customWidth="1"/>
    <col min="10503" max="10503" width="3.85546875" style="266" customWidth="1"/>
    <col min="10504" max="10504" width="4.5703125" style="266" customWidth="1"/>
    <col min="10505" max="10505" width="4.140625" style="266" customWidth="1"/>
    <col min="10506" max="10506" width="3.7109375" style="266" customWidth="1"/>
    <col min="10507" max="10507" width="4.140625" style="266" customWidth="1"/>
    <col min="10508" max="10508" width="8.5703125" style="266" customWidth="1"/>
    <col min="10509" max="10509" width="6.85546875" style="266" customWidth="1"/>
    <col min="10510" max="10510" width="16.5703125" style="266" customWidth="1"/>
    <col min="10511" max="10752" width="9.140625" style="266"/>
    <col min="10753" max="10753" width="6.42578125" style="266" customWidth="1"/>
    <col min="10754" max="10754" width="38.140625" style="266" customWidth="1"/>
    <col min="10755" max="10755" width="6.140625" style="266" customWidth="1"/>
    <col min="10756" max="10756" width="4.28515625" style="266" customWidth="1"/>
    <col min="10757" max="10757" width="4.85546875" style="266" customWidth="1"/>
    <col min="10758" max="10758" width="4.5703125" style="266" customWidth="1"/>
    <col min="10759" max="10759" width="3.85546875" style="266" customWidth="1"/>
    <col min="10760" max="10760" width="4.5703125" style="266" customWidth="1"/>
    <col min="10761" max="10761" width="4.140625" style="266" customWidth="1"/>
    <col min="10762" max="10762" width="3.7109375" style="266" customWidth="1"/>
    <col min="10763" max="10763" width="4.140625" style="266" customWidth="1"/>
    <col min="10764" max="10764" width="8.5703125" style="266" customWidth="1"/>
    <col min="10765" max="10765" width="6.85546875" style="266" customWidth="1"/>
    <col min="10766" max="10766" width="16.5703125" style="266" customWidth="1"/>
    <col min="10767" max="11008" width="9.140625" style="266"/>
    <col min="11009" max="11009" width="6.42578125" style="266" customWidth="1"/>
    <col min="11010" max="11010" width="38.140625" style="266" customWidth="1"/>
    <col min="11011" max="11011" width="6.140625" style="266" customWidth="1"/>
    <col min="11012" max="11012" width="4.28515625" style="266" customWidth="1"/>
    <col min="11013" max="11013" width="4.85546875" style="266" customWidth="1"/>
    <col min="11014" max="11014" width="4.5703125" style="266" customWidth="1"/>
    <col min="11015" max="11015" width="3.85546875" style="266" customWidth="1"/>
    <col min="11016" max="11016" width="4.5703125" style="266" customWidth="1"/>
    <col min="11017" max="11017" width="4.140625" style="266" customWidth="1"/>
    <col min="11018" max="11018" width="3.7109375" style="266" customWidth="1"/>
    <col min="11019" max="11019" width="4.140625" style="266" customWidth="1"/>
    <col min="11020" max="11020" width="8.5703125" style="266" customWidth="1"/>
    <col min="11021" max="11021" width="6.85546875" style="266" customWidth="1"/>
    <col min="11022" max="11022" width="16.5703125" style="266" customWidth="1"/>
    <col min="11023" max="11264" width="9.140625" style="266"/>
    <col min="11265" max="11265" width="6.42578125" style="266" customWidth="1"/>
    <col min="11266" max="11266" width="38.140625" style="266" customWidth="1"/>
    <col min="11267" max="11267" width="6.140625" style="266" customWidth="1"/>
    <col min="11268" max="11268" width="4.28515625" style="266" customWidth="1"/>
    <col min="11269" max="11269" width="4.85546875" style="266" customWidth="1"/>
    <col min="11270" max="11270" width="4.5703125" style="266" customWidth="1"/>
    <col min="11271" max="11271" width="3.85546875" style="266" customWidth="1"/>
    <col min="11272" max="11272" width="4.5703125" style="266" customWidth="1"/>
    <col min="11273" max="11273" width="4.140625" style="266" customWidth="1"/>
    <col min="11274" max="11274" width="3.7109375" style="266" customWidth="1"/>
    <col min="11275" max="11275" width="4.140625" style="266" customWidth="1"/>
    <col min="11276" max="11276" width="8.5703125" style="266" customWidth="1"/>
    <col min="11277" max="11277" width="6.85546875" style="266" customWidth="1"/>
    <col min="11278" max="11278" width="16.5703125" style="266" customWidth="1"/>
    <col min="11279" max="11520" width="9.140625" style="266"/>
    <col min="11521" max="11521" width="6.42578125" style="266" customWidth="1"/>
    <col min="11522" max="11522" width="38.140625" style="266" customWidth="1"/>
    <col min="11523" max="11523" width="6.140625" style="266" customWidth="1"/>
    <col min="11524" max="11524" width="4.28515625" style="266" customWidth="1"/>
    <col min="11525" max="11525" width="4.85546875" style="266" customWidth="1"/>
    <col min="11526" max="11526" width="4.5703125" style="266" customWidth="1"/>
    <col min="11527" max="11527" width="3.85546875" style="266" customWidth="1"/>
    <col min="11528" max="11528" width="4.5703125" style="266" customWidth="1"/>
    <col min="11529" max="11529" width="4.140625" style="266" customWidth="1"/>
    <col min="11530" max="11530" width="3.7109375" style="266" customWidth="1"/>
    <col min="11531" max="11531" width="4.140625" style="266" customWidth="1"/>
    <col min="11532" max="11532" width="8.5703125" style="266" customWidth="1"/>
    <col min="11533" max="11533" width="6.85546875" style="266" customWidth="1"/>
    <col min="11534" max="11534" width="16.5703125" style="266" customWidth="1"/>
    <col min="11535" max="11776" width="9.140625" style="266"/>
    <col min="11777" max="11777" width="6.42578125" style="266" customWidth="1"/>
    <col min="11778" max="11778" width="38.140625" style="266" customWidth="1"/>
    <col min="11779" max="11779" width="6.140625" style="266" customWidth="1"/>
    <col min="11780" max="11780" width="4.28515625" style="266" customWidth="1"/>
    <col min="11781" max="11781" width="4.85546875" style="266" customWidth="1"/>
    <col min="11782" max="11782" width="4.5703125" style="266" customWidth="1"/>
    <col min="11783" max="11783" width="3.85546875" style="266" customWidth="1"/>
    <col min="11784" max="11784" width="4.5703125" style="266" customWidth="1"/>
    <col min="11785" max="11785" width="4.140625" style="266" customWidth="1"/>
    <col min="11786" max="11786" width="3.7109375" style="266" customWidth="1"/>
    <col min="11787" max="11787" width="4.140625" style="266" customWidth="1"/>
    <col min="11788" max="11788" width="8.5703125" style="266" customWidth="1"/>
    <col min="11789" max="11789" width="6.85546875" style="266" customWidth="1"/>
    <col min="11790" max="11790" width="16.5703125" style="266" customWidth="1"/>
    <col min="11791" max="12032" width="9.140625" style="266"/>
    <col min="12033" max="12033" width="6.42578125" style="266" customWidth="1"/>
    <col min="12034" max="12034" width="38.140625" style="266" customWidth="1"/>
    <col min="12035" max="12035" width="6.140625" style="266" customWidth="1"/>
    <col min="12036" max="12036" width="4.28515625" style="266" customWidth="1"/>
    <col min="12037" max="12037" width="4.85546875" style="266" customWidth="1"/>
    <col min="12038" max="12038" width="4.5703125" style="266" customWidth="1"/>
    <col min="12039" max="12039" width="3.85546875" style="266" customWidth="1"/>
    <col min="12040" max="12040" width="4.5703125" style="266" customWidth="1"/>
    <col min="12041" max="12041" width="4.140625" style="266" customWidth="1"/>
    <col min="12042" max="12042" width="3.7109375" style="266" customWidth="1"/>
    <col min="12043" max="12043" width="4.140625" style="266" customWidth="1"/>
    <col min="12044" max="12044" width="8.5703125" style="266" customWidth="1"/>
    <col min="12045" max="12045" width="6.85546875" style="266" customWidth="1"/>
    <col min="12046" max="12046" width="16.5703125" style="266" customWidth="1"/>
    <col min="12047" max="12288" width="9.140625" style="266"/>
    <col min="12289" max="12289" width="6.42578125" style="266" customWidth="1"/>
    <col min="12290" max="12290" width="38.140625" style="266" customWidth="1"/>
    <col min="12291" max="12291" width="6.140625" style="266" customWidth="1"/>
    <col min="12292" max="12292" width="4.28515625" style="266" customWidth="1"/>
    <col min="12293" max="12293" width="4.85546875" style="266" customWidth="1"/>
    <col min="12294" max="12294" width="4.5703125" style="266" customWidth="1"/>
    <col min="12295" max="12295" width="3.85546875" style="266" customWidth="1"/>
    <col min="12296" max="12296" width="4.5703125" style="266" customWidth="1"/>
    <col min="12297" max="12297" width="4.140625" style="266" customWidth="1"/>
    <col min="12298" max="12298" width="3.7109375" style="266" customWidth="1"/>
    <col min="12299" max="12299" width="4.140625" style="266" customWidth="1"/>
    <col min="12300" max="12300" width="8.5703125" style="266" customWidth="1"/>
    <col min="12301" max="12301" width="6.85546875" style="266" customWidth="1"/>
    <col min="12302" max="12302" width="16.5703125" style="266" customWidth="1"/>
    <col min="12303" max="12544" width="9.140625" style="266"/>
    <col min="12545" max="12545" width="6.42578125" style="266" customWidth="1"/>
    <col min="12546" max="12546" width="38.140625" style="266" customWidth="1"/>
    <col min="12547" max="12547" width="6.140625" style="266" customWidth="1"/>
    <col min="12548" max="12548" width="4.28515625" style="266" customWidth="1"/>
    <col min="12549" max="12549" width="4.85546875" style="266" customWidth="1"/>
    <col min="12550" max="12550" width="4.5703125" style="266" customWidth="1"/>
    <col min="12551" max="12551" width="3.85546875" style="266" customWidth="1"/>
    <col min="12552" max="12552" width="4.5703125" style="266" customWidth="1"/>
    <col min="12553" max="12553" width="4.140625" style="266" customWidth="1"/>
    <col min="12554" max="12554" width="3.7109375" style="266" customWidth="1"/>
    <col min="12555" max="12555" width="4.140625" style="266" customWidth="1"/>
    <col min="12556" max="12556" width="8.5703125" style="266" customWidth="1"/>
    <col min="12557" max="12557" width="6.85546875" style="266" customWidth="1"/>
    <col min="12558" max="12558" width="16.5703125" style="266" customWidth="1"/>
    <col min="12559" max="12800" width="9.140625" style="266"/>
    <col min="12801" max="12801" width="6.42578125" style="266" customWidth="1"/>
    <col min="12802" max="12802" width="38.140625" style="266" customWidth="1"/>
    <col min="12803" max="12803" width="6.140625" style="266" customWidth="1"/>
    <col min="12804" max="12804" width="4.28515625" style="266" customWidth="1"/>
    <col min="12805" max="12805" width="4.85546875" style="266" customWidth="1"/>
    <col min="12806" max="12806" width="4.5703125" style="266" customWidth="1"/>
    <col min="12807" max="12807" width="3.85546875" style="266" customWidth="1"/>
    <col min="12808" max="12808" width="4.5703125" style="266" customWidth="1"/>
    <col min="12809" max="12809" width="4.140625" style="266" customWidth="1"/>
    <col min="12810" max="12810" width="3.7109375" style="266" customWidth="1"/>
    <col min="12811" max="12811" width="4.140625" style="266" customWidth="1"/>
    <col min="12812" max="12812" width="8.5703125" style="266" customWidth="1"/>
    <col min="12813" max="12813" width="6.85546875" style="266" customWidth="1"/>
    <col min="12814" max="12814" width="16.5703125" style="266" customWidth="1"/>
    <col min="12815" max="13056" width="9.140625" style="266"/>
    <col min="13057" max="13057" width="6.42578125" style="266" customWidth="1"/>
    <col min="13058" max="13058" width="38.140625" style="266" customWidth="1"/>
    <col min="13059" max="13059" width="6.140625" style="266" customWidth="1"/>
    <col min="13060" max="13060" width="4.28515625" style="266" customWidth="1"/>
    <col min="13061" max="13061" width="4.85546875" style="266" customWidth="1"/>
    <col min="13062" max="13062" width="4.5703125" style="266" customWidth="1"/>
    <col min="13063" max="13063" width="3.85546875" style="266" customWidth="1"/>
    <col min="13064" max="13064" width="4.5703125" style="266" customWidth="1"/>
    <col min="13065" max="13065" width="4.140625" style="266" customWidth="1"/>
    <col min="13066" max="13066" width="3.7109375" style="266" customWidth="1"/>
    <col min="13067" max="13067" width="4.140625" style="266" customWidth="1"/>
    <col min="13068" max="13068" width="8.5703125" style="266" customWidth="1"/>
    <col min="13069" max="13069" width="6.85546875" style="266" customWidth="1"/>
    <col min="13070" max="13070" width="16.5703125" style="266" customWidth="1"/>
    <col min="13071" max="13312" width="9.140625" style="266"/>
    <col min="13313" max="13313" width="6.42578125" style="266" customWidth="1"/>
    <col min="13314" max="13314" width="38.140625" style="266" customWidth="1"/>
    <col min="13315" max="13315" width="6.140625" style="266" customWidth="1"/>
    <col min="13316" max="13316" width="4.28515625" style="266" customWidth="1"/>
    <col min="13317" max="13317" width="4.85546875" style="266" customWidth="1"/>
    <col min="13318" max="13318" width="4.5703125" style="266" customWidth="1"/>
    <col min="13319" max="13319" width="3.85546875" style="266" customWidth="1"/>
    <col min="13320" max="13320" width="4.5703125" style="266" customWidth="1"/>
    <col min="13321" max="13321" width="4.140625" style="266" customWidth="1"/>
    <col min="13322" max="13322" width="3.7109375" style="266" customWidth="1"/>
    <col min="13323" max="13323" width="4.140625" style="266" customWidth="1"/>
    <col min="13324" max="13324" width="8.5703125" style="266" customWidth="1"/>
    <col min="13325" max="13325" width="6.85546875" style="266" customWidth="1"/>
    <col min="13326" max="13326" width="16.5703125" style="266" customWidth="1"/>
    <col min="13327" max="13568" width="9.140625" style="266"/>
    <col min="13569" max="13569" width="6.42578125" style="266" customWidth="1"/>
    <col min="13570" max="13570" width="38.140625" style="266" customWidth="1"/>
    <col min="13571" max="13571" width="6.140625" style="266" customWidth="1"/>
    <col min="13572" max="13572" width="4.28515625" style="266" customWidth="1"/>
    <col min="13573" max="13573" width="4.85546875" style="266" customWidth="1"/>
    <col min="13574" max="13574" width="4.5703125" style="266" customWidth="1"/>
    <col min="13575" max="13575" width="3.85546875" style="266" customWidth="1"/>
    <col min="13576" max="13576" width="4.5703125" style="266" customWidth="1"/>
    <col min="13577" max="13577" width="4.140625" style="266" customWidth="1"/>
    <col min="13578" max="13578" width="3.7109375" style="266" customWidth="1"/>
    <col min="13579" max="13579" width="4.140625" style="266" customWidth="1"/>
    <col min="13580" max="13580" width="8.5703125" style="266" customWidth="1"/>
    <col min="13581" max="13581" width="6.85546875" style="266" customWidth="1"/>
    <col min="13582" max="13582" width="16.5703125" style="266" customWidth="1"/>
    <col min="13583" max="13824" width="9.140625" style="266"/>
    <col min="13825" max="13825" width="6.42578125" style="266" customWidth="1"/>
    <col min="13826" max="13826" width="38.140625" style="266" customWidth="1"/>
    <col min="13827" max="13827" width="6.140625" style="266" customWidth="1"/>
    <col min="13828" max="13828" width="4.28515625" style="266" customWidth="1"/>
    <col min="13829" max="13829" width="4.85546875" style="266" customWidth="1"/>
    <col min="13830" max="13830" width="4.5703125" style="266" customWidth="1"/>
    <col min="13831" max="13831" width="3.85546875" style="266" customWidth="1"/>
    <col min="13832" max="13832" width="4.5703125" style="266" customWidth="1"/>
    <col min="13833" max="13833" width="4.140625" style="266" customWidth="1"/>
    <col min="13834" max="13834" width="3.7109375" style="266" customWidth="1"/>
    <col min="13835" max="13835" width="4.140625" style="266" customWidth="1"/>
    <col min="13836" max="13836" width="8.5703125" style="266" customWidth="1"/>
    <col min="13837" max="13837" width="6.85546875" style="266" customWidth="1"/>
    <col min="13838" max="13838" width="16.5703125" style="266" customWidth="1"/>
    <col min="13839" max="14080" width="9.140625" style="266"/>
    <col min="14081" max="14081" width="6.42578125" style="266" customWidth="1"/>
    <col min="14082" max="14082" width="38.140625" style="266" customWidth="1"/>
    <col min="14083" max="14083" width="6.140625" style="266" customWidth="1"/>
    <col min="14084" max="14084" width="4.28515625" style="266" customWidth="1"/>
    <col min="14085" max="14085" width="4.85546875" style="266" customWidth="1"/>
    <col min="14086" max="14086" width="4.5703125" style="266" customWidth="1"/>
    <col min="14087" max="14087" width="3.85546875" style="266" customWidth="1"/>
    <col min="14088" max="14088" width="4.5703125" style="266" customWidth="1"/>
    <col min="14089" max="14089" width="4.140625" style="266" customWidth="1"/>
    <col min="14090" max="14090" width="3.7109375" style="266" customWidth="1"/>
    <col min="14091" max="14091" width="4.140625" style="266" customWidth="1"/>
    <col min="14092" max="14092" width="8.5703125" style="266" customWidth="1"/>
    <col min="14093" max="14093" width="6.85546875" style="266" customWidth="1"/>
    <col min="14094" max="14094" width="16.5703125" style="266" customWidth="1"/>
    <col min="14095" max="14336" width="9.140625" style="266"/>
    <col min="14337" max="14337" width="6.42578125" style="266" customWidth="1"/>
    <col min="14338" max="14338" width="38.140625" style="266" customWidth="1"/>
    <col min="14339" max="14339" width="6.140625" style="266" customWidth="1"/>
    <col min="14340" max="14340" width="4.28515625" style="266" customWidth="1"/>
    <col min="14341" max="14341" width="4.85546875" style="266" customWidth="1"/>
    <col min="14342" max="14342" width="4.5703125" style="266" customWidth="1"/>
    <col min="14343" max="14343" width="3.85546875" style="266" customWidth="1"/>
    <col min="14344" max="14344" width="4.5703125" style="266" customWidth="1"/>
    <col min="14345" max="14345" width="4.140625" style="266" customWidth="1"/>
    <col min="14346" max="14346" width="3.7109375" style="266" customWidth="1"/>
    <col min="14347" max="14347" width="4.140625" style="266" customWidth="1"/>
    <col min="14348" max="14348" width="8.5703125" style="266" customWidth="1"/>
    <col min="14349" max="14349" width="6.85546875" style="266" customWidth="1"/>
    <col min="14350" max="14350" width="16.5703125" style="266" customWidth="1"/>
    <col min="14351" max="14592" width="9.140625" style="266"/>
    <col min="14593" max="14593" width="6.42578125" style="266" customWidth="1"/>
    <col min="14594" max="14594" width="38.140625" style="266" customWidth="1"/>
    <col min="14595" max="14595" width="6.140625" style="266" customWidth="1"/>
    <col min="14596" max="14596" width="4.28515625" style="266" customWidth="1"/>
    <col min="14597" max="14597" width="4.85546875" style="266" customWidth="1"/>
    <col min="14598" max="14598" width="4.5703125" style="266" customWidth="1"/>
    <col min="14599" max="14599" width="3.85546875" style="266" customWidth="1"/>
    <col min="14600" max="14600" width="4.5703125" style="266" customWidth="1"/>
    <col min="14601" max="14601" width="4.140625" style="266" customWidth="1"/>
    <col min="14602" max="14602" width="3.7109375" style="266" customWidth="1"/>
    <col min="14603" max="14603" width="4.140625" style="266" customWidth="1"/>
    <col min="14604" max="14604" width="8.5703125" style="266" customWidth="1"/>
    <col min="14605" max="14605" width="6.85546875" style="266" customWidth="1"/>
    <col min="14606" max="14606" width="16.5703125" style="266" customWidth="1"/>
    <col min="14607" max="14848" width="9.140625" style="266"/>
    <col min="14849" max="14849" width="6.42578125" style="266" customWidth="1"/>
    <col min="14850" max="14850" width="38.140625" style="266" customWidth="1"/>
    <col min="14851" max="14851" width="6.140625" style="266" customWidth="1"/>
    <col min="14852" max="14852" width="4.28515625" style="266" customWidth="1"/>
    <col min="14853" max="14853" width="4.85546875" style="266" customWidth="1"/>
    <col min="14854" max="14854" width="4.5703125" style="266" customWidth="1"/>
    <col min="14855" max="14855" width="3.85546875" style="266" customWidth="1"/>
    <col min="14856" max="14856" width="4.5703125" style="266" customWidth="1"/>
    <col min="14857" max="14857" width="4.140625" style="266" customWidth="1"/>
    <col min="14858" max="14858" width="3.7109375" style="266" customWidth="1"/>
    <col min="14859" max="14859" width="4.140625" style="266" customWidth="1"/>
    <col min="14860" max="14860" width="8.5703125" style="266" customWidth="1"/>
    <col min="14861" max="14861" width="6.85546875" style="266" customWidth="1"/>
    <col min="14862" max="14862" width="16.5703125" style="266" customWidth="1"/>
    <col min="14863" max="15104" width="9.140625" style="266"/>
    <col min="15105" max="15105" width="6.42578125" style="266" customWidth="1"/>
    <col min="15106" max="15106" width="38.140625" style="266" customWidth="1"/>
    <col min="15107" max="15107" width="6.140625" style="266" customWidth="1"/>
    <col min="15108" max="15108" width="4.28515625" style="266" customWidth="1"/>
    <col min="15109" max="15109" width="4.85546875" style="266" customWidth="1"/>
    <col min="15110" max="15110" width="4.5703125" style="266" customWidth="1"/>
    <col min="15111" max="15111" width="3.85546875" style="266" customWidth="1"/>
    <col min="15112" max="15112" width="4.5703125" style="266" customWidth="1"/>
    <col min="15113" max="15113" width="4.140625" style="266" customWidth="1"/>
    <col min="15114" max="15114" width="3.7109375" style="266" customWidth="1"/>
    <col min="15115" max="15115" width="4.140625" style="266" customWidth="1"/>
    <col min="15116" max="15116" width="8.5703125" style="266" customWidth="1"/>
    <col min="15117" max="15117" width="6.85546875" style="266" customWidth="1"/>
    <col min="15118" max="15118" width="16.5703125" style="266" customWidth="1"/>
    <col min="15119" max="15360" width="9.140625" style="266"/>
    <col min="15361" max="15361" width="6.42578125" style="266" customWidth="1"/>
    <col min="15362" max="15362" width="38.140625" style="266" customWidth="1"/>
    <col min="15363" max="15363" width="6.140625" style="266" customWidth="1"/>
    <col min="15364" max="15364" width="4.28515625" style="266" customWidth="1"/>
    <col min="15365" max="15365" width="4.85546875" style="266" customWidth="1"/>
    <col min="15366" max="15366" width="4.5703125" style="266" customWidth="1"/>
    <col min="15367" max="15367" width="3.85546875" style="266" customWidth="1"/>
    <col min="15368" max="15368" width="4.5703125" style="266" customWidth="1"/>
    <col min="15369" max="15369" width="4.140625" style="266" customWidth="1"/>
    <col min="15370" max="15370" width="3.7109375" style="266" customWidth="1"/>
    <col min="15371" max="15371" width="4.140625" style="266" customWidth="1"/>
    <col min="15372" max="15372" width="8.5703125" style="266" customWidth="1"/>
    <col min="15373" max="15373" width="6.85546875" style="266" customWidth="1"/>
    <col min="15374" max="15374" width="16.5703125" style="266" customWidth="1"/>
    <col min="15375" max="15616" width="9.140625" style="266"/>
    <col min="15617" max="15617" width="6.42578125" style="266" customWidth="1"/>
    <col min="15618" max="15618" width="38.140625" style="266" customWidth="1"/>
    <col min="15619" max="15619" width="6.140625" style="266" customWidth="1"/>
    <col min="15620" max="15620" width="4.28515625" style="266" customWidth="1"/>
    <col min="15621" max="15621" width="4.85546875" style="266" customWidth="1"/>
    <col min="15622" max="15622" width="4.5703125" style="266" customWidth="1"/>
    <col min="15623" max="15623" width="3.85546875" style="266" customWidth="1"/>
    <col min="15624" max="15624" width="4.5703125" style="266" customWidth="1"/>
    <col min="15625" max="15625" width="4.140625" style="266" customWidth="1"/>
    <col min="15626" max="15626" width="3.7109375" style="266" customWidth="1"/>
    <col min="15627" max="15627" width="4.140625" style="266" customWidth="1"/>
    <col min="15628" max="15628" width="8.5703125" style="266" customWidth="1"/>
    <col min="15629" max="15629" width="6.85546875" style="266" customWidth="1"/>
    <col min="15630" max="15630" width="16.5703125" style="266" customWidth="1"/>
    <col min="15631" max="15872" width="9.140625" style="266"/>
    <col min="15873" max="15873" width="6.42578125" style="266" customWidth="1"/>
    <col min="15874" max="15874" width="38.140625" style="266" customWidth="1"/>
    <col min="15875" max="15875" width="6.140625" style="266" customWidth="1"/>
    <col min="15876" max="15876" width="4.28515625" style="266" customWidth="1"/>
    <col min="15877" max="15877" width="4.85546875" style="266" customWidth="1"/>
    <col min="15878" max="15878" width="4.5703125" style="266" customWidth="1"/>
    <col min="15879" max="15879" width="3.85546875" style="266" customWidth="1"/>
    <col min="15880" max="15880" width="4.5703125" style="266" customWidth="1"/>
    <col min="15881" max="15881" width="4.140625" style="266" customWidth="1"/>
    <col min="15882" max="15882" width="3.7109375" style="266" customWidth="1"/>
    <col min="15883" max="15883" width="4.140625" style="266" customWidth="1"/>
    <col min="15884" max="15884" width="8.5703125" style="266" customWidth="1"/>
    <col min="15885" max="15885" width="6.85546875" style="266" customWidth="1"/>
    <col min="15886" max="15886" width="16.5703125" style="266" customWidth="1"/>
    <col min="15887" max="16128" width="9.140625" style="266"/>
    <col min="16129" max="16129" width="6.42578125" style="266" customWidth="1"/>
    <col min="16130" max="16130" width="38.140625" style="266" customWidth="1"/>
    <col min="16131" max="16131" width="6.140625" style="266" customWidth="1"/>
    <col min="16132" max="16132" width="4.28515625" style="266" customWidth="1"/>
    <col min="16133" max="16133" width="4.85546875" style="266" customWidth="1"/>
    <col min="16134" max="16134" width="4.5703125" style="266" customWidth="1"/>
    <col min="16135" max="16135" width="3.85546875" style="266" customWidth="1"/>
    <col min="16136" max="16136" width="4.5703125" style="266" customWidth="1"/>
    <col min="16137" max="16137" width="4.140625" style="266" customWidth="1"/>
    <col min="16138" max="16138" width="3.7109375" style="266" customWidth="1"/>
    <col min="16139" max="16139" width="4.140625" style="266" customWidth="1"/>
    <col min="16140" max="16140" width="8.5703125" style="266" customWidth="1"/>
    <col min="16141" max="16141" width="6.85546875" style="266" customWidth="1"/>
    <col min="16142" max="16142" width="16.5703125" style="266" customWidth="1"/>
    <col min="16143" max="16384" width="9.140625" style="266"/>
  </cols>
  <sheetData>
    <row r="1" spans="1:14" ht="16.5" thickBot="1">
      <c r="A1" s="267" t="s">
        <v>94</v>
      </c>
      <c r="B1" s="6404" t="s">
        <v>432</v>
      </c>
      <c r="C1" s="6405"/>
      <c r="D1" s="6405"/>
      <c r="E1" s="6405"/>
      <c r="F1" s="6405"/>
      <c r="G1" s="6405"/>
      <c r="H1" s="6405"/>
      <c r="I1" s="6405"/>
      <c r="J1" s="6405"/>
      <c r="K1" s="6405"/>
      <c r="L1" s="6405"/>
      <c r="M1" s="6405"/>
      <c r="N1" s="6406"/>
    </row>
    <row r="2" spans="1:14">
      <c r="A2" s="307"/>
      <c r="B2" s="307"/>
      <c r="C2" s="307"/>
      <c r="D2" s="307"/>
      <c r="E2" s="307"/>
      <c r="F2" s="307"/>
      <c r="G2" s="307"/>
      <c r="H2" s="307"/>
      <c r="I2" s="307"/>
      <c r="J2" s="307"/>
      <c r="K2" s="307"/>
      <c r="L2" s="267"/>
      <c r="M2" s="267"/>
      <c r="N2" s="307"/>
    </row>
    <row r="3" spans="1:14">
      <c r="A3" s="308"/>
      <c r="B3" s="309"/>
      <c r="C3" s="310"/>
      <c r="D3" s="309"/>
      <c r="E3" s="309"/>
      <c r="F3" s="309"/>
      <c r="G3" s="309"/>
      <c r="H3" s="309"/>
      <c r="I3" s="309"/>
      <c r="J3" s="309"/>
      <c r="K3" s="309"/>
      <c r="L3" s="1599"/>
      <c r="M3" s="1595"/>
      <c r="N3" s="311"/>
    </row>
    <row r="4" spans="1:14">
      <c r="A4" s="308" t="s">
        <v>371</v>
      </c>
      <c r="B4" s="309" t="s">
        <v>433</v>
      </c>
      <c r="C4" s="308" t="s">
        <v>434</v>
      </c>
      <c r="D4" s="309"/>
      <c r="E4" s="309"/>
      <c r="F4" s="309"/>
      <c r="G4" s="309"/>
      <c r="H4" s="309"/>
      <c r="I4" s="309"/>
      <c r="J4" s="309"/>
      <c r="K4" s="309"/>
      <c r="L4" s="1596"/>
      <c r="M4" s="1592"/>
      <c r="N4" s="312"/>
    </row>
    <row r="5" spans="1:14">
      <c r="A5" s="310"/>
      <c r="B5" s="308"/>
      <c r="C5" s="313" t="s">
        <v>373</v>
      </c>
      <c r="D5" s="314"/>
      <c r="E5" s="314"/>
      <c r="F5" s="314"/>
      <c r="G5" s="314"/>
      <c r="H5" s="314"/>
      <c r="I5" s="314"/>
      <c r="J5" s="314"/>
      <c r="K5" s="314"/>
      <c r="L5" s="6407" t="s">
        <v>435</v>
      </c>
      <c r="M5" s="6408"/>
      <c r="N5" s="315"/>
    </row>
    <row r="6" spans="1:14">
      <c r="A6" s="308"/>
      <c r="B6" s="309"/>
      <c r="C6" s="310"/>
      <c r="D6" s="316"/>
      <c r="E6" s="311"/>
      <c r="F6" s="316"/>
      <c r="G6" s="316"/>
      <c r="H6" s="311"/>
      <c r="I6" s="316"/>
      <c r="J6" s="316"/>
      <c r="K6" s="311"/>
      <c r="L6" s="316"/>
      <c r="M6" s="1559"/>
      <c r="N6" s="311"/>
    </row>
    <row r="7" spans="1:14">
      <c r="A7" s="308"/>
      <c r="B7" s="309"/>
      <c r="C7" s="310" t="s">
        <v>375</v>
      </c>
      <c r="D7" s="316" t="s">
        <v>341</v>
      </c>
      <c r="E7" s="312"/>
      <c r="F7" s="316" t="s">
        <v>376</v>
      </c>
      <c r="G7" s="316" t="s">
        <v>342</v>
      </c>
      <c r="H7" s="312"/>
      <c r="I7" s="316" t="s">
        <v>377</v>
      </c>
      <c r="J7" s="316" t="s">
        <v>436</v>
      </c>
      <c r="K7" s="312"/>
      <c r="L7" s="316"/>
      <c r="M7" s="1559"/>
      <c r="N7" s="318"/>
    </row>
    <row r="8" spans="1:14">
      <c r="A8" s="319"/>
      <c r="B8" s="314"/>
      <c r="C8" s="313"/>
      <c r="D8" s="314"/>
      <c r="E8" s="315"/>
      <c r="F8" s="314"/>
      <c r="G8" s="314"/>
      <c r="H8" s="315"/>
      <c r="I8" s="314"/>
      <c r="J8" s="314" t="s">
        <v>263</v>
      </c>
      <c r="K8" s="315"/>
      <c r="L8" s="320" t="s">
        <v>437</v>
      </c>
      <c r="M8" s="1598" t="s">
        <v>438</v>
      </c>
      <c r="N8" s="315"/>
    </row>
    <row r="9" spans="1:14">
      <c r="A9" s="321"/>
      <c r="B9" s="266" t="s">
        <v>94</v>
      </c>
      <c r="C9" s="322" t="s">
        <v>439</v>
      </c>
      <c r="D9" s="323" t="s">
        <v>440</v>
      </c>
      <c r="E9" s="324" t="s">
        <v>441</v>
      </c>
      <c r="F9" s="322" t="s">
        <v>439</v>
      </c>
      <c r="G9" s="323" t="s">
        <v>440</v>
      </c>
      <c r="H9" s="324" t="s">
        <v>441</v>
      </c>
      <c r="I9" s="322" t="s">
        <v>439</v>
      </c>
      <c r="J9" s="323" t="s">
        <v>440</v>
      </c>
      <c r="K9" s="324" t="s">
        <v>441</v>
      </c>
      <c r="L9" s="322"/>
      <c r="M9" s="1600" t="s">
        <v>440</v>
      </c>
      <c r="N9" s="324" t="s">
        <v>441</v>
      </c>
    </row>
    <row r="10" spans="1:14">
      <c r="A10" s="325">
        <v>1</v>
      </c>
      <c r="B10" s="327" t="s">
        <v>388</v>
      </c>
      <c r="C10" s="42"/>
      <c r="D10" s="326"/>
      <c r="E10" s="326"/>
      <c r="F10" s="327"/>
      <c r="G10" s="42"/>
      <c r="H10" s="327"/>
      <c r="I10" s="328"/>
      <c r="J10" s="42"/>
      <c r="K10" s="326"/>
      <c r="L10" s="325">
        <v>0</v>
      </c>
      <c r="M10" s="325"/>
      <c r="N10" s="326"/>
    </row>
    <row r="11" spans="1:14">
      <c r="A11" s="329">
        <v>2</v>
      </c>
      <c r="B11" s="266" t="s">
        <v>389</v>
      </c>
      <c r="C11" s="321"/>
      <c r="D11" s="323"/>
      <c r="E11" s="323"/>
      <c r="G11" s="321"/>
      <c r="I11" s="330"/>
      <c r="J11" s="321"/>
      <c r="K11" s="323"/>
      <c r="L11" s="1601">
        <v>31.19</v>
      </c>
      <c r="M11" s="1601">
        <v>34.340000000000003</v>
      </c>
      <c r="N11" s="323"/>
    </row>
    <row r="12" spans="1:14">
      <c r="A12" s="325">
        <v>3</v>
      </c>
      <c r="B12" s="327" t="s">
        <v>390</v>
      </c>
      <c r="C12" s="42"/>
      <c r="D12" s="326"/>
      <c r="E12" s="326"/>
      <c r="F12" s="327"/>
      <c r="G12" s="42"/>
      <c r="H12" s="327"/>
      <c r="I12" s="328"/>
      <c r="J12" s="42"/>
      <c r="K12" s="326"/>
      <c r="L12" s="325"/>
      <c r="M12" s="325"/>
      <c r="N12" s="326"/>
    </row>
    <row r="13" spans="1:14">
      <c r="A13" s="329">
        <v>4</v>
      </c>
      <c r="B13" s="334" t="s">
        <v>391</v>
      </c>
      <c r="C13" s="321"/>
      <c r="D13" s="323"/>
      <c r="E13" s="323"/>
      <c r="G13" s="321"/>
      <c r="I13" s="330"/>
      <c r="J13" s="321"/>
      <c r="K13" s="323"/>
      <c r="L13" s="329"/>
      <c r="M13" s="329"/>
      <c r="N13" s="323"/>
    </row>
    <row r="14" spans="1:14">
      <c r="A14" s="325">
        <v>5</v>
      </c>
      <c r="B14" s="327" t="s">
        <v>392</v>
      </c>
      <c r="C14" s="42"/>
      <c r="D14" s="326"/>
      <c r="E14" s="326"/>
      <c r="F14" s="327"/>
      <c r="G14" s="42"/>
      <c r="H14" s="327"/>
      <c r="I14" s="328"/>
      <c r="J14" s="42"/>
      <c r="K14" s="326"/>
      <c r="L14" s="325"/>
      <c r="M14" s="325"/>
      <c r="N14" s="326"/>
    </row>
    <row r="15" spans="1:14">
      <c r="A15" s="329">
        <v>6</v>
      </c>
      <c r="B15" s="334" t="s">
        <v>393</v>
      </c>
      <c r="C15" s="321"/>
      <c r="D15" s="323"/>
      <c r="E15" s="323"/>
      <c r="G15" s="321"/>
      <c r="I15" s="330"/>
      <c r="J15" s="321"/>
      <c r="K15" s="323"/>
      <c r="L15" s="329">
        <v>310.36</v>
      </c>
      <c r="M15" s="329">
        <v>340.86</v>
      </c>
      <c r="N15" s="323"/>
    </row>
    <row r="16" spans="1:14" hidden="1">
      <c r="A16" s="333" t="s">
        <v>233</v>
      </c>
      <c r="B16" s="327" t="s">
        <v>394</v>
      </c>
      <c r="C16" s="42"/>
      <c r="D16" s="326"/>
      <c r="E16" s="326"/>
      <c r="F16" s="327"/>
      <c r="G16" s="42"/>
      <c r="H16" s="327"/>
      <c r="I16" s="328"/>
      <c r="J16" s="42"/>
      <c r="K16" s="326"/>
      <c r="L16" s="325"/>
      <c r="M16" s="325"/>
      <c r="N16" s="326"/>
    </row>
    <row r="17" spans="1:14" hidden="1">
      <c r="A17" s="321"/>
      <c r="B17" s="334" t="s">
        <v>395</v>
      </c>
      <c r="C17" s="321"/>
      <c r="D17" s="323"/>
      <c r="E17" s="323"/>
      <c r="G17" s="321"/>
      <c r="I17" s="330"/>
      <c r="J17" s="321"/>
      <c r="K17" s="323"/>
      <c r="L17" s="329"/>
      <c r="M17" s="329"/>
      <c r="N17" s="323"/>
    </row>
    <row r="18" spans="1:14" hidden="1">
      <c r="A18" s="42"/>
      <c r="B18" s="327" t="s">
        <v>396</v>
      </c>
      <c r="C18" s="42"/>
      <c r="D18" s="326"/>
      <c r="E18" s="326"/>
      <c r="F18" s="327"/>
      <c r="G18" s="42"/>
      <c r="H18" s="327"/>
      <c r="I18" s="328"/>
      <c r="J18" s="42"/>
      <c r="K18" s="326"/>
      <c r="L18" s="325"/>
      <c r="M18" s="325"/>
      <c r="N18" s="326"/>
    </row>
    <row r="19" spans="1:14" hidden="1">
      <c r="A19" s="321"/>
      <c r="B19" s="334" t="s">
        <v>397</v>
      </c>
      <c r="C19" s="321"/>
      <c r="D19" s="323"/>
      <c r="E19" s="323"/>
      <c r="G19" s="321"/>
      <c r="I19" s="330"/>
      <c r="J19" s="321"/>
      <c r="K19" s="323"/>
      <c r="L19" s="329"/>
      <c r="M19" s="329"/>
      <c r="N19" s="323"/>
    </row>
    <row r="20" spans="1:14" hidden="1">
      <c r="A20" s="42"/>
      <c r="B20" s="327" t="s">
        <v>398</v>
      </c>
      <c r="C20" s="42"/>
      <c r="D20" s="326"/>
      <c r="E20" s="326"/>
      <c r="F20" s="327"/>
      <c r="G20" s="42"/>
      <c r="H20" s="327"/>
      <c r="I20" s="328"/>
      <c r="J20" s="42"/>
      <c r="K20" s="326"/>
      <c r="L20" s="325"/>
      <c r="M20" s="325"/>
      <c r="N20" s="326"/>
    </row>
    <row r="21" spans="1:14" hidden="1">
      <c r="A21" s="321"/>
      <c r="B21" s="334" t="s">
        <v>399</v>
      </c>
      <c r="C21" s="321"/>
      <c r="D21" s="323"/>
      <c r="E21" s="323"/>
      <c r="G21" s="321"/>
      <c r="I21" s="330"/>
      <c r="J21" s="321"/>
      <c r="K21" s="323"/>
      <c r="L21" s="329"/>
      <c r="M21" s="329"/>
      <c r="N21" s="323"/>
    </row>
    <row r="22" spans="1:14" hidden="1">
      <c r="A22" s="42"/>
      <c r="B22" s="327" t="s">
        <v>400</v>
      </c>
      <c r="C22" s="42"/>
      <c r="D22" s="326"/>
      <c r="E22" s="326"/>
      <c r="F22" s="327"/>
      <c r="G22" s="42"/>
      <c r="H22" s="327"/>
      <c r="I22" s="328"/>
      <c r="J22" s="42"/>
      <c r="K22" s="326"/>
      <c r="L22" s="325"/>
      <c r="M22" s="325"/>
      <c r="N22" s="326"/>
    </row>
    <row r="23" spans="1:14" hidden="1">
      <c r="A23" s="321"/>
      <c r="B23" s="334" t="s">
        <v>401</v>
      </c>
      <c r="C23" s="321"/>
      <c r="D23" s="323"/>
      <c r="E23" s="323"/>
      <c r="G23" s="321"/>
      <c r="I23" s="330"/>
      <c r="J23" s="321"/>
      <c r="K23" s="323"/>
      <c r="L23" s="329"/>
      <c r="M23" s="329"/>
      <c r="N23" s="323"/>
    </row>
    <row r="24" spans="1:14" hidden="1">
      <c r="A24" s="42"/>
      <c r="B24" s="327" t="s">
        <v>402</v>
      </c>
      <c r="C24" s="42"/>
      <c r="D24" s="326"/>
      <c r="E24" s="326"/>
      <c r="F24" s="327"/>
      <c r="G24" s="42"/>
      <c r="H24" s="327"/>
      <c r="I24" s="328"/>
      <c r="J24" s="42"/>
      <c r="K24" s="326"/>
      <c r="L24" s="325"/>
      <c r="M24" s="325"/>
      <c r="N24" s="326"/>
    </row>
    <row r="25" spans="1:14" hidden="1">
      <c r="A25" s="330"/>
      <c r="B25" s="335" t="s">
        <v>403</v>
      </c>
      <c r="C25" s="42"/>
      <c r="D25" s="326"/>
      <c r="E25" s="323"/>
      <c r="G25" s="321"/>
      <c r="I25" s="330"/>
      <c r="J25" s="321"/>
      <c r="K25" s="323"/>
      <c r="L25" s="393"/>
      <c r="M25" s="329"/>
      <c r="N25" s="323"/>
    </row>
    <row r="26" spans="1:14" hidden="1">
      <c r="A26" s="42"/>
      <c r="B26" s="327" t="s">
        <v>404</v>
      </c>
      <c r="C26" s="42"/>
      <c r="D26" s="326"/>
      <c r="E26" s="326"/>
      <c r="F26" s="327"/>
      <c r="G26" s="42"/>
      <c r="H26" s="327"/>
      <c r="I26" s="328"/>
      <c r="J26" s="42"/>
      <c r="K26" s="326"/>
      <c r="L26" s="325"/>
      <c r="M26" s="325"/>
      <c r="N26" s="326"/>
    </row>
    <row r="27" spans="1:14" hidden="1">
      <c r="A27" s="336"/>
      <c r="B27" s="334" t="s">
        <v>405</v>
      </c>
      <c r="C27" s="321"/>
      <c r="E27" s="336"/>
      <c r="F27" s="337"/>
      <c r="G27" s="336"/>
      <c r="H27" s="324"/>
      <c r="J27" s="321"/>
      <c r="L27" s="1602"/>
      <c r="M27" s="1602"/>
      <c r="N27" s="324"/>
    </row>
    <row r="28" spans="1:14" hidden="1">
      <c r="A28" s="42"/>
      <c r="B28" s="327" t="s">
        <v>406</v>
      </c>
      <c r="C28" s="42"/>
      <c r="D28" s="327"/>
      <c r="E28" s="42"/>
      <c r="F28" s="327"/>
      <c r="G28" s="42"/>
      <c r="H28" s="326"/>
      <c r="I28" s="327"/>
      <c r="J28" s="42"/>
      <c r="K28" s="327"/>
      <c r="L28" s="325"/>
      <c r="M28" s="325"/>
      <c r="N28" s="326"/>
    </row>
    <row r="29" spans="1:14" hidden="1">
      <c r="A29" s="338" t="s">
        <v>234</v>
      </c>
      <c r="B29" s="334" t="s">
        <v>407</v>
      </c>
      <c r="C29" s="321"/>
      <c r="E29" s="321"/>
      <c r="F29" s="267"/>
      <c r="G29" s="321"/>
      <c r="H29" s="323"/>
      <c r="J29" s="321"/>
      <c r="L29" s="329"/>
      <c r="M29" s="329"/>
      <c r="N29" s="323"/>
    </row>
    <row r="30" spans="1:14" hidden="1">
      <c r="A30" s="42"/>
      <c r="B30" s="327" t="s">
        <v>442</v>
      </c>
      <c r="C30" s="42"/>
      <c r="D30" s="327"/>
      <c r="E30" s="42"/>
      <c r="F30" s="327"/>
      <c r="G30" s="42"/>
      <c r="H30" s="326"/>
      <c r="I30" s="327"/>
      <c r="J30" s="42"/>
      <c r="K30" s="327"/>
      <c r="L30" s="325"/>
      <c r="M30" s="325"/>
      <c r="N30" s="326"/>
    </row>
    <row r="31" spans="1:14" hidden="1">
      <c r="A31" s="321"/>
      <c r="B31" s="334" t="s">
        <v>408</v>
      </c>
      <c r="C31" s="321"/>
      <c r="E31" s="321"/>
      <c r="F31" s="267"/>
      <c r="G31" s="321"/>
      <c r="H31" s="323"/>
      <c r="J31" s="321"/>
      <c r="L31" s="329"/>
      <c r="M31" s="329"/>
      <c r="N31" s="323"/>
    </row>
    <row r="32" spans="1:14" hidden="1">
      <c r="A32" s="42"/>
      <c r="B32" s="327" t="s">
        <v>409</v>
      </c>
      <c r="C32" s="42"/>
      <c r="D32" s="327"/>
      <c r="E32" s="42"/>
      <c r="F32" s="327"/>
      <c r="G32" s="42"/>
      <c r="H32" s="326"/>
      <c r="I32" s="327"/>
      <c r="J32" s="42"/>
      <c r="K32" s="327"/>
      <c r="L32" s="325"/>
      <c r="M32" s="325"/>
      <c r="N32" s="326"/>
    </row>
    <row r="33" spans="1:14" hidden="1">
      <c r="A33" s="321"/>
      <c r="B33" s="334" t="s">
        <v>410</v>
      </c>
      <c r="C33" s="321"/>
      <c r="E33" s="321"/>
      <c r="F33" s="267"/>
      <c r="G33" s="321"/>
      <c r="H33" s="323"/>
      <c r="J33" s="321"/>
      <c r="L33" s="329"/>
      <c r="M33" s="329"/>
      <c r="N33" s="323"/>
    </row>
    <row r="34" spans="1:14" hidden="1">
      <c r="A34" s="42"/>
      <c r="B34" s="327" t="s">
        <v>411</v>
      </c>
      <c r="C34" s="42"/>
      <c r="D34" s="327"/>
      <c r="E34" s="42"/>
      <c r="F34" s="327"/>
      <c r="G34" s="42"/>
      <c r="H34" s="326"/>
      <c r="I34" s="327"/>
      <c r="J34" s="42"/>
      <c r="K34" s="327"/>
      <c r="L34" s="325"/>
      <c r="M34" s="325"/>
      <c r="N34" s="326"/>
    </row>
    <row r="35" spans="1:14" hidden="1">
      <c r="A35" s="321"/>
      <c r="B35" s="334" t="s">
        <v>412</v>
      </c>
      <c r="C35" s="321"/>
      <c r="E35" s="321"/>
      <c r="F35" s="267"/>
      <c r="G35" s="321"/>
      <c r="H35" s="323"/>
      <c r="J35" s="321"/>
      <c r="L35" s="329"/>
      <c r="M35" s="329"/>
      <c r="N35" s="323"/>
    </row>
    <row r="36" spans="1:14" hidden="1">
      <c r="A36" s="42"/>
      <c r="B36" s="327" t="s">
        <v>409</v>
      </c>
      <c r="C36" s="42"/>
      <c r="D36" s="327"/>
      <c r="E36" s="42"/>
      <c r="F36" s="327"/>
      <c r="G36" s="42"/>
      <c r="H36" s="326"/>
      <c r="I36" s="327"/>
      <c r="J36" s="42"/>
      <c r="K36" s="327"/>
      <c r="L36" s="325"/>
      <c r="M36" s="325"/>
      <c r="N36" s="326"/>
    </row>
    <row r="37" spans="1:14" hidden="1">
      <c r="A37" s="321"/>
      <c r="B37" s="334" t="s">
        <v>410</v>
      </c>
      <c r="C37" s="321"/>
      <c r="E37" s="321"/>
      <c r="F37" s="267"/>
      <c r="G37" s="321"/>
      <c r="H37" s="323"/>
      <c r="J37" s="321"/>
      <c r="L37" s="329"/>
      <c r="M37" s="329"/>
      <c r="N37" s="323"/>
    </row>
    <row r="38" spans="1:14" hidden="1">
      <c r="A38" s="42"/>
      <c r="B38" s="327" t="s">
        <v>411</v>
      </c>
      <c r="C38" s="42"/>
      <c r="D38" s="327"/>
      <c r="E38" s="42"/>
      <c r="F38" s="327"/>
      <c r="G38" s="42"/>
      <c r="H38" s="326"/>
      <c r="I38" s="327"/>
      <c r="J38" s="42"/>
      <c r="K38" s="327"/>
      <c r="L38" s="325"/>
      <c r="M38" s="325"/>
      <c r="N38" s="326"/>
    </row>
    <row r="39" spans="1:14" hidden="1">
      <c r="A39" s="321"/>
      <c r="B39" s="334" t="s">
        <v>413</v>
      </c>
      <c r="C39" s="321"/>
      <c r="E39" s="321"/>
      <c r="F39" s="267"/>
      <c r="G39" s="321"/>
      <c r="H39" s="323"/>
      <c r="J39" s="321"/>
      <c r="L39" s="329"/>
      <c r="M39" s="329"/>
      <c r="N39" s="323"/>
    </row>
    <row r="40" spans="1:14" hidden="1">
      <c r="A40" s="42"/>
      <c r="B40" s="327" t="s">
        <v>409</v>
      </c>
      <c r="C40" s="42"/>
      <c r="D40" s="327"/>
      <c r="E40" s="42"/>
      <c r="F40" s="327"/>
      <c r="G40" s="42"/>
      <c r="H40" s="326"/>
      <c r="I40" s="327"/>
      <c r="J40" s="42"/>
      <c r="K40" s="327"/>
      <c r="L40" s="325"/>
      <c r="M40" s="325"/>
      <c r="N40" s="326"/>
    </row>
    <row r="41" spans="1:14" hidden="1">
      <c r="A41" s="321"/>
      <c r="B41" s="334" t="s">
        <v>410</v>
      </c>
      <c r="C41" s="321"/>
      <c r="E41" s="321"/>
      <c r="F41" s="267"/>
      <c r="G41" s="321"/>
      <c r="H41" s="323"/>
      <c r="J41" s="321"/>
      <c r="L41" s="329"/>
      <c r="M41" s="329"/>
      <c r="N41" s="323"/>
    </row>
    <row r="42" spans="1:14" hidden="1">
      <c r="A42" s="42"/>
      <c r="B42" s="327" t="s">
        <v>411</v>
      </c>
      <c r="C42" s="42"/>
      <c r="D42" s="327"/>
      <c r="E42" s="42"/>
      <c r="F42" s="327"/>
      <c r="G42" s="42"/>
      <c r="H42" s="326"/>
      <c r="I42" s="327"/>
      <c r="J42" s="42"/>
      <c r="K42" s="327"/>
      <c r="L42" s="325"/>
      <c r="M42" s="325"/>
      <c r="N42" s="326"/>
    </row>
    <row r="43" spans="1:14" hidden="1">
      <c r="A43" s="321"/>
      <c r="C43" s="321"/>
      <c r="E43" s="321"/>
      <c r="F43" s="267"/>
      <c r="G43" s="321"/>
      <c r="H43" s="323"/>
      <c r="J43" s="321"/>
      <c r="L43" s="329"/>
      <c r="M43" s="329"/>
      <c r="N43" s="323"/>
    </row>
    <row r="44" spans="1:14" hidden="1">
      <c r="A44" s="42"/>
      <c r="B44" s="327" t="s">
        <v>443</v>
      </c>
      <c r="C44" s="42"/>
      <c r="D44" s="327"/>
      <c r="E44" s="42"/>
      <c r="F44" s="327"/>
      <c r="G44" s="42"/>
      <c r="H44" s="326"/>
      <c r="I44" s="327"/>
      <c r="J44" s="42"/>
      <c r="K44" s="327"/>
      <c r="L44" s="325">
        <v>153.28</v>
      </c>
      <c r="M44" s="325">
        <v>168.29</v>
      </c>
      <c r="N44" s="326"/>
    </row>
    <row r="45" spans="1:14" hidden="1">
      <c r="A45" s="321"/>
      <c r="B45" s="334" t="s">
        <v>415</v>
      </c>
      <c r="C45" s="321"/>
      <c r="E45" s="321"/>
      <c r="F45" s="267"/>
      <c r="G45" s="321"/>
      <c r="H45" s="323"/>
      <c r="J45" s="321"/>
      <c r="L45" s="329"/>
      <c r="M45" s="329"/>
      <c r="N45" s="323"/>
    </row>
    <row r="46" spans="1:14" hidden="1">
      <c r="A46" s="42"/>
      <c r="B46" s="327" t="s">
        <v>416</v>
      </c>
      <c r="C46" s="42"/>
      <c r="D46" s="327"/>
      <c r="E46" s="42"/>
      <c r="F46" s="327"/>
      <c r="G46" s="42"/>
      <c r="H46" s="326"/>
      <c r="I46" s="327"/>
      <c r="J46" s="42"/>
      <c r="K46" s="327"/>
      <c r="L46" s="325"/>
      <c r="M46" s="325"/>
      <c r="N46" s="326"/>
    </row>
    <row r="47" spans="1:14" hidden="1">
      <c r="A47" s="321"/>
      <c r="B47" s="334" t="s">
        <v>417</v>
      </c>
      <c r="C47" s="321"/>
      <c r="E47" s="321"/>
      <c r="F47" s="267"/>
      <c r="G47" s="321"/>
      <c r="H47" s="323"/>
      <c r="J47" s="321"/>
      <c r="L47" s="329"/>
      <c r="M47" s="329"/>
      <c r="N47" s="323"/>
    </row>
    <row r="48" spans="1:14" hidden="1">
      <c r="A48" s="42"/>
      <c r="B48" s="327" t="s">
        <v>418</v>
      </c>
      <c r="C48" s="42"/>
      <c r="D48" s="327"/>
      <c r="E48" s="42"/>
      <c r="F48" s="327"/>
      <c r="G48" s="42"/>
      <c r="H48" s="326"/>
      <c r="I48" s="327"/>
      <c r="J48" s="42"/>
      <c r="K48" s="327"/>
      <c r="L48" s="325"/>
      <c r="M48" s="325"/>
      <c r="N48" s="326"/>
    </row>
    <row r="49" spans="1:14" hidden="1">
      <c r="A49" s="328"/>
      <c r="B49" s="339" t="s">
        <v>419</v>
      </c>
      <c r="C49" s="42"/>
      <c r="D49" s="327"/>
      <c r="E49" s="42"/>
      <c r="F49" s="327"/>
      <c r="G49" s="42"/>
      <c r="H49" s="327"/>
      <c r="I49" s="336"/>
      <c r="J49" s="336"/>
      <c r="K49" s="326"/>
      <c r="L49" s="1603"/>
      <c r="M49" s="325"/>
      <c r="N49" s="326"/>
    </row>
    <row r="50" spans="1:14" hidden="1">
      <c r="A50" s="330"/>
      <c r="B50" s="42" t="s">
        <v>416</v>
      </c>
      <c r="C50" s="321"/>
      <c r="D50" s="267"/>
      <c r="E50" s="321"/>
      <c r="G50" s="321"/>
      <c r="I50" s="42"/>
      <c r="J50" s="42"/>
      <c r="K50" s="323"/>
      <c r="L50" s="393"/>
      <c r="M50" s="329"/>
      <c r="N50" s="323"/>
    </row>
    <row r="51" spans="1:14" hidden="1">
      <c r="A51" s="328"/>
      <c r="B51" s="339" t="s">
        <v>417</v>
      </c>
      <c r="C51" s="42"/>
      <c r="D51" s="327"/>
      <c r="E51" s="42"/>
      <c r="F51" s="327"/>
      <c r="G51" s="42"/>
      <c r="H51" s="327"/>
      <c r="I51" s="321"/>
      <c r="J51" s="321"/>
      <c r="K51" s="326"/>
      <c r="L51" s="1603"/>
      <c r="M51" s="325"/>
      <c r="N51" s="326"/>
    </row>
    <row r="52" spans="1:14" hidden="1">
      <c r="A52" s="330"/>
      <c r="B52" s="42" t="s">
        <v>418</v>
      </c>
      <c r="C52" s="321"/>
      <c r="D52" s="267"/>
      <c r="E52" s="321"/>
      <c r="G52" s="321"/>
      <c r="I52" s="42"/>
      <c r="J52" s="42"/>
      <c r="K52" s="323"/>
      <c r="L52" s="393"/>
      <c r="M52" s="329"/>
      <c r="N52" s="323"/>
    </row>
    <row r="53" spans="1:14" hidden="1">
      <c r="A53" s="328"/>
      <c r="B53" s="340" t="s">
        <v>420</v>
      </c>
      <c r="C53" s="42"/>
      <c r="D53" s="327"/>
      <c r="E53" s="42"/>
      <c r="F53" s="327"/>
      <c r="G53" s="42"/>
      <c r="H53" s="327"/>
      <c r="I53" s="321"/>
      <c r="J53" s="321"/>
      <c r="K53" s="326"/>
      <c r="L53" s="1603"/>
      <c r="M53" s="325"/>
      <c r="N53" s="326"/>
    </row>
    <row r="54" spans="1:14" hidden="1">
      <c r="A54" s="330"/>
      <c r="B54" s="42" t="s">
        <v>416</v>
      </c>
      <c r="C54" s="321"/>
      <c r="D54" s="267"/>
      <c r="E54" s="321"/>
      <c r="G54" s="321"/>
      <c r="I54" s="42"/>
      <c r="J54" s="42"/>
      <c r="K54" s="323"/>
      <c r="L54" s="393"/>
      <c r="M54" s="329"/>
      <c r="N54" s="323"/>
    </row>
    <row r="55" spans="1:14" hidden="1">
      <c r="A55" s="328"/>
      <c r="B55" s="340" t="s">
        <v>417</v>
      </c>
      <c r="C55" s="42"/>
      <c r="D55" s="327"/>
      <c r="E55" s="42"/>
      <c r="F55" s="327"/>
      <c r="G55" s="42"/>
      <c r="H55" s="327"/>
      <c r="I55" s="42"/>
      <c r="J55" s="42"/>
      <c r="K55" s="326"/>
      <c r="L55" s="1603"/>
      <c r="M55" s="325"/>
      <c r="N55" s="326"/>
    </row>
    <row r="56" spans="1:14" hidden="1">
      <c r="A56" s="330"/>
      <c r="B56" s="42" t="s">
        <v>418</v>
      </c>
      <c r="C56" s="321"/>
      <c r="D56" s="267"/>
      <c r="E56" s="321"/>
      <c r="G56" s="321"/>
      <c r="I56" s="321"/>
      <c r="J56" s="321"/>
      <c r="K56" s="323"/>
      <c r="L56" s="393"/>
      <c r="M56" s="329"/>
      <c r="N56" s="323"/>
    </row>
    <row r="57" spans="1:14">
      <c r="A57" s="341">
        <v>7</v>
      </c>
      <c r="B57" s="42" t="s">
        <v>421</v>
      </c>
      <c r="C57" s="42"/>
      <c r="D57" s="327"/>
      <c r="E57" s="42"/>
      <c r="F57" s="327"/>
      <c r="G57" s="42"/>
      <c r="H57" s="327"/>
      <c r="I57" s="42"/>
      <c r="J57" s="42"/>
      <c r="K57" s="326"/>
      <c r="L57" s="1604">
        <v>96.43</v>
      </c>
      <c r="M57" s="1605">
        <v>102.07</v>
      </c>
      <c r="N57" s="326"/>
    </row>
    <row r="58" spans="1:14">
      <c r="A58" s="343">
        <v>8</v>
      </c>
      <c r="B58" s="321" t="s">
        <v>422</v>
      </c>
      <c r="C58" s="321"/>
      <c r="D58" s="267"/>
      <c r="E58" s="321"/>
      <c r="G58" s="321"/>
      <c r="I58" s="321"/>
      <c r="J58" s="321"/>
      <c r="K58" s="323"/>
      <c r="L58" s="393">
        <v>29.07</v>
      </c>
      <c r="M58" s="329">
        <v>30.72</v>
      </c>
      <c r="N58" s="323"/>
    </row>
    <row r="59" spans="1:14">
      <c r="A59" s="341">
        <v>9</v>
      </c>
      <c r="B59" s="42" t="s">
        <v>423</v>
      </c>
      <c r="C59" s="42"/>
      <c r="D59" s="327"/>
      <c r="E59" s="42"/>
      <c r="F59" s="327"/>
      <c r="G59" s="42"/>
      <c r="H59" s="327"/>
      <c r="I59" s="42"/>
      <c r="J59" s="42"/>
      <c r="K59" s="326"/>
      <c r="L59" s="1604">
        <v>9.32</v>
      </c>
      <c r="M59" s="1605">
        <v>10.45</v>
      </c>
      <c r="N59" s="326"/>
    </row>
    <row r="60" spans="1:14">
      <c r="A60" s="343">
        <v>10</v>
      </c>
      <c r="B60" s="321" t="s">
        <v>444</v>
      </c>
      <c r="C60" s="321"/>
      <c r="D60" s="323"/>
      <c r="E60" s="323"/>
      <c r="G60" s="321"/>
      <c r="I60" s="330"/>
      <c r="J60" s="321"/>
      <c r="K60" s="323"/>
      <c r="L60" s="1606">
        <v>14.85</v>
      </c>
      <c r="M60" s="1601">
        <v>22</v>
      </c>
      <c r="N60" s="323"/>
    </row>
    <row r="61" spans="1:14">
      <c r="A61" s="341">
        <v>11</v>
      </c>
      <c r="B61" s="42" t="s">
        <v>425</v>
      </c>
      <c r="C61" s="42"/>
      <c r="D61" s="326"/>
      <c r="E61" s="326"/>
      <c r="F61" s="327"/>
      <c r="G61" s="42"/>
      <c r="H61" s="327"/>
      <c r="I61" s="328"/>
      <c r="J61" s="42"/>
      <c r="K61" s="326"/>
      <c r="L61" s="1604">
        <v>8.58</v>
      </c>
      <c r="M61" s="325">
        <v>9.5500000000000007</v>
      </c>
      <c r="N61" s="326"/>
    </row>
    <row r="62" spans="1:14">
      <c r="A62" s="343">
        <v>12</v>
      </c>
      <c r="B62" s="42" t="s">
        <v>426</v>
      </c>
      <c r="C62" s="42"/>
      <c r="D62" s="326"/>
      <c r="E62" s="326"/>
      <c r="F62" s="327"/>
      <c r="G62" s="42"/>
      <c r="H62" s="327"/>
      <c r="I62" s="328"/>
      <c r="J62" s="42"/>
      <c r="K62" s="326"/>
      <c r="L62" s="1603">
        <v>0.03</v>
      </c>
      <c r="M62" s="325">
        <v>0.03</v>
      </c>
      <c r="N62" s="326"/>
    </row>
    <row r="63" spans="1:14">
      <c r="A63" s="341">
        <v>13</v>
      </c>
      <c r="B63" s="42" t="s">
        <v>427</v>
      </c>
      <c r="C63" s="321"/>
      <c r="D63" s="323"/>
      <c r="E63" s="323"/>
      <c r="G63" s="321"/>
      <c r="I63" s="330"/>
      <c r="J63" s="321"/>
      <c r="K63" s="323"/>
      <c r="L63" s="322">
        <v>0.05</v>
      </c>
      <c r="M63" s="329">
        <v>7.0000000000000007E-2</v>
      </c>
      <c r="N63" s="323"/>
    </row>
    <row r="64" spans="1:14">
      <c r="A64" s="328"/>
      <c r="B64" s="328" t="s">
        <v>445</v>
      </c>
      <c r="C64" s="42"/>
      <c r="D64" s="326"/>
      <c r="E64" s="326"/>
      <c r="F64" s="327"/>
      <c r="G64" s="42"/>
      <c r="H64" s="327"/>
      <c r="I64" s="328"/>
      <c r="J64" s="42"/>
      <c r="K64" s="326"/>
      <c r="L64" s="1603">
        <f>SUM(L10:L63)</f>
        <v>653.16000000000008</v>
      </c>
      <c r="M64" s="325">
        <f>SUM(M10:M63)</f>
        <v>718.38</v>
      </c>
      <c r="N64" s="326"/>
    </row>
    <row r="66" spans="2:2">
      <c r="B66" s="332" t="s">
        <v>295</v>
      </c>
    </row>
    <row r="67" spans="2:2">
      <c r="B67" s="332" t="s">
        <v>296</v>
      </c>
    </row>
  </sheetData>
  <sheetProtection selectLockedCells="1" selectUnlockedCells="1"/>
  <mergeCells count="2">
    <mergeCell ref="B1:N1"/>
    <mergeCell ref="L5:M5"/>
  </mergeCells>
  <pageMargins left="0.23622047244094491" right="0.23622047244094491" top="0.6692913385826772" bottom="0.70866141732283472" header="0.51181102362204722" footer="0.51181102362204722"/>
  <pageSetup paperSize="9" scale="83" firstPageNumber="0" orientation="portrait" horizontalDpi="300" verticalDpi="300" r:id="rId1"/>
  <headerFooter alignWithMargins="0"/>
</worksheet>
</file>

<file path=xl/worksheets/sheet148.xml><?xml version="1.0" encoding="utf-8"?>
<worksheet xmlns="http://schemas.openxmlformats.org/spreadsheetml/2006/main" xmlns:r="http://schemas.openxmlformats.org/officeDocument/2006/relationships">
  <sheetPr codeName="Sheet127">
    <tabColor theme="1" tint="4.9989318521683403E-2"/>
  </sheetPr>
  <dimension ref="A1:I33"/>
  <sheetViews>
    <sheetView showGridLines="0" view="pageBreakPreview" zoomScale="60" zoomScaleNormal="70" workbookViewId="0">
      <selection activeCell="I49" sqref="I49"/>
    </sheetView>
  </sheetViews>
  <sheetFormatPr defaultRowHeight="15.75"/>
  <cols>
    <col min="1" max="1" width="18.7109375" style="254" customWidth="1"/>
    <col min="2" max="2" width="32.85546875" style="254" customWidth="1"/>
    <col min="3" max="3" width="9.140625" style="254"/>
    <col min="4" max="4" width="25" style="254" customWidth="1"/>
    <col min="5" max="8" width="9.140625" style="254"/>
    <col min="9" max="9" width="13.85546875" style="254" customWidth="1"/>
    <col min="10" max="16384" width="9.140625" style="254"/>
  </cols>
  <sheetData>
    <row r="1" spans="1:9">
      <c r="A1" s="6409" t="s">
        <v>2434</v>
      </c>
      <c r="B1" s="6410"/>
      <c r="C1" s="6410"/>
      <c r="D1" s="6410"/>
      <c r="E1" s="6410"/>
      <c r="F1" s="6410"/>
      <c r="G1" s="6410"/>
      <c r="H1" s="6411"/>
      <c r="I1" s="281"/>
    </row>
    <row r="2" spans="1:9">
      <c r="A2" s="281"/>
      <c r="B2" s="281"/>
      <c r="C2" s="281"/>
      <c r="D2" s="281"/>
      <c r="E2" s="281"/>
      <c r="F2" s="281"/>
      <c r="G2" s="281"/>
      <c r="H2" s="281"/>
      <c r="I2" s="281"/>
    </row>
    <row r="3" spans="1:9">
      <c r="A3" s="281" t="s">
        <v>710</v>
      </c>
      <c r="B3" s="1822" t="s">
        <v>2438</v>
      </c>
      <c r="C3" s="1823"/>
      <c r="D3" s="1823"/>
      <c r="E3" s="281"/>
      <c r="F3" s="281"/>
      <c r="G3" s="281"/>
      <c r="H3" s="281"/>
      <c r="I3" s="281"/>
    </row>
    <row r="4" spans="1:9">
      <c r="A4" s="281"/>
      <c r="B4" s="281"/>
      <c r="C4" s="281"/>
      <c r="D4" s="281"/>
      <c r="E4" s="281"/>
      <c r="F4" s="281"/>
      <c r="G4" s="281"/>
      <c r="H4" s="281"/>
      <c r="I4" s="281"/>
    </row>
    <row r="5" spans="1:9">
      <c r="A5" s="1824" t="s">
        <v>712</v>
      </c>
      <c r="B5" s="1824" t="s">
        <v>713</v>
      </c>
      <c r="C5" s="1825" t="s">
        <v>714</v>
      </c>
      <c r="D5" s="1825" t="s">
        <v>715</v>
      </c>
      <c r="E5" s="1824" t="s">
        <v>47</v>
      </c>
      <c r="F5" s="1825" t="s">
        <v>563</v>
      </c>
      <c r="G5" s="1825" t="s">
        <v>716</v>
      </c>
      <c r="H5" s="1826">
        <v>0.7</v>
      </c>
      <c r="I5" s="1825" t="s">
        <v>717</v>
      </c>
    </row>
    <row r="6" spans="1:9">
      <c r="A6" s="1827" t="s">
        <v>718</v>
      </c>
      <c r="B6" s="1827"/>
      <c r="C6" s="1828" t="s">
        <v>557</v>
      </c>
      <c r="D6" s="1828" t="s">
        <v>719</v>
      </c>
      <c r="E6" s="1827" t="s">
        <v>720</v>
      </c>
      <c r="F6" s="1828" t="s">
        <v>721</v>
      </c>
      <c r="G6" s="1828" t="s">
        <v>722</v>
      </c>
      <c r="H6" s="1827" t="s">
        <v>723</v>
      </c>
      <c r="I6" s="1828" t="s">
        <v>724</v>
      </c>
    </row>
    <row r="7" spans="1:9">
      <c r="A7" s="1827"/>
      <c r="B7" s="1827"/>
      <c r="C7" s="1828"/>
      <c r="D7" s="1828" t="s">
        <v>725</v>
      </c>
      <c r="E7" s="1827"/>
      <c r="F7" s="1828" t="s">
        <v>558</v>
      </c>
      <c r="G7" s="1828" t="s">
        <v>1848</v>
      </c>
      <c r="H7" s="1827" t="s">
        <v>726</v>
      </c>
      <c r="I7" s="1828" t="s">
        <v>727</v>
      </c>
    </row>
    <row r="8" spans="1:9">
      <c r="A8" s="1827"/>
      <c r="B8" s="1827"/>
      <c r="C8" s="1828"/>
      <c r="D8" s="1828" t="s">
        <v>558</v>
      </c>
      <c r="E8" s="1827"/>
      <c r="F8" s="1828"/>
      <c r="G8" s="1828" t="s">
        <v>728</v>
      </c>
      <c r="H8" s="1827"/>
      <c r="I8" s="1828"/>
    </row>
    <row r="9" spans="1:9">
      <c r="A9" s="1827"/>
      <c r="B9" s="1827"/>
      <c r="C9" s="1828"/>
      <c r="D9" s="1828"/>
      <c r="E9" s="1827"/>
      <c r="F9" s="1828"/>
      <c r="G9" s="1828"/>
      <c r="H9" s="1827"/>
      <c r="I9" s="1828"/>
    </row>
    <row r="10" spans="1:9" ht="16.5" thickBot="1">
      <c r="A10" s="1827"/>
      <c r="B10" s="1827"/>
      <c r="C10" s="1828"/>
      <c r="D10" s="1828"/>
      <c r="E10" s="1827"/>
      <c r="F10" s="1828"/>
      <c r="G10" s="1828"/>
      <c r="H10" s="1827"/>
      <c r="I10" s="1828"/>
    </row>
    <row r="11" spans="1:9" ht="16.5" thickBot="1">
      <c r="A11" s="1553">
        <v>1</v>
      </c>
      <c r="B11" s="1553">
        <v>2</v>
      </c>
      <c r="C11" s="1554">
        <v>3</v>
      </c>
      <c r="D11" s="1554">
        <v>4</v>
      </c>
      <c r="E11" s="1553">
        <v>5</v>
      </c>
      <c r="F11" s="1554">
        <v>6</v>
      </c>
      <c r="G11" s="1554">
        <v>7</v>
      </c>
      <c r="H11" s="1553">
        <v>8</v>
      </c>
      <c r="I11" s="1554">
        <v>9</v>
      </c>
    </row>
    <row r="12" spans="1:9" hidden="1">
      <c r="A12" s="1514"/>
      <c r="B12" s="1514"/>
      <c r="C12" s="1515"/>
      <c r="D12" s="1515"/>
      <c r="E12" s="1514"/>
      <c r="F12" s="1515"/>
      <c r="G12" s="1515"/>
      <c r="H12" s="1514"/>
      <c r="I12" s="1515"/>
    </row>
    <row r="13" spans="1:9" hidden="1">
      <c r="A13" s="1514"/>
      <c r="B13" s="1514"/>
      <c r="C13" s="1515"/>
      <c r="D13" s="1515"/>
      <c r="E13" s="1514"/>
      <c r="F13" s="1515"/>
      <c r="G13" s="1515"/>
      <c r="H13" s="1514"/>
      <c r="I13" s="1515"/>
    </row>
    <row r="14" spans="1:9">
      <c r="A14" s="1485" t="s">
        <v>730</v>
      </c>
      <c r="B14" s="1485" t="s">
        <v>731</v>
      </c>
      <c r="C14" s="854">
        <v>29.27</v>
      </c>
      <c r="D14" s="854">
        <v>19.14</v>
      </c>
      <c r="E14" s="854">
        <f>+C14+D14</f>
        <v>48.41</v>
      </c>
      <c r="F14" s="854">
        <v>21.56</v>
      </c>
      <c r="G14" s="854">
        <f>+E14-F14</f>
        <v>26.849999999999998</v>
      </c>
      <c r="H14" s="854">
        <f>F14*70/100</f>
        <v>15.091999999999999</v>
      </c>
      <c r="I14" s="854">
        <f>H14*11/100/2</f>
        <v>0.83006000000000002</v>
      </c>
    </row>
    <row r="15" spans="1:9" hidden="1">
      <c r="A15" s="1485"/>
      <c r="B15" s="1485"/>
      <c r="C15" s="854"/>
      <c r="D15" s="854"/>
      <c r="E15" s="854" t="s">
        <v>94</v>
      </c>
      <c r="F15" s="854" t="s">
        <v>732</v>
      </c>
      <c r="G15" s="854" t="s">
        <v>94</v>
      </c>
      <c r="H15" s="854"/>
      <c r="I15" s="854"/>
    </row>
    <row r="16" spans="1:9">
      <c r="A16" s="1485" t="s">
        <v>730</v>
      </c>
      <c r="B16" s="1485" t="s">
        <v>733</v>
      </c>
      <c r="C16" s="854">
        <v>7.56</v>
      </c>
      <c r="D16" s="854">
        <v>15.61</v>
      </c>
      <c r="E16" s="854">
        <f>+C16+D16</f>
        <v>23.169999999999998</v>
      </c>
      <c r="F16" s="854">
        <v>11.86</v>
      </c>
      <c r="G16" s="854">
        <f>+E16-F16</f>
        <v>11.309999999999999</v>
      </c>
      <c r="H16" s="854">
        <f>F16*70/100</f>
        <v>8.3019999999999996</v>
      </c>
      <c r="I16" s="854">
        <f>H16*11/100/2</f>
        <v>0.45661000000000002</v>
      </c>
    </row>
    <row r="17" spans="1:9" hidden="1">
      <c r="A17" s="1485"/>
      <c r="B17" s="1485"/>
      <c r="C17" s="854"/>
      <c r="D17" s="854" t="s">
        <v>94</v>
      </c>
      <c r="E17" s="854" t="s">
        <v>94</v>
      </c>
      <c r="F17" s="854" t="s">
        <v>94</v>
      </c>
      <c r="G17" s="854" t="s">
        <v>94</v>
      </c>
      <c r="H17" s="854"/>
      <c r="I17" s="854"/>
    </row>
    <row r="18" spans="1:9">
      <c r="A18" s="1485" t="s">
        <v>730</v>
      </c>
      <c r="B18" s="1485" t="s">
        <v>734</v>
      </c>
      <c r="C18" s="854">
        <v>0</v>
      </c>
      <c r="D18" s="854">
        <v>22.38</v>
      </c>
      <c r="E18" s="854">
        <f t="shared" ref="E18:E30" si="0">+C18+D18</f>
        <v>22.38</v>
      </c>
      <c r="F18" s="854">
        <v>22.37</v>
      </c>
      <c r="G18" s="854">
        <f>+E18-F18</f>
        <v>9.9999999999980105E-3</v>
      </c>
      <c r="H18" s="854">
        <f>F18*70/100</f>
        <v>15.659000000000001</v>
      </c>
      <c r="I18" s="854">
        <v>0</v>
      </c>
    </row>
    <row r="19" spans="1:9" hidden="1">
      <c r="A19" s="1485"/>
      <c r="B19" s="1485"/>
      <c r="C19" s="854"/>
      <c r="D19" s="854"/>
      <c r="E19" s="854" t="s">
        <v>94</v>
      </c>
      <c r="F19" s="854"/>
      <c r="G19" s="854" t="s">
        <v>94</v>
      </c>
      <c r="H19" s="854"/>
      <c r="I19" s="854"/>
    </row>
    <row r="20" spans="1:9">
      <c r="A20" s="1485" t="s">
        <v>730</v>
      </c>
      <c r="B20" s="1485" t="s">
        <v>735</v>
      </c>
      <c r="C20" s="854">
        <v>0</v>
      </c>
      <c r="D20" s="854">
        <v>25.23</v>
      </c>
      <c r="E20" s="854">
        <f t="shared" si="0"/>
        <v>25.23</v>
      </c>
      <c r="F20" s="854">
        <v>25.18</v>
      </c>
      <c r="G20" s="854">
        <f>+E20-F20</f>
        <v>5.0000000000000711E-2</v>
      </c>
      <c r="H20" s="854">
        <f>F20*70/100</f>
        <v>17.625999999999998</v>
      </c>
      <c r="I20" s="854">
        <v>0</v>
      </c>
    </row>
    <row r="21" spans="1:9" hidden="1">
      <c r="A21" s="1485"/>
      <c r="B21" s="1485"/>
      <c r="C21" s="854"/>
      <c r="D21" s="854"/>
      <c r="E21" s="854" t="s">
        <v>94</v>
      </c>
      <c r="F21" s="854"/>
      <c r="G21" s="854" t="s">
        <v>94</v>
      </c>
      <c r="H21" s="854"/>
      <c r="I21" s="854"/>
    </row>
    <row r="22" spans="1:9">
      <c r="A22" s="1485" t="s">
        <v>730</v>
      </c>
      <c r="B22" s="1485" t="s">
        <v>736</v>
      </c>
      <c r="C22" s="854">
        <v>0</v>
      </c>
      <c r="D22" s="854">
        <v>5.0999999999999996</v>
      </c>
      <c r="E22" s="854">
        <f t="shared" si="0"/>
        <v>5.0999999999999996</v>
      </c>
      <c r="F22" s="854">
        <v>0.01</v>
      </c>
      <c r="G22" s="854">
        <f>+E22-F22</f>
        <v>5.09</v>
      </c>
      <c r="H22" s="854">
        <f>F22*70/100</f>
        <v>7.000000000000001E-3</v>
      </c>
      <c r="I22" s="854">
        <f>H22*11/100/2</f>
        <v>3.8500000000000009E-4</v>
      </c>
    </row>
    <row r="23" spans="1:9" hidden="1">
      <c r="A23" s="1485"/>
      <c r="B23" s="1485"/>
      <c r="C23" s="854"/>
      <c r="D23" s="854"/>
      <c r="E23" s="854" t="s">
        <v>94</v>
      </c>
      <c r="F23" s="854"/>
      <c r="G23" s="854" t="s">
        <v>94</v>
      </c>
      <c r="H23" s="854"/>
      <c r="I23" s="854"/>
    </row>
    <row r="24" spans="1:9">
      <c r="A24" s="1485" t="s">
        <v>730</v>
      </c>
      <c r="B24" s="1485" t="s">
        <v>149</v>
      </c>
      <c r="C24" s="854">
        <v>0</v>
      </c>
      <c r="D24" s="854">
        <v>6</v>
      </c>
      <c r="E24" s="854">
        <f t="shared" si="0"/>
        <v>6</v>
      </c>
      <c r="F24" s="854">
        <v>6</v>
      </c>
      <c r="G24" s="854">
        <f>+E24-F24</f>
        <v>0</v>
      </c>
      <c r="H24" s="854">
        <f>F24*70/100</f>
        <v>4.2</v>
      </c>
      <c r="I24" s="854">
        <v>0</v>
      </c>
    </row>
    <row r="25" spans="1:9" hidden="1">
      <c r="A25" s="1485"/>
      <c r="B25" s="1485"/>
      <c r="C25" s="854"/>
      <c r="D25" s="854"/>
      <c r="E25" s="854" t="s">
        <v>94</v>
      </c>
      <c r="F25" s="854"/>
      <c r="G25" s="854" t="s">
        <v>94</v>
      </c>
      <c r="H25" s="854"/>
      <c r="I25" s="854"/>
    </row>
    <row r="26" spans="1:9">
      <c r="A26" s="1485" t="s">
        <v>730</v>
      </c>
      <c r="B26" s="1485" t="s">
        <v>737</v>
      </c>
      <c r="C26" s="854">
        <v>0</v>
      </c>
      <c r="D26" s="854">
        <v>9.94</v>
      </c>
      <c r="E26" s="854">
        <f t="shared" si="0"/>
        <v>9.94</v>
      </c>
      <c r="F26" s="854">
        <v>9.94</v>
      </c>
      <c r="G26" s="854">
        <f>+E26-F26</f>
        <v>0</v>
      </c>
      <c r="H26" s="854">
        <f>F26*70/100</f>
        <v>6.9579999999999993</v>
      </c>
      <c r="I26" s="854">
        <v>0</v>
      </c>
    </row>
    <row r="27" spans="1:9" hidden="1">
      <c r="A27" s="1485"/>
      <c r="B27" s="1485"/>
      <c r="C27" s="854"/>
      <c r="D27" s="854"/>
      <c r="E27" s="854" t="s">
        <v>94</v>
      </c>
      <c r="F27" s="854"/>
      <c r="G27" s="854" t="s">
        <v>94</v>
      </c>
      <c r="H27" s="854"/>
      <c r="I27" s="854"/>
    </row>
    <row r="28" spans="1:9">
      <c r="A28" s="1485" t="s">
        <v>738</v>
      </c>
      <c r="B28" s="1485" t="s">
        <v>739</v>
      </c>
      <c r="C28" s="854">
        <v>2.88</v>
      </c>
      <c r="D28" s="854">
        <v>2.19</v>
      </c>
      <c r="E28" s="854">
        <f t="shared" si="0"/>
        <v>5.07</v>
      </c>
      <c r="F28" s="854">
        <v>0.7</v>
      </c>
      <c r="G28" s="854">
        <f>+E28-F28</f>
        <v>4.37</v>
      </c>
      <c r="H28" s="854">
        <f>F28*70/100</f>
        <v>0.49</v>
      </c>
      <c r="I28" s="854">
        <f>H28*11/100/2</f>
        <v>2.6949999999999998E-2</v>
      </c>
    </row>
    <row r="29" spans="1:9" hidden="1">
      <c r="A29" s="1485"/>
      <c r="B29" s="1485"/>
      <c r="C29" s="854"/>
      <c r="D29" s="854"/>
      <c r="E29" s="854" t="s">
        <v>94</v>
      </c>
      <c r="F29" s="854"/>
      <c r="G29" s="854" t="s">
        <v>94</v>
      </c>
      <c r="H29" s="854"/>
      <c r="I29" s="854"/>
    </row>
    <row r="30" spans="1:9" ht="16.5" thickBot="1">
      <c r="A30" s="1485" t="s">
        <v>738</v>
      </c>
      <c r="B30" s="1485" t="s">
        <v>740</v>
      </c>
      <c r="C30" s="854">
        <v>0</v>
      </c>
      <c r="D30" s="854">
        <v>2.33</v>
      </c>
      <c r="E30" s="854">
        <f t="shared" si="0"/>
        <v>2.33</v>
      </c>
      <c r="F30" s="854">
        <v>2.33</v>
      </c>
      <c r="G30" s="854">
        <f>+E30-F30</f>
        <v>0</v>
      </c>
      <c r="H30" s="854">
        <f>F30*70/100</f>
        <v>1.631</v>
      </c>
      <c r="I30" s="854">
        <v>0</v>
      </c>
    </row>
    <row r="31" spans="1:9" ht="16.5" hidden="1" thickBot="1">
      <c r="A31" s="1514"/>
      <c r="B31" s="1514"/>
      <c r="C31" s="1516"/>
      <c r="D31" s="1516"/>
      <c r="E31" s="1517" t="s">
        <v>94</v>
      </c>
      <c r="F31" s="1516"/>
      <c r="G31" s="1516" t="s">
        <v>94</v>
      </c>
      <c r="H31" s="1517"/>
      <c r="I31" s="1516"/>
    </row>
    <row r="32" spans="1:9" ht="16.5" hidden="1" thickBot="1">
      <c r="A32" s="1514"/>
      <c r="B32" s="1514"/>
      <c r="C32" s="1516"/>
      <c r="D32" s="1516"/>
      <c r="E32" s="1517" t="s">
        <v>94</v>
      </c>
      <c r="F32" s="1516"/>
      <c r="G32" s="1516" t="s">
        <v>94</v>
      </c>
      <c r="H32" s="1517"/>
      <c r="I32" s="1516"/>
    </row>
    <row r="33" spans="1:9">
      <c r="A33" s="1786"/>
      <c r="B33" s="1787" t="s">
        <v>741</v>
      </c>
      <c r="C33" s="1788">
        <f>SUM(C14:C30)</f>
        <v>39.71</v>
      </c>
      <c r="D33" s="1788">
        <f>SUM(D14:D30)</f>
        <v>107.91999999999999</v>
      </c>
      <c r="E33" s="1789">
        <f>+C33+D33</f>
        <v>147.63</v>
      </c>
      <c r="F33" s="1788">
        <f>SUM(F14:F30)</f>
        <v>99.95</v>
      </c>
      <c r="G33" s="1788">
        <f>SUM(G14:G30)</f>
        <v>47.68</v>
      </c>
      <c r="H33" s="1789">
        <f>SUM(H14:H30)</f>
        <v>69.964999999999989</v>
      </c>
      <c r="I33" s="1788">
        <f>SUM(I14:I30)</f>
        <v>1.3140050000000001</v>
      </c>
    </row>
  </sheetData>
  <mergeCells count="1">
    <mergeCell ref="A1:H1"/>
  </mergeCells>
  <pageMargins left="0.7" right="0.7" top="0.75" bottom="0.75" header="0.3" footer="0.3"/>
  <pageSetup paperSize="9" scale="56" orientation="portrait" r:id="rId1"/>
</worksheet>
</file>

<file path=xl/worksheets/sheet149.xml><?xml version="1.0" encoding="utf-8"?>
<worksheet xmlns="http://schemas.openxmlformats.org/spreadsheetml/2006/main" xmlns:r="http://schemas.openxmlformats.org/officeDocument/2006/relationships">
  <sheetPr codeName="Sheet128">
    <tabColor theme="1" tint="4.9989318521683403E-2"/>
    <pageSetUpPr fitToPage="1"/>
  </sheetPr>
  <dimension ref="A1:J96"/>
  <sheetViews>
    <sheetView showGridLines="0" workbookViewId="0">
      <pane xSplit="2" ySplit="4" topLeftCell="C44" activePane="bottomRight" state="frozen"/>
      <selection activeCell="I49" sqref="I49"/>
      <selection pane="topRight" activeCell="I49" sqref="I49"/>
      <selection pane="bottomLeft" activeCell="I49" sqref="I49"/>
      <selection pane="bottomRight" activeCell="I49" sqref="I49"/>
    </sheetView>
  </sheetViews>
  <sheetFormatPr defaultRowHeight="15"/>
  <cols>
    <col min="1" max="2" width="9.140625" style="155"/>
    <col min="3" max="3" width="34.140625" style="155" customWidth="1"/>
    <col min="4" max="4" width="20.85546875" style="155" customWidth="1"/>
    <col min="5" max="5" width="29.140625" style="155" customWidth="1"/>
    <col min="6" max="6" width="21.42578125" style="155" customWidth="1"/>
    <col min="7" max="7" width="12.5703125" style="155" customWidth="1"/>
    <col min="8" max="8" width="30.85546875" style="155" bestFit="1" customWidth="1"/>
    <col min="9" max="258" width="9.140625" style="155"/>
    <col min="259" max="259" width="34.140625" style="155" customWidth="1"/>
    <col min="260" max="260" width="16.42578125" style="155" customWidth="1"/>
    <col min="261" max="261" width="19.85546875" style="155" customWidth="1"/>
    <col min="262" max="262" width="16.85546875" style="155" customWidth="1"/>
    <col min="263" max="263" width="12.5703125" style="155" customWidth="1"/>
    <col min="264" max="264" width="30.85546875" style="155" bestFit="1" customWidth="1"/>
    <col min="265" max="514" width="9.140625" style="155"/>
    <col min="515" max="515" width="34.140625" style="155" customWidth="1"/>
    <col min="516" max="516" width="16.42578125" style="155" customWidth="1"/>
    <col min="517" max="517" width="19.85546875" style="155" customWidth="1"/>
    <col min="518" max="518" width="16.85546875" style="155" customWidth="1"/>
    <col min="519" max="519" width="12.5703125" style="155" customWidth="1"/>
    <col min="520" max="520" width="30.85546875" style="155" bestFit="1" customWidth="1"/>
    <col min="521" max="770" width="9.140625" style="155"/>
    <col min="771" max="771" width="34.140625" style="155" customWidth="1"/>
    <col min="772" max="772" width="16.42578125" style="155" customWidth="1"/>
    <col min="773" max="773" width="19.85546875" style="155" customWidth="1"/>
    <col min="774" max="774" width="16.85546875" style="155" customWidth="1"/>
    <col min="775" max="775" width="12.5703125" style="155" customWidth="1"/>
    <col min="776" max="776" width="30.85546875" style="155" bestFit="1" customWidth="1"/>
    <col min="777" max="1026" width="9.140625" style="155"/>
    <col min="1027" max="1027" width="34.140625" style="155" customWidth="1"/>
    <col min="1028" max="1028" width="16.42578125" style="155" customWidth="1"/>
    <col min="1029" max="1029" width="19.85546875" style="155" customWidth="1"/>
    <col min="1030" max="1030" width="16.85546875" style="155" customWidth="1"/>
    <col min="1031" max="1031" width="12.5703125" style="155" customWidth="1"/>
    <col min="1032" max="1032" width="30.85546875" style="155" bestFit="1" customWidth="1"/>
    <col min="1033" max="1282" width="9.140625" style="155"/>
    <col min="1283" max="1283" width="34.140625" style="155" customWidth="1"/>
    <col min="1284" max="1284" width="16.42578125" style="155" customWidth="1"/>
    <col min="1285" max="1285" width="19.85546875" style="155" customWidth="1"/>
    <col min="1286" max="1286" width="16.85546875" style="155" customWidth="1"/>
    <col min="1287" max="1287" width="12.5703125" style="155" customWidth="1"/>
    <col min="1288" max="1288" width="30.85546875" style="155" bestFit="1" customWidth="1"/>
    <col min="1289" max="1538" width="9.140625" style="155"/>
    <col min="1539" max="1539" width="34.140625" style="155" customWidth="1"/>
    <col min="1540" max="1540" width="16.42578125" style="155" customWidth="1"/>
    <col min="1541" max="1541" width="19.85546875" style="155" customWidth="1"/>
    <col min="1542" max="1542" width="16.85546875" style="155" customWidth="1"/>
    <col min="1543" max="1543" width="12.5703125" style="155" customWidth="1"/>
    <col min="1544" max="1544" width="30.85546875" style="155" bestFit="1" customWidth="1"/>
    <col min="1545" max="1794" width="9.140625" style="155"/>
    <col min="1795" max="1795" width="34.140625" style="155" customWidth="1"/>
    <col min="1796" max="1796" width="16.42578125" style="155" customWidth="1"/>
    <col min="1797" max="1797" width="19.85546875" style="155" customWidth="1"/>
    <col min="1798" max="1798" width="16.85546875" style="155" customWidth="1"/>
    <col min="1799" max="1799" width="12.5703125" style="155" customWidth="1"/>
    <col min="1800" max="1800" width="30.85546875" style="155" bestFit="1" customWidth="1"/>
    <col min="1801" max="2050" width="9.140625" style="155"/>
    <col min="2051" max="2051" width="34.140625" style="155" customWidth="1"/>
    <col min="2052" max="2052" width="16.42578125" style="155" customWidth="1"/>
    <col min="2053" max="2053" width="19.85546875" style="155" customWidth="1"/>
    <col min="2054" max="2054" width="16.85546875" style="155" customWidth="1"/>
    <col min="2055" max="2055" width="12.5703125" style="155" customWidth="1"/>
    <col min="2056" max="2056" width="30.85546875" style="155" bestFit="1" customWidth="1"/>
    <col min="2057" max="2306" width="9.140625" style="155"/>
    <col min="2307" max="2307" width="34.140625" style="155" customWidth="1"/>
    <col min="2308" max="2308" width="16.42578125" style="155" customWidth="1"/>
    <col min="2309" max="2309" width="19.85546875" style="155" customWidth="1"/>
    <col min="2310" max="2310" width="16.85546875" style="155" customWidth="1"/>
    <col min="2311" max="2311" width="12.5703125" style="155" customWidth="1"/>
    <col min="2312" max="2312" width="30.85546875" style="155" bestFit="1" customWidth="1"/>
    <col min="2313" max="2562" width="9.140625" style="155"/>
    <col min="2563" max="2563" width="34.140625" style="155" customWidth="1"/>
    <col min="2564" max="2564" width="16.42578125" style="155" customWidth="1"/>
    <col min="2565" max="2565" width="19.85546875" style="155" customWidth="1"/>
    <col min="2566" max="2566" width="16.85546875" style="155" customWidth="1"/>
    <col min="2567" max="2567" width="12.5703125" style="155" customWidth="1"/>
    <col min="2568" max="2568" width="30.85546875" style="155" bestFit="1" customWidth="1"/>
    <col min="2569" max="2818" width="9.140625" style="155"/>
    <col min="2819" max="2819" width="34.140625" style="155" customWidth="1"/>
    <col min="2820" max="2820" width="16.42578125" style="155" customWidth="1"/>
    <col min="2821" max="2821" width="19.85546875" style="155" customWidth="1"/>
    <col min="2822" max="2822" width="16.85546875" style="155" customWidth="1"/>
    <col min="2823" max="2823" width="12.5703125" style="155" customWidth="1"/>
    <col min="2824" max="2824" width="30.85546875" style="155" bestFit="1" customWidth="1"/>
    <col min="2825" max="3074" width="9.140625" style="155"/>
    <col min="3075" max="3075" width="34.140625" style="155" customWidth="1"/>
    <col min="3076" max="3076" width="16.42578125" style="155" customWidth="1"/>
    <col min="3077" max="3077" width="19.85546875" style="155" customWidth="1"/>
    <col min="3078" max="3078" width="16.85546875" style="155" customWidth="1"/>
    <col min="3079" max="3079" width="12.5703125" style="155" customWidth="1"/>
    <col min="3080" max="3080" width="30.85546875" style="155" bestFit="1" customWidth="1"/>
    <col min="3081" max="3330" width="9.140625" style="155"/>
    <col min="3331" max="3331" width="34.140625" style="155" customWidth="1"/>
    <col min="3332" max="3332" width="16.42578125" style="155" customWidth="1"/>
    <col min="3333" max="3333" width="19.85546875" style="155" customWidth="1"/>
    <col min="3334" max="3334" width="16.85546875" style="155" customWidth="1"/>
    <col min="3335" max="3335" width="12.5703125" style="155" customWidth="1"/>
    <col min="3336" max="3336" width="30.85546875" style="155" bestFit="1" customWidth="1"/>
    <col min="3337" max="3586" width="9.140625" style="155"/>
    <col min="3587" max="3587" width="34.140625" style="155" customWidth="1"/>
    <col min="3588" max="3588" width="16.42578125" style="155" customWidth="1"/>
    <col min="3589" max="3589" width="19.85546875" style="155" customWidth="1"/>
    <col min="3590" max="3590" width="16.85546875" style="155" customWidth="1"/>
    <col min="3591" max="3591" width="12.5703125" style="155" customWidth="1"/>
    <col min="3592" max="3592" width="30.85546875" style="155" bestFit="1" customWidth="1"/>
    <col min="3593" max="3842" width="9.140625" style="155"/>
    <col min="3843" max="3843" width="34.140625" style="155" customWidth="1"/>
    <col min="3844" max="3844" width="16.42578125" style="155" customWidth="1"/>
    <col min="3845" max="3845" width="19.85546875" style="155" customWidth="1"/>
    <col min="3846" max="3846" width="16.85546875" style="155" customWidth="1"/>
    <col min="3847" max="3847" width="12.5703125" style="155" customWidth="1"/>
    <col min="3848" max="3848" width="30.85546875" style="155" bestFit="1" customWidth="1"/>
    <col min="3849" max="4098" width="9.140625" style="155"/>
    <col min="4099" max="4099" width="34.140625" style="155" customWidth="1"/>
    <col min="4100" max="4100" width="16.42578125" style="155" customWidth="1"/>
    <col min="4101" max="4101" width="19.85546875" style="155" customWidth="1"/>
    <col min="4102" max="4102" width="16.85546875" style="155" customWidth="1"/>
    <col min="4103" max="4103" width="12.5703125" style="155" customWidth="1"/>
    <col min="4104" max="4104" width="30.85546875" style="155" bestFit="1" customWidth="1"/>
    <col min="4105" max="4354" width="9.140625" style="155"/>
    <col min="4355" max="4355" width="34.140625" style="155" customWidth="1"/>
    <col min="4356" max="4356" width="16.42578125" style="155" customWidth="1"/>
    <col min="4357" max="4357" width="19.85546875" style="155" customWidth="1"/>
    <col min="4358" max="4358" width="16.85546875" style="155" customWidth="1"/>
    <col min="4359" max="4359" width="12.5703125" style="155" customWidth="1"/>
    <col min="4360" max="4360" width="30.85546875" style="155" bestFit="1" customWidth="1"/>
    <col min="4361" max="4610" width="9.140625" style="155"/>
    <col min="4611" max="4611" width="34.140625" style="155" customWidth="1"/>
    <col min="4612" max="4612" width="16.42578125" style="155" customWidth="1"/>
    <col min="4613" max="4613" width="19.85546875" style="155" customWidth="1"/>
    <col min="4614" max="4614" width="16.85546875" style="155" customWidth="1"/>
    <col min="4615" max="4615" width="12.5703125" style="155" customWidth="1"/>
    <col min="4616" max="4616" width="30.85546875" style="155" bestFit="1" customWidth="1"/>
    <col min="4617" max="4866" width="9.140625" style="155"/>
    <col min="4867" max="4867" width="34.140625" style="155" customWidth="1"/>
    <col min="4868" max="4868" width="16.42578125" style="155" customWidth="1"/>
    <col min="4869" max="4869" width="19.85546875" style="155" customWidth="1"/>
    <col min="4870" max="4870" width="16.85546875" style="155" customWidth="1"/>
    <col min="4871" max="4871" width="12.5703125" style="155" customWidth="1"/>
    <col min="4872" max="4872" width="30.85546875" style="155" bestFit="1" customWidth="1"/>
    <col min="4873" max="5122" width="9.140625" style="155"/>
    <col min="5123" max="5123" width="34.140625" style="155" customWidth="1"/>
    <col min="5124" max="5124" width="16.42578125" style="155" customWidth="1"/>
    <col min="5125" max="5125" width="19.85546875" style="155" customWidth="1"/>
    <col min="5126" max="5126" width="16.85546875" style="155" customWidth="1"/>
    <col min="5127" max="5127" width="12.5703125" style="155" customWidth="1"/>
    <col min="5128" max="5128" width="30.85546875" style="155" bestFit="1" customWidth="1"/>
    <col min="5129" max="5378" width="9.140625" style="155"/>
    <col min="5379" max="5379" width="34.140625" style="155" customWidth="1"/>
    <col min="5380" max="5380" width="16.42578125" style="155" customWidth="1"/>
    <col min="5381" max="5381" width="19.85546875" style="155" customWidth="1"/>
    <col min="5382" max="5382" width="16.85546875" style="155" customWidth="1"/>
    <col min="5383" max="5383" width="12.5703125" style="155" customWidth="1"/>
    <col min="5384" max="5384" width="30.85546875" style="155" bestFit="1" customWidth="1"/>
    <col min="5385" max="5634" width="9.140625" style="155"/>
    <col min="5635" max="5635" width="34.140625" style="155" customWidth="1"/>
    <col min="5636" max="5636" width="16.42578125" style="155" customWidth="1"/>
    <col min="5637" max="5637" width="19.85546875" style="155" customWidth="1"/>
    <col min="5638" max="5638" width="16.85546875" style="155" customWidth="1"/>
    <col min="5639" max="5639" width="12.5703125" style="155" customWidth="1"/>
    <col min="5640" max="5640" width="30.85546875" style="155" bestFit="1" customWidth="1"/>
    <col min="5641" max="5890" width="9.140625" style="155"/>
    <col min="5891" max="5891" width="34.140625" style="155" customWidth="1"/>
    <col min="5892" max="5892" width="16.42578125" style="155" customWidth="1"/>
    <col min="5893" max="5893" width="19.85546875" style="155" customWidth="1"/>
    <col min="5894" max="5894" width="16.85546875" style="155" customWidth="1"/>
    <col min="5895" max="5895" width="12.5703125" style="155" customWidth="1"/>
    <col min="5896" max="5896" width="30.85546875" style="155" bestFit="1" customWidth="1"/>
    <col min="5897" max="6146" width="9.140625" style="155"/>
    <col min="6147" max="6147" width="34.140625" style="155" customWidth="1"/>
    <col min="6148" max="6148" width="16.42578125" style="155" customWidth="1"/>
    <col min="6149" max="6149" width="19.85546875" style="155" customWidth="1"/>
    <col min="6150" max="6150" width="16.85546875" style="155" customWidth="1"/>
    <col min="6151" max="6151" width="12.5703125" style="155" customWidth="1"/>
    <col min="6152" max="6152" width="30.85546875" style="155" bestFit="1" customWidth="1"/>
    <col min="6153" max="6402" width="9.140625" style="155"/>
    <col min="6403" max="6403" width="34.140625" style="155" customWidth="1"/>
    <col min="6404" max="6404" width="16.42578125" style="155" customWidth="1"/>
    <col min="6405" max="6405" width="19.85546875" style="155" customWidth="1"/>
    <col min="6406" max="6406" width="16.85546875" style="155" customWidth="1"/>
    <col min="6407" max="6407" width="12.5703125" style="155" customWidth="1"/>
    <col min="6408" max="6408" width="30.85546875" style="155" bestFit="1" customWidth="1"/>
    <col min="6409" max="6658" width="9.140625" style="155"/>
    <col min="6659" max="6659" width="34.140625" style="155" customWidth="1"/>
    <col min="6660" max="6660" width="16.42578125" style="155" customWidth="1"/>
    <col min="6661" max="6661" width="19.85546875" style="155" customWidth="1"/>
    <col min="6662" max="6662" width="16.85546875" style="155" customWidth="1"/>
    <col min="6663" max="6663" width="12.5703125" style="155" customWidth="1"/>
    <col min="6664" max="6664" width="30.85546875" style="155" bestFit="1" customWidth="1"/>
    <col min="6665" max="6914" width="9.140625" style="155"/>
    <col min="6915" max="6915" width="34.140625" style="155" customWidth="1"/>
    <col min="6916" max="6916" width="16.42578125" style="155" customWidth="1"/>
    <col min="6917" max="6917" width="19.85546875" style="155" customWidth="1"/>
    <col min="6918" max="6918" width="16.85546875" style="155" customWidth="1"/>
    <col min="6919" max="6919" width="12.5703125" style="155" customWidth="1"/>
    <col min="6920" max="6920" width="30.85546875" style="155" bestFit="1" customWidth="1"/>
    <col min="6921" max="7170" width="9.140625" style="155"/>
    <col min="7171" max="7171" width="34.140625" style="155" customWidth="1"/>
    <col min="7172" max="7172" width="16.42578125" style="155" customWidth="1"/>
    <col min="7173" max="7173" width="19.85546875" style="155" customWidth="1"/>
    <col min="7174" max="7174" width="16.85546875" style="155" customWidth="1"/>
    <col min="7175" max="7175" width="12.5703125" style="155" customWidth="1"/>
    <col min="7176" max="7176" width="30.85546875" style="155" bestFit="1" customWidth="1"/>
    <col min="7177" max="7426" width="9.140625" style="155"/>
    <col min="7427" max="7427" width="34.140625" style="155" customWidth="1"/>
    <col min="7428" max="7428" width="16.42578125" style="155" customWidth="1"/>
    <col min="7429" max="7429" width="19.85546875" style="155" customWidth="1"/>
    <col min="7430" max="7430" width="16.85546875" style="155" customWidth="1"/>
    <col min="7431" max="7431" width="12.5703125" style="155" customWidth="1"/>
    <col min="7432" max="7432" width="30.85546875" style="155" bestFit="1" customWidth="1"/>
    <col min="7433" max="7682" width="9.140625" style="155"/>
    <col min="7683" max="7683" width="34.140625" style="155" customWidth="1"/>
    <col min="7684" max="7684" width="16.42578125" style="155" customWidth="1"/>
    <col min="7685" max="7685" width="19.85546875" style="155" customWidth="1"/>
    <col min="7686" max="7686" width="16.85546875" style="155" customWidth="1"/>
    <col min="7687" max="7687" width="12.5703125" style="155" customWidth="1"/>
    <col min="7688" max="7688" width="30.85546875" style="155" bestFit="1" customWidth="1"/>
    <col min="7689" max="7938" width="9.140625" style="155"/>
    <col min="7939" max="7939" width="34.140625" style="155" customWidth="1"/>
    <col min="7940" max="7940" width="16.42578125" style="155" customWidth="1"/>
    <col min="7941" max="7941" width="19.85546875" style="155" customWidth="1"/>
    <col min="7942" max="7942" width="16.85546875" style="155" customWidth="1"/>
    <col min="7943" max="7943" width="12.5703125" style="155" customWidth="1"/>
    <col min="7944" max="7944" width="30.85546875" style="155" bestFit="1" customWidth="1"/>
    <col min="7945" max="8194" width="9.140625" style="155"/>
    <col min="8195" max="8195" width="34.140625" style="155" customWidth="1"/>
    <col min="8196" max="8196" width="16.42578125" style="155" customWidth="1"/>
    <col min="8197" max="8197" width="19.85546875" style="155" customWidth="1"/>
    <col min="8198" max="8198" width="16.85546875" style="155" customWidth="1"/>
    <col min="8199" max="8199" width="12.5703125" style="155" customWidth="1"/>
    <col min="8200" max="8200" width="30.85546875" style="155" bestFit="1" customWidth="1"/>
    <col min="8201" max="8450" width="9.140625" style="155"/>
    <col min="8451" max="8451" width="34.140625" style="155" customWidth="1"/>
    <col min="8452" max="8452" width="16.42578125" style="155" customWidth="1"/>
    <col min="8453" max="8453" width="19.85546875" style="155" customWidth="1"/>
    <col min="8454" max="8454" width="16.85546875" style="155" customWidth="1"/>
    <col min="8455" max="8455" width="12.5703125" style="155" customWidth="1"/>
    <col min="8456" max="8456" width="30.85546875" style="155" bestFit="1" customWidth="1"/>
    <col min="8457" max="8706" width="9.140625" style="155"/>
    <col min="8707" max="8707" width="34.140625" style="155" customWidth="1"/>
    <col min="8708" max="8708" width="16.42578125" style="155" customWidth="1"/>
    <col min="8709" max="8709" width="19.85546875" style="155" customWidth="1"/>
    <col min="8710" max="8710" width="16.85546875" style="155" customWidth="1"/>
    <col min="8711" max="8711" width="12.5703125" style="155" customWidth="1"/>
    <col min="8712" max="8712" width="30.85546875" style="155" bestFit="1" customWidth="1"/>
    <col min="8713" max="8962" width="9.140625" style="155"/>
    <col min="8963" max="8963" width="34.140625" style="155" customWidth="1"/>
    <col min="8964" max="8964" width="16.42578125" style="155" customWidth="1"/>
    <col min="8965" max="8965" width="19.85546875" style="155" customWidth="1"/>
    <col min="8966" max="8966" width="16.85546875" style="155" customWidth="1"/>
    <col min="8967" max="8967" width="12.5703125" style="155" customWidth="1"/>
    <col min="8968" max="8968" width="30.85546875" style="155" bestFit="1" customWidth="1"/>
    <col min="8969" max="9218" width="9.140625" style="155"/>
    <col min="9219" max="9219" width="34.140625" style="155" customWidth="1"/>
    <col min="9220" max="9220" width="16.42578125" style="155" customWidth="1"/>
    <col min="9221" max="9221" width="19.85546875" style="155" customWidth="1"/>
    <col min="9222" max="9222" width="16.85546875" style="155" customWidth="1"/>
    <col min="9223" max="9223" width="12.5703125" style="155" customWidth="1"/>
    <col min="9224" max="9224" width="30.85546875" style="155" bestFit="1" customWidth="1"/>
    <col min="9225" max="9474" width="9.140625" style="155"/>
    <col min="9475" max="9475" width="34.140625" style="155" customWidth="1"/>
    <col min="9476" max="9476" width="16.42578125" style="155" customWidth="1"/>
    <col min="9477" max="9477" width="19.85546875" style="155" customWidth="1"/>
    <col min="9478" max="9478" width="16.85546875" style="155" customWidth="1"/>
    <col min="9479" max="9479" width="12.5703125" style="155" customWidth="1"/>
    <col min="9480" max="9480" width="30.85546875" style="155" bestFit="1" customWidth="1"/>
    <col min="9481" max="9730" width="9.140625" style="155"/>
    <col min="9731" max="9731" width="34.140625" style="155" customWidth="1"/>
    <col min="9732" max="9732" width="16.42578125" style="155" customWidth="1"/>
    <col min="9733" max="9733" width="19.85546875" style="155" customWidth="1"/>
    <col min="9734" max="9734" width="16.85546875" style="155" customWidth="1"/>
    <col min="9735" max="9735" width="12.5703125" style="155" customWidth="1"/>
    <col min="9736" max="9736" width="30.85546875" style="155" bestFit="1" customWidth="1"/>
    <col min="9737" max="9986" width="9.140625" style="155"/>
    <col min="9987" max="9987" width="34.140625" style="155" customWidth="1"/>
    <col min="9988" max="9988" width="16.42578125" style="155" customWidth="1"/>
    <col min="9989" max="9989" width="19.85546875" style="155" customWidth="1"/>
    <col min="9990" max="9990" width="16.85546875" style="155" customWidth="1"/>
    <col min="9991" max="9991" width="12.5703125" style="155" customWidth="1"/>
    <col min="9992" max="9992" width="30.85546875" style="155" bestFit="1" customWidth="1"/>
    <col min="9993" max="10242" width="9.140625" style="155"/>
    <col min="10243" max="10243" width="34.140625" style="155" customWidth="1"/>
    <col min="10244" max="10244" width="16.42578125" style="155" customWidth="1"/>
    <col min="10245" max="10245" width="19.85546875" style="155" customWidth="1"/>
    <col min="10246" max="10246" width="16.85546875" style="155" customWidth="1"/>
    <col min="10247" max="10247" width="12.5703125" style="155" customWidth="1"/>
    <col min="10248" max="10248" width="30.85546875" style="155" bestFit="1" customWidth="1"/>
    <col min="10249" max="10498" width="9.140625" style="155"/>
    <col min="10499" max="10499" width="34.140625" style="155" customWidth="1"/>
    <col min="10500" max="10500" width="16.42578125" style="155" customWidth="1"/>
    <col min="10501" max="10501" width="19.85546875" style="155" customWidth="1"/>
    <col min="10502" max="10502" width="16.85546875" style="155" customWidth="1"/>
    <col min="10503" max="10503" width="12.5703125" style="155" customWidth="1"/>
    <col min="10504" max="10504" width="30.85546875" style="155" bestFit="1" customWidth="1"/>
    <col min="10505" max="10754" width="9.140625" style="155"/>
    <col min="10755" max="10755" width="34.140625" style="155" customWidth="1"/>
    <col min="10756" max="10756" width="16.42578125" style="155" customWidth="1"/>
    <col min="10757" max="10757" width="19.85546875" style="155" customWidth="1"/>
    <col min="10758" max="10758" width="16.85546875" style="155" customWidth="1"/>
    <col min="10759" max="10759" width="12.5703125" style="155" customWidth="1"/>
    <col min="10760" max="10760" width="30.85546875" style="155" bestFit="1" customWidth="1"/>
    <col min="10761" max="11010" width="9.140625" style="155"/>
    <col min="11011" max="11011" width="34.140625" style="155" customWidth="1"/>
    <col min="11012" max="11012" width="16.42578125" style="155" customWidth="1"/>
    <col min="11013" max="11013" width="19.85546875" style="155" customWidth="1"/>
    <col min="11014" max="11014" width="16.85546875" style="155" customWidth="1"/>
    <col min="11015" max="11015" width="12.5703125" style="155" customWidth="1"/>
    <col min="11016" max="11016" width="30.85546875" style="155" bestFit="1" customWidth="1"/>
    <col min="11017" max="11266" width="9.140625" style="155"/>
    <col min="11267" max="11267" width="34.140625" style="155" customWidth="1"/>
    <col min="11268" max="11268" width="16.42578125" style="155" customWidth="1"/>
    <col min="11269" max="11269" width="19.85546875" style="155" customWidth="1"/>
    <col min="11270" max="11270" width="16.85546875" style="155" customWidth="1"/>
    <col min="11271" max="11271" width="12.5703125" style="155" customWidth="1"/>
    <col min="11272" max="11272" width="30.85546875" style="155" bestFit="1" customWidth="1"/>
    <col min="11273" max="11522" width="9.140625" style="155"/>
    <col min="11523" max="11523" width="34.140625" style="155" customWidth="1"/>
    <col min="11524" max="11524" width="16.42578125" style="155" customWidth="1"/>
    <col min="11525" max="11525" width="19.85546875" style="155" customWidth="1"/>
    <col min="11526" max="11526" width="16.85546875" style="155" customWidth="1"/>
    <col min="11527" max="11527" width="12.5703125" style="155" customWidth="1"/>
    <col min="11528" max="11528" width="30.85546875" style="155" bestFit="1" customWidth="1"/>
    <col min="11529" max="11778" width="9.140625" style="155"/>
    <col min="11779" max="11779" width="34.140625" style="155" customWidth="1"/>
    <col min="11780" max="11780" width="16.42578125" style="155" customWidth="1"/>
    <col min="11781" max="11781" width="19.85546875" style="155" customWidth="1"/>
    <col min="11782" max="11782" width="16.85546875" style="155" customWidth="1"/>
    <col min="11783" max="11783" width="12.5703125" style="155" customWidth="1"/>
    <col min="11784" max="11784" width="30.85546875" style="155" bestFit="1" customWidth="1"/>
    <col min="11785" max="12034" width="9.140625" style="155"/>
    <col min="12035" max="12035" width="34.140625" style="155" customWidth="1"/>
    <col min="12036" max="12036" width="16.42578125" style="155" customWidth="1"/>
    <col min="12037" max="12037" width="19.85546875" style="155" customWidth="1"/>
    <col min="12038" max="12038" width="16.85546875" style="155" customWidth="1"/>
    <col min="12039" max="12039" width="12.5703125" style="155" customWidth="1"/>
    <col min="12040" max="12040" width="30.85546875" style="155" bestFit="1" customWidth="1"/>
    <col min="12041" max="12290" width="9.140625" style="155"/>
    <col min="12291" max="12291" width="34.140625" style="155" customWidth="1"/>
    <col min="12292" max="12292" width="16.42578125" style="155" customWidth="1"/>
    <col min="12293" max="12293" width="19.85546875" style="155" customWidth="1"/>
    <col min="12294" max="12294" width="16.85546875" style="155" customWidth="1"/>
    <col min="12295" max="12295" width="12.5703125" style="155" customWidth="1"/>
    <col min="12296" max="12296" width="30.85546875" style="155" bestFit="1" customWidth="1"/>
    <col min="12297" max="12546" width="9.140625" style="155"/>
    <col min="12547" max="12547" width="34.140625" style="155" customWidth="1"/>
    <col min="12548" max="12548" width="16.42578125" style="155" customWidth="1"/>
    <col min="12549" max="12549" width="19.85546875" style="155" customWidth="1"/>
    <col min="12550" max="12550" width="16.85546875" style="155" customWidth="1"/>
    <col min="12551" max="12551" width="12.5703125" style="155" customWidth="1"/>
    <col min="12552" max="12552" width="30.85546875" style="155" bestFit="1" customWidth="1"/>
    <col min="12553" max="12802" width="9.140625" style="155"/>
    <col min="12803" max="12803" width="34.140625" style="155" customWidth="1"/>
    <col min="12804" max="12804" width="16.42578125" style="155" customWidth="1"/>
    <col min="12805" max="12805" width="19.85546875" style="155" customWidth="1"/>
    <col min="12806" max="12806" width="16.85546875" style="155" customWidth="1"/>
    <col min="12807" max="12807" width="12.5703125" style="155" customWidth="1"/>
    <col min="12808" max="12808" width="30.85546875" style="155" bestFit="1" customWidth="1"/>
    <col min="12809" max="13058" width="9.140625" style="155"/>
    <col min="13059" max="13059" width="34.140625" style="155" customWidth="1"/>
    <col min="13060" max="13060" width="16.42578125" style="155" customWidth="1"/>
    <col min="13061" max="13061" width="19.85546875" style="155" customWidth="1"/>
    <col min="13062" max="13062" width="16.85546875" style="155" customWidth="1"/>
    <col min="13063" max="13063" width="12.5703125" style="155" customWidth="1"/>
    <col min="13064" max="13064" width="30.85546875" style="155" bestFit="1" customWidth="1"/>
    <col min="13065" max="13314" width="9.140625" style="155"/>
    <col min="13315" max="13315" width="34.140625" style="155" customWidth="1"/>
    <col min="13316" max="13316" width="16.42578125" style="155" customWidth="1"/>
    <col min="13317" max="13317" width="19.85546875" style="155" customWidth="1"/>
    <col min="13318" max="13318" width="16.85546875" style="155" customWidth="1"/>
    <col min="13319" max="13319" width="12.5703125" style="155" customWidth="1"/>
    <col min="13320" max="13320" width="30.85546875" style="155" bestFit="1" customWidth="1"/>
    <col min="13321" max="13570" width="9.140625" style="155"/>
    <col min="13571" max="13571" width="34.140625" style="155" customWidth="1"/>
    <col min="13572" max="13572" width="16.42578125" style="155" customWidth="1"/>
    <col min="13573" max="13573" width="19.85546875" style="155" customWidth="1"/>
    <col min="13574" max="13574" width="16.85546875" style="155" customWidth="1"/>
    <col min="13575" max="13575" width="12.5703125" style="155" customWidth="1"/>
    <col min="13576" max="13576" width="30.85546875" style="155" bestFit="1" customWidth="1"/>
    <col min="13577" max="13826" width="9.140625" style="155"/>
    <col min="13827" max="13827" width="34.140625" style="155" customWidth="1"/>
    <col min="13828" max="13828" width="16.42578125" style="155" customWidth="1"/>
    <col min="13829" max="13829" width="19.85546875" style="155" customWidth="1"/>
    <col min="13830" max="13830" width="16.85546875" style="155" customWidth="1"/>
    <col min="13831" max="13831" width="12.5703125" style="155" customWidth="1"/>
    <col min="13832" max="13832" width="30.85546875" style="155" bestFit="1" customWidth="1"/>
    <col min="13833" max="14082" width="9.140625" style="155"/>
    <col min="14083" max="14083" width="34.140625" style="155" customWidth="1"/>
    <col min="14084" max="14084" width="16.42578125" style="155" customWidth="1"/>
    <col min="14085" max="14085" width="19.85546875" style="155" customWidth="1"/>
    <col min="14086" max="14086" width="16.85546875" style="155" customWidth="1"/>
    <col min="14087" max="14087" width="12.5703125" style="155" customWidth="1"/>
    <col min="14088" max="14088" width="30.85546875" style="155" bestFit="1" customWidth="1"/>
    <col min="14089" max="14338" width="9.140625" style="155"/>
    <col min="14339" max="14339" width="34.140625" style="155" customWidth="1"/>
    <col min="14340" max="14340" width="16.42578125" style="155" customWidth="1"/>
    <col min="14341" max="14341" width="19.85546875" style="155" customWidth="1"/>
    <col min="14342" max="14342" width="16.85546875" style="155" customWidth="1"/>
    <col min="14343" max="14343" width="12.5703125" style="155" customWidth="1"/>
    <col min="14344" max="14344" width="30.85546875" style="155" bestFit="1" customWidth="1"/>
    <col min="14345" max="14594" width="9.140625" style="155"/>
    <col min="14595" max="14595" width="34.140625" style="155" customWidth="1"/>
    <col min="14596" max="14596" width="16.42578125" style="155" customWidth="1"/>
    <col min="14597" max="14597" width="19.85546875" style="155" customWidth="1"/>
    <col min="14598" max="14598" width="16.85546875" style="155" customWidth="1"/>
    <col min="14599" max="14599" width="12.5703125" style="155" customWidth="1"/>
    <col min="14600" max="14600" width="30.85546875" style="155" bestFit="1" customWidth="1"/>
    <col min="14601" max="14850" width="9.140625" style="155"/>
    <col min="14851" max="14851" width="34.140625" style="155" customWidth="1"/>
    <col min="14852" max="14852" width="16.42578125" style="155" customWidth="1"/>
    <col min="14853" max="14853" width="19.85546875" style="155" customWidth="1"/>
    <col min="14854" max="14854" width="16.85546875" style="155" customWidth="1"/>
    <col min="14855" max="14855" width="12.5703125" style="155" customWidth="1"/>
    <col min="14856" max="14856" width="30.85546875" style="155" bestFit="1" customWidth="1"/>
    <col min="14857" max="15106" width="9.140625" style="155"/>
    <col min="15107" max="15107" width="34.140625" style="155" customWidth="1"/>
    <col min="15108" max="15108" width="16.42578125" style="155" customWidth="1"/>
    <col min="15109" max="15109" width="19.85546875" style="155" customWidth="1"/>
    <col min="15110" max="15110" width="16.85546875" style="155" customWidth="1"/>
    <col min="15111" max="15111" width="12.5703125" style="155" customWidth="1"/>
    <col min="15112" max="15112" width="30.85546875" style="155" bestFit="1" customWidth="1"/>
    <col min="15113" max="15362" width="9.140625" style="155"/>
    <col min="15363" max="15363" width="34.140625" style="155" customWidth="1"/>
    <col min="15364" max="15364" width="16.42578125" style="155" customWidth="1"/>
    <col min="15365" max="15365" width="19.85546875" style="155" customWidth="1"/>
    <col min="15366" max="15366" width="16.85546875" style="155" customWidth="1"/>
    <col min="15367" max="15367" width="12.5703125" style="155" customWidth="1"/>
    <col min="15368" max="15368" width="30.85546875" style="155" bestFit="1" customWidth="1"/>
    <col min="15369" max="15618" width="9.140625" style="155"/>
    <col min="15619" max="15619" width="34.140625" style="155" customWidth="1"/>
    <col min="15620" max="15620" width="16.42578125" style="155" customWidth="1"/>
    <col min="15621" max="15621" width="19.85546875" style="155" customWidth="1"/>
    <col min="15622" max="15622" width="16.85546875" style="155" customWidth="1"/>
    <col min="15623" max="15623" width="12.5703125" style="155" customWidth="1"/>
    <col min="15624" max="15624" width="30.85546875" style="155" bestFit="1" customWidth="1"/>
    <col min="15625" max="15874" width="9.140625" style="155"/>
    <col min="15875" max="15875" width="34.140625" style="155" customWidth="1"/>
    <col min="15876" max="15876" width="16.42578125" style="155" customWidth="1"/>
    <col min="15877" max="15877" width="19.85546875" style="155" customWidth="1"/>
    <col min="15878" max="15878" width="16.85546875" style="155" customWidth="1"/>
    <col min="15879" max="15879" width="12.5703125" style="155" customWidth="1"/>
    <col min="15880" max="15880" width="30.85546875" style="155" bestFit="1" customWidth="1"/>
    <col min="15881" max="16130" width="9.140625" style="155"/>
    <col min="16131" max="16131" width="34.140625" style="155" customWidth="1"/>
    <col min="16132" max="16132" width="16.42578125" style="155" customWidth="1"/>
    <col min="16133" max="16133" width="19.85546875" style="155" customWidth="1"/>
    <col min="16134" max="16134" width="16.85546875" style="155" customWidth="1"/>
    <col min="16135" max="16135" width="12.5703125" style="155" customWidth="1"/>
    <col min="16136" max="16136" width="30.85546875" style="155" bestFit="1" customWidth="1"/>
    <col min="16137" max="16384" width="9.140625" style="155"/>
  </cols>
  <sheetData>
    <row r="1" spans="1:9" ht="15.75" thickBot="1"/>
    <row r="2" spans="1:9" ht="15.75" thickBot="1">
      <c r="C2" s="6030" t="s">
        <v>2444</v>
      </c>
      <c r="D2" s="6031"/>
      <c r="E2" s="6031"/>
      <c r="F2" s="6031"/>
      <c r="G2" s="6031"/>
      <c r="H2" s="6032"/>
    </row>
    <row r="4" spans="1:9" ht="29.25" customHeight="1">
      <c r="A4" s="1864" t="s">
        <v>101</v>
      </c>
      <c r="B4" s="1867" t="s">
        <v>2445</v>
      </c>
      <c r="C4" s="1867" t="s">
        <v>2446</v>
      </c>
      <c r="D4" s="1867" t="s">
        <v>2447</v>
      </c>
      <c r="E4" s="1867" t="s">
        <v>2448</v>
      </c>
      <c r="F4" s="1867" t="s">
        <v>2449</v>
      </c>
      <c r="G4" s="1867" t="s">
        <v>231</v>
      </c>
      <c r="H4" s="1867" t="s">
        <v>2450</v>
      </c>
    </row>
    <row r="5" spans="1:9" ht="33.75" customHeight="1">
      <c r="A5" s="1865">
        <v>1</v>
      </c>
      <c r="B5" s="5930" t="s">
        <v>2451</v>
      </c>
      <c r="C5" s="1868" t="s">
        <v>1932</v>
      </c>
      <c r="D5" s="1869">
        <v>1084.78</v>
      </c>
      <c r="E5" s="1869" t="s">
        <v>2452</v>
      </c>
      <c r="F5" s="1869">
        <v>1084.79</v>
      </c>
      <c r="G5" s="1869">
        <f>F5-D5</f>
        <v>9.9999999999909051E-3</v>
      </c>
      <c r="H5" s="1869" t="s">
        <v>2453</v>
      </c>
    </row>
    <row r="6" spans="1:9">
      <c r="A6" s="1866">
        <f>A5+1</f>
        <v>2</v>
      </c>
      <c r="B6" s="6413"/>
      <c r="C6" s="1868" t="s">
        <v>2454</v>
      </c>
      <c r="D6" s="1869">
        <v>73.86</v>
      </c>
      <c r="E6" s="1869">
        <v>73.86</v>
      </c>
      <c r="F6" s="1869">
        <v>73.86</v>
      </c>
      <c r="G6" s="1869"/>
      <c r="H6" s="1869"/>
    </row>
    <row r="7" spans="1:9">
      <c r="A7" s="1866">
        <f t="shared" ref="A7:A63" si="0">A6+1</f>
        <v>3</v>
      </c>
      <c r="B7" s="6413"/>
      <c r="C7" s="1868" t="s">
        <v>47</v>
      </c>
      <c r="D7" s="1869">
        <f>D5+D6</f>
        <v>1158.6399999999999</v>
      </c>
      <c r="E7" s="1869">
        <v>1158.6400000000001</v>
      </c>
      <c r="F7" s="1869">
        <f>F5+F6</f>
        <v>1158.6499999999999</v>
      </c>
      <c r="G7" s="1869"/>
      <c r="H7" s="1869"/>
    </row>
    <row r="8" spans="1:9">
      <c r="A8" s="1866">
        <f t="shared" si="0"/>
        <v>4</v>
      </c>
      <c r="B8" s="6413"/>
      <c r="C8" s="1868" t="s">
        <v>2455</v>
      </c>
      <c r="D8" s="1869">
        <v>2.97</v>
      </c>
      <c r="E8" s="1869">
        <v>2.97</v>
      </c>
      <c r="F8" s="1869">
        <v>2.97</v>
      </c>
      <c r="G8" s="1869"/>
      <c r="H8" s="1869"/>
    </row>
    <row r="9" spans="1:9">
      <c r="A9" s="1866">
        <f t="shared" si="0"/>
        <v>5</v>
      </c>
      <c r="B9" s="6413"/>
      <c r="C9" s="1868" t="s">
        <v>47</v>
      </c>
      <c r="D9" s="1869">
        <f>D7-D8</f>
        <v>1155.6699999999998</v>
      </c>
      <c r="E9" s="1869">
        <f>E7-E8</f>
        <v>1155.67</v>
      </c>
      <c r="F9" s="1869">
        <f>F7-F8</f>
        <v>1155.6799999999998</v>
      </c>
      <c r="G9" s="1869"/>
      <c r="H9" s="1869"/>
    </row>
    <row r="10" spans="1:9">
      <c r="A10" s="1866">
        <f t="shared" si="0"/>
        <v>6</v>
      </c>
      <c r="B10" s="6413"/>
      <c r="C10" s="1868" t="s">
        <v>2456</v>
      </c>
      <c r="D10" s="1869"/>
      <c r="E10" s="1869"/>
      <c r="F10" s="1869">
        <v>1.56</v>
      </c>
      <c r="G10" s="1869"/>
      <c r="H10" s="1869"/>
    </row>
    <row r="11" spans="1:9">
      <c r="A11" s="1866">
        <f t="shared" si="0"/>
        <v>7</v>
      </c>
      <c r="B11" s="5831"/>
      <c r="C11" s="1870" t="s">
        <v>47</v>
      </c>
      <c r="D11" s="1871">
        <f>D9+D10</f>
        <v>1155.6699999999998</v>
      </c>
      <c r="E11" s="1871">
        <f>E9</f>
        <v>1155.67</v>
      </c>
      <c r="F11" s="1871">
        <f>F9+F10</f>
        <v>1157.2399999999998</v>
      </c>
      <c r="G11" s="1871"/>
      <c r="H11" s="1871"/>
      <c r="I11" s="155" t="s">
        <v>251</v>
      </c>
    </row>
    <row r="12" spans="1:9">
      <c r="A12" s="1866">
        <f>A11+1</f>
        <v>8</v>
      </c>
      <c r="B12" s="5930" t="s">
        <v>2457</v>
      </c>
      <c r="C12" s="1872" t="s">
        <v>1932</v>
      </c>
      <c r="D12" s="1869">
        <f>D11</f>
        <v>1155.6699999999998</v>
      </c>
      <c r="E12" s="1869">
        <f>E11</f>
        <v>1155.67</v>
      </c>
      <c r="F12" s="1869">
        <f>F11</f>
        <v>1157.2399999999998</v>
      </c>
      <c r="G12" s="1869">
        <f>F12-D12</f>
        <v>1.5699999999999363</v>
      </c>
      <c r="H12" s="1869" t="s">
        <v>2458</v>
      </c>
    </row>
    <row r="13" spans="1:9">
      <c r="A13" s="1866">
        <f t="shared" si="0"/>
        <v>9</v>
      </c>
      <c r="B13" s="6413"/>
      <c r="C13" s="1868" t="s">
        <v>2454</v>
      </c>
      <c r="D13" s="1869">
        <v>143.55000000000001</v>
      </c>
      <c r="E13" s="1869">
        <v>143.55000000000001</v>
      </c>
      <c r="F13" s="1869">
        <v>143.55000000000001</v>
      </c>
      <c r="G13" s="1869"/>
      <c r="H13" s="1869"/>
    </row>
    <row r="14" spans="1:9">
      <c r="A14" s="1866">
        <f t="shared" si="0"/>
        <v>10</v>
      </c>
      <c r="B14" s="6413"/>
      <c r="C14" s="1868" t="s">
        <v>47</v>
      </c>
      <c r="D14" s="1869">
        <f>D12+D13</f>
        <v>1299.2199999999998</v>
      </c>
      <c r="E14" s="1869">
        <f>E12+E13</f>
        <v>1299.22</v>
      </c>
      <c r="F14" s="1869">
        <f>F12+F13</f>
        <v>1300.7899999999997</v>
      </c>
      <c r="G14" s="1869"/>
      <c r="H14" s="1869"/>
    </row>
    <row r="15" spans="1:9">
      <c r="A15" s="1866">
        <f t="shared" si="0"/>
        <v>11</v>
      </c>
      <c r="B15" s="6413"/>
      <c r="C15" s="1868" t="s">
        <v>2455</v>
      </c>
      <c r="D15" s="1869">
        <v>3.99</v>
      </c>
      <c r="E15" s="1869">
        <v>3.99</v>
      </c>
      <c r="F15" s="1869">
        <v>3.99</v>
      </c>
      <c r="G15" s="1869"/>
      <c r="H15" s="1869"/>
    </row>
    <row r="16" spans="1:9">
      <c r="A16" s="1866">
        <f t="shared" si="0"/>
        <v>12</v>
      </c>
      <c r="B16" s="6413"/>
      <c r="C16" s="1868" t="s">
        <v>2459</v>
      </c>
      <c r="D16" s="1869"/>
      <c r="E16" s="1869"/>
      <c r="F16" s="1869">
        <v>11.05</v>
      </c>
      <c r="G16" s="1869"/>
      <c r="H16" s="1869"/>
    </row>
    <row r="17" spans="1:10">
      <c r="A17" s="1866">
        <f t="shared" si="0"/>
        <v>13</v>
      </c>
      <c r="B17" s="5831"/>
      <c r="C17" s="1870" t="s">
        <v>47</v>
      </c>
      <c r="D17" s="1871">
        <f>D14-D15</f>
        <v>1295.2299999999998</v>
      </c>
      <c r="E17" s="1871">
        <f>E14-E15</f>
        <v>1295.23</v>
      </c>
      <c r="F17" s="1871">
        <f>F14-F15+F16</f>
        <v>1307.8499999999997</v>
      </c>
      <c r="G17" s="1871">
        <f>F17-D17</f>
        <v>12.619999999999891</v>
      </c>
      <c r="H17" s="1871" t="s">
        <v>2460</v>
      </c>
    </row>
    <row r="18" spans="1:10">
      <c r="A18" s="1866">
        <f t="shared" si="0"/>
        <v>14</v>
      </c>
      <c r="B18" s="6412" t="s">
        <v>2461</v>
      </c>
      <c r="C18" s="1868" t="s">
        <v>1932</v>
      </c>
      <c r="D18" s="1873">
        <v>1295.23</v>
      </c>
      <c r="E18" s="1869">
        <v>1295.23</v>
      </c>
      <c r="F18" s="1869">
        <f>F17</f>
        <v>1307.8499999999997</v>
      </c>
      <c r="G18" s="1873">
        <f>F18-D18</f>
        <v>12.619999999999663</v>
      </c>
      <c r="H18" s="1869" t="s">
        <v>2462</v>
      </c>
    </row>
    <row r="19" spans="1:10">
      <c r="A19" s="1866">
        <f t="shared" si="0"/>
        <v>15</v>
      </c>
      <c r="B19" s="6413"/>
      <c r="C19" s="1868" t="s">
        <v>2454</v>
      </c>
      <c r="D19" s="1869">
        <v>122.56</v>
      </c>
      <c r="E19" s="1869">
        <v>122.56</v>
      </c>
      <c r="F19" s="1869">
        <v>122.56</v>
      </c>
      <c r="G19" s="1869"/>
      <c r="H19" s="1869"/>
    </row>
    <row r="20" spans="1:10" ht="15" customHeight="1">
      <c r="A20" s="1866">
        <f t="shared" si="0"/>
        <v>16</v>
      </c>
      <c r="B20" s="6413"/>
      <c r="C20" s="1868" t="s">
        <v>47</v>
      </c>
      <c r="D20" s="1874">
        <f>D19+D18</f>
        <v>1417.79</v>
      </c>
      <c r="E20" s="1874">
        <f>E19+E18</f>
        <v>1417.79</v>
      </c>
      <c r="F20" s="1874">
        <f>F19+F18</f>
        <v>1430.4099999999996</v>
      </c>
      <c r="G20" s="1875"/>
      <c r="H20" s="1875"/>
    </row>
    <row r="21" spans="1:10" ht="30">
      <c r="A21" s="1866">
        <f t="shared" si="0"/>
        <v>17</v>
      </c>
      <c r="B21" s="6413"/>
      <c r="C21" s="1868" t="s">
        <v>2455</v>
      </c>
      <c r="D21" s="1876">
        <v>6.24</v>
      </c>
      <c r="E21" s="1876">
        <v>6.24</v>
      </c>
      <c r="F21" s="1876">
        <f>6.24+1.63+0.75</f>
        <v>8.620000000000001</v>
      </c>
      <c r="G21" s="1876"/>
      <c r="H21" s="1876" t="s">
        <v>2463</v>
      </c>
    </row>
    <row r="22" spans="1:10">
      <c r="A22" s="1866">
        <f t="shared" si="0"/>
        <v>18</v>
      </c>
      <c r="B22" s="6413"/>
      <c r="C22" s="1868" t="s">
        <v>47</v>
      </c>
      <c r="D22" s="1877">
        <f>D20-D21</f>
        <v>1411.55</v>
      </c>
      <c r="E22" s="1877">
        <f>E20-E21</f>
        <v>1411.55</v>
      </c>
      <c r="F22" s="1877">
        <f>F20-F21</f>
        <v>1421.7899999999997</v>
      </c>
      <c r="G22" s="1878"/>
      <c r="H22" s="1878"/>
    </row>
    <row r="23" spans="1:10">
      <c r="A23" s="1866">
        <f t="shared" si="0"/>
        <v>19</v>
      </c>
      <c r="B23" s="6413"/>
      <c r="C23" s="1868" t="s">
        <v>2464</v>
      </c>
      <c r="D23" s="1874">
        <v>0.47</v>
      </c>
      <c r="E23" s="1874">
        <v>0.47</v>
      </c>
      <c r="F23" s="1874">
        <v>0.47</v>
      </c>
      <c r="G23" s="1874"/>
      <c r="H23" s="1875"/>
      <c r="I23" s="1879">
        <f>F22-1412.04</f>
        <v>9.7499999999997726</v>
      </c>
    </row>
    <row r="24" spans="1:10">
      <c r="A24" s="1866">
        <f t="shared" si="0"/>
        <v>20</v>
      </c>
      <c r="B24" s="6413"/>
      <c r="C24" s="1868" t="s">
        <v>2465</v>
      </c>
      <c r="D24" s="1874"/>
      <c r="E24" s="1874"/>
      <c r="F24" s="1874">
        <v>9.43</v>
      </c>
      <c r="G24" s="1874"/>
      <c r="H24" s="1875"/>
      <c r="I24" s="1879"/>
    </row>
    <row r="25" spans="1:10">
      <c r="A25" s="1866">
        <f t="shared" si="0"/>
        <v>21</v>
      </c>
      <c r="B25" s="5831"/>
      <c r="C25" s="1870" t="s">
        <v>47</v>
      </c>
      <c r="D25" s="1880">
        <f>D22+D23</f>
        <v>1412.02</v>
      </c>
      <c r="E25" s="1880">
        <f>E22+E23</f>
        <v>1412.02</v>
      </c>
      <c r="F25" s="1880">
        <f>F22+F23+F24</f>
        <v>1431.6899999999998</v>
      </c>
      <c r="G25" s="1880"/>
      <c r="H25" s="1871"/>
      <c r="I25" s="1879"/>
    </row>
    <row r="26" spans="1:10">
      <c r="A26" s="1866">
        <f t="shared" si="0"/>
        <v>22</v>
      </c>
      <c r="B26" s="6412" t="s">
        <v>2466</v>
      </c>
      <c r="C26" s="1868" t="s">
        <v>2467</v>
      </c>
      <c r="D26" s="1874">
        <f>D25</f>
        <v>1412.02</v>
      </c>
      <c r="E26" s="1874">
        <f>E25</f>
        <v>1412.02</v>
      </c>
      <c r="F26" s="1874">
        <f>F25</f>
        <v>1431.6899999999998</v>
      </c>
      <c r="G26" s="1874">
        <f>F26-D26</f>
        <v>19.669999999999845</v>
      </c>
      <c r="H26" s="1881" t="s">
        <v>2468</v>
      </c>
      <c r="I26" s="1879"/>
      <c r="J26" s="1879"/>
    </row>
    <row r="27" spans="1:10">
      <c r="A27" s="1866">
        <f t="shared" si="0"/>
        <v>23</v>
      </c>
      <c r="B27" s="6413"/>
      <c r="C27" s="1868" t="s">
        <v>2454</v>
      </c>
      <c r="D27" s="1869">
        <v>136.04</v>
      </c>
      <c r="E27" s="1869">
        <v>136.04</v>
      </c>
      <c r="F27" s="1869">
        <v>136.04</v>
      </c>
      <c r="G27" s="1869"/>
      <c r="H27" s="1869" t="s">
        <v>2469</v>
      </c>
    </row>
    <row r="28" spans="1:10">
      <c r="A28" s="1866">
        <f t="shared" si="0"/>
        <v>24</v>
      </c>
      <c r="B28" s="6413"/>
      <c r="C28" s="1868" t="s">
        <v>47</v>
      </c>
      <c r="D28" s="1873">
        <f>D26+D27</f>
        <v>1548.06</v>
      </c>
      <c r="E28" s="1873">
        <f>E26+E27</f>
        <v>1548.06</v>
      </c>
      <c r="F28" s="1873">
        <f>F26+F27</f>
        <v>1567.7299999999998</v>
      </c>
      <c r="G28" s="1873"/>
      <c r="H28" s="1869" t="s">
        <v>2470</v>
      </c>
    </row>
    <row r="29" spans="1:10">
      <c r="A29" s="1866">
        <f t="shared" si="0"/>
        <v>25</v>
      </c>
      <c r="B29" s="6413"/>
      <c r="C29" s="1868" t="s">
        <v>2455</v>
      </c>
      <c r="D29" s="1869">
        <v>2.96</v>
      </c>
      <c r="E29" s="1869">
        <v>2.96</v>
      </c>
      <c r="F29" s="1869">
        <v>2.96</v>
      </c>
      <c r="G29" s="1869"/>
      <c r="H29" s="1875" t="s">
        <v>2471</v>
      </c>
    </row>
    <row r="30" spans="1:10">
      <c r="A30" s="1866">
        <f t="shared" si="0"/>
        <v>26</v>
      </c>
      <c r="B30" s="6413"/>
      <c r="C30" s="1868" t="s">
        <v>2472</v>
      </c>
      <c r="D30" s="1869"/>
      <c r="E30" s="1869"/>
      <c r="F30" s="1869">
        <v>10.24</v>
      </c>
      <c r="G30" s="1869"/>
      <c r="H30" s="1875"/>
    </row>
    <row r="31" spans="1:10">
      <c r="A31" s="1866">
        <f t="shared" si="0"/>
        <v>27</v>
      </c>
      <c r="B31" s="6413"/>
      <c r="C31" s="1868" t="s">
        <v>2464</v>
      </c>
      <c r="D31" s="1869"/>
      <c r="E31" s="1869"/>
      <c r="F31" s="1873">
        <v>0.3</v>
      </c>
      <c r="G31" s="1869"/>
      <c r="H31" s="1875"/>
    </row>
    <row r="32" spans="1:10">
      <c r="A32" s="1866">
        <f t="shared" si="0"/>
        <v>28</v>
      </c>
      <c r="B32" s="5831"/>
      <c r="C32" s="1870" t="s">
        <v>47</v>
      </c>
      <c r="D32" s="1880">
        <f>D28-D29</f>
        <v>1545.1</v>
      </c>
      <c r="E32" s="1880">
        <f>E28-E29</f>
        <v>1545.1</v>
      </c>
      <c r="F32" s="1880">
        <f>F28-F29+F30+F31</f>
        <v>1575.3099999999997</v>
      </c>
      <c r="G32" s="1880">
        <f>F32-D32</f>
        <v>30.209999999999809</v>
      </c>
      <c r="H32" s="1882" t="s">
        <v>2473</v>
      </c>
    </row>
    <row r="33" spans="1:10">
      <c r="A33" s="1866">
        <f t="shared" si="0"/>
        <v>29</v>
      </c>
      <c r="B33" s="6412" t="s">
        <v>2474</v>
      </c>
      <c r="C33" s="1868" t="s">
        <v>2475</v>
      </c>
      <c r="D33" s="1873">
        <f>D32</f>
        <v>1545.1</v>
      </c>
      <c r="E33" s="1873">
        <f>E32</f>
        <v>1545.1</v>
      </c>
      <c r="F33" s="1873">
        <f>F32</f>
        <v>1575.3099999999997</v>
      </c>
      <c r="G33" s="1873">
        <f>F33-D33</f>
        <v>30.209999999999809</v>
      </c>
      <c r="H33" s="1875"/>
    </row>
    <row r="34" spans="1:10">
      <c r="A34" s="1866">
        <f t="shared" si="0"/>
        <v>30</v>
      </c>
      <c r="B34" s="6413"/>
      <c r="C34" s="1868" t="s">
        <v>2454</v>
      </c>
      <c r="D34" s="1873">
        <v>199.76</v>
      </c>
      <c r="E34" s="1873">
        <v>199.76</v>
      </c>
      <c r="F34" s="1873">
        <v>199.76</v>
      </c>
      <c r="G34" s="1869"/>
      <c r="H34" s="1869"/>
    </row>
    <row r="35" spans="1:10">
      <c r="A35" s="1866">
        <f t="shared" si="0"/>
        <v>31</v>
      </c>
      <c r="B35" s="6413"/>
      <c r="C35" s="1868" t="s">
        <v>47</v>
      </c>
      <c r="D35" s="1883">
        <f>D33+D34</f>
        <v>1744.86</v>
      </c>
      <c r="E35" s="1883">
        <f>E33+E34</f>
        <v>1744.86</v>
      </c>
      <c r="F35" s="1883">
        <f>F33+F34</f>
        <v>1775.0699999999997</v>
      </c>
      <c r="G35" s="1869"/>
      <c r="H35" s="1869"/>
    </row>
    <row r="36" spans="1:10">
      <c r="A36" s="1866">
        <f t="shared" si="0"/>
        <v>32</v>
      </c>
      <c r="B36" s="6413"/>
      <c r="C36" s="1868" t="s">
        <v>2455</v>
      </c>
      <c r="D36" s="1869">
        <v>6.35</v>
      </c>
      <c r="E36" s="1869">
        <v>6.35</v>
      </c>
      <c r="F36" s="1869">
        <v>6.35</v>
      </c>
      <c r="G36" s="1869"/>
      <c r="H36" s="1875"/>
    </row>
    <row r="37" spans="1:10">
      <c r="A37" s="1866">
        <f t="shared" si="0"/>
        <v>33</v>
      </c>
      <c r="B37" s="6413"/>
      <c r="C37" s="1868" t="s">
        <v>2476</v>
      </c>
      <c r="D37" s="1869"/>
      <c r="E37" s="1869"/>
      <c r="F37" s="1869">
        <v>30.21</v>
      </c>
      <c r="G37" s="1869"/>
      <c r="H37" s="1875"/>
    </row>
    <row r="38" spans="1:10">
      <c r="A38" s="1866">
        <f t="shared" si="0"/>
        <v>34</v>
      </c>
      <c r="B38" s="6413"/>
      <c r="C38" s="1868" t="s">
        <v>47</v>
      </c>
      <c r="D38" s="1873">
        <f>D35-D36</f>
        <v>1738.51</v>
      </c>
      <c r="E38" s="1873">
        <f>E35-E36</f>
        <v>1738.51</v>
      </c>
      <c r="F38" s="1873">
        <f>F35-F36-F37</f>
        <v>1738.5099999999998</v>
      </c>
      <c r="G38" s="1883"/>
      <c r="H38" s="1869"/>
      <c r="I38" s="1879"/>
      <c r="J38" s="1879"/>
    </row>
    <row r="39" spans="1:10">
      <c r="A39" s="1866">
        <f t="shared" si="0"/>
        <v>35</v>
      </c>
      <c r="B39" s="6413"/>
      <c r="C39" s="1868" t="s">
        <v>2477</v>
      </c>
      <c r="D39" s="1873"/>
      <c r="E39" s="1873"/>
      <c r="F39" s="1873">
        <v>10.99</v>
      </c>
      <c r="G39" s="1883"/>
      <c r="H39" s="1875"/>
      <c r="I39" s="1879"/>
      <c r="J39" s="1879"/>
    </row>
    <row r="40" spans="1:10">
      <c r="A40" s="1866">
        <f t="shared" si="0"/>
        <v>36</v>
      </c>
      <c r="B40" s="5831"/>
      <c r="C40" s="1870" t="s">
        <v>47</v>
      </c>
      <c r="D40" s="1880">
        <f>D38</f>
        <v>1738.51</v>
      </c>
      <c r="E40" s="1880">
        <f>E38</f>
        <v>1738.51</v>
      </c>
      <c r="F40" s="1880">
        <f>F38+F39</f>
        <v>1749.4999999999998</v>
      </c>
      <c r="G40" s="1880">
        <f>F40-D40</f>
        <v>10.989999999999782</v>
      </c>
      <c r="H40" s="1882"/>
    </row>
    <row r="41" spans="1:10">
      <c r="A41" s="1866">
        <f t="shared" si="0"/>
        <v>37</v>
      </c>
      <c r="B41" s="6412" t="s">
        <v>380</v>
      </c>
      <c r="C41" s="1868" t="s">
        <v>1932</v>
      </c>
      <c r="D41" s="1873">
        <f>D38</f>
        <v>1738.51</v>
      </c>
      <c r="E41" s="1873">
        <f>E38</f>
        <v>1738.51</v>
      </c>
      <c r="F41" s="1873">
        <f>F40</f>
        <v>1749.4999999999998</v>
      </c>
      <c r="G41" s="1884"/>
      <c r="H41" s="1869"/>
    </row>
    <row r="42" spans="1:10">
      <c r="A42" s="1866">
        <f t="shared" si="0"/>
        <v>38</v>
      </c>
      <c r="B42" s="6413"/>
      <c r="C42" s="1868" t="s">
        <v>2454</v>
      </c>
      <c r="D42" s="1869">
        <v>106.22</v>
      </c>
      <c r="E42" s="1869">
        <v>106.22</v>
      </c>
      <c r="F42" s="1869">
        <v>106.22</v>
      </c>
      <c r="G42" s="1869"/>
      <c r="H42" s="1869"/>
    </row>
    <row r="43" spans="1:10">
      <c r="A43" s="1866">
        <f t="shared" si="0"/>
        <v>39</v>
      </c>
      <c r="B43" s="6413"/>
      <c r="C43" s="1868" t="s">
        <v>47</v>
      </c>
      <c r="D43" s="1873">
        <f>D41+D42</f>
        <v>1844.73</v>
      </c>
      <c r="E43" s="1873">
        <f>E41+E42</f>
        <v>1844.73</v>
      </c>
      <c r="F43" s="1873">
        <f>F41+F42</f>
        <v>1855.7199999999998</v>
      </c>
      <c r="G43" s="1869"/>
      <c r="H43" s="1869"/>
    </row>
    <row r="44" spans="1:10" ht="30">
      <c r="A44" s="1866">
        <f t="shared" si="0"/>
        <v>40</v>
      </c>
      <c r="B44" s="6413"/>
      <c r="C44" s="1868" t="s">
        <v>2478</v>
      </c>
      <c r="D44" s="1873">
        <f>10.48+13.8</f>
        <v>24.28</v>
      </c>
      <c r="E44" s="1873">
        <f>10.48+13.8</f>
        <v>24.28</v>
      </c>
      <c r="F44" s="1873">
        <v>0</v>
      </c>
      <c r="G44" s="1873">
        <f>F44-D44</f>
        <v>-24.28</v>
      </c>
      <c r="H44" s="1874"/>
    </row>
    <row r="45" spans="1:10">
      <c r="A45" s="1866">
        <f t="shared" si="0"/>
        <v>41</v>
      </c>
      <c r="B45" s="6413"/>
      <c r="C45" s="1868" t="s">
        <v>47</v>
      </c>
      <c r="D45" s="1873">
        <f>D43+D44</f>
        <v>1869.01</v>
      </c>
      <c r="E45" s="1873">
        <f>E43+E44</f>
        <v>1869.01</v>
      </c>
      <c r="F45" s="1873">
        <f>F43+F44</f>
        <v>1855.7199999999998</v>
      </c>
      <c r="G45" s="1869"/>
      <c r="H45" s="1875"/>
    </row>
    <row r="46" spans="1:10">
      <c r="A46" s="1866">
        <f t="shared" si="0"/>
        <v>42</v>
      </c>
      <c r="B46" s="6413"/>
      <c r="C46" s="1868" t="s">
        <v>2455</v>
      </c>
      <c r="D46" s="1869">
        <v>17.55</v>
      </c>
      <c r="E46" s="1869">
        <v>17.55</v>
      </c>
      <c r="F46" s="1869">
        <v>17.55</v>
      </c>
      <c r="G46" s="1869"/>
      <c r="H46" s="1875"/>
    </row>
    <row r="47" spans="1:10">
      <c r="A47" s="1866">
        <f t="shared" si="0"/>
        <v>43</v>
      </c>
      <c r="B47" s="6413"/>
      <c r="C47" s="1868" t="s">
        <v>2464</v>
      </c>
      <c r="D47" s="1869">
        <v>0.08</v>
      </c>
      <c r="E47" s="1869">
        <v>0.08</v>
      </c>
      <c r="F47" s="1869">
        <v>0.06</v>
      </c>
      <c r="G47" s="1869">
        <f>F47-D47</f>
        <v>-2.0000000000000004E-2</v>
      </c>
      <c r="H47" s="1875"/>
    </row>
    <row r="48" spans="1:10">
      <c r="A48" s="1866">
        <f t="shared" si="0"/>
        <v>44</v>
      </c>
      <c r="B48" s="6413"/>
      <c r="C48" s="1868" t="s">
        <v>2479</v>
      </c>
      <c r="D48" s="1869"/>
      <c r="E48" s="1869"/>
      <c r="F48" s="1869">
        <v>0.73</v>
      </c>
      <c r="G48" s="1869"/>
      <c r="H48" s="1875"/>
    </row>
    <row r="49" spans="1:9">
      <c r="A49" s="1866">
        <f t="shared" si="0"/>
        <v>45</v>
      </c>
      <c r="B49" s="5831"/>
      <c r="C49" s="1870" t="s">
        <v>47</v>
      </c>
      <c r="D49" s="1880">
        <f>D45-D46-D47</f>
        <v>1851.38</v>
      </c>
      <c r="E49" s="1880">
        <f>E45-E46-E47</f>
        <v>1851.38</v>
      </c>
      <c r="F49" s="1880">
        <f>F45-F46-F47+F48</f>
        <v>1838.84</v>
      </c>
      <c r="G49" s="1880">
        <f>F49-D49</f>
        <v>-12.540000000000191</v>
      </c>
      <c r="H49" s="1871" t="s">
        <v>2480</v>
      </c>
      <c r="I49" s="1879"/>
    </row>
    <row r="50" spans="1:9">
      <c r="A50" s="1866">
        <f t="shared" si="0"/>
        <v>46</v>
      </c>
      <c r="B50" s="5930" t="s">
        <v>557</v>
      </c>
      <c r="C50" s="1868" t="s">
        <v>2475</v>
      </c>
      <c r="D50" s="1873">
        <f>D49</f>
        <v>1851.38</v>
      </c>
      <c r="E50" s="1873">
        <f>E49</f>
        <v>1851.38</v>
      </c>
      <c r="F50" s="1873">
        <f>F49</f>
        <v>1838.84</v>
      </c>
      <c r="G50" s="1873">
        <f>F50-D50</f>
        <v>-12.540000000000191</v>
      </c>
      <c r="H50" s="1869"/>
    </row>
    <row r="51" spans="1:9">
      <c r="A51" s="1866">
        <f t="shared" si="0"/>
        <v>47</v>
      </c>
      <c r="B51" s="6413"/>
      <c r="C51" s="1868" t="s">
        <v>2454</v>
      </c>
      <c r="D51" s="1873">
        <v>126.25</v>
      </c>
      <c r="E51" s="1869">
        <v>126.25</v>
      </c>
      <c r="F51" s="1869">
        <v>126.25</v>
      </c>
      <c r="G51" s="1869"/>
      <c r="H51" s="1869"/>
    </row>
    <row r="52" spans="1:9">
      <c r="A52" s="1866">
        <f t="shared" si="0"/>
        <v>48</v>
      </c>
      <c r="B52" s="6413"/>
      <c r="C52" s="1868" t="s">
        <v>47</v>
      </c>
      <c r="D52" s="1873">
        <f>D50+D51</f>
        <v>1977.63</v>
      </c>
      <c r="E52" s="1873">
        <f>E50+E51</f>
        <v>1977.63</v>
      </c>
      <c r="F52" s="1873">
        <f>F50+F51</f>
        <v>1965.09</v>
      </c>
      <c r="G52" s="1869"/>
      <c r="H52" s="1869"/>
    </row>
    <row r="53" spans="1:9" ht="30">
      <c r="A53" s="1866">
        <f t="shared" si="0"/>
        <v>49</v>
      </c>
      <c r="B53" s="6413"/>
      <c r="C53" s="1868" t="s">
        <v>2481</v>
      </c>
      <c r="D53" s="1869">
        <f>2.24+1.49</f>
        <v>3.7300000000000004</v>
      </c>
      <c r="E53" s="1869">
        <v>3.73</v>
      </c>
      <c r="F53" s="1869">
        <v>3.73</v>
      </c>
      <c r="G53" s="1869"/>
      <c r="H53" s="1869"/>
    </row>
    <row r="54" spans="1:9">
      <c r="A54" s="1866">
        <f t="shared" si="0"/>
        <v>50</v>
      </c>
      <c r="B54" s="6413"/>
      <c r="C54" s="1868" t="s">
        <v>2455</v>
      </c>
      <c r="D54" s="1869">
        <v>12.39</v>
      </c>
      <c r="E54" s="1869">
        <v>12.39</v>
      </c>
      <c r="F54" s="1869">
        <v>12.39</v>
      </c>
      <c r="G54" s="1869"/>
      <c r="H54" s="1869"/>
    </row>
    <row r="55" spans="1:9">
      <c r="A55" s="1866">
        <f t="shared" si="0"/>
        <v>51</v>
      </c>
      <c r="B55" s="5831"/>
      <c r="C55" s="1885" t="s">
        <v>47</v>
      </c>
      <c r="D55" s="1880">
        <f>D52-D53-D54</f>
        <v>1961.51</v>
      </c>
      <c r="E55" s="1880">
        <f>E52-E53-E54</f>
        <v>1961.51</v>
      </c>
      <c r="F55" s="1880">
        <f>F52-F53-F54</f>
        <v>1948.9699999999998</v>
      </c>
      <c r="G55" s="1880">
        <f>F55-D55</f>
        <v>-12.540000000000191</v>
      </c>
      <c r="H55" s="1871"/>
    </row>
    <row r="56" spans="1:9">
      <c r="A56" s="1866">
        <f t="shared" si="0"/>
        <v>52</v>
      </c>
      <c r="B56" s="5930" t="s">
        <v>558</v>
      </c>
      <c r="C56" s="1868" t="s">
        <v>2475</v>
      </c>
      <c r="D56" s="1873">
        <f>D55</f>
        <v>1961.51</v>
      </c>
      <c r="E56" s="1873">
        <f>E55</f>
        <v>1961.51</v>
      </c>
      <c r="F56" s="1873">
        <f>F55</f>
        <v>1948.9699999999998</v>
      </c>
      <c r="G56" s="1873">
        <f>F56-D56</f>
        <v>-12.540000000000191</v>
      </c>
      <c r="H56" s="1869"/>
    </row>
    <row r="57" spans="1:9">
      <c r="A57" s="1866">
        <f t="shared" si="0"/>
        <v>53</v>
      </c>
      <c r="B57" s="6413"/>
      <c r="C57" s="1868" t="s">
        <v>2454</v>
      </c>
      <c r="D57" s="1869">
        <v>101.51</v>
      </c>
      <c r="E57" s="1869">
        <v>101.51</v>
      </c>
      <c r="F57" s="1869">
        <v>101.51</v>
      </c>
      <c r="G57" s="1869"/>
      <c r="H57" s="1869"/>
    </row>
    <row r="58" spans="1:9">
      <c r="A58" s="1866">
        <f t="shared" si="0"/>
        <v>54</v>
      </c>
      <c r="B58" s="6413"/>
      <c r="C58" s="1868" t="s">
        <v>47</v>
      </c>
      <c r="D58" s="1873">
        <f>D56+D57</f>
        <v>2063.02</v>
      </c>
      <c r="E58" s="1873">
        <f>E56+E57</f>
        <v>2063.02</v>
      </c>
      <c r="F58" s="1873">
        <f>F56+F57</f>
        <v>2050.48</v>
      </c>
      <c r="G58" s="1869"/>
      <c r="H58" s="1869"/>
    </row>
    <row r="59" spans="1:9">
      <c r="A59" s="1866">
        <f t="shared" si="0"/>
        <v>55</v>
      </c>
      <c r="B59" s="6413"/>
      <c r="C59" s="1868" t="s">
        <v>2482</v>
      </c>
      <c r="D59" s="1869">
        <v>10.58</v>
      </c>
      <c r="E59" s="1869">
        <v>10.58</v>
      </c>
      <c r="F59" s="1869">
        <v>10.58</v>
      </c>
      <c r="G59" s="1869"/>
      <c r="H59" s="1869"/>
    </row>
    <row r="60" spans="1:9">
      <c r="A60" s="1866">
        <f t="shared" si="0"/>
        <v>56</v>
      </c>
      <c r="B60" s="6413"/>
      <c r="C60" s="1868" t="s">
        <v>2483</v>
      </c>
      <c r="D60" s="1869"/>
      <c r="E60" s="1869"/>
      <c r="F60" s="1869">
        <v>0.83</v>
      </c>
      <c r="G60" s="1869"/>
      <c r="H60" s="1869"/>
    </row>
    <row r="61" spans="1:9">
      <c r="A61" s="1866">
        <f t="shared" si="0"/>
        <v>57</v>
      </c>
      <c r="B61" s="6413"/>
      <c r="C61" s="1868" t="s">
        <v>47</v>
      </c>
      <c r="D61" s="1873">
        <f>D58-D59+D60</f>
        <v>2052.44</v>
      </c>
      <c r="E61" s="1873">
        <f>E58-E59+E60</f>
        <v>2052.44</v>
      </c>
      <c r="F61" s="1873">
        <f>F58-F59+F60</f>
        <v>2040.73</v>
      </c>
      <c r="G61" s="1869"/>
      <c r="H61" s="1869"/>
    </row>
    <row r="62" spans="1:9">
      <c r="A62" s="1866">
        <f t="shared" si="0"/>
        <v>58</v>
      </c>
      <c r="B62" s="6413"/>
      <c r="C62" s="1868" t="s">
        <v>2455</v>
      </c>
      <c r="D62" s="1869">
        <v>15.21</v>
      </c>
      <c r="E62" s="1869">
        <v>15.21</v>
      </c>
      <c r="F62" s="1869">
        <v>15.21</v>
      </c>
      <c r="G62" s="1869"/>
      <c r="H62" s="1869"/>
    </row>
    <row r="63" spans="1:9">
      <c r="A63" s="1866">
        <f t="shared" si="0"/>
        <v>59</v>
      </c>
      <c r="B63" s="5831"/>
      <c r="C63" s="1870" t="s">
        <v>47</v>
      </c>
      <c r="D63" s="1880">
        <f>D61-D62</f>
        <v>2037.23</v>
      </c>
      <c r="E63" s="1880">
        <f>E61-E62</f>
        <v>2037.23</v>
      </c>
      <c r="F63" s="1880">
        <f>F61-F62</f>
        <v>2025.52</v>
      </c>
      <c r="G63" s="1880">
        <f>F63-D63</f>
        <v>-11.710000000000036</v>
      </c>
      <c r="H63" s="1880" t="s">
        <v>2484</v>
      </c>
    </row>
    <row r="64" spans="1:9">
      <c r="B64" s="1886"/>
      <c r="C64" s="1886"/>
      <c r="D64" s="1887"/>
      <c r="E64" s="1887"/>
      <c r="F64" s="1887"/>
      <c r="G64" s="1887"/>
      <c r="H64" s="1886"/>
    </row>
    <row r="65" spans="2:8">
      <c r="B65" s="1886"/>
      <c r="C65" s="1888"/>
      <c r="D65" s="1889"/>
      <c r="E65" s="1887"/>
      <c r="F65" s="1887"/>
      <c r="G65" s="1890"/>
      <c r="H65" s="1886"/>
    </row>
    <row r="66" spans="2:8">
      <c r="B66" s="1886"/>
      <c r="C66" s="1888"/>
      <c r="D66" s="1887"/>
      <c r="E66" s="1887"/>
      <c r="F66" s="1887"/>
      <c r="G66" s="1887"/>
      <c r="H66" s="1886"/>
    </row>
    <row r="67" spans="2:8">
      <c r="B67" s="1886"/>
      <c r="C67" s="1886"/>
      <c r="D67" s="1887"/>
      <c r="E67" s="1887"/>
      <c r="F67" s="1887"/>
      <c r="G67" s="1890"/>
      <c r="H67" s="1886"/>
    </row>
    <row r="68" spans="2:8">
      <c r="B68" s="1886"/>
      <c r="C68" s="1886"/>
      <c r="D68" s="1887"/>
      <c r="E68" s="1887"/>
      <c r="F68" s="1887"/>
      <c r="G68" s="1887"/>
      <c r="H68" s="1888"/>
    </row>
    <row r="69" spans="2:8">
      <c r="B69" s="1886"/>
      <c r="C69" s="1886"/>
      <c r="D69" s="1887"/>
      <c r="E69" s="1887"/>
      <c r="F69" s="1887"/>
      <c r="G69" s="1887"/>
      <c r="H69" s="1886"/>
    </row>
    <row r="70" spans="2:8">
      <c r="B70" s="1886"/>
      <c r="C70" s="1886"/>
      <c r="D70" s="1887"/>
      <c r="E70" s="1887"/>
      <c r="F70" s="1887"/>
      <c r="G70" s="1887"/>
      <c r="H70" s="1886"/>
    </row>
    <row r="71" spans="2:8">
      <c r="B71" s="1886"/>
      <c r="C71" s="1886"/>
      <c r="D71" s="1887"/>
      <c r="E71" s="1887"/>
      <c r="F71" s="1887"/>
      <c r="G71" s="1890"/>
      <c r="H71" s="1886"/>
    </row>
    <row r="72" spans="2:8">
      <c r="B72" s="1886"/>
      <c r="C72" s="1887"/>
      <c r="D72" s="1887"/>
      <c r="E72" s="1887"/>
      <c r="F72" s="1887"/>
      <c r="G72" s="1887"/>
      <c r="H72" s="1886"/>
    </row>
    <row r="73" spans="2:8">
      <c r="B73" s="6414"/>
      <c r="C73" s="6414"/>
      <c r="D73" s="1887"/>
      <c r="E73" s="1887"/>
      <c r="F73" s="6415"/>
      <c r="G73" s="6415"/>
      <c r="H73" s="6414"/>
    </row>
    <row r="74" spans="2:8">
      <c r="B74" s="6414"/>
      <c r="C74" s="6414"/>
      <c r="D74" s="1887"/>
      <c r="E74" s="1887"/>
      <c r="F74" s="6415"/>
      <c r="G74" s="6415"/>
      <c r="H74" s="6414"/>
    </row>
    <row r="75" spans="2:8">
      <c r="B75" s="1886"/>
      <c r="C75" s="1886"/>
      <c r="D75" s="1887"/>
      <c r="E75" s="1887"/>
      <c r="F75" s="1887"/>
      <c r="G75" s="1887"/>
      <c r="H75" s="1886"/>
    </row>
    <row r="76" spans="2:8">
      <c r="B76" s="1886"/>
      <c r="C76" s="1886"/>
      <c r="D76" s="1887"/>
      <c r="E76" s="1887"/>
      <c r="F76" s="1887"/>
      <c r="G76" s="1887"/>
      <c r="H76" s="1886"/>
    </row>
    <row r="77" spans="2:8">
      <c r="B77" s="1891"/>
      <c r="C77" s="1891"/>
      <c r="D77" s="1887"/>
      <c r="E77" s="1887"/>
      <c r="F77" s="1887"/>
      <c r="G77" s="1887"/>
      <c r="H77" s="1886"/>
    </row>
    <row r="78" spans="2:8">
      <c r="B78" s="1886"/>
      <c r="C78" s="1886"/>
      <c r="D78" s="1887"/>
      <c r="E78" s="1887"/>
      <c r="F78" s="1887"/>
      <c r="G78" s="1887"/>
      <c r="H78" s="1886"/>
    </row>
    <row r="79" spans="2:8">
      <c r="B79" s="1886"/>
      <c r="C79" s="1886"/>
      <c r="D79" s="1887"/>
      <c r="E79" s="1887"/>
      <c r="F79" s="1887"/>
      <c r="G79" s="1887"/>
      <c r="H79" s="1886"/>
    </row>
    <row r="80" spans="2:8">
      <c r="B80" s="1886"/>
      <c r="C80" s="1886"/>
      <c r="D80" s="1887"/>
      <c r="E80" s="1887"/>
      <c r="F80" s="1887"/>
      <c r="G80" s="1887"/>
      <c r="H80" s="1886"/>
    </row>
    <row r="81" spans="2:8">
      <c r="B81" s="1886"/>
      <c r="C81" s="1886"/>
      <c r="D81" s="1887"/>
      <c r="E81" s="1887"/>
      <c r="F81" s="1887"/>
      <c r="G81" s="1887"/>
      <c r="H81" s="1886"/>
    </row>
    <row r="82" spans="2:8">
      <c r="B82" s="1886"/>
      <c r="C82" s="1886"/>
      <c r="D82" s="1887"/>
      <c r="E82" s="1887"/>
      <c r="F82" s="1887"/>
      <c r="G82" s="1887"/>
      <c r="H82" s="1886"/>
    </row>
    <row r="83" spans="2:8">
      <c r="B83" s="1886"/>
      <c r="C83" s="1886"/>
      <c r="D83" s="1887"/>
      <c r="E83" s="1887"/>
      <c r="F83" s="1887"/>
      <c r="G83" s="1887"/>
      <c r="H83" s="1886"/>
    </row>
    <row r="84" spans="2:8">
      <c r="B84" s="1886"/>
      <c r="C84" s="1886"/>
      <c r="D84" s="1887"/>
      <c r="E84" s="1887"/>
      <c r="F84" s="1887"/>
      <c r="G84" s="1887"/>
      <c r="H84" s="1886"/>
    </row>
    <row r="85" spans="2:8">
      <c r="B85" s="1886"/>
      <c r="C85" s="1886"/>
      <c r="D85" s="1887"/>
      <c r="E85" s="1887"/>
      <c r="F85" s="1887"/>
      <c r="G85" s="1887"/>
      <c r="H85" s="1886"/>
    </row>
    <row r="86" spans="2:8">
      <c r="B86" s="1886"/>
      <c r="C86" s="1886"/>
      <c r="D86" s="1887"/>
      <c r="E86" s="1887"/>
      <c r="F86" s="1887"/>
      <c r="G86" s="1887"/>
      <c r="H86" s="1886"/>
    </row>
    <row r="87" spans="2:8">
      <c r="B87" s="1886"/>
      <c r="C87" s="1888"/>
      <c r="D87" s="1887"/>
      <c r="E87" s="1887"/>
      <c r="F87" s="1887"/>
      <c r="G87" s="1890"/>
      <c r="H87" s="1886"/>
    </row>
    <row r="88" spans="2:8">
      <c r="B88" s="1886"/>
      <c r="C88" s="1887"/>
      <c r="D88" s="1887"/>
      <c r="E88" s="1887"/>
      <c r="F88" s="1887"/>
      <c r="G88" s="1887"/>
      <c r="H88" s="1886"/>
    </row>
    <row r="89" spans="2:8">
      <c r="B89" s="1886"/>
      <c r="C89" s="1886"/>
      <c r="D89" s="1887"/>
      <c r="E89" s="1887"/>
      <c r="F89" s="1887"/>
      <c r="G89" s="1887"/>
      <c r="H89" s="1888"/>
    </row>
    <row r="90" spans="2:8">
      <c r="B90" s="1886"/>
      <c r="C90" s="1886"/>
      <c r="D90" s="1887"/>
      <c r="E90" s="1887"/>
      <c r="F90" s="1887"/>
      <c r="G90" s="1887"/>
      <c r="H90" s="1886"/>
    </row>
    <row r="91" spans="2:8">
      <c r="B91" s="1886"/>
      <c r="C91" s="1886"/>
      <c r="D91" s="1887"/>
      <c r="E91" s="1887"/>
      <c r="F91" s="1887"/>
      <c r="G91" s="1887"/>
      <c r="H91" s="1886"/>
    </row>
    <row r="92" spans="2:8">
      <c r="B92" s="1886"/>
      <c r="C92" s="1886"/>
      <c r="D92" s="1887"/>
      <c r="E92" s="1887"/>
      <c r="F92" s="1887"/>
      <c r="G92" s="1890"/>
      <c r="H92" s="1886"/>
    </row>
    <row r="93" spans="2:8">
      <c r="B93" s="1886"/>
      <c r="C93" s="1887"/>
      <c r="D93" s="1887"/>
      <c r="E93" s="1887"/>
      <c r="F93" s="1887"/>
      <c r="G93" s="1887"/>
      <c r="H93" s="1886"/>
    </row>
    <row r="94" spans="2:8">
      <c r="B94" s="6414"/>
      <c r="C94" s="6414"/>
      <c r="D94" s="1887"/>
      <c r="E94" s="1887"/>
      <c r="F94" s="6415"/>
      <c r="G94" s="6415"/>
      <c r="H94" s="6414"/>
    </row>
    <row r="95" spans="2:8">
      <c r="B95" s="6414"/>
      <c r="C95" s="6414"/>
      <c r="D95" s="1887"/>
      <c r="E95" s="1887"/>
      <c r="F95" s="6415"/>
      <c r="G95" s="6415"/>
      <c r="H95" s="6414"/>
    </row>
    <row r="96" spans="2:8">
      <c r="B96" s="1886"/>
      <c r="C96" s="1886"/>
      <c r="D96" s="1887"/>
      <c r="E96" s="1887"/>
      <c r="F96" s="1887"/>
      <c r="G96" s="1887"/>
      <c r="H96" s="1886"/>
    </row>
  </sheetData>
  <mergeCells count="19">
    <mergeCell ref="G73:G74"/>
    <mergeCell ref="H73:H74"/>
    <mergeCell ref="B94:B95"/>
    <mergeCell ref="C94:C95"/>
    <mergeCell ref="F94:F95"/>
    <mergeCell ref="G94:G95"/>
    <mergeCell ref="H94:H95"/>
    <mergeCell ref="F73:F74"/>
    <mergeCell ref="B41:B49"/>
    <mergeCell ref="B50:B55"/>
    <mergeCell ref="B56:B63"/>
    <mergeCell ref="B73:B74"/>
    <mergeCell ref="C73:C74"/>
    <mergeCell ref="B33:B40"/>
    <mergeCell ref="C2:H2"/>
    <mergeCell ref="B5:B11"/>
    <mergeCell ref="B12:B17"/>
    <mergeCell ref="B18:B25"/>
    <mergeCell ref="B26:B32"/>
  </mergeCells>
  <pageMargins left="0.38" right="0.16" top="0.75" bottom="0.5" header="0.3" footer="0.3"/>
  <pageSetup paperSize="9" scale="69" orientation="portrait" r:id="rId1"/>
</worksheet>
</file>

<file path=xl/worksheets/sheet15.xml><?xml version="1.0" encoding="utf-8"?>
<worksheet xmlns="http://schemas.openxmlformats.org/spreadsheetml/2006/main" xmlns:r="http://schemas.openxmlformats.org/officeDocument/2006/relationships">
  <sheetPr codeName="Sheet45"/>
  <dimension ref="A1:AJ76"/>
  <sheetViews>
    <sheetView showGridLines="0" view="pageBreakPreview" zoomScale="70" zoomScaleNormal="80" zoomScaleSheetLayoutView="70" workbookViewId="0">
      <selection activeCell="D40" sqref="D40:E40"/>
    </sheetView>
  </sheetViews>
  <sheetFormatPr defaultRowHeight="12.75"/>
  <cols>
    <col min="1" max="1" width="9.140625" style="3885"/>
    <col min="2" max="2" width="44.140625" style="3885" customWidth="1"/>
    <col min="3" max="3" width="26" style="3885" customWidth="1"/>
    <col min="4" max="4" width="27.42578125" style="3885" customWidth="1"/>
    <col min="5" max="5" width="29.7109375" style="3885" customWidth="1"/>
    <col min="6" max="6" width="12.42578125" style="3885" hidden="1" customWidth="1"/>
    <col min="7" max="7" width="15.5703125" style="3885" hidden="1" customWidth="1"/>
    <col min="8" max="8" width="15.7109375" style="3885" hidden="1" customWidth="1"/>
    <col min="9" max="9" width="18" style="3885" hidden="1" customWidth="1"/>
    <col min="10" max="10" width="18" style="3885" customWidth="1"/>
    <col min="11" max="11" width="14.85546875" style="3885" hidden="1" customWidth="1"/>
    <col min="12" max="12" width="15.28515625" style="3885" customWidth="1"/>
    <col min="13" max="14" width="13" style="3885" customWidth="1"/>
    <col min="15" max="15" width="17.5703125" style="3885" customWidth="1"/>
    <col min="16" max="16" width="15.140625" style="3885" customWidth="1"/>
    <col min="17" max="17" width="9.140625" style="3885" customWidth="1"/>
    <col min="18" max="18" width="16.85546875" style="3885" customWidth="1"/>
    <col min="19" max="19" width="19.7109375" style="3885" customWidth="1"/>
    <col min="20" max="20" width="12.7109375" style="3885" customWidth="1"/>
    <col min="21" max="21" width="14.85546875" style="3885" customWidth="1"/>
    <col min="22" max="22" width="11.140625" style="3885" customWidth="1"/>
    <col min="23" max="23" width="11.5703125" style="3885" customWidth="1"/>
    <col min="24" max="32" width="9.140625" style="3885" customWidth="1"/>
    <col min="33" max="35" width="9.140625" style="3885" hidden="1" customWidth="1"/>
    <col min="36" max="36" width="0" style="3885" hidden="1" customWidth="1"/>
    <col min="37" max="16384" width="9.140625" style="3885"/>
  </cols>
  <sheetData>
    <row r="1" spans="1:36">
      <c r="S1" s="3886"/>
      <c r="T1" s="3887"/>
      <c r="U1" s="3888"/>
      <c r="V1" s="3889"/>
      <c r="W1" s="3888"/>
      <c r="X1" s="3889"/>
      <c r="Y1" s="3888"/>
      <c r="Z1" s="3889"/>
      <c r="AA1" s="3888"/>
      <c r="AB1" s="3889"/>
      <c r="AC1" s="3888"/>
      <c r="AD1" s="3889"/>
      <c r="AE1" s="3888"/>
      <c r="AF1" s="3889"/>
    </row>
    <row r="2" spans="1:36">
      <c r="C2" s="3890"/>
      <c r="D2" s="3889" t="s">
        <v>170</v>
      </c>
      <c r="F2" s="3890"/>
      <c r="G2" s="3890"/>
      <c r="H2" s="3890"/>
      <c r="I2" s="3890"/>
      <c r="J2" s="3890"/>
      <c r="K2" s="3890"/>
      <c r="L2" s="3890"/>
      <c r="M2" s="3890"/>
      <c r="N2" s="3890"/>
      <c r="O2" s="3890"/>
      <c r="P2" s="3890"/>
      <c r="S2" s="3886"/>
      <c r="T2" s="3887"/>
      <c r="AG2" s="3891"/>
      <c r="AH2" s="3892"/>
      <c r="AI2" s="3893" t="s">
        <v>3015</v>
      </c>
      <c r="AJ2" s="3892"/>
    </row>
    <row r="3" spans="1:36">
      <c r="C3" s="3890"/>
      <c r="D3" s="3889" t="s">
        <v>3913</v>
      </c>
      <c r="F3" s="3890"/>
      <c r="G3" s="3890"/>
      <c r="H3" s="3890"/>
      <c r="I3" s="3890"/>
      <c r="J3" s="3890"/>
      <c r="K3" s="3890"/>
      <c r="L3" s="3890"/>
      <c r="M3" s="3890"/>
      <c r="N3" s="3890"/>
      <c r="O3" s="3890"/>
      <c r="P3" s="3890"/>
      <c r="S3" s="3897"/>
      <c r="T3" s="3898"/>
      <c r="U3" s="3894"/>
      <c r="V3" s="3894"/>
      <c r="W3" s="3894"/>
      <c r="X3" s="3894"/>
      <c r="Y3" s="3894"/>
      <c r="Z3" s="3894"/>
      <c r="AA3" s="3894"/>
      <c r="AB3" s="3894"/>
      <c r="AC3" s="3894"/>
      <c r="AD3" s="3894"/>
      <c r="AE3" s="3894"/>
      <c r="AF3" s="3894"/>
      <c r="AG3" s="3895">
        <f t="shared" ref="AG3:AG4" si="0">SUM(U3:AF3)</f>
        <v>0</v>
      </c>
      <c r="AH3" s="3892"/>
      <c r="AI3" s="3892" t="s">
        <v>3018</v>
      </c>
      <c r="AJ3" s="3896">
        <v>0.15770109421837816</v>
      </c>
    </row>
    <row r="4" spans="1:36">
      <c r="C4" s="3890"/>
      <c r="D4" s="3889" t="s">
        <v>3922</v>
      </c>
      <c r="F4" s="3890"/>
      <c r="G4" s="3890"/>
      <c r="H4" s="3890"/>
      <c r="I4" s="3890"/>
      <c r="J4" s="3890"/>
      <c r="K4" s="3890"/>
      <c r="L4" s="3890"/>
      <c r="M4" s="3890"/>
      <c r="N4" s="3890"/>
      <c r="O4" s="3890"/>
      <c r="P4" s="3890"/>
      <c r="S4" s="3897"/>
      <c r="T4" s="3898"/>
      <c r="U4" s="3894"/>
      <c r="V4" s="3894"/>
      <c r="W4" s="3894"/>
      <c r="X4" s="3894"/>
      <c r="Y4" s="3894"/>
      <c r="Z4" s="3894"/>
      <c r="AA4" s="3894"/>
      <c r="AB4" s="3894"/>
      <c r="AC4" s="3894"/>
      <c r="AD4" s="3894"/>
      <c r="AE4" s="3894"/>
      <c r="AF4" s="3894"/>
      <c r="AG4" s="3895">
        <f t="shared" si="0"/>
        <v>0</v>
      </c>
      <c r="AH4" s="3892"/>
      <c r="AI4" s="3892">
        <v>0</v>
      </c>
      <c r="AJ4" s="3896">
        <v>0.13061991635716183</v>
      </c>
    </row>
    <row r="5" spans="1:36">
      <c r="C5" s="3890"/>
      <c r="D5" s="3890"/>
      <c r="E5" s="3889"/>
      <c r="F5" s="3890"/>
      <c r="G5" s="3890"/>
      <c r="H5" s="3890"/>
      <c r="I5" s="3890"/>
      <c r="J5" s="3890"/>
      <c r="K5" s="3890"/>
      <c r="L5" s="3890"/>
      <c r="M5" s="3890"/>
      <c r="N5" s="3890"/>
      <c r="O5" s="3890"/>
      <c r="P5" s="3890"/>
      <c r="S5" s="3897"/>
      <c r="T5" s="3898"/>
      <c r="U5" s="3894"/>
      <c r="V5" s="3894"/>
      <c r="W5" s="3894"/>
      <c r="X5" s="3894"/>
      <c r="Y5" s="3894"/>
      <c r="Z5" s="3894"/>
      <c r="AA5" s="3894"/>
      <c r="AB5" s="3894"/>
      <c r="AC5" s="3894"/>
      <c r="AD5" s="3894"/>
      <c r="AE5" s="3894"/>
      <c r="AF5" s="3894"/>
      <c r="AG5" s="3894"/>
      <c r="AJ5" s="3899"/>
    </row>
    <row r="6" spans="1:36">
      <c r="B6" s="3900" t="s">
        <v>3019</v>
      </c>
      <c r="C6" s="3889"/>
      <c r="D6" s="3889"/>
      <c r="E6" s="3889"/>
      <c r="F6" s="3889"/>
      <c r="G6" s="3889"/>
      <c r="I6" s="3889"/>
      <c r="J6" s="3889"/>
      <c r="K6" s="3889"/>
      <c r="L6" s="3889"/>
      <c r="M6" s="3889"/>
      <c r="N6" s="3889"/>
      <c r="O6" s="3889"/>
      <c r="P6" s="3889"/>
      <c r="S6" s="3897"/>
      <c r="T6" s="3898"/>
      <c r="U6" s="3894"/>
      <c r="V6" s="3894"/>
      <c r="W6" s="3894"/>
      <c r="X6" s="3894"/>
      <c r="Y6" s="3894"/>
      <c r="Z6" s="3894"/>
      <c r="AA6" s="3894"/>
      <c r="AB6" s="3894"/>
      <c r="AC6" s="3894"/>
      <c r="AD6" s="3894"/>
      <c r="AE6" s="3894"/>
      <c r="AF6" s="3894"/>
      <c r="AG6" s="3894"/>
      <c r="AJ6" s="3899"/>
    </row>
    <row r="7" spans="1:36">
      <c r="B7" s="3889"/>
      <c r="C7" s="3889"/>
      <c r="D7" s="3889"/>
      <c r="E7" s="3901" t="s">
        <v>83</v>
      </c>
      <c r="F7" s="3889"/>
      <c r="G7" s="3889"/>
      <c r="H7" s="3889"/>
      <c r="I7" s="3889"/>
      <c r="J7" s="3889"/>
      <c r="K7" s="3889" t="s">
        <v>14</v>
      </c>
      <c r="L7" s="3889"/>
      <c r="M7" s="3889"/>
      <c r="N7" s="3889"/>
      <c r="O7" s="3889"/>
      <c r="P7" s="3889"/>
      <c r="S7" s="3897"/>
      <c r="T7" s="3898"/>
      <c r="U7" s="3894"/>
      <c r="V7" s="3894"/>
      <c r="W7" s="3894"/>
      <c r="X7" s="3894"/>
      <c r="Y7" s="3894"/>
      <c r="Z7" s="3894"/>
      <c r="AA7" s="3894"/>
      <c r="AB7" s="3894"/>
      <c r="AC7" s="3894"/>
      <c r="AD7" s="3894"/>
      <c r="AE7" s="3894"/>
      <c r="AF7" s="3894"/>
      <c r="AG7" s="3894"/>
      <c r="AJ7" s="3899"/>
    </row>
    <row r="8" spans="1:36" ht="15" customHeight="1">
      <c r="B8" s="5409" t="s">
        <v>1938</v>
      </c>
      <c r="C8" s="5410" t="s">
        <v>2</v>
      </c>
      <c r="D8" s="5409" t="s">
        <v>3412</v>
      </c>
      <c r="E8" s="5413" t="s">
        <v>3020</v>
      </c>
      <c r="F8" s="5415" t="s">
        <v>2442</v>
      </c>
      <c r="G8" s="5416"/>
      <c r="H8" s="5415" t="s">
        <v>2443</v>
      </c>
      <c r="I8" s="5416"/>
      <c r="K8" s="3885" t="s">
        <v>3046</v>
      </c>
    </row>
    <row r="9" spans="1:36" ht="31.5" customHeight="1">
      <c r="B9" s="5409"/>
      <c r="C9" s="5411"/>
      <c r="D9" s="5409"/>
      <c r="E9" s="5414"/>
      <c r="F9" s="3902" t="s">
        <v>755</v>
      </c>
      <c r="G9" s="4945" t="s">
        <v>96</v>
      </c>
      <c r="H9" s="3902" t="s">
        <v>755</v>
      </c>
      <c r="I9" s="4652" t="s">
        <v>3403</v>
      </c>
      <c r="K9" s="3885" t="s">
        <v>3047</v>
      </c>
    </row>
    <row r="10" spans="1:36">
      <c r="B10" s="3903" t="s">
        <v>1989</v>
      </c>
      <c r="C10" s="3903"/>
      <c r="D10" s="3892"/>
      <c r="E10" s="3903"/>
      <c r="F10" s="3904"/>
      <c r="G10" s="3904"/>
      <c r="H10" s="3904"/>
      <c r="I10" s="3904"/>
      <c r="K10" s="3885" t="s">
        <v>3048</v>
      </c>
    </row>
    <row r="11" spans="1:36">
      <c r="B11" s="3904" t="s">
        <v>14</v>
      </c>
      <c r="C11" s="3905" t="s">
        <v>15</v>
      </c>
      <c r="D11" s="4551">
        <v>0.39</v>
      </c>
      <c r="E11" s="3906">
        <f>70471/(10^6)</f>
        <v>7.0471000000000006E-2</v>
      </c>
      <c r="F11" s="3907">
        <v>0.68</v>
      </c>
      <c r="G11" s="3908">
        <f>'SalesProjection Workings'!L107</f>
        <v>4.8749000000000001E-2</v>
      </c>
      <c r="H11" s="3907">
        <v>0.89</v>
      </c>
      <c r="I11" s="3908">
        <f>'SalesProjection Workings'!N107</f>
        <v>5.0000473283962926E-2</v>
      </c>
      <c r="K11" s="3885" t="s">
        <v>3049</v>
      </c>
    </row>
    <row r="12" spans="1:36">
      <c r="A12" s="3909"/>
      <c r="B12" s="3892" t="s">
        <v>3046</v>
      </c>
      <c r="C12" s="3910" t="s">
        <v>17</v>
      </c>
      <c r="D12" s="4551">
        <v>687.85</v>
      </c>
      <c r="E12" s="3906">
        <f>698579592/(10^6)</f>
        <v>698.57959200000005</v>
      </c>
      <c r="F12" s="3907">
        <v>731.65</v>
      </c>
      <c r="G12" s="3908">
        <f>'SalesProjection Workings'!L108</f>
        <v>706.79374499999994</v>
      </c>
      <c r="H12" s="3907">
        <v>765.46</v>
      </c>
      <c r="I12" s="3908">
        <f>'SalesProjection Workings'!N108</f>
        <v>740.70916312206168</v>
      </c>
      <c r="K12" s="3885" t="s">
        <v>3050</v>
      </c>
    </row>
    <row r="13" spans="1:36">
      <c r="A13" s="3909"/>
      <c r="B13" s="3904"/>
      <c r="C13" s="3910" t="s">
        <v>18</v>
      </c>
      <c r="D13" s="4551">
        <v>584.30999999999995</v>
      </c>
      <c r="E13" s="3906">
        <f>588584362/(10^6)</f>
        <v>588.58436200000006</v>
      </c>
      <c r="F13" s="3908">
        <v>624.26887999999997</v>
      </c>
      <c r="G13" s="3908">
        <f>'SalesProjection Workings'!L109</f>
        <v>609.68066599999997</v>
      </c>
      <c r="H13" s="3907">
        <v>656.23</v>
      </c>
      <c r="I13" s="3908">
        <f>'SalesProjection Workings'!N109</f>
        <v>638.93612398134803</v>
      </c>
      <c r="K13" s="3885" t="s">
        <v>3051</v>
      </c>
    </row>
    <row r="14" spans="1:36">
      <c r="A14" s="3909"/>
      <c r="B14" s="3904"/>
      <c r="C14" s="3910" t="s">
        <v>19</v>
      </c>
      <c r="D14" s="4551">
        <v>178.53</v>
      </c>
      <c r="E14" s="3906">
        <f>173430725/(10^6)</f>
        <v>173.430725</v>
      </c>
      <c r="F14" s="3907">
        <v>191.9</v>
      </c>
      <c r="G14" s="3908">
        <f>'SalesProjection Workings'!L110</f>
        <v>186.52222900000001</v>
      </c>
      <c r="H14" s="3907">
        <v>203.06</v>
      </c>
      <c r="I14" s="3908">
        <f>'SalesProjection Workings'!N110</f>
        <v>195.47247711742492</v>
      </c>
      <c r="K14" s="3885" t="s">
        <v>3052</v>
      </c>
    </row>
    <row r="15" spans="1:36">
      <c r="A15" s="3909"/>
      <c r="B15" s="3904"/>
      <c r="C15" s="3910" t="s">
        <v>20</v>
      </c>
      <c r="D15" s="4551">
        <v>349.57</v>
      </c>
      <c r="E15" s="3906">
        <f>335332809/(10^6)</f>
        <v>335.332809</v>
      </c>
      <c r="F15" s="3908">
        <v>372.39666599999998</v>
      </c>
      <c r="G15" s="3908">
        <f>'SalesProjection Workings'!L111</f>
        <v>343.51382899999999</v>
      </c>
      <c r="H15" s="3907">
        <v>390.39</v>
      </c>
      <c r="I15" s="3908">
        <f>'SalesProjection Workings'!N111</f>
        <v>359.99730133356655</v>
      </c>
      <c r="K15" s="3885" t="s">
        <v>3053</v>
      </c>
    </row>
    <row r="16" spans="1:36">
      <c r="A16" s="3909"/>
      <c r="B16" s="3904"/>
      <c r="C16" s="4866" t="s">
        <v>1864</v>
      </c>
      <c r="D16" s="4867">
        <f>SUM(D12:D15)</f>
        <v>1800.2599999999998</v>
      </c>
      <c r="E16" s="4867">
        <f t="shared" ref="E16:I16" si="1">SUM(E12:E15)</f>
        <v>1795.927488</v>
      </c>
      <c r="F16" s="4867">
        <f t="shared" si="1"/>
        <v>1920.2155459999999</v>
      </c>
      <c r="G16" s="4867">
        <f t="shared" si="1"/>
        <v>1846.5104689999998</v>
      </c>
      <c r="H16" s="4867">
        <f t="shared" si="1"/>
        <v>2015.1399999999999</v>
      </c>
      <c r="I16" s="4867">
        <f t="shared" si="1"/>
        <v>1935.1150655544013</v>
      </c>
    </row>
    <row r="17" spans="1:11">
      <c r="A17" s="3909"/>
      <c r="B17" s="3892" t="s">
        <v>3047</v>
      </c>
      <c r="C17" s="3910" t="s">
        <v>25</v>
      </c>
      <c r="D17" s="4551">
        <v>543.37</v>
      </c>
      <c r="E17" s="3906">
        <f>539935336/(10^6)</f>
        <v>539.93533600000001</v>
      </c>
      <c r="F17" s="3907">
        <v>716.38</v>
      </c>
      <c r="G17" s="3908">
        <f>'SalesProjection Workings'!L112</f>
        <v>542.73403499999995</v>
      </c>
      <c r="H17" s="3907">
        <v>816.68</v>
      </c>
      <c r="I17" s="3908">
        <f>'SalesProjection Workings'!N112</f>
        <v>557.25224670732882</v>
      </c>
      <c r="K17" s="3885" t="s">
        <v>3054</v>
      </c>
    </row>
    <row r="18" spans="1:11">
      <c r="A18" s="3909"/>
      <c r="B18" s="3904"/>
      <c r="C18" s="3910" t="s">
        <v>26</v>
      </c>
      <c r="D18" s="4551">
        <v>379.49</v>
      </c>
      <c r="E18" s="3906">
        <f>353348100/(10^6)</f>
        <v>353.34809999999999</v>
      </c>
      <c r="F18" s="3907">
        <v>501.33</v>
      </c>
      <c r="G18" s="3908">
        <f>'SalesProjection Workings'!L113</f>
        <v>344.47488600000003</v>
      </c>
      <c r="H18" s="3907">
        <v>572.19000000000005</v>
      </c>
      <c r="I18" s="3908">
        <f>'SalesProjection Workings'!N113</f>
        <v>353.68963760997781</v>
      </c>
      <c r="K18" s="3885" t="s">
        <v>3055</v>
      </c>
    </row>
    <row r="19" spans="1:11">
      <c r="A19" s="3909"/>
      <c r="B19" s="3904"/>
      <c r="C19" s="4866" t="s">
        <v>1864</v>
      </c>
      <c r="D19" s="4867">
        <f>D17+D18</f>
        <v>922.86</v>
      </c>
      <c r="E19" s="4867">
        <f t="shared" ref="E19:I19" si="2">E17+E18</f>
        <v>893.28343599999994</v>
      </c>
      <c r="F19" s="4867">
        <f t="shared" si="2"/>
        <v>1217.71</v>
      </c>
      <c r="G19" s="4867">
        <f t="shared" si="2"/>
        <v>887.20892099999992</v>
      </c>
      <c r="H19" s="4867">
        <f t="shared" si="2"/>
        <v>1388.87</v>
      </c>
      <c r="I19" s="4867">
        <f t="shared" si="2"/>
        <v>910.94188431730663</v>
      </c>
    </row>
    <row r="20" spans="1:11">
      <c r="A20" s="3909"/>
      <c r="B20" s="3892" t="s">
        <v>3048</v>
      </c>
      <c r="C20" s="3910" t="s">
        <v>28</v>
      </c>
      <c r="D20" s="4551">
        <v>260.89</v>
      </c>
      <c r="E20" s="3906">
        <f>240952635/(10^6)</f>
        <v>240.95263499999999</v>
      </c>
      <c r="F20" s="3907">
        <v>349.46</v>
      </c>
      <c r="G20" s="3908">
        <f>'SalesProjection Workings'!L114</f>
        <v>234.58796100000001</v>
      </c>
      <c r="H20" s="3907">
        <v>401.55</v>
      </c>
      <c r="I20" s="3908">
        <f>'SalesProjection Workings'!N114</f>
        <v>240.61024998912467</v>
      </c>
      <c r="K20" s="3885" t="s">
        <v>3056</v>
      </c>
    </row>
    <row r="21" spans="1:11">
      <c r="A21" s="3909"/>
      <c r="B21" s="3892" t="s">
        <v>3049</v>
      </c>
      <c r="C21" s="3910" t="s">
        <v>28</v>
      </c>
      <c r="D21" s="4551">
        <v>516.41999999999996</v>
      </c>
      <c r="E21" s="3906">
        <f>470698744/(10^6)</f>
        <v>470.69874399999998</v>
      </c>
      <c r="F21" s="3907">
        <v>691.9</v>
      </c>
      <c r="G21" s="3908">
        <f>'SalesProjection Workings'!L115</f>
        <v>462.90675199999998</v>
      </c>
      <c r="H21" s="3907">
        <v>794.39</v>
      </c>
      <c r="I21" s="3908">
        <f>'SalesProjection Workings'!N115</f>
        <v>474.79038926628346</v>
      </c>
      <c r="K21" s="3885" t="s">
        <v>3057</v>
      </c>
    </row>
    <row r="22" spans="1:11">
      <c r="A22" s="3909"/>
      <c r="B22" s="3892" t="s">
        <v>3050</v>
      </c>
      <c r="C22" s="3910" t="s">
        <v>25</v>
      </c>
      <c r="D22" s="4551">
        <v>22.44</v>
      </c>
      <c r="E22" s="3906">
        <f>21275452/(10^6)</f>
        <v>21.275452000000001</v>
      </c>
      <c r="F22" s="3907">
        <v>24.61</v>
      </c>
      <c r="G22" s="3908">
        <f>'SalesProjection Workings'!L116</f>
        <v>20.789632000000001</v>
      </c>
      <c r="H22" s="3907">
        <v>25.61</v>
      </c>
      <c r="I22" s="3908">
        <f>'SalesProjection Workings'!N116</f>
        <v>21.323338722833718</v>
      </c>
      <c r="K22" s="3885" t="s">
        <v>3058</v>
      </c>
    </row>
    <row r="23" spans="1:11">
      <c r="A23" s="3909"/>
      <c r="B23" s="3904"/>
      <c r="C23" s="3910" t="s">
        <v>26</v>
      </c>
      <c r="D23" s="4551">
        <v>25.81</v>
      </c>
      <c r="E23" s="3906">
        <f>23912690/(10^6)</f>
        <v>23.912690000000001</v>
      </c>
      <c r="F23" s="3907">
        <v>28.33</v>
      </c>
      <c r="G23" s="3908">
        <f>'SalesProjection Workings'!L117</f>
        <v>22.826587</v>
      </c>
      <c r="H23" s="3907">
        <v>29.49</v>
      </c>
      <c r="I23" s="3908">
        <f>'SalesProjection Workings'!N117</f>
        <v>23.412585970123601</v>
      </c>
      <c r="K23" s="3885" t="s">
        <v>3059</v>
      </c>
    </row>
    <row r="24" spans="1:11">
      <c r="A24" s="3909"/>
      <c r="B24" s="3904"/>
      <c r="C24" s="4866" t="s">
        <v>1864</v>
      </c>
      <c r="D24" s="4867">
        <f>D22+D23</f>
        <v>48.25</v>
      </c>
      <c r="E24" s="4867">
        <f t="shared" ref="E24:I24" si="3">E22+E23</f>
        <v>45.188141999999999</v>
      </c>
      <c r="F24" s="4867">
        <f t="shared" si="3"/>
        <v>52.94</v>
      </c>
      <c r="G24" s="4867">
        <f t="shared" si="3"/>
        <v>43.616219000000001</v>
      </c>
      <c r="H24" s="4867">
        <f t="shared" si="3"/>
        <v>55.099999999999994</v>
      </c>
      <c r="I24" s="4867">
        <f t="shared" si="3"/>
        <v>44.735924692957319</v>
      </c>
    </row>
    <row r="25" spans="1:11">
      <c r="B25" s="3892" t="s">
        <v>3051</v>
      </c>
      <c r="C25" s="3910" t="s">
        <v>28</v>
      </c>
      <c r="D25" s="4551">
        <v>54.28</v>
      </c>
      <c r="E25" s="3906">
        <f>51947009/(10^6)</f>
        <v>51.947009000000001</v>
      </c>
      <c r="F25" s="3907">
        <v>60.05</v>
      </c>
      <c r="G25" s="3908">
        <f>'SalesProjection Workings'!L118</f>
        <v>52.106870999999998</v>
      </c>
      <c r="H25" s="3907">
        <v>62.74</v>
      </c>
      <c r="I25" s="3908">
        <f>'SalesProjection Workings'!N118</f>
        <v>53.444546787552618</v>
      </c>
      <c r="K25" s="3885" t="s">
        <v>3060</v>
      </c>
    </row>
    <row r="26" spans="1:11">
      <c r="B26" s="3892" t="s">
        <v>3052</v>
      </c>
      <c r="C26" s="3910" t="s">
        <v>28</v>
      </c>
      <c r="D26" s="4551">
        <v>49.51</v>
      </c>
      <c r="E26" s="3906">
        <f>48009043/(10^6)</f>
        <v>48.009042999999998</v>
      </c>
      <c r="F26" s="3907">
        <v>54.79</v>
      </c>
      <c r="G26" s="3908">
        <f>'SalesProjection Workings'!L119</f>
        <v>47.695689000000002</v>
      </c>
      <c r="H26" s="3907">
        <v>57.33</v>
      </c>
      <c r="I26" s="3908">
        <f>'SalesProjection Workings'!N119</f>
        <v>48.920121922597481</v>
      </c>
      <c r="K26" s="3885" t="s">
        <v>3061</v>
      </c>
    </row>
    <row r="27" spans="1:11">
      <c r="B27" s="3892" t="s">
        <v>3053</v>
      </c>
      <c r="C27" s="3910" t="s">
        <v>28</v>
      </c>
      <c r="D27" s="4551">
        <v>2.66</v>
      </c>
      <c r="E27" s="3906">
        <f>1808761/(10^6)</f>
        <v>1.8087610000000001</v>
      </c>
      <c r="F27" s="3907">
        <v>2.96</v>
      </c>
      <c r="G27" s="3908">
        <f>'SalesProjection Workings'!L120</f>
        <v>1.600147</v>
      </c>
      <c r="H27" s="3907">
        <v>3.1</v>
      </c>
      <c r="I27" s="3908">
        <f>'SalesProjection Workings'!N120</f>
        <v>1.6412256112723016</v>
      </c>
      <c r="K27" s="3885" t="s">
        <v>3062</v>
      </c>
    </row>
    <row r="28" spans="1:11">
      <c r="B28" s="3892" t="s">
        <v>3054</v>
      </c>
      <c r="C28" s="3910" t="s">
        <v>28</v>
      </c>
      <c r="D28" s="4551">
        <v>30.17</v>
      </c>
      <c r="E28" s="3906">
        <f>30994616.59/(10^6)</f>
        <v>30.99461659</v>
      </c>
      <c r="F28" s="3907">
        <v>34.04</v>
      </c>
      <c r="G28" s="3908">
        <f>'SalesProjection Workings'!L121</f>
        <v>29.985994780000002</v>
      </c>
      <c r="H28" s="3907">
        <v>35.979999999999997</v>
      </c>
      <c r="I28" s="3908">
        <f>'SalesProjection Workings'!N121</f>
        <v>30.785385876232155</v>
      </c>
      <c r="K28" s="3885" t="s">
        <v>3063</v>
      </c>
    </row>
    <row r="29" spans="1:11">
      <c r="B29" s="3892" t="s">
        <v>3055</v>
      </c>
      <c r="C29" s="3910" t="s">
        <v>28</v>
      </c>
      <c r="D29" s="4551">
        <v>1.6</v>
      </c>
      <c r="E29" s="3906">
        <f>4058550/(10^6)</f>
        <v>4.0585500000000003</v>
      </c>
      <c r="F29" s="3907">
        <v>1.85</v>
      </c>
      <c r="G29" s="3908">
        <f>'SalesProjection Workings'!L122</f>
        <v>2.269056</v>
      </c>
      <c r="H29" s="3907">
        <v>1.99</v>
      </c>
      <c r="I29" s="3908">
        <f>'SalesProjection Workings'!N122</f>
        <v>2.3273066915796381</v>
      </c>
      <c r="K29" s="3885" t="s">
        <v>3064</v>
      </c>
    </row>
    <row r="30" spans="1:11">
      <c r="B30" s="3892" t="s">
        <v>3056</v>
      </c>
      <c r="C30" s="3910" t="s">
        <v>28</v>
      </c>
      <c r="D30" s="4551">
        <v>36.6</v>
      </c>
      <c r="E30" s="3906">
        <f>36974119/(10^6)</f>
        <v>36.974119000000002</v>
      </c>
      <c r="F30" s="3907">
        <v>46.67</v>
      </c>
      <c r="G30" s="3908">
        <f>'SalesProjection Workings'!L123</f>
        <v>36.367319000000002</v>
      </c>
      <c r="H30" s="3907">
        <v>52.21</v>
      </c>
      <c r="I30" s="3908">
        <f>'SalesProjection Workings'!N123</f>
        <v>37.300932574388348</v>
      </c>
    </row>
    <row r="31" spans="1:11">
      <c r="B31" s="3892" t="s">
        <v>3057</v>
      </c>
      <c r="C31" s="3910" t="s">
        <v>28</v>
      </c>
      <c r="D31" s="4551">
        <v>1.24</v>
      </c>
      <c r="E31" s="3906">
        <f>1413963/(10^6)</f>
        <v>1.4139630000000001</v>
      </c>
      <c r="F31" s="3907">
        <v>1.39</v>
      </c>
      <c r="G31" s="3908">
        <f>'SalesProjection Workings'!L124</f>
        <v>1.2000740000000001</v>
      </c>
      <c r="H31" s="3907">
        <v>1.45</v>
      </c>
      <c r="I31" s="3908">
        <f>'SalesProjection Workings'!N124</f>
        <v>1.2308820278524386</v>
      </c>
    </row>
    <row r="32" spans="1:11">
      <c r="B32" s="3892" t="s">
        <v>3520</v>
      </c>
      <c r="C32" s="3910" t="s">
        <v>28</v>
      </c>
      <c r="D32" s="4551">
        <v>10.64</v>
      </c>
      <c r="E32" s="3906">
        <f>11682083/(10^6)</f>
        <v>11.682083</v>
      </c>
      <c r="F32" s="3907">
        <v>37.159999999999997</v>
      </c>
      <c r="G32" s="3908">
        <f>'SalesProjection Workings'!L125</f>
        <v>12.446819</v>
      </c>
      <c r="H32" s="3907">
        <v>50.48</v>
      </c>
      <c r="I32" s="3908">
        <f>'SalesProjection Workings'!N125</f>
        <v>12.779773157416724</v>
      </c>
    </row>
    <row r="33" spans="2:15">
      <c r="B33" s="3892" t="s">
        <v>3521</v>
      </c>
      <c r="C33" s="3910" t="s">
        <v>28</v>
      </c>
      <c r="D33" s="4551">
        <v>35.799999999999997</v>
      </c>
      <c r="E33" s="3906">
        <f>66403325/(10^6)</f>
        <v>66.403324999999995</v>
      </c>
      <c r="F33" s="3907">
        <v>54.24</v>
      </c>
      <c r="G33" s="3908">
        <f>'SalesProjection Workings'!L126</f>
        <v>73.992159999999998</v>
      </c>
      <c r="H33" s="3907">
        <v>64.23</v>
      </c>
      <c r="I33" s="3908">
        <f>'SalesProjection Workings'!N126</f>
        <v>75.891669968670342</v>
      </c>
    </row>
    <row r="34" spans="2:15">
      <c r="B34" s="3903" t="s">
        <v>2004</v>
      </c>
      <c r="C34" s="3910"/>
      <c r="D34" s="3892"/>
      <c r="E34" s="3908">
        <f>0/(10^6)</f>
        <v>0</v>
      </c>
      <c r="F34" s="3907"/>
      <c r="G34" s="3908"/>
      <c r="H34" s="3907"/>
      <c r="I34" s="3908"/>
    </row>
    <row r="35" spans="2:15">
      <c r="B35" s="3892" t="s">
        <v>3060</v>
      </c>
      <c r="C35" s="3910" t="s">
        <v>28</v>
      </c>
      <c r="D35" s="4551">
        <v>169.4</v>
      </c>
      <c r="E35" s="3908">
        <f>178774663/(10^6)</f>
        <v>178.774663</v>
      </c>
      <c r="F35" s="3908">
        <v>210.1</v>
      </c>
      <c r="G35" s="3908">
        <f>'SalesProjection Workings'!L128</f>
        <v>185.39943</v>
      </c>
      <c r="H35" s="3908">
        <v>231.716666</v>
      </c>
      <c r="I35" s="3908">
        <f>'SalesProjection Workings'!N128</f>
        <v>197.20559168255826</v>
      </c>
    </row>
    <row r="36" spans="2:15">
      <c r="B36" s="3892" t="s">
        <v>3061</v>
      </c>
      <c r="C36" s="3910" t="s">
        <v>28</v>
      </c>
      <c r="D36" s="4551">
        <v>381.59</v>
      </c>
      <c r="E36" s="3908">
        <f>350523313/(10^6)</f>
        <v>350.52331299999997</v>
      </c>
      <c r="F36" s="3908">
        <v>399.5</v>
      </c>
      <c r="G36" s="3908">
        <f>'SalesProjection Workings'!L129</f>
        <v>358.00879500000002</v>
      </c>
      <c r="H36" s="3908">
        <v>431.67666600000001</v>
      </c>
      <c r="I36" s="3908">
        <f>'SalesProjection Workings'!N129</f>
        <v>376.30713842443834</v>
      </c>
    </row>
    <row r="37" spans="2:15">
      <c r="B37" s="3892" t="s">
        <v>3062</v>
      </c>
      <c r="C37" s="3910" t="s">
        <v>28</v>
      </c>
      <c r="D37" s="4551">
        <v>32.270000000000003</v>
      </c>
      <c r="E37" s="3908">
        <f>32819764/(10^6)</f>
        <v>32.819763999999999</v>
      </c>
      <c r="F37" s="3907">
        <v>35.32</v>
      </c>
      <c r="G37" s="3908">
        <f>'SalesProjection Workings'!L130</f>
        <v>33.186438000000003</v>
      </c>
      <c r="H37" s="3907">
        <v>36.75</v>
      </c>
      <c r="I37" s="3908">
        <f>'SalesProjection Workings'!N130</f>
        <v>34.54054419494873</v>
      </c>
    </row>
    <row r="38" spans="2:15">
      <c r="B38" s="3892" t="s">
        <v>3063</v>
      </c>
      <c r="C38" s="3910" t="s">
        <v>28</v>
      </c>
      <c r="D38" s="4551">
        <v>4.01</v>
      </c>
      <c r="E38" s="3908">
        <f>7838175/(10^6)</f>
        <v>7.8381749999999997</v>
      </c>
      <c r="F38" s="3907">
        <v>4.47</v>
      </c>
      <c r="G38" s="3908">
        <f>'SalesProjection Workings'!L131</f>
        <v>11.373238000000001</v>
      </c>
      <c r="H38" s="3907">
        <v>4.6900000000000004</v>
      </c>
      <c r="I38" s="3908">
        <f>'SalesProjection Workings'!N131</f>
        <v>11.665209189340334</v>
      </c>
    </row>
    <row r="39" spans="2:15">
      <c r="B39" s="3892" t="s">
        <v>3519</v>
      </c>
      <c r="C39" s="3910" t="s">
        <v>28</v>
      </c>
      <c r="D39" s="4551">
        <v>34.11</v>
      </c>
      <c r="E39" s="3908">
        <f>82152869/(10^6)</f>
        <v>82.152868999999995</v>
      </c>
      <c r="F39" s="3907">
        <v>40.71</v>
      </c>
      <c r="G39" s="3908">
        <f>'SalesProjection Workings'!L132</f>
        <v>98.320226000000005</v>
      </c>
      <c r="H39" s="3907">
        <v>44.38</v>
      </c>
      <c r="I39" s="3908">
        <f>'SalesProjection Workings'!N132</f>
        <v>103.34551388689785</v>
      </c>
    </row>
    <row r="40" spans="2:15">
      <c r="B40" s="3912" t="s">
        <v>3029</v>
      </c>
      <c r="C40" s="3913"/>
      <c r="D40" s="3914">
        <f>SUM(D10:D39)-D16-D19-D24</f>
        <v>4392.9500000000016</v>
      </c>
      <c r="E40" s="3914">
        <f t="shared" ref="E40:H40" si="4">SUM(E10:E39)-E16-E19-E24</f>
        <v>4351.5211695899998</v>
      </c>
      <c r="F40" s="3914">
        <f t="shared" si="4"/>
        <v>5216.1555459999981</v>
      </c>
      <c r="G40" s="3914">
        <f>SUM(G10:G39)-G16-G19-G24</f>
        <v>4418.8313277799989</v>
      </c>
      <c r="H40" s="3914">
        <f t="shared" si="4"/>
        <v>5734.6633319999974</v>
      </c>
      <c r="I40" s="3914">
        <f>SUM(I10:I39)-I16-I19-I24</f>
        <v>4593.6293562891042</v>
      </c>
    </row>
    <row r="41" spans="2:15">
      <c r="E41" s="5053"/>
      <c r="F41" s="3909"/>
      <c r="H41" s="3909"/>
    </row>
    <row r="43" spans="2:15" hidden="1">
      <c r="B43" s="3900" t="s">
        <v>3030</v>
      </c>
    </row>
    <row r="44" spans="2:15" hidden="1"/>
    <row r="45" spans="2:15" hidden="1">
      <c r="B45" s="5409" t="s">
        <v>1938</v>
      </c>
      <c r="C45" s="5412" t="s">
        <v>2</v>
      </c>
      <c r="D45" s="5408" t="s">
        <v>1845</v>
      </c>
      <c r="E45" s="5408"/>
      <c r="F45" s="5408"/>
      <c r="G45" s="5408" t="s">
        <v>2442</v>
      </c>
      <c r="H45" s="5408"/>
      <c r="I45" s="5408"/>
      <c r="J45" s="5408" t="s">
        <v>3284</v>
      </c>
      <c r="K45" s="5408"/>
      <c r="L45" s="5408"/>
      <c r="M45" s="5408" t="s">
        <v>2443</v>
      </c>
      <c r="N45" s="5408"/>
      <c r="O45" s="5408"/>
    </row>
    <row r="46" spans="2:15" hidden="1">
      <c r="B46" s="5409"/>
      <c r="C46" s="5412"/>
      <c r="D46" s="3915" t="s">
        <v>3031</v>
      </c>
      <c r="E46" s="3915" t="s">
        <v>3032</v>
      </c>
      <c r="F46" s="3915" t="s">
        <v>47</v>
      </c>
      <c r="G46" s="3915" t="s">
        <v>3031</v>
      </c>
      <c r="H46" s="3915" t="s">
        <v>3032</v>
      </c>
      <c r="I46" s="3915" t="s">
        <v>47</v>
      </c>
      <c r="J46" s="3915" t="s">
        <v>3031</v>
      </c>
      <c r="K46" s="3915" t="s">
        <v>3032</v>
      </c>
      <c r="L46" s="3915" t="s">
        <v>47</v>
      </c>
      <c r="M46" s="3915" t="s">
        <v>3031</v>
      </c>
      <c r="N46" s="3915" t="s">
        <v>3032</v>
      </c>
      <c r="O46" s="3915" t="s">
        <v>47</v>
      </c>
    </row>
    <row r="47" spans="2:15" hidden="1">
      <c r="B47" s="3903" t="s">
        <v>1989</v>
      </c>
      <c r="C47" s="3903"/>
      <c r="D47" s="3892"/>
      <c r="E47" s="3892"/>
      <c r="F47" s="3892"/>
      <c r="G47" s="3892"/>
      <c r="H47" s="3892"/>
      <c r="I47" s="3892"/>
      <c r="J47" s="3892"/>
      <c r="K47" s="3892"/>
      <c r="L47" s="3892"/>
      <c r="M47" s="3892"/>
      <c r="N47" s="3892"/>
      <c r="O47" s="3892"/>
    </row>
    <row r="48" spans="2:15" hidden="1">
      <c r="B48" s="3904" t="s">
        <v>14</v>
      </c>
      <c r="C48" s="3905" t="s">
        <v>15</v>
      </c>
      <c r="D48" s="3892">
        <v>189</v>
      </c>
      <c r="E48" s="3892">
        <v>0</v>
      </c>
      <c r="F48" s="3892">
        <f>D48+E48</f>
        <v>189</v>
      </c>
      <c r="G48" s="3916">
        <f t="shared" ref="G48:G67" si="5">$D48/$F48*$I48</f>
        <v>189</v>
      </c>
      <c r="H48" s="3916">
        <f t="shared" ref="H48:H67" si="6">$E48/$F48*$I48</f>
        <v>0</v>
      </c>
      <c r="I48" s="3916">
        <f>'SalesProjection Workings'!K107</f>
        <v>189</v>
      </c>
      <c r="J48" s="3916">
        <v>208</v>
      </c>
      <c r="K48" s="3916">
        <v>0</v>
      </c>
      <c r="L48" s="3916">
        <f>SUM(J48:K48)</f>
        <v>208</v>
      </c>
      <c r="M48" s="3916">
        <f t="shared" ref="M48:M67" si="7">$D48/$F48*$O48</f>
        <v>189</v>
      </c>
      <c r="N48" s="3916">
        <f t="shared" ref="N48:N67" si="8">$E48/$F48*$O48</f>
        <v>0</v>
      </c>
      <c r="O48" s="3916">
        <f>'SalesProjection Workings'!M107</f>
        <v>189</v>
      </c>
    </row>
    <row r="49" spans="1:15" hidden="1">
      <c r="A49" s="3909">
        <f>F49/SUM($F$49:$F$52)</f>
        <v>0.42050516240648084</v>
      </c>
      <c r="B49" s="3904" t="s">
        <v>3018</v>
      </c>
      <c r="C49" s="3910" t="s">
        <v>17</v>
      </c>
      <c r="D49" s="3892">
        <v>296330</v>
      </c>
      <c r="E49" s="3892">
        <v>14544</v>
      </c>
      <c r="F49" s="3892">
        <f t="shared" ref="F49:F67" si="9">D49+E49</f>
        <v>310874</v>
      </c>
      <c r="G49" s="3916">
        <f t="shared" si="5"/>
        <v>302776.55060820997</v>
      </c>
      <c r="H49" s="3916">
        <f t="shared" si="6"/>
        <v>14860.39939272367</v>
      </c>
      <c r="I49" s="3916">
        <f>'SalesProjection Workings'!K108</f>
        <v>317636.9500009336</v>
      </c>
      <c r="J49" s="3916">
        <v>298194</v>
      </c>
      <c r="K49" s="3916">
        <v>14853</v>
      </c>
      <c r="L49" s="3916">
        <f t="shared" ref="L49:L73" si="10">SUM(J49:K49)</f>
        <v>313047</v>
      </c>
      <c r="M49" s="3916">
        <f t="shared" si="7"/>
        <v>309363.34356361459</v>
      </c>
      <c r="N49" s="3916">
        <f t="shared" si="8"/>
        <v>15183.681938343097</v>
      </c>
      <c r="O49" s="3916">
        <f>'SalesProjection Workings'!M108</f>
        <v>324547.02550195769</v>
      </c>
    </row>
    <row r="50" spans="1:15" hidden="1">
      <c r="A50" s="3909">
        <f t="shared" ref="A50:A52" si="11">F50/SUM($F$49:$F$52)</f>
        <v>0.46736517752915985</v>
      </c>
      <c r="B50" s="3904"/>
      <c r="C50" s="3910" t="s">
        <v>18</v>
      </c>
      <c r="D50" s="3892">
        <v>318108</v>
      </c>
      <c r="E50" s="3892">
        <v>27409</v>
      </c>
      <c r="F50" s="3892">
        <f t="shared" si="9"/>
        <v>345517</v>
      </c>
      <c r="G50" s="3916">
        <f t="shared" si="5"/>
        <v>325028.32302121434</v>
      </c>
      <c r="H50" s="3916">
        <f t="shared" si="6"/>
        <v>28005.272755443006</v>
      </c>
      <c r="I50" s="3916">
        <f>'SalesProjection Workings'!K109</f>
        <v>353033.59577665734</v>
      </c>
      <c r="J50" s="3916">
        <v>332881</v>
      </c>
      <c r="K50" s="3916">
        <v>25392</v>
      </c>
      <c r="L50" s="3916">
        <f t="shared" si="10"/>
        <v>358273</v>
      </c>
      <c r="M50" s="3916">
        <f t="shared" si="7"/>
        <v>332099.19513493171</v>
      </c>
      <c r="N50" s="3916">
        <f t="shared" si="8"/>
        <v>28614.517206273787</v>
      </c>
      <c r="O50" s="3916">
        <f>'SalesProjection Workings'!M109</f>
        <v>360713.71234120545</v>
      </c>
    </row>
    <row r="51" spans="1:15" hidden="1">
      <c r="A51" s="3909">
        <f t="shared" si="11"/>
        <v>7.0649152494227541E-2</v>
      </c>
      <c r="B51" s="3904"/>
      <c r="C51" s="3910" t="s">
        <v>19</v>
      </c>
      <c r="D51" s="3892">
        <v>33124</v>
      </c>
      <c r="E51" s="3892">
        <v>19106</v>
      </c>
      <c r="F51" s="3892">
        <f t="shared" si="9"/>
        <v>52230</v>
      </c>
      <c r="G51" s="3916">
        <f t="shared" si="5"/>
        <v>33844.600487113501</v>
      </c>
      <c r="H51" s="3916">
        <f t="shared" si="6"/>
        <v>19521.644031722939</v>
      </c>
      <c r="I51" s="3916">
        <f>'SalesProjection Workings'!K110</f>
        <v>53366.244518836444</v>
      </c>
      <c r="J51" s="3916">
        <v>38875</v>
      </c>
      <c r="K51" s="3916">
        <v>19090</v>
      </c>
      <c r="L51" s="3916">
        <f t="shared" si="10"/>
        <v>57965</v>
      </c>
      <c r="M51" s="3916">
        <f t="shared" si="7"/>
        <v>34580.877373877658</v>
      </c>
      <c r="N51" s="3916">
        <f t="shared" si="8"/>
        <v>19946.330247111055</v>
      </c>
      <c r="O51" s="3916">
        <f>'SalesProjection Workings'!M110</f>
        <v>54527.207620988716</v>
      </c>
    </row>
    <row r="52" spans="1:15" hidden="1">
      <c r="A52" s="3909">
        <f t="shared" si="11"/>
        <v>4.1480507570131761E-2</v>
      </c>
      <c r="B52" s="3904"/>
      <c r="C52" s="3910" t="s">
        <v>20</v>
      </c>
      <c r="D52" s="3892">
        <v>7554</v>
      </c>
      <c r="E52" s="3892">
        <v>23112</v>
      </c>
      <c r="F52" s="3892">
        <f t="shared" si="9"/>
        <v>30666</v>
      </c>
      <c r="G52" s="3916">
        <f t="shared" si="5"/>
        <v>7718.3345030689352</v>
      </c>
      <c r="H52" s="3916">
        <f t="shared" si="6"/>
        <v>23614.793094377714</v>
      </c>
      <c r="I52" s="3916">
        <f>'SalesProjection Workings'!K111</f>
        <v>31333.127597446648</v>
      </c>
      <c r="J52" s="3916">
        <v>10024</v>
      </c>
      <c r="K52" s="3916">
        <v>25926</v>
      </c>
      <c r="L52" s="3916">
        <f t="shared" si="10"/>
        <v>35950</v>
      </c>
      <c r="M52" s="3916">
        <f t="shared" si="7"/>
        <v>7886.2440430585639</v>
      </c>
      <c r="N52" s="3916">
        <f t="shared" si="8"/>
        <v>24128.524268357101</v>
      </c>
      <c r="O52" s="3916">
        <f>'SalesProjection Workings'!M111</f>
        <v>32014.768311415664</v>
      </c>
    </row>
    <row r="53" spans="1:15" hidden="1">
      <c r="A53" s="3909">
        <f>F53/(SUM($F$53:$F$54))</f>
        <v>0.87361677117512659</v>
      </c>
      <c r="B53" s="3904" t="s">
        <v>1991</v>
      </c>
      <c r="C53" s="3910" t="s">
        <v>25</v>
      </c>
      <c r="D53" s="3892">
        <v>201270</v>
      </c>
      <c r="E53" s="3892">
        <v>23177</v>
      </c>
      <c r="F53" s="3892">
        <f t="shared" si="9"/>
        <v>224447</v>
      </c>
      <c r="G53" s="3916">
        <f t="shared" si="5"/>
        <v>201481.61052478431</v>
      </c>
      <c r="H53" s="3916">
        <f t="shared" si="6"/>
        <v>23201.367750449273</v>
      </c>
      <c r="I53" s="3916">
        <f>'SalesProjection Workings'!K112</f>
        <v>224682.97827523356</v>
      </c>
      <c r="J53" s="3916">
        <v>206843</v>
      </c>
      <c r="K53" s="3916">
        <v>21783</v>
      </c>
      <c r="L53" s="3916">
        <f t="shared" si="10"/>
        <v>228626</v>
      </c>
      <c r="M53" s="3916">
        <f t="shared" si="7"/>
        <v>201693.44353187692</v>
      </c>
      <c r="N53" s="3916">
        <f t="shared" si="8"/>
        <v>23225.761120575899</v>
      </c>
      <c r="O53" s="3916">
        <f>'SalesProjection Workings'!M112</f>
        <v>224919.20465245281</v>
      </c>
    </row>
    <row r="54" spans="1:15" hidden="1">
      <c r="A54" s="3909">
        <f>F54/(SUM($F$53:$F$54))</f>
        <v>0.12638322882487341</v>
      </c>
      <c r="B54" s="3904"/>
      <c r="C54" s="3910" t="s">
        <v>26</v>
      </c>
      <c r="D54" s="3892">
        <v>12087</v>
      </c>
      <c r="E54" s="3892">
        <v>20383</v>
      </c>
      <c r="F54" s="3892">
        <f t="shared" si="9"/>
        <v>32470</v>
      </c>
      <c r="G54" s="3916">
        <f t="shared" si="5"/>
        <v>12099.707986352003</v>
      </c>
      <c r="H54" s="3916">
        <f t="shared" si="6"/>
        <v>20404.430204832701</v>
      </c>
      <c r="I54" s="3916">
        <f>'SalesProjection Workings'!K113</f>
        <v>32504.138191184706</v>
      </c>
      <c r="J54" s="3916">
        <v>14174</v>
      </c>
      <c r="K54" s="3916">
        <v>22151</v>
      </c>
      <c r="L54" s="3916">
        <f t="shared" si="10"/>
        <v>36325</v>
      </c>
      <c r="M54" s="3916">
        <f t="shared" si="7"/>
        <v>12112.429333580742</v>
      </c>
      <c r="N54" s="3916">
        <f t="shared" si="8"/>
        <v>20425.882940876665</v>
      </c>
      <c r="O54" s="3916">
        <f>'SalesProjection Workings'!M113</f>
        <v>32538.31227445741</v>
      </c>
    </row>
    <row r="55" spans="1:15" hidden="1">
      <c r="A55" s="3909"/>
      <c r="B55" s="3904" t="s">
        <v>1992</v>
      </c>
      <c r="C55" s="3910" t="s">
        <v>28</v>
      </c>
      <c r="D55" s="3892">
        <v>58</v>
      </c>
      <c r="E55" s="3892">
        <v>5850</v>
      </c>
      <c r="F55" s="3892">
        <f t="shared" si="9"/>
        <v>5908</v>
      </c>
      <c r="G55" s="3916">
        <f t="shared" si="5"/>
        <v>58</v>
      </c>
      <c r="H55" s="3916">
        <f t="shared" si="6"/>
        <v>5850</v>
      </c>
      <c r="I55" s="3916">
        <f>'SalesProjection Workings'!K114</f>
        <v>5908</v>
      </c>
      <c r="J55" s="3916">
        <v>66</v>
      </c>
      <c r="K55" s="3916">
        <v>6106</v>
      </c>
      <c r="L55" s="3916">
        <f t="shared" si="10"/>
        <v>6172</v>
      </c>
      <c r="M55" s="3916">
        <f t="shared" si="7"/>
        <v>58</v>
      </c>
      <c r="N55" s="3916">
        <f t="shared" si="8"/>
        <v>5850</v>
      </c>
      <c r="O55" s="3916">
        <f>'SalesProjection Workings'!M114</f>
        <v>5908</v>
      </c>
    </row>
    <row r="56" spans="1:15" hidden="1">
      <c r="A56" s="3909"/>
      <c r="B56" s="3904" t="s">
        <v>1993</v>
      </c>
      <c r="C56" s="3910" t="s">
        <v>28</v>
      </c>
      <c r="D56" s="3892">
        <v>0</v>
      </c>
      <c r="E56" s="3892">
        <v>2649</v>
      </c>
      <c r="F56" s="3892">
        <f t="shared" si="9"/>
        <v>2649</v>
      </c>
      <c r="G56" s="3916">
        <f t="shared" si="5"/>
        <v>0</v>
      </c>
      <c r="H56" s="3916">
        <f t="shared" si="6"/>
        <v>2649</v>
      </c>
      <c r="I56" s="3916">
        <f>'SalesProjection Workings'!K115</f>
        <v>2649</v>
      </c>
      <c r="J56" s="3916">
        <v>2</v>
      </c>
      <c r="K56" s="3916">
        <v>2693</v>
      </c>
      <c r="L56" s="3916">
        <f t="shared" si="10"/>
        <v>2695</v>
      </c>
      <c r="M56" s="3916">
        <f t="shared" si="7"/>
        <v>0</v>
      </c>
      <c r="N56" s="3916">
        <f t="shared" si="8"/>
        <v>2649</v>
      </c>
      <c r="O56" s="3916">
        <f>'SalesProjection Workings'!M115</f>
        <v>2649</v>
      </c>
    </row>
    <row r="57" spans="1:15" hidden="1">
      <c r="A57" s="3909">
        <f>F57/(SUM($F$57:$F$58))</f>
        <v>0.74346910981800174</v>
      </c>
      <c r="B57" s="3904" t="s">
        <v>3022</v>
      </c>
      <c r="C57" s="3910" t="s">
        <v>25</v>
      </c>
      <c r="D57" s="3892">
        <v>2438</v>
      </c>
      <c r="E57" s="3892">
        <v>3567</v>
      </c>
      <c r="F57" s="3892">
        <f t="shared" si="9"/>
        <v>6005</v>
      </c>
      <c r="G57" s="3916">
        <f t="shared" si="5"/>
        <v>2438</v>
      </c>
      <c r="H57" s="3916">
        <f t="shared" si="6"/>
        <v>3567</v>
      </c>
      <c r="I57" s="3916">
        <f>'SalesProjection Workings'!K116</f>
        <v>6005</v>
      </c>
      <c r="J57" s="3916">
        <v>2715</v>
      </c>
      <c r="K57" s="3916">
        <v>3792</v>
      </c>
      <c r="L57" s="3916">
        <f t="shared" si="10"/>
        <v>6507</v>
      </c>
      <c r="M57" s="3916">
        <f t="shared" si="7"/>
        <v>2438</v>
      </c>
      <c r="N57" s="3916">
        <f t="shared" si="8"/>
        <v>3567</v>
      </c>
      <c r="O57" s="3916">
        <f>'SalesProjection Workings'!M116</f>
        <v>6005</v>
      </c>
    </row>
    <row r="58" spans="1:15" hidden="1">
      <c r="A58" s="3909">
        <f t="shared" ref="A58" si="12">F58/(SUM($F$57:$F$58))</f>
        <v>0.25653089018199826</v>
      </c>
      <c r="B58" s="3904"/>
      <c r="C58" s="3910" t="s">
        <v>26</v>
      </c>
      <c r="D58" s="3892">
        <v>101</v>
      </c>
      <c r="E58" s="3892">
        <v>1971</v>
      </c>
      <c r="F58" s="3892">
        <f t="shared" si="9"/>
        <v>2072</v>
      </c>
      <c r="G58" s="3916">
        <f t="shared" si="5"/>
        <v>101</v>
      </c>
      <c r="H58" s="3916">
        <f t="shared" si="6"/>
        <v>1971</v>
      </c>
      <c r="I58" s="3916">
        <f>'SalesProjection Workings'!K117</f>
        <v>2072</v>
      </c>
      <c r="J58" s="3916">
        <v>124</v>
      </c>
      <c r="K58" s="3916">
        <v>2187</v>
      </c>
      <c r="L58" s="3916">
        <f t="shared" si="10"/>
        <v>2311</v>
      </c>
      <c r="M58" s="3916">
        <f t="shared" si="7"/>
        <v>101</v>
      </c>
      <c r="N58" s="3916">
        <f t="shared" si="8"/>
        <v>1971</v>
      </c>
      <c r="O58" s="3916">
        <f>'SalesProjection Workings'!M117</f>
        <v>2072</v>
      </c>
    </row>
    <row r="59" spans="1:15" hidden="1">
      <c r="B59" s="3904" t="s">
        <v>1995</v>
      </c>
      <c r="C59" s="3910" t="s">
        <v>28</v>
      </c>
      <c r="D59" s="3892">
        <v>11</v>
      </c>
      <c r="E59" s="3892">
        <v>1142</v>
      </c>
      <c r="F59" s="3892">
        <f t="shared" si="9"/>
        <v>1153</v>
      </c>
      <c r="G59" s="3916">
        <f t="shared" si="5"/>
        <v>11</v>
      </c>
      <c r="H59" s="3916">
        <f t="shared" si="6"/>
        <v>1142</v>
      </c>
      <c r="I59" s="3916">
        <f>'SalesProjection Workings'!K118</f>
        <v>1153</v>
      </c>
      <c r="J59" s="3916">
        <v>11</v>
      </c>
      <c r="K59" s="3916">
        <v>1237</v>
      </c>
      <c r="L59" s="3916">
        <f t="shared" si="10"/>
        <v>1248</v>
      </c>
      <c r="M59" s="3916">
        <f t="shared" si="7"/>
        <v>11</v>
      </c>
      <c r="N59" s="3916">
        <f t="shared" si="8"/>
        <v>1142</v>
      </c>
      <c r="O59" s="3916">
        <f>'SalesProjection Workings'!M118</f>
        <v>1153</v>
      </c>
    </row>
    <row r="60" spans="1:15" hidden="1">
      <c r="B60" s="3904" t="s">
        <v>1996</v>
      </c>
      <c r="C60" s="3910" t="s">
        <v>28</v>
      </c>
      <c r="D60" s="3892">
        <v>0</v>
      </c>
      <c r="E60" s="3892">
        <v>120</v>
      </c>
      <c r="F60" s="3892">
        <f t="shared" si="9"/>
        <v>120</v>
      </c>
      <c r="G60" s="3916">
        <f t="shared" si="5"/>
        <v>0</v>
      </c>
      <c r="H60" s="3916">
        <f t="shared" si="6"/>
        <v>120</v>
      </c>
      <c r="I60" s="3916">
        <f>'SalesProjection Workings'!K119</f>
        <v>120</v>
      </c>
      <c r="J60" s="3916">
        <v>1</v>
      </c>
      <c r="K60" s="3916">
        <v>129</v>
      </c>
      <c r="L60" s="3916">
        <f t="shared" si="10"/>
        <v>130</v>
      </c>
      <c r="M60" s="3916">
        <f t="shared" si="7"/>
        <v>0</v>
      </c>
      <c r="N60" s="3916">
        <f t="shared" si="8"/>
        <v>120</v>
      </c>
      <c r="O60" s="3916">
        <f>'SalesProjection Workings'!M119</f>
        <v>120</v>
      </c>
    </row>
    <row r="61" spans="1:15" hidden="1">
      <c r="B61" s="3904" t="s">
        <v>3023</v>
      </c>
      <c r="C61" s="3910" t="s">
        <v>28</v>
      </c>
      <c r="D61" s="3892">
        <v>770</v>
      </c>
      <c r="E61" s="3892">
        <v>147</v>
      </c>
      <c r="F61" s="3892">
        <f t="shared" si="9"/>
        <v>917</v>
      </c>
      <c r="G61" s="3916">
        <f t="shared" si="5"/>
        <v>770</v>
      </c>
      <c r="H61" s="3916">
        <f t="shared" si="6"/>
        <v>147</v>
      </c>
      <c r="I61" s="3916">
        <f>'SalesProjection Workings'!K120</f>
        <v>917</v>
      </c>
      <c r="J61" s="3916">
        <v>809</v>
      </c>
      <c r="K61" s="3916">
        <v>145</v>
      </c>
      <c r="L61" s="3916">
        <f t="shared" si="10"/>
        <v>954</v>
      </c>
      <c r="M61" s="3916">
        <f t="shared" si="7"/>
        <v>770</v>
      </c>
      <c r="N61" s="3916">
        <f t="shared" si="8"/>
        <v>147</v>
      </c>
      <c r="O61" s="3916">
        <f>'SalesProjection Workings'!M120</f>
        <v>917</v>
      </c>
    </row>
    <row r="62" spans="1:15" hidden="1">
      <c r="B62" s="3904" t="s">
        <v>3024</v>
      </c>
      <c r="C62" s="3910" t="s">
        <v>28</v>
      </c>
      <c r="D62" s="3892">
        <v>604</v>
      </c>
      <c r="E62" s="3892">
        <v>124</v>
      </c>
      <c r="F62" s="3892">
        <f t="shared" si="9"/>
        <v>728</v>
      </c>
      <c r="G62" s="3916">
        <f t="shared" si="5"/>
        <v>604.58125151564627</v>
      </c>
      <c r="H62" s="3916">
        <f t="shared" si="6"/>
        <v>124.11932978135785</v>
      </c>
      <c r="I62" s="3916">
        <f>'SalesProjection Workings'!K121</f>
        <v>728.70058129700408</v>
      </c>
      <c r="J62" s="3916">
        <v>576</v>
      </c>
      <c r="K62" s="3916">
        <v>131</v>
      </c>
      <c r="L62" s="3916">
        <f t="shared" si="10"/>
        <v>707</v>
      </c>
      <c r="M62" s="3916">
        <f t="shared" si="7"/>
        <v>605.16306239110122</v>
      </c>
      <c r="N62" s="3916">
        <f t="shared" si="8"/>
        <v>124.23877439817309</v>
      </c>
      <c r="O62" s="3916">
        <f>'SalesProjection Workings'!M121</f>
        <v>729.40183678927428</v>
      </c>
    </row>
    <row r="63" spans="1:15" hidden="1">
      <c r="B63" s="3904" t="s">
        <v>1999</v>
      </c>
      <c r="C63" s="3910" t="s">
        <v>28</v>
      </c>
      <c r="D63" s="3892">
        <v>1</v>
      </c>
      <c r="E63" s="3892">
        <v>2</v>
      </c>
      <c r="F63" s="3892">
        <f t="shared" si="9"/>
        <v>3</v>
      </c>
      <c r="G63" s="3916">
        <f t="shared" si="5"/>
        <v>1</v>
      </c>
      <c r="H63" s="3916">
        <f t="shared" si="6"/>
        <v>2</v>
      </c>
      <c r="I63" s="3916">
        <f>'SalesProjection Workings'!K122</f>
        <v>3</v>
      </c>
      <c r="J63" s="3916">
        <v>1</v>
      </c>
      <c r="K63" s="3916">
        <v>3</v>
      </c>
      <c r="L63" s="3916">
        <f t="shared" si="10"/>
        <v>4</v>
      </c>
      <c r="M63" s="3916">
        <f t="shared" si="7"/>
        <v>1</v>
      </c>
      <c r="N63" s="3916">
        <f t="shared" si="8"/>
        <v>2</v>
      </c>
      <c r="O63" s="3916">
        <f>'SalesProjection Workings'!M122</f>
        <v>3</v>
      </c>
    </row>
    <row r="64" spans="1:15" hidden="1">
      <c r="B64" s="3904" t="s">
        <v>2000</v>
      </c>
      <c r="C64" s="3910" t="s">
        <v>28</v>
      </c>
      <c r="D64" s="3892">
        <v>150</v>
      </c>
      <c r="E64" s="3892">
        <v>1502</v>
      </c>
      <c r="F64" s="3892">
        <f t="shared" si="9"/>
        <v>1652</v>
      </c>
      <c r="G64" s="3916">
        <f t="shared" si="5"/>
        <v>150</v>
      </c>
      <c r="H64" s="3916">
        <f t="shared" si="6"/>
        <v>1502</v>
      </c>
      <c r="I64" s="3916">
        <f>'SalesProjection Workings'!K123</f>
        <v>1652</v>
      </c>
      <c r="J64" s="3916">
        <v>118</v>
      </c>
      <c r="K64" s="3916">
        <v>1459</v>
      </c>
      <c r="L64" s="3916">
        <f t="shared" si="10"/>
        <v>1577</v>
      </c>
      <c r="M64" s="3916">
        <f t="shared" si="7"/>
        <v>150</v>
      </c>
      <c r="N64" s="3916">
        <f t="shared" si="8"/>
        <v>1502</v>
      </c>
      <c r="O64" s="3916">
        <f>'SalesProjection Workings'!M123</f>
        <v>1652</v>
      </c>
    </row>
    <row r="65" spans="2:15" hidden="1">
      <c r="B65" s="3904" t="s">
        <v>2001</v>
      </c>
      <c r="C65" s="3910" t="s">
        <v>28</v>
      </c>
      <c r="D65" s="3892">
        <v>9</v>
      </c>
      <c r="E65" s="3892">
        <v>20</v>
      </c>
      <c r="F65" s="3892">
        <f t="shared" si="9"/>
        <v>29</v>
      </c>
      <c r="G65" s="3916">
        <f t="shared" si="5"/>
        <v>9</v>
      </c>
      <c r="H65" s="3916">
        <f t="shared" si="6"/>
        <v>20</v>
      </c>
      <c r="I65" s="3916">
        <f>'SalesProjection Workings'!K124</f>
        <v>29</v>
      </c>
      <c r="J65" s="3916">
        <v>8</v>
      </c>
      <c r="K65" s="3916">
        <v>15</v>
      </c>
      <c r="L65" s="3916">
        <f t="shared" si="10"/>
        <v>23</v>
      </c>
      <c r="M65" s="3916">
        <f t="shared" si="7"/>
        <v>9</v>
      </c>
      <c r="N65" s="3916">
        <f t="shared" si="8"/>
        <v>20</v>
      </c>
      <c r="O65" s="3916">
        <f>'SalesProjection Workings'!M124</f>
        <v>29</v>
      </c>
    </row>
    <row r="66" spans="2:15" hidden="1">
      <c r="B66" s="3911" t="s">
        <v>3025</v>
      </c>
      <c r="C66" s="3910" t="s">
        <v>28</v>
      </c>
      <c r="D66" s="3892">
        <v>1443</v>
      </c>
      <c r="E66" s="3892">
        <v>609</v>
      </c>
      <c r="F66" s="3892">
        <f t="shared" si="9"/>
        <v>2052</v>
      </c>
      <c r="G66" s="3916">
        <f t="shared" si="5"/>
        <v>1444.5171361219443</v>
      </c>
      <c r="H66" s="3916">
        <f t="shared" si="6"/>
        <v>609.64028821778516</v>
      </c>
      <c r="I66" s="3916">
        <f>'SalesProjection Workings'!K125</f>
        <v>2054.1574243397295</v>
      </c>
      <c r="J66" s="3916">
        <v>1470</v>
      </c>
      <c r="K66" s="3916">
        <v>627</v>
      </c>
      <c r="L66" s="3916">
        <f t="shared" si="10"/>
        <v>2097</v>
      </c>
      <c r="M66" s="3916">
        <f t="shared" si="7"/>
        <v>1446.0358673249784</v>
      </c>
      <c r="N66" s="3916">
        <f t="shared" si="8"/>
        <v>610.28124961948151</v>
      </c>
      <c r="O66" s="3916">
        <f>'SalesProjection Workings'!M125</f>
        <v>2056.3171169444599</v>
      </c>
    </row>
    <row r="67" spans="2:15" hidden="1">
      <c r="B67" s="3911" t="s">
        <v>3026</v>
      </c>
      <c r="C67" s="3910" t="s">
        <v>28</v>
      </c>
      <c r="D67" s="3892">
        <v>3</v>
      </c>
      <c r="E67" s="3892">
        <v>490</v>
      </c>
      <c r="F67" s="3892">
        <f t="shared" si="9"/>
        <v>493</v>
      </c>
      <c r="G67" s="3916">
        <f t="shared" si="5"/>
        <v>3</v>
      </c>
      <c r="H67" s="3916">
        <f t="shared" si="6"/>
        <v>490</v>
      </c>
      <c r="I67" s="3916">
        <f>'SalesProjection Workings'!K126</f>
        <v>493</v>
      </c>
      <c r="J67" s="3916">
        <v>3</v>
      </c>
      <c r="K67" s="3916">
        <v>409</v>
      </c>
      <c r="L67" s="3916">
        <f t="shared" si="10"/>
        <v>412</v>
      </c>
      <c r="M67" s="3916">
        <f t="shared" si="7"/>
        <v>3</v>
      </c>
      <c r="N67" s="3916">
        <f t="shared" si="8"/>
        <v>490</v>
      </c>
      <c r="O67" s="3916">
        <f>'SalesProjection Workings'!M126</f>
        <v>493</v>
      </c>
    </row>
    <row r="68" spans="2:15" hidden="1">
      <c r="B68" s="3903" t="s">
        <v>2004</v>
      </c>
      <c r="C68" s="3910"/>
      <c r="D68" s="3892"/>
      <c r="E68" s="3892"/>
      <c r="F68" s="3892"/>
      <c r="G68" s="3916"/>
      <c r="H68" s="3916"/>
      <c r="I68" s="3916">
        <f>'SalesProjection Workings'!K127</f>
        <v>0</v>
      </c>
      <c r="J68" s="3916"/>
      <c r="K68" s="3916"/>
      <c r="L68" s="3916"/>
      <c r="M68" s="3916"/>
      <c r="N68" s="3916"/>
      <c r="O68" s="3916"/>
    </row>
    <row r="69" spans="2:15" hidden="1">
      <c r="B69" s="3904" t="s">
        <v>3027</v>
      </c>
      <c r="C69" s="3910" t="s">
        <v>28</v>
      </c>
      <c r="D69" s="3892">
        <v>0</v>
      </c>
      <c r="E69" s="3892">
        <v>41</v>
      </c>
      <c r="F69" s="3892">
        <f>D69+E69</f>
        <v>41</v>
      </c>
      <c r="G69" s="3916">
        <f>$D69/$F69*$I69</f>
        <v>0</v>
      </c>
      <c r="H69" s="3916">
        <f>$E69/$F69*$I69</f>
        <v>42.519317348678207</v>
      </c>
      <c r="I69" s="3916">
        <f>'SalesProjection Workings'!K128</f>
        <v>42.519317348678207</v>
      </c>
      <c r="J69" s="3916">
        <v>0</v>
      </c>
      <c r="K69" s="3916">
        <v>42</v>
      </c>
      <c r="L69" s="3916">
        <f t="shared" si="10"/>
        <v>42</v>
      </c>
      <c r="M69" s="3916">
        <f>$D69/$F69*$O69</f>
        <v>0</v>
      </c>
      <c r="N69" s="3916">
        <f>$E69/$F69*$O69</f>
        <v>44.094935312136769</v>
      </c>
      <c r="O69" s="3916">
        <f>'SalesProjection Workings'!M128</f>
        <v>44.094935312136769</v>
      </c>
    </row>
    <row r="70" spans="2:15" hidden="1">
      <c r="B70" s="3904" t="s">
        <v>3028</v>
      </c>
      <c r="C70" s="3910" t="s">
        <v>28</v>
      </c>
      <c r="D70" s="3892">
        <v>0</v>
      </c>
      <c r="E70" s="3892">
        <v>103</v>
      </c>
      <c r="F70" s="3892">
        <f>D70+E70</f>
        <v>103</v>
      </c>
      <c r="G70" s="3916">
        <f>$D70/$F70*$I70</f>
        <v>0</v>
      </c>
      <c r="H70" s="3916">
        <f>$E70/$F70*$I70</f>
        <v>105.55470147087884</v>
      </c>
      <c r="I70" s="3916">
        <f>'SalesProjection Workings'!K129</f>
        <v>105.55470147087884</v>
      </c>
      <c r="J70" s="3916">
        <v>0</v>
      </c>
      <c r="K70" s="3916">
        <v>104</v>
      </c>
      <c r="L70" s="3916">
        <f t="shared" si="10"/>
        <v>104</v>
      </c>
      <c r="M70" s="3916">
        <f>$D70/$F70*$O70</f>
        <v>0</v>
      </c>
      <c r="N70" s="3916">
        <f>$E70/$F70*$O70</f>
        <v>108.17276701559564</v>
      </c>
      <c r="O70" s="3916">
        <f>'SalesProjection Workings'!M129</f>
        <v>108.17276701559564</v>
      </c>
    </row>
    <row r="71" spans="2:15" hidden="1">
      <c r="B71" s="3904" t="s">
        <v>43</v>
      </c>
      <c r="C71" s="3910" t="s">
        <v>28</v>
      </c>
      <c r="D71" s="3892">
        <v>0</v>
      </c>
      <c r="E71" s="3892">
        <v>13</v>
      </c>
      <c r="F71" s="3892">
        <f>D71+E71</f>
        <v>13</v>
      </c>
      <c r="G71" s="3916">
        <f>$D71/$F71*$I71</f>
        <v>0</v>
      </c>
      <c r="H71" s="3916">
        <f>$E71/$F71*$I71</f>
        <v>13.191782533759952</v>
      </c>
      <c r="I71" s="3916">
        <f>'SalesProjection Workings'!K130</f>
        <v>13.191782533759952</v>
      </c>
      <c r="J71" s="3916">
        <v>0</v>
      </c>
      <c r="K71" s="3916">
        <v>10</v>
      </c>
      <c r="L71" s="3916">
        <f t="shared" si="10"/>
        <v>10</v>
      </c>
      <c r="M71" s="3916">
        <f>$D71/$F71*$O71</f>
        <v>0</v>
      </c>
      <c r="N71" s="3916">
        <f>$E71/$F71*$O71</f>
        <v>13.386394339847239</v>
      </c>
      <c r="O71" s="3916">
        <f>'SalesProjection Workings'!M130</f>
        <v>13.386394339847239</v>
      </c>
    </row>
    <row r="72" spans="2:15" hidden="1">
      <c r="B72" s="3904" t="s">
        <v>44</v>
      </c>
      <c r="C72" s="3910" t="s">
        <v>28</v>
      </c>
      <c r="D72" s="3892">
        <v>0</v>
      </c>
      <c r="E72" s="3892">
        <v>6</v>
      </c>
      <c r="F72" s="3892">
        <f>D72+E72</f>
        <v>6</v>
      </c>
      <c r="G72" s="3916">
        <f>$D72/$F72*$I72</f>
        <v>0</v>
      </c>
      <c r="H72" s="3916">
        <f>$E72/$F72*$I72</f>
        <v>6</v>
      </c>
      <c r="I72" s="3916">
        <f>'SalesProjection Workings'!K131</f>
        <v>6</v>
      </c>
      <c r="J72" s="3916">
        <v>0</v>
      </c>
      <c r="K72" s="3916">
        <v>3</v>
      </c>
      <c r="L72" s="3916">
        <f t="shared" si="10"/>
        <v>3</v>
      </c>
      <c r="M72" s="3916">
        <f>$D72/$F72*$O72</f>
        <v>0</v>
      </c>
      <c r="N72" s="3916">
        <f>$E72/$F72*$O72</f>
        <v>6</v>
      </c>
      <c r="O72" s="3916">
        <f>'SalesProjection Workings'!M131</f>
        <v>6</v>
      </c>
    </row>
    <row r="73" spans="2:15" hidden="1">
      <c r="B73" s="3904" t="s">
        <v>45</v>
      </c>
      <c r="C73" s="3910" t="s">
        <v>28</v>
      </c>
      <c r="D73" s="3892">
        <v>0</v>
      </c>
      <c r="E73" s="3892">
        <v>16</v>
      </c>
      <c r="F73" s="3892">
        <f>D73+E73</f>
        <v>16</v>
      </c>
      <c r="G73" s="3916">
        <f>$D73/$F73*$I73</f>
        <v>0</v>
      </c>
      <c r="H73" s="3916">
        <f>$E73/$F73*$I73</f>
        <v>16.39684683042778</v>
      </c>
      <c r="I73" s="3916">
        <f>'SalesProjection Workings'!K132</f>
        <v>16.39684683042778</v>
      </c>
      <c r="J73" s="3916">
        <v>0</v>
      </c>
      <c r="K73" s="3916">
        <v>15</v>
      </c>
      <c r="L73" s="3916">
        <f t="shared" si="10"/>
        <v>15</v>
      </c>
      <c r="M73" s="3916">
        <f>$D73/$F73*$O73</f>
        <v>0</v>
      </c>
      <c r="N73" s="3916">
        <f>$E73/$F73*$O73</f>
        <v>16.803536623781845</v>
      </c>
      <c r="O73" s="3916">
        <f>'SalesProjection Workings'!M132</f>
        <v>16.803536623781845</v>
      </c>
    </row>
    <row r="74" spans="2:15" hidden="1">
      <c r="B74" s="3912" t="s">
        <v>3029</v>
      </c>
      <c r="C74" s="3913"/>
      <c r="D74" s="3917">
        <f>SUM(D48:D73)</f>
        <v>874250</v>
      </c>
      <c r="E74" s="3917">
        <f t="shared" ref="E74:I74" si="13">SUM(E48:E73)</f>
        <v>146103</v>
      </c>
      <c r="F74" s="3917">
        <f>SUM(F48:F73)</f>
        <v>1020353</v>
      </c>
      <c r="G74" s="3917">
        <f t="shared" si="13"/>
        <v>888728.22551838064</v>
      </c>
      <c r="H74" s="3917">
        <f t="shared" si="13"/>
        <v>147985.32949573224</v>
      </c>
      <c r="I74" s="3917">
        <f t="shared" si="13"/>
        <v>1036713.5550141128</v>
      </c>
      <c r="J74" s="3917">
        <f t="shared" ref="J74:O74" si="14">SUM(J48:J73)</f>
        <v>907103</v>
      </c>
      <c r="K74" s="3917">
        <f t="shared" si="14"/>
        <v>148302</v>
      </c>
      <c r="L74" s="3917">
        <f t="shared" si="14"/>
        <v>1055405</v>
      </c>
      <c r="M74" s="3917">
        <f t="shared" si="14"/>
        <v>903516.73191065644</v>
      </c>
      <c r="N74" s="3917">
        <f t="shared" si="14"/>
        <v>149907.67537884659</v>
      </c>
      <c r="O74" s="3917">
        <f t="shared" si="14"/>
        <v>1053424.4072895027</v>
      </c>
    </row>
    <row r="75" spans="2:15" hidden="1"/>
    <row r="76" spans="2:15" hidden="1"/>
  </sheetData>
  <mergeCells count="12">
    <mergeCell ref="M45:O45"/>
    <mergeCell ref="B8:B9"/>
    <mergeCell ref="C8:C9"/>
    <mergeCell ref="D8:D9"/>
    <mergeCell ref="B45:B46"/>
    <mergeCell ref="C45:C46"/>
    <mergeCell ref="D45:F45"/>
    <mergeCell ref="G45:I45"/>
    <mergeCell ref="J45:L45"/>
    <mergeCell ref="E8:E9"/>
    <mergeCell ref="F8:G8"/>
    <mergeCell ref="H8:I8"/>
  </mergeCells>
  <printOptions horizontalCentered="1"/>
  <pageMargins left="0.2" right="0.15748031496063" top="0.90748031500000004" bottom="0.15748031496063" header="0.15748031496063" footer="0.15748031496063"/>
  <pageSetup paperSize="9" scale="94" orientation="landscape" horizontalDpi="4294967295" r:id="rId1"/>
  <headerFooter alignWithMargins="0"/>
  <rowBreaks count="1" manualBreakCount="1">
    <brk id="40" min="1" max="8" man="1"/>
  </rowBreaks>
</worksheet>
</file>

<file path=xl/worksheets/sheet150.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sheetPr>
    <pageSetUpPr fitToPage="1"/>
  </sheetPr>
  <dimension ref="A2:P117"/>
  <sheetViews>
    <sheetView showGridLines="0" view="pageBreakPreview" topLeftCell="A59" zoomScale="70" zoomScaleNormal="60" zoomScaleSheetLayoutView="70" zoomScalePageLayoutView="110" workbookViewId="0">
      <selection activeCell="A73" sqref="A73:XFD105"/>
    </sheetView>
  </sheetViews>
  <sheetFormatPr defaultRowHeight="15.75"/>
  <cols>
    <col min="1" max="1" width="15.7109375" style="267" customWidth="1"/>
    <col min="2" max="2" width="30.42578125" style="267" customWidth="1"/>
    <col min="3" max="16" width="16.7109375" style="267" customWidth="1"/>
    <col min="17" max="16384" width="9.140625" style="267"/>
  </cols>
  <sheetData>
    <row r="2" spans="2:16" ht="18.75" customHeight="1">
      <c r="C2" s="4715"/>
      <c r="D2" s="4715"/>
      <c r="E2" s="4715"/>
      <c r="F2" s="4715"/>
      <c r="G2" s="4716" t="s">
        <v>170</v>
      </c>
      <c r="H2" s="4715"/>
      <c r="I2" s="4715"/>
      <c r="J2" s="4715"/>
      <c r="K2" s="4715"/>
      <c r="L2" s="4715"/>
      <c r="M2" s="4715"/>
      <c r="N2" s="4715"/>
      <c r="O2" s="4715"/>
    </row>
    <row r="3" spans="2:16" ht="18.75" customHeight="1">
      <c r="C3" s="4715"/>
      <c r="D3" s="4715"/>
      <c r="E3" s="4715"/>
      <c r="F3" s="4715"/>
      <c r="G3" s="4716" t="s">
        <v>3914</v>
      </c>
      <c r="H3" s="4715"/>
      <c r="I3" s="4715"/>
      <c r="J3" s="4715"/>
      <c r="K3" s="4715"/>
      <c r="L3" s="4715"/>
      <c r="M3" s="4715"/>
      <c r="N3" s="4715"/>
      <c r="O3" s="4715"/>
    </row>
    <row r="4" spans="2:16" ht="18.75" customHeight="1">
      <c r="C4" s="4715"/>
      <c r="D4" s="4715"/>
      <c r="E4" s="4715"/>
      <c r="F4" s="4715"/>
      <c r="G4" s="4716" t="s">
        <v>3510</v>
      </c>
      <c r="H4" s="4715"/>
      <c r="I4" s="4715"/>
      <c r="J4" s="4715"/>
      <c r="K4" s="4715"/>
      <c r="L4" s="4715"/>
      <c r="M4" s="4715"/>
      <c r="N4" s="4715"/>
      <c r="O4" s="4715"/>
      <c r="P4" s="3536"/>
    </row>
    <row r="5" spans="2:16">
      <c r="B5" s="4718" t="s">
        <v>3572</v>
      </c>
      <c r="C5" s="4717"/>
      <c r="D5" s="4717"/>
      <c r="E5" s="4717"/>
      <c r="F5" s="4717"/>
      <c r="G5" s="4717"/>
      <c r="H5" s="4717"/>
      <c r="I5" s="4717"/>
      <c r="J5" s="4717"/>
      <c r="K5" s="4717"/>
      <c r="L5" s="4717"/>
      <c r="M5" s="4717"/>
      <c r="N5" s="4717"/>
      <c r="O5" s="3536"/>
      <c r="P5" s="3536"/>
    </row>
    <row r="6" spans="2:16">
      <c r="B6" s="4718"/>
      <c r="C6" s="4717"/>
      <c r="D6" s="4717"/>
      <c r="E6" s="4717"/>
      <c r="F6" s="4717"/>
      <c r="G6" s="4717"/>
      <c r="H6" s="4717"/>
      <c r="I6" s="4717"/>
      <c r="J6" s="4717"/>
      <c r="K6" s="4717"/>
      <c r="L6" s="4717"/>
      <c r="M6" s="4717"/>
      <c r="N6" s="4717"/>
      <c r="O6" s="3536"/>
      <c r="P6" s="3536" t="s">
        <v>3573</v>
      </c>
    </row>
    <row r="7" spans="2:16" s="3153" customFormat="1" ht="19.5" customHeight="1">
      <c r="B7" s="4711" t="s">
        <v>1</v>
      </c>
      <c r="C7" s="4712" t="s">
        <v>2</v>
      </c>
      <c r="D7" s="1610" t="s">
        <v>3185</v>
      </c>
      <c r="E7" s="1610" t="s">
        <v>3186</v>
      </c>
      <c r="F7" s="1610" t="s">
        <v>3187</v>
      </c>
      <c r="G7" s="1610" t="s">
        <v>3188</v>
      </c>
      <c r="H7" s="1610" t="s">
        <v>3189</v>
      </c>
      <c r="I7" s="1610" t="s">
        <v>3190</v>
      </c>
      <c r="J7" s="1610" t="s">
        <v>3191</v>
      </c>
      <c r="K7" s="1610" t="s">
        <v>3192</v>
      </c>
      <c r="L7" s="1610" t="s">
        <v>3193</v>
      </c>
      <c r="M7" s="1610" t="s">
        <v>3194</v>
      </c>
      <c r="N7" s="1610" t="s">
        <v>3195</v>
      </c>
      <c r="O7" s="1610" t="s">
        <v>3196</v>
      </c>
      <c r="P7" s="1610" t="s">
        <v>47</v>
      </c>
    </row>
    <row r="8" spans="2:16" s="3153" customFormat="1" ht="19.5" customHeight="1">
      <c r="B8" s="5418" t="s">
        <v>1989</v>
      </c>
      <c r="C8" s="5418"/>
      <c r="D8" s="5418"/>
      <c r="E8" s="5418"/>
      <c r="F8" s="5418"/>
      <c r="G8" s="5418"/>
      <c r="H8" s="5418"/>
      <c r="I8" s="5418"/>
      <c r="J8" s="5418"/>
      <c r="K8" s="5418"/>
      <c r="L8" s="5418"/>
      <c r="M8" s="5418"/>
      <c r="N8" s="5418"/>
      <c r="O8" s="5418"/>
      <c r="P8" s="5418"/>
    </row>
    <row r="9" spans="2:16" s="3153" customFormat="1" ht="19.5" customHeight="1">
      <c r="B9" s="4675" t="s">
        <v>14</v>
      </c>
      <c r="C9" s="4675" t="s">
        <v>15</v>
      </c>
      <c r="D9" s="4675">
        <v>36022</v>
      </c>
      <c r="E9" s="4675">
        <v>45745</v>
      </c>
      <c r="F9" s="4675">
        <v>42017</v>
      </c>
      <c r="G9" s="4675">
        <v>49102</v>
      </c>
      <c r="H9" s="4675">
        <v>50879</v>
      </c>
      <c r="I9" s="4675">
        <v>47620</v>
      </c>
      <c r="J9" s="4675">
        <v>55544</v>
      </c>
      <c r="K9" s="4675">
        <v>57350</v>
      </c>
      <c r="L9" s="4675">
        <v>-12917</v>
      </c>
      <c r="M9" s="4675">
        <v>5412</v>
      </c>
      <c r="N9" s="4675">
        <v>2476</v>
      </c>
      <c r="O9" s="4675">
        <v>6351</v>
      </c>
      <c r="P9" s="4675">
        <f>SUM(D9:O9)</f>
        <v>385601</v>
      </c>
    </row>
    <row r="10" spans="2:16" s="3153" customFormat="1" ht="19.5" customHeight="1">
      <c r="B10" s="4675" t="s">
        <v>1917</v>
      </c>
      <c r="C10" s="4675" t="s">
        <v>17</v>
      </c>
      <c r="D10" s="4675">
        <v>56381496</v>
      </c>
      <c r="E10" s="4675">
        <v>57810413</v>
      </c>
      <c r="F10" s="4675">
        <v>57820183</v>
      </c>
      <c r="G10" s="4675">
        <v>58964755</v>
      </c>
      <c r="H10" s="4675">
        <v>58842330</v>
      </c>
      <c r="I10" s="4675">
        <v>58426187</v>
      </c>
      <c r="J10" s="4675">
        <v>58521456</v>
      </c>
      <c r="K10" s="4675">
        <v>58785361</v>
      </c>
      <c r="L10" s="4675">
        <v>56485974</v>
      </c>
      <c r="M10" s="4675">
        <v>54637158</v>
      </c>
      <c r="N10" s="4675">
        <v>54653904</v>
      </c>
      <c r="O10" s="4675">
        <v>56527683</v>
      </c>
      <c r="P10" s="4786">
        <f t="shared" ref="P10:P36" si="0">SUM(D10:O10)</f>
        <v>687856900</v>
      </c>
    </row>
    <row r="11" spans="2:16" s="3153" customFormat="1" ht="19.5" customHeight="1">
      <c r="B11" s="4675"/>
      <c r="C11" s="4675" t="s">
        <v>18</v>
      </c>
      <c r="D11" s="4675">
        <v>45124345</v>
      </c>
      <c r="E11" s="4675">
        <v>54692978</v>
      </c>
      <c r="F11" s="4675">
        <v>53168687</v>
      </c>
      <c r="G11" s="4675">
        <v>56025688</v>
      </c>
      <c r="H11" s="4675">
        <v>53856105</v>
      </c>
      <c r="I11" s="4675">
        <v>53137134</v>
      </c>
      <c r="J11" s="4675">
        <v>52820764</v>
      </c>
      <c r="K11" s="4675">
        <v>56598688</v>
      </c>
      <c r="L11" s="4675">
        <v>43571451</v>
      </c>
      <c r="M11" s="4675">
        <v>35904583</v>
      </c>
      <c r="N11" s="4675">
        <v>37363271</v>
      </c>
      <c r="O11" s="4675">
        <v>42050230</v>
      </c>
      <c r="P11" s="4786">
        <f t="shared" si="0"/>
        <v>584313924</v>
      </c>
    </row>
    <row r="12" spans="2:16" s="3153" customFormat="1" ht="19.5" customHeight="1">
      <c r="B12" s="4675"/>
      <c r="C12" s="4675" t="s">
        <v>19</v>
      </c>
      <c r="D12" s="4675">
        <v>13425346</v>
      </c>
      <c r="E12" s="4675">
        <v>19453515</v>
      </c>
      <c r="F12" s="4675">
        <v>19003277</v>
      </c>
      <c r="G12" s="4675">
        <v>19134971</v>
      </c>
      <c r="H12" s="4675">
        <v>16464818</v>
      </c>
      <c r="I12" s="4675">
        <v>15590584</v>
      </c>
      <c r="J12" s="4675">
        <v>15839552</v>
      </c>
      <c r="K12" s="4675">
        <v>18478747</v>
      </c>
      <c r="L12" s="4675">
        <v>11627239</v>
      </c>
      <c r="M12" s="4675">
        <v>9042845</v>
      </c>
      <c r="N12" s="4675">
        <v>9427555</v>
      </c>
      <c r="O12" s="4675">
        <v>11042432</v>
      </c>
      <c r="P12" s="4786">
        <f t="shared" si="0"/>
        <v>178530881</v>
      </c>
    </row>
    <row r="13" spans="2:16" s="3153" customFormat="1" ht="19.5" customHeight="1">
      <c r="B13" s="4675"/>
      <c r="C13" s="4675" t="s">
        <v>20</v>
      </c>
      <c r="D13" s="4675">
        <v>25563436</v>
      </c>
      <c r="E13" s="4675">
        <v>37289078</v>
      </c>
      <c r="F13" s="4675">
        <v>34826129</v>
      </c>
      <c r="G13" s="4675">
        <v>36886419</v>
      </c>
      <c r="H13" s="4675">
        <v>31433346</v>
      </c>
      <c r="I13" s="4675">
        <v>30011207</v>
      </c>
      <c r="J13" s="4675">
        <v>30252357</v>
      </c>
      <c r="K13" s="4675">
        <v>35432124</v>
      </c>
      <c r="L13" s="4675">
        <v>24849411</v>
      </c>
      <c r="M13" s="4675">
        <v>20877155</v>
      </c>
      <c r="N13" s="4675">
        <v>20483155</v>
      </c>
      <c r="O13" s="4675">
        <v>21665584</v>
      </c>
      <c r="P13" s="4786">
        <f t="shared" si="0"/>
        <v>349569401</v>
      </c>
    </row>
    <row r="14" spans="2:16" s="3153" customFormat="1" ht="19.5" customHeight="1">
      <c r="B14" s="4675" t="s">
        <v>21</v>
      </c>
      <c r="C14" s="4675" t="s">
        <v>25</v>
      </c>
      <c r="D14" s="4675">
        <v>43974015</v>
      </c>
      <c r="E14" s="4786">
        <v>48330267</v>
      </c>
      <c r="F14" s="4675">
        <v>47140481</v>
      </c>
      <c r="G14" s="4675">
        <v>48974728</v>
      </c>
      <c r="H14" s="4675">
        <v>47397230</v>
      </c>
      <c r="I14" s="4675">
        <v>46405852</v>
      </c>
      <c r="J14" s="4675">
        <v>46339918</v>
      </c>
      <c r="K14" s="4675">
        <v>48349998</v>
      </c>
      <c r="L14" s="4675">
        <v>42256138</v>
      </c>
      <c r="M14" s="4675">
        <v>40815357</v>
      </c>
      <c r="N14" s="4675">
        <v>40768924</v>
      </c>
      <c r="O14" s="4675">
        <v>42617643</v>
      </c>
      <c r="P14" s="4786">
        <f t="shared" si="0"/>
        <v>543370551</v>
      </c>
    </row>
    <row r="15" spans="2:16" s="3153" customFormat="1" ht="19.5" customHeight="1">
      <c r="B15" s="4675"/>
      <c r="C15" s="4675" t="s">
        <v>26</v>
      </c>
      <c r="D15" s="4675">
        <v>30081932</v>
      </c>
      <c r="E15" s="4786">
        <v>37069317</v>
      </c>
      <c r="F15" s="4675">
        <v>35379559</v>
      </c>
      <c r="G15" s="4675">
        <v>37257529</v>
      </c>
      <c r="H15" s="4675">
        <v>34084170</v>
      </c>
      <c r="I15" s="4675">
        <v>32317004</v>
      </c>
      <c r="J15" s="4675">
        <v>32457939</v>
      </c>
      <c r="K15" s="4675">
        <v>36348506</v>
      </c>
      <c r="L15" s="4675">
        <v>26911754</v>
      </c>
      <c r="M15" s="4675">
        <v>25681057</v>
      </c>
      <c r="N15" s="4675">
        <v>25606985</v>
      </c>
      <c r="O15" s="4675">
        <v>26295295</v>
      </c>
      <c r="P15" s="4786">
        <f t="shared" si="0"/>
        <v>379491047</v>
      </c>
    </row>
    <row r="16" spans="2:16" s="3153" customFormat="1" ht="19.5" customHeight="1">
      <c r="B16" s="4675" t="s">
        <v>27</v>
      </c>
      <c r="C16" s="4675" t="s">
        <v>28</v>
      </c>
      <c r="D16" s="4675">
        <v>21969360</v>
      </c>
      <c r="E16" s="4675">
        <v>24063066</v>
      </c>
      <c r="F16" s="4675">
        <v>25140904</v>
      </c>
      <c r="G16" s="4675">
        <v>25358206</v>
      </c>
      <c r="H16" s="4675">
        <v>24578870</v>
      </c>
      <c r="I16" s="4675">
        <v>21820229</v>
      </c>
      <c r="J16" s="4675">
        <v>20830797</v>
      </c>
      <c r="K16" s="4675">
        <v>22682792</v>
      </c>
      <c r="L16" s="4675">
        <v>19497014</v>
      </c>
      <c r="M16" s="4675">
        <v>19702521</v>
      </c>
      <c r="N16" s="4675">
        <v>17897498</v>
      </c>
      <c r="O16" s="4675">
        <v>17352232</v>
      </c>
      <c r="P16" s="4786">
        <f t="shared" si="0"/>
        <v>260893489</v>
      </c>
    </row>
    <row r="17" spans="2:16" s="3153" customFormat="1" ht="19.5" customHeight="1">
      <c r="B17" s="4675" t="s">
        <v>29</v>
      </c>
      <c r="C17" s="4675" t="s">
        <v>28</v>
      </c>
      <c r="D17" s="4675">
        <v>45895015</v>
      </c>
      <c r="E17" s="4675">
        <v>49262500</v>
      </c>
      <c r="F17" s="4675">
        <v>52182247</v>
      </c>
      <c r="G17" s="4675">
        <v>50948225</v>
      </c>
      <c r="H17" s="4675">
        <v>45321087</v>
      </c>
      <c r="I17" s="4675">
        <v>42880984</v>
      </c>
      <c r="J17" s="4675">
        <v>40794559</v>
      </c>
      <c r="K17" s="4675">
        <v>43951634</v>
      </c>
      <c r="L17" s="4675">
        <v>38096630</v>
      </c>
      <c r="M17" s="4675">
        <v>37922318</v>
      </c>
      <c r="N17" s="4675">
        <v>35174795</v>
      </c>
      <c r="O17" s="4675">
        <v>33986129</v>
      </c>
      <c r="P17" s="4786">
        <f t="shared" si="0"/>
        <v>516416123</v>
      </c>
    </row>
    <row r="18" spans="2:16" s="3153" customFormat="1" ht="19.5" customHeight="1">
      <c r="B18" s="4675" t="s">
        <v>30</v>
      </c>
      <c r="C18" s="4675" t="s">
        <v>25</v>
      </c>
      <c r="D18" s="4675">
        <v>1873720</v>
      </c>
      <c r="E18" s="4786">
        <v>1950998</v>
      </c>
      <c r="F18" s="4675">
        <v>1906473</v>
      </c>
      <c r="G18" s="4675">
        <v>1949450</v>
      </c>
      <c r="H18" s="4675">
        <v>1935036</v>
      </c>
      <c r="I18" s="4675">
        <v>1915167</v>
      </c>
      <c r="J18" s="4675">
        <v>1913548</v>
      </c>
      <c r="K18" s="4675">
        <v>1921561</v>
      </c>
      <c r="L18" s="4675">
        <v>1789137</v>
      </c>
      <c r="M18" s="4675">
        <v>1749022</v>
      </c>
      <c r="N18" s="4675">
        <v>1747270</v>
      </c>
      <c r="O18" s="4675">
        <v>1790815</v>
      </c>
      <c r="P18" s="4786">
        <f t="shared" si="0"/>
        <v>22442197</v>
      </c>
    </row>
    <row r="19" spans="2:16" s="3153" customFormat="1" ht="19.5" customHeight="1">
      <c r="B19" s="4675"/>
      <c r="C19" s="4675" t="s">
        <v>26</v>
      </c>
      <c r="D19" s="4675">
        <v>2087978</v>
      </c>
      <c r="E19" s="4786">
        <v>2373226</v>
      </c>
      <c r="F19" s="4675">
        <v>2112638</v>
      </c>
      <c r="G19" s="4675">
        <v>2246117</v>
      </c>
      <c r="H19" s="4675">
        <v>2295831</v>
      </c>
      <c r="I19" s="4675">
        <v>2272129</v>
      </c>
      <c r="J19" s="4675">
        <v>2326300</v>
      </c>
      <c r="K19" s="4675">
        <v>2392549</v>
      </c>
      <c r="L19" s="4675">
        <v>1960096</v>
      </c>
      <c r="M19" s="4675">
        <v>1873374</v>
      </c>
      <c r="N19" s="4675">
        <v>1885408</v>
      </c>
      <c r="O19" s="4675">
        <v>1983552</v>
      </c>
      <c r="P19" s="4786">
        <f t="shared" si="0"/>
        <v>25809198</v>
      </c>
    </row>
    <row r="20" spans="2:16" s="3153" customFormat="1" ht="19.5" customHeight="1">
      <c r="B20" s="4675" t="s">
        <v>31</v>
      </c>
      <c r="C20" s="4675" t="s">
        <v>28</v>
      </c>
      <c r="D20" s="4675">
        <v>4512729</v>
      </c>
      <c r="E20" s="4675">
        <v>4475061</v>
      </c>
      <c r="F20" s="4675">
        <v>4577401</v>
      </c>
      <c r="G20" s="4675">
        <v>4916742</v>
      </c>
      <c r="H20" s="4675">
        <v>4709403</v>
      </c>
      <c r="I20" s="4675">
        <v>4579149</v>
      </c>
      <c r="J20" s="4675">
        <v>4360179</v>
      </c>
      <c r="K20" s="4675">
        <v>4798708</v>
      </c>
      <c r="L20" s="4675">
        <v>4278049</v>
      </c>
      <c r="M20" s="4675">
        <v>4544314</v>
      </c>
      <c r="N20" s="4675">
        <v>4377775</v>
      </c>
      <c r="O20" s="4675">
        <v>4149476</v>
      </c>
      <c r="P20" s="4786">
        <f t="shared" si="0"/>
        <v>54278986</v>
      </c>
    </row>
    <row r="21" spans="2:16" s="3153" customFormat="1" ht="19.5" customHeight="1">
      <c r="B21" s="4675" t="s">
        <v>32</v>
      </c>
      <c r="C21" s="4675" t="s">
        <v>28</v>
      </c>
      <c r="D21" s="4675">
        <v>4120158</v>
      </c>
      <c r="E21" s="4675">
        <v>4190857</v>
      </c>
      <c r="F21" s="4675">
        <v>4312883</v>
      </c>
      <c r="G21" s="4675">
        <v>4179658</v>
      </c>
      <c r="H21" s="4675">
        <v>4224548</v>
      </c>
      <c r="I21" s="4675">
        <v>4225649</v>
      </c>
      <c r="J21" s="4675">
        <v>4121535</v>
      </c>
      <c r="K21" s="4675">
        <v>4375436</v>
      </c>
      <c r="L21" s="4675">
        <v>3928220</v>
      </c>
      <c r="M21" s="4675">
        <v>4125025</v>
      </c>
      <c r="N21" s="4675">
        <v>3951494</v>
      </c>
      <c r="O21" s="4675">
        <v>3749661</v>
      </c>
      <c r="P21" s="4786">
        <f t="shared" si="0"/>
        <v>49505124</v>
      </c>
    </row>
    <row r="22" spans="2:16" s="3153" customFormat="1" ht="19.5" customHeight="1">
      <c r="B22" s="4675" t="s">
        <v>33</v>
      </c>
      <c r="C22" s="4675" t="s">
        <v>28</v>
      </c>
      <c r="D22" s="4675">
        <v>277722</v>
      </c>
      <c r="E22" s="4675">
        <v>349516</v>
      </c>
      <c r="F22" s="4675">
        <v>185426</v>
      </c>
      <c r="G22" s="4675">
        <v>359982</v>
      </c>
      <c r="H22" s="4675">
        <v>247902</v>
      </c>
      <c r="I22" s="4675">
        <v>144749</v>
      </c>
      <c r="J22" s="4675">
        <v>140235</v>
      </c>
      <c r="K22" s="4675">
        <v>181430</v>
      </c>
      <c r="L22" s="4675">
        <v>175451</v>
      </c>
      <c r="M22" s="4675">
        <v>237709</v>
      </c>
      <c r="N22" s="4675">
        <v>182828</v>
      </c>
      <c r="O22" s="4675">
        <v>178045</v>
      </c>
      <c r="P22" s="4786">
        <f t="shared" si="0"/>
        <v>2660995</v>
      </c>
    </row>
    <row r="23" spans="2:16" s="3153" customFormat="1" ht="19.5" customHeight="1">
      <c r="B23" s="836" t="s">
        <v>3566</v>
      </c>
      <c r="C23" s="4675" t="s">
        <v>28</v>
      </c>
      <c r="D23" s="4675">
        <v>2287616.35</v>
      </c>
      <c r="E23" s="4675">
        <v>2074643.91</v>
      </c>
      <c r="F23" s="4675">
        <v>2057099.43</v>
      </c>
      <c r="G23" s="4675">
        <v>1903779.57</v>
      </c>
      <c r="H23" s="4675">
        <v>1955982.03</v>
      </c>
      <c r="I23" s="4675">
        <v>2069850</v>
      </c>
      <c r="J23" s="4675">
        <v>2129842.79</v>
      </c>
      <c r="K23" s="4675">
        <v>2263135.4</v>
      </c>
      <c r="L23" s="4675">
        <v>2310792.0099999998</v>
      </c>
      <c r="M23" s="4675">
        <v>2423682.6</v>
      </c>
      <c r="N23" s="4675">
        <v>2506914.7999999998</v>
      </c>
      <c r="O23" s="4675">
        <v>2178720.92</v>
      </c>
      <c r="P23" s="4786">
        <f t="shared" si="0"/>
        <v>26162059.810000002</v>
      </c>
    </row>
    <row r="24" spans="2:16" s="3153" customFormat="1" ht="19.5" customHeight="1">
      <c r="B24" s="4786" t="s">
        <v>2230</v>
      </c>
      <c r="C24" s="4675" t="s">
        <v>28</v>
      </c>
      <c r="D24" s="4675">
        <v>342321</v>
      </c>
      <c r="E24" s="4675">
        <v>330318</v>
      </c>
      <c r="F24" s="4675">
        <v>324286</v>
      </c>
      <c r="G24" s="4675">
        <v>334990</v>
      </c>
      <c r="H24" s="4675">
        <v>332245</v>
      </c>
      <c r="I24" s="4675">
        <v>324713</v>
      </c>
      <c r="J24" s="4675">
        <v>350495</v>
      </c>
      <c r="K24" s="4675">
        <v>341799</v>
      </c>
      <c r="L24" s="4675">
        <v>319378</v>
      </c>
      <c r="M24" s="4675">
        <v>331786</v>
      </c>
      <c r="N24" s="4675">
        <v>335946</v>
      </c>
      <c r="O24" s="4675">
        <v>335710</v>
      </c>
      <c r="P24" s="4786">
        <f t="shared" si="0"/>
        <v>4003987</v>
      </c>
    </row>
    <row r="25" spans="2:16" s="3153" customFormat="1" ht="19.5" customHeight="1">
      <c r="B25" s="4675" t="s">
        <v>36</v>
      </c>
      <c r="C25" s="4675" t="s">
        <v>28</v>
      </c>
      <c r="D25" s="4675">
        <v>6528</v>
      </c>
      <c r="E25" s="4675">
        <v>3616</v>
      </c>
      <c r="F25" s="4675">
        <v>591</v>
      </c>
      <c r="G25" s="4675">
        <v>8311</v>
      </c>
      <c r="H25" s="4675">
        <v>35011</v>
      </c>
      <c r="I25" s="4675">
        <v>-9154</v>
      </c>
      <c r="J25" s="4675">
        <v>5167</v>
      </c>
      <c r="K25" s="4675">
        <v>1028188</v>
      </c>
      <c r="L25" s="4675">
        <v>152109</v>
      </c>
      <c r="M25" s="4675">
        <v>249017</v>
      </c>
      <c r="N25" s="4675">
        <v>40030</v>
      </c>
      <c r="O25" s="4675">
        <v>76492</v>
      </c>
      <c r="P25" s="4786">
        <f t="shared" si="0"/>
        <v>1595906</v>
      </c>
    </row>
    <row r="26" spans="2:16" s="3153" customFormat="1" ht="19.5" customHeight="1">
      <c r="B26" s="4675" t="s">
        <v>37</v>
      </c>
      <c r="C26" s="4675" t="s">
        <v>28</v>
      </c>
      <c r="D26" s="4675">
        <v>2813744</v>
      </c>
      <c r="E26" s="4675">
        <v>3220913</v>
      </c>
      <c r="F26" s="4675">
        <v>2905543</v>
      </c>
      <c r="G26" s="4675">
        <v>3103080</v>
      </c>
      <c r="H26" s="4675">
        <v>3990562</v>
      </c>
      <c r="I26" s="4675">
        <v>2859216</v>
      </c>
      <c r="J26" s="4675">
        <v>3055934</v>
      </c>
      <c r="K26" s="4675">
        <v>3147769</v>
      </c>
      <c r="L26" s="4675">
        <v>3074513</v>
      </c>
      <c r="M26" s="4675">
        <v>2681652</v>
      </c>
      <c r="N26" s="4675">
        <v>2706086</v>
      </c>
      <c r="O26" s="4675">
        <v>3046772</v>
      </c>
      <c r="P26" s="4786">
        <f t="shared" si="0"/>
        <v>36605784</v>
      </c>
    </row>
    <row r="27" spans="2:16" s="3153" customFormat="1" ht="19.5" customHeight="1">
      <c r="B27" s="4675" t="s">
        <v>38</v>
      </c>
      <c r="C27" s="4675" t="s">
        <v>28</v>
      </c>
      <c r="D27" s="4675">
        <v>84527</v>
      </c>
      <c r="E27" s="4675">
        <v>100024</v>
      </c>
      <c r="F27" s="4675">
        <v>111032</v>
      </c>
      <c r="G27" s="4675">
        <v>106340</v>
      </c>
      <c r="H27" s="4675">
        <v>112704</v>
      </c>
      <c r="I27" s="4675">
        <v>108305</v>
      </c>
      <c r="J27" s="4675">
        <v>76247</v>
      </c>
      <c r="K27" s="4675">
        <v>128169</v>
      </c>
      <c r="L27" s="4675">
        <v>102982</v>
      </c>
      <c r="M27" s="4675">
        <v>108591</v>
      </c>
      <c r="N27" s="4675">
        <v>108981</v>
      </c>
      <c r="O27" s="4675">
        <v>94170</v>
      </c>
      <c r="P27" s="4786">
        <f t="shared" si="0"/>
        <v>1242072</v>
      </c>
    </row>
    <row r="28" spans="2:16" s="3153" customFormat="1" ht="19.5" customHeight="1">
      <c r="B28" s="4675" t="s">
        <v>39</v>
      </c>
      <c r="C28" s="4675" t="s">
        <v>28</v>
      </c>
      <c r="D28" s="4675">
        <v>0</v>
      </c>
      <c r="E28" s="4675">
        <v>0</v>
      </c>
      <c r="F28" s="4675">
        <v>0</v>
      </c>
      <c r="G28" s="4675">
        <v>98462</v>
      </c>
      <c r="H28" s="4675">
        <v>1260549</v>
      </c>
      <c r="I28" s="4675">
        <v>1459483</v>
      </c>
      <c r="J28" s="4675">
        <v>1456806</v>
      </c>
      <c r="K28" s="4675">
        <v>1496162</v>
      </c>
      <c r="L28" s="4675">
        <v>1259080</v>
      </c>
      <c r="M28" s="4675">
        <v>1186518</v>
      </c>
      <c r="N28" s="4675">
        <v>1158686</v>
      </c>
      <c r="O28" s="4675">
        <v>1265189</v>
      </c>
      <c r="P28" s="4786">
        <f t="shared" si="0"/>
        <v>10640935</v>
      </c>
    </row>
    <row r="29" spans="2:16" s="3153" customFormat="1" ht="19.5" customHeight="1">
      <c r="B29" s="4719" t="s">
        <v>40</v>
      </c>
      <c r="C29" s="4719" t="s">
        <v>28</v>
      </c>
      <c r="D29" s="4675">
        <v>0</v>
      </c>
      <c r="E29" s="4675">
        <v>0</v>
      </c>
      <c r="F29" s="4675">
        <v>0</v>
      </c>
      <c r="G29" s="4675">
        <v>8246</v>
      </c>
      <c r="H29" s="4675">
        <v>4391810</v>
      </c>
      <c r="I29" s="4675">
        <v>4625851</v>
      </c>
      <c r="J29" s="4675">
        <v>4555595</v>
      </c>
      <c r="K29" s="4675">
        <v>4888756</v>
      </c>
      <c r="L29" s="4675">
        <v>4306075</v>
      </c>
      <c r="M29" s="4675">
        <v>4441261</v>
      </c>
      <c r="N29" s="4675">
        <v>4218819</v>
      </c>
      <c r="O29" s="4675">
        <v>4363872</v>
      </c>
      <c r="P29" s="4786">
        <f t="shared" si="0"/>
        <v>35800285</v>
      </c>
    </row>
    <row r="30" spans="2:16" s="3153" customFormat="1" ht="19.5" customHeight="1">
      <c r="B30" s="5418" t="s">
        <v>2004</v>
      </c>
      <c r="C30" s="5418"/>
      <c r="D30" s="5418"/>
      <c r="E30" s="5418"/>
      <c r="F30" s="5418"/>
      <c r="G30" s="5418"/>
      <c r="H30" s="5418"/>
      <c r="I30" s="5418"/>
      <c r="J30" s="5418"/>
      <c r="K30" s="5418"/>
      <c r="L30" s="5418"/>
      <c r="M30" s="5418"/>
      <c r="N30" s="5418"/>
      <c r="O30" s="5418"/>
      <c r="P30" s="4786"/>
    </row>
    <row r="31" spans="2:16" s="3153" customFormat="1" ht="19.5" customHeight="1">
      <c r="B31" s="4720" t="s">
        <v>41</v>
      </c>
      <c r="C31" s="4720" t="s">
        <v>28</v>
      </c>
      <c r="D31" s="4675">
        <v>14124668</v>
      </c>
      <c r="E31" s="4675">
        <v>13949195</v>
      </c>
      <c r="F31" s="4675">
        <v>14762558</v>
      </c>
      <c r="G31" s="4675">
        <v>14746599</v>
      </c>
      <c r="H31" s="4675">
        <v>15860574</v>
      </c>
      <c r="I31" s="4675">
        <v>15025907</v>
      </c>
      <c r="J31" s="4675">
        <v>14932420</v>
      </c>
      <c r="K31" s="4675">
        <v>14514774</v>
      </c>
      <c r="L31" s="4675">
        <v>12964543</v>
      </c>
      <c r="M31" s="4675">
        <v>13297391</v>
      </c>
      <c r="N31" s="4675">
        <v>13097139</v>
      </c>
      <c r="O31" s="4675">
        <v>12119613</v>
      </c>
      <c r="P31" s="4786">
        <f t="shared" si="0"/>
        <v>169395381</v>
      </c>
    </row>
    <row r="32" spans="2:16" s="3153" customFormat="1" ht="19.5" customHeight="1">
      <c r="B32" s="4675" t="s">
        <v>42</v>
      </c>
      <c r="C32" s="4675" t="s">
        <v>28</v>
      </c>
      <c r="D32" s="4675">
        <v>32631164</v>
      </c>
      <c r="E32" s="4675">
        <v>35739528</v>
      </c>
      <c r="F32" s="4675">
        <v>37705055</v>
      </c>
      <c r="G32" s="4675">
        <v>36954558</v>
      </c>
      <c r="H32" s="4675">
        <v>32757904</v>
      </c>
      <c r="I32" s="4675">
        <v>31557741</v>
      </c>
      <c r="J32" s="4675">
        <v>30062129</v>
      </c>
      <c r="K32" s="4675">
        <v>32254763</v>
      </c>
      <c r="L32" s="4675">
        <v>28963639</v>
      </c>
      <c r="M32" s="4675">
        <v>29214895</v>
      </c>
      <c r="N32" s="4675">
        <v>29041802</v>
      </c>
      <c r="O32" s="4675">
        <v>24706363</v>
      </c>
      <c r="P32" s="4786">
        <f t="shared" si="0"/>
        <v>381589541</v>
      </c>
    </row>
    <row r="33" spans="2:16" s="3153" customFormat="1" ht="19.5" customHeight="1">
      <c r="B33" s="4675" t="s">
        <v>43</v>
      </c>
      <c r="C33" s="4675" t="s">
        <v>28</v>
      </c>
      <c r="D33" s="4675">
        <v>2562134</v>
      </c>
      <c r="E33" s="4675">
        <v>2792995</v>
      </c>
      <c r="F33" s="4675">
        <v>2871530</v>
      </c>
      <c r="G33" s="4675">
        <v>2755531</v>
      </c>
      <c r="H33" s="4675">
        <v>2815059</v>
      </c>
      <c r="I33" s="4675">
        <v>2803640</v>
      </c>
      <c r="J33" s="4675">
        <v>2891449</v>
      </c>
      <c r="K33" s="4675">
        <v>2951805</v>
      </c>
      <c r="L33" s="4675">
        <v>2619196</v>
      </c>
      <c r="M33" s="4675">
        <v>2565540</v>
      </c>
      <c r="N33" s="4675">
        <v>2376381</v>
      </c>
      <c r="O33" s="4675">
        <v>2266549</v>
      </c>
      <c r="P33" s="4786">
        <f t="shared" si="0"/>
        <v>32271809</v>
      </c>
    </row>
    <row r="34" spans="2:16" s="3153" customFormat="1" ht="19.5" customHeight="1">
      <c r="B34" s="4675" t="s">
        <v>44</v>
      </c>
      <c r="C34" s="4675" t="s">
        <v>28</v>
      </c>
      <c r="D34" s="4675">
        <v>155301</v>
      </c>
      <c r="E34" s="4675">
        <v>352935</v>
      </c>
      <c r="F34" s="4675">
        <v>272124</v>
      </c>
      <c r="G34" s="4675">
        <v>289956</v>
      </c>
      <c r="H34" s="4675">
        <v>301329</v>
      </c>
      <c r="I34" s="4675">
        <v>305904</v>
      </c>
      <c r="J34" s="4675">
        <v>295476</v>
      </c>
      <c r="K34" s="4675">
        <v>480602</v>
      </c>
      <c r="L34" s="4675">
        <v>392809</v>
      </c>
      <c r="M34" s="4675">
        <v>442437</v>
      </c>
      <c r="N34" s="4675">
        <v>418659</v>
      </c>
      <c r="O34" s="4675">
        <v>299640</v>
      </c>
      <c r="P34" s="4786">
        <f t="shared" si="0"/>
        <v>4007172</v>
      </c>
    </row>
    <row r="35" spans="2:16" s="3153" customFormat="1" ht="19.5" customHeight="1">
      <c r="B35" s="4675" t="s">
        <v>45</v>
      </c>
      <c r="C35" s="4675" t="s">
        <v>28</v>
      </c>
      <c r="D35" s="4675">
        <v>0</v>
      </c>
      <c r="E35" s="4675">
        <v>0</v>
      </c>
      <c r="F35" s="4675">
        <v>0</v>
      </c>
      <c r="G35" s="4675">
        <v>0</v>
      </c>
      <c r="H35" s="4675">
        <v>4235138</v>
      </c>
      <c r="I35" s="4675">
        <v>4224106</v>
      </c>
      <c r="J35" s="4675">
        <v>4093720</v>
      </c>
      <c r="K35" s="4675">
        <v>4248164</v>
      </c>
      <c r="L35" s="4675">
        <v>3855402</v>
      </c>
      <c r="M35" s="4675">
        <v>4018275</v>
      </c>
      <c r="N35" s="4675">
        <v>4286158</v>
      </c>
      <c r="O35" s="4675">
        <v>5144770</v>
      </c>
      <c r="P35" s="4786">
        <f t="shared" si="0"/>
        <v>34105733</v>
      </c>
    </row>
    <row r="36" spans="2:16" s="3153" customFormat="1" ht="19.5" customHeight="1">
      <c r="B36" s="4675" t="s">
        <v>46</v>
      </c>
      <c r="C36" s="4675"/>
      <c r="D36" s="4675">
        <v>0</v>
      </c>
      <c r="E36" s="4675">
        <v>0</v>
      </c>
      <c r="F36" s="4675">
        <v>0</v>
      </c>
      <c r="G36" s="4675">
        <v>0</v>
      </c>
      <c r="H36" s="4675">
        <v>0</v>
      </c>
      <c r="I36" s="4675">
        <v>0</v>
      </c>
      <c r="J36" s="4675">
        <v>0</v>
      </c>
      <c r="K36" s="4675">
        <v>0</v>
      </c>
      <c r="L36" s="4675">
        <v>0</v>
      </c>
      <c r="M36" s="4675">
        <v>0</v>
      </c>
      <c r="N36" s="4675">
        <v>0</v>
      </c>
      <c r="O36" s="4675">
        <v>0</v>
      </c>
      <c r="P36" s="4786">
        <f t="shared" si="0"/>
        <v>0</v>
      </c>
    </row>
    <row r="37" spans="2:16" s="3153" customFormat="1" ht="19.5" customHeight="1">
      <c r="B37" s="4675" t="s">
        <v>47</v>
      </c>
      <c r="C37" s="4675"/>
      <c r="D37" s="4675">
        <f>SUM(D9:D36)</f>
        <v>350331277.35000002</v>
      </c>
      <c r="E37" s="4786">
        <f t="shared" ref="E37:P37" si="1">SUM(E9:E36)</f>
        <v>399920704.91000003</v>
      </c>
      <c r="F37" s="4786">
        <f t="shared" si="1"/>
        <v>398808123.43000001</v>
      </c>
      <c r="G37" s="4786">
        <f t="shared" si="1"/>
        <v>407561424.56999999</v>
      </c>
      <c r="H37" s="4786">
        <f t="shared" si="1"/>
        <v>393490422.02999997</v>
      </c>
      <c r="I37" s="4786">
        <f t="shared" si="1"/>
        <v>379129206</v>
      </c>
      <c r="J37" s="4786">
        <f t="shared" si="1"/>
        <v>374679963.79000002</v>
      </c>
      <c r="K37" s="4786">
        <f t="shared" si="1"/>
        <v>402098970.39999998</v>
      </c>
      <c r="L37" s="4786">
        <f t="shared" si="1"/>
        <v>335734165.00999999</v>
      </c>
      <c r="M37" s="4786">
        <f t="shared" si="1"/>
        <v>318078895.60000002</v>
      </c>
      <c r="N37" s="4786">
        <f t="shared" si="1"/>
        <v>313818939.80000001</v>
      </c>
      <c r="O37" s="4786">
        <f t="shared" si="1"/>
        <v>319292988.91999996</v>
      </c>
      <c r="P37" s="4786">
        <f t="shared" si="1"/>
        <v>4392945081.8099995</v>
      </c>
    </row>
    <row r="38" spans="2:16" s="4723" customFormat="1" ht="19.5" customHeight="1">
      <c r="B38" s="4721"/>
      <c r="C38" s="4722"/>
      <c r="D38" s="4722"/>
      <c r="E38" s="4722"/>
      <c r="F38" s="4722"/>
      <c r="G38" s="4722"/>
      <c r="H38" s="4722"/>
      <c r="I38" s="4722"/>
      <c r="J38" s="4722"/>
      <c r="K38" s="4722"/>
      <c r="L38" s="4722"/>
      <c r="M38" s="4722"/>
      <c r="N38" s="4722"/>
      <c r="O38" s="4716"/>
      <c r="P38" s="4716"/>
    </row>
    <row r="39" spans="2:16" s="4715" customFormat="1" ht="19.5" customHeight="1">
      <c r="B39" s="4724"/>
      <c r="C39" s="4725"/>
      <c r="D39" s="4725"/>
      <c r="E39" s="4725"/>
      <c r="F39" s="4725"/>
      <c r="G39" s="4725"/>
      <c r="H39" s="4725"/>
      <c r="I39" s="4725"/>
      <c r="J39" s="4725"/>
      <c r="K39" s="4725"/>
      <c r="L39" s="4725"/>
      <c r="M39" s="4725"/>
      <c r="N39" s="4725"/>
      <c r="O39" s="4725"/>
      <c r="P39" s="4726"/>
    </row>
    <row r="40" spans="2:16" s="4715" customFormat="1" ht="19.5" customHeight="1">
      <c r="B40" s="4721" t="s">
        <v>3910</v>
      </c>
      <c r="C40" s="4722"/>
      <c r="D40" s="4787"/>
      <c r="E40" s="4787"/>
      <c r="F40" s="4787"/>
      <c r="G40" s="4787"/>
      <c r="H40" s="4787"/>
      <c r="I40" s="4787"/>
      <c r="J40" s="4787"/>
      <c r="K40" s="4787"/>
      <c r="L40" s="4787"/>
      <c r="M40" s="4787"/>
      <c r="N40" s="4787"/>
      <c r="O40" s="4787"/>
      <c r="P40" s="4726"/>
    </row>
    <row r="41" spans="2:16" s="4723" customFormat="1" ht="19.5" customHeight="1">
      <c r="P41" s="4729" t="s">
        <v>3574</v>
      </c>
    </row>
    <row r="42" spans="2:16" s="3153" customFormat="1" ht="19.5" customHeight="1">
      <c r="B42" s="4711" t="s">
        <v>1</v>
      </c>
      <c r="C42" s="4712" t="s">
        <v>2</v>
      </c>
      <c r="D42" s="1610" t="s">
        <v>3185</v>
      </c>
      <c r="E42" s="1610" t="s">
        <v>3186</v>
      </c>
      <c r="F42" s="1610" t="s">
        <v>3187</v>
      </c>
      <c r="G42" s="1610" t="s">
        <v>3188</v>
      </c>
      <c r="H42" s="1610" t="s">
        <v>3189</v>
      </c>
      <c r="I42" s="1610" t="s">
        <v>3190</v>
      </c>
      <c r="J42" s="1610" t="s">
        <v>3191</v>
      </c>
      <c r="K42" s="1610" t="s">
        <v>3192</v>
      </c>
      <c r="L42" s="1610" t="s">
        <v>3193</v>
      </c>
      <c r="M42" s="1610" t="s">
        <v>3194</v>
      </c>
      <c r="N42" s="1610" t="s">
        <v>3195</v>
      </c>
      <c r="O42" s="1610" t="s">
        <v>3196</v>
      </c>
      <c r="P42" s="1610" t="s">
        <v>47</v>
      </c>
    </row>
    <row r="43" spans="2:16" s="3153" customFormat="1" ht="19.5" customHeight="1">
      <c r="B43" s="5419" t="s">
        <v>1989</v>
      </c>
      <c r="C43" s="5419"/>
      <c r="D43" s="5419"/>
      <c r="E43" s="5419"/>
      <c r="F43" s="5419"/>
      <c r="G43" s="5419"/>
      <c r="H43" s="5419"/>
      <c r="I43" s="5419"/>
      <c r="J43" s="5419"/>
      <c r="K43" s="5419"/>
      <c r="L43" s="5419"/>
      <c r="M43" s="5419"/>
      <c r="N43" s="5419"/>
      <c r="O43" s="5419"/>
      <c r="P43" s="5419"/>
    </row>
    <row r="44" spans="2:16" s="3153" customFormat="1" ht="19.5" customHeight="1">
      <c r="B44" s="284" t="s">
        <v>14</v>
      </c>
      <c r="C44" s="4713"/>
      <c r="D44" s="4675">
        <v>8035</v>
      </c>
      <c r="E44" s="4675">
        <v>7947</v>
      </c>
      <c r="F44" s="4675">
        <v>5336</v>
      </c>
      <c r="G44" s="4675">
        <v>2268</v>
      </c>
      <c r="H44" s="4675">
        <v>2999</v>
      </c>
      <c r="I44" s="4675">
        <v>4393</v>
      </c>
      <c r="J44" s="4675">
        <v>11608</v>
      </c>
      <c r="K44" s="4675">
        <v>2939</v>
      </c>
      <c r="L44" s="4675">
        <v>2012</v>
      </c>
      <c r="M44" s="4675">
        <v>13106</v>
      </c>
      <c r="N44" s="4675">
        <v>5421</v>
      </c>
      <c r="O44" s="4675">
        <v>4407</v>
      </c>
      <c r="P44" s="4675">
        <v>70471</v>
      </c>
    </row>
    <row r="45" spans="2:16" s="3153" customFormat="1" ht="19.5" customHeight="1">
      <c r="B45" s="836" t="s">
        <v>1917</v>
      </c>
      <c r="C45" s="4727" t="s">
        <v>17</v>
      </c>
      <c r="D45" s="4675">
        <v>57760891</v>
      </c>
      <c r="E45" s="4675">
        <v>59271265</v>
      </c>
      <c r="F45" s="4675">
        <v>58330070</v>
      </c>
      <c r="G45" s="4675">
        <v>58196365</v>
      </c>
      <c r="H45" s="4675">
        <v>59918242</v>
      </c>
      <c r="I45" s="4675">
        <v>59141139</v>
      </c>
      <c r="J45" s="4675">
        <v>59068551</v>
      </c>
      <c r="K45" s="4675">
        <v>39840667</v>
      </c>
      <c r="L45" s="4675">
        <v>37506589</v>
      </c>
      <c r="M45" s="4675">
        <v>97336255</v>
      </c>
      <c r="N45" s="4675">
        <v>55640496</v>
      </c>
      <c r="O45" s="4675">
        <v>56569062</v>
      </c>
      <c r="P45" s="4675">
        <v>698579592</v>
      </c>
    </row>
    <row r="46" spans="2:16" s="3153" customFormat="1" ht="19.5" customHeight="1">
      <c r="B46" s="836"/>
      <c r="C46" s="4727" t="s">
        <v>18</v>
      </c>
      <c r="D46" s="4675">
        <v>49298972</v>
      </c>
      <c r="E46" s="4675">
        <v>53816430</v>
      </c>
      <c r="F46" s="4675">
        <v>55152189</v>
      </c>
      <c r="G46" s="4675">
        <v>48299224</v>
      </c>
      <c r="H46" s="4675">
        <v>58609933</v>
      </c>
      <c r="I46" s="4675">
        <v>52340992</v>
      </c>
      <c r="J46" s="4675">
        <v>51248180</v>
      </c>
      <c r="K46" s="4675">
        <v>38614120</v>
      </c>
      <c r="L46" s="4675">
        <v>33992840</v>
      </c>
      <c r="M46" s="4675">
        <v>69518914</v>
      </c>
      <c r="N46" s="4675">
        <v>37521445</v>
      </c>
      <c r="O46" s="4675">
        <v>40171123</v>
      </c>
      <c r="P46" s="4675">
        <v>588584362</v>
      </c>
    </row>
    <row r="47" spans="2:16" s="3153" customFormat="1" ht="19.5" customHeight="1">
      <c r="B47" s="836"/>
      <c r="C47" s="4727" t="s">
        <v>19</v>
      </c>
      <c r="D47" s="4675">
        <v>14522657</v>
      </c>
      <c r="E47" s="4675">
        <v>17886451</v>
      </c>
      <c r="F47" s="4675">
        <v>20308665</v>
      </c>
      <c r="G47" s="4675">
        <v>13602893</v>
      </c>
      <c r="H47" s="4675">
        <v>17531059</v>
      </c>
      <c r="I47" s="4675">
        <v>15062671</v>
      </c>
      <c r="J47" s="4675">
        <v>14913739</v>
      </c>
      <c r="K47" s="4675">
        <v>12499527</v>
      </c>
      <c r="L47" s="4675">
        <v>10615369</v>
      </c>
      <c r="M47" s="4675">
        <v>17615774</v>
      </c>
      <c r="N47" s="4675">
        <v>8955533</v>
      </c>
      <c r="O47" s="4675">
        <v>9916387</v>
      </c>
      <c r="P47" s="4675">
        <v>173430725</v>
      </c>
    </row>
    <row r="48" spans="2:16" s="3153" customFormat="1" ht="19.5" customHeight="1">
      <c r="B48" s="836"/>
      <c r="C48" s="4727" t="s">
        <v>20</v>
      </c>
      <c r="D48" s="4675">
        <v>34085558</v>
      </c>
      <c r="E48" s="4675">
        <v>31131717</v>
      </c>
      <c r="F48" s="4675">
        <v>37655747</v>
      </c>
      <c r="G48" s="4675">
        <v>25731970</v>
      </c>
      <c r="H48" s="4675">
        <v>32966023</v>
      </c>
      <c r="I48" s="4675">
        <v>28530025</v>
      </c>
      <c r="J48" s="4675">
        <v>27632904</v>
      </c>
      <c r="K48" s="4675">
        <v>26540715</v>
      </c>
      <c r="L48" s="4675">
        <v>21265776</v>
      </c>
      <c r="M48" s="4675">
        <v>31636415</v>
      </c>
      <c r="N48" s="4675">
        <v>19120357</v>
      </c>
      <c r="O48" s="4675">
        <v>19035602</v>
      </c>
      <c r="P48" s="4675">
        <v>335332809</v>
      </c>
    </row>
    <row r="49" spans="2:16" s="3153" customFormat="1" ht="19.5" customHeight="1">
      <c r="B49" s="836" t="s">
        <v>21</v>
      </c>
      <c r="C49" s="4727" t="s">
        <v>25</v>
      </c>
      <c r="D49" s="4675">
        <v>44710668</v>
      </c>
      <c r="E49" s="4675">
        <v>46819647</v>
      </c>
      <c r="F49" s="4675">
        <v>47214153</v>
      </c>
      <c r="G49" s="4675">
        <v>44965375</v>
      </c>
      <c r="H49" s="4675">
        <v>48842996</v>
      </c>
      <c r="I49" s="4675">
        <v>46034940</v>
      </c>
      <c r="J49" s="4675">
        <v>46043855</v>
      </c>
      <c r="K49" s="4675">
        <v>33459931</v>
      </c>
      <c r="L49" s="4675">
        <v>29578049</v>
      </c>
      <c r="M49" s="4675">
        <v>70717619</v>
      </c>
      <c r="N49" s="4675">
        <v>40449813</v>
      </c>
      <c r="O49" s="4675">
        <v>41098290</v>
      </c>
      <c r="P49" s="4675">
        <v>539935336</v>
      </c>
    </row>
    <row r="50" spans="2:16" s="3153" customFormat="1" ht="19.5" customHeight="1">
      <c r="B50" s="836"/>
      <c r="C50" s="4727" t="s">
        <v>26</v>
      </c>
      <c r="D50" s="4675">
        <v>30390785</v>
      </c>
      <c r="E50" s="4675">
        <v>32335566</v>
      </c>
      <c r="F50" s="4675">
        <v>34193276</v>
      </c>
      <c r="G50" s="4675">
        <v>28322096</v>
      </c>
      <c r="H50" s="4675">
        <v>34878877</v>
      </c>
      <c r="I50" s="4675">
        <v>30063793</v>
      </c>
      <c r="J50" s="4675">
        <v>29602642</v>
      </c>
      <c r="K50" s="4675">
        <v>25626518</v>
      </c>
      <c r="L50" s="4675">
        <v>22092350</v>
      </c>
      <c r="M50" s="4675">
        <v>38313257</v>
      </c>
      <c r="N50" s="4675">
        <v>23530538</v>
      </c>
      <c r="O50" s="4675">
        <v>23998402</v>
      </c>
      <c r="P50" s="4675">
        <v>353348100</v>
      </c>
    </row>
    <row r="51" spans="2:16" s="3153" customFormat="1" ht="19.5" customHeight="1">
      <c r="B51" s="836" t="s">
        <v>27</v>
      </c>
      <c r="C51" s="4728" t="s">
        <v>28</v>
      </c>
      <c r="D51" s="4675">
        <v>20880708</v>
      </c>
      <c r="E51" s="4675">
        <v>21670607</v>
      </c>
      <c r="F51" s="4675">
        <v>23527269</v>
      </c>
      <c r="G51" s="4675">
        <v>20673799</v>
      </c>
      <c r="H51" s="4675">
        <v>20563523</v>
      </c>
      <c r="I51" s="4675">
        <v>20431205</v>
      </c>
      <c r="J51" s="4675">
        <v>19851979</v>
      </c>
      <c r="K51" s="4675">
        <v>21964003</v>
      </c>
      <c r="L51" s="4675">
        <v>19526077</v>
      </c>
      <c r="M51" s="4675">
        <v>18384160</v>
      </c>
      <c r="N51" s="4675">
        <v>17353932</v>
      </c>
      <c r="O51" s="4675">
        <v>16125373</v>
      </c>
      <c r="P51" s="4675">
        <v>240952635</v>
      </c>
    </row>
    <row r="52" spans="2:16" s="3153" customFormat="1" ht="19.5" customHeight="1">
      <c r="B52" s="836" t="s">
        <v>29</v>
      </c>
      <c r="C52" s="4728" t="s">
        <v>28</v>
      </c>
      <c r="D52" s="4675">
        <v>40112813</v>
      </c>
      <c r="E52" s="4675">
        <v>42003006</v>
      </c>
      <c r="F52" s="4675">
        <v>45629193</v>
      </c>
      <c r="G52" s="4675">
        <v>40207741</v>
      </c>
      <c r="H52" s="4675">
        <v>40592614</v>
      </c>
      <c r="I52" s="4675">
        <v>39677178</v>
      </c>
      <c r="J52" s="4675">
        <v>38739763</v>
      </c>
      <c r="K52" s="4675">
        <v>42918364</v>
      </c>
      <c r="L52" s="4675">
        <v>37844729</v>
      </c>
      <c r="M52" s="4675">
        <v>36193458</v>
      </c>
      <c r="N52" s="4675">
        <v>34688756</v>
      </c>
      <c r="O52" s="4675">
        <v>32091129</v>
      </c>
      <c r="P52" s="4675">
        <v>470698744</v>
      </c>
    </row>
    <row r="53" spans="2:16" s="3153" customFormat="1" ht="19.5" customHeight="1">
      <c r="B53" s="836" t="s">
        <v>2226</v>
      </c>
      <c r="C53" s="4727" t="s">
        <v>25</v>
      </c>
      <c r="D53" s="4675">
        <v>1831220</v>
      </c>
      <c r="E53" s="4675">
        <v>1772678</v>
      </c>
      <c r="F53" s="4675">
        <v>1776880</v>
      </c>
      <c r="G53" s="4675">
        <v>1746820</v>
      </c>
      <c r="H53" s="4675">
        <v>1867374</v>
      </c>
      <c r="I53" s="4675">
        <v>1799097</v>
      </c>
      <c r="J53" s="4675">
        <v>1802981</v>
      </c>
      <c r="K53" s="4675">
        <v>1279059</v>
      </c>
      <c r="L53" s="4675">
        <v>1231755</v>
      </c>
      <c r="M53" s="4675">
        <v>2773012</v>
      </c>
      <c r="N53" s="4675">
        <v>1697694</v>
      </c>
      <c r="O53" s="4675">
        <v>1696882</v>
      </c>
      <c r="P53" s="4675">
        <v>21275452</v>
      </c>
    </row>
    <row r="54" spans="2:16" s="3153" customFormat="1" ht="19.5" customHeight="1">
      <c r="B54" s="836"/>
      <c r="C54" s="4727" t="s">
        <v>26</v>
      </c>
      <c r="D54" s="4675">
        <v>2501649</v>
      </c>
      <c r="E54" s="4675">
        <v>1935915</v>
      </c>
      <c r="F54" s="4675">
        <v>1965302</v>
      </c>
      <c r="G54" s="4675">
        <v>1783933</v>
      </c>
      <c r="H54" s="4675">
        <v>2395611</v>
      </c>
      <c r="I54" s="4675">
        <v>1999657</v>
      </c>
      <c r="J54" s="4675">
        <v>1963393</v>
      </c>
      <c r="K54" s="4675">
        <v>1563451</v>
      </c>
      <c r="L54" s="4675">
        <v>1573317</v>
      </c>
      <c r="M54" s="4675">
        <v>2621924</v>
      </c>
      <c r="N54" s="4675">
        <v>1854273</v>
      </c>
      <c r="O54" s="4675">
        <v>1754265</v>
      </c>
      <c r="P54" s="4675">
        <v>23912690</v>
      </c>
    </row>
    <row r="55" spans="2:16" s="3153" customFormat="1" ht="19.5" customHeight="1">
      <c r="B55" s="836" t="s">
        <v>2227</v>
      </c>
      <c r="C55" s="4728" t="s">
        <v>28</v>
      </c>
      <c r="D55" s="4675">
        <v>4479114</v>
      </c>
      <c r="E55" s="4675">
        <v>4499338</v>
      </c>
      <c r="F55" s="4675">
        <v>4433829</v>
      </c>
      <c r="G55" s="4675">
        <v>4328851</v>
      </c>
      <c r="H55" s="4675">
        <v>4557847</v>
      </c>
      <c r="I55" s="4675">
        <v>4321095</v>
      </c>
      <c r="J55" s="4675">
        <v>4119231</v>
      </c>
      <c r="K55" s="4675">
        <v>4801177</v>
      </c>
      <c r="L55" s="4675">
        <v>3985471</v>
      </c>
      <c r="M55" s="4675">
        <v>4404812</v>
      </c>
      <c r="N55" s="4675">
        <v>4213475</v>
      </c>
      <c r="O55" s="4675">
        <v>3802769</v>
      </c>
      <c r="P55" s="4675">
        <v>51947009</v>
      </c>
    </row>
    <row r="56" spans="2:16" s="3153" customFormat="1" ht="19.5" customHeight="1">
      <c r="B56" s="836" t="s">
        <v>2228</v>
      </c>
      <c r="C56" s="4728" t="s">
        <v>28</v>
      </c>
      <c r="D56" s="4675">
        <v>4106507</v>
      </c>
      <c r="E56" s="4675">
        <v>3999313</v>
      </c>
      <c r="F56" s="4675">
        <v>4096107</v>
      </c>
      <c r="G56" s="4675">
        <v>3893969</v>
      </c>
      <c r="H56" s="4675">
        <v>3992489</v>
      </c>
      <c r="I56" s="4675">
        <v>4183725</v>
      </c>
      <c r="J56" s="4675">
        <v>3919400</v>
      </c>
      <c r="K56" s="4675">
        <v>4346284</v>
      </c>
      <c r="L56" s="4675">
        <v>3909233</v>
      </c>
      <c r="M56" s="4675">
        <v>4042426</v>
      </c>
      <c r="N56" s="4675">
        <v>3959631</v>
      </c>
      <c r="O56" s="4675">
        <v>3559959</v>
      </c>
      <c r="P56" s="4675">
        <v>48009043</v>
      </c>
    </row>
    <row r="57" spans="2:16" s="3153" customFormat="1" ht="19.5" customHeight="1">
      <c r="B57" s="836" t="s">
        <v>33</v>
      </c>
      <c r="C57" s="4728"/>
      <c r="D57" s="4675">
        <v>175836</v>
      </c>
      <c r="E57" s="4675">
        <v>158149</v>
      </c>
      <c r="F57" s="4675">
        <v>146330</v>
      </c>
      <c r="G57" s="4675">
        <v>132455</v>
      </c>
      <c r="H57" s="4675">
        <v>123189</v>
      </c>
      <c r="I57" s="4675">
        <v>155203</v>
      </c>
      <c r="J57" s="4675">
        <v>153438</v>
      </c>
      <c r="K57" s="4675">
        <v>123079</v>
      </c>
      <c r="L57" s="4675">
        <v>120285</v>
      </c>
      <c r="M57" s="4675">
        <v>230303</v>
      </c>
      <c r="N57" s="4675">
        <v>166712</v>
      </c>
      <c r="O57" s="4675">
        <v>123782</v>
      </c>
      <c r="P57" s="4675">
        <v>1808761</v>
      </c>
    </row>
    <row r="58" spans="2:16" s="3153" customFormat="1" ht="19.5" customHeight="1">
      <c r="B58" s="836" t="s">
        <v>3566</v>
      </c>
      <c r="C58" s="4728" t="s">
        <v>28</v>
      </c>
      <c r="D58" s="4675">
        <v>2283520.11</v>
      </c>
      <c r="E58" s="4675">
        <v>2118287.17</v>
      </c>
      <c r="F58" s="4675">
        <v>2054113.11</v>
      </c>
      <c r="G58" s="4675">
        <v>1938515.39</v>
      </c>
      <c r="H58" s="4675">
        <v>2012906.82</v>
      </c>
      <c r="I58" s="4675">
        <v>2113248.34</v>
      </c>
      <c r="J58" s="4675">
        <v>2209326.27</v>
      </c>
      <c r="K58" s="4675">
        <v>2331906.21</v>
      </c>
      <c r="L58" s="4675">
        <v>2376399.94</v>
      </c>
      <c r="M58" s="4675">
        <v>2531460.02</v>
      </c>
      <c r="N58" s="4675">
        <v>2536170.34</v>
      </c>
      <c r="O58" s="4675">
        <v>2217287.87</v>
      </c>
      <c r="P58" s="4675">
        <v>26723141.59</v>
      </c>
    </row>
    <row r="59" spans="2:16" s="3153" customFormat="1" ht="19.5" customHeight="1">
      <c r="B59" s="836" t="s">
        <v>35</v>
      </c>
      <c r="C59" s="4728" t="s">
        <v>28</v>
      </c>
      <c r="D59" s="4675">
        <v>316256</v>
      </c>
      <c r="E59" s="4675">
        <v>315150</v>
      </c>
      <c r="F59" s="4675">
        <v>178623</v>
      </c>
      <c r="G59" s="4675">
        <v>637010</v>
      </c>
      <c r="H59" s="4675">
        <v>376499</v>
      </c>
      <c r="I59" s="4675">
        <v>343615</v>
      </c>
      <c r="J59" s="4675">
        <v>358015</v>
      </c>
      <c r="K59" s="4675">
        <v>345992</v>
      </c>
      <c r="L59" s="4675">
        <v>388669</v>
      </c>
      <c r="M59" s="4675">
        <v>433389</v>
      </c>
      <c r="N59" s="4675">
        <v>290639</v>
      </c>
      <c r="O59" s="4675">
        <v>287618</v>
      </c>
      <c r="P59" s="4675">
        <v>4271475</v>
      </c>
    </row>
    <row r="60" spans="2:16" s="3153" customFormat="1" ht="19.5" customHeight="1">
      <c r="B60" s="836" t="s">
        <v>36</v>
      </c>
      <c r="C60" s="4728" t="s">
        <v>28</v>
      </c>
      <c r="D60" s="4675">
        <v>1762149</v>
      </c>
      <c r="E60" s="4675">
        <v>75489</v>
      </c>
      <c r="F60" s="4675">
        <v>77424</v>
      </c>
      <c r="G60" s="4675">
        <v>5479</v>
      </c>
      <c r="H60" s="4675">
        <v>14414</v>
      </c>
      <c r="I60" s="4675">
        <v>248086</v>
      </c>
      <c r="J60" s="4675">
        <v>1126473</v>
      </c>
      <c r="K60" s="4675">
        <v>512607</v>
      </c>
      <c r="L60" s="4675">
        <v>0</v>
      </c>
      <c r="M60" s="4675">
        <v>172360</v>
      </c>
      <c r="N60" s="4675">
        <v>36349</v>
      </c>
      <c r="O60" s="4675">
        <v>27720</v>
      </c>
      <c r="P60" s="4675">
        <v>4058550</v>
      </c>
    </row>
    <row r="61" spans="2:16" s="3153" customFormat="1" ht="19.5" customHeight="1">
      <c r="B61" s="836" t="s">
        <v>37</v>
      </c>
      <c r="C61" s="4728" t="s">
        <v>28</v>
      </c>
      <c r="D61" s="4675">
        <v>3176455</v>
      </c>
      <c r="E61" s="4675">
        <v>4218342</v>
      </c>
      <c r="F61" s="4675">
        <v>2372192</v>
      </c>
      <c r="G61" s="4675">
        <v>2732484</v>
      </c>
      <c r="H61" s="4675">
        <v>2773864</v>
      </c>
      <c r="I61" s="4675">
        <v>3083217</v>
      </c>
      <c r="J61" s="4675">
        <v>3107013</v>
      </c>
      <c r="K61" s="4675">
        <v>2947747</v>
      </c>
      <c r="L61" s="4675">
        <v>3288319</v>
      </c>
      <c r="M61" s="4675">
        <v>3372802</v>
      </c>
      <c r="N61" s="4675">
        <v>3131004</v>
      </c>
      <c r="O61" s="4675">
        <v>2770680</v>
      </c>
      <c r="P61" s="4675">
        <v>36974119</v>
      </c>
    </row>
    <row r="62" spans="2:16" s="3153" customFormat="1" ht="19.5" customHeight="1">
      <c r="B62" s="836" t="s">
        <v>38</v>
      </c>
      <c r="C62" s="4728" t="s">
        <v>28</v>
      </c>
      <c r="D62" s="4675">
        <v>110190</v>
      </c>
      <c r="E62" s="4675">
        <v>117002</v>
      </c>
      <c r="F62" s="4675">
        <v>107284</v>
      </c>
      <c r="G62" s="4675">
        <v>96312</v>
      </c>
      <c r="H62" s="4675">
        <v>149809</v>
      </c>
      <c r="I62" s="4675">
        <v>120073</v>
      </c>
      <c r="J62" s="4675">
        <v>118770</v>
      </c>
      <c r="K62" s="4675">
        <v>114131</v>
      </c>
      <c r="L62" s="4675">
        <v>112943</v>
      </c>
      <c r="M62" s="4675">
        <v>126605</v>
      </c>
      <c r="N62" s="4675">
        <v>126712</v>
      </c>
      <c r="O62" s="4675">
        <v>114132</v>
      </c>
      <c r="P62" s="4675">
        <v>1413963</v>
      </c>
    </row>
    <row r="63" spans="2:16" s="3153" customFormat="1" ht="19.5" customHeight="1">
      <c r="B63" s="836" t="s">
        <v>39</v>
      </c>
      <c r="C63" s="4728" t="s">
        <v>28</v>
      </c>
      <c r="D63" s="4675">
        <v>1408391</v>
      </c>
      <c r="E63" s="4675">
        <v>1453295</v>
      </c>
      <c r="F63" s="4675">
        <v>897656</v>
      </c>
      <c r="G63" s="4675">
        <v>889631</v>
      </c>
      <c r="H63" s="4675">
        <v>999666</v>
      </c>
      <c r="I63" s="4675">
        <v>898576</v>
      </c>
      <c r="J63" s="4675">
        <v>919559</v>
      </c>
      <c r="K63" s="4675">
        <v>726009</v>
      </c>
      <c r="L63" s="4675">
        <v>769829</v>
      </c>
      <c r="M63" s="4675">
        <v>1140455</v>
      </c>
      <c r="N63" s="4675">
        <v>763870</v>
      </c>
      <c r="O63" s="4675">
        <v>815146</v>
      </c>
      <c r="P63" s="4675">
        <v>11682083</v>
      </c>
    </row>
    <row r="64" spans="2:16" s="3153" customFormat="1" ht="19.5" customHeight="1">
      <c r="B64" s="836" t="s">
        <v>40</v>
      </c>
      <c r="C64" s="4728" t="s">
        <v>28</v>
      </c>
      <c r="D64" s="4675">
        <v>4876139</v>
      </c>
      <c r="E64" s="4675">
        <v>4962402</v>
      </c>
      <c r="F64" s="4675">
        <v>6233892</v>
      </c>
      <c r="G64" s="4675">
        <v>5694711</v>
      </c>
      <c r="H64" s="4675">
        <v>5831391</v>
      </c>
      <c r="I64" s="4675">
        <v>5800990</v>
      </c>
      <c r="J64" s="4675">
        <v>5959514</v>
      </c>
      <c r="K64" s="4675">
        <v>6308061</v>
      </c>
      <c r="L64" s="4675">
        <v>5559822</v>
      </c>
      <c r="M64" s="4675">
        <v>5302138</v>
      </c>
      <c r="N64" s="4675">
        <v>5038741</v>
      </c>
      <c r="O64" s="4675">
        <v>4835524</v>
      </c>
      <c r="P64" s="4675">
        <v>66403325</v>
      </c>
    </row>
    <row r="65" spans="2:16" s="3153" customFormat="1" ht="19.5" customHeight="1">
      <c r="B65" s="5420" t="s">
        <v>3197</v>
      </c>
      <c r="C65" s="5420"/>
      <c r="D65" s="5420"/>
      <c r="E65" s="5420"/>
      <c r="F65" s="5420"/>
      <c r="G65" s="5420"/>
      <c r="H65" s="5420"/>
      <c r="I65" s="5420"/>
      <c r="J65" s="5420"/>
      <c r="K65" s="5420"/>
      <c r="L65" s="5420"/>
      <c r="M65" s="5420"/>
      <c r="N65" s="5420"/>
      <c r="O65" s="5420"/>
      <c r="P65" s="5420"/>
    </row>
    <row r="66" spans="2:16" s="3153" customFormat="1" ht="19.5" customHeight="1">
      <c r="B66" s="836" t="s">
        <v>2231</v>
      </c>
      <c r="C66" s="4728" t="s">
        <v>28</v>
      </c>
      <c r="D66" s="4675">
        <v>14780144</v>
      </c>
      <c r="E66" s="4675">
        <v>14947881</v>
      </c>
      <c r="F66" s="4675">
        <v>15626267</v>
      </c>
      <c r="G66" s="4675">
        <v>16294150</v>
      </c>
      <c r="H66" s="4675">
        <v>16816323</v>
      </c>
      <c r="I66" s="4675">
        <v>15229453</v>
      </c>
      <c r="J66" s="4675">
        <v>14668765</v>
      </c>
      <c r="K66" s="4675">
        <v>14336902</v>
      </c>
      <c r="L66" s="4675">
        <v>14427626</v>
      </c>
      <c r="M66" s="4675">
        <v>14587408</v>
      </c>
      <c r="N66" s="4675">
        <v>18988271</v>
      </c>
      <c r="O66" s="4675">
        <v>8071473</v>
      </c>
      <c r="P66" s="4675">
        <v>178774663</v>
      </c>
    </row>
    <row r="67" spans="2:16" s="3153" customFormat="1" ht="19.5" customHeight="1">
      <c r="B67" s="836" t="s">
        <v>2232</v>
      </c>
      <c r="C67" s="4728" t="s">
        <v>28</v>
      </c>
      <c r="D67" s="4675">
        <v>27746823</v>
      </c>
      <c r="E67" s="4675">
        <v>28976346</v>
      </c>
      <c r="F67" s="4675">
        <v>32122186</v>
      </c>
      <c r="G67" s="4675">
        <v>29641993</v>
      </c>
      <c r="H67" s="4675">
        <v>30283588</v>
      </c>
      <c r="I67" s="4675">
        <v>29675218</v>
      </c>
      <c r="J67" s="4675">
        <v>28951574</v>
      </c>
      <c r="K67" s="4675">
        <v>32378615</v>
      </c>
      <c r="L67" s="4675">
        <v>29552942</v>
      </c>
      <c r="M67" s="4675">
        <v>28476893</v>
      </c>
      <c r="N67" s="4675">
        <v>31748714</v>
      </c>
      <c r="O67" s="4675">
        <v>20968421</v>
      </c>
      <c r="P67" s="4675">
        <v>350523313</v>
      </c>
    </row>
    <row r="68" spans="2:16" s="3153" customFormat="1" ht="19.5" customHeight="1">
      <c r="B68" s="836" t="s">
        <v>2233</v>
      </c>
      <c r="C68" s="4728" t="s">
        <v>28</v>
      </c>
      <c r="D68" s="4675">
        <v>2750722</v>
      </c>
      <c r="E68" s="4675">
        <v>2831940</v>
      </c>
      <c r="F68" s="4675">
        <v>2979197</v>
      </c>
      <c r="G68" s="4675">
        <v>2762412</v>
      </c>
      <c r="H68" s="4675">
        <v>2835184</v>
      </c>
      <c r="I68" s="4675">
        <v>2844382</v>
      </c>
      <c r="J68" s="4675">
        <v>2847520</v>
      </c>
      <c r="K68" s="4675">
        <v>2999795</v>
      </c>
      <c r="L68" s="4675">
        <v>2749945</v>
      </c>
      <c r="M68" s="4675">
        <v>2531397</v>
      </c>
      <c r="N68" s="4675">
        <v>2429324</v>
      </c>
      <c r="O68" s="4675">
        <v>2257946</v>
      </c>
      <c r="P68" s="4675">
        <v>32819764</v>
      </c>
    </row>
    <row r="69" spans="2:16" s="3153" customFormat="1" ht="19.5" customHeight="1">
      <c r="B69" s="836" t="s">
        <v>2234</v>
      </c>
      <c r="C69" s="4728" t="s">
        <v>28</v>
      </c>
      <c r="D69" s="4675">
        <v>552814</v>
      </c>
      <c r="E69" s="4675">
        <v>492237</v>
      </c>
      <c r="F69" s="4675">
        <v>516185</v>
      </c>
      <c r="G69" s="4675">
        <v>532607</v>
      </c>
      <c r="H69" s="4675">
        <v>579229</v>
      </c>
      <c r="I69" s="4675">
        <v>585567</v>
      </c>
      <c r="J69" s="4675">
        <v>559932</v>
      </c>
      <c r="K69" s="4675">
        <v>689366</v>
      </c>
      <c r="L69" s="4675">
        <v>754413</v>
      </c>
      <c r="M69" s="4675">
        <v>826767</v>
      </c>
      <c r="N69" s="4675">
        <v>846807</v>
      </c>
      <c r="O69" s="4675">
        <v>902251</v>
      </c>
      <c r="P69" s="4675">
        <v>7838175</v>
      </c>
    </row>
    <row r="70" spans="2:16" s="3153" customFormat="1" ht="19.5" customHeight="1">
      <c r="B70" s="836" t="s">
        <v>2235</v>
      </c>
      <c r="C70" s="4728" t="s">
        <v>28</v>
      </c>
      <c r="D70" s="4675">
        <v>6639113</v>
      </c>
      <c r="E70" s="4675">
        <v>6729887</v>
      </c>
      <c r="F70" s="4675">
        <v>7759915</v>
      </c>
      <c r="G70" s="4675">
        <v>7185457</v>
      </c>
      <c r="H70" s="4675">
        <v>7265261</v>
      </c>
      <c r="I70" s="4675">
        <v>7199115</v>
      </c>
      <c r="J70" s="4675">
        <v>7215170</v>
      </c>
      <c r="K70" s="4675">
        <v>7615324</v>
      </c>
      <c r="L70" s="4675">
        <v>6668519</v>
      </c>
      <c r="M70" s="4675">
        <v>6304595</v>
      </c>
      <c r="N70" s="4675">
        <v>6030881</v>
      </c>
      <c r="O70" s="4675">
        <v>5539632</v>
      </c>
      <c r="P70" s="4675">
        <v>82152869</v>
      </c>
    </row>
    <row r="71" spans="2:16" s="3153" customFormat="1" ht="19.5" customHeight="1">
      <c r="B71" s="4714" t="s">
        <v>47</v>
      </c>
      <c r="C71" s="4727"/>
      <c r="D71" s="4675">
        <v>371268129.11000001</v>
      </c>
      <c r="E71" s="4675">
        <v>384546287.17000002</v>
      </c>
      <c r="F71" s="4675">
        <v>405359280.11000001</v>
      </c>
      <c r="G71" s="4675">
        <v>360298520.38999999</v>
      </c>
      <c r="H71" s="4675">
        <v>396780910.81999999</v>
      </c>
      <c r="I71" s="4675">
        <v>371886653.34000003</v>
      </c>
      <c r="J71" s="4675">
        <v>367113295.26999998</v>
      </c>
      <c r="K71" s="4675">
        <v>324886289.20999998</v>
      </c>
      <c r="L71" s="4675">
        <v>289893278.94</v>
      </c>
      <c r="M71" s="4675">
        <v>459607704.01999998</v>
      </c>
      <c r="N71" s="4675">
        <v>321125558.34000003</v>
      </c>
      <c r="O71" s="4675">
        <v>298755262.87</v>
      </c>
      <c r="P71" s="4675">
        <v>4351521169.5900002</v>
      </c>
    </row>
    <row r="72" spans="2:16" s="4723" customFormat="1" ht="19.5" customHeight="1"/>
    <row r="73" spans="2:16" s="4723" customFormat="1" ht="19.5" hidden="1" customHeight="1">
      <c r="B73" s="3696" t="s">
        <v>3911</v>
      </c>
      <c r="C73" s="4089"/>
      <c r="D73" s="4089"/>
      <c r="E73" s="4089"/>
      <c r="F73" s="4089"/>
      <c r="G73" s="4089"/>
      <c r="H73" s="4089"/>
      <c r="I73" s="4089"/>
      <c r="J73" s="4089"/>
      <c r="K73" s="4089"/>
      <c r="L73" s="4089"/>
      <c r="M73" s="4089"/>
      <c r="N73" s="4089"/>
      <c r="O73" s="4089"/>
      <c r="P73" s="4089" t="s">
        <v>3184</v>
      </c>
    </row>
    <row r="74" spans="2:16" s="4723" customFormat="1" ht="19.5" hidden="1" customHeight="1">
      <c r="B74" s="155"/>
      <c r="C74" s="155"/>
      <c r="D74" s="155"/>
      <c r="E74" s="155"/>
      <c r="F74" s="155"/>
      <c r="G74" s="155"/>
      <c r="H74" s="155"/>
      <c r="I74" s="155"/>
      <c r="J74" s="155"/>
      <c r="K74" s="155"/>
      <c r="L74" s="155"/>
      <c r="M74" s="155"/>
      <c r="N74" s="155"/>
      <c r="O74" s="155"/>
      <c r="P74" s="155"/>
    </row>
    <row r="75" spans="2:16" s="4723" customFormat="1" ht="19.5" hidden="1" customHeight="1">
      <c r="B75" s="4711" t="s">
        <v>1</v>
      </c>
      <c r="C75" s="4712" t="s">
        <v>2</v>
      </c>
      <c r="D75" s="1610" t="s">
        <v>3185</v>
      </c>
      <c r="E75" s="1610" t="s">
        <v>3186</v>
      </c>
      <c r="F75" s="1610" t="s">
        <v>3187</v>
      </c>
      <c r="G75" s="1610" t="s">
        <v>3188</v>
      </c>
      <c r="H75" s="1610" t="s">
        <v>3189</v>
      </c>
      <c r="I75" s="1610" t="s">
        <v>3190</v>
      </c>
      <c r="J75" s="1610" t="s">
        <v>3191</v>
      </c>
      <c r="K75" s="1610" t="s">
        <v>3192</v>
      </c>
      <c r="L75" s="1610" t="s">
        <v>3193</v>
      </c>
      <c r="M75" s="1610" t="s">
        <v>3194</v>
      </c>
      <c r="N75" s="1610" t="s">
        <v>3195</v>
      </c>
      <c r="O75" s="1610" t="s">
        <v>3196</v>
      </c>
      <c r="P75" s="1610" t="s">
        <v>47</v>
      </c>
    </row>
    <row r="76" spans="2:16" s="4723" customFormat="1" ht="19.5" hidden="1" customHeight="1">
      <c r="B76" s="5419" t="s">
        <v>1989</v>
      </c>
      <c r="C76" s="5419"/>
      <c r="D76" s="5419"/>
      <c r="E76" s="5419"/>
      <c r="F76" s="5419"/>
      <c r="G76" s="5419"/>
      <c r="H76" s="5419"/>
      <c r="I76" s="5419"/>
      <c r="J76" s="5419"/>
      <c r="K76" s="5419"/>
      <c r="L76" s="5419"/>
      <c r="M76" s="5419"/>
      <c r="N76" s="5419"/>
      <c r="O76" s="5419"/>
      <c r="P76" s="5419"/>
    </row>
    <row r="77" spans="2:16" s="4723" customFormat="1" ht="19.5" hidden="1" customHeight="1">
      <c r="B77" s="284" t="s">
        <v>14</v>
      </c>
      <c r="C77" s="4713"/>
      <c r="D77" s="5042">
        <v>6460</v>
      </c>
      <c r="E77" s="5042">
        <v>7769</v>
      </c>
      <c r="F77" s="5042">
        <v>6703</v>
      </c>
      <c r="G77" s="5042">
        <v>3596</v>
      </c>
      <c r="H77" s="5042">
        <v>2477</v>
      </c>
      <c r="I77" s="5042">
        <v>2958</v>
      </c>
      <c r="J77" s="5042">
        <v>3525</v>
      </c>
      <c r="K77" s="5042">
        <v>3615</v>
      </c>
      <c r="L77" s="5042">
        <v>3042</v>
      </c>
      <c r="M77" s="5043">
        <v>3040</v>
      </c>
      <c r="N77" s="5043">
        <v>2101</v>
      </c>
      <c r="O77" s="5043">
        <v>3463</v>
      </c>
      <c r="P77" s="5042">
        <f t="shared" ref="P77:P94" si="2">SUM(D77:O77)</f>
        <v>48749</v>
      </c>
    </row>
    <row r="78" spans="2:16" s="4723" customFormat="1" ht="19.5" hidden="1" customHeight="1">
      <c r="B78" s="5035" t="s">
        <v>1917</v>
      </c>
      <c r="C78" s="5036" t="s">
        <v>17</v>
      </c>
      <c r="D78" s="5042">
        <v>59113978</v>
      </c>
      <c r="E78" s="5042">
        <v>59701505</v>
      </c>
      <c r="F78" s="5042">
        <v>59164326</v>
      </c>
      <c r="G78" s="5042">
        <v>60293178</v>
      </c>
      <c r="H78" s="5042">
        <v>60109105</v>
      </c>
      <c r="I78" s="5042">
        <v>59256041</v>
      </c>
      <c r="J78" s="5042">
        <v>60278022</v>
      </c>
      <c r="K78" s="5042">
        <v>60875656</v>
      </c>
      <c r="L78" s="5042">
        <v>58852951</v>
      </c>
      <c r="M78" s="5043">
        <v>56597177</v>
      </c>
      <c r="N78" s="5043">
        <v>55442358</v>
      </c>
      <c r="O78" s="5043">
        <v>57109448</v>
      </c>
      <c r="P78" s="5042">
        <f t="shared" si="2"/>
        <v>706793745</v>
      </c>
    </row>
    <row r="79" spans="2:16" s="4723" customFormat="1" ht="19.5" hidden="1" customHeight="1">
      <c r="B79" s="5035"/>
      <c r="C79" s="5036" t="s">
        <v>18</v>
      </c>
      <c r="D79" s="5042">
        <v>51334588</v>
      </c>
      <c r="E79" s="5042">
        <v>58309659</v>
      </c>
      <c r="F79" s="5042">
        <v>57582243</v>
      </c>
      <c r="G79" s="5042">
        <v>59096189</v>
      </c>
      <c r="H79" s="5042">
        <v>56013712</v>
      </c>
      <c r="I79" s="5042">
        <v>49389444</v>
      </c>
      <c r="J79" s="5042">
        <v>56218827</v>
      </c>
      <c r="K79" s="5042">
        <v>60380102</v>
      </c>
      <c r="L79" s="5042">
        <v>47272487</v>
      </c>
      <c r="M79" s="5043">
        <v>39208144</v>
      </c>
      <c r="N79" s="5043">
        <v>35285265</v>
      </c>
      <c r="O79" s="5043">
        <v>39590006</v>
      </c>
      <c r="P79" s="5042">
        <f t="shared" si="2"/>
        <v>609680666</v>
      </c>
    </row>
    <row r="80" spans="2:16" s="4723" customFormat="1" ht="19.5" hidden="1" customHeight="1">
      <c r="B80" s="5035"/>
      <c r="C80" s="5036" t="s">
        <v>19</v>
      </c>
      <c r="D80" s="5042">
        <v>15072849</v>
      </c>
      <c r="E80" s="5042">
        <v>21108910</v>
      </c>
      <c r="F80" s="5042">
        <v>22324875</v>
      </c>
      <c r="G80" s="5042">
        <v>20550759</v>
      </c>
      <c r="H80" s="5042">
        <v>16145465.999999998</v>
      </c>
      <c r="I80" s="5042">
        <v>13363343</v>
      </c>
      <c r="J80" s="5042">
        <v>17866530</v>
      </c>
      <c r="K80" s="5042">
        <v>19944087</v>
      </c>
      <c r="L80" s="5042">
        <v>13118352</v>
      </c>
      <c r="M80" s="5043">
        <v>9378073</v>
      </c>
      <c r="N80" s="5043">
        <v>8148470</v>
      </c>
      <c r="O80" s="5043">
        <v>9500515</v>
      </c>
      <c r="P80" s="5042">
        <f t="shared" si="2"/>
        <v>186522229</v>
      </c>
    </row>
    <row r="81" spans="2:16" s="4723" customFormat="1" ht="19.5" hidden="1" customHeight="1">
      <c r="B81" s="5035"/>
      <c r="C81" s="5036" t="s">
        <v>20</v>
      </c>
      <c r="D81" s="5042">
        <v>26951324</v>
      </c>
      <c r="E81" s="5042">
        <v>37031816</v>
      </c>
      <c r="F81" s="5042">
        <v>39490837</v>
      </c>
      <c r="G81" s="5042">
        <v>36824414</v>
      </c>
      <c r="H81" s="5042">
        <v>29862148</v>
      </c>
      <c r="I81" s="5042">
        <v>25242760</v>
      </c>
      <c r="J81" s="5042">
        <v>31131883</v>
      </c>
      <c r="K81" s="5042">
        <v>35717371</v>
      </c>
      <c r="L81" s="5042">
        <v>25285965</v>
      </c>
      <c r="M81" s="5043">
        <v>20149886</v>
      </c>
      <c r="N81" s="5043">
        <v>17602486</v>
      </c>
      <c r="O81" s="5043">
        <v>18222939</v>
      </c>
      <c r="P81" s="5042">
        <f t="shared" si="2"/>
        <v>343513829</v>
      </c>
    </row>
    <row r="82" spans="2:16" s="4723" customFormat="1" ht="19.5" hidden="1" customHeight="1">
      <c r="B82" s="5035" t="s">
        <v>21</v>
      </c>
      <c r="C82" s="5036" t="s">
        <v>25</v>
      </c>
      <c r="D82" s="5042">
        <v>45927648</v>
      </c>
      <c r="E82" s="5042">
        <v>48669023</v>
      </c>
      <c r="F82" s="5042">
        <v>48386918</v>
      </c>
      <c r="G82" s="5042">
        <v>48890453</v>
      </c>
      <c r="H82" s="5042">
        <v>46872253</v>
      </c>
      <c r="I82" s="5042">
        <v>44065189</v>
      </c>
      <c r="J82" s="5042">
        <v>47164015</v>
      </c>
      <c r="K82" s="5042">
        <v>48120094</v>
      </c>
      <c r="L82" s="5042">
        <v>44002074</v>
      </c>
      <c r="M82" s="5043">
        <v>40852332</v>
      </c>
      <c r="N82" s="5043">
        <v>39121816</v>
      </c>
      <c r="O82" s="5043">
        <v>40662220</v>
      </c>
      <c r="P82" s="5042">
        <f t="shared" si="2"/>
        <v>542734035</v>
      </c>
    </row>
    <row r="83" spans="2:16" s="4723" customFormat="1" ht="19.5" hidden="1" customHeight="1">
      <c r="B83" s="5035"/>
      <c r="C83" s="5036" t="s">
        <v>26</v>
      </c>
      <c r="D83" s="5042">
        <v>30092074</v>
      </c>
      <c r="E83" s="5042">
        <v>34477548</v>
      </c>
      <c r="F83" s="5042">
        <v>34310381</v>
      </c>
      <c r="G83" s="5042">
        <v>34102494</v>
      </c>
      <c r="H83" s="5042">
        <v>30491894</v>
      </c>
      <c r="I83" s="5042">
        <v>26450499</v>
      </c>
      <c r="J83" s="5042">
        <v>30331186</v>
      </c>
      <c r="K83" s="5042">
        <v>31946252</v>
      </c>
      <c r="L83" s="5042">
        <v>26550332</v>
      </c>
      <c r="M83" s="5043">
        <v>23462934</v>
      </c>
      <c r="N83" s="5043">
        <v>20676418</v>
      </c>
      <c r="O83" s="5043">
        <v>21582874</v>
      </c>
      <c r="P83" s="5042">
        <f t="shared" si="2"/>
        <v>344474886</v>
      </c>
    </row>
    <row r="84" spans="2:16" s="4723" customFormat="1" ht="19.5" hidden="1" customHeight="1">
      <c r="B84" s="5035" t="s">
        <v>27</v>
      </c>
      <c r="C84" s="5037" t="s">
        <v>28</v>
      </c>
      <c r="D84" s="5042">
        <v>19591033</v>
      </c>
      <c r="E84" s="5042">
        <v>20653119</v>
      </c>
      <c r="F84" s="5042">
        <v>22756723</v>
      </c>
      <c r="G84" s="5042">
        <v>22856416</v>
      </c>
      <c r="H84" s="5042">
        <v>20130139</v>
      </c>
      <c r="I84" s="5042">
        <v>19182896</v>
      </c>
      <c r="J84" s="5042">
        <v>19813702</v>
      </c>
      <c r="K84" s="5042">
        <v>20114860</v>
      </c>
      <c r="L84" s="5042">
        <v>19655665</v>
      </c>
      <c r="M84" s="5043">
        <v>17779795</v>
      </c>
      <c r="N84" s="5043">
        <v>16089115</v>
      </c>
      <c r="O84" s="5043">
        <v>15964498</v>
      </c>
      <c r="P84" s="5042">
        <f t="shared" si="2"/>
        <v>234587961</v>
      </c>
    </row>
    <row r="85" spans="2:16" s="4723" customFormat="1" ht="19.5" hidden="1" customHeight="1">
      <c r="B85" s="5035" t="s">
        <v>29</v>
      </c>
      <c r="C85" s="5037" t="s">
        <v>28</v>
      </c>
      <c r="D85" s="5042">
        <v>38209544</v>
      </c>
      <c r="E85" s="5042">
        <v>40562247</v>
      </c>
      <c r="F85" s="5042">
        <v>44302249</v>
      </c>
      <c r="G85" s="5042">
        <v>44377278</v>
      </c>
      <c r="H85" s="5042">
        <v>40073637</v>
      </c>
      <c r="I85" s="5042">
        <v>38513180</v>
      </c>
      <c r="J85" s="5042">
        <v>39479907</v>
      </c>
      <c r="K85" s="5042">
        <v>39529759</v>
      </c>
      <c r="L85" s="5042">
        <v>38489663</v>
      </c>
      <c r="M85" s="5043">
        <v>35191187</v>
      </c>
      <c r="N85" s="5043">
        <v>32284733.000000004</v>
      </c>
      <c r="O85" s="5043">
        <v>31893368</v>
      </c>
      <c r="P85" s="5042">
        <f t="shared" si="2"/>
        <v>462906752</v>
      </c>
    </row>
    <row r="86" spans="2:16" s="4723" customFormat="1" ht="19.5" hidden="1" customHeight="1">
      <c r="B86" s="5035" t="s">
        <v>2226</v>
      </c>
      <c r="C86" s="5036" t="s">
        <v>25</v>
      </c>
      <c r="D86" s="5042">
        <v>1768106</v>
      </c>
      <c r="E86" s="5042">
        <v>1789777</v>
      </c>
      <c r="F86" s="5042">
        <v>1751486</v>
      </c>
      <c r="G86" s="5042">
        <v>1782872</v>
      </c>
      <c r="H86" s="5042">
        <v>1766245</v>
      </c>
      <c r="I86" s="5042">
        <v>1718941</v>
      </c>
      <c r="J86" s="5042">
        <v>1772653</v>
      </c>
      <c r="K86" s="5042">
        <v>1757112</v>
      </c>
      <c r="L86" s="5042">
        <v>1727899</v>
      </c>
      <c r="M86" s="5043">
        <v>1677916</v>
      </c>
      <c r="N86" s="5043">
        <v>1623640</v>
      </c>
      <c r="O86" s="5043">
        <v>1652985</v>
      </c>
      <c r="P86" s="5042">
        <f t="shared" si="2"/>
        <v>20789632</v>
      </c>
    </row>
    <row r="87" spans="2:16" s="4723" customFormat="1" ht="19.5" hidden="1" customHeight="1">
      <c r="B87" s="5035"/>
      <c r="C87" s="5036" t="s">
        <v>26</v>
      </c>
      <c r="D87" s="5042">
        <v>1959975</v>
      </c>
      <c r="E87" s="5042">
        <v>1997443</v>
      </c>
      <c r="F87" s="5042">
        <v>2002879</v>
      </c>
      <c r="G87" s="5042">
        <v>2033811</v>
      </c>
      <c r="H87" s="5042">
        <v>2044700.9999999998</v>
      </c>
      <c r="I87" s="5042">
        <v>1750620</v>
      </c>
      <c r="J87" s="5042">
        <v>2033268</v>
      </c>
      <c r="K87" s="5042">
        <v>1960031</v>
      </c>
      <c r="L87" s="5042">
        <v>1882356</v>
      </c>
      <c r="M87" s="5043">
        <v>1870979</v>
      </c>
      <c r="N87" s="5043">
        <v>1659447</v>
      </c>
      <c r="O87" s="5043">
        <v>1631077</v>
      </c>
      <c r="P87" s="5042">
        <f t="shared" si="2"/>
        <v>22826587</v>
      </c>
    </row>
    <row r="88" spans="2:16" s="4723" customFormat="1" ht="19.5" hidden="1" customHeight="1">
      <c r="B88" s="5035" t="s">
        <v>2227</v>
      </c>
      <c r="C88" s="5037" t="s">
        <v>28</v>
      </c>
      <c r="D88" s="5042">
        <v>4271530</v>
      </c>
      <c r="E88" s="5042">
        <v>4392567</v>
      </c>
      <c r="F88" s="5042">
        <v>4533327</v>
      </c>
      <c r="G88" s="5042">
        <v>4498135</v>
      </c>
      <c r="H88" s="5042">
        <v>4610705</v>
      </c>
      <c r="I88" s="5042">
        <v>4307731</v>
      </c>
      <c r="J88" s="5042">
        <v>4498798</v>
      </c>
      <c r="K88" s="5042">
        <v>4262683</v>
      </c>
      <c r="L88" s="5042">
        <v>4376439</v>
      </c>
      <c r="M88" s="5043">
        <v>4456636</v>
      </c>
      <c r="N88" s="5043">
        <v>4098594.0000000005</v>
      </c>
      <c r="O88" s="5043">
        <v>3799726</v>
      </c>
      <c r="P88" s="5042">
        <f t="shared" si="2"/>
        <v>52106871</v>
      </c>
    </row>
    <row r="89" spans="2:16" s="4723" customFormat="1" ht="19.5" hidden="1" customHeight="1">
      <c r="B89" s="5035" t="s">
        <v>2228</v>
      </c>
      <c r="C89" s="5037" t="s">
        <v>28</v>
      </c>
      <c r="D89" s="5042">
        <v>4048263.0000000005</v>
      </c>
      <c r="E89" s="5042">
        <v>3990170</v>
      </c>
      <c r="F89" s="5042">
        <v>4124270</v>
      </c>
      <c r="G89" s="5042">
        <v>3981478</v>
      </c>
      <c r="H89" s="5042">
        <v>4036259.0000000005</v>
      </c>
      <c r="I89" s="5042">
        <v>3955037</v>
      </c>
      <c r="J89" s="5042">
        <v>4064872.0000000005</v>
      </c>
      <c r="K89" s="5042">
        <v>4031024.0000000005</v>
      </c>
      <c r="L89" s="5042">
        <v>3982849</v>
      </c>
      <c r="M89" s="5043">
        <v>4082059</v>
      </c>
      <c r="N89" s="5043">
        <v>3836238</v>
      </c>
      <c r="O89" s="5043">
        <v>3563170</v>
      </c>
      <c r="P89" s="5042">
        <f t="shared" si="2"/>
        <v>47695689</v>
      </c>
    </row>
    <row r="90" spans="2:16" s="4723" customFormat="1" ht="19.5" hidden="1" customHeight="1">
      <c r="B90" s="5035" t="s">
        <v>33</v>
      </c>
      <c r="C90" s="5037"/>
      <c r="D90" s="5042">
        <v>143203</v>
      </c>
      <c r="E90" s="5042">
        <v>146275</v>
      </c>
      <c r="F90" s="5042">
        <v>140977</v>
      </c>
      <c r="G90" s="5042">
        <v>132343</v>
      </c>
      <c r="H90" s="5042">
        <v>102352</v>
      </c>
      <c r="I90" s="5042">
        <v>129971</v>
      </c>
      <c r="J90" s="5042">
        <v>120344</v>
      </c>
      <c r="K90" s="5042">
        <v>139628</v>
      </c>
      <c r="L90" s="5042">
        <v>120859</v>
      </c>
      <c r="M90" s="5043">
        <v>157077</v>
      </c>
      <c r="N90" s="5043">
        <v>140075</v>
      </c>
      <c r="O90" s="5043">
        <v>127042.99999999999</v>
      </c>
      <c r="P90" s="5042">
        <f t="shared" si="2"/>
        <v>1600147</v>
      </c>
    </row>
    <row r="91" spans="2:16" s="4723" customFormat="1" ht="19.5" hidden="1" customHeight="1">
      <c r="B91" s="5035" t="s">
        <v>3607</v>
      </c>
      <c r="C91" s="5037" t="s">
        <v>28</v>
      </c>
      <c r="D91" s="5042">
        <v>2586546.6</v>
      </c>
      <c r="E91" s="5042">
        <v>2459805.09</v>
      </c>
      <c r="F91" s="5042">
        <v>2406065.6</v>
      </c>
      <c r="G91" s="5042">
        <v>2245154.67</v>
      </c>
      <c r="H91" s="5042">
        <v>2141644.84</v>
      </c>
      <c r="I91" s="5042">
        <v>2321781.4</v>
      </c>
      <c r="J91" s="5042">
        <v>2437637.9900000002</v>
      </c>
      <c r="K91" s="5042">
        <v>2620225.84</v>
      </c>
      <c r="L91" s="5042">
        <v>2615651.85</v>
      </c>
      <c r="M91" s="5043">
        <v>2783523.22</v>
      </c>
      <c r="N91" s="5043">
        <v>2918499.56</v>
      </c>
      <c r="O91" s="5043">
        <v>2449458.12</v>
      </c>
      <c r="P91" s="5042">
        <f t="shared" si="2"/>
        <v>29985994.780000001</v>
      </c>
    </row>
    <row r="92" spans="2:16" s="4723" customFormat="1" ht="19.5" hidden="1" customHeight="1">
      <c r="B92" s="5035" t="s">
        <v>36</v>
      </c>
      <c r="C92" s="5037" t="s">
        <v>28</v>
      </c>
      <c r="D92" s="5042">
        <v>11676</v>
      </c>
      <c r="E92" s="5042">
        <v>29687</v>
      </c>
      <c r="F92" s="5042">
        <v>5186</v>
      </c>
      <c r="G92" s="5042">
        <v>11425</v>
      </c>
      <c r="H92" s="5042">
        <v>9148</v>
      </c>
      <c r="I92" s="5042">
        <v>1155073</v>
      </c>
      <c r="J92" s="5042">
        <v>738533</v>
      </c>
      <c r="K92" s="5042">
        <v>119666</v>
      </c>
      <c r="L92" s="5042">
        <v>49992</v>
      </c>
      <c r="M92" s="5043">
        <v>63208</v>
      </c>
      <c r="N92" s="5043">
        <v>44183</v>
      </c>
      <c r="O92" s="5043">
        <v>31279</v>
      </c>
      <c r="P92" s="5042">
        <f t="shared" si="2"/>
        <v>2269056</v>
      </c>
    </row>
    <row r="93" spans="2:16" s="4723" customFormat="1" ht="19.5" hidden="1" customHeight="1">
      <c r="B93" s="5035" t="s">
        <v>37</v>
      </c>
      <c r="C93" s="5037" t="s">
        <v>28</v>
      </c>
      <c r="D93" s="5042">
        <v>3240806</v>
      </c>
      <c r="E93" s="5042">
        <v>3110789</v>
      </c>
      <c r="F93" s="5042">
        <v>3316410</v>
      </c>
      <c r="G93" s="5042">
        <v>3223672</v>
      </c>
      <c r="H93" s="5042">
        <v>3243982</v>
      </c>
      <c r="I93" s="5042">
        <v>2799091</v>
      </c>
      <c r="J93" s="5042">
        <v>3012791</v>
      </c>
      <c r="K93" s="5042">
        <v>2859921</v>
      </c>
      <c r="L93" s="5042">
        <v>3007856</v>
      </c>
      <c r="M93" s="5043">
        <v>3082175</v>
      </c>
      <c r="N93" s="5043">
        <v>2860089</v>
      </c>
      <c r="O93" s="5043">
        <v>2609737</v>
      </c>
      <c r="P93" s="5042">
        <f t="shared" si="2"/>
        <v>36367319</v>
      </c>
    </row>
    <row r="94" spans="2:16" s="4723" customFormat="1" ht="19.5" hidden="1" customHeight="1">
      <c r="B94" s="5035" t="s">
        <v>38</v>
      </c>
      <c r="C94" s="5037" t="s">
        <v>28</v>
      </c>
      <c r="D94" s="5042">
        <v>114608</v>
      </c>
      <c r="E94" s="5042">
        <v>124709</v>
      </c>
      <c r="F94" s="5042">
        <v>131701</v>
      </c>
      <c r="G94" s="5042">
        <v>104515</v>
      </c>
      <c r="H94" s="5042">
        <v>100922</v>
      </c>
      <c r="I94" s="5042">
        <v>96551</v>
      </c>
      <c r="J94" s="5042">
        <v>86220</v>
      </c>
      <c r="K94" s="5042">
        <v>83287</v>
      </c>
      <c r="L94" s="5042">
        <v>89379</v>
      </c>
      <c r="M94" s="5043">
        <v>92737</v>
      </c>
      <c r="N94" s="5043">
        <v>92105</v>
      </c>
      <c r="O94" s="5043">
        <v>83340</v>
      </c>
      <c r="P94" s="5042">
        <f t="shared" si="2"/>
        <v>1200074</v>
      </c>
    </row>
    <row r="95" spans="2:16" s="4723" customFormat="1" ht="19.5" hidden="1" customHeight="1">
      <c r="B95" s="5035" t="s">
        <v>39</v>
      </c>
      <c r="C95" s="5037" t="s">
        <v>28</v>
      </c>
      <c r="D95" s="5042">
        <v>993538</v>
      </c>
      <c r="E95" s="5042">
        <v>1027187.0000000001</v>
      </c>
      <c r="F95" s="5042">
        <v>1064203</v>
      </c>
      <c r="G95" s="5042">
        <v>1182468</v>
      </c>
      <c r="H95" s="5042">
        <v>1129615</v>
      </c>
      <c r="I95" s="5042">
        <v>1039979</v>
      </c>
      <c r="J95" s="5042">
        <v>1136583</v>
      </c>
      <c r="K95" s="5042">
        <v>1087951</v>
      </c>
      <c r="L95" s="5042">
        <v>1047778.0000000001</v>
      </c>
      <c r="M95" s="5043">
        <v>909893</v>
      </c>
      <c r="N95" s="5043">
        <v>882068</v>
      </c>
      <c r="O95" s="5043">
        <v>945556</v>
      </c>
      <c r="P95" s="5042">
        <f t="shared" ref="P95:P96" si="3">SUM(D95:O95)</f>
        <v>12446819</v>
      </c>
    </row>
    <row r="96" spans="2:16" s="4723" customFormat="1" ht="19.5" hidden="1" customHeight="1">
      <c r="B96" s="5038" t="s">
        <v>40</v>
      </c>
      <c r="C96" s="5039" t="s">
        <v>28</v>
      </c>
      <c r="D96" s="5042">
        <v>5720304</v>
      </c>
      <c r="E96" s="5042">
        <v>6106324</v>
      </c>
      <c r="F96" s="5042">
        <v>6571262</v>
      </c>
      <c r="G96" s="5042">
        <v>6865257</v>
      </c>
      <c r="H96" s="5042">
        <v>6453558</v>
      </c>
      <c r="I96" s="5042">
        <v>6332250</v>
      </c>
      <c r="J96" s="5042">
        <v>6427058</v>
      </c>
      <c r="K96" s="5042">
        <v>6404500</v>
      </c>
      <c r="L96" s="5042">
        <v>6044785</v>
      </c>
      <c r="M96" s="5043">
        <v>6070593</v>
      </c>
      <c r="N96" s="5043">
        <v>5455905</v>
      </c>
      <c r="O96" s="5043">
        <v>5540364</v>
      </c>
      <c r="P96" s="5042">
        <f t="shared" si="3"/>
        <v>73992160</v>
      </c>
    </row>
    <row r="97" spans="1:16" s="4723" customFormat="1" ht="19.5" hidden="1" customHeight="1">
      <c r="B97" s="5417" t="s">
        <v>3197</v>
      </c>
      <c r="C97" s="5417"/>
      <c r="D97" s="5417"/>
      <c r="E97" s="5417"/>
      <c r="F97" s="5417"/>
      <c r="G97" s="5417"/>
      <c r="H97" s="5417"/>
      <c r="I97" s="5417"/>
      <c r="J97" s="5417"/>
      <c r="K97" s="5417"/>
      <c r="L97" s="5417"/>
      <c r="M97" s="5417"/>
      <c r="N97" s="5417"/>
      <c r="O97" s="5417"/>
      <c r="P97" s="5417"/>
    </row>
    <row r="98" spans="1:16" s="4723" customFormat="1" ht="19.5" hidden="1" customHeight="1">
      <c r="B98" s="5040" t="s">
        <v>2231</v>
      </c>
      <c r="C98" s="5041" t="s">
        <v>28</v>
      </c>
      <c r="D98" s="5042">
        <v>15000168</v>
      </c>
      <c r="E98" s="5042">
        <v>15576811</v>
      </c>
      <c r="F98" s="5042">
        <v>15634255</v>
      </c>
      <c r="G98" s="5042">
        <v>15756955</v>
      </c>
      <c r="H98" s="5042">
        <v>18481049</v>
      </c>
      <c r="I98" s="5042">
        <v>16602484</v>
      </c>
      <c r="J98" s="5042">
        <v>16065817</v>
      </c>
      <c r="K98" s="5042">
        <v>15800516</v>
      </c>
      <c r="L98" s="5042">
        <v>15231235</v>
      </c>
      <c r="M98" s="5043">
        <v>15063044</v>
      </c>
      <c r="N98" s="5043">
        <v>13806635</v>
      </c>
      <c r="O98" s="5043">
        <v>12380461</v>
      </c>
      <c r="P98" s="5042">
        <f t="shared" ref="P98:P102" si="4">SUM(D98:O98)</f>
        <v>185399430</v>
      </c>
    </row>
    <row r="99" spans="1:16" s="4723" customFormat="1" ht="19.5" hidden="1" customHeight="1">
      <c r="B99" s="5035" t="s">
        <v>2232</v>
      </c>
      <c r="C99" s="5037" t="s">
        <v>28</v>
      </c>
      <c r="D99" s="5042">
        <v>29041699</v>
      </c>
      <c r="E99" s="5042">
        <v>30408267</v>
      </c>
      <c r="F99" s="5042">
        <v>33454996</v>
      </c>
      <c r="G99" s="5042">
        <v>32901981</v>
      </c>
      <c r="H99" s="5042">
        <v>31307508</v>
      </c>
      <c r="I99" s="5042">
        <v>30026834</v>
      </c>
      <c r="J99" s="5042">
        <v>30417710</v>
      </c>
      <c r="K99" s="5042">
        <v>30763550</v>
      </c>
      <c r="L99" s="5042">
        <v>29914162</v>
      </c>
      <c r="M99" s="5043">
        <v>27773866</v>
      </c>
      <c r="N99" s="5043">
        <v>26393338</v>
      </c>
      <c r="O99" s="5043">
        <v>25604884</v>
      </c>
      <c r="P99" s="5042">
        <f t="shared" si="4"/>
        <v>358008795</v>
      </c>
    </row>
    <row r="100" spans="1:16" s="4723" customFormat="1" ht="19.5" hidden="1" customHeight="1">
      <c r="B100" s="5035" t="s">
        <v>2233</v>
      </c>
      <c r="C100" s="5037" t="s">
        <v>28</v>
      </c>
      <c r="D100" s="5042">
        <v>2719020</v>
      </c>
      <c r="E100" s="5042">
        <v>2834753</v>
      </c>
      <c r="F100" s="5042">
        <v>3013492</v>
      </c>
      <c r="G100" s="5042">
        <v>3035375</v>
      </c>
      <c r="H100" s="5042">
        <v>2875977</v>
      </c>
      <c r="I100" s="5042">
        <v>2886175</v>
      </c>
      <c r="J100" s="5042">
        <v>2827776</v>
      </c>
      <c r="K100" s="5042">
        <v>2979093</v>
      </c>
      <c r="L100" s="5042">
        <v>2824848</v>
      </c>
      <c r="M100" s="5043">
        <v>2527444</v>
      </c>
      <c r="N100" s="5043">
        <v>2385316</v>
      </c>
      <c r="O100" s="5043">
        <v>2277169</v>
      </c>
      <c r="P100" s="5042">
        <f t="shared" si="4"/>
        <v>33186438</v>
      </c>
    </row>
    <row r="101" spans="1:16" s="4723" customFormat="1" ht="19.5" hidden="1" customHeight="1">
      <c r="B101" s="5035" t="s">
        <v>2234</v>
      </c>
      <c r="C101" s="5037" t="s">
        <v>28</v>
      </c>
      <c r="D101" s="5042">
        <v>1283524</v>
      </c>
      <c r="E101" s="5042">
        <v>1494118</v>
      </c>
      <c r="F101" s="5042">
        <v>1585979</v>
      </c>
      <c r="G101" s="5042">
        <v>1781521</v>
      </c>
      <c r="H101" s="5042">
        <v>1068314</v>
      </c>
      <c r="I101" s="5042">
        <v>632975</v>
      </c>
      <c r="J101" s="5042">
        <v>638875</v>
      </c>
      <c r="K101" s="5042">
        <v>601476</v>
      </c>
      <c r="L101" s="5042">
        <v>623212</v>
      </c>
      <c r="M101" s="5043">
        <v>585412</v>
      </c>
      <c r="N101" s="5043">
        <v>546064</v>
      </c>
      <c r="O101" s="5043">
        <v>531768</v>
      </c>
      <c r="P101" s="5042">
        <f t="shared" si="4"/>
        <v>11373238</v>
      </c>
    </row>
    <row r="102" spans="1:16" s="4723" customFormat="1" ht="19.5" hidden="1" customHeight="1">
      <c r="B102" s="5035" t="s">
        <v>2235</v>
      </c>
      <c r="C102" s="5037" t="s">
        <v>28</v>
      </c>
      <c r="D102" s="5042">
        <v>6920759</v>
      </c>
      <c r="E102" s="5042">
        <v>7746073</v>
      </c>
      <c r="F102" s="5042">
        <v>8360583.9999999991</v>
      </c>
      <c r="G102" s="5042">
        <v>8263521.0000000009</v>
      </c>
      <c r="H102" s="5042">
        <v>8500059</v>
      </c>
      <c r="I102" s="5042">
        <v>8897562</v>
      </c>
      <c r="J102" s="5042">
        <v>8909720</v>
      </c>
      <c r="K102" s="5042">
        <v>9270190</v>
      </c>
      <c r="L102" s="5042">
        <v>8807062</v>
      </c>
      <c r="M102" s="5043">
        <v>7900268</v>
      </c>
      <c r="N102" s="5043">
        <v>7494186</v>
      </c>
      <c r="O102" s="5043">
        <v>7250242</v>
      </c>
      <c r="P102" s="5042">
        <f t="shared" si="4"/>
        <v>98320226</v>
      </c>
    </row>
    <row r="103" spans="1:16" s="4723" customFormat="1" ht="19.5" hidden="1" customHeight="1">
      <c r="B103" s="4714" t="s">
        <v>47</v>
      </c>
      <c r="C103" s="5036"/>
      <c r="D103" s="5042">
        <f t="shared" ref="D103:M103" si="5">SUM(D77:D96,D98:D102)</f>
        <v>366123223.60000002</v>
      </c>
      <c r="E103" s="5042">
        <f t="shared" si="5"/>
        <v>403756351.08999997</v>
      </c>
      <c r="F103" s="5042">
        <f t="shared" si="5"/>
        <v>416422327.60000002</v>
      </c>
      <c r="G103" s="258">
        <f t="shared" si="5"/>
        <v>414795260.67000002</v>
      </c>
      <c r="H103" s="4840">
        <f t="shared" si="5"/>
        <v>387572869.83999997</v>
      </c>
      <c r="I103" s="5042">
        <f t="shared" si="5"/>
        <v>360119365.39999998</v>
      </c>
      <c r="J103" s="258">
        <f t="shared" si="5"/>
        <v>387476252.99000001</v>
      </c>
      <c r="K103" s="258">
        <f t="shared" si="5"/>
        <v>401372649.83999997</v>
      </c>
      <c r="L103" s="5042">
        <f t="shared" si="5"/>
        <v>355576893.85000002</v>
      </c>
      <c r="M103" s="5042">
        <f t="shared" si="5"/>
        <v>321719398.22000003</v>
      </c>
      <c r="N103" s="5042">
        <f>SUM(N77:N96,N98:N102)</f>
        <v>298889144.56</v>
      </c>
      <c r="O103" s="5042">
        <f>SUM(O77:O96,O98:O102)</f>
        <v>305007590.12</v>
      </c>
      <c r="P103" s="5042">
        <f>SUM(D103:O103)</f>
        <v>4418831327.7799997</v>
      </c>
    </row>
    <row r="104" spans="1:16" s="4723" customFormat="1" ht="19.5" hidden="1" customHeight="1">
      <c r="A104" s="267"/>
      <c r="B104" s="267"/>
      <c r="C104" s="267"/>
      <c r="D104" s="267"/>
      <c r="E104" s="267"/>
      <c r="F104" s="267"/>
      <c r="G104" s="267"/>
      <c r="H104" s="267"/>
      <c r="I104" s="267"/>
      <c r="J104" s="267"/>
    </row>
    <row r="105" spans="1:16" s="4723" customFormat="1" ht="19.5" hidden="1" customHeight="1">
      <c r="A105" s="267"/>
      <c r="B105" s="267"/>
      <c r="C105" s="267"/>
      <c r="D105" s="267"/>
      <c r="E105" s="267"/>
      <c r="F105" s="267"/>
      <c r="G105" s="267"/>
      <c r="H105" s="267"/>
      <c r="I105" s="267"/>
      <c r="J105" s="267"/>
    </row>
    <row r="106" spans="1:16" s="4723" customFormat="1" ht="19.5" customHeight="1">
      <c r="A106" s="267"/>
      <c r="B106" s="267"/>
      <c r="C106" s="267"/>
      <c r="D106" s="267"/>
      <c r="E106" s="267"/>
      <c r="F106" s="267"/>
      <c r="G106" s="267"/>
      <c r="H106" s="267"/>
      <c r="I106" s="267"/>
      <c r="J106" s="267"/>
    </row>
    <row r="107" spans="1:16" s="4723" customFormat="1" ht="19.5" customHeight="1">
      <c r="A107" s="267"/>
      <c r="B107" s="267"/>
      <c r="C107" s="267"/>
      <c r="D107" s="267"/>
      <c r="E107" s="267"/>
      <c r="F107" s="267"/>
      <c r="G107" s="267"/>
      <c r="H107" s="267"/>
      <c r="I107" s="267"/>
      <c r="J107" s="267"/>
    </row>
    <row r="108" spans="1:16" s="4723" customFormat="1" ht="19.5" customHeight="1">
      <c r="A108" s="267"/>
      <c r="B108" s="267"/>
      <c r="C108" s="267"/>
      <c r="D108" s="267"/>
      <c r="E108" s="267"/>
      <c r="F108" s="267"/>
      <c r="G108" s="267"/>
      <c r="H108" s="267"/>
      <c r="I108" s="267"/>
      <c r="J108" s="267"/>
    </row>
    <row r="109" spans="1:16" s="4723" customFormat="1" ht="19.5" customHeight="1">
      <c r="A109" s="267"/>
      <c r="B109" s="267"/>
      <c r="C109" s="267"/>
      <c r="D109" s="267"/>
      <c r="E109" s="267"/>
      <c r="F109" s="267"/>
      <c r="G109" s="267"/>
      <c r="H109" s="267"/>
      <c r="I109" s="267"/>
      <c r="J109" s="267"/>
    </row>
    <row r="110" spans="1:16" s="4723" customFormat="1" ht="19.5" customHeight="1">
      <c r="A110" s="267"/>
      <c r="B110" s="267"/>
      <c r="C110" s="267"/>
      <c r="D110" s="267"/>
      <c r="E110" s="267"/>
      <c r="F110" s="267"/>
      <c r="G110" s="267"/>
      <c r="H110" s="267"/>
      <c r="I110" s="267"/>
      <c r="J110" s="267"/>
    </row>
    <row r="111" spans="1:16" s="4723" customFormat="1" ht="19.5" customHeight="1">
      <c r="A111" s="267"/>
      <c r="B111" s="267"/>
      <c r="C111" s="267"/>
      <c r="D111" s="267"/>
      <c r="E111" s="267"/>
      <c r="F111" s="267"/>
      <c r="G111" s="267"/>
      <c r="H111" s="267"/>
      <c r="I111" s="267"/>
      <c r="J111" s="267"/>
    </row>
    <row r="112" spans="1:16" s="4723" customFormat="1" ht="19.5" customHeight="1">
      <c r="A112" s="267"/>
      <c r="B112" s="267"/>
      <c r="C112" s="267"/>
      <c r="D112" s="267"/>
      <c r="E112" s="267"/>
      <c r="F112" s="267"/>
      <c r="G112" s="267"/>
      <c r="H112" s="267"/>
      <c r="I112" s="267"/>
      <c r="J112" s="267"/>
    </row>
    <row r="113" spans="1:10" s="4723" customFormat="1" ht="19.5" customHeight="1">
      <c r="A113" s="267"/>
      <c r="B113" s="267"/>
      <c r="C113" s="267"/>
      <c r="D113" s="267"/>
      <c r="E113" s="267"/>
      <c r="F113" s="267"/>
      <c r="G113" s="267"/>
      <c r="H113" s="267"/>
      <c r="I113" s="267"/>
      <c r="J113" s="267"/>
    </row>
    <row r="114" spans="1:10" s="4723" customFormat="1" ht="19.5" customHeight="1">
      <c r="A114" s="267"/>
      <c r="B114" s="267"/>
      <c r="C114" s="267"/>
      <c r="D114" s="267"/>
      <c r="E114" s="267"/>
      <c r="F114" s="267"/>
      <c r="G114" s="267"/>
      <c r="H114" s="267"/>
      <c r="I114" s="267"/>
      <c r="J114" s="267"/>
    </row>
    <row r="115" spans="1:10" s="4723" customFormat="1" ht="19.5" customHeight="1">
      <c r="A115" s="267"/>
      <c r="B115" s="267"/>
      <c r="C115" s="267"/>
      <c r="D115" s="267"/>
      <c r="E115" s="267"/>
      <c r="F115" s="267"/>
      <c r="G115" s="267"/>
      <c r="H115" s="267"/>
      <c r="I115" s="267"/>
      <c r="J115" s="267"/>
    </row>
    <row r="116" spans="1:10" s="4723" customFormat="1" ht="19.5" customHeight="1">
      <c r="A116" s="267"/>
      <c r="B116" s="267"/>
      <c r="C116" s="267"/>
      <c r="D116" s="267"/>
      <c r="E116" s="267"/>
      <c r="F116" s="267"/>
      <c r="G116" s="267"/>
      <c r="H116" s="267"/>
      <c r="I116" s="267"/>
      <c r="J116" s="267"/>
    </row>
    <row r="117" spans="1:10" s="4723" customFormat="1" ht="19.5" customHeight="1">
      <c r="A117" s="267"/>
      <c r="B117" s="267"/>
      <c r="C117" s="267"/>
      <c r="D117" s="267"/>
      <c r="E117" s="267"/>
      <c r="F117" s="267"/>
      <c r="G117" s="267"/>
      <c r="H117" s="267"/>
      <c r="I117" s="267"/>
      <c r="J117" s="267"/>
    </row>
  </sheetData>
  <mergeCells count="6">
    <mergeCell ref="B97:P97"/>
    <mergeCell ref="B30:O30"/>
    <mergeCell ref="B43:P43"/>
    <mergeCell ref="B65:P65"/>
    <mergeCell ref="B8:P8"/>
    <mergeCell ref="B76:P76"/>
  </mergeCells>
  <printOptions horizontalCentered="1"/>
  <pageMargins left="0.16" right="0.15" top="0.89" bottom="0.2" header="0.23622047244094499" footer="0.23622047244094499"/>
  <pageSetup paperSize="9" scale="54" orientation="landscape" r:id="rId1"/>
  <headerFooter alignWithMargins="0"/>
  <rowBreaks count="2" manualBreakCount="2">
    <brk id="39" min="1" max="15" man="1"/>
    <brk id="92" min="1" max="15" man="1"/>
  </rowBreaks>
</worksheet>
</file>

<file path=xl/worksheets/sheet17.xml><?xml version="1.0" encoding="utf-8"?>
<worksheet xmlns="http://schemas.openxmlformats.org/spreadsheetml/2006/main" xmlns:r="http://schemas.openxmlformats.org/officeDocument/2006/relationships">
  <sheetPr codeName="Sheet46">
    <tabColor theme="5" tint="-0.249977111117893"/>
    <pageSetUpPr fitToPage="1"/>
  </sheetPr>
  <dimension ref="A2:X135"/>
  <sheetViews>
    <sheetView showGridLines="0" view="pageBreakPreview" zoomScale="60" zoomScaleNormal="50" workbookViewId="0">
      <pane xSplit="7" ySplit="5" topLeftCell="H100" activePane="bottomRight" state="frozen"/>
      <selection activeCell="G1" sqref="G1"/>
      <selection pane="topRight" activeCell="G1" sqref="G1"/>
      <selection pane="bottomLeft" activeCell="G1" sqref="G1"/>
      <selection pane="bottomRight" activeCell="F110" sqref="F110"/>
    </sheetView>
  </sheetViews>
  <sheetFormatPr defaultRowHeight="15"/>
  <cols>
    <col min="1" max="1" width="8" style="3587" customWidth="1"/>
    <col min="2" max="2" width="41.42578125" style="3587" bestFit="1" customWidth="1"/>
    <col min="3" max="7" width="11" style="3587" customWidth="1"/>
    <col min="8" max="8" width="11" style="3587" bestFit="1" customWidth="1"/>
    <col min="9" max="9" width="17" style="3918" bestFit="1" customWidth="1"/>
    <col min="10" max="10" width="21.28515625" style="3918" customWidth="1"/>
    <col min="11" max="11" width="23.140625" style="3918" customWidth="1"/>
    <col min="12" max="12" width="20.140625" style="3918" customWidth="1"/>
    <col min="13" max="13" width="21.42578125" style="3918" customWidth="1"/>
    <col min="14" max="16" width="17" style="3587" customWidth="1"/>
    <col min="17" max="17" width="18.85546875" style="3587" customWidth="1"/>
    <col min="18" max="19" width="17" style="3587" customWidth="1"/>
    <col min="20" max="20" width="19.7109375" style="3587" customWidth="1"/>
    <col min="21" max="22" width="16.140625" style="3587" customWidth="1"/>
    <col min="23" max="23" width="15.7109375" style="3587" customWidth="1"/>
    <col min="24" max="24" width="16.7109375" style="3587" customWidth="1"/>
    <col min="25" max="28" width="9.140625" style="3587"/>
    <col min="29" max="29" width="9.140625" style="3587" customWidth="1"/>
    <col min="30" max="16384" width="9.140625" style="3587"/>
  </cols>
  <sheetData>
    <row r="2" spans="1:23" ht="15.75" thickBot="1"/>
    <row r="3" spans="1:23" ht="15.75" thickBot="1">
      <c r="B3" s="3919" t="s">
        <v>2155</v>
      </c>
      <c r="C3" s="3456"/>
      <c r="D3" s="3456"/>
      <c r="E3" s="3456"/>
      <c r="F3" s="3456"/>
      <c r="G3" s="3456"/>
      <c r="H3" s="3456"/>
    </row>
    <row r="4" spans="1:23">
      <c r="N4" s="3654" t="s">
        <v>3033</v>
      </c>
      <c r="O4" s="3587">
        <v>1</v>
      </c>
      <c r="P4" s="3587">
        <v>3</v>
      </c>
      <c r="Q4" s="3587">
        <v>4</v>
      </c>
      <c r="R4" s="3587">
        <v>5</v>
      </c>
      <c r="S4" s="3587">
        <v>7</v>
      </c>
    </row>
    <row r="5" spans="1:23" s="3923" customFormat="1" ht="30" customHeight="1">
      <c r="A5" s="3920" t="s">
        <v>2010</v>
      </c>
      <c r="B5" s="3920" t="s">
        <v>1938</v>
      </c>
      <c r="C5" s="3860" t="s">
        <v>3034</v>
      </c>
      <c r="D5" s="3860" t="s">
        <v>3035</v>
      </c>
      <c r="E5" s="3860" t="s">
        <v>3036</v>
      </c>
      <c r="F5" s="3860" t="s">
        <v>3037</v>
      </c>
      <c r="G5" s="3860" t="s">
        <v>3038</v>
      </c>
      <c r="H5" s="3860" t="s">
        <v>3039</v>
      </c>
      <c r="I5" s="3921" t="s">
        <v>2441</v>
      </c>
      <c r="J5" s="3921" t="s">
        <v>2314</v>
      </c>
      <c r="K5" s="3921" t="s">
        <v>1897</v>
      </c>
      <c r="L5" s="3921" t="s">
        <v>82</v>
      </c>
      <c r="M5" s="3921" t="s">
        <v>1845</v>
      </c>
      <c r="N5" s="3921" t="s">
        <v>2442</v>
      </c>
      <c r="O5" s="3921" t="s">
        <v>3040</v>
      </c>
      <c r="P5" s="3921" t="s">
        <v>3041</v>
      </c>
      <c r="Q5" s="3921" t="s">
        <v>3339</v>
      </c>
      <c r="R5" s="3921" t="s">
        <v>3042</v>
      </c>
      <c r="S5" s="3921" t="s">
        <v>3043</v>
      </c>
      <c r="T5" s="3922" t="s">
        <v>3044</v>
      </c>
      <c r="U5" s="3869" t="s">
        <v>3045</v>
      </c>
    </row>
    <row r="6" spans="1:23">
      <c r="A6" s="3865">
        <v>1</v>
      </c>
      <c r="B6" s="1015" t="s">
        <v>14</v>
      </c>
      <c r="C6" s="3924">
        <f>[85]Sheet1!C4</f>
        <v>2.2089539999999999</v>
      </c>
      <c r="D6" s="3924">
        <f>[85]Sheet1!D4</f>
        <v>2.173794</v>
      </c>
      <c r="E6" s="3924">
        <f>[85]Sheet1!E4</f>
        <v>2.1605159999999999</v>
      </c>
      <c r="F6" s="3924">
        <f>[85]Sheet1!F4</f>
        <v>2.0636269999999999</v>
      </c>
      <c r="G6" s="3924">
        <f>[85]Sheet1!G4</f>
        <v>0.100692</v>
      </c>
      <c r="H6" s="3924">
        <v>3.8040999999999998E-2</v>
      </c>
      <c r="I6" s="3925">
        <v>0.09</v>
      </c>
      <c r="J6" s="3925">
        <v>0.13</v>
      </c>
      <c r="K6" s="4864">
        <v>0.23306100000000002</v>
      </c>
      <c r="L6" s="3926">
        <f>[86]F13!F9/10^6</f>
        <v>0.38560100000000003</v>
      </c>
      <c r="M6" s="4969">
        <f>[86]F13!F70/10^6</f>
        <v>7.0471000000000006E-2</v>
      </c>
      <c r="N6" s="4966">
        <f>M39</f>
        <v>4.8749000000000001E-2</v>
      </c>
      <c r="O6" s="3585">
        <f>(($N6/$M6)^(1/O$4))-1</f>
        <v>-0.30824026904684199</v>
      </c>
      <c r="P6" s="3585">
        <f>(($N6/$K6)^(1/P$4))-1</f>
        <v>-0.40639342605662965</v>
      </c>
      <c r="Q6" s="4416">
        <f>(($N6/$J6)^(1/$Q$4))-1</f>
        <v>-0.21746172303161104</v>
      </c>
      <c r="R6" s="3585">
        <f>(($N6/$I6)^(1/R$4))-1</f>
        <v>-0.11540467389166154</v>
      </c>
      <c r="S6" s="3585">
        <f>(($N6/$G6)^(1/S$4))-1</f>
        <v>-9.8437538553858173E-2</v>
      </c>
      <c r="T6" s="3585">
        <v>0.30809999999999998</v>
      </c>
      <c r="U6" s="3589">
        <v>0</v>
      </c>
      <c r="V6" s="3927">
        <f>MAX(U6,S6)</f>
        <v>0</v>
      </c>
      <c r="W6" s="3927">
        <f t="shared" ref="W6:W23" si="0">V6-U6</f>
        <v>0</v>
      </c>
    </row>
    <row r="7" spans="1:23">
      <c r="A7" s="3865">
        <v>2</v>
      </c>
      <c r="B7" s="1015" t="s">
        <v>3046</v>
      </c>
      <c r="C7" s="3924">
        <f>SUM([85]Sheet1!C5:C8)</f>
        <v>1437.7553210000001</v>
      </c>
      <c r="D7" s="3924">
        <f>SUM([85]Sheet1!D5:D8)</f>
        <v>1482.9613040000002</v>
      </c>
      <c r="E7" s="3924">
        <f>SUM([85]Sheet1!E5:E8)</f>
        <v>1518.4237459999999</v>
      </c>
      <c r="F7" s="3924">
        <f>SUM([85]Sheet1!F5:F8)</f>
        <v>1579.4593749999999</v>
      </c>
      <c r="G7" s="3924">
        <f>SUM([85]Sheet1!G5:G8)</f>
        <v>1670.5585140000001</v>
      </c>
      <c r="H7" s="3924">
        <v>1732.7893589999999</v>
      </c>
      <c r="I7" s="3928">
        <v>1693.88</v>
      </c>
      <c r="J7" s="3928">
        <v>1712.81</v>
      </c>
      <c r="K7" s="4865">
        <v>1731.0592240000003</v>
      </c>
      <c r="L7" s="3924">
        <f>SUM([86]F13!F10:F13)/10^6</f>
        <v>1800.2711059999999</v>
      </c>
      <c r="M7" s="4970">
        <f>SUM([86]F13!F71:F74)/10^6</f>
        <v>1795.927488</v>
      </c>
      <c r="N7" s="4966">
        <f>SUM(M40:M43)</f>
        <v>1846.5104689999998</v>
      </c>
      <c r="O7" s="3585">
        <f t="shared" ref="O7:O24" si="1">(($N7/$M7)^(1/O$4))-1</f>
        <v>2.8165380472198631E-2</v>
      </c>
      <c r="P7" s="3585">
        <f t="shared" ref="P7:P31" si="2">(($N7/$K7)^(1/P$4))-1</f>
        <v>2.1754633713123583E-2</v>
      </c>
      <c r="Q7" s="4416">
        <f t="shared" ref="Q7:Q31" si="3">(($N7/$J7)^(1/$Q$4))-1</f>
        <v>1.8968236050731502E-2</v>
      </c>
      <c r="R7" s="3585">
        <f t="shared" ref="R7:R31" si="4">(($N7/$I7)^(1/R$4))-1</f>
        <v>1.7404904376105756E-2</v>
      </c>
      <c r="S7" s="3585">
        <f t="shared" ref="S7:S23" si="5">(($N7/$G7)^(1/S$4))-1</f>
        <v>1.4408474912183999E-2</v>
      </c>
      <c r="T7" s="3585">
        <v>6.7000000000000002E-3</v>
      </c>
      <c r="U7" s="4417">
        <f>P7</f>
        <v>2.1754633713123583E-2</v>
      </c>
      <c r="V7" s="3927">
        <f t="shared" ref="V7:V23" si="6">MAX(U7,S7)</f>
        <v>2.1754633713123583E-2</v>
      </c>
      <c r="W7" s="3927">
        <f t="shared" si="0"/>
        <v>0</v>
      </c>
    </row>
    <row r="8" spans="1:23">
      <c r="A8" s="3865">
        <v>3</v>
      </c>
      <c r="B8" s="1015" t="s">
        <v>3047</v>
      </c>
      <c r="C8" s="3924">
        <f>SUM([85]Sheet1!C9:C12)</f>
        <v>868.05452200000002</v>
      </c>
      <c r="D8" s="3924">
        <f>SUM([85]Sheet1!D9:D12)</f>
        <v>1074.5236679999998</v>
      </c>
      <c r="E8" s="3924">
        <f>SUM([85]Sheet1!E9:E12)</f>
        <v>911.68209300000001</v>
      </c>
      <c r="F8" s="3924">
        <f>SUM([85]Sheet1!F9:F12)</f>
        <v>1156.636244</v>
      </c>
      <c r="G8" s="3924">
        <f>SUM([85]Sheet1!G9:G12)</f>
        <v>953.42620099999999</v>
      </c>
      <c r="H8" s="4402">
        <v>1005.776802</v>
      </c>
      <c r="I8" s="3928">
        <v>876.83</v>
      </c>
      <c r="J8" s="3928">
        <v>895.21</v>
      </c>
      <c r="K8" s="4865">
        <v>896.82406600000002</v>
      </c>
      <c r="L8" s="3924">
        <f>SUM([86]F13!F14:F19)/10^6</f>
        <v>922.86159799999996</v>
      </c>
      <c r="M8" s="4970">
        <f>SUM([86]F13!F75:F76)/10^6</f>
        <v>893.28343600000005</v>
      </c>
      <c r="N8" s="4966">
        <f>SUM(M44:M45)</f>
        <v>887.20892099999992</v>
      </c>
      <c r="O8" s="3585">
        <f t="shared" si="1"/>
        <v>-6.8002100511356245E-3</v>
      </c>
      <c r="P8" s="3585">
        <f t="shared" si="2"/>
        <v>-3.5866245072544434E-3</v>
      </c>
      <c r="Q8" s="4416">
        <f t="shared" si="3"/>
        <v>-2.2419421870338851E-3</v>
      </c>
      <c r="R8" s="3585">
        <f t="shared" si="4"/>
        <v>2.3562436449486857E-3</v>
      </c>
      <c r="S8" s="3585">
        <f t="shared" si="5"/>
        <v>-1.0230386050222751E-2</v>
      </c>
      <c r="T8" s="3585">
        <v>0.121</v>
      </c>
      <c r="U8" s="3589">
        <v>0</v>
      </c>
      <c r="V8" s="3927">
        <f t="shared" si="6"/>
        <v>0</v>
      </c>
      <c r="W8" s="3927">
        <f t="shared" si="0"/>
        <v>0</v>
      </c>
    </row>
    <row r="9" spans="1:23">
      <c r="A9" s="3865">
        <v>4</v>
      </c>
      <c r="B9" s="1015" t="s">
        <v>3048</v>
      </c>
      <c r="C9" s="3924">
        <f>[85]Sheet1!C13</f>
        <v>105.421773</v>
      </c>
      <c r="D9" s="3924">
        <f>[85]Sheet1!D13</f>
        <v>61.589270999999997</v>
      </c>
      <c r="E9" s="3924">
        <f>[85]Sheet1!E13</f>
        <v>135.27439799999999</v>
      </c>
      <c r="F9" s="3924">
        <f>[85]Sheet1!F13</f>
        <v>74.011482000000001</v>
      </c>
      <c r="G9" s="3924">
        <f>[85]Sheet1!G13</f>
        <v>154.30764400000001</v>
      </c>
      <c r="H9" s="4402">
        <v>133.613989</v>
      </c>
      <c r="I9" s="3925">
        <v>254.38</v>
      </c>
      <c r="J9" s="3925">
        <v>274.76</v>
      </c>
      <c r="K9" s="4864">
        <v>273.13827200000003</v>
      </c>
      <c r="L9" s="3926">
        <f>[86]F13!F20/10^6</f>
        <v>260.89348899999999</v>
      </c>
      <c r="M9" s="4969">
        <f>[86]F13!F77/10^6</f>
        <v>240.95263499999999</v>
      </c>
      <c r="N9" s="4966">
        <f>M46</f>
        <v>234.58796100000001</v>
      </c>
      <c r="O9" s="3585">
        <f t="shared" si="1"/>
        <v>-2.6414627090506682E-2</v>
      </c>
      <c r="P9" s="3585">
        <f t="shared" si="2"/>
        <v>-4.9451266259668225E-2</v>
      </c>
      <c r="Q9" s="4416">
        <f t="shared" si="3"/>
        <v>-3.8746236441625781E-2</v>
      </c>
      <c r="R9" s="3585">
        <f t="shared" si="4"/>
        <v>-1.6069209096625015E-2</v>
      </c>
      <c r="S9" s="3585">
        <f t="shared" si="5"/>
        <v>6.1667018120169503E-2</v>
      </c>
      <c r="T9" s="3585"/>
      <c r="U9" s="3589">
        <f>MAX(O9:R9)</f>
        <v>-1.6069209096625015E-2</v>
      </c>
      <c r="V9" s="3927">
        <f t="shared" si="6"/>
        <v>6.1667018120169503E-2</v>
      </c>
      <c r="W9" s="3927">
        <f t="shared" si="0"/>
        <v>7.7736227216794518E-2</v>
      </c>
    </row>
    <row r="10" spans="1:23">
      <c r="A10" s="3865">
        <v>5</v>
      </c>
      <c r="B10" s="1015" t="s">
        <v>3049</v>
      </c>
      <c r="C10" s="3924">
        <f>[85]Sheet1!C14</f>
        <v>317.39538900000002</v>
      </c>
      <c r="D10" s="3924">
        <f>[85]Sheet1!D14</f>
        <v>216.714977</v>
      </c>
      <c r="E10" s="3924">
        <f>[85]Sheet1!E14</f>
        <v>357.67898500000001</v>
      </c>
      <c r="F10" s="3924">
        <f>[85]Sheet1!F14</f>
        <v>251.92868999999999</v>
      </c>
      <c r="G10" s="3924">
        <f>[85]Sheet1!G14</f>
        <v>490.94629900000001</v>
      </c>
      <c r="H10" s="4402">
        <v>468.90437800000001</v>
      </c>
      <c r="I10" s="3925">
        <v>526.89</v>
      </c>
      <c r="J10" s="3925">
        <v>555.1</v>
      </c>
      <c r="K10" s="4864">
        <v>546.11749600000007</v>
      </c>
      <c r="L10" s="3926">
        <f>[86]F13!F21/10^6</f>
        <v>516.41612299999997</v>
      </c>
      <c r="M10" s="4969">
        <f>[86]F13!F78/10^6</f>
        <v>470.69874399999998</v>
      </c>
      <c r="N10" s="4966">
        <f>M47</f>
        <v>462.90675199999998</v>
      </c>
      <c r="O10" s="3585">
        <f t="shared" si="1"/>
        <v>-1.6554095585179618E-2</v>
      </c>
      <c r="P10" s="3585">
        <f t="shared" si="2"/>
        <v>-5.3612181207840837E-2</v>
      </c>
      <c r="Q10" s="4416">
        <f t="shared" si="3"/>
        <v>-4.4390250283494526E-2</v>
      </c>
      <c r="R10" s="3585">
        <f t="shared" si="4"/>
        <v>-2.5560877782449642E-2</v>
      </c>
      <c r="S10" s="3585">
        <f t="shared" si="5"/>
        <v>-8.3661100967982183E-3</v>
      </c>
      <c r="T10" s="3585"/>
      <c r="U10" s="3589">
        <f>MAX(O10:R10)</f>
        <v>-1.6554095585179618E-2</v>
      </c>
      <c r="V10" s="3927">
        <f t="shared" si="6"/>
        <v>-8.3661100967982183E-3</v>
      </c>
      <c r="W10" s="3927">
        <f t="shared" si="0"/>
        <v>8.1879854883813996E-3</v>
      </c>
    </row>
    <row r="11" spans="1:23">
      <c r="A11" s="3865">
        <v>6</v>
      </c>
      <c r="B11" s="1015" t="s">
        <v>3050</v>
      </c>
      <c r="C11" s="3924">
        <f>SUM([85]Sheet1!C15:C18)</f>
        <v>53.854019999999991</v>
      </c>
      <c r="D11" s="3924">
        <f>SUM([85]Sheet1!D15:D18)</f>
        <v>55.134157999999999</v>
      </c>
      <c r="E11" s="3924">
        <f>SUM([85]Sheet1!E15:E18)</f>
        <v>55.113090000000007</v>
      </c>
      <c r="F11" s="3924">
        <f>SUM([85]Sheet1!F15:F18)</f>
        <v>51.582319999999996</v>
      </c>
      <c r="G11" s="3924">
        <f>SUM([85]Sheet1!G15:G18)</f>
        <v>77.229568999999998</v>
      </c>
      <c r="H11" s="3924">
        <v>73.035574000000011</v>
      </c>
      <c r="I11" s="3928">
        <v>57.39</v>
      </c>
      <c r="J11" s="3928">
        <v>53.72</v>
      </c>
      <c r="K11" s="4865">
        <v>50.522129999999997</v>
      </c>
      <c r="L11" s="3924">
        <f>SUM([86]F13!F22:F27)/10^6</f>
        <v>48.251395000000002</v>
      </c>
      <c r="M11" s="4970">
        <f>SUM([86]F13!F79:F80)/10^6</f>
        <v>45.188141999999999</v>
      </c>
      <c r="N11" s="4966">
        <f>M48+M49</f>
        <v>43.616219000000001</v>
      </c>
      <c r="O11" s="3585">
        <f t="shared" si="1"/>
        <v>-3.4786183508053958E-2</v>
      </c>
      <c r="P11" s="3585">
        <f t="shared" si="2"/>
        <v>-4.7813278290032124E-2</v>
      </c>
      <c r="Q11" s="4416">
        <f t="shared" si="3"/>
        <v>-5.0755689687644656E-2</v>
      </c>
      <c r="R11" s="3585">
        <f t="shared" si="4"/>
        <v>-5.3409028244492451E-2</v>
      </c>
      <c r="S11" s="3585">
        <f t="shared" si="5"/>
        <v>-7.8379645838268397E-2</v>
      </c>
      <c r="T11" s="3585">
        <v>0</v>
      </c>
      <c r="U11" s="3589">
        <v>0</v>
      </c>
      <c r="V11" s="3927">
        <f t="shared" si="6"/>
        <v>0</v>
      </c>
      <c r="W11" s="3927">
        <f t="shared" si="0"/>
        <v>0</v>
      </c>
    </row>
    <row r="12" spans="1:23">
      <c r="A12" s="3865">
        <v>7</v>
      </c>
      <c r="B12" s="1015" t="s">
        <v>3051</v>
      </c>
      <c r="C12" s="3924">
        <f>[85]Sheet1!C19</f>
        <v>103.653194</v>
      </c>
      <c r="D12" s="3924">
        <f>[85]Sheet1!D19</f>
        <v>107.829779</v>
      </c>
      <c r="E12" s="3924">
        <f>[85]Sheet1!E19</f>
        <v>109.271647</v>
      </c>
      <c r="F12" s="3924">
        <f>[85]Sheet1!F19</f>
        <v>117.25644699999999</v>
      </c>
      <c r="G12" s="3924">
        <f>[85]Sheet1!G19</f>
        <v>57.196356999999999</v>
      </c>
      <c r="H12" s="3924">
        <v>47.846044999999997</v>
      </c>
      <c r="I12" s="3925">
        <v>53.09</v>
      </c>
      <c r="J12" s="3925">
        <v>62.27</v>
      </c>
      <c r="K12" s="4864">
        <v>54.452550000000002</v>
      </c>
      <c r="L12" s="3926">
        <f>[86]F13!F28/10^6</f>
        <v>54.278986000000003</v>
      </c>
      <c r="M12" s="4969">
        <f>[86]F13!F81/10^6</f>
        <v>51.947009000000001</v>
      </c>
      <c r="N12" s="4966">
        <f t="shared" ref="N12:N20" si="7">M50</f>
        <v>52.106870999999998</v>
      </c>
      <c r="O12" s="3585">
        <f t="shared" si="1"/>
        <v>3.0774052842965638E-3</v>
      </c>
      <c r="P12" s="3585">
        <f t="shared" si="2"/>
        <v>-1.4570428543045022E-2</v>
      </c>
      <c r="Q12" s="4416">
        <f t="shared" si="3"/>
        <v>-4.3568145188059848E-2</v>
      </c>
      <c r="R12" s="3585">
        <f t="shared" si="4"/>
        <v>-3.7313741640597753E-3</v>
      </c>
      <c r="S12" s="3585">
        <f t="shared" si="5"/>
        <v>-1.3225110384817884E-2</v>
      </c>
      <c r="T12" s="3585">
        <v>6.6E-3</v>
      </c>
      <c r="U12" s="3589">
        <v>0</v>
      </c>
      <c r="V12" s="3927">
        <f t="shared" si="6"/>
        <v>0</v>
      </c>
      <c r="W12" s="3927">
        <f t="shared" si="0"/>
        <v>0</v>
      </c>
    </row>
    <row r="13" spans="1:23">
      <c r="A13" s="3865">
        <v>8</v>
      </c>
      <c r="B13" s="1015" t="s">
        <v>3052</v>
      </c>
      <c r="C13" s="3924">
        <f>[85]Sheet1!C20</f>
        <v>8.1519080000000006</v>
      </c>
      <c r="D13" s="3924">
        <f>[85]Sheet1!D20</f>
        <v>7.308236</v>
      </c>
      <c r="E13" s="3924">
        <f>[85]Sheet1!E20</f>
        <v>6.4702599999999997</v>
      </c>
      <c r="F13" s="3924">
        <f>[85]Sheet1!F20</f>
        <v>6.6429520000000002</v>
      </c>
      <c r="G13" s="3924">
        <f>[85]Sheet1!G20</f>
        <v>44.358232999999998</v>
      </c>
      <c r="H13" s="3924">
        <v>47.899559000000004</v>
      </c>
      <c r="I13" s="3925">
        <v>48.66</v>
      </c>
      <c r="J13" s="3925">
        <v>48.11</v>
      </c>
      <c r="K13" s="4864">
        <v>48.568216</v>
      </c>
      <c r="L13" s="3926">
        <f>[86]F13!F29/10^6</f>
        <v>49.505124000000002</v>
      </c>
      <c r="M13" s="4969">
        <f>[86]F13!F82/10^6</f>
        <v>48.009042999999998</v>
      </c>
      <c r="N13" s="4966">
        <f t="shared" si="7"/>
        <v>47.695689000000002</v>
      </c>
      <c r="O13" s="3585">
        <f t="shared" si="1"/>
        <v>-6.5269786777460981E-3</v>
      </c>
      <c r="P13" s="3585">
        <f t="shared" si="2"/>
        <v>-6.0245487675911757E-3</v>
      </c>
      <c r="Q13" s="4416">
        <f t="shared" si="3"/>
        <v>-2.1599238151883693E-3</v>
      </c>
      <c r="R13" s="3585">
        <f t="shared" si="4"/>
        <v>-3.9952618008282093E-3</v>
      </c>
      <c r="S13" s="3585">
        <f t="shared" si="5"/>
        <v>1.0417125496537949E-2</v>
      </c>
      <c r="T13" s="3585"/>
      <c r="U13" s="3589">
        <v>0</v>
      </c>
      <c r="V13" s="3927">
        <f t="shared" si="6"/>
        <v>1.0417125496537949E-2</v>
      </c>
      <c r="W13" s="3927">
        <f t="shared" si="0"/>
        <v>1.0417125496537949E-2</v>
      </c>
    </row>
    <row r="14" spans="1:23">
      <c r="A14" s="3865">
        <v>9</v>
      </c>
      <c r="B14" s="1015" t="s">
        <v>3053</v>
      </c>
      <c r="C14" s="3924">
        <f>[85]Sheet1!C21</f>
        <v>1.9545090000000001</v>
      </c>
      <c r="D14" s="3924">
        <f>[85]Sheet1!D21</f>
        <v>4.1120369999999999</v>
      </c>
      <c r="E14" s="3924">
        <f>[85]Sheet1!E21</f>
        <v>1.7437819999999999</v>
      </c>
      <c r="F14" s="3924">
        <f>[85]Sheet1!F21</f>
        <v>1.554108</v>
      </c>
      <c r="G14" s="3924">
        <f>[85]Sheet1!G21</f>
        <v>2.2752530000000002</v>
      </c>
      <c r="H14" s="3924">
        <v>3.0326279999999999</v>
      </c>
      <c r="I14" s="3925">
        <v>2.85</v>
      </c>
      <c r="J14" s="3925">
        <v>3.59</v>
      </c>
      <c r="K14" s="4864">
        <v>3.2078180000000001</v>
      </c>
      <c r="L14" s="3926">
        <f>[86]F13!F30/10^6</f>
        <v>2.6609950000000002</v>
      </c>
      <c r="M14" s="4969">
        <f>[86]F13!F83/10^6</f>
        <v>1.8087610000000001</v>
      </c>
      <c r="N14" s="4966">
        <f t="shared" si="7"/>
        <v>1.600147</v>
      </c>
      <c r="O14" s="3585">
        <f t="shared" si="1"/>
        <v>-0.11533530411148851</v>
      </c>
      <c r="P14" s="3585">
        <f t="shared" si="2"/>
        <v>-0.20692050653130689</v>
      </c>
      <c r="Q14" s="4416">
        <f t="shared" si="3"/>
        <v>-0.18291665480178687</v>
      </c>
      <c r="R14" s="3585">
        <f t="shared" si="4"/>
        <v>-0.10903015746928302</v>
      </c>
      <c r="S14" s="3585">
        <f t="shared" si="5"/>
        <v>-4.9041739822796027E-2</v>
      </c>
      <c r="T14" s="3585">
        <v>0</v>
      </c>
      <c r="U14" s="3589">
        <v>0</v>
      </c>
      <c r="V14" s="3927">
        <f t="shared" si="6"/>
        <v>0</v>
      </c>
      <c r="W14" s="3927">
        <f t="shared" si="0"/>
        <v>0</v>
      </c>
    </row>
    <row r="15" spans="1:23">
      <c r="A15" s="3865">
        <v>10</v>
      </c>
      <c r="B15" s="1015" t="s">
        <v>3054</v>
      </c>
      <c r="C15" s="3924">
        <f>[85]Sheet1!C22</f>
        <v>37.280609069999997</v>
      </c>
      <c r="D15" s="3924">
        <f>[85]Sheet1!D22</f>
        <v>36.62601248</v>
      </c>
      <c r="E15" s="3924">
        <f>[85]Sheet1!E22</f>
        <v>36.58062408</v>
      </c>
      <c r="F15" s="3924">
        <f>[85]Sheet1!F22</f>
        <v>38.802232529999998</v>
      </c>
      <c r="G15" s="3924">
        <f>[85]Sheet1!G22</f>
        <v>29.661125300000002</v>
      </c>
      <c r="H15" s="3924">
        <v>29.440610670000002</v>
      </c>
      <c r="I15" s="3925">
        <v>28.88</v>
      </c>
      <c r="J15" s="3925">
        <v>26.96</v>
      </c>
      <c r="K15" s="4864">
        <v>29.899591239999999</v>
      </c>
      <c r="L15" s="3926">
        <f>SUM([86]F13!F31:F32)/10^6</f>
        <v>30.166046810000001</v>
      </c>
      <c r="M15" s="4969">
        <f>([86]F13!F84+[86]F13!F85)/10^6</f>
        <v>30.994616589999996</v>
      </c>
      <c r="N15" s="4966">
        <f t="shared" si="7"/>
        <v>29.985994780000002</v>
      </c>
      <c r="O15" s="3585">
        <f t="shared" si="1"/>
        <v>-3.2541838582556104E-2</v>
      </c>
      <c r="P15" s="3585">
        <f t="shared" si="2"/>
        <v>9.6233694643421686E-4</v>
      </c>
      <c r="Q15" s="4416">
        <f t="shared" si="3"/>
        <v>2.6950813567896414E-2</v>
      </c>
      <c r="R15" s="3585">
        <f t="shared" si="4"/>
        <v>7.5445413048762511E-3</v>
      </c>
      <c r="S15" s="3585">
        <f t="shared" si="5"/>
        <v>1.5573765982850318E-3</v>
      </c>
      <c r="T15" s="3585">
        <v>1.46E-2</v>
      </c>
      <c r="U15" s="3589">
        <f>P15</f>
        <v>9.6233694643421686E-4</v>
      </c>
      <c r="V15" s="3927">
        <f t="shared" si="6"/>
        <v>1.5573765982850318E-3</v>
      </c>
      <c r="W15" s="3927">
        <f t="shared" si="0"/>
        <v>5.9503965185081498E-4</v>
      </c>
    </row>
    <row r="16" spans="1:23">
      <c r="A16" s="3865">
        <v>11</v>
      </c>
      <c r="B16" s="1015" t="s">
        <v>3055</v>
      </c>
      <c r="C16" s="3924">
        <f>[85]Sheet1!C23</f>
        <v>0.79368499999999997</v>
      </c>
      <c r="D16" s="3924">
        <f>[85]Sheet1!D23</f>
        <v>0.52722500000000005</v>
      </c>
      <c r="E16" s="3924">
        <f>[85]Sheet1!E23</f>
        <v>0.50577899999999998</v>
      </c>
      <c r="F16" s="3924">
        <f>[85]Sheet1!F23</f>
        <v>0.496058</v>
      </c>
      <c r="G16" s="3924">
        <f>[85]Sheet1!G23</f>
        <v>6.6976999999999995E-2</v>
      </c>
      <c r="H16" s="3924">
        <v>8.8426000000000005E-2</v>
      </c>
      <c r="I16" s="3925">
        <v>0.05</v>
      </c>
      <c r="J16" s="3925">
        <v>0.1</v>
      </c>
      <c r="K16" s="4864">
        <v>9.3998000000000012E-2</v>
      </c>
      <c r="L16" s="3926">
        <f>[86]F13!F33/10^6</f>
        <v>1.595906</v>
      </c>
      <c r="M16" s="4969">
        <f>[86]F13!F86/10^6</f>
        <v>4.0585500000000003</v>
      </c>
      <c r="N16" s="4966">
        <f t="shared" si="7"/>
        <v>2.269056</v>
      </c>
      <c r="O16" s="3585">
        <f t="shared" si="1"/>
        <v>-0.44091954022988511</v>
      </c>
      <c r="P16" s="3585">
        <f t="shared" si="2"/>
        <v>1.8900733617800043</v>
      </c>
      <c r="Q16" s="4416">
        <f t="shared" si="3"/>
        <v>1.1825354353776838</v>
      </c>
      <c r="R16" s="3585">
        <f t="shared" si="4"/>
        <v>1.1447419281063378</v>
      </c>
      <c r="S16" s="3585">
        <f t="shared" si="5"/>
        <v>0.65409303110598316</v>
      </c>
      <c r="T16" s="3585">
        <v>7.3599999999999999E-2</v>
      </c>
      <c r="U16" s="3929">
        <f>U17</f>
        <v>-3.7259941708295274E-2</v>
      </c>
      <c r="V16" s="3927">
        <f>MAX(U16,S16)</f>
        <v>0.65409303110598316</v>
      </c>
      <c r="W16" s="3927">
        <f t="shared" si="0"/>
        <v>0.69135297281427843</v>
      </c>
    </row>
    <row r="17" spans="1:23">
      <c r="A17" s="3865">
        <v>12</v>
      </c>
      <c r="B17" s="1015" t="s">
        <v>3056</v>
      </c>
      <c r="C17" s="3924">
        <f>[85]Sheet1!C24</f>
        <v>21.537126000000001</v>
      </c>
      <c r="D17" s="3924">
        <f>[85]Sheet1!D24</f>
        <v>21.614858999999999</v>
      </c>
      <c r="E17" s="3924">
        <f>[85]Sheet1!E24</f>
        <v>22.793856000000002</v>
      </c>
      <c r="F17" s="3924">
        <f>[85]Sheet1!F24</f>
        <v>30.725097999999999</v>
      </c>
      <c r="G17" s="3924">
        <f>[85]Sheet1!G24</f>
        <v>21.483319000000002</v>
      </c>
      <c r="H17" s="3924">
        <v>22.634409999999999</v>
      </c>
      <c r="I17" s="3925">
        <v>30.82</v>
      </c>
      <c r="J17" s="3925">
        <v>35.630000000000003</v>
      </c>
      <c r="K17" s="4864">
        <v>40.755306000000004</v>
      </c>
      <c r="L17" s="3926">
        <f>[86]F13!F34/10^6</f>
        <v>36.605784</v>
      </c>
      <c r="M17" s="4969">
        <f>[86]F13!F87/10^6</f>
        <v>36.974119000000002</v>
      </c>
      <c r="N17" s="4966">
        <f t="shared" si="7"/>
        <v>36.367319000000002</v>
      </c>
      <c r="O17" s="3585">
        <f t="shared" si="1"/>
        <v>-1.6411479608209212E-2</v>
      </c>
      <c r="P17" s="3585">
        <f t="shared" si="2"/>
        <v>-3.7259941708295274E-2</v>
      </c>
      <c r="Q17" s="4416">
        <f t="shared" si="3"/>
        <v>5.1337734023801929E-3</v>
      </c>
      <c r="R17" s="3585">
        <f t="shared" si="4"/>
        <v>3.3655286997652301E-2</v>
      </c>
      <c r="S17" s="3585">
        <f t="shared" si="5"/>
        <v>7.8098789480482989E-2</v>
      </c>
      <c r="T17" s="3585"/>
      <c r="U17" s="3589">
        <f>P17</f>
        <v>-3.7259941708295274E-2</v>
      </c>
      <c r="V17" s="3927">
        <f>MAX(U17,S17)</f>
        <v>7.8098789480482989E-2</v>
      </c>
      <c r="W17" s="3927">
        <f t="shared" si="0"/>
        <v>0.11535873118877826</v>
      </c>
    </row>
    <row r="18" spans="1:23">
      <c r="A18" s="3865">
        <v>13</v>
      </c>
      <c r="B18" s="1015" t="s">
        <v>3057</v>
      </c>
      <c r="C18" s="3924">
        <f>[85]Sheet1!C25</f>
        <v>1.3795040000000001</v>
      </c>
      <c r="D18" s="3924">
        <f>[85]Sheet1!D25</f>
        <v>1.1460170000000001</v>
      </c>
      <c r="E18" s="3924">
        <f>[85]Sheet1!E25</f>
        <v>1.06751</v>
      </c>
      <c r="F18" s="3924">
        <f>[85]Sheet1!F25</f>
        <v>1.2408699999999999</v>
      </c>
      <c r="G18" s="3924">
        <f>[85]Sheet1!G25</f>
        <v>1.0486930000000001</v>
      </c>
      <c r="H18" s="3924">
        <v>1.075386</v>
      </c>
      <c r="I18" s="3925">
        <v>1.21</v>
      </c>
      <c r="J18" s="3925">
        <v>1.1000000000000001</v>
      </c>
      <c r="K18" s="4864">
        <v>1.264813</v>
      </c>
      <c r="L18" s="3926">
        <f>[86]F13!F35/10^6</f>
        <v>1.2420720000000001</v>
      </c>
      <c r="M18" s="4969">
        <f>[86]F13!F88/10^6</f>
        <v>1.4139630000000001</v>
      </c>
      <c r="N18" s="4966">
        <f t="shared" si="7"/>
        <v>1.2000740000000001</v>
      </c>
      <c r="O18" s="3585">
        <f t="shared" si="1"/>
        <v>-0.15126916333737161</v>
      </c>
      <c r="P18" s="3585">
        <f t="shared" si="2"/>
        <v>-1.7361214657575563E-2</v>
      </c>
      <c r="Q18" s="4416">
        <f t="shared" si="3"/>
        <v>2.200691759110418E-2</v>
      </c>
      <c r="R18" s="3585">
        <f>(($N18/$I18)^(1/R$4))-1</f>
        <v>-1.6460713458874565E-3</v>
      </c>
      <c r="S18" s="3585">
        <f t="shared" si="5"/>
        <v>1.9449378337876855E-2</v>
      </c>
      <c r="T18" s="3585">
        <v>9.7999999999999997E-3</v>
      </c>
      <c r="U18" s="3589">
        <v>0</v>
      </c>
      <c r="V18" s="3927">
        <f>MAX(U18,S18)</f>
        <v>1.9449378337876855E-2</v>
      </c>
      <c r="W18" s="3927">
        <f t="shared" si="0"/>
        <v>1.9449378337876855E-2</v>
      </c>
    </row>
    <row r="19" spans="1:23">
      <c r="A19" s="3865">
        <v>14</v>
      </c>
      <c r="B19" s="1015" t="s">
        <v>3058</v>
      </c>
      <c r="C19" s="3924">
        <f>[85]Sheet1!C26</f>
        <v>0</v>
      </c>
      <c r="D19" s="3924">
        <f>[85]Sheet1!D26</f>
        <v>0</v>
      </c>
      <c r="E19" s="3924">
        <f>[85]Sheet1!E26</f>
        <v>0</v>
      </c>
      <c r="F19" s="3924">
        <f>[85]Sheet1!F26</f>
        <v>0</v>
      </c>
      <c r="G19" s="3924">
        <f>[85]Sheet1!G26</f>
        <v>0</v>
      </c>
      <c r="H19" s="3924">
        <v>0</v>
      </c>
      <c r="I19" s="3925">
        <v>0</v>
      </c>
      <c r="J19" s="3925">
        <v>0</v>
      </c>
      <c r="K19" s="4864">
        <v>0</v>
      </c>
      <c r="L19" s="3926">
        <f>[86]F13!F36/10^6</f>
        <v>10.640935000000001</v>
      </c>
      <c r="M19" s="4969">
        <f>[86]F13!F89/10^6</f>
        <v>11.682083</v>
      </c>
      <c r="N19" s="4966">
        <f t="shared" si="7"/>
        <v>12.446819</v>
      </c>
      <c r="O19" s="3585">
        <f t="shared" si="1"/>
        <v>6.5462298119265183E-2</v>
      </c>
      <c r="P19" s="3585"/>
      <c r="Q19" s="4416"/>
      <c r="R19" s="3585"/>
      <c r="S19" s="3585"/>
      <c r="T19" s="3585">
        <f>T8</f>
        <v>0.121</v>
      </c>
      <c r="U19" s="3589">
        <f>MAX(O19:R19)</f>
        <v>6.5462298119265183E-2</v>
      </c>
      <c r="V19" s="3927">
        <f>MAX(U19,S19)</f>
        <v>6.5462298119265183E-2</v>
      </c>
      <c r="W19" s="3927">
        <f t="shared" si="0"/>
        <v>0</v>
      </c>
    </row>
    <row r="20" spans="1:23">
      <c r="A20" s="3865">
        <v>15</v>
      </c>
      <c r="B20" s="1015" t="s">
        <v>3059</v>
      </c>
      <c r="C20" s="3924">
        <f>[85]Sheet1!C27</f>
        <v>0</v>
      </c>
      <c r="D20" s="3924">
        <f>[85]Sheet1!D27</f>
        <v>0</v>
      </c>
      <c r="E20" s="3924">
        <f>[85]Sheet1!E27</f>
        <v>0</v>
      </c>
      <c r="F20" s="3924">
        <f>[85]Sheet1!F27</f>
        <v>0</v>
      </c>
      <c r="G20" s="3924">
        <f>[85]Sheet1!G27</f>
        <v>0</v>
      </c>
      <c r="H20" s="3924">
        <v>0</v>
      </c>
      <c r="I20" s="3925">
        <v>0</v>
      </c>
      <c r="J20" s="3925">
        <v>0</v>
      </c>
      <c r="K20" s="4864">
        <v>0</v>
      </c>
      <c r="L20" s="3926">
        <f>[86]F13!F37/10^6</f>
        <v>35.800285000000002</v>
      </c>
      <c r="M20" s="4969">
        <f>[86]F13!F90/10^6</f>
        <v>66.403324999999995</v>
      </c>
      <c r="N20" s="4966">
        <f t="shared" si="7"/>
        <v>73.992159999999998</v>
      </c>
      <c r="O20" s="3585">
        <f t="shared" si="1"/>
        <v>0.11428396093117321</v>
      </c>
      <c r="P20" s="3585"/>
      <c r="Q20" s="4416"/>
      <c r="R20" s="3585"/>
      <c r="S20" s="3585"/>
      <c r="T20" s="3585"/>
      <c r="U20" s="3589">
        <f>U19</f>
        <v>6.5462298119265183E-2</v>
      </c>
      <c r="V20" s="3927">
        <f t="shared" si="6"/>
        <v>6.5462298119265183E-2</v>
      </c>
      <c r="W20" s="3927">
        <f t="shared" si="0"/>
        <v>0</v>
      </c>
    </row>
    <row r="21" spans="1:23">
      <c r="A21" s="3865">
        <v>16</v>
      </c>
      <c r="B21" s="1015" t="s">
        <v>3060</v>
      </c>
      <c r="C21" s="3924">
        <f>[85]Sheet1!C30</f>
        <v>163.47353000000001</v>
      </c>
      <c r="D21" s="3924">
        <f>[85]Sheet1!D30</f>
        <v>157.99561199999999</v>
      </c>
      <c r="E21" s="3924">
        <f>[85]Sheet1!E30</f>
        <v>151.98055199999999</v>
      </c>
      <c r="F21" s="3924">
        <f>[85]Sheet1!F30</f>
        <v>137.38670200000001</v>
      </c>
      <c r="G21" s="3924">
        <f>[85]Sheet1!G30</f>
        <v>182.80743200000001</v>
      </c>
      <c r="H21" s="3924">
        <v>175.98641000000001</v>
      </c>
      <c r="I21" s="3925">
        <v>136.53</v>
      </c>
      <c r="J21" s="3925">
        <v>132.15</v>
      </c>
      <c r="K21" s="4864">
        <v>149.13946900000002</v>
      </c>
      <c r="L21" s="3926">
        <f>[86]F13!F38/10^6</f>
        <v>169.39538099999999</v>
      </c>
      <c r="M21" s="4969">
        <f>[86]F13!F91/10^6</f>
        <v>178.774663</v>
      </c>
      <c r="N21" s="4966">
        <f>M60</f>
        <v>185.39943</v>
      </c>
      <c r="O21" s="3585">
        <f t="shared" si="1"/>
        <v>3.7056520699468409E-2</v>
      </c>
      <c r="P21" s="3585">
        <f>(($N21/$K21)^(1/P$4))-1</f>
        <v>7.5239641432597537E-2</v>
      </c>
      <c r="Q21" s="4416">
        <f t="shared" si="3"/>
        <v>8.832926335572E-2</v>
      </c>
      <c r="R21" s="3585">
        <f t="shared" si="4"/>
        <v>6.3104755561961046E-2</v>
      </c>
      <c r="S21" s="3585">
        <f t="shared" si="5"/>
        <v>2.0133475027181991E-3</v>
      </c>
      <c r="T21" s="3585">
        <v>7.4499999999999997E-2</v>
      </c>
      <c r="U21" s="3589">
        <f>O21</f>
        <v>3.7056520699468409E-2</v>
      </c>
      <c r="V21" s="3927">
        <f>MAX(U21,S21)</f>
        <v>3.7056520699468409E-2</v>
      </c>
      <c r="W21" s="3927">
        <f t="shared" si="0"/>
        <v>0</v>
      </c>
    </row>
    <row r="22" spans="1:23">
      <c r="A22" s="3865">
        <v>17</v>
      </c>
      <c r="B22" s="1015" t="s">
        <v>3061</v>
      </c>
      <c r="C22" s="3924">
        <f>[85]Sheet1!C31</f>
        <v>260.63417199999998</v>
      </c>
      <c r="D22" s="3924">
        <f>[85]Sheet1!D31</f>
        <v>262.291358</v>
      </c>
      <c r="E22" s="3924">
        <f>[85]Sheet1!E31</f>
        <v>290.10925099999997</v>
      </c>
      <c r="F22" s="3924">
        <f>[85]Sheet1!F31</f>
        <v>308.43113699999998</v>
      </c>
      <c r="G22" s="3924">
        <f>[85]Sheet1!G31</f>
        <v>299.30791299999999</v>
      </c>
      <c r="H22" s="3924">
        <v>321.44310899999999</v>
      </c>
      <c r="I22" s="3925">
        <v>374.81</v>
      </c>
      <c r="J22" s="3925">
        <v>425.55</v>
      </c>
      <c r="K22" s="4864">
        <v>423.99137100000002</v>
      </c>
      <c r="L22" s="3926">
        <f>[86]F13!F39/10^6</f>
        <v>381.589541</v>
      </c>
      <c r="M22" s="4969">
        <f>[86]F13!F92/10^6</f>
        <v>350.52331299999997</v>
      </c>
      <c r="N22" s="4966">
        <f t="shared" ref="N22:N25" si="8">M61</f>
        <v>358.00879500000002</v>
      </c>
      <c r="O22" s="3585">
        <f t="shared" si="1"/>
        <v>2.1355161618023422E-2</v>
      </c>
      <c r="P22" s="3585">
        <f t="shared" si="2"/>
        <v>-5.4825000040365945E-2</v>
      </c>
      <c r="Q22" s="4416">
        <f t="shared" si="3"/>
        <v>-4.2286134071619075E-2</v>
      </c>
      <c r="R22" s="3585">
        <f t="shared" si="4"/>
        <v>-9.1303980033115018E-3</v>
      </c>
      <c r="S22" s="3585">
        <f t="shared" si="5"/>
        <v>2.5913595828666924E-2</v>
      </c>
      <c r="T22" s="3585">
        <v>2.6100000000000002E-2</v>
      </c>
      <c r="U22" s="3589">
        <f>MAX(O22:R22)</f>
        <v>2.1355161618023422E-2</v>
      </c>
      <c r="V22" s="3927">
        <f>MAX(U22,S22)</f>
        <v>2.5913595828666924E-2</v>
      </c>
      <c r="W22" s="3927">
        <f t="shared" si="0"/>
        <v>4.5584342106435027E-3</v>
      </c>
    </row>
    <row r="23" spans="1:23">
      <c r="A23" s="3865">
        <v>18</v>
      </c>
      <c r="B23" s="1015" t="s">
        <v>3062</v>
      </c>
      <c r="C23" s="3924">
        <f>[85]Sheet1!C32</f>
        <v>27.046063</v>
      </c>
      <c r="D23" s="3924">
        <f>[85]Sheet1!D32</f>
        <v>31.699414999999998</v>
      </c>
      <c r="E23" s="3924">
        <f>[85]Sheet1!E32</f>
        <v>32.516657000000002</v>
      </c>
      <c r="F23" s="3924">
        <f>[85]Sheet1!F32</f>
        <v>31.263776</v>
      </c>
      <c r="G23" s="3924">
        <f>[85]Sheet1!G32</f>
        <v>35.007112999999997</v>
      </c>
      <c r="H23" s="3924">
        <v>39.545329000000002</v>
      </c>
      <c r="I23" s="3925">
        <v>32.15</v>
      </c>
      <c r="J23" s="3925">
        <v>32.22</v>
      </c>
      <c r="K23" s="4864">
        <v>31.759982000000001</v>
      </c>
      <c r="L23" s="3926">
        <f>[86]F13!F40/10^6</f>
        <v>32.271808999999998</v>
      </c>
      <c r="M23" s="4969">
        <f>[86]F13!F93/10^6</f>
        <v>32.819763999999999</v>
      </c>
      <c r="N23" s="4966">
        <f t="shared" si="8"/>
        <v>33.186438000000003</v>
      </c>
      <c r="O23" s="3585">
        <f t="shared" si="1"/>
        <v>1.1172353341724284E-2</v>
      </c>
      <c r="P23" s="3585">
        <f t="shared" si="2"/>
        <v>1.4752502596919292E-2</v>
      </c>
      <c r="Q23" s="4416">
        <f t="shared" si="3"/>
        <v>7.4158423518171368E-3</v>
      </c>
      <c r="R23" s="3585">
        <f t="shared" si="4"/>
        <v>6.3659466140295606E-3</v>
      </c>
      <c r="S23" s="3585">
        <f t="shared" si="5"/>
        <v>-7.6009613191442282E-3</v>
      </c>
      <c r="T23" s="3585">
        <v>1.1999999999999999E-3</v>
      </c>
      <c r="U23" s="3589">
        <f>P23</f>
        <v>1.4752502596919292E-2</v>
      </c>
      <c r="V23" s="3927">
        <f t="shared" si="6"/>
        <v>1.4752502596919292E-2</v>
      </c>
      <c r="W23" s="3927">
        <f t="shared" si="0"/>
        <v>0</v>
      </c>
    </row>
    <row r="24" spans="1:23">
      <c r="A24" s="3865">
        <v>19</v>
      </c>
      <c r="B24" s="1015" t="s">
        <v>3063</v>
      </c>
      <c r="C24" s="3924">
        <f>[85]Sheet1!C33</f>
        <v>0</v>
      </c>
      <c r="D24" s="3924">
        <f>[85]Sheet1!D33</f>
        <v>0</v>
      </c>
      <c r="E24" s="3924">
        <f>[85]Sheet1!E33</f>
        <v>0</v>
      </c>
      <c r="F24" s="3924">
        <f>[85]Sheet1!F33</f>
        <v>0</v>
      </c>
      <c r="G24" s="3924">
        <f>[85]Sheet1!G33</f>
        <v>0</v>
      </c>
      <c r="H24" s="3924">
        <v>0</v>
      </c>
      <c r="I24" s="3925">
        <v>2.64</v>
      </c>
      <c r="J24" s="3925">
        <v>7.7</v>
      </c>
      <c r="K24" s="4864">
        <v>5.0235199999999995</v>
      </c>
      <c r="L24" s="3926">
        <f>[86]F13!F41/10^6</f>
        <v>4.0071719999999997</v>
      </c>
      <c r="M24" s="4969">
        <f>[86]F13!F94/10^6</f>
        <v>7.8381749999999997</v>
      </c>
      <c r="N24" s="4966">
        <f t="shared" si="8"/>
        <v>11.373238000000001</v>
      </c>
      <c r="O24" s="3585">
        <f t="shared" si="1"/>
        <v>0.45100587828161554</v>
      </c>
      <c r="P24" s="3585">
        <f>(($N24/$K24)^(1/P$4))-1</f>
        <v>0.31308245136344492</v>
      </c>
      <c r="Q24" s="4416">
        <f t="shared" si="3"/>
        <v>0.1024232161741554</v>
      </c>
      <c r="R24" s="3585">
        <f t="shared" si="4"/>
        <v>0.33923268513264326</v>
      </c>
      <c r="S24" s="3585"/>
      <c r="T24" s="3585">
        <v>0</v>
      </c>
      <c r="U24" s="3589">
        <v>0</v>
      </c>
      <c r="V24" s="3927">
        <f>MAX(U24,S24)</f>
        <v>0</v>
      </c>
      <c r="W24" s="3927">
        <f>V24-U24</f>
        <v>0</v>
      </c>
    </row>
    <row r="25" spans="1:23">
      <c r="A25" s="3865">
        <v>20</v>
      </c>
      <c r="B25" s="1015" t="s">
        <v>3064</v>
      </c>
      <c r="C25" s="3924">
        <f>[85]Sheet1!C34</f>
        <v>0</v>
      </c>
      <c r="D25" s="3924">
        <f>[85]Sheet1!D34</f>
        <v>0</v>
      </c>
      <c r="E25" s="3924">
        <f>[85]Sheet1!E34</f>
        <v>0</v>
      </c>
      <c r="F25" s="3924">
        <f>[85]Sheet1!F34</f>
        <v>0</v>
      </c>
      <c r="G25" s="3924">
        <f>[85]Sheet1!G34</f>
        <v>0</v>
      </c>
      <c r="H25" s="3924">
        <v>0</v>
      </c>
      <c r="I25" s="3925">
        <v>0</v>
      </c>
      <c r="J25" s="3925">
        <v>0</v>
      </c>
      <c r="K25" s="4864">
        <v>0</v>
      </c>
      <c r="L25" s="3926">
        <f>[86]F13!F42/10^6</f>
        <v>34.105733000000001</v>
      </c>
      <c r="M25" s="4969">
        <f>[86]F13!F95/10^6</f>
        <v>82.152868999999995</v>
      </c>
      <c r="N25" s="4966">
        <f t="shared" si="8"/>
        <v>98.320226000000005</v>
      </c>
      <c r="O25" s="3585">
        <f>(($N25/$M25)^(1/O$4))-1</f>
        <v>0.1967960120784098</v>
      </c>
      <c r="P25" s="3585"/>
      <c r="Q25" s="4416"/>
      <c r="R25" s="3585"/>
      <c r="S25" s="3585"/>
      <c r="T25" s="3585">
        <v>0</v>
      </c>
      <c r="U25" s="3589">
        <v>0</v>
      </c>
      <c r="V25" s="3927">
        <f>MAX(U25,S25)</f>
        <v>0</v>
      </c>
      <c r="W25" s="3927">
        <f>V25-U25</f>
        <v>0</v>
      </c>
    </row>
    <row r="26" spans="1:23">
      <c r="A26" s="3865"/>
      <c r="B26" s="3930"/>
      <c r="C26" s="3924"/>
      <c r="D26" s="3924"/>
      <c r="E26" s="3924"/>
      <c r="F26" s="3924"/>
      <c r="G26" s="3924"/>
      <c r="H26" s="3924"/>
      <c r="I26" s="3925"/>
      <c r="J26" s="3925"/>
      <c r="K26" s="3925"/>
      <c r="L26" s="3926"/>
      <c r="M26" s="4969"/>
      <c r="N26" s="4967"/>
      <c r="O26" s="3584"/>
      <c r="P26" s="3584"/>
      <c r="Q26" s="3584"/>
      <c r="R26" s="3584"/>
      <c r="S26" s="3584"/>
      <c r="T26" s="3584"/>
      <c r="U26" s="3586"/>
    </row>
    <row r="27" spans="1:23">
      <c r="A27" s="3865"/>
      <c r="B27" s="1015" t="s">
        <v>47</v>
      </c>
      <c r="C27" s="3931">
        <f t="shared" ref="C27:H27" si="9">SUM(C21:C25,C6:C20)</f>
        <v>3410.5942790700001</v>
      </c>
      <c r="D27" s="3931">
        <f t="shared" si="9"/>
        <v>3524.2477224799991</v>
      </c>
      <c r="E27" s="3931">
        <f t="shared" si="9"/>
        <v>3633.3727460799992</v>
      </c>
      <c r="F27" s="3931">
        <f t="shared" si="9"/>
        <v>3789.4811185300005</v>
      </c>
      <c r="G27" s="3931">
        <f t="shared" si="9"/>
        <v>4019.7813343000003</v>
      </c>
      <c r="H27" s="3931">
        <f t="shared" si="9"/>
        <v>4103.1500556699993</v>
      </c>
      <c r="I27" s="3931">
        <f t="shared" ref="I27:N27" si="10">SUM(I21:I25,I6:I20)</f>
        <v>4121.1500000000005</v>
      </c>
      <c r="J27" s="3931">
        <f t="shared" si="10"/>
        <v>4267.1100000000006</v>
      </c>
      <c r="K27" s="3931">
        <f t="shared" si="10"/>
        <v>4286.0508832400001</v>
      </c>
      <c r="L27" s="3931">
        <f t="shared" si="10"/>
        <v>4392.9450818100013</v>
      </c>
      <c r="M27" s="4971">
        <f t="shared" si="10"/>
        <v>4351.5211695900007</v>
      </c>
      <c r="N27" s="4968">
        <f t="shared" si="10"/>
        <v>4418.8313277800007</v>
      </c>
      <c r="O27" s="3585">
        <f t="shared" ref="O27:O31" si="11">(($N27/$M27)^(1/O$4))-1</f>
        <v>1.5468190448064023E-2</v>
      </c>
      <c r="P27" s="3585">
        <f t="shared" si="2"/>
        <v>1.0221717360760607E-2</v>
      </c>
      <c r="Q27" s="4416">
        <f t="shared" si="3"/>
        <v>8.772876220551229E-3</v>
      </c>
      <c r="R27" s="3585">
        <f t="shared" si="4"/>
        <v>1.4046336635817003E-2</v>
      </c>
      <c r="S27" s="3585">
        <f t="shared" ref="S27:S32" si="12">(($N27/$G27)^(1/S$4))-1</f>
        <v>1.3612930545295443E-2</v>
      </c>
      <c r="T27" s="3586"/>
      <c r="U27" s="3586"/>
    </row>
    <row r="28" spans="1:23">
      <c r="A28" s="4400"/>
      <c r="B28" s="1015" t="s">
        <v>3340</v>
      </c>
      <c r="C28" s="3931"/>
      <c r="D28" s="3931"/>
      <c r="E28" s="3931"/>
      <c r="F28" s="3931">
        <f>F8+F19</f>
        <v>1156.636244</v>
      </c>
      <c r="G28" s="3931">
        <f>G8+G19</f>
        <v>953.42620099999999</v>
      </c>
      <c r="H28" s="3926">
        <f>H8+H19</f>
        <v>1005.776802</v>
      </c>
      <c r="I28" s="3926">
        <f t="shared" ref="I28:M28" si="13">I8+I19</f>
        <v>876.83</v>
      </c>
      <c r="J28" s="3926">
        <f t="shared" si="13"/>
        <v>895.21</v>
      </c>
      <c r="K28" s="3926">
        <f t="shared" si="13"/>
        <v>896.82406600000002</v>
      </c>
      <c r="L28" s="3926">
        <f t="shared" si="13"/>
        <v>933.50253299999997</v>
      </c>
      <c r="M28" s="3926">
        <f t="shared" si="13"/>
        <v>904.96551900000009</v>
      </c>
      <c r="N28" s="3926">
        <f t="shared" ref="N28" si="14">N8+N19</f>
        <v>899.65573999999992</v>
      </c>
      <c r="O28" s="3585">
        <f t="shared" si="11"/>
        <v>-5.8673826665435191E-3</v>
      </c>
      <c r="P28" s="3585">
        <f t="shared" si="2"/>
        <v>1.0513763838837509E-3</v>
      </c>
      <c r="Q28" s="4416">
        <f t="shared" si="3"/>
        <v>1.239230065239294E-3</v>
      </c>
      <c r="R28" s="3585">
        <f t="shared" si="4"/>
        <v>5.1530411009050869E-3</v>
      </c>
      <c r="S28" s="3585">
        <f t="shared" si="12"/>
        <v>-8.2585442984279833E-3</v>
      </c>
      <c r="T28" s="3586"/>
      <c r="U28" s="3589">
        <f>P28</f>
        <v>1.0513763838837509E-3</v>
      </c>
    </row>
    <row r="29" spans="1:23">
      <c r="A29" s="4400"/>
      <c r="B29" s="1015" t="s">
        <v>3341</v>
      </c>
      <c r="C29" s="3931"/>
      <c r="D29" s="3931"/>
      <c r="E29" s="3931"/>
      <c r="F29" s="3931">
        <f>F9+F10+F20</f>
        <v>325.94017199999996</v>
      </c>
      <c r="G29" s="3931">
        <f t="shared" ref="G29:M29" si="15">G9+G10+G20</f>
        <v>645.25394300000005</v>
      </c>
      <c r="H29" s="3926">
        <f t="shared" si="15"/>
        <v>602.51836700000001</v>
      </c>
      <c r="I29" s="3926">
        <f t="shared" si="15"/>
        <v>781.27</v>
      </c>
      <c r="J29" s="3926">
        <f t="shared" si="15"/>
        <v>829.86</v>
      </c>
      <c r="K29" s="3926">
        <f t="shared" si="15"/>
        <v>819.2557680000001</v>
      </c>
      <c r="L29" s="3926">
        <f t="shared" si="15"/>
        <v>813.10989700000005</v>
      </c>
      <c r="M29" s="3926">
        <f t="shared" si="15"/>
        <v>778.0547039999999</v>
      </c>
      <c r="N29" s="3926">
        <f t="shared" ref="N29" si="16">N9+N10+N20</f>
        <v>771.48687300000006</v>
      </c>
      <c r="O29" s="3585">
        <f t="shared" si="11"/>
        <v>-8.4413486175644037E-3</v>
      </c>
      <c r="P29" s="3585">
        <f t="shared" si="2"/>
        <v>-1.9826377437268672E-2</v>
      </c>
      <c r="Q29" s="4416">
        <f t="shared" si="3"/>
        <v>-1.8069099092465235E-2</v>
      </c>
      <c r="R29" s="3585">
        <f t="shared" si="4"/>
        <v>-2.5170556837278424E-3</v>
      </c>
      <c r="S29" s="3585">
        <f t="shared" si="12"/>
        <v>2.5853655953030907E-2</v>
      </c>
      <c r="T29" s="3586"/>
      <c r="U29" s="3589">
        <v>0</v>
      </c>
    </row>
    <row r="30" spans="1:23">
      <c r="A30" s="3873"/>
      <c r="B30" s="1015" t="s">
        <v>3342</v>
      </c>
      <c r="C30" s="3931"/>
      <c r="D30" s="3931"/>
      <c r="E30" s="3931"/>
      <c r="F30" s="3931">
        <f>F22+F25</f>
        <v>308.43113699999998</v>
      </c>
      <c r="G30" s="3931">
        <f t="shared" ref="G30:M30" si="17">G22+G25</f>
        <v>299.30791299999999</v>
      </c>
      <c r="H30" s="3926">
        <f t="shared" si="17"/>
        <v>321.44310899999999</v>
      </c>
      <c r="I30" s="3926">
        <f t="shared" si="17"/>
        <v>374.81</v>
      </c>
      <c r="J30" s="3926">
        <f t="shared" si="17"/>
        <v>425.55</v>
      </c>
      <c r="K30" s="3926">
        <f t="shared" si="17"/>
        <v>423.99137100000002</v>
      </c>
      <c r="L30" s="3926">
        <f t="shared" si="17"/>
        <v>415.69527399999998</v>
      </c>
      <c r="M30" s="3926">
        <f t="shared" si="17"/>
        <v>432.67618199999998</v>
      </c>
      <c r="N30" s="3926">
        <f t="shared" ref="N30" si="18">N22+N25</f>
        <v>456.32902100000001</v>
      </c>
      <c r="O30" s="3585">
        <f t="shared" si="11"/>
        <v>5.4666376343313505E-2</v>
      </c>
      <c r="P30" s="3585">
        <f t="shared" si="2"/>
        <v>2.4802926901736244E-2</v>
      </c>
      <c r="Q30" s="4416">
        <f t="shared" si="3"/>
        <v>1.7611189152112239E-2</v>
      </c>
      <c r="R30" s="3585">
        <f t="shared" si="4"/>
        <v>4.0143798248124751E-2</v>
      </c>
      <c r="S30" s="3585">
        <f t="shared" si="12"/>
        <v>6.210070877437035E-2</v>
      </c>
      <c r="T30" s="3586"/>
      <c r="U30" s="3589">
        <f>P30</f>
        <v>2.4802926901736244E-2</v>
      </c>
    </row>
    <row r="31" spans="1:23">
      <c r="A31" s="4960"/>
      <c r="B31" s="1015" t="s">
        <v>3673</v>
      </c>
      <c r="C31" s="3931"/>
      <c r="D31" s="3931"/>
      <c r="E31" s="3931"/>
      <c r="F31" s="3926">
        <f>F12+F13</f>
        <v>123.89939899999999</v>
      </c>
      <c r="G31" s="3926">
        <f t="shared" ref="G31:N31" si="19">G12+G13</f>
        <v>101.55458999999999</v>
      </c>
      <c r="H31" s="3926">
        <f t="shared" si="19"/>
        <v>95.745604</v>
      </c>
      <c r="I31" s="3926">
        <f t="shared" si="19"/>
        <v>101.75</v>
      </c>
      <c r="J31" s="3926">
        <f t="shared" si="19"/>
        <v>110.38</v>
      </c>
      <c r="K31" s="3926">
        <f t="shared" si="19"/>
        <v>103.02076600000001</v>
      </c>
      <c r="L31" s="3926">
        <f t="shared" si="19"/>
        <v>103.78411</v>
      </c>
      <c r="M31" s="3926">
        <f t="shared" si="19"/>
        <v>99.956052</v>
      </c>
      <c r="N31" s="3926">
        <f t="shared" si="19"/>
        <v>99.80256</v>
      </c>
      <c r="O31" s="3585">
        <f t="shared" si="11"/>
        <v>-1.5355948632305161E-3</v>
      </c>
      <c r="P31" s="3585">
        <f t="shared" si="2"/>
        <v>-1.0523155166876297E-2</v>
      </c>
      <c r="Q31" s="4416">
        <f t="shared" si="3"/>
        <v>-2.4869314864669367E-2</v>
      </c>
      <c r="R31" s="3585">
        <f t="shared" si="4"/>
        <v>-3.8575385149405284E-3</v>
      </c>
      <c r="S31" s="3585">
        <f t="shared" si="12"/>
        <v>-2.4830053901934157E-3</v>
      </c>
      <c r="T31" s="3586"/>
      <c r="U31" s="3589">
        <f>P31</f>
        <v>-1.0523155166876297E-2</v>
      </c>
    </row>
    <row r="32" spans="1:23">
      <c r="A32" s="4960"/>
      <c r="B32" s="1015" t="s">
        <v>3674</v>
      </c>
      <c r="C32" s="3931"/>
      <c r="D32" s="3931"/>
      <c r="E32" s="3931"/>
      <c r="F32" s="3926">
        <f>F16+F17</f>
        <v>31.221156000000001</v>
      </c>
      <c r="G32" s="3926">
        <f>G16+G17</f>
        <v>21.550296000000003</v>
      </c>
      <c r="H32" s="3926">
        <f t="shared" ref="H32:N32" si="20">H16+H17</f>
        <v>22.722835999999997</v>
      </c>
      <c r="I32" s="3926">
        <f t="shared" si="20"/>
        <v>30.87</v>
      </c>
      <c r="J32" s="3926">
        <f t="shared" si="20"/>
        <v>35.730000000000004</v>
      </c>
      <c r="K32" s="3926">
        <f t="shared" si="20"/>
        <v>40.849304000000004</v>
      </c>
      <c r="L32" s="3926">
        <f t="shared" si="20"/>
        <v>38.201689999999999</v>
      </c>
      <c r="M32" s="3926">
        <f t="shared" si="20"/>
        <v>41.032668999999999</v>
      </c>
      <c r="N32" s="3926">
        <f t="shared" si="20"/>
        <v>38.636375000000001</v>
      </c>
      <c r="O32" s="3585">
        <f>(($N32/$M32)^(1/O$4))-1</f>
        <v>-5.8399661986404006E-2</v>
      </c>
      <c r="P32" s="3585">
        <f>(($N32/$K32)^(1/P$4))-1</f>
        <v>-1.8393925911478703E-2</v>
      </c>
      <c r="Q32" s="4416">
        <f>(($N32/$J32)^(1/$Q$4))-1</f>
        <v>1.9743249620541636E-2</v>
      </c>
      <c r="R32" s="3585">
        <f>(($N32/$I32)^(1/R$4))-1</f>
        <v>4.5904300297634926E-2</v>
      </c>
      <c r="S32" s="3585">
        <f t="shared" si="12"/>
        <v>8.6977232451348474E-2</v>
      </c>
      <c r="T32" s="3586"/>
      <c r="U32" s="3589">
        <v>0</v>
      </c>
    </row>
    <row r="33" spans="1:21">
      <c r="B33" s="2170"/>
      <c r="C33" s="161"/>
      <c r="D33" s="161"/>
      <c r="E33" s="161"/>
      <c r="F33" s="161"/>
      <c r="G33" s="161"/>
      <c r="H33" s="161"/>
      <c r="I33" s="3933"/>
      <c r="J33" s="3934"/>
      <c r="K33" s="3932"/>
      <c r="L33" s="3934"/>
      <c r="M33" s="3932"/>
      <c r="N33" s="3934"/>
      <c r="O33" s="3932"/>
      <c r="P33" s="3932"/>
    </row>
    <row r="34" spans="1:21">
      <c r="A34" s="1456" t="s">
        <v>3065</v>
      </c>
      <c r="C34" s="3932"/>
      <c r="D34" s="3932"/>
      <c r="E34" s="3932"/>
      <c r="F34" s="3932"/>
      <c r="G34" s="3932"/>
      <c r="H34" s="3932"/>
      <c r="I34" s="3933"/>
      <c r="J34" s="3934"/>
      <c r="K34" s="3932"/>
      <c r="L34" s="3934"/>
      <c r="M34" s="3932"/>
      <c r="N34" s="3934"/>
      <c r="O34" s="3932" t="s">
        <v>83</v>
      </c>
      <c r="P34" s="3932"/>
    </row>
    <row r="36" spans="1:21">
      <c r="A36" s="5425" t="s">
        <v>84</v>
      </c>
      <c r="B36" s="5425" t="s">
        <v>1938</v>
      </c>
      <c r="H36" s="5425" t="s">
        <v>2</v>
      </c>
      <c r="I36" s="5427" t="s">
        <v>1845</v>
      </c>
      <c r="J36" s="5428"/>
      <c r="K36" s="5427" t="s">
        <v>2442</v>
      </c>
      <c r="L36" s="5429"/>
      <c r="M36" s="5428"/>
      <c r="N36" s="3874" t="s">
        <v>2443</v>
      </c>
      <c r="O36" s="3875"/>
      <c r="P36" s="4399"/>
      <c r="Q36" s="3867" t="s">
        <v>3066</v>
      </c>
    </row>
    <row r="37" spans="1:21">
      <c r="A37" s="5425"/>
      <c r="B37" s="5425"/>
      <c r="H37" s="5425"/>
      <c r="I37" s="3867" t="s">
        <v>3067</v>
      </c>
      <c r="J37" s="3867" t="s">
        <v>1929</v>
      </c>
      <c r="K37" s="3867" t="s">
        <v>3067</v>
      </c>
      <c r="L37" s="3867" t="s">
        <v>1929</v>
      </c>
      <c r="M37" s="4946" t="s">
        <v>96</v>
      </c>
      <c r="N37" s="3867" t="s">
        <v>3067</v>
      </c>
      <c r="O37" s="3867" t="s">
        <v>1929</v>
      </c>
      <c r="P37" s="4398"/>
      <c r="Q37" s="3867" t="s">
        <v>89</v>
      </c>
    </row>
    <row r="38" spans="1:21">
      <c r="A38" s="3588">
        <v>1</v>
      </c>
      <c r="B38" s="3935" t="s">
        <v>1989</v>
      </c>
      <c r="H38" s="3935"/>
      <c r="I38" s="1271"/>
      <c r="J38" s="1271"/>
      <c r="K38" s="3925"/>
      <c r="L38" s="3925"/>
      <c r="M38" s="3925"/>
      <c r="N38" s="3925"/>
      <c r="O38" s="3586"/>
      <c r="P38" s="3586"/>
      <c r="Q38" s="3586"/>
    </row>
    <row r="39" spans="1:21">
      <c r="A39" s="3588">
        <f>A38+1</f>
        <v>2</v>
      </c>
      <c r="B39" s="3936" t="s">
        <v>14</v>
      </c>
      <c r="H39" s="3937" t="s">
        <v>15</v>
      </c>
      <c r="I39" s="3938">
        <v>189</v>
      </c>
      <c r="J39" s="3939">
        <f>'F1'!E11</f>
        <v>7.0471000000000006E-2</v>
      </c>
      <c r="K39" s="3940">
        <f>I39*(1+Q39)</f>
        <v>189</v>
      </c>
      <c r="L39" s="3939">
        <f t="shared" ref="L39:L58" si="21">J39*(1+$Q39)</f>
        <v>7.0471000000000006E-2</v>
      </c>
      <c r="M39" s="3941">
        <f>'Monthwise sales'!$P88/10^6</f>
        <v>4.8749000000000001E-2</v>
      </c>
      <c r="N39" s="3940">
        <f t="shared" ref="N39:N47" si="22">K39*(1+$Q39)</f>
        <v>189</v>
      </c>
      <c r="O39" s="3939">
        <f t="shared" ref="O39:O58" si="23">M39*(1+$Q39)</f>
        <v>4.8749000000000001E-2</v>
      </c>
      <c r="P39" s="3939"/>
      <c r="Q39" s="3589">
        <f>U6</f>
        <v>0</v>
      </c>
      <c r="T39" s="4800"/>
      <c r="U39" s="4800"/>
    </row>
    <row r="40" spans="1:21">
      <c r="A40" s="5426">
        <f>A39+1</f>
        <v>3</v>
      </c>
      <c r="B40" s="3964" t="s">
        <v>3018</v>
      </c>
      <c r="C40" s="3954"/>
      <c r="D40" s="3954"/>
      <c r="E40" s="3954"/>
      <c r="F40" s="3954"/>
      <c r="G40" s="3954"/>
      <c r="H40" s="3968" t="s">
        <v>17</v>
      </c>
      <c r="I40" s="4927">
        <v>310874</v>
      </c>
      <c r="J40" s="3967">
        <f>'F1'!E12</f>
        <v>698.57959200000005</v>
      </c>
      <c r="K40" s="3966">
        <f t="shared" ref="K40:K64" si="24">I40*(1+Q40)</f>
        <v>317636.9500009336</v>
      </c>
      <c r="L40" s="3967">
        <f t="shared" si="21"/>
        <v>713.77693514342332</v>
      </c>
      <c r="M40" s="4928">
        <f>'Monthwise sales'!$P89/10^6</f>
        <v>706.79374499999994</v>
      </c>
      <c r="N40" s="3966">
        <f t="shared" si="22"/>
        <v>324547.02550195769</v>
      </c>
      <c r="O40" s="3967">
        <f t="shared" si="23"/>
        <v>722.16978403320184</v>
      </c>
      <c r="P40" s="3967"/>
      <c r="Q40" s="4929">
        <f>$U$7</f>
        <v>2.1754633713123583E-2</v>
      </c>
      <c r="R40" s="3954"/>
      <c r="S40" s="3954"/>
      <c r="T40" s="4800"/>
      <c r="U40" s="4800"/>
    </row>
    <row r="41" spans="1:21">
      <c r="A41" s="5426"/>
      <c r="B41" s="3964"/>
      <c r="C41" s="3954"/>
      <c r="D41" s="3954"/>
      <c r="E41" s="3954"/>
      <c r="F41" s="3954"/>
      <c r="G41" s="3954"/>
      <c r="H41" s="3968" t="s">
        <v>18</v>
      </c>
      <c r="I41" s="4927">
        <v>345517</v>
      </c>
      <c r="J41" s="3967">
        <f>'F1'!E13</f>
        <v>588.58436200000006</v>
      </c>
      <c r="K41" s="3966">
        <f t="shared" si="24"/>
        <v>353033.59577665734</v>
      </c>
      <c r="L41" s="3967">
        <f t="shared" si="21"/>
        <v>601.3887992045826</v>
      </c>
      <c r="M41" s="4928">
        <f>'Monthwise sales'!$P90/10^6</f>
        <v>609.68066599999997</v>
      </c>
      <c r="N41" s="3966">
        <f t="shared" si="22"/>
        <v>360713.71234120545</v>
      </c>
      <c r="O41" s="3967">
        <f t="shared" si="23"/>
        <v>622.94404557080327</v>
      </c>
      <c r="P41" s="3967"/>
      <c r="Q41" s="4929">
        <f>$U$7</f>
        <v>2.1754633713123583E-2</v>
      </c>
      <c r="R41" s="3954"/>
      <c r="S41" s="3954"/>
      <c r="T41" s="3319"/>
      <c r="U41" s="4800"/>
    </row>
    <row r="42" spans="1:21">
      <c r="A42" s="5426"/>
      <c r="B42" s="3964"/>
      <c r="C42" s="3954"/>
      <c r="D42" s="3954"/>
      <c r="E42" s="3954"/>
      <c r="F42" s="3954"/>
      <c r="G42" s="3954"/>
      <c r="H42" s="3968" t="s">
        <v>19</v>
      </c>
      <c r="I42" s="4927">
        <v>52230</v>
      </c>
      <c r="J42" s="3967">
        <f>'F1'!E14</f>
        <v>173.430725</v>
      </c>
      <c r="K42" s="3966">
        <f t="shared" si="24"/>
        <v>53366.244518836444</v>
      </c>
      <c r="L42" s="3967">
        <f t="shared" si="21"/>
        <v>177.20364689697647</v>
      </c>
      <c r="M42" s="4928">
        <f>'Monthwise sales'!$P91/10^6</f>
        <v>186.52222900000001</v>
      </c>
      <c r="N42" s="3966">
        <f t="shared" si="22"/>
        <v>54527.207620988716</v>
      </c>
      <c r="O42" s="3967">
        <f t="shared" si="23"/>
        <v>190.57995177125036</v>
      </c>
      <c r="P42" s="3967"/>
      <c r="Q42" s="4929">
        <f>$U$7</f>
        <v>2.1754633713123583E-2</v>
      </c>
      <c r="R42" s="3954"/>
      <c r="S42" s="3954"/>
      <c r="T42" s="3319"/>
      <c r="U42" s="4800"/>
    </row>
    <row r="43" spans="1:21">
      <c r="A43" s="5426"/>
      <c r="B43" s="3964"/>
      <c r="C43" s="3954"/>
      <c r="D43" s="3954"/>
      <c r="E43" s="3954"/>
      <c r="F43" s="3954"/>
      <c r="G43" s="3954"/>
      <c r="H43" s="3968" t="s">
        <v>20</v>
      </c>
      <c r="I43" s="4927">
        <v>30666</v>
      </c>
      <c r="J43" s="3967">
        <f>'F1'!E15</f>
        <v>335.332809</v>
      </c>
      <c r="K43" s="3966">
        <f t="shared" si="24"/>
        <v>31333.127597446648</v>
      </c>
      <c r="L43" s="3967">
        <f t="shared" si="21"/>
        <v>342.6278514317878</v>
      </c>
      <c r="M43" s="4928">
        <f>'Monthwise sales'!$P92/10^6</f>
        <v>343.51382899999999</v>
      </c>
      <c r="N43" s="3966">
        <f t="shared" si="22"/>
        <v>32014.768311415664</v>
      </c>
      <c r="O43" s="3967">
        <f t="shared" si="23"/>
        <v>350.98684652528755</v>
      </c>
      <c r="P43" s="3967"/>
      <c r="Q43" s="4929">
        <f>$U$7</f>
        <v>2.1754633713123583E-2</v>
      </c>
      <c r="R43" s="3954"/>
      <c r="S43" s="3954"/>
      <c r="T43" s="3319"/>
      <c r="U43" s="4800"/>
    </row>
    <row r="44" spans="1:21">
      <c r="A44" s="5426">
        <f>A40+1</f>
        <v>4</v>
      </c>
      <c r="B44" s="3936" t="s">
        <v>1991</v>
      </c>
      <c r="H44" s="3942" t="s">
        <v>25</v>
      </c>
      <c r="I44" s="3938">
        <v>224447</v>
      </c>
      <c r="J44" s="3939">
        <f>'F1'!E17</f>
        <v>539.93533600000001</v>
      </c>
      <c r="K44" s="3940">
        <f t="shared" si="24"/>
        <v>224682.97827523356</v>
      </c>
      <c r="L44" s="3939">
        <f t="shared" si="21"/>
        <v>540.5030112610948</v>
      </c>
      <c r="M44" s="3941">
        <f>'Monthwise sales'!$P93/10^6</f>
        <v>542.73403499999995</v>
      </c>
      <c r="N44" s="3940">
        <f t="shared" si="22"/>
        <v>224919.20465245281</v>
      </c>
      <c r="O44" s="3939">
        <f t="shared" si="23"/>
        <v>543.3046527471289</v>
      </c>
      <c r="P44" s="3939"/>
      <c r="Q44" s="3589">
        <f>$U$28</f>
        <v>1.0513763838837509E-3</v>
      </c>
      <c r="T44" s="3319"/>
      <c r="U44" s="4800"/>
    </row>
    <row r="45" spans="1:21">
      <c r="A45" s="5426"/>
      <c r="B45" s="3936"/>
      <c r="H45" s="3942" t="s">
        <v>26</v>
      </c>
      <c r="I45" s="3938">
        <v>32470</v>
      </c>
      <c r="J45" s="3939">
        <f>'F1'!E18</f>
        <v>353.34809999999999</v>
      </c>
      <c r="K45" s="3940">
        <f t="shared" si="24"/>
        <v>32504.138191184706</v>
      </c>
      <c r="L45" s="3939">
        <f t="shared" si="21"/>
        <v>353.7196018476302</v>
      </c>
      <c r="M45" s="3941">
        <f>'Monthwise sales'!$P94/10^6</f>
        <v>344.47488600000003</v>
      </c>
      <c r="N45" s="3940">
        <f t="shared" si="22"/>
        <v>32538.31227445741</v>
      </c>
      <c r="O45" s="3939">
        <f t="shared" si="23"/>
        <v>344.83705875998146</v>
      </c>
      <c r="P45" s="3939"/>
      <c r="Q45" s="3589">
        <f>$U$28</f>
        <v>1.0513763838837509E-3</v>
      </c>
      <c r="T45" s="3319"/>
      <c r="U45" s="4800"/>
    </row>
    <row r="46" spans="1:21">
      <c r="A46" s="3588">
        <f>A44+1</f>
        <v>5</v>
      </c>
      <c r="B46" s="3936" t="s">
        <v>1992</v>
      </c>
      <c r="H46" s="3942" t="s">
        <v>28</v>
      </c>
      <c r="I46" s="3938">
        <v>5908</v>
      </c>
      <c r="J46" s="3939">
        <f>'F1'!E20</f>
        <v>240.95263499999999</v>
      </c>
      <c r="K46" s="3940">
        <f t="shared" si="24"/>
        <v>5908</v>
      </c>
      <c r="L46" s="3939">
        <f t="shared" si="21"/>
        <v>240.95263499999999</v>
      </c>
      <c r="M46" s="3941">
        <f>'Monthwise sales'!$P95/10^6</f>
        <v>234.58796100000001</v>
      </c>
      <c r="N46" s="3940">
        <f t="shared" si="22"/>
        <v>5908</v>
      </c>
      <c r="O46" s="3939">
        <f t="shared" si="23"/>
        <v>234.58796100000001</v>
      </c>
      <c r="P46" s="3939"/>
      <c r="Q46" s="3589">
        <f>$U$29</f>
        <v>0</v>
      </c>
      <c r="T46" s="4800"/>
      <c r="U46" s="4800"/>
    </row>
    <row r="47" spans="1:21">
      <c r="A47" s="3588">
        <f>A46+1</f>
        <v>6</v>
      </c>
      <c r="B47" s="3936" t="s">
        <v>1993</v>
      </c>
      <c r="H47" s="3942" t="s">
        <v>28</v>
      </c>
      <c r="I47" s="3938">
        <v>2649</v>
      </c>
      <c r="J47" s="3939">
        <f>'F1'!E21</f>
        <v>470.69874399999998</v>
      </c>
      <c r="K47" s="3940">
        <f t="shared" si="24"/>
        <v>2649</v>
      </c>
      <c r="L47" s="3939">
        <f t="shared" si="21"/>
        <v>470.69874399999998</v>
      </c>
      <c r="M47" s="3941">
        <f>'Monthwise sales'!$P96/10^6</f>
        <v>462.90675199999998</v>
      </c>
      <c r="N47" s="3940">
        <f t="shared" si="22"/>
        <v>2649</v>
      </c>
      <c r="O47" s="3939">
        <f t="shared" si="23"/>
        <v>462.90675199999998</v>
      </c>
      <c r="P47" s="3939"/>
      <c r="Q47" s="3589">
        <f>$U$29</f>
        <v>0</v>
      </c>
      <c r="T47" s="4800"/>
      <c r="U47" s="4800"/>
    </row>
    <row r="48" spans="1:21">
      <c r="A48" s="5426">
        <f>A47+1</f>
        <v>7</v>
      </c>
      <c r="B48" s="3964" t="s">
        <v>3022</v>
      </c>
      <c r="C48" s="3954"/>
      <c r="D48" s="3954"/>
      <c r="E48" s="3954"/>
      <c r="F48" s="3954"/>
      <c r="G48" s="3954"/>
      <c r="H48" s="3968" t="s">
        <v>25</v>
      </c>
      <c r="I48" s="4927">
        <v>6005</v>
      </c>
      <c r="J48" s="3967">
        <f>'F1'!E22</f>
        <v>21.275452000000001</v>
      </c>
      <c r="K48" s="3966">
        <f t="shared" si="24"/>
        <v>6005</v>
      </c>
      <c r="L48" s="3967">
        <f t="shared" si="21"/>
        <v>21.275452000000001</v>
      </c>
      <c r="M48" s="4928">
        <f>'Monthwise sales'!$P97/10^6</f>
        <v>20.789632000000001</v>
      </c>
      <c r="N48" s="3966">
        <f t="shared" ref="N48:N54" si="25">K48*(1+$Q48)</f>
        <v>6005</v>
      </c>
      <c r="O48" s="3967">
        <f t="shared" si="23"/>
        <v>20.789632000000001</v>
      </c>
      <c r="P48" s="3967"/>
      <c r="Q48" s="4929">
        <f>$U$11</f>
        <v>0</v>
      </c>
      <c r="R48" s="3954"/>
      <c r="S48" s="3954"/>
      <c r="T48" s="4930"/>
      <c r="U48" s="4800"/>
    </row>
    <row r="49" spans="1:21">
      <c r="A49" s="5426"/>
      <c r="B49" s="3964"/>
      <c r="C49" s="3954"/>
      <c r="D49" s="3954"/>
      <c r="E49" s="3954"/>
      <c r="F49" s="3954"/>
      <c r="G49" s="3954"/>
      <c r="H49" s="3968" t="s">
        <v>26</v>
      </c>
      <c r="I49" s="4927">
        <v>2072</v>
      </c>
      <c r="J49" s="3967">
        <f>'F1'!E23</f>
        <v>23.912690000000001</v>
      </c>
      <c r="K49" s="3966">
        <f t="shared" si="24"/>
        <v>2072</v>
      </c>
      <c r="L49" s="3967">
        <f t="shared" si="21"/>
        <v>23.912690000000001</v>
      </c>
      <c r="M49" s="4928">
        <f>'Monthwise sales'!$P98/10^6</f>
        <v>22.826587</v>
      </c>
      <c r="N49" s="3966">
        <f t="shared" si="25"/>
        <v>2072</v>
      </c>
      <c r="O49" s="3967">
        <f t="shared" si="23"/>
        <v>22.826587</v>
      </c>
      <c r="P49" s="3967"/>
      <c r="Q49" s="4929">
        <f>$U$11</f>
        <v>0</v>
      </c>
      <c r="R49" s="3954"/>
      <c r="S49" s="3954"/>
      <c r="T49" s="4930"/>
      <c r="U49" s="4800"/>
    </row>
    <row r="50" spans="1:21">
      <c r="A50" s="3588">
        <f>A48+1</f>
        <v>8</v>
      </c>
      <c r="B50" s="3936" t="s">
        <v>1995</v>
      </c>
      <c r="H50" s="3942" t="s">
        <v>28</v>
      </c>
      <c r="I50" s="3938">
        <v>1153</v>
      </c>
      <c r="J50" s="3939">
        <f>'F1'!E25</f>
        <v>51.947009000000001</v>
      </c>
      <c r="K50" s="3940">
        <f t="shared" si="24"/>
        <v>1153</v>
      </c>
      <c r="L50" s="3939">
        <f t="shared" si="21"/>
        <v>51.947009000000001</v>
      </c>
      <c r="M50" s="3941">
        <f>'Monthwise sales'!$P99/10^6</f>
        <v>52.106870999999998</v>
      </c>
      <c r="N50" s="3940">
        <f t="shared" si="25"/>
        <v>1153</v>
      </c>
      <c r="O50" s="3939">
        <f t="shared" si="23"/>
        <v>52.106870999999998</v>
      </c>
      <c r="P50" s="3939"/>
      <c r="Q50" s="3589">
        <f>$U$12</f>
        <v>0</v>
      </c>
      <c r="T50" s="3319"/>
      <c r="U50" s="4800"/>
    </row>
    <row r="51" spans="1:21">
      <c r="A51" s="3588">
        <f>A50+1</f>
        <v>9</v>
      </c>
      <c r="B51" s="3936" t="s">
        <v>1996</v>
      </c>
      <c r="H51" s="3942" t="s">
        <v>28</v>
      </c>
      <c r="I51" s="3938">
        <v>120</v>
      </c>
      <c r="J51" s="3939">
        <f>'F1'!E26</f>
        <v>48.009042999999998</v>
      </c>
      <c r="K51" s="3940">
        <f t="shared" si="24"/>
        <v>120</v>
      </c>
      <c r="L51" s="3939">
        <f t="shared" si="21"/>
        <v>48.009042999999998</v>
      </c>
      <c r="M51" s="3941">
        <f>'Monthwise sales'!$P100/10^6</f>
        <v>47.695689000000002</v>
      </c>
      <c r="N51" s="3940">
        <f t="shared" si="25"/>
        <v>120</v>
      </c>
      <c r="O51" s="3939">
        <f t="shared" si="23"/>
        <v>47.695689000000002</v>
      </c>
      <c r="P51" s="3939"/>
      <c r="Q51" s="3589">
        <f>$U$13</f>
        <v>0</v>
      </c>
      <c r="T51" s="3319"/>
      <c r="U51" s="4800"/>
    </row>
    <row r="52" spans="1:21">
      <c r="A52" s="3588">
        <f t="shared" ref="A52:A58" si="26">A51+1</f>
        <v>10</v>
      </c>
      <c r="B52" s="3936" t="s">
        <v>3023</v>
      </c>
      <c r="H52" s="3942" t="s">
        <v>28</v>
      </c>
      <c r="I52" s="3938">
        <v>917</v>
      </c>
      <c r="J52" s="3939">
        <f>'F1'!E27</f>
        <v>1.8087610000000001</v>
      </c>
      <c r="K52" s="3940">
        <f t="shared" si="24"/>
        <v>917</v>
      </c>
      <c r="L52" s="3939">
        <f t="shared" si="21"/>
        <v>1.8087610000000001</v>
      </c>
      <c r="M52" s="3941">
        <f>'Monthwise sales'!$P101/10^6</f>
        <v>1.600147</v>
      </c>
      <c r="N52" s="3940">
        <f t="shared" si="25"/>
        <v>917</v>
      </c>
      <c r="O52" s="3939">
        <f t="shared" si="23"/>
        <v>1.600147</v>
      </c>
      <c r="P52" s="3939"/>
      <c r="Q52" s="3589">
        <f>$U$14</f>
        <v>0</v>
      </c>
      <c r="T52" s="3319"/>
      <c r="U52" s="4800"/>
    </row>
    <row r="53" spans="1:21">
      <c r="A53" s="3588">
        <f t="shared" si="26"/>
        <v>11</v>
      </c>
      <c r="B53" s="4235" t="s">
        <v>3024</v>
      </c>
      <c r="H53" s="3942" t="s">
        <v>28</v>
      </c>
      <c r="I53" s="3938">
        <v>728</v>
      </c>
      <c r="J53" s="3939">
        <f>'F1'!E28</f>
        <v>30.99461659</v>
      </c>
      <c r="K53" s="3940">
        <f t="shared" si="24"/>
        <v>728.70058129700408</v>
      </c>
      <c r="L53" s="3939">
        <f t="shared" si="21"/>
        <v>31.024443854685121</v>
      </c>
      <c r="M53" s="3941">
        <f>'Monthwise sales'!$P102/10^6</f>
        <v>29.985994780000002</v>
      </c>
      <c r="N53" s="3940">
        <f t="shared" si="25"/>
        <v>729.40183678927428</v>
      </c>
      <c r="O53" s="3939">
        <f t="shared" si="23"/>
        <v>30.01485141065238</v>
      </c>
      <c r="P53" s="3939"/>
      <c r="Q53" s="3589">
        <f>$U$15</f>
        <v>9.6233694643421686E-4</v>
      </c>
      <c r="T53" s="3319"/>
      <c r="U53" s="4800"/>
    </row>
    <row r="54" spans="1:21">
      <c r="A54" s="3588">
        <f t="shared" si="26"/>
        <v>12</v>
      </c>
      <c r="B54" s="3936" t="s">
        <v>1999</v>
      </c>
      <c r="H54" s="3942" t="s">
        <v>28</v>
      </c>
      <c r="I54" s="3938">
        <v>3</v>
      </c>
      <c r="J54" s="3939">
        <f>'F1'!E29</f>
        <v>4.0585500000000003</v>
      </c>
      <c r="K54" s="3940">
        <f t="shared" si="24"/>
        <v>3</v>
      </c>
      <c r="L54" s="3939">
        <f t="shared" si="21"/>
        <v>4.0585500000000003</v>
      </c>
      <c r="M54" s="3941">
        <f>'Monthwise sales'!$P103/10^6</f>
        <v>2.269056</v>
      </c>
      <c r="N54" s="3940">
        <f t="shared" si="25"/>
        <v>3</v>
      </c>
      <c r="O54" s="3939">
        <f t="shared" si="23"/>
        <v>2.269056</v>
      </c>
      <c r="P54" s="3939"/>
      <c r="Q54" s="3589">
        <f>U32</f>
        <v>0</v>
      </c>
      <c r="T54" s="3319"/>
      <c r="U54" s="4800"/>
    </row>
    <row r="55" spans="1:21">
      <c r="A55" s="3588">
        <f t="shared" si="26"/>
        <v>13</v>
      </c>
      <c r="B55" s="3936" t="s">
        <v>2000</v>
      </c>
      <c r="H55" s="3942" t="s">
        <v>28</v>
      </c>
      <c r="I55" s="3938">
        <v>1652</v>
      </c>
      <c r="J55" s="3939">
        <f>'F1'!E30</f>
        <v>36.974119000000002</v>
      </c>
      <c r="K55" s="3940">
        <f t="shared" si="24"/>
        <v>1652</v>
      </c>
      <c r="L55" s="3939">
        <f t="shared" si="21"/>
        <v>36.974119000000002</v>
      </c>
      <c r="M55" s="3941">
        <f>'Monthwise sales'!$P104/10^6</f>
        <v>36.367319000000002</v>
      </c>
      <c r="N55" s="3940">
        <f>K55*(1+$Q55)</f>
        <v>1652</v>
      </c>
      <c r="O55" s="3939">
        <f t="shared" si="23"/>
        <v>36.367319000000002</v>
      </c>
      <c r="P55" s="3939"/>
      <c r="Q55" s="3589">
        <f>U32</f>
        <v>0</v>
      </c>
      <c r="T55" s="3319"/>
      <c r="U55" s="4800"/>
    </row>
    <row r="56" spans="1:21">
      <c r="A56" s="3588">
        <f t="shared" si="26"/>
        <v>14</v>
      </c>
      <c r="B56" s="3936" t="s">
        <v>2001</v>
      </c>
      <c r="H56" s="3942" t="s">
        <v>28</v>
      </c>
      <c r="I56" s="3938">
        <v>29</v>
      </c>
      <c r="J56" s="3939">
        <f>'F1'!E31</f>
        <v>1.4139630000000001</v>
      </c>
      <c r="K56" s="3940">
        <f t="shared" si="24"/>
        <v>29</v>
      </c>
      <c r="L56" s="3939">
        <f t="shared" si="21"/>
        <v>1.4139630000000001</v>
      </c>
      <c r="M56" s="3941">
        <f>'Monthwise sales'!$P105/10^6</f>
        <v>1.2000740000000001</v>
      </c>
      <c r="N56" s="3940">
        <f>K56*(1+$Q56)</f>
        <v>29</v>
      </c>
      <c r="O56" s="3939">
        <f t="shared" si="23"/>
        <v>1.2000740000000001</v>
      </c>
      <c r="P56" s="3939"/>
      <c r="Q56" s="3589">
        <f>$U$18</f>
        <v>0</v>
      </c>
      <c r="T56" s="3319"/>
      <c r="U56" s="4800"/>
    </row>
    <row r="57" spans="1:21">
      <c r="A57" s="3588">
        <f t="shared" si="26"/>
        <v>15</v>
      </c>
      <c r="B57" s="3943" t="s">
        <v>3025</v>
      </c>
      <c r="H57" s="3942" t="s">
        <v>28</v>
      </c>
      <c r="I57" s="3938">
        <v>2052</v>
      </c>
      <c r="J57" s="3939">
        <f>'F1'!E32</f>
        <v>11.682083</v>
      </c>
      <c r="K57" s="3940">
        <f t="shared" si="24"/>
        <v>2054.1574243397295</v>
      </c>
      <c r="L57" s="3939">
        <f t="shared" si="21"/>
        <v>11.694365266180771</v>
      </c>
      <c r="M57" s="3941">
        <f>'Monthwise sales'!$P106/10^6</f>
        <v>12.446819</v>
      </c>
      <c r="N57" s="3940">
        <f>K57*(1+$Q57)</f>
        <v>2056.3171169444599</v>
      </c>
      <c r="O57" s="3939">
        <f t="shared" si="23"/>
        <v>12.459905291551076</v>
      </c>
      <c r="P57" s="3939"/>
      <c r="Q57" s="3589">
        <f>U28</f>
        <v>1.0513763838837509E-3</v>
      </c>
      <c r="T57" s="3319"/>
      <c r="U57" s="4800"/>
    </row>
    <row r="58" spans="1:21">
      <c r="A58" s="3588">
        <f t="shared" si="26"/>
        <v>16</v>
      </c>
      <c r="B58" s="3943" t="s">
        <v>3026</v>
      </c>
      <c r="H58" s="3942" t="s">
        <v>28</v>
      </c>
      <c r="I58" s="3938">
        <v>493</v>
      </c>
      <c r="J58" s="3939">
        <f>'F1'!E33</f>
        <v>66.403324999999995</v>
      </c>
      <c r="K58" s="3940">
        <f t="shared" si="24"/>
        <v>493</v>
      </c>
      <c r="L58" s="3939">
        <f t="shared" si="21"/>
        <v>66.403324999999995</v>
      </c>
      <c r="M58" s="3941">
        <f>'Monthwise sales'!$P107/10^6</f>
        <v>73.992159999999998</v>
      </c>
      <c r="N58" s="3940">
        <f>K58*(1+$Q58)</f>
        <v>493</v>
      </c>
      <c r="O58" s="3939">
        <f t="shared" si="23"/>
        <v>73.992159999999998</v>
      </c>
      <c r="P58" s="3939"/>
      <c r="Q58" s="3589">
        <f>$U$29</f>
        <v>0</v>
      </c>
      <c r="T58" s="4800"/>
      <c r="U58" s="4800"/>
    </row>
    <row r="59" spans="1:21">
      <c r="A59" s="3588"/>
      <c r="B59" s="3935" t="s">
        <v>2004</v>
      </c>
      <c r="H59" s="3942"/>
      <c r="I59" s="3944"/>
      <c r="J59" s="3939"/>
      <c r="K59" s="3940"/>
      <c r="L59" s="3939"/>
      <c r="M59" s="3941"/>
      <c r="N59" s="3940"/>
      <c r="O59" s="3939"/>
      <c r="P59" s="3939"/>
      <c r="Q59" s="3586"/>
      <c r="T59" s="4800"/>
      <c r="U59" s="4800"/>
    </row>
    <row r="60" spans="1:21">
      <c r="A60" s="3588">
        <f>A58+1</f>
        <v>17</v>
      </c>
      <c r="B60" s="3936" t="s">
        <v>3027</v>
      </c>
      <c r="H60" s="3942" t="s">
        <v>28</v>
      </c>
      <c r="I60" s="3940">
        <v>41</v>
      </c>
      <c r="J60" s="3939">
        <f>'F1'!E35</f>
        <v>178.774663</v>
      </c>
      <c r="K60" s="3940">
        <f t="shared" si="24"/>
        <v>42.519317348678207</v>
      </c>
      <c r="L60" s="3939">
        <f>J60*(1+$Q60)</f>
        <v>185.39943</v>
      </c>
      <c r="M60" s="3941">
        <f>'Monthwise sales'!$P109/10^6</f>
        <v>185.39943</v>
      </c>
      <c r="N60" s="3940">
        <f>K60*(1+$Q60)</f>
        <v>44.094935312136769</v>
      </c>
      <c r="O60" s="3939">
        <f>M60*(1+$Q60)</f>
        <v>192.26968781546464</v>
      </c>
      <c r="P60" s="3939"/>
      <c r="Q60" s="3589">
        <f>$U$21</f>
        <v>3.7056520699468409E-2</v>
      </c>
      <c r="T60" s="4800"/>
      <c r="U60" s="4800"/>
    </row>
    <row r="61" spans="1:21">
      <c r="A61" s="3588">
        <f>A60+1</f>
        <v>18</v>
      </c>
      <c r="B61" s="3936" t="s">
        <v>3028</v>
      </c>
      <c r="H61" s="3942" t="s">
        <v>28</v>
      </c>
      <c r="I61" s="3940">
        <v>103</v>
      </c>
      <c r="J61" s="3939">
        <f>'F1'!E36</f>
        <v>350.52331299999997</v>
      </c>
      <c r="K61" s="3940">
        <f t="shared" si="24"/>
        <v>105.55470147087884</v>
      </c>
      <c r="L61" s="3939">
        <f>J61*(1+$Q61)</f>
        <v>359.2173171096934</v>
      </c>
      <c r="M61" s="3941">
        <f>'Monthwise sales'!$P110/10^6</f>
        <v>358.00879500000002</v>
      </c>
      <c r="N61" s="3940">
        <f>K61*(1+$Q61)</f>
        <v>108.17276701559564</v>
      </c>
      <c r="O61" s="3939">
        <f>M61*(1+$Q61)</f>
        <v>366.88846097256368</v>
      </c>
      <c r="P61" s="3939"/>
      <c r="Q61" s="3589">
        <f>$U$30</f>
        <v>2.4802926901736244E-2</v>
      </c>
      <c r="T61" s="4800"/>
      <c r="U61" s="4800"/>
    </row>
    <row r="62" spans="1:21">
      <c r="A62" s="3588">
        <f>A61+1</f>
        <v>19</v>
      </c>
      <c r="B62" s="3936" t="s">
        <v>43</v>
      </c>
      <c r="H62" s="3942" t="s">
        <v>28</v>
      </c>
      <c r="I62" s="3940">
        <v>13</v>
      </c>
      <c r="J62" s="3939">
        <f>'F1'!E37</f>
        <v>32.819763999999999</v>
      </c>
      <c r="K62" s="3940">
        <f t="shared" si="24"/>
        <v>13.191782533759952</v>
      </c>
      <c r="L62" s="3939">
        <f>J62*(1+$Q62)</f>
        <v>33.303937653640276</v>
      </c>
      <c r="M62" s="3941">
        <f>'Monthwise sales'!$P111/10^6</f>
        <v>33.186438000000003</v>
      </c>
      <c r="N62" s="3940">
        <f>K62*(1+$Q62)</f>
        <v>13.386394339847239</v>
      </c>
      <c r="O62" s="3939">
        <f>M62*(1+$Q62)</f>
        <v>33.676021012777504</v>
      </c>
      <c r="P62" s="3939"/>
      <c r="Q62" s="3589">
        <f>$U$23</f>
        <v>1.4752502596919292E-2</v>
      </c>
      <c r="T62" s="3319"/>
      <c r="U62" s="4800"/>
    </row>
    <row r="63" spans="1:21">
      <c r="A63" s="3588">
        <f>A62+1</f>
        <v>20</v>
      </c>
      <c r="B63" s="3936" t="s">
        <v>44</v>
      </c>
      <c r="H63" s="3942" t="s">
        <v>28</v>
      </c>
      <c r="I63" s="3940">
        <v>6</v>
      </c>
      <c r="J63" s="3939">
        <f>'F1'!E38</f>
        <v>7.8381749999999997</v>
      </c>
      <c r="K63" s="3940">
        <f t="shared" si="24"/>
        <v>6</v>
      </c>
      <c r="L63" s="3939">
        <f>J63*(1+$Q63)</f>
        <v>7.8381749999999997</v>
      </c>
      <c r="M63" s="3941">
        <f>'Monthwise sales'!$P112/10^6</f>
        <v>11.373238000000001</v>
      </c>
      <c r="N63" s="3940">
        <f>K63*(1+$Q63)</f>
        <v>6</v>
      </c>
      <c r="O63" s="3939">
        <f>M63*(1+$Q63)</f>
        <v>11.373238000000001</v>
      </c>
      <c r="P63" s="3939"/>
      <c r="Q63" s="3589">
        <f>$U$24</f>
        <v>0</v>
      </c>
      <c r="T63" s="3319"/>
      <c r="U63" s="4800"/>
    </row>
    <row r="64" spans="1:21">
      <c r="A64" s="3588">
        <f>A63+1</f>
        <v>21</v>
      </c>
      <c r="B64" s="3936" t="s">
        <v>45</v>
      </c>
      <c r="H64" s="3942" t="s">
        <v>28</v>
      </c>
      <c r="I64" s="3940">
        <v>16</v>
      </c>
      <c r="J64" s="3939">
        <f>'F1'!E39</f>
        <v>82.152868999999995</v>
      </c>
      <c r="K64" s="3940">
        <f t="shared" si="24"/>
        <v>16.39684683042778</v>
      </c>
      <c r="L64" s="3939">
        <f>J64*(1+$Q64)</f>
        <v>84.190500604574908</v>
      </c>
      <c r="M64" s="3941">
        <f>'Monthwise sales'!$P113/10^6</f>
        <v>98.320226000000005</v>
      </c>
      <c r="N64" s="3940">
        <f>K64*(1+$Q64)</f>
        <v>16.803536623781845</v>
      </c>
      <c r="O64" s="3939">
        <f>M64*(1+$Q64)</f>
        <v>100.75885537844019</v>
      </c>
      <c r="P64" s="3939"/>
      <c r="Q64" s="3589">
        <f>$U$30</f>
        <v>2.4802926901736244E-2</v>
      </c>
      <c r="T64" s="3319"/>
      <c r="U64" s="4800"/>
    </row>
    <row r="65" spans="1:24">
      <c r="A65" s="3588">
        <f>A64+1</f>
        <v>22</v>
      </c>
      <c r="B65" s="3945" t="s">
        <v>3029</v>
      </c>
      <c r="H65" s="3946"/>
      <c r="I65" s="3947">
        <f>SUM(I39:I58,I60:I64)</f>
        <v>1020353</v>
      </c>
      <c r="J65" s="3948">
        <f t="shared" ref="J65" si="27">SUM(J39:J58,J60:J64)</f>
        <v>4351.5211695899989</v>
      </c>
      <c r="K65" s="3947">
        <f>SUM(K39:K58,K60:K64)</f>
        <v>1036713.5550141128</v>
      </c>
      <c r="L65" s="3948">
        <f>SUM(L39:L58,L60:L64)</f>
        <v>4409.4127772742686</v>
      </c>
      <c r="M65" s="3948">
        <f>SUM(M39:M58,M60:M64)</f>
        <v>4418.8313277799989</v>
      </c>
      <c r="N65" s="3947">
        <f>SUM(N39:N58,N60:N64)</f>
        <v>1053424.4072895027</v>
      </c>
      <c r="O65" s="3948">
        <f>SUM(O39:O58,O60:O64)</f>
        <v>4478.6543562891029</v>
      </c>
      <c r="P65" s="3948"/>
      <c r="Q65" s="3586"/>
    </row>
    <row r="66" spans="1:24">
      <c r="O66" s="4897">
        <f>(O65/M65)-1</f>
        <v>1.3538201409275974E-2</v>
      </c>
    </row>
    <row r="68" spans="1:24">
      <c r="A68" s="3949" t="s">
        <v>3068</v>
      </c>
      <c r="C68" s="3949"/>
      <c r="D68" s="3949"/>
      <c r="E68" s="3949"/>
      <c r="F68" s="3949"/>
      <c r="G68" s="3949"/>
      <c r="H68" s="3949"/>
      <c r="I68" s="3949"/>
      <c r="N68" s="3949" t="s">
        <v>83</v>
      </c>
    </row>
    <row r="69" spans="1:24">
      <c r="Q69" s="247" t="s">
        <v>3069</v>
      </c>
      <c r="R69" s="3950">
        <v>0.35</v>
      </c>
    </row>
    <row r="70" spans="1:24">
      <c r="A70" s="5425" t="s">
        <v>84</v>
      </c>
      <c r="B70" s="5425" t="s">
        <v>1938</v>
      </c>
      <c r="H70" s="5425" t="s">
        <v>2</v>
      </c>
      <c r="I70" s="5427" t="s">
        <v>1845</v>
      </c>
      <c r="J70" s="5428"/>
      <c r="K70" s="5427" t="s">
        <v>2442</v>
      </c>
      <c r="L70" s="5428"/>
      <c r="M70" s="5427" t="s">
        <v>2443</v>
      </c>
      <c r="N70" s="5428"/>
      <c r="Q70" s="5430" t="s">
        <v>81</v>
      </c>
      <c r="R70" s="5425" t="s">
        <v>1845</v>
      </c>
      <c r="S70" s="5425"/>
      <c r="T70" s="5425" t="s">
        <v>2442</v>
      </c>
      <c r="U70" s="5425"/>
      <c r="V70" s="5425" t="s">
        <v>2443</v>
      </c>
      <c r="W70" s="5425"/>
    </row>
    <row r="71" spans="1:24" ht="28.5">
      <c r="A71" s="5425"/>
      <c r="B71" s="5425"/>
      <c r="H71" s="5425"/>
      <c r="I71" s="3867" t="s">
        <v>3067</v>
      </c>
      <c r="J71" s="3867" t="s">
        <v>1929</v>
      </c>
      <c r="K71" s="3867" t="s">
        <v>3067</v>
      </c>
      <c r="L71" s="3867" t="s">
        <v>1929</v>
      </c>
      <c r="M71" s="3867" t="s">
        <v>3067</v>
      </c>
      <c r="N71" s="3867" t="s">
        <v>1929</v>
      </c>
      <c r="Q71" s="5430"/>
      <c r="R71" s="3857" t="s">
        <v>755</v>
      </c>
      <c r="S71" s="3857" t="s">
        <v>96</v>
      </c>
      <c r="T71" s="3857" t="s">
        <v>755</v>
      </c>
      <c r="U71" s="3857" t="s">
        <v>3070</v>
      </c>
      <c r="V71" s="3857" t="s">
        <v>755</v>
      </c>
      <c r="W71" s="3857" t="s">
        <v>3070</v>
      </c>
      <c r="X71" s="4946" t="s">
        <v>3070</v>
      </c>
    </row>
    <row r="72" spans="1:24">
      <c r="A72" s="3588">
        <v>1</v>
      </c>
      <c r="B72" s="3935" t="s">
        <v>1989</v>
      </c>
      <c r="H72" s="3935"/>
      <c r="I72" s="1271"/>
      <c r="J72" s="1271"/>
      <c r="K72" s="3925"/>
      <c r="L72" s="3925"/>
      <c r="M72" s="3925"/>
      <c r="N72" s="3586"/>
      <c r="Q72" s="2" t="s">
        <v>3071</v>
      </c>
      <c r="R72" s="3586"/>
      <c r="S72" s="3586"/>
      <c r="T72" s="3586"/>
      <c r="U72" s="3586"/>
      <c r="V72" s="3586"/>
      <c r="W72" s="3586"/>
      <c r="X72" s="3586"/>
    </row>
    <row r="73" spans="1:24">
      <c r="A73" s="3588">
        <f>A72+1</f>
        <v>2</v>
      </c>
      <c r="B73" s="3936" t="s">
        <v>14</v>
      </c>
      <c r="H73" s="3937" t="s">
        <v>15</v>
      </c>
      <c r="I73" s="3940"/>
      <c r="J73" s="3939"/>
      <c r="K73" s="3940"/>
      <c r="L73" s="3939">
        <f t="shared" ref="L73:L85" si="28">(L39/L$65)*L$99</f>
        <v>0</v>
      </c>
      <c r="M73" s="3940"/>
      <c r="N73" s="3939">
        <f>(O39/O$65)*N$99</f>
        <v>1.2514732839629288E-3</v>
      </c>
      <c r="Q73" s="3586" t="s">
        <v>3072</v>
      </c>
      <c r="R73" s="3586">
        <v>15</v>
      </c>
      <c r="S73" s="912">
        <f>S79*1000/($R$69*8760)</f>
        <v>7.8277886497064575E-2</v>
      </c>
      <c r="T73" s="3586">
        <v>25</v>
      </c>
      <c r="U73" s="3586">
        <v>7.5</v>
      </c>
      <c r="V73" s="3586">
        <v>35</v>
      </c>
      <c r="W73" s="3586">
        <v>12.5</v>
      </c>
      <c r="X73" s="3586">
        <f>U73</f>
        <v>7.5</v>
      </c>
    </row>
    <row r="74" spans="1:24">
      <c r="A74" s="5426">
        <f>A73+1</f>
        <v>3</v>
      </c>
      <c r="B74" s="3936" t="s">
        <v>3018</v>
      </c>
      <c r="H74" s="3942" t="s">
        <v>17</v>
      </c>
      <c r="I74" s="3951"/>
      <c r="J74" s="3939"/>
      <c r="K74" s="3951"/>
      <c r="L74" s="3939">
        <f t="shared" si="28"/>
        <v>0</v>
      </c>
      <c r="M74" s="3951"/>
      <c r="N74" s="3939">
        <f t="shared" ref="N74:N98" si="29">(O40/O$65)*N$99</f>
        <v>18.539379088859878</v>
      </c>
      <c r="Q74" s="1" t="s">
        <v>3073</v>
      </c>
      <c r="R74" s="3586">
        <v>5</v>
      </c>
      <c r="S74" s="912">
        <f t="shared" ref="S74:S75" si="30">S80*1000/($R$69*8760)</f>
        <v>0.14024787997390736</v>
      </c>
      <c r="T74" s="3586">
        <v>15</v>
      </c>
      <c r="U74" s="3586">
        <v>0</v>
      </c>
      <c r="V74" s="3586">
        <v>25</v>
      </c>
      <c r="W74" s="3586">
        <v>0</v>
      </c>
      <c r="X74" s="3586">
        <f t="shared" ref="X74:X75" si="31">U74</f>
        <v>0</v>
      </c>
    </row>
    <row r="75" spans="1:24">
      <c r="A75" s="5426"/>
      <c r="B75" s="3936"/>
      <c r="H75" s="3942" t="s">
        <v>18</v>
      </c>
      <c r="I75" s="3951"/>
      <c r="J75" s="3939"/>
      <c r="K75" s="3951"/>
      <c r="L75" s="3939">
        <f t="shared" si="28"/>
        <v>0</v>
      </c>
      <c r="M75" s="3951"/>
      <c r="N75" s="3939">
        <f t="shared" si="29"/>
        <v>15.992078410544741</v>
      </c>
      <c r="Q75" s="1" t="s">
        <v>3074</v>
      </c>
      <c r="R75" s="3586">
        <v>60</v>
      </c>
      <c r="S75" s="912">
        <f t="shared" si="30"/>
        <v>14.220482713633398</v>
      </c>
      <c r="T75" s="3586">
        <v>100</v>
      </c>
      <c r="U75" s="3586">
        <v>30</v>
      </c>
      <c r="V75" s="3586">
        <v>150</v>
      </c>
      <c r="W75" s="3586">
        <v>50</v>
      </c>
      <c r="X75" s="3586">
        <f t="shared" si="31"/>
        <v>30</v>
      </c>
    </row>
    <row r="76" spans="1:24">
      <c r="A76" s="5426"/>
      <c r="B76" s="3936"/>
      <c r="H76" s="3942" t="s">
        <v>19</v>
      </c>
      <c r="I76" s="3951"/>
      <c r="J76" s="3939"/>
      <c r="K76" s="3951"/>
      <c r="L76" s="3939">
        <f t="shared" si="28"/>
        <v>0</v>
      </c>
      <c r="M76" s="3951"/>
      <c r="N76" s="3939">
        <f t="shared" si="29"/>
        <v>4.892525346174553</v>
      </c>
      <c r="Q76" s="2" t="s">
        <v>47</v>
      </c>
      <c r="R76" s="2">
        <f>SUM(R73:R75)</f>
        <v>80</v>
      </c>
      <c r="S76" s="1264">
        <f t="shared" ref="S76:V76" si="32">SUM(S73:S75)</f>
        <v>14.43900848010437</v>
      </c>
      <c r="T76" s="2">
        <f t="shared" si="32"/>
        <v>140</v>
      </c>
      <c r="U76" s="2">
        <f>SUM(U73:U75)</f>
        <v>37.5</v>
      </c>
      <c r="V76" s="2">
        <f t="shared" si="32"/>
        <v>210</v>
      </c>
      <c r="W76" s="2">
        <f>SUM(W73:W75)</f>
        <v>62.5</v>
      </c>
      <c r="X76" s="2">
        <f>SUM(X73:X75)</f>
        <v>37.5</v>
      </c>
    </row>
    <row r="77" spans="1:24">
      <c r="A77" s="5426"/>
      <c r="B77" s="3936"/>
      <c r="H77" s="3942" t="s">
        <v>20</v>
      </c>
      <c r="I77" s="3951"/>
      <c r="J77" s="3939"/>
      <c r="K77" s="3951"/>
      <c r="L77" s="3939">
        <f t="shared" si="28"/>
        <v>0</v>
      </c>
      <c r="M77" s="3951"/>
      <c r="N77" s="3939">
        <f t="shared" si="29"/>
        <v>9.0104548082790217</v>
      </c>
      <c r="Q77" s="3586"/>
      <c r="R77" s="3586"/>
      <c r="S77" s="3586"/>
      <c r="T77" s="3586"/>
      <c r="U77" s="3586"/>
      <c r="V77" s="3586"/>
      <c r="W77" s="3586"/>
      <c r="X77" s="3586"/>
    </row>
    <row r="78" spans="1:24">
      <c r="A78" s="5426">
        <f>A74+1</f>
        <v>4</v>
      </c>
      <c r="B78" s="3936" t="s">
        <v>1991</v>
      </c>
      <c r="H78" s="3942" t="s">
        <v>25</v>
      </c>
      <c r="I78" s="3951"/>
      <c r="J78" s="3939"/>
      <c r="K78" s="3951"/>
      <c r="L78" s="3939">
        <f t="shared" si="28"/>
        <v>0</v>
      </c>
      <c r="M78" s="3951"/>
      <c r="N78" s="3939">
        <f t="shared" si="29"/>
        <v>13.947593960199963</v>
      </c>
      <c r="Q78" s="2" t="s">
        <v>3075</v>
      </c>
      <c r="R78" s="3586"/>
      <c r="S78" s="3586"/>
      <c r="T78" s="3586"/>
      <c r="U78" s="3586"/>
      <c r="V78" s="3586"/>
      <c r="W78" s="3586"/>
      <c r="X78" s="3586"/>
    </row>
    <row r="79" spans="1:24">
      <c r="A79" s="5426"/>
      <c r="B79" s="3936"/>
      <c r="H79" s="3942" t="s">
        <v>26</v>
      </c>
      <c r="I79" s="3951"/>
      <c r="J79" s="3939"/>
      <c r="K79" s="3951"/>
      <c r="L79" s="3939">
        <f t="shared" si="28"/>
        <v>0</v>
      </c>
      <c r="M79" s="3951"/>
      <c r="N79" s="3939">
        <f t="shared" si="29"/>
        <v>8.8525788499963358</v>
      </c>
      <c r="Q79" s="3586" t="s">
        <v>3072</v>
      </c>
      <c r="R79" s="3586">
        <f>R73*$R$69*8760/1000</f>
        <v>45.99</v>
      </c>
      <c r="S79" s="3586">
        <v>0.24</v>
      </c>
      <c r="T79" s="3586">
        <f>T73*$R$69*8760/1000</f>
        <v>76.650000000000006</v>
      </c>
      <c r="U79" s="4236">
        <f>U73*$R$69*8760/1000</f>
        <v>22.995000000000001</v>
      </c>
      <c r="V79" s="3586">
        <f t="shared" ref="V79" si="33">V73*$R$69*8760/1000</f>
        <v>107.31</v>
      </c>
      <c r="W79" s="4238">
        <f t="shared" ref="W79:X81" si="34">W73*$R$69*8760/1000</f>
        <v>38.325000000000003</v>
      </c>
      <c r="X79" s="4238">
        <f t="shared" si="34"/>
        <v>22.995000000000001</v>
      </c>
    </row>
    <row r="80" spans="1:24">
      <c r="A80" s="3588">
        <f>A78+1</f>
        <v>5</v>
      </c>
      <c r="B80" s="3936" t="s">
        <v>1992</v>
      </c>
      <c r="H80" s="3942" t="s">
        <v>28</v>
      </c>
      <c r="I80" s="3940"/>
      <c r="J80" s="3939"/>
      <c r="K80" s="3940"/>
      <c r="L80" s="3939">
        <f t="shared" si="28"/>
        <v>0</v>
      </c>
      <c r="M80" s="3940"/>
      <c r="N80" s="3939">
        <f t="shared" si="29"/>
        <v>6.0222889891246485</v>
      </c>
      <c r="Q80" s="1" t="s">
        <v>3073</v>
      </c>
      <c r="R80" s="3586">
        <f t="shared" ref="R80:R81" si="35">R74*$R$69*8760/1000</f>
        <v>15.33</v>
      </c>
      <c r="S80" s="3586">
        <v>0.43</v>
      </c>
      <c r="T80" s="3586">
        <f>T74*$R$69*8760/1000</f>
        <v>45.99</v>
      </c>
      <c r="U80" s="4236">
        <f t="shared" ref="U80:V81" si="36">U74*$R$69*8760/1000</f>
        <v>0</v>
      </c>
      <c r="V80" s="3586">
        <f t="shared" si="36"/>
        <v>76.650000000000006</v>
      </c>
      <c r="W80" s="4238">
        <f t="shared" si="34"/>
        <v>0</v>
      </c>
      <c r="X80" s="4238">
        <f t="shared" si="34"/>
        <v>0</v>
      </c>
    </row>
    <row r="81" spans="1:24">
      <c r="A81" s="3588">
        <f>A80+1</f>
        <v>6</v>
      </c>
      <c r="B81" s="3936" t="s">
        <v>1993</v>
      </c>
      <c r="H81" s="3942" t="s">
        <v>28</v>
      </c>
      <c r="I81" s="3940"/>
      <c r="J81" s="3939"/>
      <c r="K81" s="3940"/>
      <c r="L81" s="3939">
        <f t="shared" si="28"/>
        <v>0</v>
      </c>
      <c r="M81" s="3940"/>
      <c r="N81" s="3939">
        <f t="shared" si="29"/>
        <v>11.883637266283474</v>
      </c>
      <c r="Q81" s="1" t="s">
        <v>3074</v>
      </c>
      <c r="R81" s="3586">
        <f t="shared" si="35"/>
        <v>183.96</v>
      </c>
      <c r="S81" s="3586">
        <v>43.6</v>
      </c>
      <c r="T81" s="3586">
        <f>T75*$R$69*8760/1000</f>
        <v>306.60000000000002</v>
      </c>
      <c r="U81" s="4236">
        <f t="shared" si="36"/>
        <v>91.98</v>
      </c>
      <c r="V81" s="3586">
        <f t="shared" si="36"/>
        <v>459.9</v>
      </c>
      <c r="W81" s="4238">
        <f t="shared" si="34"/>
        <v>153.30000000000001</v>
      </c>
      <c r="X81" s="4238">
        <f t="shared" si="34"/>
        <v>91.98</v>
      </c>
    </row>
    <row r="82" spans="1:24">
      <c r="A82" s="5426">
        <f>A81+1</f>
        <v>7</v>
      </c>
      <c r="B82" s="3936" t="s">
        <v>3022</v>
      </c>
      <c r="H82" s="3942" t="s">
        <v>25</v>
      </c>
      <c r="I82" s="3951"/>
      <c r="J82" s="3939"/>
      <c r="K82" s="3951"/>
      <c r="L82" s="3939">
        <f t="shared" si="28"/>
        <v>0</v>
      </c>
      <c r="M82" s="3951"/>
      <c r="N82" s="3939">
        <f t="shared" si="29"/>
        <v>0.53370672283371534</v>
      </c>
      <c r="Q82" s="2" t="s">
        <v>47</v>
      </c>
      <c r="R82" s="2">
        <f>SUM(R79:R81)</f>
        <v>245.28</v>
      </c>
      <c r="S82" s="2">
        <f t="shared" ref="S82:V82" si="37">SUM(S79:S81)</f>
        <v>44.27</v>
      </c>
      <c r="T82" s="2">
        <f>SUM(T79:T81)</f>
        <v>429.24</v>
      </c>
      <c r="U82" s="4237">
        <f>SUM(U79:U81)</f>
        <v>114.97500000000001</v>
      </c>
      <c r="V82" s="2">
        <f t="shared" si="37"/>
        <v>643.86</v>
      </c>
      <c r="W82" s="4239">
        <f>SUM(W79:W81)</f>
        <v>191.625</v>
      </c>
      <c r="X82" s="4237">
        <f>SUM(X79:X81)</f>
        <v>114.97500000000001</v>
      </c>
    </row>
    <row r="83" spans="1:24">
      <c r="A83" s="5426"/>
      <c r="B83" s="3936"/>
      <c r="H83" s="3942" t="s">
        <v>26</v>
      </c>
      <c r="I83" s="3951"/>
      <c r="J83" s="3939"/>
      <c r="K83" s="3951"/>
      <c r="L83" s="3939">
        <f t="shared" si="28"/>
        <v>0</v>
      </c>
      <c r="M83" s="3951"/>
      <c r="N83" s="3939">
        <f t="shared" si="29"/>
        <v>0.58599897012360258</v>
      </c>
    </row>
    <row r="84" spans="1:24">
      <c r="A84" s="3588">
        <f>A82+1</f>
        <v>8</v>
      </c>
      <c r="B84" s="3936" t="s">
        <v>1995</v>
      </c>
      <c r="H84" s="3942" t="s">
        <v>28</v>
      </c>
      <c r="I84" s="3940"/>
      <c r="J84" s="3939"/>
      <c r="K84" s="3952"/>
      <c r="L84" s="3939">
        <f t="shared" si="28"/>
        <v>0</v>
      </c>
      <c r="M84" s="3940"/>
      <c r="N84" s="3939">
        <f t="shared" si="29"/>
        <v>1.3376757875526206</v>
      </c>
      <c r="U84" s="3587">
        <f>[85]F18!S37</f>
        <v>4391.2974512871297</v>
      </c>
      <c r="V84" s="3587">
        <v>4398.2533399286403</v>
      </c>
      <c r="W84" s="3587">
        <f>V84-U84</f>
        <v>6.9558886415106826</v>
      </c>
    </row>
    <row r="85" spans="1:24">
      <c r="A85" s="3588">
        <f>A84+1</f>
        <v>9</v>
      </c>
      <c r="B85" s="3936" t="s">
        <v>1996</v>
      </c>
      <c r="H85" s="3942" t="s">
        <v>28</v>
      </c>
      <c r="I85" s="3940"/>
      <c r="J85" s="3939"/>
      <c r="K85" s="3952"/>
      <c r="L85" s="3939">
        <f t="shared" si="28"/>
        <v>0</v>
      </c>
      <c r="M85" s="3940"/>
      <c r="N85" s="3939">
        <f t="shared" si="29"/>
        <v>1.2244329225974797</v>
      </c>
      <c r="U85" s="3587">
        <f>[85]F19!S37</f>
        <v>4920.4272985752923</v>
      </c>
      <c r="V85" s="3587">
        <v>4937.7870310483386</v>
      </c>
      <c r="W85" s="3587">
        <f>V85-U85</f>
        <v>17.359732473046279</v>
      </c>
    </row>
    <row r="86" spans="1:24">
      <c r="A86" s="3588">
        <f t="shared" ref="A86:A92" si="38">A85+1</f>
        <v>10</v>
      </c>
      <c r="B86" s="3936" t="s">
        <v>3023</v>
      </c>
      <c r="H86" s="3942" t="s">
        <v>28</v>
      </c>
      <c r="I86" s="3940"/>
      <c r="J86" s="3939"/>
      <c r="K86" s="3952"/>
      <c r="L86" s="3939">
        <f t="shared" ref="L86" si="39">(L52/L$65)*L$99</f>
        <v>0</v>
      </c>
      <c r="M86" s="3940"/>
      <c r="N86" s="3939">
        <f t="shared" si="29"/>
        <v>4.1078611272301557E-2</v>
      </c>
    </row>
    <row r="87" spans="1:24">
      <c r="A87" s="3588">
        <f t="shared" si="38"/>
        <v>11</v>
      </c>
      <c r="B87" s="3936" t="s">
        <v>3024</v>
      </c>
      <c r="H87" s="3942" t="s">
        <v>28</v>
      </c>
      <c r="I87" s="3940"/>
      <c r="J87" s="3939"/>
      <c r="K87" s="3952"/>
      <c r="L87" s="3939">
        <f t="shared" ref="L87:L97" si="40">(L53/L$65)*L$99</f>
        <v>0</v>
      </c>
      <c r="M87" s="3940"/>
      <c r="N87" s="3939">
        <f t="shared" si="29"/>
        <v>0.77053446557977556</v>
      </c>
    </row>
    <row r="88" spans="1:24">
      <c r="A88" s="3588">
        <f t="shared" si="38"/>
        <v>12</v>
      </c>
      <c r="B88" s="3936" t="s">
        <v>1999</v>
      </c>
      <c r="H88" s="3942" t="s">
        <v>28</v>
      </c>
      <c r="I88" s="3940"/>
      <c r="J88" s="3939"/>
      <c r="K88" s="3952"/>
      <c r="L88" s="3939">
        <f t="shared" si="40"/>
        <v>0</v>
      </c>
      <c r="M88" s="3940"/>
      <c r="N88" s="3939">
        <f t="shared" si="29"/>
        <v>5.8250691579638296E-2</v>
      </c>
    </row>
    <row r="89" spans="1:24">
      <c r="A89" s="3588">
        <f t="shared" si="38"/>
        <v>13</v>
      </c>
      <c r="B89" s="3936" t="s">
        <v>2000</v>
      </c>
      <c r="H89" s="3942" t="s">
        <v>28</v>
      </c>
      <c r="I89" s="3940"/>
      <c r="J89" s="3939"/>
      <c r="K89" s="3952"/>
      <c r="L89" s="3939">
        <f t="shared" si="40"/>
        <v>0</v>
      </c>
      <c r="M89" s="3940"/>
      <c r="N89" s="3939">
        <f t="shared" si="29"/>
        <v>0.9336135743883448</v>
      </c>
    </row>
    <row r="90" spans="1:24">
      <c r="A90" s="3588">
        <f t="shared" si="38"/>
        <v>14</v>
      </c>
      <c r="B90" s="3936" t="s">
        <v>2001</v>
      </c>
      <c r="H90" s="3942" t="s">
        <v>28</v>
      </c>
      <c r="I90" s="3940"/>
      <c r="J90" s="3939"/>
      <c r="K90" s="3952"/>
      <c r="L90" s="3939">
        <f t="shared" si="40"/>
        <v>0</v>
      </c>
      <c r="M90" s="3940"/>
      <c r="N90" s="3939">
        <f t="shared" si="29"/>
        <v>3.0808027852438573E-2</v>
      </c>
      <c r="V90"/>
    </row>
    <row r="91" spans="1:24">
      <c r="A91" s="3588">
        <f t="shared" si="38"/>
        <v>15</v>
      </c>
      <c r="B91" s="3943" t="s">
        <v>3025</v>
      </c>
      <c r="H91" s="3942" t="s">
        <v>28</v>
      </c>
      <c r="I91" s="3940"/>
      <c r="J91" s="3939"/>
      <c r="K91" s="3952"/>
      <c r="L91" s="3939">
        <f t="shared" si="40"/>
        <v>0</v>
      </c>
      <c r="M91" s="3940"/>
      <c r="N91" s="3939">
        <f t="shared" si="29"/>
        <v>0.31986786586564853</v>
      </c>
    </row>
    <row r="92" spans="1:24">
      <c r="A92" s="3588">
        <f t="shared" si="38"/>
        <v>16</v>
      </c>
      <c r="B92" s="3943" t="s">
        <v>3026</v>
      </c>
      <c r="H92" s="3942" t="s">
        <v>28</v>
      </c>
      <c r="I92" s="3940"/>
      <c r="J92" s="3939"/>
      <c r="K92" s="3952"/>
      <c r="L92" s="3939">
        <f t="shared" si="40"/>
        <v>0</v>
      </c>
      <c r="M92" s="3940"/>
      <c r="N92" s="3939">
        <f t="shared" si="29"/>
        <v>1.8995099686703409</v>
      </c>
    </row>
    <row r="93" spans="1:24">
      <c r="A93" s="3588"/>
      <c r="B93" s="3935" t="s">
        <v>2004</v>
      </c>
      <c r="H93" s="3942"/>
      <c r="I93" s="3953"/>
      <c r="J93" s="3939"/>
      <c r="K93" s="3952"/>
      <c r="L93" s="3939">
        <f t="shared" si="40"/>
        <v>0</v>
      </c>
      <c r="M93" s="3940"/>
      <c r="N93" s="3939">
        <f t="shared" si="29"/>
        <v>0</v>
      </c>
    </row>
    <row r="94" spans="1:24">
      <c r="A94" s="3588">
        <f>A92+1</f>
        <v>17</v>
      </c>
      <c r="B94" s="3936" t="s">
        <v>3027</v>
      </c>
      <c r="H94" s="3942" t="s">
        <v>28</v>
      </c>
      <c r="I94" s="3940"/>
      <c r="J94" s="3939"/>
      <c r="K94" s="3952"/>
      <c r="L94" s="3939">
        <f t="shared" si="40"/>
        <v>0</v>
      </c>
      <c r="M94" s="3940"/>
      <c r="N94" s="3939">
        <f>(O60/O$65)*N$99</f>
        <v>4.9359038670936153</v>
      </c>
    </row>
    <row r="95" spans="1:24">
      <c r="A95" s="3588">
        <f>A94+1</f>
        <v>18</v>
      </c>
      <c r="B95" s="3936" t="s">
        <v>3028</v>
      </c>
      <c r="H95" s="3942" t="s">
        <v>28</v>
      </c>
      <c r="I95" s="3940"/>
      <c r="J95" s="3939"/>
      <c r="K95" s="3952"/>
      <c r="L95" s="3939">
        <f t="shared" si="40"/>
        <v>0</v>
      </c>
      <c r="M95" s="3940"/>
      <c r="N95" s="3939">
        <f t="shared" si="29"/>
        <v>9.4186774518746859</v>
      </c>
    </row>
    <row r="96" spans="1:24">
      <c r="A96" s="3588">
        <f>A95+1</f>
        <v>19</v>
      </c>
      <c r="B96" s="3936" t="s">
        <v>43</v>
      </c>
      <c r="H96" s="3942" t="s">
        <v>28</v>
      </c>
      <c r="I96" s="3940"/>
      <c r="J96" s="3939"/>
      <c r="K96" s="3952"/>
      <c r="L96" s="3939">
        <f t="shared" si="40"/>
        <v>0</v>
      </c>
      <c r="M96" s="3940"/>
      <c r="N96" s="3939">
        <f t="shared" si="29"/>
        <v>0.86452318217122925</v>
      </c>
    </row>
    <row r="97" spans="1:16">
      <c r="A97" s="3588">
        <f>A96+1</f>
        <v>20</v>
      </c>
      <c r="B97" s="3936" t="s">
        <v>44</v>
      </c>
      <c r="H97" s="3942" t="s">
        <v>28</v>
      </c>
      <c r="I97" s="3940"/>
      <c r="J97" s="3939"/>
      <c r="K97" s="3952"/>
      <c r="L97" s="3939">
        <f t="shared" si="40"/>
        <v>0</v>
      </c>
      <c r="M97" s="3940"/>
      <c r="N97" s="3939">
        <f t="shared" si="29"/>
        <v>0.29197118934033461</v>
      </c>
    </row>
    <row r="98" spans="1:16">
      <c r="A98" s="3588">
        <f>A97+1</f>
        <v>21</v>
      </c>
      <c r="B98" s="3936" t="s">
        <v>45</v>
      </c>
      <c r="H98" s="3942" t="s">
        <v>28</v>
      </c>
      <c r="I98" s="3940"/>
      <c r="J98" s="3939"/>
      <c r="K98" s="3952"/>
      <c r="L98" s="3939">
        <f t="shared" ref="L98" si="41">(L64/L$65)*L$99</f>
        <v>0</v>
      </c>
      <c r="M98" s="3940"/>
      <c r="N98" s="3939">
        <f t="shared" si="29"/>
        <v>2.5866585084576577</v>
      </c>
    </row>
    <row r="99" spans="1:16">
      <c r="A99" s="3588">
        <f>A98+1</f>
        <v>22</v>
      </c>
      <c r="B99" s="3945" t="s">
        <v>3029</v>
      </c>
      <c r="H99" s="3946"/>
      <c r="I99" s="3947">
        <f>SUM(I73:I92,I94:I98)</f>
        <v>0</v>
      </c>
      <c r="J99" s="3947">
        <f t="shared" ref="J99:M99" si="42">SUM(J73:J92,J94:J98)</f>
        <v>0</v>
      </c>
      <c r="K99" s="3947">
        <f t="shared" si="42"/>
        <v>0</v>
      </c>
      <c r="L99" s="3947">
        <f>$U$82*'Monthwise sales'!H147*0</f>
        <v>0</v>
      </c>
      <c r="M99" s="3947">
        <f t="shared" si="42"/>
        <v>0</v>
      </c>
      <c r="N99" s="3947">
        <f>$X$82</f>
        <v>114.97500000000001</v>
      </c>
    </row>
    <row r="101" spans="1:16">
      <c r="A101" s="3954"/>
      <c r="B101" s="3954"/>
      <c r="C101" s="3954"/>
      <c r="D101" s="3954"/>
      <c r="E101" s="3954"/>
      <c r="F101" s="3954"/>
      <c r="G101" s="3954"/>
      <c r="H101" s="3954"/>
      <c r="I101" s="3955"/>
      <c r="J101" s="3955"/>
      <c r="K101" s="3955"/>
      <c r="L101" s="3955"/>
      <c r="M101" s="3955"/>
      <c r="N101" s="3954"/>
      <c r="O101" s="3954"/>
      <c r="P101" s="3954"/>
    </row>
    <row r="102" spans="1:16">
      <c r="A102" s="3956" t="s">
        <v>3076</v>
      </c>
      <c r="B102" s="3956"/>
      <c r="C102" s="3956"/>
      <c r="D102" s="3956"/>
      <c r="E102" s="3956"/>
      <c r="F102" s="3956"/>
      <c r="G102" s="3956"/>
      <c r="H102" s="3954"/>
      <c r="I102" s="3955"/>
      <c r="J102" s="3955"/>
      <c r="K102" s="3955"/>
      <c r="L102" s="3955"/>
      <c r="M102" s="3955"/>
      <c r="N102" s="3957" t="s">
        <v>83</v>
      </c>
      <c r="O102" s="3954"/>
      <c r="P102" s="3954"/>
    </row>
    <row r="103" spans="1:16">
      <c r="A103" s="3954"/>
      <c r="B103" s="3954"/>
      <c r="C103" s="3954"/>
      <c r="D103" s="3954"/>
      <c r="E103" s="3954"/>
      <c r="F103" s="3954"/>
      <c r="G103" s="3954"/>
      <c r="H103" s="3954"/>
      <c r="I103" s="3955"/>
      <c r="J103" s="3955"/>
      <c r="K103" s="3955"/>
      <c r="L103" s="3955"/>
      <c r="M103" s="3955"/>
      <c r="N103" s="3954"/>
      <c r="O103" s="3954"/>
      <c r="P103" s="3954"/>
    </row>
    <row r="104" spans="1:16">
      <c r="A104" s="5424" t="s">
        <v>84</v>
      </c>
      <c r="B104" s="5424" t="s">
        <v>1938</v>
      </c>
      <c r="C104" s="3954"/>
      <c r="D104" s="3954"/>
      <c r="E104" s="3954"/>
      <c r="F104" s="3954"/>
      <c r="G104" s="3954"/>
      <c r="H104" s="5424" t="s">
        <v>2</v>
      </c>
      <c r="I104" s="5421" t="s">
        <v>1845</v>
      </c>
      <c r="J104" s="5422"/>
      <c r="K104" s="5421" t="s">
        <v>2442</v>
      </c>
      <c r="L104" s="5422"/>
      <c r="M104" s="5421" t="s">
        <v>2443</v>
      </c>
      <c r="N104" s="5422"/>
      <c r="O104" s="3954"/>
      <c r="P104" s="3954"/>
    </row>
    <row r="105" spans="1:16">
      <c r="A105" s="5424"/>
      <c r="B105" s="5424"/>
      <c r="C105" s="3954"/>
      <c r="D105" s="3954"/>
      <c r="E105" s="3954"/>
      <c r="F105" s="3954"/>
      <c r="G105" s="3954"/>
      <c r="H105" s="5424"/>
      <c r="I105" s="3958" t="s">
        <v>3067</v>
      </c>
      <c r="J105" s="3958" t="s">
        <v>1929</v>
      </c>
      <c r="K105" s="3958" t="s">
        <v>3067</v>
      </c>
      <c r="L105" s="3958" t="s">
        <v>1929</v>
      </c>
      <c r="M105" s="3958" t="s">
        <v>3067</v>
      </c>
      <c r="N105" s="3958" t="s">
        <v>1929</v>
      </c>
      <c r="O105" s="3954"/>
      <c r="P105" s="3954"/>
    </row>
    <row r="106" spans="1:16">
      <c r="A106" s="3959">
        <v>1</v>
      </c>
      <c r="B106" s="3960" t="s">
        <v>1989</v>
      </c>
      <c r="C106" s="3954"/>
      <c r="D106" s="3954"/>
      <c r="E106" s="3954"/>
      <c r="F106" s="3954"/>
      <c r="G106" s="3954"/>
      <c r="H106" s="3960"/>
      <c r="I106" s="3961"/>
      <c r="J106" s="3961"/>
      <c r="K106" s="3962"/>
      <c r="L106" s="3962"/>
      <c r="M106" s="3962"/>
      <c r="N106" s="3963"/>
      <c r="O106" s="3954"/>
      <c r="P106" s="3954"/>
    </row>
    <row r="107" spans="1:16">
      <c r="A107" s="3959">
        <f>A106+1</f>
        <v>2</v>
      </c>
      <c r="B107" s="3964" t="s">
        <v>14</v>
      </c>
      <c r="C107" s="3954"/>
      <c r="D107" s="3954"/>
      <c r="E107" s="3954"/>
      <c r="F107" s="3954"/>
      <c r="G107" s="3954"/>
      <c r="H107" s="3965" t="s">
        <v>15</v>
      </c>
      <c r="I107" s="3966">
        <f t="shared" ref="I107:K110" si="43">I39+I73</f>
        <v>189</v>
      </c>
      <c r="J107" s="3967">
        <f t="shared" si="43"/>
        <v>7.0471000000000006E-2</v>
      </c>
      <c r="K107" s="3966">
        <f t="shared" si="43"/>
        <v>189</v>
      </c>
      <c r="L107" s="3967">
        <f>M39</f>
        <v>4.8749000000000001E-2</v>
      </c>
      <c r="M107" s="3966">
        <f>N39+M73</f>
        <v>189</v>
      </c>
      <c r="N107" s="3967">
        <f>O39+N73</f>
        <v>5.0000473283962926E-2</v>
      </c>
      <c r="O107" s="4436"/>
      <c r="P107" s="3954"/>
    </row>
    <row r="108" spans="1:16">
      <c r="A108" s="5423">
        <f>A107+1</f>
        <v>3</v>
      </c>
      <c r="B108" s="3964" t="s">
        <v>3018</v>
      </c>
      <c r="C108" s="3954"/>
      <c r="D108" s="3954"/>
      <c r="E108" s="3954"/>
      <c r="F108" s="3954"/>
      <c r="G108" s="3954"/>
      <c r="H108" s="3968" t="s">
        <v>17</v>
      </c>
      <c r="I108" s="3966">
        <f t="shared" si="43"/>
        <v>310874</v>
      </c>
      <c r="J108" s="3967">
        <f t="shared" si="43"/>
        <v>698.57959200000005</v>
      </c>
      <c r="K108" s="3966">
        <f t="shared" si="43"/>
        <v>317636.9500009336</v>
      </c>
      <c r="L108" s="3967">
        <f t="shared" ref="L108:L132" si="44">M40</f>
        <v>706.79374499999994</v>
      </c>
      <c r="M108" s="3966">
        <f t="shared" ref="M108:N123" si="45">N40+M74</f>
        <v>324547.02550195769</v>
      </c>
      <c r="N108" s="3967">
        <f t="shared" si="45"/>
        <v>740.70916312206168</v>
      </c>
      <c r="O108" s="4436"/>
      <c r="P108" s="3954"/>
    </row>
    <row r="109" spans="1:16">
      <c r="A109" s="5423"/>
      <c r="B109" s="3964"/>
      <c r="C109" s="3954"/>
      <c r="D109" s="3954"/>
      <c r="E109" s="3954"/>
      <c r="F109" s="3954"/>
      <c r="G109" s="3954"/>
      <c r="H109" s="3968" t="s">
        <v>18</v>
      </c>
      <c r="I109" s="3966">
        <f t="shared" si="43"/>
        <v>345517</v>
      </c>
      <c r="J109" s="3967">
        <f t="shared" si="43"/>
        <v>588.58436200000006</v>
      </c>
      <c r="K109" s="3966">
        <f t="shared" si="43"/>
        <v>353033.59577665734</v>
      </c>
      <c r="L109" s="3967">
        <f t="shared" si="44"/>
        <v>609.68066599999997</v>
      </c>
      <c r="M109" s="3966">
        <f t="shared" si="45"/>
        <v>360713.71234120545</v>
      </c>
      <c r="N109" s="3967">
        <f t="shared" si="45"/>
        <v>638.93612398134803</v>
      </c>
      <c r="O109" s="4436"/>
      <c r="P109" s="3954"/>
    </row>
    <row r="110" spans="1:16">
      <c r="A110" s="5423"/>
      <c r="B110" s="3964"/>
      <c r="C110" s="3954"/>
      <c r="D110" s="3954"/>
      <c r="E110" s="3954"/>
      <c r="F110" s="3954"/>
      <c r="G110" s="3954"/>
      <c r="H110" s="3968" t="s">
        <v>19</v>
      </c>
      <c r="I110" s="3966">
        <f t="shared" si="43"/>
        <v>52230</v>
      </c>
      <c r="J110" s="3967">
        <f t="shared" si="43"/>
        <v>173.430725</v>
      </c>
      <c r="K110" s="3966">
        <f t="shared" si="43"/>
        <v>53366.244518836444</v>
      </c>
      <c r="L110" s="3967">
        <f t="shared" si="44"/>
        <v>186.52222900000001</v>
      </c>
      <c r="M110" s="3966">
        <f t="shared" si="45"/>
        <v>54527.207620988716</v>
      </c>
      <c r="N110" s="3967">
        <f t="shared" si="45"/>
        <v>195.47247711742492</v>
      </c>
      <c r="O110" s="4436"/>
      <c r="P110" s="3954"/>
    </row>
    <row r="111" spans="1:16">
      <c r="A111" s="5423"/>
      <c r="B111" s="3964"/>
      <c r="C111" s="3954"/>
      <c r="D111" s="3954"/>
      <c r="E111" s="3954"/>
      <c r="F111" s="3954"/>
      <c r="G111" s="3954"/>
      <c r="H111" s="3968" t="s">
        <v>20</v>
      </c>
      <c r="I111" s="3966">
        <f t="shared" ref="I111:K126" si="46">I43+I77</f>
        <v>30666</v>
      </c>
      <c r="J111" s="3967">
        <f>J43+J77</f>
        <v>335.332809</v>
      </c>
      <c r="K111" s="3966">
        <f>K43+K77</f>
        <v>31333.127597446648</v>
      </c>
      <c r="L111" s="3967">
        <f t="shared" si="44"/>
        <v>343.51382899999999</v>
      </c>
      <c r="M111" s="3966">
        <f t="shared" si="45"/>
        <v>32014.768311415664</v>
      </c>
      <c r="N111" s="3967">
        <f t="shared" si="45"/>
        <v>359.99730133356655</v>
      </c>
      <c r="O111" s="4436"/>
      <c r="P111" s="3954"/>
    </row>
    <row r="112" spans="1:16">
      <c r="A112" s="5423">
        <f>A108+1</f>
        <v>4</v>
      </c>
      <c r="B112" s="3964" t="s">
        <v>1991</v>
      </c>
      <c r="C112" s="3954"/>
      <c r="D112" s="3954"/>
      <c r="E112" s="3954"/>
      <c r="F112" s="3954"/>
      <c r="G112" s="3954"/>
      <c r="H112" s="3968" t="s">
        <v>25</v>
      </c>
      <c r="I112" s="3966">
        <f t="shared" si="46"/>
        <v>224447</v>
      </c>
      <c r="J112" s="3967">
        <f t="shared" si="46"/>
        <v>539.93533600000001</v>
      </c>
      <c r="K112" s="3966">
        <f t="shared" ref="K112:K120" si="47">K44+K78</f>
        <v>224682.97827523356</v>
      </c>
      <c r="L112" s="3967">
        <f t="shared" si="44"/>
        <v>542.73403499999995</v>
      </c>
      <c r="M112" s="3966">
        <f>N44+M78</f>
        <v>224919.20465245281</v>
      </c>
      <c r="N112" s="3967">
        <f>O44+N78</f>
        <v>557.25224670732882</v>
      </c>
      <c r="O112" s="4436"/>
      <c r="P112" s="3954"/>
    </row>
    <row r="113" spans="1:16">
      <c r="A113" s="5423"/>
      <c r="B113" s="3964"/>
      <c r="C113" s="3954"/>
      <c r="D113" s="3954"/>
      <c r="E113" s="3954"/>
      <c r="F113" s="3954"/>
      <c r="G113" s="3954"/>
      <c r="H113" s="3968" t="s">
        <v>26</v>
      </c>
      <c r="I113" s="3966">
        <f t="shared" si="46"/>
        <v>32470</v>
      </c>
      <c r="J113" s="3967">
        <f t="shared" si="46"/>
        <v>353.34809999999999</v>
      </c>
      <c r="K113" s="3966">
        <f t="shared" si="47"/>
        <v>32504.138191184706</v>
      </c>
      <c r="L113" s="3967">
        <f t="shared" si="44"/>
        <v>344.47488600000003</v>
      </c>
      <c r="M113" s="3966">
        <f t="shared" si="45"/>
        <v>32538.31227445741</v>
      </c>
      <c r="N113" s="3967">
        <f>O45+N79</f>
        <v>353.68963760997781</v>
      </c>
      <c r="O113" s="4436"/>
      <c r="P113" s="3954"/>
    </row>
    <row r="114" spans="1:16">
      <c r="A114" s="3959">
        <f>A112+1</f>
        <v>5</v>
      </c>
      <c r="B114" s="3964" t="s">
        <v>1992</v>
      </c>
      <c r="C114" s="3954"/>
      <c r="D114" s="3954"/>
      <c r="E114" s="3954"/>
      <c r="F114" s="3954"/>
      <c r="G114" s="3954"/>
      <c r="H114" s="3968" t="s">
        <v>28</v>
      </c>
      <c r="I114" s="3966">
        <f t="shared" si="46"/>
        <v>5908</v>
      </c>
      <c r="J114" s="3967">
        <f t="shared" si="46"/>
        <v>240.95263499999999</v>
      </c>
      <c r="K114" s="3966">
        <f t="shared" si="47"/>
        <v>5908</v>
      </c>
      <c r="L114" s="3967">
        <f t="shared" si="44"/>
        <v>234.58796100000001</v>
      </c>
      <c r="M114" s="3966">
        <f t="shared" si="45"/>
        <v>5908</v>
      </c>
      <c r="N114" s="3967">
        <f t="shared" si="45"/>
        <v>240.61024998912467</v>
      </c>
      <c r="O114" s="4436"/>
      <c r="P114" s="3954"/>
    </row>
    <row r="115" spans="1:16">
      <c r="A115" s="3959">
        <f>A114+1</f>
        <v>6</v>
      </c>
      <c r="B115" s="3964" t="s">
        <v>1993</v>
      </c>
      <c r="C115" s="3954"/>
      <c r="D115" s="3954"/>
      <c r="E115" s="3954"/>
      <c r="F115" s="3954"/>
      <c r="G115" s="3954"/>
      <c r="H115" s="3968" t="s">
        <v>28</v>
      </c>
      <c r="I115" s="3966">
        <f t="shared" si="46"/>
        <v>2649</v>
      </c>
      <c r="J115" s="3967">
        <f t="shared" si="46"/>
        <v>470.69874399999998</v>
      </c>
      <c r="K115" s="3966">
        <f t="shared" si="47"/>
        <v>2649</v>
      </c>
      <c r="L115" s="3967">
        <f t="shared" si="44"/>
        <v>462.90675199999998</v>
      </c>
      <c r="M115" s="3966">
        <f t="shared" si="45"/>
        <v>2649</v>
      </c>
      <c r="N115" s="3967">
        <f t="shared" si="45"/>
        <v>474.79038926628346</v>
      </c>
      <c r="O115" s="4436"/>
      <c r="P115" s="3954"/>
    </row>
    <row r="116" spans="1:16">
      <c r="A116" s="5423">
        <f>A115+1</f>
        <v>7</v>
      </c>
      <c r="B116" s="3964" t="s">
        <v>3022</v>
      </c>
      <c r="C116" s="3954"/>
      <c r="D116" s="3954"/>
      <c r="E116" s="3954"/>
      <c r="F116" s="3954"/>
      <c r="G116" s="3954"/>
      <c r="H116" s="3968" t="s">
        <v>25</v>
      </c>
      <c r="I116" s="3966">
        <f t="shared" si="46"/>
        <v>6005</v>
      </c>
      <c r="J116" s="3967">
        <f t="shared" si="46"/>
        <v>21.275452000000001</v>
      </c>
      <c r="K116" s="3966">
        <f t="shared" si="47"/>
        <v>6005</v>
      </c>
      <c r="L116" s="3967">
        <f t="shared" si="44"/>
        <v>20.789632000000001</v>
      </c>
      <c r="M116" s="3966">
        <f t="shared" si="45"/>
        <v>6005</v>
      </c>
      <c r="N116" s="3967">
        <f t="shared" si="45"/>
        <v>21.323338722833718</v>
      </c>
      <c r="O116" s="4436"/>
      <c r="P116" s="3954"/>
    </row>
    <row r="117" spans="1:16">
      <c r="A117" s="5423"/>
      <c r="B117" s="3964"/>
      <c r="C117" s="3954"/>
      <c r="D117" s="3954"/>
      <c r="E117" s="3954"/>
      <c r="F117" s="3954"/>
      <c r="G117" s="3954"/>
      <c r="H117" s="3968" t="s">
        <v>26</v>
      </c>
      <c r="I117" s="3966">
        <f t="shared" si="46"/>
        <v>2072</v>
      </c>
      <c r="J117" s="3967">
        <f t="shared" si="46"/>
        <v>23.912690000000001</v>
      </c>
      <c r="K117" s="3966">
        <f t="shared" si="47"/>
        <v>2072</v>
      </c>
      <c r="L117" s="3967">
        <f t="shared" si="44"/>
        <v>22.826587</v>
      </c>
      <c r="M117" s="3966">
        <f t="shared" si="45"/>
        <v>2072</v>
      </c>
      <c r="N117" s="3967">
        <f t="shared" si="45"/>
        <v>23.412585970123601</v>
      </c>
      <c r="O117" s="4436"/>
      <c r="P117" s="3954"/>
    </row>
    <row r="118" spans="1:16">
      <c r="A118" s="3959">
        <f>A116+1</f>
        <v>8</v>
      </c>
      <c r="B118" s="3964" t="s">
        <v>1995</v>
      </c>
      <c r="C118" s="3954"/>
      <c r="D118" s="3954"/>
      <c r="E118" s="3954"/>
      <c r="F118" s="3954"/>
      <c r="G118" s="3954"/>
      <c r="H118" s="3968" t="s">
        <v>28</v>
      </c>
      <c r="I118" s="3966">
        <f t="shared" si="46"/>
        <v>1153</v>
      </c>
      <c r="J118" s="3967">
        <f t="shared" si="46"/>
        <v>51.947009000000001</v>
      </c>
      <c r="K118" s="3966">
        <f t="shared" si="47"/>
        <v>1153</v>
      </c>
      <c r="L118" s="3967">
        <f t="shared" si="44"/>
        <v>52.106870999999998</v>
      </c>
      <c r="M118" s="3966">
        <f t="shared" si="45"/>
        <v>1153</v>
      </c>
      <c r="N118" s="3967">
        <f t="shared" si="45"/>
        <v>53.444546787552618</v>
      </c>
      <c r="O118" s="4436"/>
      <c r="P118" s="3954"/>
    </row>
    <row r="119" spans="1:16">
      <c r="A119" s="3959">
        <f>A118+1</f>
        <v>9</v>
      </c>
      <c r="B119" s="3964" t="s">
        <v>1996</v>
      </c>
      <c r="C119" s="3954"/>
      <c r="D119" s="3954"/>
      <c r="E119" s="3954"/>
      <c r="F119" s="3954"/>
      <c r="G119" s="3954"/>
      <c r="H119" s="3968" t="s">
        <v>28</v>
      </c>
      <c r="I119" s="3966">
        <f t="shared" si="46"/>
        <v>120</v>
      </c>
      <c r="J119" s="3967">
        <f t="shared" si="46"/>
        <v>48.009042999999998</v>
      </c>
      <c r="K119" s="3966">
        <f t="shared" si="47"/>
        <v>120</v>
      </c>
      <c r="L119" s="3967">
        <f t="shared" si="44"/>
        <v>47.695689000000002</v>
      </c>
      <c r="M119" s="3966">
        <f t="shared" si="45"/>
        <v>120</v>
      </c>
      <c r="N119" s="3967">
        <f t="shared" si="45"/>
        <v>48.920121922597481</v>
      </c>
      <c r="O119" s="4436"/>
      <c r="P119" s="3954"/>
    </row>
    <row r="120" spans="1:16">
      <c r="A120" s="3959">
        <f t="shared" ref="A120:A126" si="48">A119+1</f>
        <v>10</v>
      </c>
      <c r="B120" s="3964" t="s">
        <v>3023</v>
      </c>
      <c r="C120" s="3954"/>
      <c r="D120" s="3954"/>
      <c r="E120" s="3954"/>
      <c r="F120" s="3954"/>
      <c r="G120" s="3954"/>
      <c r="H120" s="3968" t="s">
        <v>28</v>
      </c>
      <c r="I120" s="3966">
        <f t="shared" si="46"/>
        <v>917</v>
      </c>
      <c r="J120" s="3967">
        <f t="shared" si="46"/>
        <v>1.8087610000000001</v>
      </c>
      <c r="K120" s="3966">
        <f t="shared" si="47"/>
        <v>917</v>
      </c>
      <c r="L120" s="3967">
        <f t="shared" si="44"/>
        <v>1.600147</v>
      </c>
      <c r="M120" s="3966">
        <f t="shared" si="45"/>
        <v>917</v>
      </c>
      <c r="N120" s="3967">
        <f t="shared" si="45"/>
        <v>1.6412256112723016</v>
      </c>
      <c r="O120" s="4436"/>
      <c r="P120" s="3954"/>
    </row>
    <row r="121" spans="1:16">
      <c r="A121" s="3959">
        <f t="shared" si="48"/>
        <v>11</v>
      </c>
      <c r="B121" s="3964" t="s">
        <v>3024</v>
      </c>
      <c r="C121" s="3954"/>
      <c r="D121" s="3954"/>
      <c r="E121" s="3954"/>
      <c r="F121" s="3954"/>
      <c r="G121" s="3954"/>
      <c r="H121" s="3968" t="s">
        <v>28</v>
      </c>
      <c r="I121" s="3966">
        <f t="shared" si="46"/>
        <v>728</v>
      </c>
      <c r="J121" s="3967">
        <f t="shared" si="46"/>
        <v>30.99461659</v>
      </c>
      <c r="K121" s="3966">
        <f t="shared" si="46"/>
        <v>728.70058129700408</v>
      </c>
      <c r="L121" s="3967">
        <f t="shared" si="44"/>
        <v>29.985994780000002</v>
      </c>
      <c r="M121" s="3966">
        <f t="shared" si="45"/>
        <v>729.40183678927428</v>
      </c>
      <c r="N121" s="3967">
        <f t="shared" si="45"/>
        <v>30.785385876232155</v>
      </c>
      <c r="O121" s="4436"/>
      <c r="P121" s="3954"/>
    </row>
    <row r="122" spans="1:16">
      <c r="A122" s="3959">
        <f t="shared" si="48"/>
        <v>12</v>
      </c>
      <c r="B122" s="3964" t="s">
        <v>1999</v>
      </c>
      <c r="C122" s="3954"/>
      <c r="D122" s="3954"/>
      <c r="E122" s="3954"/>
      <c r="F122" s="3954"/>
      <c r="G122" s="3954"/>
      <c r="H122" s="3968" t="s">
        <v>28</v>
      </c>
      <c r="I122" s="3966">
        <f t="shared" si="46"/>
        <v>3</v>
      </c>
      <c r="J122" s="3967">
        <f t="shared" si="46"/>
        <v>4.0585500000000003</v>
      </c>
      <c r="K122" s="3966">
        <f t="shared" si="46"/>
        <v>3</v>
      </c>
      <c r="L122" s="3967">
        <f t="shared" si="44"/>
        <v>2.269056</v>
      </c>
      <c r="M122" s="3966">
        <f t="shared" si="45"/>
        <v>3</v>
      </c>
      <c r="N122" s="3967">
        <f t="shared" si="45"/>
        <v>2.3273066915796381</v>
      </c>
      <c r="O122" s="4436"/>
      <c r="P122" s="3954"/>
    </row>
    <row r="123" spans="1:16">
      <c r="A123" s="3959">
        <f t="shared" si="48"/>
        <v>13</v>
      </c>
      <c r="B123" s="3964" t="s">
        <v>2000</v>
      </c>
      <c r="C123" s="3954"/>
      <c r="D123" s="3954"/>
      <c r="E123" s="3954"/>
      <c r="F123" s="3954"/>
      <c r="G123" s="3954"/>
      <c r="H123" s="3968" t="s">
        <v>28</v>
      </c>
      <c r="I123" s="3966">
        <f t="shared" si="46"/>
        <v>1652</v>
      </c>
      <c r="J123" s="3967">
        <f t="shared" si="46"/>
        <v>36.974119000000002</v>
      </c>
      <c r="K123" s="3966">
        <f t="shared" si="46"/>
        <v>1652</v>
      </c>
      <c r="L123" s="3967">
        <f t="shared" si="44"/>
        <v>36.367319000000002</v>
      </c>
      <c r="M123" s="3966">
        <f t="shared" si="45"/>
        <v>1652</v>
      </c>
      <c r="N123" s="3967">
        <f t="shared" si="45"/>
        <v>37.300932574388348</v>
      </c>
      <c r="O123" s="4436"/>
      <c r="P123" s="3954"/>
    </row>
    <row r="124" spans="1:16">
      <c r="A124" s="3959">
        <f t="shared" si="48"/>
        <v>14</v>
      </c>
      <c r="B124" s="3964" t="s">
        <v>2001</v>
      </c>
      <c r="C124" s="3954"/>
      <c r="D124" s="3954"/>
      <c r="E124" s="3954"/>
      <c r="F124" s="3954"/>
      <c r="G124" s="3954"/>
      <c r="H124" s="3968" t="s">
        <v>28</v>
      </c>
      <c r="I124" s="3966">
        <f t="shared" si="46"/>
        <v>29</v>
      </c>
      <c r="J124" s="3967">
        <f t="shared" si="46"/>
        <v>1.4139630000000001</v>
      </c>
      <c r="K124" s="3966">
        <f t="shared" si="46"/>
        <v>29</v>
      </c>
      <c r="L124" s="3967">
        <f t="shared" si="44"/>
        <v>1.2000740000000001</v>
      </c>
      <c r="M124" s="3966">
        <f t="shared" ref="M124:N132" si="49">N56+M90</f>
        <v>29</v>
      </c>
      <c r="N124" s="3967">
        <f t="shared" si="49"/>
        <v>1.2308820278524386</v>
      </c>
      <c r="O124" s="4436"/>
      <c r="P124" s="3954"/>
    </row>
    <row r="125" spans="1:16">
      <c r="A125" s="3959">
        <f t="shared" si="48"/>
        <v>15</v>
      </c>
      <c r="B125" s="3969" t="s">
        <v>3025</v>
      </c>
      <c r="C125" s="3954"/>
      <c r="D125" s="3954"/>
      <c r="E125" s="3954"/>
      <c r="F125" s="3954"/>
      <c r="G125" s="3954"/>
      <c r="H125" s="3968" t="s">
        <v>28</v>
      </c>
      <c r="I125" s="3966">
        <f t="shared" si="46"/>
        <v>2052</v>
      </c>
      <c r="J125" s="3967">
        <f t="shared" si="46"/>
        <v>11.682083</v>
      </c>
      <c r="K125" s="3966">
        <f t="shared" si="46"/>
        <v>2054.1574243397295</v>
      </c>
      <c r="L125" s="3967">
        <f t="shared" si="44"/>
        <v>12.446819</v>
      </c>
      <c r="M125" s="3966">
        <f t="shared" si="49"/>
        <v>2056.3171169444599</v>
      </c>
      <c r="N125" s="3967">
        <f t="shared" si="49"/>
        <v>12.779773157416724</v>
      </c>
      <c r="O125" s="4436"/>
      <c r="P125" s="3954"/>
    </row>
    <row r="126" spans="1:16">
      <c r="A126" s="3959">
        <f t="shared" si="48"/>
        <v>16</v>
      </c>
      <c r="B126" s="3969" t="s">
        <v>3026</v>
      </c>
      <c r="C126" s="3954"/>
      <c r="D126" s="3954"/>
      <c r="E126" s="3954"/>
      <c r="F126" s="3954"/>
      <c r="G126" s="3954"/>
      <c r="H126" s="3968" t="s">
        <v>28</v>
      </c>
      <c r="I126" s="3966">
        <f t="shared" si="46"/>
        <v>493</v>
      </c>
      <c r="J126" s="3967">
        <f t="shared" si="46"/>
        <v>66.403324999999995</v>
      </c>
      <c r="K126" s="3966">
        <f t="shared" si="46"/>
        <v>493</v>
      </c>
      <c r="L126" s="3967">
        <f t="shared" si="44"/>
        <v>73.992159999999998</v>
      </c>
      <c r="M126" s="3966">
        <f t="shared" si="49"/>
        <v>493</v>
      </c>
      <c r="N126" s="3967">
        <f t="shared" si="49"/>
        <v>75.891669968670342</v>
      </c>
      <c r="O126" s="4436"/>
      <c r="P126" s="3954"/>
    </row>
    <row r="127" spans="1:16">
      <c r="A127" s="3959"/>
      <c r="B127" s="3960" t="s">
        <v>2004</v>
      </c>
      <c r="C127" s="3954"/>
      <c r="D127" s="3954"/>
      <c r="E127" s="3954"/>
      <c r="F127" s="3954"/>
      <c r="G127" s="3954"/>
      <c r="H127" s="3968"/>
      <c r="I127" s="3966"/>
      <c r="J127" s="3967"/>
      <c r="K127" s="3966"/>
      <c r="L127" s="3967"/>
      <c r="M127" s="3966">
        <f t="shared" si="49"/>
        <v>0</v>
      </c>
      <c r="N127" s="3967">
        <f t="shared" si="49"/>
        <v>0</v>
      </c>
      <c r="O127" s="4436"/>
      <c r="P127" s="3954"/>
    </row>
    <row r="128" spans="1:16">
      <c r="A128" s="3959">
        <f>A126+1</f>
        <v>17</v>
      </c>
      <c r="B128" s="3964" t="s">
        <v>3027</v>
      </c>
      <c r="C128" s="3954"/>
      <c r="D128" s="3954"/>
      <c r="E128" s="3954"/>
      <c r="F128" s="3954"/>
      <c r="G128" s="3954"/>
      <c r="H128" s="3968" t="s">
        <v>28</v>
      </c>
      <c r="I128" s="3966">
        <f t="shared" ref="I128:K132" si="50">I60+I94</f>
        <v>41</v>
      </c>
      <c r="J128" s="3967">
        <f t="shared" si="50"/>
        <v>178.774663</v>
      </c>
      <c r="K128" s="3966">
        <f t="shared" si="50"/>
        <v>42.519317348678207</v>
      </c>
      <c r="L128" s="3967">
        <f t="shared" si="44"/>
        <v>185.39943</v>
      </c>
      <c r="M128" s="3966">
        <f t="shared" si="49"/>
        <v>44.094935312136769</v>
      </c>
      <c r="N128" s="3967">
        <f t="shared" si="49"/>
        <v>197.20559168255826</v>
      </c>
      <c r="O128" s="4436"/>
      <c r="P128" s="3954"/>
    </row>
    <row r="129" spans="1:16">
      <c r="A129" s="3959">
        <f>A128+1</f>
        <v>18</v>
      </c>
      <c r="B129" s="3964" t="s">
        <v>3028</v>
      </c>
      <c r="C129" s="3954"/>
      <c r="D129" s="3954"/>
      <c r="E129" s="3954"/>
      <c r="F129" s="3954"/>
      <c r="G129" s="3954"/>
      <c r="H129" s="3968" t="s">
        <v>28</v>
      </c>
      <c r="I129" s="3966">
        <f t="shared" si="50"/>
        <v>103</v>
      </c>
      <c r="J129" s="3967">
        <f t="shared" si="50"/>
        <v>350.52331299999997</v>
      </c>
      <c r="K129" s="3966">
        <f t="shared" si="50"/>
        <v>105.55470147087884</v>
      </c>
      <c r="L129" s="3967">
        <f t="shared" si="44"/>
        <v>358.00879500000002</v>
      </c>
      <c r="M129" s="3966">
        <f t="shared" si="49"/>
        <v>108.17276701559564</v>
      </c>
      <c r="N129" s="3967">
        <f t="shared" si="49"/>
        <v>376.30713842443834</v>
      </c>
      <c r="O129" s="4436"/>
      <c r="P129" s="3954"/>
    </row>
    <row r="130" spans="1:16">
      <c r="A130" s="3959">
        <f>A129+1</f>
        <v>19</v>
      </c>
      <c r="B130" s="3964" t="s">
        <v>43</v>
      </c>
      <c r="C130" s="3954"/>
      <c r="D130" s="3954"/>
      <c r="E130" s="3954"/>
      <c r="F130" s="3954"/>
      <c r="G130" s="3954"/>
      <c r="H130" s="3968" t="s">
        <v>28</v>
      </c>
      <c r="I130" s="3966">
        <f t="shared" si="50"/>
        <v>13</v>
      </c>
      <c r="J130" s="3967">
        <f t="shared" si="50"/>
        <v>32.819763999999999</v>
      </c>
      <c r="K130" s="3966">
        <f t="shared" si="50"/>
        <v>13.191782533759952</v>
      </c>
      <c r="L130" s="3967">
        <f t="shared" si="44"/>
        <v>33.186438000000003</v>
      </c>
      <c r="M130" s="3966">
        <f t="shared" si="49"/>
        <v>13.386394339847239</v>
      </c>
      <c r="N130" s="3967">
        <f t="shared" si="49"/>
        <v>34.54054419494873</v>
      </c>
      <c r="O130" s="4436"/>
      <c r="P130" s="3954"/>
    </row>
    <row r="131" spans="1:16">
      <c r="A131" s="3959">
        <f>A130+1</f>
        <v>20</v>
      </c>
      <c r="B131" s="3964" t="s">
        <v>44</v>
      </c>
      <c r="C131" s="3954"/>
      <c r="D131" s="3954"/>
      <c r="E131" s="3954"/>
      <c r="F131" s="3954"/>
      <c r="G131" s="3954"/>
      <c r="H131" s="3968" t="s">
        <v>28</v>
      </c>
      <c r="I131" s="3966">
        <f t="shared" si="50"/>
        <v>6</v>
      </c>
      <c r="J131" s="3967">
        <f t="shared" si="50"/>
        <v>7.8381749999999997</v>
      </c>
      <c r="K131" s="3966">
        <f t="shared" si="50"/>
        <v>6</v>
      </c>
      <c r="L131" s="3967">
        <f t="shared" si="44"/>
        <v>11.373238000000001</v>
      </c>
      <c r="M131" s="3966">
        <f t="shared" si="49"/>
        <v>6</v>
      </c>
      <c r="N131" s="3967">
        <f t="shared" si="49"/>
        <v>11.665209189340334</v>
      </c>
      <c r="O131" s="4436"/>
      <c r="P131" s="3954"/>
    </row>
    <row r="132" spans="1:16">
      <c r="A132" s="3959">
        <f>A131+1</f>
        <v>21</v>
      </c>
      <c r="B132" s="3964" t="s">
        <v>45</v>
      </c>
      <c r="C132" s="3954"/>
      <c r="D132" s="3954"/>
      <c r="E132" s="3954"/>
      <c r="F132" s="3954"/>
      <c r="G132" s="3954"/>
      <c r="H132" s="3968" t="s">
        <v>28</v>
      </c>
      <c r="I132" s="3966">
        <f t="shared" si="50"/>
        <v>16</v>
      </c>
      <c r="J132" s="3967">
        <f t="shared" si="50"/>
        <v>82.152868999999995</v>
      </c>
      <c r="K132" s="3966">
        <f t="shared" si="50"/>
        <v>16.39684683042778</v>
      </c>
      <c r="L132" s="3967">
        <f t="shared" si="44"/>
        <v>98.320226000000005</v>
      </c>
      <c r="M132" s="3966">
        <f t="shared" si="49"/>
        <v>16.803536623781845</v>
      </c>
      <c r="N132" s="3967">
        <f t="shared" si="49"/>
        <v>103.34551388689785</v>
      </c>
      <c r="O132" s="4436"/>
      <c r="P132" s="3954"/>
    </row>
    <row r="133" spans="1:16">
      <c r="A133" s="3970">
        <f>A132+1</f>
        <v>22</v>
      </c>
      <c r="B133" s="3971" t="s">
        <v>3029</v>
      </c>
      <c r="C133" s="3972"/>
      <c r="D133" s="3972"/>
      <c r="E133" s="3972"/>
      <c r="F133" s="3972"/>
      <c r="G133" s="3972"/>
      <c r="H133" s="3971"/>
      <c r="I133" s="3973">
        <f t="shared" ref="I133:N133" si="51">SUM(I107:I126,I128:I132)</f>
        <v>1020353</v>
      </c>
      <c r="J133" s="3974">
        <f t="shared" si="51"/>
        <v>4351.5211695899989</v>
      </c>
      <c r="K133" s="3973">
        <f t="shared" si="51"/>
        <v>1036713.5550141128</v>
      </c>
      <c r="L133" s="3974">
        <f>SUM(L107:L126,L128:L132)</f>
        <v>4418.8313277799989</v>
      </c>
      <c r="M133" s="3973">
        <f t="shared" si="51"/>
        <v>1053424.4072895027</v>
      </c>
      <c r="N133" s="3974">
        <f t="shared" si="51"/>
        <v>4593.6293562891024</v>
      </c>
      <c r="O133" s="3954"/>
      <c r="P133" s="3954"/>
    </row>
    <row r="134" spans="1:16">
      <c r="A134" s="3954"/>
      <c r="B134" s="3954"/>
      <c r="C134" s="3954"/>
      <c r="D134" s="3954"/>
      <c r="E134" s="3954"/>
      <c r="F134" s="3954"/>
      <c r="G134" s="3954"/>
      <c r="H134" s="3954"/>
      <c r="I134" s="3955"/>
      <c r="J134" s="3955"/>
      <c r="K134" s="3955"/>
      <c r="L134" s="3955"/>
      <c r="M134" s="3955"/>
      <c r="N134" s="4436"/>
      <c r="O134" s="3954"/>
      <c r="P134" s="3954"/>
    </row>
    <row r="135" spans="1:16">
      <c r="A135" s="3954"/>
      <c r="B135" s="3954"/>
      <c r="C135" s="3954"/>
      <c r="D135" s="3954"/>
      <c r="E135" s="3954"/>
      <c r="F135" s="3954"/>
      <c r="G135" s="3954"/>
      <c r="H135" s="3954"/>
      <c r="I135" s="3955"/>
      <c r="J135" s="3955"/>
      <c r="K135" s="3955"/>
      <c r="L135" s="3955"/>
      <c r="M135" s="3955"/>
      <c r="N135" s="3954"/>
      <c r="O135" s="3954"/>
      <c r="P135" s="3954"/>
    </row>
  </sheetData>
  <mergeCells count="30">
    <mergeCell ref="H36:H37"/>
    <mergeCell ref="I36:J36"/>
    <mergeCell ref="K36:M36"/>
    <mergeCell ref="V70:W70"/>
    <mergeCell ref="A44:A45"/>
    <mergeCell ref="A48:A49"/>
    <mergeCell ref="A70:A71"/>
    <mergeCell ref="B70:B71"/>
    <mergeCell ref="H70:H71"/>
    <mergeCell ref="I70:J70"/>
    <mergeCell ref="K70:L70"/>
    <mergeCell ref="M70:N70"/>
    <mergeCell ref="Q70:Q71"/>
    <mergeCell ref="R70:S70"/>
    <mergeCell ref="T70:U70"/>
    <mergeCell ref="A40:A43"/>
    <mergeCell ref="A36:A37"/>
    <mergeCell ref="B36:B37"/>
    <mergeCell ref="A116:A117"/>
    <mergeCell ref="A74:A77"/>
    <mergeCell ref="A78:A79"/>
    <mergeCell ref="A82:A83"/>
    <mergeCell ref="A104:A105"/>
    <mergeCell ref="I104:J104"/>
    <mergeCell ref="K104:L104"/>
    <mergeCell ref="M104:N104"/>
    <mergeCell ref="A108:A111"/>
    <mergeCell ref="A112:A113"/>
    <mergeCell ref="B104:B105"/>
    <mergeCell ref="H104:H105"/>
  </mergeCells>
  <pageMargins left="0.70866141732283472" right="0.70866141732283472" top="0.74803149606299213" bottom="0.74803149606299213" header="0.31496062992125984" footer="0.31496062992125984"/>
  <pageSetup paperSize="9" scale="21" orientation="portrait" r:id="rId1"/>
  <colBreaks count="1" manualBreakCount="1">
    <brk id="19" max="140" man="1"/>
  </colBreaks>
</worksheet>
</file>

<file path=xl/worksheets/sheet18.xml><?xml version="1.0" encoding="utf-8"?>
<worksheet xmlns="http://schemas.openxmlformats.org/spreadsheetml/2006/main" xmlns:r="http://schemas.openxmlformats.org/officeDocument/2006/relationships">
  <sheetPr codeName="Sheet47">
    <tabColor theme="5" tint="-0.249977111117893"/>
  </sheetPr>
  <dimension ref="B3:S148"/>
  <sheetViews>
    <sheetView showGridLines="0" topLeftCell="A81" zoomScale="60" zoomScaleNormal="60" workbookViewId="0">
      <selection activeCell="D88" sqref="B88:P114"/>
    </sheetView>
  </sheetViews>
  <sheetFormatPr defaultRowHeight="15"/>
  <cols>
    <col min="1" max="1" width="9.140625" style="155"/>
    <col min="2" max="2" width="13.7109375" style="155" customWidth="1"/>
    <col min="3" max="3" width="14.5703125" style="155" customWidth="1"/>
    <col min="4" max="4" width="13.140625" style="155" customWidth="1"/>
    <col min="5" max="5" width="12.140625" style="155" customWidth="1"/>
    <col min="6" max="6" width="13.28515625" style="155" bestFit="1" customWidth="1"/>
    <col min="7" max="7" width="10.7109375" style="155" customWidth="1"/>
    <col min="8" max="8" width="12.140625" style="155" customWidth="1"/>
    <col min="9" max="9" width="12.85546875" style="155" customWidth="1"/>
    <col min="10" max="10" width="17.5703125" style="155" bestFit="1" customWidth="1"/>
    <col min="11" max="11" width="18" style="155" bestFit="1" customWidth="1"/>
    <col min="12" max="13" width="17.5703125" style="155" bestFit="1" customWidth="1"/>
    <col min="14" max="15" width="18" style="155" bestFit="1" customWidth="1"/>
    <col min="16" max="17" width="19.7109375" style="155" bestFit="1" customWidth="1"/>
    <col min="18" max="18" width="13.28515625" style="155" customWidth="1"/>
    <col min="19" max="19" width="9.42578125" style="155" bestFit="1" customWidth="1"/>
    <col min="20" max="16384" width="9.140625" style="155"/>
  </cols>
  <sheetData>
    <row r="3" spans="2:16">
      <c r="B3" s="3456" t="s">
        <v>82</v>
      </c>
      <c r="C3" s="3456"/>
      <c r="M3" s="4072"/>
      <c r="P3" s="3456" t="s">
        <v>3184</v>
      </c>
    </row>
    <row r="5" spans="2:16" ht="15.75">
      <c r="B5" s="4073" t="s">
        <v>1</v>
      </c>
      <c r="C5" s="4074" t="s">
        <v>2</v>
      </c>
      <c r="D5" s="4075" t="s">
        <v>3185</v>
      </c>
      <c r="E5" s="4075" t="s">
        <v>3186</v>
      </c>
      <c r="F5" s="4075" t="s">
        <v>3187</v>
      </c>
      <c r="G5" s="4075" t="s">
        <v>3188</v>
      </c>
      <c r="H5" s="4075" t="s">
        <v>3189</v>
      </c>
      <c r="I5" s="4075" t="s">
        <v>3190</v>
      </c>
      <c r="J5" s="4075" t="s">
        <v>3191</v>
      </c>
      <c r="K5" s="4075" t="s">
        <v>3192</v>
      </c>
      <c r="L5" s="4075" t="s">
        <v>3193</v>
      </c>
      <c r="M5" s="4075" t="s">
        <v>3194</v>
      </c>
      <c r="N5" s="4075" t="s">
        <v>3195</v>
      </c>
      <c r="O5" s="4075" t="s">
        <v>3196</v>
      </c>
      <c r="P5" s="4075" t="s">
        <v>47</v>
      </c>
    </row>
    <row r="6" spans="2:16">
      <c r="B6" s="5432" t="s">
        <v>1989</v>
      </c>
      <c r="C6" s="5432"/>
      <c r="D6" s="5432"/>
      <c r="E6" s="5432"/>
      <c r="F6" s="5432"/>
      <c r="G6" s="5432"/>
      <c r="H6" s="5432"/>
      <c r="I6" s="5432"/>
      <c r="J6" s="5432"/>
      <c r="K6" s="5432"/>
      <c r="L6" s="5432"/>
      <c r="M6" s="5432"/>
      <c r="N6" s="5432"/>
      <c r="O6" s="5432"/>
      <c r="P6" s="5432"/>
    </row>
    <row r="7" spans="2:16">
      <c r="B7" s="1" t="s">
        <v>14</v>
      </c>
      <c r="C7" s="1" t="s">
        <v>15</v>
      </c>
      <c r="D7" s="1">
        <v>36022</v>
      </c>
      <c r="E7" s="1">
        <v>45745</v>
      </c>
      <c r="F7" s="1">
        <v>42017</v>
      </c>
      <c r="G7" s="1">
        <v>49102</v>
      </c>
      <c r="H7" s="1">
        <v>50879</v>
      </c>
      <c r="I7" s="1">
        <v>47620</v>
      </c>
      <c r="J7" s="1">
        <v>55544</v>
      </c>
      <c r="K7" s="1">
        <v>57350</v>
      </c>
      <c r="L7" s="1">
        <v>-12917</v>
      </c>
      <c r="M7" s="1">
        <v>5412</v>
      </c>
      <c r="N7" s="1">
        <v>2476</v>
      </c>
      <c r="O7" s="1">
        <v>6351</v>
      </c>
      <c r="P7" s="1">
        <f>SUM(D7:O7)</f>
        <v>385601</v>
      </c>
    </row>
    <row r="8" spans="2:16">
      <c r="B8" s="1" t="s">
        <v>16</v>
      </c>
      <c r="C8" s="1" t="s">
        <v>17</v>
      </c>
      <c r="D8" s="1">
        <v>56381496</v>
      </c>
      <c r="E8" s="1">
        <v>57810413</v>
      </c>
      <c r="F8" s="1">
        <v>57820183</v>
      </c>
      <c r="G8" s="1">
        <v>58964755</v>
      </c>
      <c r="H8" s="1">
        <v>58842330</v>
      </c>
      <c r="I8" s="1">
        <v>58426187</v>
      </c>
      <c r="J8" s="1">
        <v>58521456</v>
      </c>
      <c r="K8" s="1">
        <v>58785361</v>
      </c>
      <c r="L8" s="1">
        <v>56485974</v>
      </c>
      <c r="M8" s="1">
        <v>54637158</v>
      </c>
      <c r="N8" s="1">
        <v>54653904</v>
      </c>
      <c r="O8" s="1">
        <v>56527683</v>
      </c>
      <c r="P8" s="1">
        <f t="shared" ref="P8:P35" si="0">SUM(D8:O8)</f>
        <v>687856900</v>
      </c>
    </row>
    <row r="9" spans="2:16">
      <c r="B9" s="1"/>
      <c r="C9" s="1" t="s">
        <v>18</v>
      </c>
      <c r="D9" s="1">
        <v>45124345</v>
      </c>
      <c r="E9" s="1">
        <v>54692978</v>
      </c>
      <c r="F9" s="1">
        <v>53168687</v>
      </c>
      <c r="G9" s="1">
        <v>56025688</v>
      </c>
      <c r="H9" s="1">
        <v>53856105</v>
      </c>
      <c r="I9" s="1">
        <v>53137134</v>
      </c>
      <c r="J9" s="1">
        <v>52820764</v>
      </c>
      <c r="K9" s="1">
        <v>56598688</v>
      </c>
      <c r="L9" s="1">
        <v>43571451</v>
      </c>
      <c r="M9" s="1">
        <v>35904583</v>
      </c>
      <c r="N9" s="1">
        <v>37363271</v>
      </c>
      <c r="O9" s="1">
        <v>42050230</v>
      </c>
      <c r="P9" s="1">
        <f t="shared" si="0"/>
        <v>584313924</v>
      </c>
    </row>
    <row r="10" spans="2:16">
      <c r="B10" s="1"/>
      <c r="C10" s="1" t="s">
        <v>19</v>
      </c>
      <c r="D10" s="1">
        <v>13425346</v>
      </c>
      <c r="E10" s="1">
        <v>19453515</v>
      </c>
      <c r="F10" s="1">
        <v>19003277</v>
      </c>
      <c r="G10" s="1">
        <v>19134971</v>
      </c>
      <c r="H10" s="1">
        <v>16464818</v>
      </c>
      <c r="I10" s="1">
        <v>15590584</v>
      </c>
      <c r="J10" s="1">
        <v>15839552</v>
      </c>
      <c r="K10" s="1">
        <v>18478747</v>
      </c>
      <c r="L10" s="1">
        <v>11627239</v>
      </c>
      <c r="M10" s="1">
        <v>9042845</v>
      </c>
      <c r="N10" s="1">
        <v>9427555</v>
      </c>
      <c r="O10" s="1">
        <v>11042432</v>
      </c>
      <c r="P10" s="1">
        <f t="shared" si="0"/>
        <v>178530881</v>
      </c>
    </row>
    <row r="11" spans="2:16">
      <c r="B11" s="1"/>
      <c r="C11" s="1" t="s">
        <v>20</v>
      </c>
      <c r="D11" s="1">
        <v>25563436</v>
      </c>
      <c r="E11" s="1">
        <v>37289078</v>
      </c>
      <c r="F11" s="1">
        <v>34826129</v>
      </c>
      <c r="G11" s="1">
        <v>36886419</v>
      </c>
      <c r="H11" s="1">
        <v>31433346</v>
      </c>
      <c r="I11" s="1">
        <v>30011207</v>
      </c>
      <c r="J11" s="1">
        <v>30252357</v>
      </c>
      <c r="K11" s="1">
        <v>35432124</v>
      </c>
      <c r="L11" s="1">
        <v>24849411</v>
      </c>
      <c r="M11" s="1">
        <v>20877155</v>
      </c>
      <c r="N11" s="1">
        <v>20483155</v>
      </c>
      <c r="O11" s="1">
        <v>21665584</v>
      </c>
      <c r="P11" s="1">
        <f t="shared" si="0"/>
        <v>349569401</v>
      </c>
    </row>
    <row r="12" spans="2:16">
      <c r="B12" s="1" t="s">
        <v>21</v>
      </c>
      <c r="C12" s="1" t="s">
        <v>22</v>
      </c>
      <c r="D12" s="1">
        <v>34046200</v>
      </c>
      <c r="E12" s="1">
        <v>36553864</v>
      </c>
      <c r="F12" s="1">
        <v>25383762</v>
      </c>
      <c r="G12" s="1">
        <v>189116</v>
      </c>
      <c r="H12" s="1">
        <v>-3870</v>
      </c>
      <c r="I12" s="1">
        <v>-34901</v>
      </c>
      <c r="J12" s="1">
        <v>-16549</v>
      </c>
      <c r="K12" s="1">
        <v>-17141</v>
      </c>
      <c r="L12" s="1">
        <v>-10971</v>
      </c>
      <c r="M12" s="1">
        <v>-2152</v>
      </c>
      <c r="N12" s="1">
        <v>-1902</v>
      </c>
      <c r="O12" s="1">
        <v>-1908</v>
      </c>
      <c r="P12" s="1">
        <f t="shared" si="0"/>
        <v>96083548</v>
      </c>
    </row>
    <row r="13" spans="2:16">
      <c r="B13" s="1"/>
      <c r="C13" s="1" t="s">
        <v>19</v>
      </c>
      <c r="D13" s="1">
        <v>9927815</v>
      </c>
      <c r="E13" s="1">
        <v>11776403</v>
      </c>
      <c r="F13" s="1">
        <v>8004534</v>
      </c>
      <c r="G13" s="1">
        <v>50758</v>
      </c>
      <c r="H13" s="1">
        <v>-3717</v>
      </c>
      <c r="I13" s="1">
        <v>-10268</v>
      </c>
      <c r="J13" s="1">
        <v>-5216</v>
      </c>
      <c r="K13" s="1">
        <v>-5376</v>
      </c>
      <c r="L13" s="1">
        <v>-2607</v>
      </c>
      <c r="M13" s="1">
        <v>-713</v>
      </c>
      <c r="N13" s="1">
        <v>-836</v>
      </c>
      <c r="O13" s="1">
        <v>-514</v>
      </c>
      <c r="P13" s="1">
        <f t="shared" si="0"/>
        <v>29730263</v>
      </c>
    </row>
    <row r="14" spans="2:16">
      <c r="B14" s="1"/>
      <c r="C14" s="1" t="s">
        <v>23</v>
      </c>
      <c r="D14" s="1">
        <v>12473692</v>
      </c>
      <c r="E14" s="1">
        <v>15240868</v>
      </c>
      <c r="F14" s="1">
        <v>10391013</v>
      </c>
      <c r="G14" s="1">
        <v>56393</v>
      </c>
      <c r="H14" s="1">
        <v>-4198</v>
      </c>
      <c r="I14" s="1">
        <v>-13181</v>
      </c>
      <c r="J14" s="1">
        <v>-7390</v>
      </c>
      <c r="K14" s="1">
        <v>-5535</v>
      </c>
      <c r="L14" s="1">
        <v>-4985</v>
      </c>
      <c r="M14" s="1">
        <v>-703</v>
      </c>
      <c r="N14" s="1">
        <v>-1413</v>
      </c>
      <c r="O14" s="1">
        <v>-534</v>
      </c>
      <c r="P14" s="1">
        <f t="shared" si="0"/>
        <v>38124027</v>
      </c>
    </row>
    <row r="15" spans="2:16">
      <c r="B15" s="1"/>
      <c r="C15" s="1" t="s">
        <v>24</v>
      </c>
      <c r="D15" s="1">
        <v>17608240</v>
      </c>
      <c r="E15" s="1">
        <v>21828449</v>
      </c>
      <c r="F15" s="1">
        <v>16365492</v>
      </c>
      <c r="G15" s="1">
        <v>189261</v>
      </c>
      <c r="H15" s="1">
        <v>50214</v>
      </c>
      <c r="I15" s="1">
        <v>-32250</v>
      </c>
      <c r="J15" s="1">
        <v>-12984</v>
      </c>
      <c r="K15" s="1">
        <v>-11571</v>
      </c>
      <c r="L15" s="1">
        <v>-12143</v>
      </c>
      <c r="M15" s="1">
        <v>1605</v>
      </c>
      <c r="N15" s="1">
        <v>-6664</v>
      </c>
      <c r="O15" s="1">
        <v>440</v>
      </c>
      <c r="P15" s="1">
        <f t="shared" si="0"/>
        <v>55968089</v>
      </c>
    </row>
    <row r="16" spans="2:16">
      <c r="B16" s="1"/>
      <c r="C16" s="1" t="s">
        <v>25</v>
      </c>
      <c r="D16" s="1">
        <v>0</v>
      </c>
      <c r="E16" s="1">
        <v>0</v>
      </c>
      <c r="F16" s="1">
        <v>13752185</v>
      </c>
      <c r="G16" s="1">
        <v>48734854</v>
      </c>
      <c r="H16" s="1">
        <v>47404817</v>
      </c>
      <c r="I16" s="1">
        <v>46451021</v>
      </c>
      <c r="J16" s="1">
        <v>46361683</v>
      </c>
      <c r="K16" s="1">
        <v>48372515</v>
      </c>
      <c r="L16" s="1">
        <v>42269716</v>
      </c>
      <c r="M16" s="1">
        <v>40818222</v>
      </c>
      <c r="N16" s="1">
        <v>40771662</v>
      </c>
      <c r="O16" s="1">
        <v>42620065</v>
      </c>
      <c r="P16" s="1">
        <f t="shared" si="0"/>
        <v>417556740</v>
      </c>
    </row>
    <row r="17" spans="2:17">
      <c r="B17" s="1"/>
      <c r="C17" s="1" t="s">
        <v>26</v>
      </c>
      <c r="D17" s="1">
        <v>0</v>
      </c>
      <c r="E17" s="1">
        <v>0</v>
      </c>
      <c r="F17" s="1">
        <v>8623054</v>
      </c>
      <c r="G17" s="1">
        <v>37011875</v>
      </c>
      <c r="H17" s="1">
        <v>34038154</v>
      </c>
      <c r="I17" s="1">
        <v>32362435</v>
      </c>
      <c r="J17" s="1">
        <v>32478313</v>
      </c>
      <c r="K17" s="1">
        <v>36365612</v>
      </c>
      <c r="L17" s="1">
        <v>26928882</v>
      </c>
      <c r="M17" s="1">
        <v>25680155</v>
      </c>
      <c r="N17" s="1">
        <v>25615062</v>
      </c>
      <c r="O17" s="1">
        <v>26295389</v>
      </c>
      <c r="P17" s="1">
        <f t="shared" si="0"/>
        <v>285398931</v>
      </c>
    </row>
    <row r="18" spans="2:17">
      <c r="B18" s="1" t="s">
        <v>27</v>
      </c>
      <c r="C18" s="1" t="s">
        <v>28</v>
      </c>
      <c r="D18" s="1">
        <v>21969360</v>
      </c>
      <c r="E18" s="1">
        <v>24063066</v>
      </c>
      <c r="F18" s="1">
        <v>25140904</v>
      </c>
      <c r="G18" s="1">
        <v>25358206</v>
      </c>
      <c r="H18" s="1">
        <v>24578870</v>
      </c>
      <c r="I18" s="1">
        <v>21820229</v>
      </c>
      <c r="J18" s="1">
        <v>20830797</v>
      </c>
      <c r="K18" s="1">
        <v>22682792</v>
      </c>
      <c r="L18" s="1">
        <v>19497014</v>
      </c>
      <c r="M18" s="1">
        <v>19702521</v>
      </c>
      <c r="N18" s="1">
        <v>17897498</v>
      </c>
      <c r="O18" s="1">
        <v>17352232</v>
      </c>
      <c r="P18" s="1">
        <f t="shared" si="0"/>
        <v>260893489</v>
      </c>
    </row>
    <row r="19" spans="2:17">
      <c r="B19" s="1" t="s">
        <v>29</v>
      </c>
      <c r="C19" s="1" t="s">
        <v>28</v>
      </c>
      <c r="D19" s="1">
        <v>45895015</v>
      </c>
      <c r="E19" s="1">
        <v>49262500</v>
      </c>
      <c r="F19" s="1">
        <v>52182247</v>
      </c>
      <c r="G19" s="1">
        <v>50948225</v>
      </c>
      <c r="H19" s="1">
        <v>45321087</v>
      </c>
      <c r="I19" s="1">
        <v>42880984</v>
      </c>
      <c r="J19" s="1">
        <v>40794559</v>
      </c>
      <c r="K19" s="1">
        <v>43951634</v>
      </c>
      <c r="L19" s="1">
        <v>38096630</v>
      </c>
      <c r="M19" s="1">
        <v>37922318</v>
      </c>
      <c r="N19" s="1">
        <v>35174795</v>
      </c>
      <c r="O19" s="1">
        <v>33986129</v>
      </c>
      <c r="P19" s="1">
        <f t="shared" si="0"/>
        <v>516416123</v>
      </c>
    </row>
    <row r="20" spans="2:17">
      <c r="B20" s="1" t="s">
        <v>30</v>
      </c>
      <c r="C20" s="1" t="s">
        <v>22</v>
      </c>
      <c r="D20" s="1">
        <v>1312321</v>
      </c>
      <c r="E20" s="1">
        <v>1348594</v>
      </c>
      <c r="F20" s="1">
        <v>966850</v>
      </c>
      <c r="G20" s="1">
        <v>3294</v>
      </c>
      <c r="H20" s="1">
        <v>355</v>
      </c>
      <c r="I20" s="1">
        <v>-627</v>
      </c>
      <c r="J20" s="1">
        <v>-317</v>
      </c>
      <c r="K20" s="1">
        <v>-347</v>
      </c>
      <c r="L20" s="1">
        <v>-238</v>
      </c>
      <c r="M20" s="1">
        <v>150</v>
      </c>
      <c r="N20" s="1">
        <v>0</v>
      </c>
      <c r="O20" s="1">
        <v>0</v>
      </c>
      <c r="P20" s="1">
        <f t="shared" si="0"/>
        <v>3630035</v>
      </c>
    </row>
    <row r="21" spans="2:17">
      <c r="B21" s="1"/>
      <c r="C21" s="1" t="s">
        <v>19</v>
      </c>
      <c r="D21" s="1">
        <v>561399</v>
      </c>
      <c r="E21" s="1">
        <v>602404</v>
      </c>
      <c r="F21" s="1">
        <v>428551</v>
      </c>
      <c r="G21" s="1">
        <v>1460</v>
      </c>
      <c r="H21" s="1">
        <v>374</v>
      </c>
      <c r="I21" s="1">
        <v>-129</v>
      </c>
      <c r="J21" s="1">
        <v>-199</v>
      </c>
      <c r="K21" s="1">
        <v>-6</v>
      </c>
      <c r="L21" s="1">
        <v>-46</v>
      </c>
      <c r="M21" s="1">
        <v>100</v>
      </c>
      <c r="N21" s="1">
        <v>0</v>
      </c>
      <c r="O21" s="1">
        <v>0</v>
      </c>
      <c r="P21" s="1">
        <f t="shared" si="0"/>
        <v>1593908</v>
      </c>
    </row>
    <row r="22" spans="2:17">
      <c r="B22" s="1"/>
      <c r="C22" s="1" t="s">
        <v>23</v>
      </c>
      <c r="D22" s="1">
        <v>846307</v>
      </c>
      <c r="E22" s="1">
        <v>933936</v>
      </c>
      <c r="F22" s="1">
        <v>656037</v>
      </c>
      <c r="G22" s="1">
        <v>1557</v>
      </c>
      <c r="H22" s="1">
        <v>223</v>
      </c>
      <c r="I22" s="1">
        <v>-53</v>
      </c>
      <c r="J22" s="1">
        <v>-716</v>
      </c>
      <c r="K22" s="1">
        <v>0</v>
      </c>
      <c r="L22" s="1">
        <v>-77</v>
      </c>
      <c r="M22" s="1">
        <v>250</v>
      </c>
      <c r="N22" s="1">
        <v>0</v>
      </c>
      <c r="O22" s="1">
        <v>0</v>
      </c>
      <c r="P22" s="1">
        <f t="shared" si="0"/>
        <v>2437464</v>
      </c>
    </row>
    <row r="23" spans="2:17">
      <c r="B23" s="1"/>
      <c r="C23" s="1" t="s">
        <v>24</v>
      </c>
      <c r="D23" s="1">
        <v>1241671</v>
      </c>
      <c r="E23" s="1">
        <v>1439290</v>
      </c>
      <c r="F23" s="1">
        <v>977876</v>
      </c>
      <c r="G23" s="1">
        <v>561</v>
      </c>
      <c r="H23" s="1">
        <v>4252</v>
      </c>
      <c r="I23" s="1">
        <v>0</v>
      </c>
      <c r="J23" s="1">
        <v>-3805</v>
      </c>
      <c r="K23" s="1">
        <v>0</v>
      </c>
      <c r="L23" s="1">
        <v>-97</v>
      </c>
      <c r="M23" s="1">
        <v>2517</v>
      </c>
      <c r="N23" s="1">
        <v>0</v>
      </c>
      <c r="O23" s="1">
        <v>0</v>
      </c>
      <c r="P23" s="1">
        <f t="shared" si="0"/>
        <v>3662265</v>
      </c>
    </row>
    <row r="24" spans="2:17">
      <c r="B24" s="1"/>
      <c r="C24" s="1" t="s">
        <v>25</v>
      </c>
      <c r="D24" s="1">
        <v>0</v>
      </c>
      <c r="E24" s="1">
        <v>0</v>
      </c>
      <c r="F24" s="1">
        <v>511072</v>
      </c>
      <c r="G24" s="1">
        <v>1944696</v>
      </c>
      <c r="H24" s="1">
        <v>1934307</v>
      </c>
      <c r="I24" s="1">
        <v>1915923</v>
      </c>
      <c r="J24" s="1">
        <v>1914064</v>
      </c>
      <c r="K24" s="1">
        <v>1921914</v>
      </c>
      <c r="L24" s="1">
        <v>1789421</v>
      </c>
      <c r="M24" s="1">
        <v>1748772</v>
      </c>
      <c r="N24" s="1">
        <v>1747270</v>
      </c>
      <c r="O24" s="1">
        <v>1790815</v>
      </c>
      <c r="P24" s="1">
        <f t="shared" si="0"/>
        <v>17218254</v>
      </c>
    </row>
    <row r="25" spans="2:17">
      <c r="B25" s="1"/>
      <c r="C25" s="1" t="s">
        <v>26</v>
      </c>
      <c r="D25" s="1">
        <v>0</v>
      </c>
      <c r="E25" s="1">
        <v>0</v>
      </c>
      <c r="F25" s="1">
        <v>478725</v>
      </c>
      <c r="G25" s="1">
        <v>2243999</v>
      </c>
      <c r="H25" s="1">
        <v>2291356</v>
      </c>
      <c r="I25" s="1">
        <v>2272182</v>
      </c>
      <c r="J25" s="1">
        <v>2330821</v>
      </c>
      <c r="K25" s="1">
        <v>2392549</v>
      </c>
      <c r="L25" s="1">
        <v>1960270</v>
      </c>
      <c r="M25" s="1">
        <v>1870607</v>
      </c>
      <c r="N25" s="1">
        <v>1885408</v>
      </c>
      <c r="O25" s="1">
        <v>1983552</v>
      </c>
      <c r="P25" s="1">
        <f t="shared" si="0"/>
        <v>19709469</v>
      </c>
    </row>
    <row r="26" spans="2:17">
      <c r="B26" s="1" t="s">
        <v>31</v>
      </c>
      <c r="C26" s="1" t="s">
        <v>28</v>
      </c>
      <c r="D26" s="1">
        <v>4512729</v>
      </c>
      <c r="E26" s="1">
        <v>4475061</v>
      </c>
      <c r="F26" s="1">
        <v>4577401</v>
      </c>
      <c r="G26" s="1">
        <v>4916742</v>
      </c>
      <c r="H26" s="1">
        <v>4709403</v>
      </c>
      <c r="I26" s="1">
        <v>4579149</v>
      </c>
      <c r="J26" s="1">
        <v>4360179</v>
      </c>
      <c r="K26" s="1">
        <v>4798708</v>
      </c>
      <c r="L26" s="1">
        <v>4278049</v>
      </c>
      <c r="M26" s="1">
        <v>4544314</v>
      </c>
      <c r="N26" s="1">
        <v>4377775</v>
      </c>
      <c r="O26" s="1">
        <v>4149476</v>
      </c>
      <c r="P26" s="1">
        <f t="shared" si="0"/>
        <v>54278986</v>
      </c>
      <c r="Q26" s="155">
        <f>SUM(D26:I26)</f>
        <v>27770485</v>
      </c>
    </row>
    <row r="27" spans="2:17">
      <c r="B27" s="1" t="s">
        <v>32</v>
      </c>
      <c r="C27" s="1" t="s">
        <v>28</v>
      </c>
      <c r="D27" s="1">
        <v>4120158</v>
      </c>
      <c r="E27" s="1">
        <v>4190857</v>
      </c>
      <c r="F27" s="1">
        <v>4312883</v>
      </c>
      <c r="G27" s="1">
        <v>4179658</v>
      </c>
      <c r="H27" s="1">
        <v>4224548</v>
      </c>
      <c r="I27" s="1">
        <v>4225649</v>
      </c>
      <c r="J27" s="1">
        <v>4121535</v>
      </c>
      <c r="K27" s="1">
        <v>4375436</v>
      </c>
      <c r="L27" s="1">
        <v>3928220</v>
      </c>
      <c r="M27" s="1">
        <v>4125025</v>
      </c>
      <c r="N27" s="1">
        <v>3951494</v>
      </c>
      <c r="O27" s="1">
        <v>3749661</v>
      </c>
      <c r="P27" s="1">
        <f t="shared" si="0"/>
        <v>49505124</v>
      </c>
      <c r="Q27" s="155">
        <f>SUM(D27:I27)</f>
        <v>25253753</v>
      </c>
    </row>
    <row r="28" spans="2:17">
      <c r="B28" s="1" t="s">
        <v>33</v>
      </c>
      <c r="C28" s="1" t="s">
        <v>28</v>
      </c>
      <c r="D28" s="1">
        <v>277722</v>
      </c>
      <c r="E28" s="1">
        <v>349516</v>
      </c>
      <c r="F28" s="1">
        <v>185426</v>
      </c>
      <c r="G28" s="1">
        <v>359982</v>
      </c>
      <c r="H28" s="1">
        <v>247902</v>
      </c>
      <c r="I28" s="1">
        <v>144749</v>
      </c>
      <c r="J28" s="1">
        <v>140235</v>
      </c>
      <c r="K28" s="1">
        <v>181430</v>
      </c>
      <c r="L28" s="1">
        <v>175451</v>
      </c>
      <c r="M28" s="1">
        <v>237709</v>
      </c>
      <c r="N28" s="1">
        <v>182828</v>
      </c>
      <c r="O28" s="1">
        <v>178045</v>
      </c>
      <c r="P28" s="1">
        <f t="shared" si="0"/>
        <v>2660995</v>
      </c>
    </row>
    <row r="29" spans="2:17">
      <c r="B29" s="1" t="s">
        <v>34</v>
      </c>
      <c r="C29" s="1" t="s">
        <v>28</v>
      </c>
      <c r="D29" s="1">
        <v>2287616.35</v>
      </c>
      <c r="E29" s="1">
        <v>2074643.91</v>
      </c>
      <c r="F29" s="1">
        <v>2057099.43</v>
      </c>
      <c r="G29" s="1">
        <v>1903779.57</v>
      </c>
      <c r="H29" s="1">
        <v>1955982.03</v>
      </c>
      <c r="I29" s="1">
        <v>2069850</v>
      </c>
      <c r="J29" s="1">
        <v>2129842.79</v>
      </c>
      <c r="K29" s="1">
        <v>2263135.4</v>
      </c>
      <c r="L29" s="1">
        <v>2310792.0099999998</v>
      </c>
      <c r="M29" s="1">
        <v>2423682.6</v>
      </c>
      <c r="N29" s="1">
        <v>2506914.7999999998</v>
      </c>
      <c r="O29" s="1">
        <v>2178720.92</v>
      </c>
      <c r="P29" s="1">
        <f t="shared" si="0"/>
        <v>26162059.810000002</v>
      </c>
    </row>
    <row r="30" spans="2:17">
      <c r="B30" s="1" t="s">
        <v>35</v>
      </c>
      <c r="C30" s="1" t="s">
        <v>28</v>
      </c>
      <c r="D30" s="1">
        <v>342321</v>
      </c>
      <c r="E30" s="1">
        <v>330318</v>
      </c>
      <c r="F30" s="1">
        <v>324286</v>
      </c>
      <c r="G30" s="1">
        <v>334990</v>
      </c>
      <c r="H30" s="1">
        <v>332245</v>
      </c>
      <c r="I30" s="1">
        <v>324713</v>
      </c>
      <c r="J30" s="1">
        <v>350495</v>
      </c>
      <c r="K30" s="1">
        <v>341799</v>
      </c>
      <c r="L30" s="1">
        <v>319378</v>
      </c>
      <c r="M30" s="1">
        <v>331786</v>
      </c>
      <c r="N30" s="1">
        <v>335946</v>
      </c>
      <c r="O30" s="1">
        <v>335710</v>
      </c>
      <c r="P30" s="1">
        <f t="shared" si="0"/>
        <v>4003987</v>
      </c>
    </row>
    <row r="31" spans="2:17">
      <c r="B31" s="1" t="s">
        <v>36</v>
      </c>
      <c r="C31" s="1" t="s">
        <v>28</v>
      </c>
      <c r="D31" s="1">
        <v>6528</v>
      </c>
      <c r="E31" s="1">
        <v>3616</v>
      </c>
      <c r="F31" s="1">
        <v>591</v>
      </c>
      <c r="G31" s="1">
        <v>8311</v>
      </c>
      <c r="H31" s="1">
        <v>35011</v>
      </c>
      <c r="I31" s="1">
        <v>-9154</v>
      </c>
      <c r="J31" s="1">
        <v>5167</v>
      </c>
      <c r="K31" s="1">
        <v>1028188</v>
      </c>
      <c r="L31" s="1">
        <v>152109</v>
      </c>
      <c r="M31" s="1">
        <v>249017</v>
      </c>
      <c r="N31" s="1">
        <v>40030</v>
      </c>
      <c r="O31" s="1">
        <v>76492</v>
      </c>
      <c r="P31" s="1">
        <f t="shared" si="0"/>
        <v>1595906</v>
      </c>
    </row>
    <row r="32" spans="2:17">
      <c r="B32" s="1" t="s">
        <v>37</v>
      </c>
      <c r="C32" s="1" t="s">
        <v>28</v>
      </c>
      <c r="D32" s="1">
        <v>2813744</v>
      </c>
      <c r="E32" s="1">
        <v>3220913</v>
      </c>
      <c r="F32" s="1">
        <v>2905543</v>
      </c>
      <c r="G32" s="1">
        <v>3103080</v>
      </c>
      <c r="H32" s="1">
        <v>3990562</v>
      </c>
      <c r="I32" s="1">
        <v>2859216</v>
      </c>
      <c r="J32" s="1">
        <v>3055934</v>
      </c>
      <c r="K32" s="1">
        <v>3147769</v>
      </c>
      <c r="L32" s="1">
        <v>3074513</v>
      </c>
      <c r="M32" s="1">
        <v>2681652</v>
      </c>
      <c r="N32" s="1">
        <v>2706086</v>
      </c>
      <c r="O32" s="1">
        <v>3046772</v>
      </c>
      <c r="P32" s="1">
        <f t="shared" si="0"/>
        <v>36605784</v>
      </c>
    </row>
    <row r="33" spans="2:16">
      <c r="B33" s="1" t="s">
        <v>38</v>
      </c>
      <c r="C33" s="1" t="s">
        <v>28</v>
      </c>
      <c r="D33" s="1">
        <v>84527</v>
      </c>
      <c r="E33" s="1">
        <v>100024</v>
      </c>
      <c r="F33" s="1">
        <v>111032</v>
      </c>
      <c r="G33" s="1">
        <v>106340</v>
      </c>
      <c r="H33" s="1">
        <v>112704</v>
      </c>
      <c r="I33" s="1">
        <v>108305</v>
      </c>
      <c r="J33" s="1">
        <v>76247</v>
      </c>
      <c r="K33" s="1">
        <v>128169</v>
      </c>
      <c r="L33" s="1">
        <v>102982</v>
      </c>
      <c r="M33" s="1">
        <v>108591</v>
      </c>
      <c r="N33" s="1">
        <v>108981</v>
      </c>
      <c r="O33" s="1">
        <v>94170</v>
      </c>
      <c r="P33" s="1">
        <f t="shared" si="0"/>
        <v>1242072</v>
      </c>
    </row>
    <row r="34" spans="2:16">
      <c r="B34" s="1" t="s">
        <v>39</v>
      </c>
      <c r="C34" s="1" t="s">
        <v>28</v>
      </c>
      <c r="D34" s="1">
        <v>0</v>
      </c>
      <c r="E34" s="1">
        <v>0</v>
      </c>
      <c r="F34" s="1">
        <v>0</v>
      </c>
      <c r="G34" s="1">
        <v>98462</v>
      </c>
      <c r="H34" s="1">
        <v>1260549</v>
      </c>
      <c r="I34" s="1">
        <v>1459483</v>
      </c>
      <c r="J34" s="1">
        <v>1456806</v>
      </c>
      <c r="K34" s="1">
        <v>1496162</v>
      </c>
      <c r="L34" s="1">
        <v>1259080</v>
      </c>
      <c r="M34" s="1">
        <v>1186518</v>
      </c>
      <c r="N34" s="1">
        <v>1158686</v>
      </c>
      <c r="O34" s="1">
        <v>1265189</v>
      </c>
      <c r="P34" s="1">
        <f t="shared" si="0"/>
        <v>10640935</v>
      </c>
    </row>
    <row r="35" spans="2:16">
      <c r="B35" s="4076" t="s">
        <v>40</v>
      </c>
      <c r="C35" s="4076" t="s">
        <v>28</v>
      </c>
      <c r="D35" s="1">
        <v>0</v>
      </c>
      <c r="E35" s="1">
        <v>0</v>
      </c>
      <c r="F35" s="1">
        <v>0</v>
      </c>
      <c r="G35" s="1">
        <v>8246</v>
      </c>
      <c r="H35" s="1">
        <v>4391810</v>
      </c>
      <c r="I35" s="1">
        <v>4625851</v>
      </c>
      <c r="J35" s="1">
        <v>4555595</v>
      </c>
      <c r="K35" s="1">
        <v>4888756</v>
      </c>
      <c r="L35" s="1">
        <v>4306075</v>
      </c>
      <c r="M35" s="1">
        <v>4441261</v>
      </c>
      <c r="N35" s="1">
        <v>4218819</v>
      </c>
      <c r="O35" s="1">
        <v>4363872</v>
      </c>
      <c r="P35" s="1">
        <f t="shared" si="0"/>
        <v>35800285</v>
      </c>
    </row>
    <row r="36" spans="2:16">
      <c r="B36" s="5432" t="s">
        <v>2004</v>
      </c>
      <c r="C36" s="5432"/>
      <c r="D36" s="5432"/>
      <c r="E36" s="5432"/>
      <c r="F36" s="5432"/>
      <c r="G36" s="5432"/>
      <c r="H36" s="5432"/>
      <c r="I36" s="5432"/>
      <c r="J36" s="5432"/>
      <c r="K36" s="5432"/>
      <c r="L36" s="5432"/>
      <c r="M36" s="5432"/>
      <c r="N36" s="5432"/>
      <c r="O36" s="5432"/>
      <c r="P36" s="1"/>
    </row>
    <row r="37" spans="2:16">
      <c r="B37" s="3877" t="s">
        <v>41</v>
      </c>
      <c r="C37" s="3877" t="s">
        <v>28</v>
      </c>
      <c r="D37" s="1">
        <v>14124668</v>
      </c>
      <c r="E37" s="1">
        <v>13949195</v>
      </c>
      <c r="F37" s="1">
        <v>14762558</v>
      </c>
      <c r="G37" s="1">
        <v>14746599</v>
      </c>
      <c r="H37" s="1">
        <v>15860574</v>
      </c>
      <c r="I37" s="1">
        <v>15025907</v>
      </c>
      <c r="J37" s="1">
        <v>14932420</v>
      </c>
      <c r="K37" s="1">
        <v>14514774</v>
      </c>
      <c r="L37" s="1">
        <v>12964543</v>
      </c>
      <c r="M37" s="1">
        <v>13297391</v>
      </c>
      <c r="N37" s="1">
        <v>13097139</v>
      </c>
      <c r="O37" s="1">
        <v>12119613</v>
      </c>
      <c r="P37" s="2074">
        <f>SUM(D37:O37)</f>
        <v>169395381</v>
      </c>
    </row>
    <row r="38" spans="2:16">
      <c r="B38" s="1" t="s">
        <v>42</v>
      </c>
      <c r="C38" s="1" t="s">
        <v>28</v>
      </c>
      <c r="D38" s="1">
        <v>32631164</v>
      </c>
      <c r="E38" s="1">
        <v>35739528</v>
      </c>
      <c r="F38" s="1">
        <v>37705055</v>
      </c>
      <c r="G38" s="1">
        <v>36954558</v>
      </c>
      <c r="H38" s="1">
        <v>32757904</v>
      </c>
      <c r="I38" s="1">
        <v>31557741</v>
      </c>
      <c r="J38" s="1">
        <v>30062129</v>
      </c>
      <c r="K38" s="1">
        <v>32254763</v>
      </c>
      <c r="L38" s="1">
        <v>28963639</v>
      </c>
      <c r="M38" s="1">
        <v>29214895</v>
      </c>
      <c r="N38" s="1">
        <v>29041802</v>
      </c>
      <c r="O38" s="1">
        <v>24706363</v>
      </c>
      <c r="P38" s="2074">
        <f t="shared" ref="P38:P42" si="1">SUM(D38:O38)</f>
        <v>381589541</v>
      </c>
    </row>
    <row r="39" spans="2:16">
      <c r="B39" s="1" t="s">
        <v>43</v>
      </c>
      <c r="C39" s="1" t="s">
        <v>28</v>
      </c>
      <c r="D39" s="1">
        <v>2562134</v>
      </c>
      <c r="E39" s="1">
        <v>2792995</v>
      </c>
      <c r="F39" s="1">
        <v>2871530</v>
      </c>
      <c r="G39" s="1">
        <v>2755531</v>
      </c>
      <c r="H39" s="1">
        <v>2815059</v>
      </c>
      <c r="I39" s="1">
        <v>2803640</v>
      </c>
      <c r="J39" s="1">
        <v>2891449</v>
      </c>
      <c r="K39" s="1">
        <v>2951805</v>
      </c>
      <c r="L39" s="1">
        <v>2619196</v>
      </c>
      <c r="M39" s="1">
        <v>2565540</v>
      </c>
      <c r="N39" s="1">
        <v>2376381</v>
      </c>
      <c r="O39" s="1">
        <v>2266549</v>
      </c>
      <c r="P39" s="2074">
        <f t="shared" si="1"/>
        <v>32271809</v>
      </c>
    </row>
    <row r="40" spans="2:16">
      <c r="B40" s="1" t="s">
        <v>44</v>
      </c>
      <c r="C40" s="1" t="s">
        <v>28</v>
      </c>
      <c r="D40" s="1">
        <v>155301</v>
      </c>
      <c r="E40" s="1">
        <v>352935</v>
      </c>
      <c r="F40" s="1">
        <v>272124</v>
      </c>
      <c r="G40" s="1">
        <v>289956</v>
      </c>
      <c r="H40" s="1">
        <v>301329</v>
      </c>
      <c r="I40" s="1">
        <v>305904</v>
      </c>
      <c r="J40" s="1">
        <v>295476</v>
      </c>
      <c r="K40" s="1">
        <v>480602</v>
      </c>
      <c r="L40" s="1">
        <v>392809</v>
      </c>
      <c r="M40" s="1">
        <v>442437</v>
      </c>
      <c r="N40" s="1">
        <v>418659</v>
      </c>
      <c r="O40" s="1">
        <v>299640</v>
      </c>
      <c r="P40" s="2074">
        <f t="shared" si="1"/>
        <v>4007172</v>
      </c>
    </row>
    <row r="41" spans="2:16">
      <c r="B41" s="1" t="s">
        <v>45</v>
      </c>
      <c r="C41" s="1" t="s">
        <v>28</v>
      </c>
      <c r="D41" s="1">
        <v>0</v>
      </c>
      <c r="E41" s="1">
        <v>0</v>
      </c>
      <c r="F41" s="1">
        <v>0</v>
      </c>
      <c r="G41" s="1">
        <v>0</v>
      </c>
      <c r="H41" s="1">
        <v>4235138</v>
      </c>
      <c r="I41" s="1">
        <v>4224106</v>
      </c>
      <c r="J41" s="1">
        <v>4093720</v>
      </c>
      <c r="K41" s="1">
        <v>4248164</v>
      </c>
      <c r="L41" s="1">
        <v>3855402</v>
      </c>
      <c r="M41" s="1">
        <v>4018275</v>
      </c>
      <c r="N41" s="1">
        <v>4286158</v>
      </c>
      <c r="O41" s="1">
        <v>5144770</v>
      </c>
      <c r="P41" s="2074">
        <f t="shared" si="1"/>
        <v>34105733</v>
      </c>
    </row>
    <row r="42" spans="2:16">
      <c r="B42" s="1" t="s">
        <v>46</v>
      </c>
      <c r="C42" s="1"/>
      <c r="D42" s="1">
        <v>0</v>
      </c>
      <c r="E42" s="1">
        <v>0</v>
      </c>
      <c r="F42" s="1">
        <v>0</v>
      </c>
      <c r="G42" s="1">
        <v>0</v>
      </c>
      <c r="H42" s="1">
        <v>0</v>
      </c>
      <c r="I42" s="1">
        <v>0</v>
      </c>
      <c r="J42" s="1">
        <v>0</v>
      </c>
      <c r="K42" s="1">
        <v>0</v>
      </c>
      <c r="L42" s="1">
        <v>0</v>
      </c>
      <c r="M42" s="1">
        <v>0</v>
      </c>
      <c r="N42" s="1">
        <v>0</v>
      </c>
      <c r="O42" s="1">
        <v>0</v>
      </c>
      <c r="P42" s="2074">
        <f t="shared" si="1"/>
        <v>0</v>
      </c>
    </row>
    <row r="43" spans="2:16">
      <c r="B43" s="1" t="s">
        <v>47</v>
      </c>
      <c r="C43" s="1"/>
      <c r="D43" s="1">
        <f>SUM(D7:D35,D37:D42)</f>
        <v>350331277.35000002</v>
      </c>
      <c r="E43" s="1">
        <f>SUM(E7:E35,E37:E42)</f>
        <v>399920704.91000003</v>
      </c>
      <c r="F43" s="1">
        <f t="shared" ref="F43:O43" si="2">SUM(F7:F35,F37:F42)</f>
        <v>398808123.43000001</v>
      </c>
      <c r="G43" s="1">
        <f t="shared" si="2"/>
        <v>407561424.56999999</v>
      </c>
      <c r="H43" s="1">
        <f t="shared" si="2"/>
        <v>393490422.02999997</v>
      </c>
      <c r="I43" s="1">
        <f t="shared" si="2"/>
        <v>379129206</v>
      </c>
      <c r="J43" s="1">
        <f t="shared" si="2"/>
        <v>374679963.79000002</v>
      </c>
      <c r="K43" s="1">
        <f t="shared" si="2"/>
        <v>402098970.39999998</v>
      </c>
      <c r="L43" s="1">
        <f t="shared" si="2"/>
        <v>335734165.00999999</v>
      </c>
      <c r="M43" s="1">
        <f t="shared" si="2"/>
        <v>318078895.60000002</v>
      </c>
      <c r="N43" s="1">
        <f t="shared" si="2"/>
        <v>313818939.80000001</v>
      </c>
      <c r="O43" s="1">
        <f t="shared" si="2"/>
        <v>319292988.91999996</v>
      </c>
      <c r="P43" s="2074">
        <f>SUM(D43:O43)</f>
        <v>4392945081.8099995</v>
      </c>
    </row>
    <row r="47" spans="2:16">
      <c r="B47" s="3456" t="s">
        <v>1845</v>
      </c>
      <c r="C47" s="3456"/>
      <c r="D47" s="6"/>
      <c r="E47" s="6"/>
      <c r="F47" s="6"/>
      <c r="G47" s="6"/>
      <c r="H47" s="6"/>
      <c r="I47" s="6"/>
      <c r="J47" s="6"/>
      <c r="K47" s="6"/>
      <c r="M47" s="3456"/>
      <c r="P47" s="3456" t="s">
        <v>3184</v>
      </c>
    </row>
    <row r="49" spans="2:19" ht="15.75">
      <c r="B49" s="4077" t="s">
        <v>1</v>
      </c>
      <c r="C49" s="4078" t="s">
        <v>2</v>
      </c>
      <c r="D49" s="4079" t="s">
        <v>3185</v>
      </c>
      <c r="E49" s="4079" t="s">
        <v>3186</v>
      </c>
      <c r="F49" s="4079" t="s">
        <v>3187</v>
      </c>
      <c r="G49" s="4079" t="s">
        <v>3188</v>
      </c>
      <c r="H49" s="4079" t="s">
        <v>3189</v>
      </c>
      <c r="I49" s="4079" t="s">
        <v>3190</v>
      </c>
      <c r="J49" s="4079" t="s">
        <v>3191</v>
      </c>
      <c r="K49" s="4079" t="s">
        <v>3192</v>
      </c>
      <c r="L49" s="4079" t="s">
        <v>3193</v>
      </c>
      <c r="M49" s="4079" t="s">
        <v>3194</v>
      </c>
      <c r="N49" s="4079" t="s">
        <v>3195</v>
      </c>
      <c r="O49" s="4079" t="s">
        <v>3196</v>
      </c>
      <c r="P49" s="4080" t="s">
        <v>47</v>
      </c>
    </row>
    <row r="50" spans="2:19" ht="15.75">
      <c r="B50" s="5433" t="s">
        <v>1989</v>
      </c>
      <c r="C50" s="5433"/>
      <c r="D50" s="5433"/>
      <c r="E50" s="5433"/>
      <c r="F50" s="5433"/>
      <c r="G50" s="5433"/>
      <c r="H50" s="5433"/>
      <c r="I50" s="5433"/>
      <c r="J50" s="5433"/>
      <c r="K50" s="5433"/>
      <c r="L50" s="5433"/>
      <c r="M50" s="5433"/>
      <c r="N50" s="5433"/>
      <c r="O50" s="5433"/>
      <c r="P50" s="5433"/>
    </row>
    <row r="51" spans="2:19">
      <c r="B51" s="4081" t="s">
        <v>14</v>
      </c>
      <c r="C51" s="4082"/>
      <c r="D51" s="1">
        <v>8035</v>
      </c>
      <c r="E51" s="1">
        <v>7947</v>
      </c>
      <c r="F51" s="1">
        <v>5336</v>
      </c>
      <c r="G51" s="1">
        <v>2268</v>
      </c>
      <c r="H51" s="1">
        <v>2999</v>
      </c>
      <c r="I51" s="1">
        <v>4393</v>
      </c>
      <c r="J51" s="1">
        <v>11608</v>
      </c>
      <c r="K51" s="1">
        <v>2939</v>
      </c>
      <c r="L51" s="1">
        <v>2012</v>
      </c>
      <c r="M51" s="1">
        <v>13106</v>
      </c>
      <c r="N51" s="1">
        <v>5421</v>
      </c>
      <c r="O51" s="1">
        <v>4407</v>
      </c>
      <c r="P51" s="1">
        <f>SUM(D51:O51)</f>
        <v>70471</v>
      </c>
      <c r="Q51" s="155">
        <f t="shared" ref="Q51:Q61" si="3">SUM(D51:I51)</f>
        <v>30978</v>
      </c>
      <c r="R51" s="155">
        <f t="shared" ref="R51:R61" si="4">SUM(D88:I88)</f>
        <v>29963</v>
      </c>
      <c r="S51" s="4083">
        <f t="shared" ref="S51:S61" si="5">(R51/Q51)-1</f>
        <v>-3.2765188198076056E-2</v>
      </c>
    </row>
    <row r="52" spans="2:19" ht="15.75">
      <c r="B52" s="962" t="s">
        <v>1917</v>
      </c>
      <c r="C52" s="963" t="s">
        <v>17</v>
      </c>
      <c r="D52" s="1">
        <v>57760891</v>
      </c>
      <c r="E52" s="1">
        <v>59271265</v>
      </c>
      <c r="F52" s="1">
        <v>58330070</v>
      </c>
      <c r="G52" s="1">
        <v>58196365</v>
      </c>
      <c r="H52" s="1">
        <v>59918242</v>
      </c>
      <c r="I52" s="1">
        <v>59141139</v>
      </c>
      <c r="J52" s="1">
        <v>59068551</v>
      </c>
      <c r="K52" s="1">
        <v>39840667</v>
      </c>
      <c r="L52" s="1">
        <v>37506589</v>
      </c>
      <c r="M52" s="1">
        <v>97336255</v>
      </c>
      <c r="N52" s="1">
        <v>55640496</v>
      </c>
      <c r="O52" s="1">
        <v>56569062</v>
      </c>
      <c r="P52" s="1">
        <f t="shared" ref="P52:P78" si="6">SUM(D52:O52)</f>
        <v>698579592</v>
      </c>
      <c r="Q52" s="155">
        <f t="shared" si="3"/>
        <v>352617972</v>
      </c>
      <c r="R52" s="155">
        <f t="shared" si="4"/>
        <v>357638133</v>
      </c>
      <c r="S52" s="4083">
        <f t="shared" si="5"/>
        <v>1.4236826817210613E-2</v>
      </c>
    </row>
    <row r="53" spans="2:19" ht="15.75">
      <c r="B53" s="962"/>
      <c r="C53" s="963" t="s">
        <v>18</v>
      </c>
      <c r="D53" s="1">
        <v>49298972</v>
      </c>
      <c r="E53" s="1">
        <v>53816430</v>
      </c>
      <c r="F53" s="1">
        <v>55152189</v>
      </c>
      <c r="G53" s="1">
        <v>48299224</v>
      </c>
      <c r="H53" s="1">
        <v>58609933</v>
      </c>
      <c r="I53" s="1">
        <v>52340992</v>
      </c>
      <c r="J53" s="1">
        <v>51248180</v>
      </c>
      <c r="K53" s="1">
        <v>38614120</v>
      </c>
      <c r="L53" s="1">
        <v>33992840</v>
      </c>
      <c r="M53" s="1">
        <v>69518914</v>
      </c>
      <c r="N53" s="1">
        <v>37521445</v>
      </c>
      <c r="O53" s="1">
        <v>40171123</v>
      </c>
      <c r="P53" s="1">
        <f t="shared" si="6"/>
        <v>588584362</v>
      </c>
      <c r="Q53" s="155">
        <f t="shared" si="3"/>
        <v>317517740</v>
      </c>
      <c r="R53" s="155">
        <f t="shared" si="4"/>
        <v>331725835</v>
      </c>
      <c r="S53" s="4083">
        <f t="shared" si="5"/>
        <v>4.4747405294582876E-2</v>
      </c>
    </row>
    <row r="54" spans="2:19" ht="15.75">
      <c r="B54" s="962"/>
      <c r="C54" s="963" t="s">
        <v>19</v>
      </c>
      <c r="D54" s="1">
        <v>14522657</v>
      </c>
      <c r="E54" s="1">
        <v>17886451</v>
      </c>
      <c r="F54" s="1">
        <v>20308665</v>
      </c>
      <c r="G54" s="1">
        <v>13602893</v>
      </c>
      <c r="H54" s="1">
        <v>17531059</v>
      </c>
      <c r="I54" s="1">
        <v>15062671</v>
      </c>
      <c r="J54" s="1">
        <v>14913739</v>
      </c>
      <c r="K54" s="1">
        <v>12499527</v>
      </c>
      <c r="L54" s="1">
        <v>10615369</v>
      </c>
      <c r="M54" s="1">
        <v>17615774</v>
      </c>
      <c r="N54" s="1">
        <v>8955533</v>
      </c>
      <c r="O54" s="1">
        <v>9916387</v>
      </c>
      <c r="P54" s="1">
        <f t="shared" si="6"/>
        <v>173430725</v>
      </c>
      <c r="Q54" s="155">
        <f t="shared" si="3"/>
        <v>98914396</v>
      </c>
      <c r="R54" s="155">
        <f t="shared" si="4"/>
        <v>108566202</v>
      </c>
      <c r="S54" s="4083">
        <f t="shared" si="5"/>
        <v>9.7577363764117742E-2</v>
      </c>
    </row>
    <row r="55" spans="2:19" ht="15.75">
      <c r="B55" s="962"/>
      <c r="C55" s="963" t="s">
        <v>20</v>
      </c>
      <c r="D55" s="1">
        <v>34085558</v>
      </c>
      <c r="E55" s="1">
        <v>31131717</v>
      </c>
      <c r="F55" s="1">
        <v>37655747</v>
      </c>
      <c r="G55" s="1">
        <v>25731970</v>
      </c>
      <c r="H55" s="1">
        <v>32966023</v>
      </c>
      <c r="I55" s="1">
        <v>28530025</v>
      </c>
      <c r="J55" s="1">
        <v>27632904</v>
      </c>
      <c r="K55" s="1">
        <v>26540715</v>
      </c>
      <c r="L55" s="1">
        <v>21265776</v>
      </c>
      <c r="M55" s="1">
        <v>31636415</v>
      </c>
      <c r="N55" s="1">
        <v>19120357</v>
      </c>
      <c r="O55" s="1">
        <v>19035602</v>
      </c>
      <c r="P55" s="1">
        <f t="shared" si="6"/>
        <v>335332809</v>
      </c>
      <c r="Q55" s="155">
        <f t="shared" si="3"/>
        <v>190101040</v>
      </c>
      <c r="R55" s="155">
        <f t="shared" si="4"/>
        <v>195403299</v>
      </c>
      <c r="S55" s="4083">
        <f t="shared" si="5"/>
        <v>2.7891793753469285E-2</v>
      </c>
    </row>
    <row r="56" spans="2:19" ht="15.75">
      <c r="B56" s="962" t="s">
        <v>21</v>
      </c>
      <c r="C56" s="963" t="s">
        <v>25</v>
      </c>
      <c r="D56" s="1">
        <v>44710668</v>
      </c>
      <c r="E56" s="1">
        <v>46819647</v>
      </c>
      <c r="F56" s="1">
        <v>47214153</v>
      </c>
      <c r="G56" s="1">
        <v>44965375</v>
      </c>
      <c r="H56" s="1">
        <v>48842996</v>
      </c>
      <c r="I56" s="1">
        <v>46034940</v>
      </c>
      <c r="J56" s="1">
        <v>46043855</v>
      </c>
      <c r="K56" s="1">
        <v>33459931</v>
      </c>
      <c r="L56" s="1">
        <v>29578049</v>
      </c>
      <c r="M56" s="1">
        <v>70717619</v>
      </c>
      <c r="N56" s="1">
        <v>40449813</v>
      </c>
      <c r="O56" s="1">
        <v>41098290</v>
      </c>
      <c r="P56" s="1">
        <f t="shared" si="6"/>
        <v>539935336</v>
      </c>
      <c r="Q56" s="155">
        <f t="shared" si="3"/>
        <v>278587779</v>
      </c>
      <c r="R56" s="155">
        <f t="shared" si="4"/>
        <v>282811484</v>
      </c>
      <c r="S56" s="4083">
        <f t="shared" si="5"/>
        <v>1.5161128083798658E-2</v>
      </c>
    </row>
    <row r="57" spans="2:19" ht="15.75">
      <c r="B57" s="962"/>
      <c r="C57" s="963" t="s">
        <v>26</v>
      </c>
      <c r="D57" s="1">
        <v>30390785</v>
      </c>
      <c r="E57" s="1">
        <v>32335566</v>
      </c>
      <c r="F57" s="1">
        <v>34193276</v>
      </c>
      <c r="G57" s="1">
        <v>28322096</v>
      </c>
      <c r="H57" s="1">
        <v>34878877</v>
      </c>
      <c r="I57" s="1">
        <v>30063793</v>
      </c>
      <c r="J57" s="1">
        <v>29602642</v>
      </c>
      <c r="K57" s="1">
        <v>25626518</v>
      </c>
      <c r="L57" s="1">
        <v>22092350</v>
      </c>
      <c r="M57" s="1">
        <v>38313257</v>
      </c>
      <c r="N57" s="1">
        <v>23530538</v>
      </c>
      <c r="O57" s="1">
        <v>23998402</v>
      </c>
      <c r="P57" s="1">
        <f t="shared" si="6"/>
        <v>353348100</v>
      </c>
      <c r="Q57" s="155">
        <f t="shared" si="3"/>
        <v>190184393</v>
      </c>
      <c r="R57" s="155">
        <f t="shared" si="4"/>
        <v>189924890</v>
      </c>
      <c r="S57" s="4083">
        <f t="shared" si="5"/>
        <v>-1.3644810486631576E-3</v>
      </c>
    </row>
    <row r="58" spans="2:19" ht="15.75">
      <c r="B58" s="962" t="s">
        <v>27</v>
      </c>
      <c r="C58" s="978" t="s">
        <v>28</v>
      </c>
      <c r="D58" s="1">
        <v>20880708</v>
      </c>
      <c r="E58" s="1">
        <v>21670607</v>
      </c>
      <c r="F58" s="1">
        <v>23527269</v>
      </c>
      <c r="G58" s="1">
        <v>20673799</v>
      </c>
      <c r="H58" s="1">
        <v>20563523</v>
      </c>
      <c r="I58" s="1">
        <v>20431205</v>
      </c>
      <c r="J58" s="1">
        <v>19851979</v>
      </c>
      <c r="K58" s="1">
        <v>21964003</v>
      </c>
      <c r="L58" s="1">
        <v>19526077</v>
      </c>
      <c r="M58" s="1">
        <v>18384160</v>
      </c>
      <c r="N58" s="1">
        <v>17353932</v>
      </c>
      <c r="O58" s="1">
        <v>16125373</v>
      </c>
      <c r="P58" s="1">
        <f t="shared" si="6"/>
        <v>240952635</v>
      </c>
      <c r="Q58" s="155">
        <f t="shared" si="3"/>
        <v>127747111</v>
      </c>
      <c r="R58" s="155">
        <f t="shared" si="4"/>
        <v>125170326</v>
      </c>
      <c r="S58" s="4083">
        <f t="shared" si="5"/>
        <v>-2.0170984532088543E-2</v>
      </c>
    </row>
    <row r="59" spans="2:19" ht="15.75">
      <c r="B59" s="962" t="s">
        <v>29</v>
      </c>
      <c r="C59" s="978" t="s">
        <v>28</v>
      </c>
      <c r="D59" s="1">
        <v>40112813</v>
      </c>
      <c r="E59" s="1">
        <v>42003006</v>
      </c>
      <c r="F59" s="1">
        <v>45629193</v>
      </c>
      <c r="G59" s="1">
        <v>40207741</v>
      </c>
      <c r="H59" s="1">
        <v>40592614</v>
      </c>
      <c r="I59" s="1">
        <v>39677178</v>
      </c>
      <c r="J59" s="1">
        <v>38739763</v>
      </c>
      <c r="K59" s="1">
        <v>42918364</v>
      </c>
      <c r="L59" s="1">
        <v>37844729</v>
      </c>
      <c r="M59" s="1">
        <v>36193458</v>
      </c>
      <c r="N59" s="1">
        <v>34688756</v>
      </c>
      <c r="O59" s="1">
        <v>32091129</v>
      </c>
      <c r="P59" s="1">
        <f t="shared" si="6"/>
        <v>470698744</v>
      </c>
      <c r="Q59" s="155">
        <f t="shared" si="3"/>
        <v>248222545</v>
      </c>
      <c r="R59" s="155">
        <f t="shared" si="4"/>
        <v>246038135</v>
      </c>
      <c r="S59" s="4083">
        <f t="shared" si="5"/>
        <v>-8.800207894089529E-3</v>
      </c>
    </row>
    <row r="60" spans="2:19" ht="15.75">
      <c r="B60" s="962" t="s">
        <v>2226</v>
      </c>
      <c r="C60" s="963" t="s">
        <v>25</v>
      </c>
      <c r="D60" s="1">
        <v>1831220</v>
      </c>
      <c r="E60" s="1">
        <v>1772678</v>
      </c>
      <c r="F60" s="1">
        <v>1776880</v>
      </c>
      <c r="G60" s="1">
        <v>1746820</v>
      </c>
      <c r="H60" s="1">
        <v>1867374</v>
      </c>
      <c r="I60" s="1">
        <v>1799097</v>
      </c>
      <c r="J60" s="1">
        <v>1802981</v>
      </c>
      <c r="K60" s="1">
        <v>1279059</v>
      </c>
      <c r="L60" s="1">
        <v>1231755</v>
      </c>
      <c r="M60" s="1">
        <v>2773012</v>
      </c>
      <c r="N60" s="1">
        <v>1697694</v>
      </c>
      <c r="O60" s="1">
        <v>1696882</v>
      </c>
      <c r="P60" s="1">
        <f t="shared" si="6"/>
        <v>21275452</v>
      </c>
      <c r="Q60" s="155">
        <f t="shared" si="3"/>
        <v>10794069</v>
      </c>
      <c r="R60" s="155">
        <f t="shared" si="4"/>
        <v>10577427</v>
      </c>
      <c r="S60" s="4083">
        <f t="shared" si="5"/>
        <v>-2.0070466475617277E-2</v>
      </c>
    </row>
    <row r="61" spans="2:19" ht="15.75">
      <c r="B61" s="962"/>
      <c r="C61" s="963" t="s">
        <v>26</v>
      </c>
      <c r="D61" s="1">
        <v>2501649</v>
      </c>
      <c r="E61" s="1">
        <v>1935915</v>
      </c>
      <c r="F61" s="1">
        <v>1965302</v>
      </c>
      <c r="G61" s="1">
        <v>1783933</v>
      </c>
      <c r="H61" s="1">
        <v>2395611</v>
      </c>
      <c r="I61" s="1">
        <v>1999657</v>
      </c>
      <c r="J61" s="1">
        <v>1963393</v>
      </c>
      <c r="K61" s="1">
        <v>1563451</v>
      </c>
      <c r="L61" s="1">
        <v>1573317</v>
      </c>
      <c r="M61" s="1">
        <v>2621924</v>
      </c>
      <c r="N61" s="1">
        <v>1854273</v>
      </c>
      <c r="O61" s="1">
        <v>1754265</v>
      </c>
      <c r="P61" s="1">
        <f t="shared" si="6"/>
        <v>23912690</v>
      </c>
      <c r="Q61" s="155">
        <f t="shared" si="3"/>
        <v>12582067</v>
      </c>
      <c r="R61" s="155">
        <f t="shared" si="4"/>
        <v>11789429</v>
      </c>
      <c r="S61" s="4083">
        <f t="shared" si="5"/>
        <v>-6.29974391330137E-2</v>
      </c>
    </row>
    <row r="62" spans="2:19" ht="15.75">
      <c r="B62" s="962" t="s">
        <v>2227</v>
      </c>
      <c r="C62" s="978" t="s">
        <v>28</v>
      </c>
      <c r="D62" s="1">
        <v>4479114</v>
      </c>
      <c r="E62" s="1">
        <v>4499338</v>
      </c>
      <c r="F62" s="1">
        <v>4433829</v>
      </c>
      <c r="G62" s="1">
        <v>4328851</v>
      </c>
      <c r="H62" s="1">
        <v>4557847</v>
      </c>
      <c r="I62" s="1">
        <v>4321095</v>
      </c>
      <c r="J62" s="1">
        <v>4119231</v>
      </c>
      <c r="K62" s="1">
        <v>4801177</v>
      </c>
      <c r="L62" s="1">
        <v>3985471</v>
      </c>
      <c r="M62" s="1">
        <v>4404812</v>
      </c>
      <c r="N62" s="1">
        <v>4213475</v>
      </c>
      <c r="O62" s="1">
        <v>3802769</v>
      </c>
      <c r="P62" s="1">
        <f t="shared" si="6"/>
        <v>51947009</v>
      </c>
      <c r="Q62" s="155">
        <f>SUM(D62:I62)</f>
        <v>26620074</v>
      </c>
      <c r="R62" s="155">
        <f>SUM(D99:I99)</f>
        <v>26613995</v>
      </c>
      <c r="S62" s="4083">
        <f>(R62/Q62)-1</f>
        <v>-2.2836149891991564E-4</v>
      </c>
    </row>
    <row r="63" spans="2:19" ht="15.75">
      <c r="B63" s="962" t="s">
        <v>2228</v>
      </c>
      <c r="C63" s="978" t="s">
        <v>28</v>
      </c>
      <c r="D63" s="1">
        <v>4106507</v>
      </c>
      <c r="E63" s="1">
        <v>3999313</v>
      </c>
      <c r="F63" s="1">
        <v>4096107</v>
      </c>
      <c r="G63" s="1">
        <v>3893969</v>
      </c>
      <c r="H63" s="1">
        <v>3992489</v>
      </c>
      <c r="I63" s="1">
        <v>4183725</v>
      </c>
      <c r="J63" s="1">
        <v>3919400</v>
      </c>
      <c r="K63" s="1">
        <v>4346284</v>
      </c>
      <c r="L63" s="1">
        <v>3909233</v>
      </c>
      <c r="M63" s="1">
        <v>4042426</v>
      </c>
      <c r="N63" s="1">
        <v>3959631</v>
      </c>
      <c r="O63" s="1">
        <v>3559959</v>
      </c>
      <c r="P63" s="1">
        <f t="shared" si="6"/>
        <v>48009043</v>
      </c>
      <c r="Q63" s="155">
        <f>SUM(D63:I63)</f>
        <v>24272110</v>
      </c>
      <c r="R63" s="155">
        <f>SUM(D100:I100)</f>
        <v>24135477</v>
      </c>
      <c r="S63" s="4083">
        <f>(R63/Q63)-1</f>
        <v>-5.6292180613881637E-3</v>
      </c>
    </row>
    <row r="64" spans="2:19" ht="15.75">
      <c r="B64" s="962" t="s">
        <v>33</v>
      </c>
      <c r="C64" s="978"/>
      <c r="D64" s="1">
        <v>175836</v>
      </c>
      <c r="E64" s="1">
        <v>158149</v>
      </c>
      <c r="F64" s="1">
        <v>146330</v>
      </c>
      <c r="G64" s="1">
        <v>132455</v>
      </c>
      <c r="H64" s="1">
        <v>123189</v>
      </c>
      <c r="I64" s="1">
        <v>155203</v>
      </c>
      <c r="J64" s="1">
        <v>153438</v>
      </c>
      <c r="K64" s="1">
        <v>123079</v>
      </c>
      <c r="L64" s="1">
        <v>120285</v>
      </c>
      <c r="M64" s="1">
        <v>230303</v>
      </c>
      <c r="N64" s="1">
        <v>166712</v>
      </c>
      <c r="O64" s="1">
        <v>123782</v>
      </c>
      <c r="P64" s="1">
        <f t="shared" si="6"/>
        <v>1808761</v>
      </c>
      <c r="Q64" s="155">
        <f t="shared" ref="Q64:Q78" si="7">SUM(D64:I64)</f>
        <v>891162</v>
      </c>
      <c r="R64" s="155">
        <f t="shared" ref="R64:R65" si="8">SUM(D101:I101)</f>
        <v>795121</v>
      </c>
      <c r="S64" s="4083">
        <f t="shared" ref="S64:S78" si="9">(R64/Q64)-1</f>
        <v>-0.10777052881518734</v>
      </c>
    </row>
    <row r="65" spans="2:19" ht="15.75">
      <c r="B65" s="962" t="s">
        <v>34</v>
      </c>
      <c r="C65" s="978" t="s">
        <v>28</v>
      </c>
      <c r="D65" s="1">
        <v>2283520.11</v>
      </c>
      <c r="E65" s="1">
        <v>2118287.17</v>
      </c>
      <c r="F65" s="1">
        <v>2054113.11</v>
      </c>
      <c r="G65" s="1">
        <v>1938515.39</v>
      </c>
      <c r="H65" s="1">
        <v>2012906.82</v>
      </c>
      <c r="I65" s="1">
        <v>2113248.34</v>
      </c>
      <c r="J65" s="1">
        <v>2209326.27</v>
      </c>
      <c r="K65" s="1">
        <v>2331906.21</v>
      </c>
      <c r="L65" s="1">
        <v>2376399.94</v>
      </c>
      <c r="M65" s="1">
        <v>2531460.02</v>
      </c>
      <c r="N65" s="1">
        <v>2536170.34</v>
      </c>
      <c r="O65" s="1">
        <v>2217287.87</v>
      </c>
      <c r="P65" s="1">
        <f t="shared" si="6"/>
        <v>26723141.59</v>
      </c>
      <c r="Q65" s="155">
        <f t="shared" si="7"/>
        <v>12520590.939999999</v>
      </c>
      <c r="R65" s="155">
        <f t="shared" si="8"/>
        <v>14160998.199999999</v>
      </c>
      <c r="S65" s="4083">
        <f t="shared" si="9"/>
        <v>0.13101676014023655</v>
      </c>
    </row>
    <row r="66" spans="2:19" ht="15.75">
      <c r="B66" s="962" t="s">
        <v>35</v>
      </c>
      <c r="C66" s="978" t="s">
        <v>28</v>
      </c>
      <c r="D66" s="1">
        <v>316256</v>
      </c>
      <c r="E66" s="1">
        <v>315150</v>
      </c>
      <c r="F66" s="1">
        <v>178623</v>
      </c>
      <c r="G66" s="1">
        <v>637010</v>
      </c>
      <c r="H66" s="1">
        <v>376499</v>
      </c>
      <c r="I66" s="1">
        <v>343615</v>
      </c>
      <c r="J66" s="1">
        <v>358015</v>
      </c>
      <c r="K66" s="1">
        <v>345992</v>
      </c>
      <c r="L66" s="1">
        <v>388669</v>
      </c>
      <c r="M66" s="1">
        <v>433389</v>
      </c>
      <c r="N66" s="1">
        <v>290639</v>
      </c>
      <c r="O66" s="1">
        <v>287618</v>
      </c>
      <c r="P66" s="1">
        <f t="shared" si="6"/>
        <v>4271475</v>
      </c>
      <c r="Q66" s="155">
        <f t="shared" si="7"/>
        <v>2167153</v>
      </c>
      <c r="R66" s="155" t="e">
        <f>SUM(#REF!)</f>
        <v>#REF!</v>
      </c>
      <c r="S66" s="4083" t="e">
        <f t="shared" si="9"/>
        <v>#REF!</v>
      </c>
    </row>
    <row r="67" spans="2:19" ht="15.75">
      <c r="B67" s="962" t="s">
        <v>36</v>
      </c>
      <c r="C67" s="978" t="s">
        <v>28</v>
      </c>
      <c r="D67" s="1">
        <v>1762149</v>
      </c>
      <c r="E67" s="1">
        <v>75489</v>
      </c>
      <c r="F67" s="1">
        <v>77424</v>
      </c>
      <c r="G67" s="1">
        <v>5479</v>
      </c>
      <c r="H67" s="1">
        <v>14414</v>
      </c>
      <c r="I67" s="1">
        <v>248086</v>
      </c>
      <c r="J67" s="1">
        <v>1126473</v>
      </c>
      <c r="K67" s="1">
        <v>512607</v>
      </c>
      <c r="L67" s="1">
        <v>0</v>
      </c>
      <c r="M67" s="1">
        <v>172360</v>
      </c>
      <c r="N67" s="1">
        <v>36349</v>
      </c>
      <c r="O67" s="1">
        <v>27720</v>
      </c>
      <c r="P67" s="1">
        <f t="shared" si="6"/>
        <v>4058550</v>
      </c>
      <c r="Q67" s="155">
        <f t="shared" si="7"/>
        <v>2183041</v>
      </c>
      <c r="R67" s="155">
        <f t="shared" ref="R67:R78" si="10">SUM(D103:I103)</f>
        <v>1222195</v>
      </c>
      <c r="S67" s="4083">
        <f t="shared" si="9"/>
        <v>-0.4401410692698855</v>
      </c>
    </row>
    <row r="68" spans="2:19" ht="15.75">
      <c r="B68" s="962" t="s">
        <v>37</v>
      </c>
      <c r="C68" s="978" t="s">
        <v>28</v>
      </c>
      <c r="D68" s="1">
        <v>3176455</v>
      </c>
      <c r="E68" s="1">
        <v>4218342</v>
      </c>
      <c r="F68" s="1">
        <v>2372192</v>
      </c>
      <c r="G68" s="1">
        <v>2732484</v>
      </c>
      <c r="H68" s="1">
        <v>2773864</v>
      </c>
      <c r="I68" s="1">
        <v>3083217</v>
      </c>
      <c r="J68" s="1">
        <v>3107013</v>
      </c>
      <c r="K68" s="1">
        <v>2947747</v>
      </c>
      <c r="L68" s="1">
        <v>3288319</v>
      </c>
      <c r="M68" s="1">
        <v>3372802</v>
      </c>
      <c r="N68" s="1">
        <v>3131004</v>
      </c>
      <c r="O68" s="1">
        <v>2770680</v>
      </c>
      <c r="P68" s="1">
        <f t="shared" si="6"/>
        <v>36974119</v>
      </c>
      <c r="Q68" s="155">
        <f t="shared" si="7"/>
        <v>18356554</v>
      </c>
      <c r="R68" s="155">
        <f t="shared" si="10"/>
        <v>18934750</v>
      </c>
      <c r="S68" s="4083">
        <f t="shared" si="9"/>
        <v>3.1498068755170472E-2</v>
      </c>
    </row>
    <row r="69" spans="2:19" ht="15.75">
      <c r="B69" s="962" t="s">
        <v>38</v>
      </c>
      <c r="C69" s="978" t="s">
        <v>28</v>
      </c>
      <c r="D69" s="1">
        <v>110190</v>
      </c>
      <c r="E69" s="1">
        <v>117002</v>
      </c>
      <c r="F69" s="1">
        <v>107284</v>
      </c>
      <c r="G69" s="1">
        <v>96312</v>
      </c>
      <c r="H69" s="1">
        <v>149809</v>
      </c>
      <c r="I69" s="1">
        <v>120073</v>
      </c>
      <c r="J69" s="1">
        <v>118770</v>
      </c>
      <c r="K69" s="1">
        <v>114131</v>
      </c>
      <c r="L69" s="1">
        <v>112943</v>
      </c>
      <c r="M69" s="1">
        <v>126605</v>
      </c>
      <c r="N69" s="1">
        <v>126712</v>
      </c>
      <c r="O69" s="1">
        <v>114132</v>
      </c>
      <c r="P69" s="1">
        <f t="shared" si="6"/>
        <v>1413963</v>
      </c>
      <c r="Q69" s="155">
        <f t="shared" si="7"/>
        <v>700670</v>
      </c>
      <c r="R69" s="155">
        <f t="shared" si="10"/>
        <v>673006</v>
      </c>
      <c r="S69" s="4083">
        <f t="shared" si="9"/>
        <v>-3.9482209884824537E-2</v>
      </c>
    </row>
    <row r="70" spans="2:19" ht="15.75">
      <c r="B70" s="962" t="s">
        <v>39</v>
      </c>
      <c r="C70" s="978" t="s">
        <v>28</v>
      </c>
      <c r="D70" s="1">
        <v>1408391</v>
      </c>
      <c r="E70" s="1">
        <v>1453295</v>
      </c>
      <c r="F70" s="1">
        <v>897656</v>
      </c>
      <c r="G70" s="1">
        <v>889631</v>
      </c>
      <c r="H70" s="1">
        <v>999666</v>
      </c>
      <c r="I70" s="1">
        <v>898576</v>
      </c>
      <c r="J70" s="1">
        <v>919559</v>
      </c>
      <c r="K70" s="1">
        <v>726009</v>
      </c>
      <c r="L70" s="1">
        <v>769829</v>
      </c>
      <c r="M70" s="1">
        <v>1140455</v>
      </c>
      <c r="N70" s="1">
        <v>763870</v>
      </c>
      <c r="O70" s="1">
        <v>815146</v>
      </c>
      <c r="P70" s="1">
        <f t="shared" si="6"/>
        <v>11682083</v>
      </c>
      <c r="Q70" s="155">
        <f t="shared" si="7"/>
        <v>6547215</v>
      </c>
      <c r="R70" s="155">
        <f t="shared" si="10"/>
        <v>6436990</v>
      </c>
      <c r="S70" s="4083">
        <f t="shared" si="9"/>
        <v>-1.6835402533749044E-2</v>
      </c>
    </row>
    <row r="71" spans="2:19" ht="15.75">
      <c r="B71" s="972" t="s">
        <v>40</v>
      </c>
      <c r="C71" s="4084" t="s">
        <v>28</v>
      </c>
      <c r="D71" s="4076">
        <v>4876139</v>
      </c>
      <c r="E71" s="4076">
        <v>4962402</v>
      </c>
      <c r="F71" s="4076">
        <v>6233892</v>
      </c>
      <c r="G71" s="4076">
        <v>5694711</v>
      </c>
      <c r="H71" s="4076">
        <v>5831391</v>
      </c>
      <c r="I71" s="4076">
        <v>5800990</v>
      </c>
      <c r="J71" s="4076">
        <v>5959514</v>
      </c>
      <c r="K71" s="4076">
        <v>6308061</v>
      </c>
      <c r="L71" s="4076">
        <v>5559822</v>
      </c>
      <c r="M71" s="4076">
        <v>5302138</v>
      </c>
      <c r="N71" s="4076">
        <v>5038741</v>
      </c>
      <c r="O71" s="4076">
        <v>4835524</v>
      </c>
      <c r="P71" s="1">
        <f t="shared" si="6"/>
        <v>66403325</v>
      </c>
      <c r="Q71" s="155">
        <f t="shared" si="7"/>
        <v>33399525</v>
      </c>
      <c r="R71" s="155">
        <f t="shared" si="10"/>
        <v>38048955</v>
      </c>
      <c r="S71" s="4083">
        <f t="shared" si="9"/>
        <v>0.1392064707507068</v>
      </c>
    </row>
    <row r="72" spans="2:19" ht="15.75">
      <c r="B72" s="5431" t="s">
        <v>3197</v>
      </c>
      <c r="C72" s="5431"/>
      <c r="D72" s="5431"/>
      <c r="E72" s="5431"/>
      <c r="F72" s="5431"/>
      <c r="G72" s="5431"/>
      <c r="H72" s="5431"/>
      <c r="I72" s="5431"/>
      <c r="J72" s="5431"/>
      <c r="K72" s="5431"/>
      <c r="L72" s="5431"/>
      <c r="M72" s="5431"/>
      <c r="N72" s="5431"/>
      <c r="O72" s="5431"/>
      <c r="P72" s="5431"/>
      <c r="Q72" s="155">
        <f t="shared" si="7"/>
        <v>0</v>
      </c>
      <c r="R72" s="155">
        <f t="shared" si="10"/>
        <v>0</v>
      </c>
      <c r="S72" s="4083"/>
    </row>
    <row r="73" spans="2:19" ht="15.75">
      <c r="B73" s="4085" t="s">
        <v>2231</v>
      </c>
      <c r="C73" s="989" t="s">
        <v>28</v>
      </c>
      <c r="D73" s="3877">
        <v>14780144</v>
      </c>
      <c r="E73" s="3877">
        <v>14947881</v>
      </c>
      <c r="F73" s="3877">
        <v>15626267</v>
      </c>
      <c r="G73" s="3877">
        <v>16294150</v>
      </c>
      <c r="H73" s="3877">
        <v>16816323</v>
      </c>
      <c r="I73" s="3877">
        <v>15229453</v>
      </c>
      <c r="J73" s="3877">
        <v>14668765</v>
      </c>
      <c r="K73" s="3877">
        <v>14336902</v>
      </c>
      <c r="L73" s="3877">
        <v>14427626</v>
      </c>
      <c r="M73" s="3877">
        <v>14587408</v>
      </c>
      <c r="N73" s="3877">
        <v>18988271</v>
      </c>
      <c r="O73" s="3877">
        <v>8071473</v>
      </c>
      <c r="P73" s="1">
        <f t="shared" si="6"/>
        <v>178774663</v>
      </c>
      <c r="Q73" s="155">
        <f t="shared" si="7"/>
        <v>93694218</v>
      </c>
      <c r="R73" s="155">
        <f t="shared" si="10"/>
        <v>97051722</v>
      </c>
      <c r="S73" s="4083">
        <f t="shared" si="9"/>
        <v>3.5834697931947046E-2</v>
      </c>
    </row>
    <row r="74" spans="2:19" ht="15.75">
      <c r="B74" s="962" t="s">
        <v>2232</v>
      </c>
      <c r="C74" s="978" t="s">
        <v>28</v>
      </c>
      <c r="D74" s="1">
        <v>27746823</v>
      </c>
      <c r="E74" s="1">
        <v>28976346</v>
      </c>
      <c r="F74" s="1">
        <v>32122186</v>
      </c>
      <c r="G74" s="1">
        <v>29641993</v>
      </c>
      <c r="H74" s="1">
        <v>30283588</v>
      </c>
      <c r="I74" s="1">
        <v>29675218</v>
      </c>
      <c r="J74" s="1">
        <v>28951574</v>
      </c>
      <c r="K74" s="1">
        <v>32378615</v>
      </c>
      <c r="L74" s="1">
        <v>29552942</v>
      </c>
      <c r="M74" s="1">
        <v>28476893</v>
      </c>
      <c r="N74" s="1">
        <v>31748714</v>
      </c>
      <c r="O74" s="1">
        <v>20968421</v>
      </c>
      <c r="P74" s="1">
        <f t="shared" si="6"/>
        <v>350523313</v>
      </c>
      <c r="Q74" s="155">
        <f t="shared" si="7"/>
        <v>178446154</v>
      </c>
      <c r="R74" s="155">
        <f t="shared" si="10"/>
        <v>187141285</v>
      </c>
      <c r="S74" s="4083">
        <f t="shared" si="9"/>
        <v>4.8726917364663391E-2</v>
      </c>
    </row>
    <row r="75" spans="2:19" ht="15.75">
      <c r="B75" s="962" t="s">
        <v>2233</v>
      </c>
      <c r="C75" s="978" t="s">
        <v>28</v>
      </c>
      <c r="D75" s="1">
        <v>2750722</v>
      </c>
      <c r="E75" s="1">
        <v>2831940</v>
      </c>
      <c r="F75" s="1">
        <v>2979197</v>
      </c>
      <c r="G75" s="1">
        <v>2762412</v>
      </c>
      <c r="H75" s="1">
        <v>2835184</v>
      </c>
      <c r="I75" s="1">
        <v>2844382</v>
      </c>
      <c r="J75" s="1">
        <v>2847520</v>
      </c>
      <c r="K75" s="1">
        <v>2999795</v>
      </c>
      <c r="L75" s="1">
        <v>2749945</v>
      </c>
      <c r="M75" s="1">
        <v>2531397</v>
      </c>
      <c r="N75" s="1">
        <v>2429324</v>
      </c>
      <c r="O75" s="1">
        <v>2257946</v>
      </c>
      <c r="P75" s="1">
        <f t="shared" si="6"/>
        <v>32819764</v>
      </c>
      <c r="Q75" s="155">
        <f t="shared" si="7"/>
        <v>17003837</v>
      </c>
      <c r="R75" s="155">
        <f t="shared" si="10"/>
        <v>17364792</v>
      </c>
      <c r="S75" s="4083">
        <f t="shared" si="9"/>
        <v>2.1227855806898122E-2</v>
      </c>
    </row>
    <row r="76" spans="2:19" ht="15.75">
      <c r="B76" s="962" t="s">
        <v>2234</v>
      </c>
      <c r="C76" s="978" t="s">
        <v>28</v>
      </c>
      <c r="D76" s="1">
        <v>552814</v>
      </c>
      <c r="E76" s="1">
        <v>492237</v>
      </c>
      <c r="F76" s="1">
        <v>516185</v>
      </c>
      <c r="G76" s="1">
        <v>532607</v>
      </c>
      <c r="H76" s="1">
        <v>579229</v>
      </c>
      <c r="I76" s="1">
        <v>585567</v>
      </c>
      <c r="J76" s="1">
        <v>559932</v>
      </c>
      <c r="K76" s="1">
        <v>689366</v>
      </c>
      <c r="L76" s="1">
        <v>754413</v>
      </c>
      <c r="M76" s="1">
        <v>826767</v>
      </c>
      <c r="N76" s="1">
        <v>846807</v>
      </c>
      <c r="O76" s="1">
        <v>902251</v>
      </c>
      <c r="P76" s="1">
        <f t="shared" si="6"/>
        <v>7838175</v>
      </c>
      <c r="Q76" s="155">
        <f t="shared" si="7"/>
        <v>3258639</v>
      </c>
      <c r="R76" s="155">
        <f t="shared" si="10"/>
        <v>7846431</v>
      </c>
      <c r="S76" s="4083">
        <f t="shared" si="9"/>
        <v>1.4078859302917568</v>
      </c>
    </row>
    <row r="77" spans="2:19" ht="15.75">
      <c r="B77" s="962" t="s">
        <v>2235</v>
      </c>
      <c r="C77" s="978" t="s">
        <v>28</v>
      </c>
      <c r="D77" s="1">
        <v>6639113</v>
      </c>
      <c r="E77" s="1">
        <v>6729887</v>
      </c>
      <c r="F77" s="1">
        <v>7759915</v>
      </c>
      <c r="G77" s="1">
        <v>7185457</v>
      </c>
      <c r="H77" s="1">
        <v>7265261</v>
      </c>
      <c r="I77" s="1">
        <v>7199115</v>
      </c>
      <c r="J77" s="1">
        <v>7215170</v>
      </c>
      <c r="K77" s="1">
        <v>7615324</v>
      </c>
      <c r="L77" s="1">
        <v>6668519</v>
      </c>
      <c r="M77" s="1">
        <v>6304595</v>
      </c>
      <c r="N77" s="1">
        <v>6030881</v>
      </c>
      <c r="O77" s="1">
        <v>5539632</v>
      </c>
      <c r="P77" s="1">
        <f t="shared" si="6"/>
        <v>82152869</v>
      </c>
      <c r="Q77" s="155">
        <f t="shared" si="7"/>
        <v>42778748</v>
      </c>
      <c r="R77" s="155">
        <f t="shared" si="10"/>
        <v>48688558</v>
      </c>
      <c r="S77" s="4083">
        <f t="shared" si="9"/>
        <v>0.13814826932288904</v>
      </c>
    </row>
    <row r="78" spans="2:19" ht="15.75">
      <c r="B78" s="4086" t="s">
        <v>47</v>
      </c>
      <c r="C78" s="963"/>
      <c r="D78" s="1">
        <v>371268129.11000001</v>
      </c>
      <c r="E78" s="1">
        <v>384546287.17000002</v>
      </c>
      <c r="F78" s="1">
        <v>405359280.11000001</v>
      </c>
      <c r="G78" s="1">
        <v>360298520.38999999</v>
      </c>
      <c r="H78" s="1">
        <v>396780910.81999999</v>
      </c>
      <c r="I78" s="1">
        <v>371886653.34000003</v>
      </c>
      <c r="J78" s="1">
        <v>367113295.26999998</v>
      </c>
      <c r="K78" s="1">
        <v>324886289.20999998</v>
      </c>
      <c r="L78" s="1">
        <v>289893278.94</v>
      </c>
      <c r="M78" s="1">
        <v>459607704.01999998</v>
      </c>
      <c r="N78" s="1">
        <v>321125558.34000003</v>
      </c>
      <c r="O78" s="1">
        <v>298755262.87</v>
      </c>
      <c r="P78" s="1">
        <f t="shared" si="6"/>
        <v>4351521169.5900002</v>
      </c>
      <c r="Q78" s="155">
        <f t="shared" si="7"/>
        <v>2290139780.9399996</v>
      </c>
      <c r="R78" s="155">
        <f t="shared" si="10"/>
        <v>2348789398.1999998</v>
      </c>
      <c r="S78" s="4083">
        <f t="shared" si="9"/>
        <v>2.56096233723897E-2</v>
      </c>
    </row>
    <row r="79" spans="2:19" ht="15.75">
      <c r="B79" s="4087"/>
      <c r="C79" s="4088"/>
    </row>
    <row r="80" spans="2:19" ht="15.75">
      <c r="B80" s="4087"/>
      <c r="C80" s="4088"/>
      <c r="P80" s="155" t="s">
        <v>3376</v>
      </c>
      <c r="Q80" s="4418">
        <f>SUM(Q52:Q55)</f>
        <v>959151148</v>
      </c>
      <c r="R80" s="4418">
        <f>SUM(R52:R55)</f>
        <v>993333469</v>
      </c>
      <c r="S80" s="4083">
        <f>(R80/Q80)-1</f>
        <v>3.5638096322228474E-2</v>
      </c>
    </row>
    <row r="81" spans="2:19" ht="15.75">
      <c r="B81" s="4087"/>
      <c r="C81" s="4088"/>
      <c r="P81" s="155" t="s">
        <v>3377</v>
      </c>
      <c r="Q81" s="4418">
        <f>SUM(Q56:Q57,Q70)</f>
        <v>475319387</v>
      </c>
      <c r="R81" s="4418">
        <f>SUM(R56:R57,R70)</f>
        <v>479173364</v>
      </c>
      <c r="S81" s="4083">
        <f t="shared" ref="S81:S82" si="11">(R81/Q81)-1</f>
        <v>8.1081838978303011E-3</v>
      </c>
    </row>
    <row r="82" spans="2:19" ht="15.75">
      <c r="B82" s="4087"/>
      <c r="C82" s="4088"/>
      <c r="P82" s="155" t="s">
        <v>3378</v>
      </c>
      <c r="Q82" s="4418">
        <f>SUM(Q58:Q59,Q71)</f>
        <v>409369181</v>
      </c>
      <c r="R82" s="4418">
        <f>SUM(R58:R59,R71)</f>
        <v>409257416</v>
      </c>
      <c r="S82" s="4083">
        <f t="shared" si="11"/>
        <v>-2.7301762122633466E-4</v>
      </c>
    </row>
    <row r="83" spans="2:19" ht="15.75">
      <c r="B83" s="4087"/>
      <c r="C83" s="4088"/>
      <c r="Q83" s="4418"/>
      <c r="R83" s="4418"/>
      <c r="S83" s="4083"/>
    </row>
    <row r="84" spans="2:19" s="4089" customFormat="1">
      <c r="B84" s="4089" t="s">
        <v>2442</v>
      </c>
      <c r="P84" s="4089" t="s">
        <v>3184</v>
      </c>
    </row>
    <row r="86" spans="2:19" ht="15.75">
      <c r="B86" s="4073" t="s">
        <v>1</v>
      </c>
      <c r="C86" s="4074" t="s">
        <v>2</v>
      </c>
      <c r="D86" s="4075" t="s">
        <v>3185</v>
      </c>
      <c r="E86" s="4075" t="s">
        <v>3186</v>
      </c>
      <c r="F86" s="4075" t="s">
        <v>3187</v>
      </c>
      <c r="G86" s="4075" t="s">
        <v>3188</v>
      </c>
      <c r="H86" s="4075" t="s">
        <v>3189</v>
      </c>
      <c r="I86" s="4075" t="s">
        <v>3190</v>
      </c>
      <c r="J86" s="4075" t="s">
        <v>3191</v>
      </c>
      <c r="K86" s="4075" t="s">
        <v>3192</v>
      </c>
      <c r="L86" s="4075" t="s">
        <v>3193</v>
      </c>
      <c r="M86" s="4075" t="s">
        <v>3194</v>
      </c>
      <c r="N86" s="4075" t="s">
        <v>3195</v>
      </c>
      <c r="O86" s="4075" t="s">
        <v>3196</v>
      </c>
      <c r="P86" s="4075" t="s">
        <v>47</v>
      </c>
      <c r="Q86" s="4075" t="s">
        <v>3021</v>
      </c>
    </row>
    <row r="87" spans="2:19" ht="15.75">
      <c r="B87" s="5433" t="s">
        <v>1989</v>
      </c>
      <c r="C87" s="5433"/>
      <c r="D87" s="5433"/>
      <c r="E87" s="5433"/>
      <c r="F87" s="5433"/>
      <c r="G87" s="5433"/>
      <c r="H87" s="5433"/>
      <c r="I87" s="5433"/>
      <c r="J87" s="5433"/>
      <c r="K87" s="5433"/>
      <c r="L87" s="5433"/>
      <c r="M87" s="5433"/>
      <c r="N87" s="5433"/>
      <c r="O87" s="5433"/>
      <c r="P87" s="5433"/>
      <c r="Q87" s="1"/>
    </row>
    <row r="88" spans="2:19">
      <c r="B88" s="4081" t="s">
        <v>14</v>
      </c>
      <c r="C88" s="4082"/>
      <c r="D88" s="171">
        <v>6460</v>
      </c>
      <c r="E88" s="171">
        <v>7769</v>
      </c>
      <c r="F88" s="171">
        <v>6703</v>
      </c>
      <c r="G88" s="171">
        <v>3596</v>
      </c>
      <c r="H88" s="171">
        <v>2477</v>
      </c>
      <c r="I88" s="171">
        <v>2958</v>
      </c>
      <c r="J88" s="171">
        <v>3525</v>
      </c>
      <c r="K88" s="171">
        <v>3615</v>
      </c>
      <c r="L88" s="171">
        <v>3042</v>
      </c>
      <c r="M88" s="4965">
        <v>3040</v>
      </c>
      <c r="N88" s="4965">
        <v>2101</v>
      </c>
      <c r="O88" s="4965">
        <v>3463</v>
      </c>
      <c r="P88" s="171">
        <f t="shared" ref="P88:P105" si="12">SUM(D88:O88)</f>
        <v>48749</v>
      </c>
      <c r="Q88" s="171">
        <f>'SalesProjection Workings'!L39*10^6</f>
        <v>70471</v>
      </c>
    </row>
    <row r="89" spans="2:19" ht="15.75">
      <c r="B89" s="962" t="s">
        <v>1917</v>
      </c>
      <c r="C89" s="963" t="s">
        <v>17</v>
      </c>
      <c r="D89" s="171">
        <v>59113978</v>
      </c>
      <c r="E89" s="171">
        <v>59701505</v>
      </c>
      <c r="F89" s="171">
        <v>59164326</v>
      </c>
      <c r="G89" s="171">
        <v>60293178</v>
      </c>
      <c r="H89" s="171">
        <v>60109105</v>
      </c>
      <c r="I89" s="171">
        <v>59256041</v>
      </c>
      <c r="J89" s="171">
        <v>60278022</v>
      </c>
      <c r="K89" s="171">
        <v>60875656</v>
      </c>
      <c r="L89" s="171">
        <v>58852951</v>
      </c>
      <c r="M89" s="4965">
        <v>56597177</v>
      </c>
      <c r="N89" s="4965">
        <v>55442358</v>
      </c>
      <c r="O89" s="4965">
        <v>57109448</v>
      </c>
      <c r="P89" s="171">
        <f t="shared" si="12"/>
        <v>706793745</v>
      </c>
      <c r="Q89" s="171">
        <f>'SalesProjection Workings'!L40*10^6</f>
        <v>713776935.14342332</v>
      </c>
    </row>
    <row r="90" spans="2:19" ht="15.75">
      <c r="B90" s="962"/>
      <c r="C90" s="963" t="s">
        <v>18</v>
      </c>
      <c r="D90" s="171">
        <v>51334588</v>
      </c>
      <c r="E90" s="171">
        <v>58309659</v>
      </c>
      <c r="F90" s="171">
        <v>57582243</v>
      </c>
      <c r="G90" s="171">
        <v>59096189</v>
      </c>
      <c r="H90" s="171">
        <v>56013712</v>
      </c>
      <c r="I90" s="171">
        <v>49389444</v>
      </c>
      <c r="J90" s="171">
        <v>56218827</v>
      </c>
      <c r="K90" s="171">
        <v>60380102</v>
      </c>
      <c r="L90" s="171">
        <v>47272487</v>
      </c>
      <c r="M90" s="4965">
        <v>39208144</v>
      </c>
      <c r="N90" s="4965">
        <v>35285265</v>
      </c>
      <c r="O90" s="4965">
        <v>39590006</v>
      </c>
      <c r="P90" s="171">
        <f t="shared" si="12"/>
        <v>609680666</v>
      </c>
      <c r="Q90" s="171">
        <f>'SalesProjection Workings'!L41*10^6</f>
        <v>601388799.20458257</v>
      </c>
    </row>
    <row r="91" spans="2:19" ht="15.75">
      <c r="B91" s="962"/>
      <c r="C91" s="963" t="s">
        <v>19</v>
      </c>
      <c r="D91" s="171">
        <v>15072849</v>
      </c>
      <c r="E91" s="171">
        <v>21108910</v>
      </c>
      <c r="F91" s="171">
        <v>22324875</v>
      </c>
      <c r="G91" s="171">
        <v>20550759</v>
      </c>
      <c r="H91" s="171">
        <v>16145465.999999998</v>
      </c>
      <c r="I91" s="171">
        <v>13363343</v>
      </c>
      <c r="J91" s="171">
        <v>17866530</v>
      </c>
      <c r="K91" s="171">
        <v>19944087</v>
      </c>
      <c r="L91" s="171">
        <v>13118352</v>
      </c>
      <c r="M91" s="4965">
        <v>9378073</v>
      </c>
      <c r="N91" s="4965">
        <v>8148470</v>
      </c>
      <c r="O91" s="4965">
        <v>9500515</v>
      </c>
      <c r="P91" s="171">
        <f t="shared" si="12"/>
        <v>186522229</v>
      </c>
      <c r="Q91" s="171">
        <f>'SalesProjection Workings'!L42*10^6</f>
        <v>177203646.89697647</v>
      </c>
    </row>
    <row r="92" spans="2:19" ht="15.75">
      <c r="B92" s="962"/>
      <c r="C92" s="963" t="s">
        <v>20</v>
      </c>
      <c r="D92" s="171">
        <v>26951324</v>
      </c>
      <c r="E92" s="171">
        <v>37031816</v>
      </c>
      <c r="F92" s="171">
        <v>39490837</v>
      </c>
      <c r="G92" s="171">
        <v>36824414</v>
      </c>
      <c r="H92" s="171">
        <v>29862148</v>
      </c>
      <c r="I92" s="171">
        <v>25242760</v>
      </c>
      <c r="J92" s="171">
        <v>31131883</v>
      </c>
      <c r="K92" s="171">
        <v>35717371</v>
      </c>
      <c r="L92" s="171">
        <v>25285965</v>
      </c>
      <c r="M92" s="4965">
        <v>20149886</v>
      </c>
      <c r="N92" s="4965">
        <v>17602486</v>
      </c>
      <c r="O92" s="4965">
        <v>18222939</v>
      </c>
      <c r="P92" s="171">
        <f t="shared" si="12"/>
        <v>343513829</v>
      </c>
      <c r="Q92" s="171">
        <f>'SalesProjection Workings'!L43*10^6</f>
        <v>342627851.43178779</v>
      </c>
    </row>
    <row r="93" spans="2:19" ht="15.75">
      <c r="B93" s="962" t="s">
        <v>21</v>
      </c>
      <c r="C93" s="963" t="s">
        <v>25</v>
      </c>
      <c r="D93" s="171">
        <v>45927648</v>
      </c>
      <c r="E93" s="171">
        <v>48669023</v>
      </c>
      <c r="F93" s="171">
        <v>48386918</v>
      </c>
      <c r="G93" s="171">
        <v>48890453</v>
      </c>
      <c r="H93" s="171">
        <v>46872253</v>
      </c>
      <c r="I93" s="171">
        <v>44065189</v>
      </c>
      <c r="J93" s="171">
        <v>47164015</v>
      </c>
      <c r="K93" s="171">
        <v>48120094</v>
      </c>
      <c r="L93" s="171">
        <v>44002074</v>
      </c>
      <c r="M93" s="4965">
        <v>40852332</v>
      </c>
      <c r="N93" s="4965">
        <v>39121816</v>
      </c>
      <c r="O93" s="4965">
        <v>40662220</v>
      </c>
      <c r="P93" s="171">
        <f t="shared" si="12"/>
        <v>542734035</v>
      </c>
      <c r="Q93" s="171">
        <f>'SalesProjection Workings'!L44*10^6</f>
        <v>540503011.26109481</v>
      </c>
    </row>
    <row r="94" spans="2:19" ht="15.75">
      <c r="B94" s="962"/>
      <c r="C94" s="963" t="s">
        <v>26</v>
      </c>
      <c r="D94" s="171">
        <v>30092074</v>
      </c>
      <c r="E94" s="171">
        <v>34477548</v>
      </c>
      <c r="F94" s="171">
        <v>34310381</v>
      </c>
      <c r="G94" s="171">
        <v>34102494</v>
      </c>
      <c r="H94" s="171">
        <v>30491894</v>
      </c>
      <c r="I94" s="171">
        <v>26450499</v>
      </c>
      <c r="J94" s="171">
        <v>30331186</v>
      </c>
      <c r="K94" s="171">
        <v>31946252</v>
      </c>
      <c r="L94" s="171">
        <v>26550332</v>
      </c>
      <c r="M94" s="4965">
        <v>23462934</v>
      </c>
      <c r="N94" s="4965">
        <v>20676418</v>
      </c>
      <c r="O94" s="4965">
        <v>21582874</v>
      </c>
      <c r="P94" s="171">
        <f t="shared" si="12"/>
        <v>344474886</v>
      </c>
      <c r="Q94" s="171">
        <f>'SalesProjection Workings'!L45*10^6</f>
        <v>353719601.8476302</v>
      </c>
    </row>
    <row r="95" spans="2:19" ht="15.75">
      <c r="B95" s="962" t="s">
        <v>27</v>
      </c>
      <c r="C95" s="978" t="s">
        <v>28</v>
      </c>
      <c r="D95" s="171">
        <v>19591033</v>
      </c>
      <c r="E95" s="171">
        <v>20653119</v>
      </c>
      <c r="F95" s="171">
        <v>22756723</v>
      </c>
      <c r="G95" s="171">
        <v>22856416</v>
      </c>
      <c r="H95" s="171">
        <v>20130139</v>
      </c>
      <c r="I95" s="171">
        <v>19182896</v>
      </c>
      <c r="J95" s="171">
        <v>19813702</v>
      </c>
      <c r="K95" s="171">
        <v>20114860</v>
      </c>
      <c r="L95" s="171">
        <v>19655665</v>
      </c>
      <c r="M95" s="4965">
        <v>17779795</v>
      </c>
      <c r="N95" s="4965">
        <v>16089115</v>
      </c>
      <c r="O95" s="4965">
        <v>15964498</v>
      </c>
      <c r="P95" s="171">
        <f t="shared" si="12"/>
        <v>234587961</v>
      </c>
      <c r="Q95" s="171">
        <f>'SalesProjection Workings'!L46*10^6</f>
        <v>240952635</v>
      </c>
    </row>
    <row r="96" spans="2:19" ht="15.75">
      <c r="B96" s="962" t="s">
        <v>29</v>
      </c>
      <c r="C96" s="978" t="s">
        <v>28</v>
      </c>
      <c r="D96" s="171">
        <v>38209544</v>
      </c>
      <c r="E96" s="171">
        <v>40562247</v>
      </c>
      <c r="F96" s="171">
        <v>44302249</v>
      </c>
      <c r="G96" s="171">
        <v>44377278</v>
      </c>
      <c r="H96" s="171">
        <v>40073637</v>
      </c>
      <c r="I96" s="171">
        <v>38513180</v>
      </c>
      <c r="J96" s="171">
        <v>39479907</v>
      </c>
      <c r="K96" s="171">
        <v>39529759</v>
      </c>
      <c r="L96" s="171">
        <v>38489663</v>
      </c>
      <c r="M96" s="4965">
        <v>35191187</v>
      </c>
      <c r="N96" s="4965">
        <v>32284733.000000004</v>
      </c>
      <c r="O96" s="4965">
        <v>31893368</v>
      </c>
      <c r="P96" s="171">
        <f t="shared" si="12"/>
        <v>462906752</v>
      </c>
      <c r="Q96" s="171">
        <f>'SalesProjection Workings'!L47*10^6</f>
        <v>470698744</v>
      </c>
    </row>
    <row r="97" spans="2:18" ht="15.75">
      <c r="B97" s="962" t="s">
        <v>2226</v>
      </c>
      <c r="C97" s="963" t="s">
        <v>25</v>
      </c>
      <c r="D97" s="171">
        <v>1768106</v>
      </c>
      <c r="E97" s="171">
        <v>1789777</v>
      </c>
      <c r="F97" s="171">
        <v>1751486</v>
      </c>
      <c r="G97" s="171">
        <v>1782872</v>
      </c>
      <c r="H97" s="171">
        <v>1766245</v>
      </c>
      <c r="I97" s="171">
        <v>1718941</v>
      </c>
      <c r="J97" s="171">
        <v>1772653</v>
      </c>
      <c r="K97" s="171">
        <v>1757112</v>
      </c>
      <c r="L97" s="171">
        <v>1727899</v>
      </c>
      <c r="M97" s="4965">
        <v>1677916</v>
      </c>
      <c r="N97" s="4965">
        <v>1623640</v>
      </c>
      <c r="O97" s="4965">
        <v>1652985</v>
      </c>
      <c r="P97" s="171">
        <f t="shared" si="12"/>
        <v>20789632</v>
      </c>
      <c r="Q97" s="171">
        <f>'SalesProjection Workings'!L48*10^6</f>
        <v>21275452</v>
      </c>
    </row>
    <row r="98" spans="2:18" ht="15.75">
      <c r="B98" s="962"/>
      <c r="C98" s="963" t="s">
        <v>26</v>
      </c>
      <c r="D98" s="171">
        <v>1959975</v>
      </c>
      <c r="E98" s="171">
        <v>1997443</v>
      </c>
      <c r="F98" s="171">
        <v>2002879</v>
      </c>
      <c r="G98" s="171">
        <v>2033811</v>
      </c>
      <c r="H98" s="171">
        <v>2044700.9999999998</v>
      </c>
      <c r="I98" s="171">
        <v>1750620</v>
      </c>
      <c r="J98" s="171">
        <v>2033268</v>
      </c>
      <c r="K98" s="171">
        <v>1960031</v>
      </c>
      <c r="L98" s="171">
        <v>1882356</v>
      </c>
      <c r="M98" s="4965">
        <v>1870979</v>
      </c>
      <c r="N98" s="4965">
        <v>1659447</v>
      </c>
      <c r="O98" s="4965">
        <v>1631077</v>
      </c>
      <c r="P98" s="171">
        <f t="shared" si="12"/>
        <v>22826587</v>
      </c>
      <c r="Q98" s="171">
        <f>'SalesProjection Workings'!L49*10^6</f>
        <v>23912690</v>
      </c>
    </row>
    <row r="99" spans="2:18" ht="15.75">
      <c r="B99" s="962" t="s">
        <v>2227</v>
      </c>
      <c r="C99" s="978" t="s">
        <v>28</v>
      </c>
      <c r="D99" s="171">
        <v>4271530</v>
      </c>
      <c r="E99" s="171">
        <v>4392567</v>
      </c>
      <c r="F99" s="171">
        <v>4533327</v>
      </c>
      <c r="G99" s="171">
        <v>4498135</v>
      </c>
      <c r="H99" s="171">
        <v>4610705</v>
      </c>
      <c r="I99" s="171">
        <v>4307731</v>
      </c>
      <c r="J99" s="171">
        <v>4498798</v>
      </c>
      <c r="K99" s="171">
        <v>4262683</v>
      </c>
      <c r="L99" s="171">
        <v>4376439</v>
      </c>
      <c r="M99" s="4965">
        <v>4456636</v>
      </c>
      <c r="N99" s="4965">
        <v>4098594.0000000005</v>
      </c>
      <c r="O99" s="4965">
        <v>3799726</v>
      </c>
      <c r="P99" s="171">
        <f t="shared" si="12"/>
        <v>52106871</v>
      </c>
      <c r="Q99" s="171">
        <f>'SalesProjection Workings'!L50*10^6</f>
        <v>51947009</v>
      </c>
    </row>
    <row r="100" spans="2:18" ht="15.75">
      <c r="B100" s="962" t="s">
        <v>2228</v>
      </c>
      <c r="C100" s="978" t="s">
        <v>28</v>
      </c>
      <c r="D100" s="171">
        <v>4048263.0000000005</v>
      </c>
      <c r="E100" s="171">
        <v>3990170</v>
      </c>
      <c r="F100" s="171">
        <v>4124270</v>
      </c>
      <c r="G100" s="171">
        <v>3981478</v>
      </c>
      <c r="H100" s="171">
        <v>4036259.0000000005</v>
      </c>
      <c r="I100" s="171">
        <v>3955037</v>
      </c>
      <c r="J100" s="171">
        <v>4064872.0000000005</v>
      </c>
      <c r="K100" s="171">
        <v>4031024.0000000005</v>
      </c>
      <c r="L100" s="171">
        <v>3982849</v>
      </c>
      <c r="M100" s="4965">
        <v>4082059</v>
      </c>
      <c r="N100" s="4965">
        <v>3836238</v>
      </c>
      <c r="O100" s="4965">
        <v>3563170</v>
      </c>
      <c r="P100" s="171">
        <f t="shared" si="12"/>
        <v>47695689</v>
      </c>
      <c r="Q100" s="171">
        <f>'SalesProjection Workings'!L51*10^6</f>
        <v>48009043</v>
      </c>
    </row>
    <row r="101" spans="2:18" ht="15.75">
      <c r="B101" s="962" t="s">
        <v>33</v>
      </c>
      <c r="C101" s="978"/>
      <c r="D101" s="171">
        <v>143203</v>
      </c>
      <c r="E101" s="171">
        <v>146275</v>
      </c>
      <c r="F101" s="171">
        <v>140977</v>
      </c>
      <c r="G101" s="171">
        <v>132343</v>
      </c>
      <c r="H101" s="171">
        <v>102352</v>
      </c>
      <c r="I101" s="171">
        <v>129971</v>
      </c>
      <c r="J101" s="171">
        <v>120344</v>
      </c>
      <c r="K101" s="171">
        <v>139628</v>
      </c>
      <c r="L101" s="171">
        <v>120859</v>
      </c>
      <c r="M101" s="4965">
        <v>157077</v>
      </c>
      <c r="N101" s="4965">
        <v>140075</v>
      </c>
      <c r="O101" s="4965">
        <v>127042.99999999999</v>
      </c>
      <c r="P101" s="171">
        <f t="shared" si="12"/>
        <v>1600147</v>
      </c>
      <c r="Q101" s="171">
        <f>'SalesProjection Workings'!L52*10^6</f>
        <v>1808761</v>
      </c>
    </row>
    <row r="102" spans="2:18" ht="15.75">
      <c r="B102" s="962" t="s">
        <v>3607</v>
      </c>
      <c r="C102" s="978" t="s">
        <v>28</v>
      </c>
      <c r="D102" s="171">
        <v>2586546.6</v>
      </c>
      <c r="E102" s="171">
        <v>2459805.09</v>
      </c>
      <c r="F102" s="171">
        <v>2406065.6</v>
      </c>
      <c r="G102" s="171">
        <v>2245154.67</v>
      </c>
      <c r="H102" s="171">
        <v>2141644.84</v>
      </c>
      <c r="I102" s="171">
        <v>2321781.4</v>
      </c>
      <c r="J102" s="171">
        <v>2437637.9900000002</v>
      </c>
      <c r="K102" s="171">
        <v>2620225.84</v>
      </c>
      <c r="L102" s="171">
        <v>2615651.85</v>
      </c>
      <c r="M102" s="4965">
        <v>2783523.22</v>
      </c>
      <c r="N102" s="4965">
        <v>2918499.56</v>
      </c>
      <c r="O102" s="4965">
        <v>2449458.12</v>
      </c>
      <c r="P102" s="171">
        <f t="shared" si="12"/>
        <v>29985994.780000001</v>
      </c>
      <c r="Q102" s="171">
        <f>'SalesProjection Workings'!L53*10^6</f>
        <v>31024443.85468512</v>
      </c>
      <c r="R102" s="4419">
        <f>'[87]Monthwise sales'!$Q$65</f>
        <v>0.8621865514097653</v>
      </c>
    </row>
    <row r="103" spans="2:18" ht="15.75">
      <c r="B103" s="962" t="s">
        <v>36</v>
      </c>
      <c r="C103" s="978" t="s">
        <v>28</v>
      </c>
      <c r="D103" s="171">
        <v>11676</v>
      </c>
      <c r="E103" s="171">
        <v>29687</v>
      </c>
      <c r="F103" s="171">
        <v>5186</v>
      </c>
      <c r="G103" s="171">
        <v>11425</v>
      </c>
      <c r="H103" s="171">
        <v>9148</v>
      </c>
      <c r="I103" s="171">
        <v>1155073</v>
      </c>
      <c r="J103" s="171">
        <v>738533</v>
      </c>
      <c r="K103" s="171">
        <v>119666</v>
      </c>
      <c r="L103" s="171">
        <v>49992</v>
      </c>
      <c r="M103" s="4965">
        <v>63208</v>
      </c>
      <c r="N103" s="4965">
        <v>44183</v>
      </c>
      <c r="O103" s="4965">
        <v>31279</v>
      </c>
      <c r="P103" s="171">
        <f t="shared" si="12"/>
        <v>2269056</v>
      </c>
      <c r="Q103" s="171">
        <f>'SalesProjection Workings'!L54*10^6</f>
        <v>4058550.0000000005</v>
      </c>
    </row>
    <row r="104" spans="2:18" ht="15.75">
      <c r="B104" s="962" t="s">
        <v>37</v>
      </c>
      <c r="C104" s="978" t="s">
        <v>28</v>
      </c>
      <c r="D104" s="171">
        <v>3240806</v>
      </c>
      <c r="E104" s="171">
        <v>3110789</v>
      </c>
      <c r="F104" s="171">
        <v>3316410</v>
      </c>
      <c r="G104" s="171">
        <v>3223672</v>
      </c>
      <c r="H104" s="171">
        <v>3243982</v>
      </c>
      <c r="I104" s="171">
        <v>2799091</v>
      </c>
      <c r="J104" s="171">
        <v>3012791</v>
      </c>
      <c r="K104" s="171">
        <v>2859921</v>
      </c>
      <c r="L104" s="171">
        <v>3007856</v>
      </c>
      <c r="M104" s="4965">
        <v>3082175</v>
      </c>
      <c r="N104" s="4965">
        <v>2860089</v>
      </c>
      <c r="O104" s="4965">
        <v>2609737</v>
      </c>
      <c r="P104" s="171">
        <f t="shared" si="12"/>
        <v>36367319</v>
      </c>
      <c r="Q104" s="171">
        <f>'SalesProjection Workings'!L55*10^6</f>
        <v>36974119</v>
      </c>
    </row>
    <row r="105" spans="2:18" ht="15.75">
      <c r="B105" s="962" t="s">
        <v>38</v>
      </c>
      <c r="C105" s="978" t="s">
        <v>28</v>
      </c>
      <c r="D105" s="171">
        <v>114608</v>
      </c>
      <c r="E105" s="171">
        <v>124709</v>
      </c>
      <c r="F105" s="171">
        <v>131701</v>
      </c>
      <c r="G105" s="171">
        <v>104515</v>
      </c>
      <c r="H105" s="171">
        <v>100922</v>
      </c>
      <c r="I105" s="171">
        <v>96551</v>
      </c>
      <c r="J105" s="171">
        <v>86220</v>
      </c>
      <c r="K105" s="171">
        <v>83287</v>
      </c>
      <c r="L105" s="171">
        <v>89379</v>
      </c>
      <c r="M105" s="4965">
        <v>92737</v>
      </c>
      <c r="N105" s="4965">
        <v>92105</v>
      </c>
      <c r="O105" s="4965">
        <v>83340</v>
      </c>
      <c r="P105" s="171">
        <f t="shared" si="12"/>
        <v>1200074</v>
      </c>
      <c r="Q105" s="171">
        <f>'SalesProjection Workings'!L56*10^6</f>
        <v>1413963</v>
      </c>
    </row>
    <row r="106" spans="2:18" ht="15.75">
      <c r="B106" s="962" t="s">
        <v>39</v>
      </c>
      <c r="C106" s="978" t="s">
        <v>28</v>
      </c>
      <c r="D106" s="171">
        <v>993538</v>
      </c>
      <c r="E106" s="171">
        <v>1027187.0000000001</v>
      </c>
      <c r="F106" s="171">
        <v>1064203</v>
      </c>
      <c r="G106" s="171">
        <v>1182468</v>
      </c>
      <c r="H106" s="171">
        <v>1129615</v>
      </c>
      <c r="I106" s="171">
        <v>1039979</v>
      </c>
      <c r="J106" s="171">
        <v>1136583</v>
      </c>
      <c r="K106" s="171">
        <v>1087951</v>
      </c>
      <c r="L106" s="171">
        <v>1047778.0000000001</v>
      </c>
      <c r="M106" s="4965">
        <v>909893</v>
      </c>
      <c r="N106" s="4965">
        <v>882068</v>
      </c>
      <c r="O106" s="4965">
        <v>945556</v>
      </c>
      <c r="P106" s="171">
        <f t="shared" ref="P106:P107" si="13">SUM(D106:O106)</f>
        <v>12446819</v>
      </c>
      <c r="Q106" s="171">
        <f>'SalesProjection Workings'!L57*10^6</f>
        <v>11694365.26618077</v>
      </c>
    </row>
    <row r="107" spans="2:18" ht="15.75">
      <c r="B107" s="972" t="s">
        <v>40</v>
      </c>
      <c r="C107" s="4084" t="s">
        <v>28</v>
      </c>
      <c r="D107" s="171">
        <v>5720304</v>
      </c>
      <c r="E107" s="171">
        <v>6106324</v>
      </c>
      <c r="F107" s="171">
        <v>6571262</v>
      </c>
      <c r="G107" s="171">
        <v>6865257</v>
      </c>
      <c r="H107" s="171">
        <v>6453558</v>
      </c>
      <c r="I107" s="171">
        <v>6332250</v>
      </c>
      <c r="J107" s="171">
        <v>6427058</v>
      </c>
      <c r="K107" s="171">
        <v>6404500</v>
      </c>
      <c r="L107" s="171">
        <v>6044785</v>
      </c>
      <c r="M107" s="4965">
        <v>6070593</v>
      </c>
      <c r="N107" s="4965">
        <v>5455905</v>
      </c>
      <c r="O107" s="4965">
        <v>5540364</v>
      </c>
      <c r="P107" s="171">
        <f t="shared" si="13"/>
        <v>73992160</v>
      </c>
      <c r="Q107" s="171">
        <f>'SalesProjection Workings'!L58*10^6</f>
        <v>66403324.999999993</v>
      </c>
    </row>
    <row r="108" spans="2:18" ht="15.75">
      <c r="B108" s="5431" t="s">
        <v>3197</v>
      </c>
      <c r="C108" s="5431"/>
      <c r="D108" s="5431"/>
      <c r="E108" s="5431"/>
      <c r="F108" s="5431"/>
      <c r="G108" s="5431"/>
      <c r="H108" s="5431"/>
      <c r="I108" s="5431"/>
      <c r="J108" s="5431"/>
      <c r="K108" s="5431"/>
      <c r="L108" s="5431"/>
      <c r="M108" s="5431"/>
      <c r="N108" s="5431"/>
      <c r="O108" s="5431"/>
      <c r="P108" s="5431"/>
      <c r="Q108" s="171">
        <f>'[85]SalesProjection Workings'!L55*10^6</f>
        <v>0</v>
      </c>
    </row>
    <row r="109" spans="2:18" ht="15.75">
      <c r="B109" s="4085" t="s">
        <v>2231</v>
      </c>
      <c r="C109" s="989" t="s">
        <v>28</v>
      </c>
      <c r="D109" s="171">
        <v>15000168</v>
      </c>
      <c r="E109" s="171">
        <v>15576811</v>
      </c>
      <c r="F109" s="171">
        <v>15634255</v>
      </c>
      <c r="G109" s="171">
        <v>15756955</v>
      </c>
      <c r="H109" s="171">
        <v>18481049</v>
      </c>
      <c r="I109" s="171">
        <v>16602484</v>
      </c>
      <c r="J109" s="171">
        <v>16065817</v>
      </c>
      <c r="K109" s="171">
        <v>15800516</v>
      </c>
      <c r="L109" s="171">
        <v>15231235</v>
      </c>
      <c r="M109" s="4965">
        <v>15063044</v>
      </c>
      <c r="N109" s="4965">
        <v>13806635</v>
      </c>
      <c r="O109" s="4965">
        <v>12380461</v>
      </c>
      <c r="P109" s="171">
        <f t="shared" ref="P109:P113" si="14">SUM(D109:O109)</f>
        <v>185399430</v>
      </c>
      <c r="Q109" s="171">
        <f>'SalesProjection Workings'!L60*10^6</f>
        <v>185399430</v>
      </c>
    </row>
    <row r="110" spans="2:18" ht="15.75">
      <c r="B110" s="962" t="s">
        <v>2232</v>
      </c>
      <c r="C110" s="978" t="s">
        <v>28</v>
      </c>
      <c r="D110" s="171">
        <v>29041699</v>
      </c>
      <c r="E110" s="171">
        <v>30408267</v>
      </c>
      <c r="F110" s="171">
        <v>33454996</v>
      </c>
      <c r="G110" s="171">
        <v>32901981</v>
      </c>
      <c r="H110" s="171">
        <v>31307508</v>
      </c>
      <c r="I110" s="171">
        <v>30026834</v>
      </c>
      <c r="J110" s="171">
        <v>30417710</v>
      </c>
      <c r="K110" s="171">
        <v>30763550</v>
      </c>
      <c r="L110" s="171">
        <v>29914162</v>
      </c>
      <c r="M110" s="4965">
        <v>27773866</v>
      </c>
      <c r="N110" s="4965">
        <v>26393338</v>
      </c>
      <c r="O110" s="4965">
        <v>25604884</v>
      </c>
      <c r="P110" s="171">
        <f t="shared" si="14"/>
        <v>358008795</v>
      </c>
      <c r="Q110" s="171">
        <f>'SalesProjection Workings'!L61*10^6</f>
        <v>359217317.10969341</v>
      </c>
    </row>
    <row r="111" spans="2:18" ht="15.75">
      <c r="B111" s="962" t="s">
        <v>2233</v>
      </c>
      <c r="C111" s="978" t="s">
        <v>28</v>
      </c>
      <c r="D111" s="171">
        <v>2719020</v>
      </c>
      <c r="E111" s="171">
        <v>2834753</v>
      </c>
      <c r="F111" s="171">
        <v>3013492</v>
      </c>
      <c r="G111" s="171">
        <v>3035375</v>
      </c>
      <c r="H111" s="171">
        <v>2875977</v>
      </c>
      <c r="I111" s="171">
        <v>2886175</v>
      </c>
      <c r="J111" s="171">
        <v>2827776</v>
      </c>
      <c r="K111" s="171">
        <v>2979093</v>
      </c>
      <c r="L111" s="171">
        <v>2824848</v>
      </c>
      <c r="M111" s="4965">
        <v>2527444</v>
      </c>
      <c r="N111" s="4965">
        <v>2385316</v>
      </c>
      <c r="O111" s="4965">
        <v>2277169</v>
      </c>
      <c r="P111" s="171">
        <f t="shared" si="14"/>
        <v>33186438</v>
      </c>
      <c r="Q111" s="171">
        <f>'SalesProjection Workings'!L62*10^6</f>
        <v>33303937.653640274</v>
      </c>
    </row>
    <row r="112" spans="2:18" ht="15.75">
      <c r="B112" s="962" t="s">
        <v>2234</v>
      </c>
      <c r="C112" s="978" t="s">
        <v>28</v>
      </c>
      <c r="D112" s="171">
        <v>1283524</v>
      </c>
      <c r="E112" s="171">
        <v>1494118</v>
      </c>
      <c r="F112" s="171">
        <v>1585979</v>
      </c>
      <c r="G112" s="171">
        <v>1781521</v>
      </c>
      <c r="H112" s="171">
        <v>1068314</v>
      </c>
      <c r="I112" s="171">
        <v>632975</v>
      </c>
      <c r="J112" s="171">
        <v>638875</v>
      </c>
      <c r="K112" s="171">
        <v>601476</v>
      </c>
      <c r="L112" s="171">
        <v>623212</v>
      </c>
      <c r="M112" s="4965">
        <v>585412</v>
      </c>
      <c r="N112" s="4965">
        <v>546064</v>
      </c>
      <c r="O112" s="4965">
        <v>531768</v>
      </c>
      <c r="P112" s="171">
        <f t="shared" si="14"/>
        <v>11373238</v>
      </c>
      <c r="Q112" s="171">
        <f>'SalesProjection Workings'!L63*10^6</f>
        <v>7838175</v>
      </c>
    </row>
    <row r="113" spans="2:17" ht="15.75">
      <c r="B113" s="962" t="s">
        <v>2235</v>
      </c>
      <c r="C113" s="978" t="s">
        <v>28</v>
      </c>
      <c r="D113" s="171">
        <v>6920759</v>
      </c>
      <c r="E113" s="171">
        <v>7746073</v>
      </c>
      <c r="F113" s="171">
        <v>8360583.9999999991</v>
      </c>
      <c r="G113" s="171">
        <v>8263521.0000000009</v>
      </c>
      <c r="H113" s="171">
        <v>8500059</v>
      </c>
      <c r="I113" s="171">
        <v>8897562</v>
      </c>
      <c r="J113" s="171">
        <v>8909720</v>
      </c>
      <c r="K113" s="171">
        <v>9270190</v>
      </c>
      <c r="L113" s="171">
        <v>8807062</v>
      </c>
      <c r="M113" s="4965">
        <v>7900268</v>
      </c>
      <c r="N113" s="4965">
        <v>7494186</v>
      </c>
      <c r="O113" s="4965">
        <v>7250242</v>
      </c>
      <c r="P113" s="171">
        <f t="shared" si="14"/>
        <v>98320226</v>
      </c>
      <c r="Q113" s="171">
        <f>'SalesProjection Workings'!L64*10^6</f>
        <v>84190500.604574904</v>
      </c>
    </row>
    <row r="114" spans="2:17" ht="15.75">
      <c r="B114" s="4086" t="s">
        <v>47</v>
      </c>
      <c r="C114" s="963"/>
      <c r="D114" s="171">
        <f t="shared" ref="D114:O114" si="15">SUM(D88:D107,D109:D113)</f>
        <v>366123223.60000002</v>
      </c>
      <c r="E114" s="171">
        <f t="shared" si="15"/>
        <v>403756351.08999997</v>
      </c>
      <c r="F114" s="171">
        <f t="shared" si="15"/>
        <v>416422327.60000002</v>
      </c>
      <c r="G114" s="1">
        <f t="shared" si="15"/>
        <v>414795260.67000002</v>
      </c>
      <c r="H114" s="2074">
        <f t="shared" si="15"/>
        <v>387572869.83999997</v>
      </c>
      <c r="I114" s="171">
        <f t="shared" si="15"/>
        <v>360119365.39999998</v>
      </c>
      <c r="J114" s="1">
        <f t="shared" si="15"/>
        <v>387476252.99000001</v>
      </c>
      <c r="K114" s="1">
        <f t="shared" si="15"/>
        <v>401372649.83999997</v>
      </c>
      <c r="L114" s="171">
        <f t="shared" si="15"/>
        <v>355576893.85000002</v>
      </c>
      <c r="M114" s="171">
        <f t="shared" si="15"/>
        <v>321719398.22000003</v>
      </c>
      <c r="N114" s="171">
        <f t="shared" si="15"/>
        <v>298889144.56</v>
      </c>
      <c r="O114" s="171">
        <f t="shared" si="15"/>
        <v>305007590.12</v>
      </c>
      <c r="P114" s="171">
        <f>SUM(D114:O114)</f>
        <v>4418831327.7799997</v>
      </c>
      <c r="Q114" s="171">
        <f>SUM(Q88:Q113)</f>
        <v>4409412777.2742701</v>
      </c>
    </row>
    <row r="115" spans="2:17" ht="15.75">
      <c r="B115" s="4087"/>
      <c r="C115" s="4090"/>
    </row>
    <row r="116" spans="2:17" ht="15.75">
      <c r="B116" s="4087"/>
      <c r="C116" s="4090"/>
      <c r="P116" s="4902"/>
    </row>
    <row r="117" spans="2:17" ht="15.75">
      <c r="B117" s="4087"/>
      <c r="C117" s="4090"/>
      <c r="D117" s="155" t="s">
        <v>3579</v>
      </c>
      <c r="G117" s="155" t="s">
        <v>3578</v>
      </c>
      <c r="J117" s="155" t="s">
        <v>47</v>
      </c>
    </row>
    <row r="118" spans="2:17" ht="15.75">
      <c r="B118" s="4073" t="s">
        <v>1</v>
      </c>
      <c r="C118" s="4074" t="s">
        <v>2</v>
      </c>
      <c r="D118" s="4901" t="s">
        <v>3608</v>
      </c>
      <c r="E118" s="4901" t="s">
        <v>3609</v>
      </c>
      <c r="F118" s="4798" t="s">
        <v>47</v>
      </c>
      <c r="G118" s="4901" t="s">
        <v>3608</v>
      </c>
      <c r="H118" s="4901" t="s">
        <v>3609</v>
      </c>
      <c r="I118" s="4075" t="s">
        <v>47</v>
      </c>
      <c r="J118" s="4901" t="s">
        <v>3608</v>
      </c>
      <c r="K118" s="4901" t="s">
        <v>3609</v>
      </c>
      <c r="L118" s="4075" t="s">
        <v>47</v>
      </c>
    </row>
    <row r="119" spans="2:17" ht="15.75">
      <c r="B119" s="4794" t="s">
        <v>1989</v>
      </c>
      <c r="C119" s="4795"/>
      <c r="D119" s="4795"/>
      <c r="E119" s="4795"/>
      <c r="F119" s="4795"/>
      <c r="G119" s="4793"/>
      <c r="H119" s="4793"/>
      <c r="I119" s="4793"/>
      <c r="J119" s="4793"/>
      <c r="K119" s="4793"/>
      <c r="L119" s="4793"/>
    </row>
    <row r="120" spans="2:17">
      <c r="B120" s="4081" t="s">
        <v>14</v>
      </c>
      <c r="C120" s="4082"/>
      <c r="D120" s="171">
        <f>SUM(D88:L88)</f>
        <v>40145</v>
      </c>
      <c r="E120" s="171">
        <f>SUM(M88:O88)</f>
        <v>8604</v>
      </c>
      <c r="F120" s="4799">
        <f>D120+E120</f>
        <v>48749</v>
      </c>
      <c r="G120" s="912"/>
      <c r="H120" s="912">
        <f>'SalesProjection Workings'!L73</f>
        <v>0</v>
      </c>
      <c r="I120" s="912"/>
      <c r="J120" s="912">
        <f>(D120/10^6)+G120</f>
        <v>4.0145E-2</v>
      </c>
      <c r="K120" s="912">
        <f>(E120/10^6)+H120</f>
        <v>8.6040000000000005E-3</v>
      </c>
      <c r="L120" s="912">
        <f>J120+K120</f>
        <v>4.8749000000000001E-2</v>
      </c>
      <c r="M120" s="155" t="b">
        <f t="shared" ref="M120:M146" si="16">F120=P88</f>
        <v>1</v>
      </c>
    </row>
    <row r="121" spans="2:17" ht="15.75">
      <c r="B121" s="962" t="s">
        <v>1917</v>
      </c>
      <c r="C121" s="963" t="s">
        <v>17</v>
      </c>
      <c r="D121" s="171">
        <f t="shared" ref="D121:D139" si="17">SUM(D89:L89)</f>
        <v>537644762</v>
      </c>
      <c r="E121" s="171">
        <f t="shared" ref="E121:E145" si="18">SUM(M89:O89)</f>
        <v>169148983</v>
      </c>
      <c r="F121" s="4799">
        <f t="shared" ref="F121:F145" si="19">D121+E121</f>
        <v>706793745</v>
      </c>
      <c r="G121" s="912"/>
      <c r="H121" s="912">
        <f>'SalesProjection Workings'!L74</f>
        <v>0</v>
      </c>
      <c r="I121" s="912"/>
      <c r="J121" s="912">
        <f t="shared" ref="J121:J128" si="20">(D121/10^6)+G121</f>
        <v>537.64476200000001</v>
      </c>
      <c r="K121" s="912">
        <f>(E121/10^6)+H121</f>
        <v>169.14898299999999</v>
      </c>
      <c r="L121" s="912">
        <f t="shared" ref="L121:L145" si="21">J121+K121</f>
        <v>706.79374499999994</v>
      </c>
      <c r="M121" s="155" t="b">
        <f t="shared" si="16"/>
        <v>1</v>
      </c>
    </row>
    <row r="122" spans="2:17" ht="15.75">
      <c r="B122" s="962"/>
      <c r="C122" s="963" t="s">
        <v>18</v>
      </c>
      <c r="D122" s="171">
        <f t="shared" si="17"/>
        <v>495597251</v>
      </c>
      <c r="E122" s="171">
        <f t="shared" si="18"/>
        <v>114083415</v>
      </c>
      <c r="F122" s="4799">
        <f t="shared" si="19"/>
        <v>609680666</v>
      </c>
      <c r="G122" s="912"/>
      <c r="H122" s="912">
        <f>'SalesProjection Workings'!L75</f>
        <v>0</v>
      </c>
      <c r="I122" s="912"/>
      <c r="J122" s="912">
        <f t="shared" si="20"/>
        <v>495.59725100000003</v>
      </c>
      <c r="K122" s="912">
        <f>(E122/10^6)+H122</f>
        <v>114.083415</v>
      </c>
      <c r="L122" s="912">
        <f t="shared" si="21"/>
        <v>609.68066599999997</v>
      </c>
      <c r="M122" s="155" t="b">
        <f t="shared" si="16"/>
        <v>1</v>
      </c>
    </row>
    <row r="123" spans="2:17" ht="15.75">
      <c r="B123" s="962"/>
      <c r="C123" s="963" t="s">
        <v>19</v>
      </c>
      <c r="D123" s="171">
        <f t="shared" si="17"/>
        <v>159495171</v>
      </c>
      <c r="E123" s="171">
        <f t="shared" si="18"/>
        <v>27027058</v>
      </c>
      <c r="F123" s="4799">
        <f t="shared" si="19"/>
        <v>186522229</v>
      </c>
      <c r="G123" s="912"/>
      <c r="H123" s="912">
        <f>'SalesProjection Workings'!L76</f>
        <v>0</v>
      </c>
      <c r="I123" s="912"/>
      <c r="J123" s="912">
        <f t="shared" si="20"/>
        <v>159.495171</v>
      </c>
      <c r="K123" s="912">
        <f>(E123/10^6)+H123</f>
        <v>27.027058</v>
      </c>
      <c r="L123" s="912">
        <f t="shared" si="21"/>
        <v>186.52222900000001</v>
      </c>
      <c r="M123" s="155" t="b">
        <f t="shared" si="16"/>
        <v>1</v>
      </c>
    </row>
    <row r="124" spans="2:17" ht="15.75">
      <c r="B124" s="962"/>
      <c r="C124" s="963" t="s">
        <v>20</v>
      </c>
      <c r="D124" s="171">
        <f t="shared" si="17"/>
        <v>287538518</v>
      </c>
      <c r="E124" s="171">
        <f t="shared" si="18"/>
        <v>55975311</v>
      </c>
      <c r="F124" s="4799">
        <f t="shared" si="19"/>
        <v>343513829</v>
      </c>
      <c r="G124" s="912"/>
      <c r="H124" s="912">
        <f>'SalesProjection Workings'!L77</f>
        <v>0</v>
      </c>
      <c r="I124" s="912"/>
      <c r="J124" s="912">
        <f t="shared" si="20"/>
        <v>287.53851800000001</v>
      </c>
      <c r="K124" s="912">
        <f>(E124/10^6)+H124</f>
        <v>55.975310999999998</v>
      </c>
      <c r="L124" s="912">
        <f t="shared" si="21"/>
        <v>343.51382899999999</v>
      </c>
      <c r="M124" s="155" t="b">
        <f t="shared" si="16"/>
        <v>1</v>
      </c>
    </row>
    <row r="125" spans="2:17" ht="15.75">
      <c r="B125" s="962" t="s">
        <v>21</v>
      </c>
      <c r="C125" s="963" t="s">
        <v>25</v>
      </c>
      <c r="D125" s="171">
        <f t="shared" si="17"/>
        <v>422097667</v>
      </c>
      <c r="E125" s="171">
        <f t="shared" si="18"/>
        <v>120636368</v>
      </c>
      <c r="F125" s="4799">
        <f t="shared" si="19"/>
        <v>542734035</v>
      </c>
      <c r="G125" s="912"/>
      <c r="H125" s="912">
        <f>'SalesProjection Workings'!L78</f>
        <v>0</v>
      </c>
      <c r="I125" s="912"/>
      <c r="J125" s="912">
        <f t="shared" si="20"/>
        <v>422.097667</v>
      </c>
      <c r="K125" s="912">
        <f t="shared" ref="K125:K134" si="22">(E125/10^6)+H125</f>
        <v>120.636368</v>
      </c>
      <c r="L125" s="912">
        <f t="shared" si="21"/>
        <v>542.73403499999995</v>
      </c>
      <c r="M125" s="155" t="b">
        <f t="shared" si="16"/>
        <v>1</v>
      </c>
    </row>
    <row r="126" spans="2:17" ht="15.75">
      <c r="B126" s="962"/>
      <c r="C126" s="963" t="s">
        <v>26</v>
      </c>
      <c r="D126" s="171">
        <f t="shared" si="17"/>
        <v>278752660</v>
      </c>
      <c r="E126" s="171">
        <f t="shared" si="18"/>
        <v>65722226</v>
      </c>
      <c r="F126" s="4799">
        <f t="shared" si="19"/>
        <v>344474886</v>
      </c>
      <c r="G126" s="912"/>
      <c r="H126" s="912">
        <f>'SalesProjection Workings'!L79</f>
        <v>0</v>
      </c>
      <c r="I126" s="912"/>
      <c r="J126" s="912">
        <f t="shared" si="20"/>
        <v>278.75265999999999</v>
      </c>
      <c r="K126" s="912">
        <f t="shared" si="22"/>
        <v>65.722226000000006</v>
      </c>
      <c r="L126" s="912">
        <f t="shared" si="21"/>
        <v>344.47488599999997</v>
      </c>
      <c r="M126" s="155" t="b">
        <f t="shared" si="16"/>
        <v>1</v>
      </c>
    </row>
    <row r="127" spans="2:17" ht="15.75">
      <c r="B127" s="962" t="s">
        <v>27</v>
      </c>
      <c r="C127" s="978" t="s">
        <v>28</v>
      </c>
      <c r="D127" s="171">
        <f t="shared" si="17"/>
        <v>184754553</v>
      </c>
      <c r="E127" s="171">
        <f t="shared" si="18"/>
        <v>49833408</v>
      </c>
      <c r="F127" s="4799">
        <f t="shared" si="19"/>
        <v>234587961</v>
      </c>
      <c r="G127" s="912"/>
      <c r="H127" s="912">
        <f>'SalesProjection Workings'!L80</f>
        <v>0</v>
      </c>
      <c r="I127" s="912"/>
      <c r="J127" s="912">
        <f t="shared" si="20"/>
        <v>184.75455299999999</v>
      </c>
      <c r="K127" s="912">
        <f t="shared" si="22"/>
        <v>49.833407999999999</v>
      </c>
      <c r="L127" s="912">
        <f t="shared" si="21"/>
        <v>234.58796099999998</v>
      </c>
      <c r="M127" s="155" t="b">
        <f t="shared" si="16"/>
        <v>1</v>
      </c>
    </row>
    <row r="128" spans="2:17" ht="15.75">
      <c r="B128" s="962" t="s">
        <v>29</v>
      </c>
      <c r="C128" s="978" t="s">
        <v>28</v>
      </c>
      <c r="D128" s="171">
        <f t="shared" si="17"/>
        <v>363537464</v>
      </c>
      <c r="E128" s="171">
        <f t="shared" si="18"/>
        <v>99369288</v>
      </c>
      <c r="F128" s="4799">
        <f t="shared" si="19"/>
        <v>462906752</v>
      </c>
      <c r="G128" s="912"/>
      <c r="H128" s="912">
        <f>'SalesProjection Workings'!L81</f>
        <v>0</v>
      </c>
      <c r="I128" s="912"/>
      <c r="J128" s="912">
        <f t="shared" si="20"/>
        <v>363.537464</v>
      </c>
      <c r="K128" s="912">
        <f t="shared" si="22"/>
        <v>99.369287999999997</v>
      </c>
      <c r="L128" s="912">
        <f t="shared" si="21"/>
        <v>462.90675199999998</v>
      </c>
      <c r="M128" s="155" t="b">
        <f t="shared" si="16"/>
        <v>1</v>
      </c>
    </row>
    <row r="129" spans="2:13" ht="15.75">
      <c r="B129" s="962" t="s">
        <v>2226</v>
      </c>
      <c r="C129" s="963" t="s">
        <v>25</v>
      </c>
      <c r="D129" s="171">
        <f t="shared" si="17"/>
        <v>15835091</v>
      </c>
      <c r="E129" s="171">
        <f t="shared" si="18"/>
        <v>4954541</v>
      </c>
      <c r="F129" s="4799">
        <f t="shared" si="19"/>
        <v>20789632</v>
      </c>
      <c r="G129" s="912"/>
      <c r="H129" s="912">
        <f>'SalesProjection Workings'!L82</f>
        <v>0</v>
      </c>
      <c r="I129" s="912"/>
      <c r="J129" s="912">
        <f t="shared" ref="J129:J134" si="23">(D129/10^6)+G129</f>
        <v>15.835091</v>
      </c>
      <c r="K129" s="912">
        <f t="shared" si="22"/>
        <v>4.9545409999999999</v>
      </c>
      <c r="L129" s="912">
        <f t="shared" si="21"/>
        <v>20.789632000000001</v>
      </c>
      <c r="M129" s="155" t="b">
        <f t="shared" si="16"/>
        <v>1</v>
      </c>
    </row>
    <row r="130" spans="2:13" ht="15.75">
      <c r="B130" s="962"/>
      <c r="C130" s="963" t="s">
        <v>26</v>
      </c>
      <c r="D130" s="171">
        <f t="shared" si="17"/>
        <v>17665084</v>
      </c>
      <c r="E130" s="171">
        <f t="shared" si="18"/>
        <v>5161503</v>
      </c>
      <c r="F130" s="4799">
        <f t="shared" si="19"/>
        <v>22826587</v>
      </c>
      <c r="G130" s="912"/>
      <c r="H130" s="912">
        <f>'SalesProjection Workings'!L83</f>
        <v>0</v>
      </c>
      <c r="I130" s="912"/>
      <c r="J130" s="912">
        <f t="shared" si="23"/>
        <v>17.665084</v>
      </c>
      <c r="K130" s="912">
        <f t="shared" si="22"/>
        <v>5.1615029999999997</v>
      </c>
      <c r="L130" s="912">
        <f t="shared" si="21"/>
        <v>22.826587</v>
      </c>
      <c r="M130" s="155" t="b">
        <f t="shared" si="16"/>
        <v>1</v>
      </c>
    </row>
    <row r="131" spans="2:13" ht="15.75">
      <c r="B131" s="962" t="s">
        <v>2227</v>
      </c>
      <c r="C131" s="978" t="s">
        <v>28</v>
      </c>
      <c r="D131" s="171">
        <f t="shared" si="17"/>
        <v>39751915</v>
      </c>
      <c r="E131" s="171">
        <f t="shared" si="18"/>
        <v>12354956</v>
      </c>
      <c r="F131" s="4799">
        <f t="shared" si="19"/>
        <v>52106871</v>
      </c>
      <c r="G131" s="912"/>
      <c r="H131" s="912">
        <f>'SalesProjection Workings'!L84</f>
        <v>0</v>
      </c>
      <c r="I131" s="912"/>
      <c r="J131" s="912">
        <f t="shared" si="23"/>
        <v>39.751914999999997</v>
      </c>
      <c r="K131" s="912">
        <f t="shared" si="22"/>
        <v>12.354956</v>
      </c>
      <c r="L131" s="912">
        <f t="shared" si="21"/>
        <v>52.106870999999998</v>
      </c>
      <c r="M131" s="155" t="b">
        <f t="shared" si="16"/>
        <v>1</v>
      </c>
    </row>
    <row r="132" spans="2:13" ht="15.75">
      <c r="B132" s="962" t="s">
        <v>2228</v>
      </c>
      <c r="C132" s="978" t="s">
        <v>28</v>
      </c>
      <c r="D132" s="171">
        <f t="shared" si="17"/>
        <v>36214222</v>
      </c>
      <c r="E132" s="171">
        <f t="shared" si="18"/>
        <v>11481467</v>
      </c>
      <c r="F132" s="4799">
        <f t="shared" si="19"/>
        <v>47695689</v>
      </c>
      <c r="G132" s="912"/>
      <c r="H132" s="912">
        <f>'SalesProjection Workings'!L85</f>
        <v>0</v>
      </c>
      <c r="I132" s="912"/>
      <c r="J132" s="912">
        <f t="shared" si="23"/>
        <v>36.214221999999999</v>
      </c>
      <c r="K132" s="912">
        <f t="shared" si="22"/>
        <v>11.481467</v>
      </c>
      <c r="L132" s="912">
        <f t="shared" si="21"/>
        <v>47.695689000000002</v>
      </c>
      <c r="M132" s="155" t="b">
        <f t="shared" si="16"/>
        <v>1</v>
      </c>
    </row>
    <row r="133" spans="2:13" ht="15.75">
      <c r="B133" s="962" t="s">
        <v>33</v>
      </c>
      <c r="C133" s="978"/>
      <c r="D133" s="171">
        <f t="shared" si="17"/>
        <v>1175952</v>
      </c>
      <c r="E133" s="171">
        <f t="shared" si="18"/>
        <v>424195</v>
      </c>
      <c r="F133" s="4799">
        <f t="shared" si="19"/>
        <v>1600147</v>
      </c>
      <c r="G133" s="912"/>
      <c r="H133" s="912">
        <f>'SalesProjection Workings'!L86</f>
        <v>0</v>
      </c>
      <c r="I133" s="912"/>
      <c r="J133" s="912">
        <f t="shared" si="23"/>
        <v>1.1759520000000001</v>
      </c>
      <c r="K133" s="912">
        <f t="shared" si="22"/>
        <v>0.42419499999999999</v>
      </c>
      <c r="L133" s="912">
        <f t="shared" si="21"/>
        <v>1.6001470000000002</v>
      </c>
      <c r="M133" s="155" t="b">
        <f t="shared" si="16"/>
        <v>1</v>
      </c>
    </row>
    <row r="134" spans="2:13" ht="15.75">
      <c r="B134" s="962" t="s">
        <v>34</v>
      </c>
      <c r="C134" s="978" t="s">
        <v>28</v>
      </c>
      <c r="D134" s="171">
        <f t="shared" si="17"/>
        <v>21834513.880000003</v>
      </c>
      <c r="E134" s="171">
        <f t="shared" si="18"/>
        <v>8151480.9000000004</v>
      </c>
      <c r="F134" s="4799">
        <f t="shared" ref="F134:F139" si="24">D134+E134</f>
        <v>29985994.780000001</v>
      </c>
      <c r="G134" s="912"/>
      <c r="H134" s="912">
        <f>'SalesProjection Workings'!L87</f>
        <v>0</v>
      </c>
      <c r="I134" s="912"/>
      <c r="J134" s="912">
        <f t="shared" si="23"/>
        <v>21.834513880000003</v>
      </c>
      <c r="K134" s="912">
        <f t="shared" si="22"/>
        <v>8.151480900000001</v>
      </c>
      <c r="L134" s="912">
        <f t="shared" si="21"/>
        <v>29.985994780000006</v>
      </c>
      <c r="M134" s="155" t="b">
        <f t="shared" si="16"/>
        <v>1</v>
      </c>
    </row>
    <row r="135" spans="2:13" ht="15.75">
      <c r="B135" s="962" t="s">
        <v>36</v>
      </c>
      <c r="C135" s="978" t="s">
        <v>28</v>
      </c>
      <c r="D135" s="171">
        <f t="shared" si="17"/>
        <v>2130386</v>
      </c>
      <c r="E135" s="171">
        <f t="shared" si="18"/>
        <v>138670</v>
      </c>
      <c r="F135" s="4799">
        <f t="shared" si="24"/>
        <v>2269056</v>
      </c>
      <c r="G135" s="912"/>
      <c r="H135" s="912">
        <f>'SalesProjection Workings'!L88</f>
        <v>0</v>
      </c>
      <c r="I135" s="912"/>
      <c r="J135" s="912">
        <f t="shared" ref="J135:J145" si="25">(D135/10^6)+G135</f>
        <v>2.1303860000000001</v>
      </c>
      <c r="K135" s="912">
        <f t="shared" ref="K135:K145" si="26">(E135/10^6)+H135</f>
        <v>0.13866999999999999</v>
      </c>
      <c r="L135" s="912">
        <f t="shared" si="21"/>
        <v>2.269056</v>
      </c>
      <c r="M135" s="155" t="b">
        <f t="shared" si="16"/>
        <v>1</v>
      </c>
    </row>
    <row r="136" spans="2:13" ht="15.75">
      <c r="B136" s="962" t="s">
        <v>37</v>
      </c>
      <c r="C136" s="978" t="s">
        <v>28</v>
      </c>
      <c r="D136" s="171">
        <f t="shared" si="17"/>
        <v>27815318</v>
      </c>
      <c r="E136" s="171">
        <f t="shared" si="18"/>
        <v>8552001</v>
      </c>
      <c r="F136" s="4799">
        <f t="shared" si="24"/>
        <v>36367319</v>
      </c>
      <c r="G136" s="912"/>
      <c r="H136" s="912">
        <f>'SalesProjection Workings'!L89</f>
        <v>0</v>
      </c>
      <c r="I136" s="912"/>
      <c r="J136" s="912">
        <f t="shared" si="25"/>
        <v>27.815318000000001</v>
      </c>
      <c r="K136" s="912">
        <f t="shared" si="26"/>
        <v>8.5520010000000006</v>
      </c>
      <c r="L136" s="912">
        <f t="shared" si="21"/>
        <v>36.367319000000002</v>
      </c>
      <c r="M136" s="155" t="b">
        <f t="shared" si="16"/>
        <v>1</v>
      </c>
    </row>
    <row r="137" spans="2:13" ht="15.75">
      <c r="B137" s="962" t="s">
        <v>38</v>
      </c>
      <c r="C137" s="978" t="s">
        <v>28</v>
      </c>
      <c r="D137" s="171">
        <f t="shared" si="17"/>
        <v>931892</v>
      </c>
      <c r="E137" s="171">
        <f t="shared" si="18"/>
        <v>268182</v>
      </c>
      <c r="F137" s="4799">
        <f t="shared" si="24"/>
        <v>1200074</v>
      </c>
      <c r="G137" s="912"/>
      <c r="H137" s="912">
        <f>'SalesProjection Workings'!L90</f>
        <v>0</v>
      </c>
      <c r="I137" s="912"/>
      <c r="J137" s="912">
        <f t="shared" si="25"/>
        <v>0.93189200000000005</v>
      </c>
      <c r="K137" s="912">
        <f t="shared" si="26"/>
        <v>0.26818199999999998</v>
      </c>
      <c r="L137" s="912">
        <f t="shared" si="21"/>
        <v>1.2000740000000001</v>
      </c>
      <c r="M137" s="155" t="b">
        <f t="shared" si="16"/>
        <v>1</v>
      </c>
    </row>
    <row r="138" spans="2:13" ht="15.75">
      <c r="B138" s="962" t="s">
        <v>39</v>
      </c>
      <c r="C138" s="978" t="s">
        <v>28</v>
      </c>
      <c r="D138" s="171">
        <f t="shared" si="17"/>
        <v>9709302</v>
      </c>
      <c r="E138" s="171">
        <f t="shared" si="18"/>
        <v>2737517</v>
      </c>
      <c r="F138" s="4799">
        <f t="shared" si="24"/>
        <v>12446819</v>
      </c>
      <c r="G138" s="912"/>
      <c r="H138" s="912">
        <f>'SalesProjection Workings'!L91</f>
        <v>0</v>
      </c>
      <c r="I138" s="912"/>
      <c r="J138" s="912">
        <f t="shared" si="25"/>
        <v>9.7093019999999992</v>
      </c>
      <c r="K138" s="912">
        <f t="shared" si="26"/>
        <v>2.737517</v>
      </c>
      <c r="L138" s="912">
        <f t="shared" si="21"/>
        <v>12.446819</v>
      </c>
      <c r="M138" s="155" t="b">
        <f t="shared" si="16"/>
        <v>1</v>
      </c>
    </row>
    <row r="139" spans="2:13" ht="15.75">
      <c r="B139" s="972" t="s">
        <v>40</v>
      </c>
      <c r="C139" s="4084" t="s">
        <v>28</v>
      </c>
      <c r="D139" s="171">
        <f t="shared" si="17"/>
        <v>56925298</v>
      </c>
      <c r="E139" s="171">
        <f t="shared" si="18"/>
        <v>17066862</v>
      </c>
      <c r="F139" s="4799">
        <f t="shared" si="24"/>
        <v>73992160</v>
      </c>
      <c r="G139" s="912"/>
      <c r="H139" s="912">
        <f>'SalesProjection Workings'!L92</f>
        <v>0</v>
      </c>
      <c r="I139" s="912"/>
      <c r="J139" s="912">
        <f t="shared" si="25"/>
        <v>56.925297999999998</v>
      </c>
      <c r="K139" s="912">
        <f t="shared" si="26"/>
        <v>17.066862</v>
      </c>
      <c r="L139" s="912">
        <f t="shared" si="21"/>
        <v>73.992159999999998</v>
      </c>
      <c r="M139" s="155" t="b">
        <f t="shared" si="16"/>
        <v>1</v>
      </c>
    </row>
    <row r="140" spans="2:13" ht="15.75">
      <c r="B140" s="4796" t="s">
        <v>3197</v>
      </c>
      <c r="C140" s="4797"/>
      <c r="D140" s="4797"/>
      <c r="E140" s="4797"/>
      <c r="F140" s="4797"/>
      <c r="G140" s="912"/>
      <c r="H140" s="912">
        <f>'SalesProjection Workings'!L93</f>
        <v>0</v>
      </c>
      <c r="I140" s="912"/>
      <c r="J140" s="912">
        <f t="shared" si="25"/>
        <v>0</v>
      </c>
      <c r="K140" s="912">
        <f t="shared" si="26"/>
        <v>0</v>
      </c>
      <c r="L140" s="912">
        <f t="shared" si="21"/>
        <v>0</v>
      </c>
      <c r="M140" s="155" t="b">
        <f t="shared" si="16"/>
        <v>1</v>
      </c>
    </row>
    <row r="141" spans="2:13" ht="15.75">
      <c r="B141" s="4085" t="s">
        <v>2231</v>
      </c>
      <c r="C141" s="989" t="s">
        <v>28</v>
      </c>
      <c r="D141" s="171">
        <f>SUM(D109:L109)</f>
        <v>144149290</v>
      </c>
      <c r="E141" s="171">
        <f t="shared" si="18"/>
        <v>41250140</v>
      </c>
      <c r="F141" s="4799">
        <f t="shared" si="19"/>
        <v>185399430</v>
      </c>
      <c r="G141" s="912"/>
      <c r="H141" s="912">
        <f>'SalesProjection Workings'!L94</f>
        <v>0</v>
      </c>
      <c r="I141" s="912"/>
      <c r="J141" s="912">
        <f>(D141/10^6)+G141</f>
        <v>144.14929000000001</v>
      </c>
      <c r="K141" s="912">
        <f t="shared" si="26"/>
        <v>41.250140000000002</v>
      </c>
      <c r="L141" s="912">
        <f t="shared" si="21"/>
        <v>185.39943</v>
      </c>
      <c r="M141" s="155" t="b">
        <f t="shared" si="16"/>
        <v>1</v>
      </c>
    </row>
    <row r="142" spans="2:13" ht="15.75">
      <c r="B142" s="962" t="s">
        <v>2232</v>
      </c>
      <c r="C142" s="978" t="s">
        <v>28</v>
      </c>
      <c r="D142" s="171">
        <f t="shared" ref="D142:D145" si="27">SUM(D110:L110)</f>
        <v>278236707</v>
      </c>
      <c r="E142" s="171">
        <f t="shared" si="18"/>
        <v>79772088</v>
      </c>
      <c r="F142" s="4799">
        <f t="shared" si="19"/>
        <v>358008795</v>
      </c>
      <c r="G142" s="912"/>
      <c r="H142" s="912">
        <f>'SalesProjection Workings'!L95</f>
        <v>0</v>
      </c>
      <c r="I142" s="912"/>
      <c r="J142" s="912">
        <f>(D142/10^6)+G142</f>
        <v>278.23670700000002</v>
      </c>
      <c r="K142" s="912">
        <f t="shared" si="26"/>
        <v>79.772087999999997</v>
      </c>
      <c r="L142" s="912">
        <f t="shared" si="21"/>
        <v>358.00879500000002</v>
      </c>
      <c r="M142" s="155" t="b">
        <f t="shared" si="16"/>
        <v>1</v>
      </c>
    </row>
    <row r="143" spans="2:13" ht="15.75">
      <c r="B143" s="962" t="s">
        <v>2233</v>
      </c>
      <c r="C143" s="978" t="s">
        <v>28</v>
      </c>
      <c r="D143" s="171">
        <f t="shared" si="27"/>
        <v>25996509</v>
      </c>
      <c r="E143" s="171">
        <f t="shared" si="18"/>
        <v>7189929</v>
      </c>
      <c r="F143" s="4799">
        <f t="shared" si="19"/>
        <v>33186438</v>
      </c>
      <c r="G143" s="912"/>
      <c r="H143" s="912">
        <f>'SalesProjection Workings'!L96</f>
        <v>0</v>
      </c>
      <c r="I143" s="912"/>
      <c r="J143" s="912">
        <f>(D143/10^6)+G143</f>
        <v>25.996509</v>
      </c>
      <c r="K143" s="912">
        <f t="shared" si="26"/>
        <v>7.1899290000000002</v>
      </c>
      <c r="L143" s="912">
        <f t="shared" si="21"/>
        <v>33.186438000000003</v>
      </c>
      <c r="M143" s="155" t="b">
        <f t="shared" si="16"/>
        <v>1</v>
      </c>
    </row>
    <row r="144" spans="2:13" ht="15.75">
      <c r="B144" s="962" t="s">
        <v>2234</v>
      </c>
      <c r="C144" s="978" t="s">
        <v>28</v>
      </c>
      <c r="D144" s="171">
        <f t="shared" si="27"/>
        <v>9709994</v>
      </c>
      <c r="E144" s="171">
        <f t="shared" si="18"/>
        <v>1663244</v>
      </c>
      <c r="F144" s="4799">
        <f t="shared" si="19"/>
        <v>11373238</v>
      </c>
      <c r="G144" s="912"/>
      <c r="H144" s="912">
        <f>'SalesProjection Workings'!L97</f>
        <v>0</v>
      </c>
      <c r="I144" s="912"/>
      <c r="J144" s="912">
        <f t="shared" si="25"/>
        <v>9.709994</v>
      </c>
      <c r="K144" s="912">
        <f t="shared" si="26"/>
        <v>1.6632439999999999</v>
      </c>
      <c r="L144" s="912">
        <f t="shared" si="21"/>
        <v>11.373238000000001</v>
      </c>
      <c r="M144" s="155" t="b">
        <f t="shared" si="16"/>
        <v>1</v>
      </c>
    </row>
    <row r="145" spans="2:13" ht="15.75">
      <c r="B145" s="962" t="s">
        <v>2235</v>
      </c>
      <c r="C145" s="978" t="s">
        <v>28</v>
      </c>
      <c r="D145" s="171">
        <f t="shared" si="27"/>
        <v>75675530</v>
      </c>
      <c r="E145" s="171">
        <f t="shared" si="18"/>
        <v>22644696</v>
      </c>
      <c r="F145" s="4799">
        <f t="shared" si="19"/>
        <v>98320226</v>
      </c>
      <c r="G145" s="912"/>
      <c r="H145" s="912">
        <f>'SalesProjection Workings'!L98</f>
        <v>0</v>
      </c>
      <c r="I145" s="912"/>
      <c r="J145" s="912">
        <f t="shared" si="25"/>
        <v>75.675529999999995</v>
      </c>
      <c r="K145" s="912">
        <f t="shared" si="26"/>
        <v>22.644696</v>
      </c>
      <c r="L145" s="912">
        <f t="shared" si="21"/>
        <v>98.320225999999991</v>
      </c>
      <c r="M145" s="155" t="b">
        <f t="shared" si="16"/>
        <v>1</v>
      </c>
    </row>
    <row r="146" spans="2:13" ht="15.75">
      <c r="B146" s="4899" t="s">
        <v>47</v>
      </c>
      <c r="C146" s="4900"/>
      <c r="D146" s="2">
        <f>SUM(D120:D145)</f>
        <v>3493215194.8800001</v>
      </c>
      <c r="E146" s="2">
        <f>SUM(E120:E145)</f>
        <v>925616132.89999998</v>
      </c>
      <c r="F146" s="176">
        <f>SUM(F120:F145)</f>
        <v>4418831327.7800007</v>
      </c>
      <c r="G146" s="4903">
        <f t="shared" ref="G146" si="28">SUM(G120:G145)</f>
        <v>0</v>
      </c>
      <c r="H146" s="4903">
        <f>'SalesProjection Workings'!L99</f>
        <v>0</v>
      </c>
      <c r="I146" s="912"/>
      <c r="J146" s="912">
        <f>SUM(J120:J145)</f>
        <v>3493.2151948799997</v>
      </c>
      <c r="K146" s="912">
        <f>SUM(K120:K145)</f>
        <v>925.61613290000003</v>
      </c>
      <c r="L146" s="912">
        <f t="shared" ref="L146" si="29">SUM(L120:L145)</f>
        <v>4418.8313277799989</v>
      </c>
      <c r="M146" s="155" t="b">
        <f t="shared" si="16"/>
        <v>1</v>
      </c>
    </row>
    <row r="147" spans="2:13">
      <c r="B147" s="4793"/>
      <c r="C147" s="4793"/>
      <c r="D147" s="4898">
        <f>D146/$F$146</f>
        <v>0.79052920008942151</v>
      </c>
      <c r="E147" s="4898">
        <f>E146/$F$146</f>
        <v>0.2094707999105784</v>
      </c>
      <c r="F147" s="4898">
        <f t="shared" ref="F147" si="30">F146/$F$146</f>
        <v>1</v>
      </c>
      <c r="G147" s="3584">
        <f>D147</f>
        <v>0.79052920008942151</v>
      </c>
      <c r="H147" s="3584">
        <f>E147</f>
        <v>0.2094707999105784</v>
      </c>
      <c r="I147" s="3584">
        <v>1</v>
      </c>
    </row>
    <row r="148" spans="2:13">
      <c r="F148" s="155" t="b">
        <f>F146=P114</f>
        <v>1</v>
      </c>
    </row>
  </sheetData>
  <mergeCells count="6">
    <mergeCell ref="B108:P108"/>
    <mergeCell ref="B6:P6"/>
    <mergeCell ref="B36:O36"/>
    <mergeCell ref="B50:P50"/>
    <mergeCell ref="B72:P72"/>
    <mergeCell ref="B87:P87"/>
  </mergeCells>
  <pageMargins left="0.7" right="0.7" top="0.75" bottom="0.75" header="0.3" footer="0.3"/>
  <pageSetup orientation="portrait" verticalDpi="0" r:id="rId1"/>
</worksheet>
</file>

<file path=xl/worksheets/sheet19.xml><?xml version="1.0" encoding="utf-8"?>
<worksheet xmlns="http://schemas.openxmlformats.org/spreadsheetml/2006/main" xmlns:r="http://schemas.openxmlformats.org/officeDocument/2006/relationships">
  <sheetPr codeName="Sheet38">
    <pageSetUpPr fitToPage="1"/>
  </sheetPr>
  <dimension ref="B1:O19"/>
  <sheetViews>
    <sheetView showGridLines="0" view="pageBreakPreview" zoomScale="70" zoomScaleNormal="70" zoomScaleSheetLayoutView="70" workbookViewId="0">
      <selection activeCell="M10" sqref="M10"/>
    </sheetView>
  </sheetViews>
  <sheetFormatPr defaultRowHeight="15.75"/>
  <cols>
    <col min="1" max="1" width="1.85546875" style="254" customWidth="1"/>
    <col min="2" max="2" width="7.140625" style="254" customWidth="1"/>
    <col min="3" max="5" width="9.140625" style="254"/>
    <col min="6" max="6" width="12.42578125" style="254" customWidth="1"/>
    <col min="7" max="7" width="9.140625" style="254"/>
    <col min="8" max="9" width="20.7109375" style="254" customWidth="1"/>
    <col min="10" max="10" width="19.28515625" style="254" customWidth="1"/>
    <col min="11" max="11" width="19.42578125" style="254" customWidth="1"/>
    <col min="12" max="12" width="19.42578125" style="254" hidden="1" customWidth="1"/>
    <col min="13" max="13" width="19.140625" style="254" hidden="1" customWidth="1"/>
    <col min="14" max="15" width="15.28515625" style="254" hidden="1" customWidth="1"/>
    <col min="16" max="16" width="0" style="254" hidden="1" customWidth="1"/>
    <col min="17" max="16384" width="9.140625" style="254"/>
  </cols>
  <sheetData>
    <row r="1" spans="2:15">
      <c r="B1" s="5443" t="s">
        <v>100</v>
      </c>
      <c r="C1" s="5443"/>
      <c r="D1" s="5443"/>
      <c r="E1" s="5443"/>
      <c r="F1" s="5443"/>
      <c r="G1" s="5443"/>
      <c r="H1" s="5443"/>
      <c r="I1" s="5443"/>
      <c r="J1" s="5443"/>
      <c r="K1" s="5443"/>
      <c r="L1" s="5443"/>
      <c r="M1" s="5443"/>
      <c r="N1" s="5443"/>
      <c r="O1" s="5443"/>
    </row>
    <row r="2" spans="2:15">
      <c r="B2" s="5381" t="s">
        <v>3915</v>
      </c>
      <c r="C2" s="5381"/>
      <c r="D2" s="5381"/>
      <c r="E2" s="5381"/>
      <c r="F2" s="5381"/>
      <c r="G2" s="5381"/>
      <c r="H2" s="5381"/>
      <c r="I2" s="5381"/>
      <c r="J2" s="5381"/>
      <c r="K2" s="5381"/>
      <c r="L2" s="5381"/>
      <c r="M2" s="5381"/>
      <c r="N2" s="5381"/>
      <c r="O2" s="5381"/>
    </row>
    <row r="3" spans="2:15">
      <c r="B3" s="5381" t="s">
        <v>3564</v>
      </c>
      <c r="C3" s="5381"/>
      <c r="D3" s="5381"/>
      <c r="E3" s="5381"/>
      <c r="F3" s="5381"/>
      <c r="G3" s="5381"/>
      <c r="H3" s="5381"/>
      <c r="I3" s="5381"/>
      <c r="J3" s="5381"/>
      <c r="K3" s="5381"/>
      <c r="L3" s="5381"/>
      <c r="M3" s="5381"/>
      <c r="N3" s="5381"/>
      <c r="O3" s="5381"/>
    </row>
    <row r="4" spans="2:15">
      <c r="B4" s="5446"/>
      <c r="C4" s="5446"/>
      <c r="D4" s="5446"/>
      <c r="E4" s="5446"/>
      <c r="F4" s="5446"/>
      <c r="G4" s="5446"/>
      <c r="H4" s="5446"/>
      <c r="I4" s="5446"/>
    </row>
    <row r="6" spans="2:15" s="260" customFormat="1" ht="20.100000000000001" customHeight="1">
      <c r="B6" s="5435" t="s">
        <v>84</v>
      </c>
      <c r="C6" s="5437" t="s">
        <v>81</v>
      </c>
      <c r="D6" s="5438"/>
      <c r="E6" s="5438"/>
      <c r="F6" s="5439"/>
      <c r="G6" s="5435" t="s">
        <v>85</v>
      </c>
      <c r="H6" s="5444" t="s">
        <v>82</v>
      </c>
      <c r="I6" s="5445"/>
      <c r="J6" s="5447" t="s">
        <v>1845</v>
      </c>
      <c r="K6" s="5447"/>
      <c r="L6" s="5447" t="s">
        <v>2442</v>
      </c>
      <c r="M6" s="5447"/>
      <c r="N6" s="5447" t="s">
        <v>2443</v>
      </c>
      <c r="O6" s="5447"/>
    </row>
    <row r="7" spans="2:15" s="260" customFormat="1" ht="31.5">
      <c r="B7" s="5436"/>
      <c r="C7" s="5440"/>
      <c r="D7" s="5441"/>
      <c r="E7" s="5441"/>
      <c r="F7" s="5442"/>
      <c r="G7" s="5436"/>
      <c r="H7" s="3795" t="s">
        <v>756</v>
      </c>
      <c r="I7" s="4565" t="s">
        <v>96</v>
      </c>
      <c r="J7" s="3798" t="s">
        <v>756</v>
      </c>
      <c r="K7" s="4565" t="s">
        <v>96</v>
      </c>
      <c r="L7" s="3798" t="s">
        <v>756</v>
      </c>
      <c r="M7" s="4647" t="s">
        <v>3399</v>
      </c>
      <c r="N7" s="3798" t="s">
        <v>756</v>
      </c>
      <c r="O7" s="4647" t="s">
        <v>3399</v>
      </c>
    </row>
    <row r="8" spans="2:15" s="261" customFormat="1" ht="27" customHeight="1">
      <c r="B8" s="3802">
        <v>1</v>
      </c>
      <c r="C8" s="5434" t="s">
        <v>87</v>
      </c>
      <c r="D8" s="5434"/>
      <c r="E8" s="5434"/>
      <c r="F8" s="5434"/>
      <c r="G8" s="3802" t="s">
        <v>83</v>
      </c>
      <c r="H8" s="3801">
        <v>4392.95</v>
      </c>
      <c r="I8" s="363">
        <f>'F14'!F45/10^6</f>
        <v>4392.9450818099995</v>
      </c>
      <c r="J8" s="1303">
        <v>4758.37</v>
      </c>
      <c r="K8" s="257">
        <f>'F14'!F98/10^6</f>
        <v>4351.5211695899998</v>
      </c>
      <c r="L8" s="1305">
        <f>L10*(1-L9)</f>
        <v>5216.1587025574863</v>
      </c>
      <c r="M8" s="257">
        <f>Assumptions!$G$71</f>
        <v>4418.8313277799989</v>
      </c>
      <c r="N8" s="1305">
        <f>N10*(1-N9)</f>
        <v>5734.9358270161192</v>
      </c>
      <c r="O8" s="257">
        <f>Assumptions!$H$71</f>
        <v>4593.6293562891042</v>
      </c>
    </row>
    <row r="9" spans="2:15" s="261" customFormat="1" ht="27" customHeight="1">
      <c r="B9" s="3802">
        <f>B8+1</f>
        <v>2</v>
      </c>
      <c r="C9" s="5434" t="s">
        <v>88</v>
      </c>
      <c r="D9" s="5434"/>
      <c r="E9" s="5434"/>
      <c r="F9" s="5434"/>
      <c r="G9" s="3802" t="s">
        <v>89</v>
      </c>
      <c r="H9" s="262">
        <f>(H10-H8)/H10</f>
        <v>6.6860533040480452E-2</v>
      </c>
      <c r="I9" s="364">
        <f>(I10-I8)/I10</f>
        <v>6.606239334346517E-2</v>
      </c>
      <c r="J9" s="364">
        <v>7.0000000000000007E-2</v>
      </c>
      <c r="K9" s="1306">
        <f>(K10-K8)/K10</f>
        <v>5.8984652685068917E-2</v>
      </c>
      <c r="L9" s="364">
        <f>Assumptions!$G74</f>
        <v>6.7500000000000004E-2</v>
      </c>
      <c r="M9" s="1306">
        <f>(M10-M8)/M10</f>
        <v>6.5317048767100511E-2</v>
      </c>
      <c r="N9" s="364">
        <f>Assumptions!$H74</f>
        <v>6.4955550000000001E-2</v>
      </c>
      <c r="O9" s="364">
        <f>Assumptions!$H75</f>
        <v>6.4955550000000001E-2</v>
      </c>
    </row>
    <row r="10" spans="2:15" s="261" customFormat="1" ht="27" customHeight="1">
      <c r="B10" s="3802">
        <f>B9+1</f>
        <v>3</v>
      </c>
      <c r="C10" s="5434" t="s">
        <v>90</v>
      </c>
      <c r="D10" s="5434"/>
      <c r="E10" s="5434"/>
      <c r="F10" s="5434"/>
      <c r="G10" s="3802" t="s">
        <v>83</v>
      </c>
      <c r="H10" s="3801">
        <v>4707.71</v>
      </c>
      <c r="I10" s="363">
        <v>4703.6815420000003</v>
      </c>
      <c r="J10" s="363">
        <f>J8/(1-J9)</f>
        <v>5116.5268817204305</v>
      </c>
      <c r="K10" s="1305">
        <v>4624.2828897600002</v>
      </c>
      <c r="L10" s="1305">
        <f>L12*(1-L11)</f>
        <v>5593.7358740562859</v>
      </c>
      <c r="M10" s="4974">
        <f>'[88]PP FY2014-15 (As on 21-05-2015)'!$B$43</f>
        <v>4727.6258991899995</v>
      </c>
      <c r="N10" s="1305">
        <f>N12*(1-N11)</f>
        <v>6133.3296262184322</v>
      </c>
      <c r="O10" s="1305">
        <f>O8/(1-O9)</f>
        <v>4912.7390214327288</v>
      </c>
    </row>
    <row r="11" spans="2:15" s="261" customFormat="1" ht="27" customHeight="1">
      <c r="B11" s="3802">
        <f>B10+1</f>
        <v>4</v>
      </c>
      <c r="C11" s="5434" t="s">
        <v>91</v>
      </c>
      <c r="D11" s="5434"/>
      <c r="E11" s="5434"/>
      <c r="F11" s="5434"/>
      <c r="G11" s="3802" t="s">
        <v>89</v>
      </c>
      <c r="H11" s="262">
        <f>(H12-H10)/H12</f>
        <v>4.1999552308662889E-2</v>
      </c>
      <c r="I11" s="5007">
        <f>(I12-I10)/I12</f>
        <v>4.127274109647143E-2</v>
      </c>
      <c r="J11" s="1304">
        <f>H11</f>
        <v>4.1999552308662889E-2</v>
      </c>
      <c r="K11" s="5008">
        <f>(K12-K10)/K12</f>
        <v>4.1010822723680708E-2</v>
      </c>
      <c r="L11" s="1306">
        <f>Assumptions!G$77</f>
        <v>4.1999552308662889E-2</v>
      </c>
      <c r="M11" s="262">
        <f>(M12-M10)/M12</f>
        <v>3.9037176006957046E-2</v>
      </c>
      <c r="N11" s="1306">
        <f>Assumptions!H$77</f>
        <v>4.1999552308662889E-2</v>
      </c>
      <c r="O11" s="1306">
        <f>Assumptions!$H$78</f>
        <v>4.0800000000000003E-2</v>
      </c>
    </row>
    <row r="12" spans="2:15" s="261" customFormat="1" ht="27" customHeight="1">
      <c r="B12" s="3802">
        <f>B11+1</f>
        <v>5</v>
      </c>
      <c r="C12" s="5434" t="s">
        <v>92</v>
      </c>
      <c r="D12" s="5434"/>
      <c r="E12" s="5434"/>
      <c r="F12" s="5434"/>
      <c r="G12" s="3802" t="s">
        <v>83</v>
      </c>
      <c r="H12" s="257">
        <v>4914.1000000000004</v>
      </c>
      <c r="I12" s="363">
        <f>'F2'!I30</f>
        <v>4906.1727392412713</v>
      </c>
      <c r="J12" s="257">
        <f>J10/(1-J11)</f>
        <v>5340.8397606187236</v>
      </c>
      <c r="K12" s="257">
        <f>'F2'!O30</f>
        <v>4822.0386625151432</v>
      </c>
      <c r="L12" s="257">
        <f>'F2'!R30</f>
        <v>5838.9699999999993</v>
      </c>
      <c r="M12" s="257">
        <f>'F2'!U30</f>
        <v>4919.67616348104</v>
      </c>
      <c r="N12" s="257">
        <f>'F2'!X30</f>
        <v>6402.22</v>
      </c>
      <c r="O12" s="1305">
        <f>O10/(1-O11)</f>
        <v>5121.7045677989245</v>
      </c>
    </row>
    <row r="13" spans="2:15" ht="16.5" customHeight="1"/>
    <row r="14" spans="2:15">
      <c r="I14" s="1631"/>
      <c r="K14" s="1631"/>
      <c r="M14" s="807"/>
      <c r="O14" s="807"/>
    </row>
    <row r="15" spans="2:15">
      <c r="I15" s="264"/>
      <c r="K15" s="264">
        <f>J8-K8</f>
        <v>406.84883041000012</v>
      </c>
      <c r="M15" s="264">
        <f>L8-M8</f>
        <v>797.32737477748742</v>
      </c>
      <c r="O15" s="264">
        <f>N8-O8</f>
        <v>1141.306470727015</v>
      </c>
    </row>
    <row r="16" spans="2:15">
      <c r="I16" s="264"/>
      <c r="K16" s="264"/>
      <c r="M16" s="264"/>
      <c r="O16" s="264"/>
    </row>
    <row r="17" spans="11:15">
      <c r="K17" s="264">
        <f>J10-K10</f>
        <v>492.24399196043032</v>
      </c>
      <c r="M17" s="264">
        <f>L10-M10</f>
        <v>866.10997486628639</v>
      </c>
      <c r="O17" s="264">
        <f>N10-O10</f>
        <v>1220.5906047857034</v>
      </c>
    </row>
    <row r="19" spans="11:15">
      <c r="K19" s="264">
        <f>J12-K12</f>
        <v>518.80109810358044</v>
      </c>
      <c r="M19" s="264">
        <f>L12-M12</f>
        <v>919.29383651895932</v>
      </c>
      <c r="O19" s="264">
        <f>N12-O12</f>
        <v>1280.5154322010758</v>
      </c>
    </row>
  </sheetData>
  <mergeCells count="16">
    <mergeCell ref="B1:O1"/>
    <mergeCell ref="B2:O2"/>
    <mergeCell ref="B3:O3"/>
    <mergeCell ref="G6:G7"/>
    <mergeCell ref="H6:I6"/>
    <mergeCell ref="B4:I4"/>
    <mergeCell ref="L6:M6"/>
    <mergeCell ref="N6:O6"/>
    <mergeCell ref="J6:K6"/>
    <mergeCell ref="C10:F10"/>
    <mergeCell ref="C11:F11"/>
    <mergeCell ref="C12:F12"/>
    <mergeCell ref="B6:B7"/>
    <mergeCell ref="C6:F7"/>
    <mergeCell ref="C8:F8"/>
    <mergeCell ref="C9:F9"/>
  </mergeCells>
  <printOptions horizontalCentered="1"/>
  <pageMargins left="0.2" right="0.2" top="0.89" bottom="0.75" header="0.3" footer="0.3"/>
  <pageSetup paperSize="9" orientation="landscape" r:id="rId1"/>
  <ignoredErrors>
    <ignoredError sqref="O11 N12 J8:L8 J11 J10 N10 N11 L10 L11 J9 L9 N8 N9" formula="1"/>
  </ignoredErrors>
</worksheet>
</file>

<file path=xl/worksheets/sheet2.xml><?xml version="1.0" encoding="utf-8"?>
<worksheet xmlns="http://schemas.openxmlformats.org/spreadsheetml/2006/main" xmlns:r="http://schemas.openxmlformats.org/officeDocument/2006/relationships">
  <sheetPr codeName="Sheet2"/>
  <dimension ref="B2:Q44"/>
  <sheetViews>
    <sheetView showGridLines="0" view="pageBreakPreview" zoomScale="70" zoomScaleSheetLayoutView="70" workbookViewId="0">
      <pane xSplit="2" ySplit="7" topLeftCell="C8" activePane="bottomRight" state="frozen"/>
      <selection pane="topRight" activeCell="C1" sqref="C1"/>
      <selection pane="bottomLeft" activeCell="A9" sqref="A9"/>
      <selection pane="bottomRight" activeCell="C25" sqref="C25"/>
    </sheetView>
  </sheetViews>
  <sheetFormatPr defaultRowHeight="15"/>
  <cols>
    <col min="1" max="1" width="0.140625" style="11" customWidth="1"/>
    <col min="2" max="2" width="8.85546875" style="4860" customWidth="1"/>
    <col min="3" max="3" width="51.140625" style="11" customWidth="1"/>
    <col min="4" max="4" width="23.140625" style="11" customWidth="1"/>
    <col min="5" max="5" width="20.7109375" style="11" customWidth="1"/>
    <col min="6" max="17" width="18.7109375" style="11" customWidth="1"/>
    <col min="18" max="259" width="9.140625" style="11"/>
    <col min="260" max="260" width="6.28515625" style="11" customWidth="1"/>
    <col min="261" max="261" width="7" style="11" customWidth="1"/>
    <col min="262" max="262" width="59.140625" style="11" customWidth="1"/>
    <col min="263" max="263" width="23.140625" style="11" customWidth="1"/>
    <col min="264" max="264" width="20.7109375" style="11" customWidth="1"/>
    <col min="265" max="273" width="18.7109375" style="11" customWidth="1"/>
    <col min="274" max="515" width="9.140625" style="11"/>
    <col min="516" max="516" width="6.28515625" style="11" customWidth="1"/>
    <col min="517" max="517" width="7" style="11" customWidth="1"/>
    <col min="518" max="518" width="59.140625" style="11" customWidth="1"/>
    <col min="519" max="519" width="23.140625" style="11" customWidth="1"/>
    <col min="520" max="520" width="20.7109375" style="11" customWidth="1"/>
    <col min="521" max="529" width="18.7109375" style="11" customWidth="1"/>
    <col min="530" max="771" width="9.140625" style="11"/>
    <col min="772" max="772" width="6.28515625" style="11" customWidth="1"/>
    <col min="773" max="773" width="7" style="11" customWidth="1"/>
    <col min="774" max="774" width="59.140625" style="11" customWidth="1"/>
    <col min="775" max="775" width="23.140625" style="11" customWidth="1"/>
    <col min="776" max="776" width="20.7109375" style="11" customWidth="1"/>
    <col min="777" max="785" width="18.7109375" style="11" customWidth="1"/>
    <col min="786" max="1027" width="9.140625" style="11"/>
    <col min="1028" max="1028" width="6.28515625" style="11" customWidth="1"/>
    <col min="1029" max="1029" width="7" style="11" customWidth="1"/>
    <col min="1030" max="1030" width="59.140625" style="11" customWidth="1"/>
    <col min="1031" max="1031" width="23.140625" style="11" customWidth="1"/>
    <col min="1032" max="1032" width="20.7109375" style="11" customWidth="1"/>
    <col min="1033" max="1041" width="18.7109375" style="11" customWidth="1"/>
    <col min="1042" max="1283" width="9.140625" style="11"/>
    <col min="1284" max="1284" width="6.28515625" style="11" customWidth="1"/>
    <col min="1285" max="1285" width="7" style="11" customWidth="1"/>
    <col min="1286" max="1286" width="59.140625" style="11" customWidth="1"/>
    <col min="1287" max="1287" width="23.140625" style="11" customWidth="1"/>
    <col min="1288" max="1288" width="20.7109375" style="11" customWidth="1"/>
    <col min="1289" max="1297" width="18.7109375" style="11" customWidth="1"/>
    <col min="1298" max="1539" width="9.140625" style="11"/>
    <col min="1540" max="1540" width="6.28515625" style="11" customWidth="1"/>
    <col min="1541" max="1541" width="7" style="11" customWidth="1"/>
    <col min="1542" max="1542" width="59.140625" style="11" customWidth="1"/>
    <col min="1543" max="1543" width="23.140625" style="11" customWidth="1"/>
    <col min="1544" max="1544" width="20.7109375" style="11" customWidth="1"/>
    <col min="1545" max="1553" width="18.7109375" style="11" customWidth="1"/>
    <col min="1554" max="1795" width="9.140625" style="11"/>
    <col min="1796" max="1796" width="6.28515625" style="11" customWidth="1"/>
    <col min="1797" max="1797" width="7" style="11" customWidth="1"/>
    <col min="1798" max="1798" width="59.140625" style="11" customWidth="1"/>
    <col min="1799" max="1799" width="23.140625" style="11" customWidth="1"/>
    <col min="1800" max="1800" width="20.7109375" style="11" customWidth="1"/>
    <col min="1801" max="1809" width="18.7109375" style="11" customWidth="1"/>
    <col min="1810" max="2051" width="9.140625" style="11"/>
    <col min="2052" max="2052" width="6.28515625" style="11" customWidth="1"/>
    <col min="2053" max="2053" width="7" style="11" customWidth="1"/>
    <col min="2054" max="2054" width="59.140625" style="11" customWidth="1"/>
    <col min="2055" max="2055" width="23.140625" style="11" customWidth="1"/>
    <col min="2056" max="2056" width="20.7109375" style="11" customWidth="1"/>
    <col min="2057" max="2065" width="18.7109375" style="11" customWidth="1"/>
    <col min="2066" max="2307" width="9.140625" style="11"/>
    <col min="2308" max="2308" width="6.28515625" style="11" customWidth="1"/>
    <col min="2309" max="2309" width="7" style="11" customWidth="1"/>
    <col min="2310" max="2310" width="59.140625" style="11" customWidth="1"/>
    <col min="2311" max="2311" width="23.140625" style="11" customWidth="1"/>
    <col min="2312" max="2312" width="20.7109375" style="11" customWidth="1"/>
    <col min="2313" max="2321" width="18.7109375" style="11" customWidth="1"/>
    <col min="2322" max="2563" width="9.140625" style="11"/>
    <col min="2564" max="2564" width="6.28515625" style="11" customWidth="1"/>
    <col min="2565" max="2565" width="7" style="11" customWidth="1"/>
    <col min="2566" max="2566" width="59.140625" style="11" customWidth="1"/>
    <col min="2567" max="2567" width="23.140625" style="11" customWidth="1"/>
    <col min="2568" max="2568" width="20.7109375" style="11" customWidth="1"/>
    <col min="2569" max="2577" width="18.7109375" style="11" customWidth="1"/>
    <col min="2578" max="2819" width="9.140625" style="11"/>
    <col min="2820" max="2820" width="6.28515625" style="11" customWidth="1"/>
    <col min="2821" max="2821" width="7" style="11" customWidth="1"/>
    <col min="2822" max="2822" width="59.140625" style="11" customWidth="1"/>
    <col min="2823" max="2823" width="23.140625" style="11" customWidth="1"/>
    <col min="2824" max="2824" width="20.7109375" style="11" customWidth="1"/>
    <col min="2825" max="2833" width="18.7109375" style="11" customWidth="1"/>
    <col min="2834" max="3075" width="9.140625" style="11"/>
    <col min="3076" max="3076" width="6.28515625" style="11" customWidth="1"/>
    <col min="3077" max="3077" width="7" style="11" customWidth="1"/>
    <col min="3078" max="3078" width="59.140625" style="11" customWidth="1"/>
    <col min="3079" max="3079" width="23.140625" style="11" customWidth="1"/>
    <col min="3080" max="3080" width="20.7109375" style="11" customWidth="1"/>
    <col min="3081" max="3089" width="18.7109375" style="11" customWidth="1"/>
    <col min="3090" max="3331" width="9.140625" style="11"/>
    <col min="3332" max="3332" width="6.28515625" style="11" customWidth="1"/>
    <col min="3333" max="3333" width="7" style="11" customWidth="1"/>
    <col min="3334" max="3334" width="59.140625" style="11" customWidth="1"/>
    <col min="3335" max="3335" width="23.140625" style="11" customWidth="1"/>
    <col min="3336" max="3336" width="20.7109375" style="11" customWidth="1"/>
    <col min="3337" max="3345" width="18.7109375" style="11" customWidth="1"/>
    <col min="3346" max="3587" width="9.140625" style="11"/>
    <col min="3588" max="3588" width="6.28515625" style="11" customWidth="1"/>
    <col min="3589" max="3589" width="7" style="11" customWidth="1"/>
    <col min="3590" max="3590" width="59.140625" style="11" customWidth="1"/>
    <col min="3591" max="3591" width="23.140625" style="11" customWidth="1"/>
    <col min="3592" max="3592" width="20.7109375" style="11" customWidth="1"/>
    <col min="3593" max="3601" width="18.7109375" style="11" customWidth="1"/>
    <col min="3602" max="3843" width="9.140625" style="11"/>
    <col min="3844" max="3844" width="6.28515625" style="11" customWidth="1"/>
    <col min="3845" max="3845" width="7" style="11" customWidth="1"/>
    <col min="3846" max="3846" width="59.140625" style="11" customWidth="1"/>
    <col min="3847" max="3847" width="23.140625" style="11" customWidth="1"/>
    <col min="3848" max="3848" width="20.7109375" style="11" customWidth="1"/>
    <col min="3849" max="3857" width="18.7109375" style="11" customWidth="1"/>
    <col min="3858" max="4099" width="9.140625" style="11"/>
    <col min="4100" max="4100" width="6.28515625" style="11" customWidth="1"/>
    <col min="4101" max="4101" width="7" style="11" customWidth="1"/>
    <col min="4102" max="4102" width="59.140625" style="11" customWidth="1"/>
    <col min="4103" max="4103" width="23.140625" style="11" customWidth="1"/>
    <col min="4104" max="4104" width="20.7109375" style="11" customWidth="1"/>
    <col min="4105" max="4113" width="18.7109375" style="11" customWidth="1"/>
    <col min="4114" max="4355" width="9.140625" style="11"/>
    <col min="4356" max="4356" width="6.28515625" style="11" customWidth="1"/>
    <col min="4357" max="4357" width="7" style="11" customWidth="1"/>
    <col min="4358" max="4358" width="59.140625" style="11" customWidth="1"/>
    <col min="4359" max="4359" width="23.140625" style="11" customWidth="1"/>
    <col min="4360" max="4360" width="20.7109375" style="11" customWidth="1"/>
    <col min="4361" max="4369" width="18.7109375" style="11" customWidth="1"/>
    <col min="4370" max="4611" width="9.140625" style="11"/>
    <col min="4612" max="4612" width="6.28515625" style="11" customWidth="1"/>
    <col min="4613" max="4613" width="7" style="11" customWidth="1"/>
    <col min="4614" max="4614" width="59.140625" style="11" customWidth="1"/>
    <col min="4615" max="4615" width="23.140625" style="11" customWidth="1"/>
    <col min="4616" max="4616" width="20.7109375" style="11" customWidth="1"/>
    <col min="4617" max="4625" width="18.7109375" style="11" customWidth="1"/>
    <col min="4626" max="4867" width="9.140625" style="11"/>
    <col min="4868" max="4868" width="6.28515625" style="11" customWidth="1"/>
    <col min="4869" max="4869" width="7" style="11" customWidth="1"/>
    <col min="4870" max="4870" width="59.140625" style="11" customWidth="1"/>
    <col min="4871" max="4871" width="23.140625" style="11" customWidth="1"/>
    <col min="4872" max="4872" width="20.7109375" style="11" customWidth="1"/>
    <col min="4873" max="4881" width="18.7109375" style="11" customWidth="1"/>
    <col min="4882" max="5123" width="9.140625" style="11"/>
    <col min="5124" max="5124" width="6.28515625" style="11" customWidth="1"/>
    <col min="5125" max="5125" width="7" style="11" customWidth="1"/>
    <col min="5126" max="5126" width="59.140625" style="11" customWidth="1"/>
    <col min="5127" max="5127" width="23.140625" style="11" customWidth="1"/>
    <col min="5128" max="5128" width="20.7109375" style="11" customWidth="1"/>
    <col min="5129" max="5137" width="18.7109375" style="11" customWidth="1"/>
    <col min="5138" max="5379" width="9.140625" style="11"/>
    <col min="5380" max="5380" width="6.28515625" style="11" customWidth="1"/>
    <col min="5381" max="5381" width="7" style="11" customWidth="1"/>
    <col min="5382" max="5382" width="59.140625" style="11" customWidth="1"/>
    <col min="5383" max="5383" width="23.140625" style="11" customWidth="1"/>
    <col min="5384" max="5384" width="20.7109375" style="11" customWidth="1"/>
    <col min="5385" max="5393" width="18.7109375" style="11" customWidth="1"/>
    <col min="5394" max="5635" width="9.140625" style="11"/>
    <col min="5636" max="5636" width="6.28515625" style="11" customWidth="1"/>
    <col min="5637" max="5637" width="7" style="11" customWidth="1"/>
    <col min="5638" max="5638" width="59.140625" style="11" customWidth="1"/>
    <col min="5639" max="5639" width="23.140625" style="11" customWidth="1"/>
    <col min="5640" max="5640" width="20.7109375" style="11" customWidth="1"/>
    <col min="5641" max="5649" width="18.7109375" style="11" customWidth="1"/>
    <col min="5650" max="5891" width="9.140625" style="11"/>
    <col min="5892" max="5892" width="6.28515625" style="11" customWidth="1"/>
    <col min="5893" max="5893" width="7" style="11" customWidth="1"/>
    <col min="5894" max="5894" width="59.140625" style="11" customWidth="1"/>
    <col min="5895" max="5895" width="23.140625" style="11" customWidth="1"/>
    <col min="5896" max="5896" width="20.7109375" style="11" customWidth="1"/>
    <col min="5897" max="5905" width="18.7109375" style="11" customWidth="1"/>
    <col min="5906" max="6147" width="9.140625" style="11"/>
    <col min="6148" max="6148" width="6.28515625" style="11" customWidth="1"/>
    <col min="6149" max="6149" width="7" style="11" customWidth="1"/>
    <col min="6150" max="6150" width="59.140625" style="11" customWidth="1"/>
    <col min="6151" max="6151" width="23.140625" style="11" customWidth="1"/>
    <col min="6152" max="6152" width="20.7109375" style="11" customWidth="1"/>
    <col min="6153" max="6161" width="18.7109375" style="11" customWidth="1"/>
    <col min="6162" max="6403" width="9.140625" style="11"/>
    <col min="6404" max="6404" width="6.28515625" style="11" customWidth="1"/>
    <col min="6405" max="6405" width="7" style="11" customWidth="1"/>
    <col min="6406" max="6406" width="59.140625" style="11" customWidth="1"/>
    <col min="6407" max="6407" width="23.140625" style="11" customWidth="1"/>
    <col min="6408" max="6408" width="20.7109375" style="11" customWidth="1"/>
    <col min="6409" max="6417" width="18.7109375" style="11" customWidth="1"/>
    <col min="6418" max="6659" width="9.140625" style="11"/>
    <col min="6660" max="6660" width="6.28515625" style="11" customWidth="1"/>
    <col min="6661" max="6661" width="7" style="11" customWidth="1"/>
    <col min="6662" max="6662" width="59.140625" style="11" customWidth="1"/>
    <col min="6663" max="6663" width="23.140625" style="11" customWidth="1"/>
    <col min="6664" max="6664" width="20.7109375" style="11" customWidth="1"/>
    <col min="6665" max="6673" width="18.7109375" style="11" customWidth="1"/>
    <col min="6674" max="6915" width="9.140625" style="11"/>
    <col min="6916" max="6916" width="6.28515625" style="11" customWidth="1"/>
    <col min="6917" max="6917" width="7" style="11" customWidth="1"/>
    <col min="6918" max="6918" width="59.140625" style="11" customWidth="1"/>
    <col min="6919" max="6919" width="23.140625" style="11" customWidth="1"/>
    <col min="6920" max="6920" width="20.7109375" style="11" customWidth="1"/>
    <col min="6921" max="6929" width="18.7109375" style="11" customWidth="1"/>
    <col min="6930" max="7171" width="9.140625" style="11"/>
    <col min="7172" max="7172" width="6.28515625" style="11" customWidth="1"/>
    <col min="7173" max="7173" width="7" style="11" customWidth="1"/>
    <col min="7174" max="7174" width="59.140625" style="11" customWidth="1"/>
    <col min="7175" max="7175" width="23.140625" style="11" customWidth="1"/>
    <col min="7176" max="7176" width="20.7109375" style="11" customWidth="1"/>
    <col min="7177" max="7185" width="18.7109375" style="11" customWidth="1"/>
    <col min="7186" max="7427" width="9.140625" style="11"/>
    <col min="7428" max="7428" width="6.28515625" style="11" customWidth="1"/>
    <col min="7429" max="7429" width="7" style="11" customWidth="1"/>
    <col min="7430" max="7430" width="59.140625" style="11" customWidth="1"/>
    <col min="7431" max="7431" width="23.140625" style="11" customWidth="1"/>
    <col min="7432" max="7432" width="20.7109375" style="11" customWidth="1"/>
    <col min="7433" max="7441" width="18.7109375" style="11" customWidth="1"/>
    <col min="7442" max="7683" width="9.140625" style="11"/>
    <col min="7684" max="7684" width="6.28515625" style="11" customWidth="1"/>
    <col min="7685" max="7685" width="7" style="11" customWidth="1"/>
    <col min="7686" max="7686" width="59.140625" style="11" customWidth="1"/>
    <col min="7687" max="7687" width="23.140625" style="11" customWidth="1"/>
    <col min="7688" max="7688" width="20.7109375" style="11" customWidth="1"/>
    <col min="7689" max="7697" width="18.7109375" style="11" customWidth="1"/>
    <col min="7698" max="7939" width="9.140625" style="11"/>
    <col min="7940" max="7940" width="6.28515625" style="11" customWidth="1"/>
    <col min="7941" max="7941" width="7" style="11" customWidth="1"/>
    <col min="7942" max="7942" width="59.140625" style="11" customWidth="1"/>
    <col min="7943" max="7943" width="23.140625" style="11" customWidth="1"/>
    <col min="7944" max="7944" width="20.7109375" style="11" customWidth="1"/>
    <col min="7945" max="7953" width="18.7109375" style="11" customWidth="1"/>
    <col min="7954" max="8195" width="9.140625" style="11"/>
    <col min="8196" max="8196" width="6.28515625" style="11" customWidth="1"/>
    <col min="8197" max="8197" width="7" style="11" customWidth="1"/>
    <col min="8198" max="8198" width="59.140625" style="11" customWidth="1"/>
    <col min="8199" max="8199" width="23.140625" style="11" customWidth="1"/>
    <col min="8200" max="8200" width="20.7109375" style="11" customWidth="1"/>
    <col min="8201" max="8209" width="18.7109375" style="11" customWidth="1"/>
    <col min="8210" max="8451" width="9.140625" style="11"/>
    <col min="8452" max="8452" width="6.28515625" style="11" customWidth="1"/>
    <col min="8453" max="8453" width="7" style="11" customWidth="1"/>
    <col min="8454" max="8454" width="59.140625" style="11" customWidth="1"/>
    <col min="8455" max="8455" width="23.140625" style="11" customWidth="1"/>
    <col min="8456" max="8456" width="20.7109375" style="11" customWidth="1"/>
    <col min="8457" max="8465" width="18.7109375" style="11" customWidth="1"/>
    <col min="8466" max="8707" width="9.140625" style="11"/>
    <col min="8708" max="8708" width="6.28515625" style="11" customWidth="1"/>
    <col min="8709" max="8709" width="7" style="11" customWidth="1"/>
    <col min="8710" max="8710" width="59.140625" style="11" customWidth="1"/>
    <col min="8711" max="8711" width="23.140625" style="11" customWidth="1"/>
    <col min="8712" max="8712" width="20.7109375" style="11" customWidth="1"/>
    <col min="8713" max="8721" width="18.7109375" style="11" customWidth="1"/>
    <col min="8722" max="8963" width="9.140625" style="11"/>
    <col min="8964" max="8964" width="6.28515625" style="11" customWidth="1"/>
    <col min="8965" max="8965" width="7" style="11" customWidth="1"/>
    <col min="8966" max="8966" width="59.140625" style="11" customWidth="1"/>
    <col min="8967" max="8967" width="23.140625" style="11" customWidth="1"/>
    <col min="8968" max="8968" width="20.7109375" style="11" customWidth="1"/>
    <col min="8969" max="8977" width="18.7109375" style="11" customWidth="1"/>
    <col min="8978" max="9219" width="9.140625" style="11"/>
    <col min="9220" max="9220" width="6.28515625" style="11" customWidth="1"/>
    <col min="9221" max="9221" width="7" style="11" customWidth="1"/>
    <col min="9222" max="9222" width="59.140625" style="11" customWidth="1"/>
    <col min="9223" max="9223" width="23.140625" style="11" customWidth="1"/>
    <col min="9224" max="9224" width="20.7109375" style="11" customWidth="1"/>
    <col min="9225" max="9233" width="18.7109375" style="11" customWidth="1"/>
    <col min="9234" max="9475" width="9.140625" style="11"/>
    <col min="9476" max="9476" width="6.28515625" style="11" customWidth="1"/>
    <col min="9477" max="9477" width="7" style="11" customWidth="1"/>
    <col min="9478" max="9478" width="59.140625" style="11" customWidth="1"/>
    <col min="9479" max="9479" width="23.140625" style="11" customWidth="1"/>
    <col min="9480" max="9480" width="20.7109375" style="11" customWidth="1"/>
    <col min="9481" max="9489" width="18.7109375" style="11" customWidth="1"/>
    <col min="9490" max="9731" width="9.140625" style="11"/>
    <col min="9732" max="9732" width="6.28515625" style="11" customWidth="1"/>
    <col min="9733" max="9733" width="7" style="11" customWidth="1"/>
    <col min="9734" max="9734" width="59.140625" style="11" customWidth="1"/>
    <col min="9735" max="9735" width="23.140625" style="11" customWidth="1"/>
    <col min="9736" max="9736" width="20.7109375" style="11" customWidth="1"/>
    <col min="9737" max="9745" width="18.7109375" style="11" customWidth="1"/>
    <col min="9746" max="9987" width="9.140625" style="11"/>
    <col min="9988" max="9988" width="6.28515625" style="11" customWidth="1"/>
    <col min="9989" max="9989" width="7" style="11" customWidth="1"/>
    <col min="9990" max="9990" width="59.140625" style="11" customWidth="1"/>
    <col min="9991" max="9991" width="23.140625" style="11" customWidth="1"/>
    <col min="9992" max="9992" width="20.7109375" style="11" customWidth="1"/>
    <col min="9993" max="10001" width="18.7109375" style="11" customWidth="1"/>
    <col min="10002" max="10243" width="9.140625" style="11"/>
    <col min="10244" max="10244" width="6.28515625" style="11" customWidth="1"/>
    <col min="10245" max="10245" width="7" style="11" customWidth="1"/>
    <col min="10246" max="10246" width="59.140625" style="11" customWidth="1"/>
    <col min="10247" max="10247" width="23.140625" style="11" customWidth="1"/>
    <col min="10248" max="10248" width="20.7109375" style="11" customWidth="1"/>
    <col min="10249" max="10257" width="18.7109375" style="11" customWidth="1"/>
    <col min="10258" max="10499" width="9.140625" style="11"/>
    <col min="10500" max="10500" width="6.28515625" style="11" customWidth="1"/>
    <col min="10501" max="10501" width="7" style="11" customWidth="1"/>
    <col min="10502" max="10502" width="59.140625" style="11" customWidth="1"/>
    <col min="10503" max="10503" width="23.140625" style="11" customWidth="1"/>
    <col min="10504" max="10504" width="20.7109375" style="11" customWidth="1"/>
    <col min="10505" max="10513" width="18.7109375" style="11" customWidth="1"/>
    <col min="10514" max="10755" width="9.140625" style="11"/>
    <col min="10756" max="10756" width="6.28515625" style="11" customWidth="1"/>
    <col min="10757" max="10757" width="7" style="11" customWidth="1"/>
    <col min="10758" max="10758" width="59.140625" style="11" customWidth="1"/>
    <col min="10759" max="10759" width="23.140625" style="11" customWidth="1"/>
    <col min="10760" max="10760" width="20.7109375" style="11" customWidth="1"/>
    <col min="10761" max="10769" width="18.7109375" style="11" customWidth="1"/>
    <col min="10770" max="11011" width="9.140625" style="11"/>
    <col min="11012" max="11012" width="6.28515625" style="11" customWidth="1"/>
    <col min="11013" max="11013" width="7" style="11" customWidth="1"/>
    <col min="11014" max="11014" width="59.140625" style="11" customWidth="1"/>
    <col min="11015" max="11015" width="23.140625" style="11" customWidth="1"/>
    <col min="11016" max="11016" width="20.7109375" style="11" customWidth="1"/>
    <col min="11017" max="11025" width="18.7109375" style="11" customWidth="1"/>
    <col min="11026" max="11267" width="9.140625" style="11"/>
    <col min="11268" max="11268" width="6.28515625" style="11" customWidth="1"/>
    <col min="11269" max="11269" width="7" style="11" customWidth="1"/>
    <col min="11270" max="11270" width="59.140625" style="11" customWidth="1"/>
    <col min="11271" max="11271" width="23.140625" style="11" customWidth="1"/>
    <col min="11272" max="11272" width="20.7109375" style="11" customWidth="1"/>
    <col min="11273" max="11281" width="18.7109375" style="11" customWidth="1"/>
    <col min="11282" max="11523" width="9.140625" style="11"/>
    <col min="11524" max="11524" width="6.28515625" style="11" customWidth="1"/>
    <col min="11525" max="11525" width="7" style="11" customWidth="1"/>
    <col min="11526" max="11526" width="59.140625" style="11" customWidth="1"/>
    <col min="11527" max="11527" width="23.140625" style="11" customWidth="1"/>
    <col min="11528" max="11528" width="20.7109375" style="11" customWidth="1"/>
    <col min="11529" max="11537" width="18.7109375" style="11" customWidth="1"/>
    <col min="11538" max="11779" width="9.140625" style="11"/>
    <col min="11780" max="11780" width="6.28515625" style="11" customWidth="1"/>
    <col min="11781" max="11781" width="7" style="11" customWidth="1"/>
    <col min="11782" max="11782" width="59.140625" style="11" customWidth="1"/>
    <col min="11783" max="11783" width="23.140625" style="11" customWidth="1"/>
    <col min="11784" max="11784" width="20.7109375" style="11" customWidth="1"/>
    <col min="11785" max="11793" width="18.7109375" style="11" customWidth="1"/>
    <col min="11794" max="12035" width="9.140625" style="11"/>
    <col min="12036" max="12036" width="6.28515625" style="11" customWidth="1"/>
    <col min="12037" max="12037" width="7" style="11" customWidth="1"/>
    <col min="12038" max="12038" width="59.140625" style="11" customWidth="1"/>
    <col min="12039" max="12039" width="23.140625" style="11" customWidth="1"/>
    <col min="12040" max="12040" width="20.7109375" style="11" customWidth="1"/>
    <col min="12041" max="12049" width="18.7109375" style="11" customWidth="1"/>
    <col min="12050" max="12291" width="9.140625" style="11"/>
    <col min="12292" max="12292" width="6.28515625" style="11" customWidth="1"/>
    <col min="12293" max="12293" width="7" style="11" customWidth="1"/>
    <col min="12294" max="12294" width="59.140625" style="11" customWidth="1"/>
    <col min="12295" max="12295" width="23.140625" style="11" customWidth="1"/>
    <col min="12296" max="12296" width="20.7109375" style="11" customWidth="1"/>
    <col min="12297" max="12305" width="18.7109375" style="11" customWidth="1"/>
    <col min="12306" max="12547" width="9.140625" style="11"/>
    <col min="12548" max="12548" width="6.28515625" style="11" customWidth="1"/>
    <col min="12549" max="12549" width="7" style="11" customWidth="1"/>
    <col min="12550" max="12550" width="59.140625" style="11" customWidth="1"/>
    <col min="12551" max="12551" width="23.140625" style="11" customWidth="1"/>
    <col min="12552" max="12552" width="20.7109375" style="11" customWidth="1"/>
    <col min="12553" max="12561" width="18.7109375" style="11" customWidth="1"/>
    <col min="12562" max="12803" width="9.140625" style="11"/>
    <col min="12804" max="12804" width="6.28515625" style="11" customWidth="1"/>
    <col min="12805" max="12805" width="7" style="11" customWidth="1"/>
    <col min="12806" max="12806" width="59.140625" style="11" customWidth="1"/>
    <col min="12807" max="12807" width="23.140625" style="11" customWidth="1"/>
    <col min="12808" max="12808" width="20.7109375" style="11" customWidth="1"/>
    <col min="12809" max="12817" width="18.7109375" style="11" customWidth="1"/>
    <col min="12818" max="13059" width="9.140625" style="11"/>
    <col min="13060" max="13060" width="6.28515625" style="11" customWidth="1"/>
    <col min="13061" max="13061" width="7" style="11" customWidth="1"/>
    <col min="13062" max="13062" width="59.140625" style="11" customWidth="1"/>
    <col min="13063" max="13063" width="23.140625" style="11" customWidth="1"/>
    <col min="13064" max="13064" width="20.7109375" style="11" customWidth="1"/>
    <col min="13065" max="13073" width="18.7109375" style="11" customWidth="1"/>
    <col min="13074" max="13315" width="9.140625" style="11"/>
    <col min="13316" max="13316" width="6.28515625" style="11" customWidth="1"/>
    <col min="13317" max="13317" width="7" style="11" customWidth="1"/>
    <col min="13318" max="13318" width="59.140625" style="11" customWidth="1"/>
    <col min="13319" max="13319" width="23.140625" style="11" customWidth="1"/>
    <col min="13320" max="13320" width="20.7109375" style="11" customWidth="1"/>
    <col min="13321" max="13329" width="18.7109375" style="11" customWidth="1"/>
    <col min="13330" max="13571" width="9.140625" style="11"/>
    <col min="13572" max="13572" width="6.28515625" style="11" customWidth="1"/>
    <col min="13573" max="13573" width="7" style="11" customWidth="1"/>
    <col min="13574" max="13574" width="59.140625" style="11" customWidth="1"/>
    <col min="13575" max="13575" width="23.140625" style="11" customWidth="1"/>
    <col min="13576" max="13576" width="20.7109375" style="11" customWidth="1"/>
    <col min="13577" max="13585" width="18.7109375" style="11" customWidth="1"/>
    <col min="13586" max="13827" width="9.140625" style="11"/>
    <col min="13828" max="13828" width="6.28515625" style="11" customWidth="1"/>
    <col min="13829" max="13829" width="7" style="11" customWidth="1"/>
    <col min="13830" max="13830" width="59.140625" style="11" customWidth="1"/>
    <col min="13831" max="13831" width="23.140625" style="11" customWidth="1"/>
    <col min="13832" max="13832" width="20.7109375" style="11" customWidth="1"/>
    <col min="13833" max="13841" width="18.7109375" style="11" customWidth="1"/>
    <col min="13842" max="14083" width="9.140625" style="11"/>
    <col min="14084" max="14084" width="6.28515625" style="11" customWidth="1"/>
    <col min="14085" max="14085" width="7" style="11" customWidth="1"/>
    <col min="14086" max="14086" width="59.140625" style="11" customWidth="1"/>
    <col min="14087" max="14087" width="23.140625" style="11" customWidth="1"/>
    <col min="14088" max="14088" width="20.7109375" style="11" customWidth="1"/>
    <col min="14089" max="14097" width="18.7109375" style="11" customWidth="1"/>
    <col min="14098" max="14339" width="9.140625" style="11"/>
    <col min="14340" max="14340" width="6.28515625" style="11" customWidth="1"/>
    <col min="14341" max="14341" width="7" style="11" customWidth="1"/>
    <col min="14342" max="14342" width="59.140625" style="11" customWidth="1"/>
    <col min="14343" max="14343" width="23.140625" style="11" customWidth="1"/>
    <col min="14344" max="14344" width="20.7109375" style="11" customWidth="1"/>
    <col min="14345" max="14353" width="18.7109375" style="11" customWidth="1"/>
    <col min="14354" max="14595" width="9.140625" style="11"/>
    <col min="14596" max="14596" width="6.28515625" style="11" customWidth="1"/>
    <col min="14597" max="14597" width="7" style="11" customWidth="1"/>
    <col min="14598" max="14598" width="59.140625" style="11" customWidth="1"/>
    <col min="14599" max="14599" width="23.140625" style="11" customWidth="1"/>
    <col min="14600" max="14600" width="20.7109375" style="11" customWidth="1"/>
    <col min="14601" max="14609" width="18.7109375" style="11" customWidth="1"/>
    <col min="14610" max="14851" width="9.140625" style="11"/>
    <col min="14852" max="14852" width="6.28515625" style="11" customWidth="1"/>
    <col min="14853" max="14853" width="7" style="11" customWidth="1"/>
    <col min="14854" max="14854" width="59.140625" style="11" customWidth="1"/>
    <col min="14855" max="14855" width="23.140625" style="11" customWidth="1"/>
    <col min="14856" max="14856" width="20.7109375" style="11" customWidth="1"/>
    <col min="14857" max="14865" width="18.7109375" style="11" customWidth="1"/>
    <col min="14866" max="15107" width="9.140625" style="11"/>
    <col min="15108" max="15108" width="6.28515625" style="11" customWidth="1"/>
    <col min="15109" max="15109" width="7" style="11" customWidth="1"/>
    <col min="15110" max="15110" width="59.140625" style="11" customWidth="1"/>
    <col min="15111" max="15111" width="23.140625" style="11" customWidth="1"/>
    <col min="15112" max="15112" width="20.7109375" style="11" customWidth="1"/>
    <col min="15113" max="15121" width="18.7109375" style="11" customWidth="1"/>
    <col min="15122" max="15363" width="9.140625" style="11"/>
    <col min="15364" max="15364" width="6.28515625" style="11" customWidth="1"/>
    <col min="15365" max="15365" width="7" style="11" customWidth="1"/>
    <col min="15366" max="15366" width="59.140625" style="11" customWidth="1"/>
    <col min="15367" max="15367" width="23.140625" style="11" customWidth="1"/>
    <col min="15368" max="15368" width="20.7109375" style="11" customWidth="1"/>
    <col min="15369" max="15377" width="18.7109375" style="11" customWidth="1"/>
    <col min="15378" max="15619" width="9.140625" style="11"/>
    <col min="15620" max="15620" width="6.28515625" style="11" customWidth="1"/>
    <col min="15621" max="15621" width="7" style="11" customWidth="1"/>
    <col min="15622" max="15622" width="59.140625" style="11" customWidth="1"/>
    <col min="15623" max="15623" width="23.140625" style="11" customWidth="1"/>
    <col min="15624" max="15624" width="20.7109375" style="11" customWidth="1"/>
    <col min="15625" max="15633" width="18.7109375" style="11" customWidth="1"/>
    <col min="15634" max="15875" width="9.140625" style="11"/>
    <col min="15876" max="15876" width="6.28515625" style="11" customWidth="1"/>
    <col min="15877" max="15877" width="7" style="11" customWidth="1"/>
    <col min="15878" max="15878" width="59.140625" style="11" customWidth="1"/>
    <col min="15879" max="15879" width="23.140625" style="11" customWidth="1"/>
    <col min="15880" max="15880" width="20.7109375" style="11" customWidth="1"/>
    <col min="15881" max="15889" width="18.7109375" style="11" customWidth="1"/>
    <col min="15890" max="16131" width="9.140625" style="11"/>
    <col min="16132" max="16132" width="6.28515625" style="11" customWidth="1"/>
    <col min="16133" max="16133" width="7" style="11" customWidth="1"/>
    <col min="16134" max="16134" width="59.140625" style="11" customWidth="1"/>
    <col min="16135" max="16135" width="23.140625" style="11" customWidth="1"/>
    <col min="16136" max="16136" width="20.7109375" style="11" customWidth="1"/>
    <col min="16137" max="16145" width="18.7109375" style="11" customWidth="1"/>
    <col min="16146" max="16384" width="9.140625" style="11"/>
  </cols>
  <sheetData>
    <row r="2" spans="2:17" ht="15.75">
      <c r="B2" s="5379" t="s">
        <v>170</v>
      </c>
      <c r="C2" s="5380"/>
      <c r="D2" s="5380"/>
      <c r="E2" s="10"/>
      <c r="F2" s="10"/>
      <c r="G2" s="10"/>
      <c r="H2" s="10"/>
      <c r="I2" s="10"/>
      <c r="J2" s="10"/>
      <c r="K2" s="10"/>
      <c r="L2" s="10"/>
      <c r="M2" s="10"/>
      <c r="N2" s="10"/>
      <c r="O2" s="10"/>
      <c r="P2" s="10"/>
      <c r="Q2" s="10"/>
    </row>
    <row r="3" spans="2:17" ht="15.75">
      <c r="B3" s="5381" t="s">
        <v>3915</v>
      </c>
      <c r="C3" s="5381"/>
      <c r="D3" s="5381"/>
      <c r="E3" s="17"/>
      <c r="F3" s="17"/>
      <c r="G3" s="17"/>
      <c r="H3" s="17"/>
      <c r="I3" s="17"/>
      <c r="J3" s="10"/>
      <c r="K3" s="10"/>
      <c r="L3" s="10"/>
      <c r="M3" s="10"/>
      <c r="N3" s="10"/>
      <c r="O3" s="10"/>
      <c r="P3" s="10"/>
      <c r="Q3" s="10"/>
    </row>
    <row r="4" spans="2:17" s="12" customFormat="1" ht="15.75">
      <c r="B4" s="5382"/>
      <c r="C4" s="5383"/>
      <c r="D4" s="5383"/>
      <c r="E4" s="10"/>
      <c r="F4" s="10"/>
      <c r="G4" s="10"/>
      <c r="H4" s="10"/>
      <c r="I4" s="10"/>
      <c r="J4" s="10"/>
      <c r="K4" s="10"/>
      <c r="L4" s="10"/>
      <c r="M4" s="10"/>
      <c r="N4" s="10"/>
      <c r="O4" s="10"/>
      <c r="P4" s="10"/>
      <c r="Q4" s="10"/>
    </row>
    <row r="5" spans="2:17" ht="15.75">
      <c r="B5" s="4858"/>
      <c r="C5" s="13"/>
      <c r="D5" s="13"/>
      <c r="E5" s="13"/>
      <c r="F5" s="13"/>
      <c r="G5" s="13"/>
      <c r="H5" s="13"/>
      <c r="I5" s="13"/>
      <c r="J5" s="13"/>
      <c r="K5" s="13"/>
      <c r="L5" s="13"/>
      <c r="M5" s="13"/>
      <c r="N5" s="13"/>
      <c r="O5" s="13"/>
      <c r="P5" s="14"/>
      <c r="Q5" s="13"/>
    </row>
    <row r="6" spans="2:17" ht="12.75" customHeight="1">
      <c r="B6" s="5384" t="s">
        <v>575</v>
      </c>
      <c r="C6" s="5384" t="s">
        <v>171</v>
      </c>
      <c r="D6" s="5384" t="s">
        <v>172</v>
      </c>
    </row>
    <row r="7" spans="2:17" ht="15" customHeight="1">
      <c r="B7" s="5384"/>
      <c r="C7" s="5384"/>
      <c r="D7" s="5384"/>
    </row>
    <row r="8" spans="2:17" ht="18" customHeight="1">
      <c r="B8" s="4859">
        <v>1</v>
      </c>
      <c r="C8" s="4636" t="s">
        <v>173</v>
      </c>
      <c r="D8" s="4638" t="s">
        <v>3458</v>
      </c>
    </row>
    <row r="9" spans="2:17" ht="15.75">
      <c r="B9" s="4859">
        <f>B8+1</f>
        <v>2</v>
      </c>
      <c r="C9" s="249" t="s">
        <v>3921</v>
      </c>
      <c r="D9" s="4638" t="s">
        <v>174</v>
      </c>
    </row>
    <row r="10" spans="2:17" ht="15.75">
      <c r="B10" s="4859">
        <f t="shared" ref="B10:B44" si="0">B9+1</f>
        <v>3</v>
      </c>
      <c r="C10" s="249" t="s">
        <v>3512</v>
      </c>
      <c r="D10" s="4638" t="s">
        <v>2944</v>
      </c>
    </row>
    <row r="11" spans="2:17" ht="15.75">
      <c r="B11" s="4859">
        <f t="shared" si="0"/>
        <v>4</v>
      </c>
      <c r="C11" s="249" t="s">
        <v>3493</v>
      </c>
      <c r="D11" s="4638" t="s">
        <v>3254</v>
      </c>
    </row>
    <row r="12" spans="2:17" ht="15.75">
      <c r="B12" s="4859">
        <f t="shared" si="0"/>
        <v>5</v>
      </c>
      <c r="C12" s="249" t="s">
        <v>3494</v>
      </c>
      <c r="D12" s="4638" t="s">
        <v>3511</v>
      </c>
    </row>
    <row r="13" spans="2:17" ht="15.75">
      <c r="B13" s="4859">
        <f t="shared" si="0"/>
        <v>6</v>
      </c>
      <c r="C13" s="249" t="s">
        <v>3459</v>
      </c>
      <c r="D13" s="4638" t="s">
        <v>3461</v>
      </c>
    </row>
    <row r="14" spans="2:17" ht="18" customHeight="1">
      <c r="B14" s="4859">
        <f t="shared" si="0"/>
        <v>7</v>
      </c>
      <c r="C14" s="4636" t="s">
        <v>175</v>
      </c>
      <c r="D14" s="4637" t="s">
        <v>176</v>
      </c>
    </row>
    <row r="15" spans="2:17" ht="18" customHeight="1">
      <c r="B15" s="4859">
        <f t="shared" si="0"/>
        <v>8</v>
      </c>
      <c r="C15" s="4636" t="s">
        <v>3741</v>
      </c>
      <c r="D15" s="4638" t="s">
        <v>3495</v>
      </c>
    </row>
    <row r="16" spans="2:17" ht="18" customHeight="1">
      <c r="B16" s="4859">
        <f t="shared" si="0"/>
        <v>9</v>
      </c>
      <c r="C16" s="4636" t="s">
        <v>3901</v>
      </c>
      <c r="D16" s="4638" t="s">
        <v>3742</v>
      </c>
    </row>
    <row r="17" spans="2:4" ht="18" customHeight="1">
      <c r="B17" s="4859">
        <f t="shared" si="0"/>
        <v>10</v>
      </c>
      <c r="C17" s="4636" t="s">
        <v>3902</v>
      </c>
      <c r="D17" s="4638" t="s">
        <v>3903</v>
      </c>
    </row>
    <row r="18" spans="2:4" ht="18" customHeight="1">
      <c r="B18" s="4859">
        <f t="shared" si="0"/>
        <v>11</v>
      </c>
      <c r="C18" s="249" t="s">
        <v>3496</v>
      </c>
      <c r="D18" s="4638" t="s">
        <v>3904</v>
      </c>
    </row>
    <row r="19" spans="2:4" ht="18" customHeight="1">
      <c r="B19" s="4859">
        <f t="shared" si="0"/>
        <v>12</v>
      </c>
      <c r="C19" s="4636" t="s">
        <v>177</v>
      </c>
      <c r="D19" s="4637" t="s">
        <v>178</v>
      </c>
    </row>
    <row r="20" spans="2:4" ht="18" customHeight="1">
      <c r="B20" s="4859">
        <f t="shared" si="0"/>
        <v>13</v>
      </c>
      <c r="C20" s="4640" t="s">
        <v>3405</v>
      </c>
      <c r="D20" s="4638" t="s">
        <v>180</v>
      </c>
    </row>
    <row r="21" spans="2:4" ht="18" customHeight="1">
      <c r="B21" s="4859">
        <f t="shared" si="0"/>
        <v>14</v>
      </c>
      <c r="C21" s="4640" t="s">
        <v>3482</v>
      </c>
      <c r="D21" s="4638" t="s">
        <v>182</v>
      </c>
    </row>
    <row r="22" spans="2:4" ht="18" customHeight="1">
      <c r="B22" s="4859">
        <f t="shared" si="0"/>
        <v>15</v>
      </c>
      <c r="C22" s="4636" t="s">
        <v>179</v>
      </c>
      <c r="D22" s="4638" t="s">
        <v>184</v>
      </c>
    </row>
    <row r="23" spans="2:4" ht="18" customHeight="1">
      <c r="B23" s="4859">
        <f t="shared" si="0"/>
        <v>16</v>
      </c>
      <c r="C23" s="4636" t="s">
        <v>181</v>
      </c>
      <c r="D23" s="4638" t="s">
        <v>3404</v>
      </c>
    </row>
    <row r="24" spans="2:4" ht="18" customHeight="1">
      <c r="B24" s="4859">
        <f t="shared" si="0"/>
        <v>17</v>
      </c>
      <c r="C24" s="4639" t="s">
        <v>183</v>
      </c>
      <c r="D24" s="4638" t="s">
        <v>3483</v>
      </c>
    </row>
    <row r="25" spans="2:4" ht="18" customHeight="1">
      <c r="B25" s="4859">
        <f t="shared" si="0"/>
        <v>18</v>
      </c>
      <c r="C25" s="249" t="s">
        <v>3488</v>
      </c>
      <c r="D25" s="4638" t="s">
        <v>186</v>
      </c>
    </row>
    <row r="26" spans="2:4" ht="15.75">
      <c r="B26" s="4859">
        <f t="shared" si="0"/>
        <v>19</v>
      </c>
      <c r="C26" s="4636" t="s">
        <v>185</v>
      </c>
      <c r="D26" s="4638" t="s">
        <v>188</v>
      </c>
    </row>
    <row r="27" spans="2:4" ht="15.75">
      <c r="B27" s="4859">
        <f t="shared" si="0"/>
        <v>20</v>
      </c>
      <c r="C27" s="249" t="s">
        <v>3489</v>
      </c>
      <c r="D27" s="4638" t="s">
        <v>189</v>
      </c>
    </row>
    <row r="28" spans="2:4" ht="18" customHeight="1">
      <c r="B28" s="4859">
        <f t="shared" si="0"/>
        <v>21</v>
      </c>
      <c r="C28" s="4641" t="s">
        <v>187</v>
      </c>
      <c r="D28" s="4638" t="s">
        <v>2626</v>
      </c>
    </row>
    <row r="29" spans="2:4" ht="18" customHeight="1">
      <c r="B29" s="4859">
        <f t="shared" si="0"/>
        <v>22</v>
      </c>
      <c r="C29" s="857" t="s">
        <v>3515</v>
      </c>
      <c r="D29" s="4638" t="s">
        <v>3516</v>
      </c>
    </row>
    <row r="30" spans="2:4" ht="15.75">
      <c r="B30" s="4859">
        <f t="shared" si="0"/>
        <v>23</v>
      </c>
      <c r="C30" s="4636" t="s">
        <v>194</v>
      </c>
      <c r="D30" s="4637" t="s">
        <v>191</v>
      </c>
    </row>
    <row r="31" spans="2:4" ht="31.5">
      <c r="B31" s="4859">
        <f t="shared" si="0"/>
        <v>24</v>
      </c>
      <c r="C31" s="857" t="s">
        <v>3491</v>
      </c>
      <c r="D31" s="4637" t="s">
        <v>193</v>
      </c>
    </row>
    <row r="32" spans="2:4" ht="15.75">
      <c r="B32" s="4859">
        <f t="shared" si="0"/>
        <v>25</v>
      </c>
      <c r="C32" s="4636" t="s">
        <v>192</v>
      </c>
      <c r="D32" s="4637" t="s">
        <v>195</v>
      </c>
    </row>
    <row r="33" spans="2:4" ht="15.75">
      <c r="B33" s="4859">
        <f t="shared" si="0"/>
        <v>26</v>
      </c>
      <c r="C33" s="4636" t="s">
        <v>196</v>
      </c>
      <c r="D33" s="4637" t="s">
        <v>197</v>
      </c>
    </row>
    <row r="34" spans="2:4" ht="15.75">
      <c r="B34" s="4859">
        <f t="shared" si="0"/>
        <v>27</v>
      </c>
      <c r="C34" s="249" t="s">
        <v>3492</v>
      </c>
      <c r="D34" s="4638" t="s">
        <v>198</v>
      </c>
    </row>
    <row r="35" spans="2:4" ht="15.75">
      <c r="B35" s="4859">
        <f t="shared" si="0"/>
        <v>28</v>
      </c>
      <c r="C35" s="249" t="s">
        <v>2900</v>
      </c>
      <c r="D35" s="4638" t="s">
        <v>2419</v>
      </c>
    </row>
    <row r="36" spans="2:4" ht="15.75">
      <c r="B36" s="4859">
        <f t="shared" si="0"/>
        <v>29</v>
      </c>
      <c r="C36" s="249" t="s">
        <v>3408</v>
      </c>
      <c r="D36" s="4638" t="s">
        <v>2420</v>
      </c>
    </row>
    <row r="37" spans="2:4" ht="15.75">
      <c r="B37" s="4859">
        <f t="shared" si="0"/>
        <v>30</v>
      </c>
      <c r="C37" s="249" t="s">
        <v>3912</v>
      </c>
      <c r="D37" s="4638" t="s">
        <v>2611</v>
      </c>
    </row>
    <row r="38" spans="2:4" ht="15.75" hidden="1">
      <c r="B38" s="4859">
        <f t="shared" si="0"/>
        <v>31</v>
      </c>
      <c r="C38" s="249"/>
      <c r="D38" s="4638" t="s">
        <v>3497</v>
      </c>
    </row>
    <row r="39" spans="2:4" ht="15.75">
      <c r="B39" s="4859">
        <f>B37+1</f>
        <v>31</v>
      </c>
      <c r="C39" s="249" t="s">
        <v>2061</v>
      </c>
      <c r="D39" s="4638" t="s">
        <v>2891</v>
      </c>
    </row>
    <row r="40" spans="2:4" ht="15.75" hidden="1">
      <c r="B40" s="4859">
        <f t="shared" si="0"/>
        <v>32</v>
      </c>
      <c r="C40" s="249" t="s">
        <v>3411</v>
      </c>
      <c r="D40" s="4638" t="s">
        <v>2901</v>
      </c>
    </row>
    <row r="41" spans="2:4" ht="15.75">
      <c r="B41" s="4859">
        <v>32</v>
      </c>
      <c r="C41" s="249" t="s">
        <v>3926</v>
      </c>
      <c r="D41" s="4638" t="s">
        <v>2901</v>
      </c>
    </row>
    <row r="42" spans="2:4" ht="18" hidden="1" customHeight="1">
      <c r="B42" s="4859">
        <v>32</v>
      </c>
      <c r="C42" s="249" t="s">
        <v>3498</v>
      </c>
      <c r="D42" s="4638" t="s">
        <v>3014</v>
      </c>
    </row>
    <row r="43" spans="2:4" ht="15.75" hidden="1">
      <c r="B43" s="4859">
        <f t="shared" si="0"/>
        <v>33</v>
      </c>
      <c r="C43" s="249" t="s">
        <v>3499</v>
      </c>
      <c r="D43" s="4638" t="s">
        <v>3013</v>
      </c>
    </row>
    <row r="44" spans="2:4" ht="15.75" hidden="1">
      <c r="B44" s="4859">
        <f t="shared" si="0"/>
        <v>34</v>
      </c>
      <c r="C44" s="249" t="s">
        <v>3756</v>
      </c>
      <c r="D44" s="4638" t="s">
        <v>3754</v>
      </c>
    </row>
  </sheetData>
  <mergeCells count="6">
    <mergeCell ref="B2:D2"/>
    <mergeCell ref="B3:D3"/>
    <mergeCell ref="B4:D4"/>
    <mergeCell ref="B6:B7"/>
    <mergeCell ref="C6:C7"/>
    <mergeCell ref="D6:D7"/>
  </mergeCells>
  <hyperlinks>
    <hyperlink ref="D8" location="'ARR Summary'!A1" display="ARR Summary"/>
    <hyperlink ref="D9" location="'F1'!A1" display="Form 1"/>
    <hyperlink ref="D10" location="F1.1!A1" display="Form 1.1"/>
  </hyperlinks>
  <printOptions horizontalCentered="1"/>
  <pageMargins left="0.9" right="0.23622047244094499" top="0.89" bottom="0" header="0.15748031496063" footer="0.23622047244094499"/>
  <pageSetup paperSize="9" scale="102"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sheetPr codeName="Sheet37"/>
  <dimension ref="B1:H29"/>
  <sheetViews>
    <sheetView showGridLines="0" view="pageBreakPreview" zoomScale="70" zoomScaleNormal="70" zoomScaleSheetLayoutView="70" workbookViewId="0">
      <selection activeCell="E35" sqref="E35"/>
    </sheetView>
  </sheetViews>
  <sheetFormatPr defaultRowHeight="15.75"/>
  <cols>
    <col min="1" max="1" width="4" style="254" customWidth="1"/>
    <col min="2" max="2" width="9.140625" style="254"/>
    <col min="3" max="3" width="51.85546875" style="254" customWidth="1"/>
    <col min="4" max="4" width="12.7109375" style="254" customWidth="1"/>
    <col min="5" max="5" width="26.85546875" style="254" bestFit="1" customWidth="1"/>
    <col min="6" max="6" width="24" style="254" customWidth="1"/>
    <col min="7" max="7" width="23.85546875" style="254" customWidth="1"/>
    <col min="8" max="8" width="19.85546875" style="254" customWidth="1"/>
    <col min="9" max="9" width="15.5703125" style="254" customWidth="1"/>
    <col min="10" max="10" width="13.28515625" style="254" customWidth="1"/>
    <col min="11" max="11" width="13.42578125" style="254" customWidth="1"/>
    <col min="12" max="12" width="11.140625" style="254" customWidth="1"/>
    <col min="13" max="16384" width="9.140625" style="254"/>
  </cols>
  <sheetData>
    <row r="1" spans="2:7">
      <c r="B1" s="5443" t="s">
        <v>100</v>
      </c>
      <c r="C1" s="5443"/>
      <c r="D1" s="5443"/>
      <c r="E1" s="5443"/>
      <c r="F1" s="5443"/>
    </row>
    <row r="2" spans="2:7">
      <c r="B2" s="5381" t="s">
        <v>3915</v>
      </c>
      <c r="C2" s="5381"/>
      <c r="D2" s="5381"/>
      <c r="E2" s="5381"/>
      <c r="F2" s="5381"/>
    </row>
    <row r="3" spans="2:7">
      <c r="B3" s="5381" t="s">
        <v>3565</v>
      </c>
      <c r="C3" s="5381"/>
      <c r="D3" s="5381"/>
      <c r="E3" s="5381"/>
      <c r="F3" s="5381"/>
    </row>
    <row r="5" spans="2:7" ht="21" hidden="1" customHeight="1">
      <c r="B5" s="5448"/>
      <c r="C5" s="5448"/>
      <c r="D5" s="5448"/>
      <c r="E5" s="5448"/>
      <c r="F5" s="5448"/>
      <c r="G5" s="5448"/>
    </row>
    <row r="6" spans="2:7">
      <c r="B6" s="5435" t="s">
        <v>2010</v>
      </c>
      <c r="C6" s="5435" t="s">
        <v>81</v>
      </c>
      <c r="D6" s="5435" t="s">
        <v>1921</v>
      </c>
      <c r="E6" s="5450" t="s">
        <v>2416</v>
      </c>
      <c r="F6" s="5450" t="s">
        <v>2415</v>
      </c>
    </row>
    <row r="7" spans="2:7">
      <c r="B7" s="5449"/>
      <c r="C7" s="5449"/>
      <c r="D7" s="5449"/>
      <c r="E7" s="5451"/>
      <c r="F7" s="5451"/>
    </row>
    <row r="8" spans="2:7">
      <c r="B8" s="5436"/>
      <c r="C8" s="5436"/>
      <c r="D8" s="5436"/>
      <c r="E8" s="5452"/>
      <c r="F8" s="5452"/>
    </row>
    <row r="9" spans="2:7">
      <c r="B9" s="3802">
        <v>1</v>
      </c>
      <c r="C9" s="258" t="s">
        <v>3518</v>
      </c>
      <c r="D9" s="3491" t="s">
        <v>89</v>
      </c>
      <c r="E9" s="840">
        <f>E25</f>
        <v>7.4999999999999997E-2</v>
      </c>
      <c r="F9" s="1680">
        <f>G25</f>
        <v>7.0000000000000007E-2</v>
      </c>
    </row>
    <row r="10" spans="2:7">
      <c r="B10" s="3802">
        <f>B9+1</f>
        <v>2</v>
      </c>
      <c r="C10" s="258" t="s">
        <v>2409</v>
      </c>
      <c r="D10" s="3491" t="s">
        <v>83</v>
      </c>
      <c r="E10" s="1924">
        <f>F28*(1-F27)*(1-E9)</f>
        <v>4350.9054263500002</v>
      </c>
      <c r="F10" s="1924">
        <f>H28*(1-H27)*(1-F9)</f>
        <v>4300.5830874767989</v>
      </c>
    </row>
    <row r="11" spans="2:7">
      <c r="B11" s="3802">
        <f t="shared" ref="B11:B17" si="0">B10+1</f>
        <v>3</v>
      </c>
      <c r="C11" s="258" t="s">
        <v>2417</v>
      </c>
      <c r="D11" s="3491" t="s">
        <v>83</v>
      </c>
      <c r="E11" s="1924">
        <f>F24</f>
        <v>4392.9450818099995</v>
      </c>
      <c r="F11" s="1924">
        <f>H24</f>
        <v>4351.5211695899998</v>
      </c>
    </row>
    <row r="12" spans="2:7">
      <c r="B12" s="3802">
        <f t="shared" si="0"/>
        <v>4</v>
      </c>
      <c r="C12" s="258" t="s">
        <v>2410</v>
      </c>
      <c r="D12" s="3491" t="s">
        <v>83</v>
      </c>
      <c r="E12" s="1924">
        <f>E11-E10</f>
        <v>42.039655459999267</v>
      </c>
      <c r="F12" s="3827">
        <f>F11-F10</f>
        <v>50.938082113200835</v>
      </c>
    </row>
    <row r="13" spans="2:7">
      <c r="B13" s="3802">
        <f t="shared" si="0"/>
        <v>5</v>
      </c>
      <c r="C13" s="258" t="s">
        <v>2411</v>
      </c>
      <c r="D13" s="3491" t="s">
        <v>151</v>
      </c>
      <c r="E13" s="3799">
        <f>'F14'!J61/10^7</f>
        <v>3610.7259052718596</v>
      </c>
      <c r="F13" s="3799">
        <f>'Revenue 2013-14'!N117/10^7</f>
        <v>3876.4969516137107</v>
      </c>
    </row>
    <row r="14" spans="2:7">
      <c r="B14" s="3802">
        <f t="shared" si="0"/>
        <v>6</v>
      </c>
      <c r="C14" s="258" t="s">
        <v>2412</v>
      </c>
      <c r="D14" s="3491" t="s">
        <v>2414</v>
      </c>
      <c r="E14" s="3804">
        <f>E13/E11*10</f>
        <v>8.219374105592399</v>
      </c>
      <c r="F14" s="3804">
        <f>F13/F11*10</f>
        <v>8.908372039423984</v>
      </c>
    </row>
    <row r="15" spans="2:7">
      <c r="B15" s="3802">
        <f t="shared" si="0"/>
        <v>7</v>
      </c>
      <c r="C15" s="258" t="s">
        <v>2413</v>
      </c>
      <c r="D15" s="3491" t="s">
        <v>151</v>
      </c>
      <c r="E15" s="3804">
        <f>E12*E14/10</f>
        <v>34.553965549594409</v>
      </c>
      <c r="F15" s="3828">
        <f>F12*F14/10</f>
        <v>45.377538643912132</v>
      </c>
    </row>
    <row r="16" spans="2:7">
      <c r="B16" s="3802">
        <f t="shared" si="0"/>
        <v>8</v>
      </c>
      <c r="C16" s="258" t="s">
        <v>2896</v>
      </c>
      <c r="D16" s="3491" t="s">
        <v>151</v>
      </c>
      <c r="E16" s="3804">
        <f>E15*2/3</f>
        <v>23.035977033062938</v>
      </c>
      <c r="F16" s="3828">
        <f>F15*2/3</f>
        <v>30.251692429274755</v>
      </c>
    </row>
    <row r="17" spans="2:8" ht="31.5">
      <c r="B17" s="3802">
        <f t="shared" si="0"/>
        <v>9</v>
      </c>
      <c r="C17" s="481" t="s">
        <v>2895</v>
      </c>
      <c r="D17" s="3789" t="s">
        <v>151</v>
      </c>
      <c r="E17" s="3804">
        <f>E15-E16</f>
        <v>11.517988516531471</v>
      </c>
      <c r="F17" s="3828">
        <f>F15-F16</f>
        <v>15.125846214637377</v>
      </c>
    </row>
    <row r="20" spans="2:8" hidden="1">
      <c r="B20" s="3710" t="s">
        <v>2418</v>
      </c>
      <c r="C20" s="3710"/>
    </row>
    <row r="21" spans="2:8" hidden="1">
      <c r="B21" s="5435" t="s">
        <v>84</v>
      </c>
      <c r="C21" s="5435" t="s">
        <v>81</v>
      </c>
      <c r="D21" s="5435" t="s">
        <v>85</v>
      </c>
      <c r="E21" s="5437" t="s">
        <v>82</v>
      </c>
      <c r="F21" s="5439"/>
      <c r="G21" s="5437" t="s">
        <v>1845</v>
      </c>
      <c r="H21" s="5439"/>
    </row>
    <row r="22" spans="2:8" hidden="1">
      <c r="B22" s="5449"/>
      <c r="C22" s="5449"/>
      <c r="D22" s="5449"/>
      <c r="E22" s="5440"/>
      <c r="F22" s="5442"/>
      <c r="G22" s="5440"/>
      <c r="H22" s="5442"/>
    </row>
    <row r="23" spans="2:8" ht="41.25" hidden="1" customHeight="1">
      <c r="B23" s="5436"/>
      <c r="C23" s="5436"/>
      <c r="D23" s="5436"/>
      <c r="E23" s="3797" t="s">
        <v>756</v>
      </c>
      <c r="F23" s="3797" t="s">
        <v>758</v>
      </c>
      <c r="G23" s="3798" t="s">
        <v>756</v>
      </c>
      <c r="H23" s="3797" t="s">
        <v>758</v>
      </c>
    </row>
    <row r="24" spans="2:8" hidden="1">
      <c r="B24" s="3802">
        <v>1</v>
      </c>
      <c r="C24" s="3801" t="s">
        <v>87</v>
      </c>
      <c r="D24" s="3802" t="s">
        <v>83</v>
      </c>
      <c r="E24" s="3804">
        <f>E26*(1-E25)</f>
        <v>4354.6385764999995</v>
      </c>
      <c r="F24" s="1924">
        <f>'F14'!$F$45/10^6</f>
        <v>4392.9450818099995</v>
      </c>
      <c r="G24" s="1924">
        <f>G26*(1-G25)</f>
        <v>4758.379122678617</v>
      </c>
      <c r="H24" s="1924">
        <f>'F14'!F98/10^6</f>
        <v>4351.5211695899998</v>
      </c>
    </row>
    <row r="25" spans="2:8" hidden="1">
      <c r="B25" s="3802">
        <f>B24+1</f>
        <v>2</v>
      </c>
      <c r="C25" s="3801" t="s">
        <v>88</v>
      </c>
      <c r="D25" s="3802" t="s">
        <v>89</v>
      </c>
      <c r="E25" s="1679">
        <f>Assumptions!E74</f>
        <v>7.4999999999999997E-2</v>
      </c>
      <c r="F25" s="840">
        <f>(F26-F24)/F26</f>
        <v>6.606239334346517E-2</v>
      </c>
      <c r="G25" s="1680">
        <f>Assumptions!F74</f>
        <v>7.0000000000000007E-2</v>
      </c>
      <c r="H25" s="1681">
        <f>(H26-H24)/H26</f>
        <v>5.8984652685068729E-2</v>
      </c>
    </row>
    <row r="26" spans="2:8" hidden="1">
      <c r="B26" s="3802">
        <f>B25+1</f>
        <v>3</v>
      </c>
      <c r="C26" s="3801" t="s">
        <v>90</v>
      </c>
      <c r="D26" s="3802" t="s">
        <v>83</v>
      </c>
      <c r="E26" s="3804">
        <f t="shared" ref="E26:G26" si="1">E28*(1-E27)</f>
        <v>4707.7173799999991</v>
      </c>
      <c r="F26" s="1924">
        <v>4703.6815420000003</v>
      </c>
      <c r="G26" s="1924">
        <f t="shared" si="1"/>
        <v>5116.5366910522771</v>
      </c>
      <c r="H26" s="1924">
        <v>4624.2828897599993</v>
      </c>
    </row>
    <row r="27" spans="2:8" hidden="1">
      <c r="B27" s="3802">
        <f>B26+1</f>
        <v>4</v>
      </c>
      <c r="C27" s="3801" t="s">
        <v>91</v>
      </c>
      <c r="D27" s="3802" t="s">
        <v>89</v>
      </c>
      <c r="E27" s="1679">
        <v>4.2000000000000003E-2</v>
      </c>
      <c r="F27" s="4395">
        <f>(F28-F26)/F28</f>
        <v>4.127274109647143E-2</v>
      </c>
      <c r="G27" s="1681">
        <v>4.1999552308662889E-2</v>
      </c>
      <c r="H27" s="4395">
        <f>(H28-H26)/H28</f>
        <v>4.1010822723680895E-2</v>
      </c>
    </row>
    <row r="28" spans="2:8" hidden="1">
      <c r="B28" s="3802">
        <f>B27+1</f>
        <v>5</v>
      </c>
      <c r="C28" s="3801" t="s">
        <v>92</v>
      </c>
      <c r="D28" s="3802" t="s">
        <v>83</v>
      </c>
      <c r="E28" s="3804">
        <f>'F2'!F30</f>
        <v>4914.1099999999997</v>
      </c>
      <c r="F28" s="3804">
        <f>'F2'!I30</f>
        <v>4906.1727392412713</v>
      </c>
      <c r="G28" s="1924">
        <f>'F2'!L30</f>
        <v>5340.8499999999995</v>
      </c>
      <c r="H28" s="1924">
        <f>'F2'!O30</f>
        <v>4822.0386625151432</v>
      </c>
    </row>
    <row r="29" spans="2:8" hidden="1"/>
  </sheetData>
  <mergeCells count="14">
    <mergeCell ref="B21:B23"/>
    <mergeCell ref="C21:C23"/>
    <mergeCell ref="D21:D23"/>
    <mergeCell ref="E21:F22"/>
    <mergeCell ref="G21:H22"/>
    <mergeCell ref="B1:F1"/>
    <mergeCell ref="B2:F2"/>
    <mergeCell ref="B3:F3"/>
    <mergeCell ref="B5:G5"/>
    <mergeCell ref="B6:B8"/>
    <mergeCell ref="C6:C8"/>
    <mergeCell ref="D6:D8"/>
    <mergeCell ref="E6:E8"/>
    <mergeCell ref="F6:F8"/>
  </mergeCells>
  <printOptions horizontalCentered="1"/>
  <pageMargins left="0.25" right="0.2" top="0.89" bottom="0.75" header="0.3" footer="0.3"/>
  <pageSetup paperSize="9" scale="105" orientation="landscape" r:id="rId1"/>
  <legacyDrawing r:id="rId2"/>
</worksheet>
</file>

<file path=xl/worksheets/sheet21.xml><?xml version="1.0" encoding="utf-8"?>
<worksheet xmlns="http://schemas.openxmlformats.org/spreadsheetml/2006/main" xmlns:r="http://schemas.openxmlformats.org/officeDocument/2006/relationships">
  <dimension ref="A2:R78"/>
  <sheetViews>
    <sheetView showGridLines="0" view="pageBreakPreview" zoomScale="60" zoomScaleNormal="75" zoomScalePageLayoutView="110" workbookViewId="0">
      <selection activeCell="B5" sqref="B5:O5"/>
    </sheetView>
  </sheetViews>
  <sheetFormatPr defaultRowHeight="15"/>
  <cols>
    <col min="1" max="1" width="15.7109375" style="4676" customWidth="1"/>
    <col min="2" max="2" width="30.42578125" style="4676" customWidth="1"/>
    <col min="3" max="14" width="10.7109375" style="4676" customWidth="1"/>
    <col min="15" max="15" width="12.5703125" style="4676" customWidth="1"/>
    <col min="16" max="16" width="6.28515625" style="4676" bestFit="1" customWidth="1"/>
    <col min="17" max="17" width="11.5703125" style="4676" customWidth="1"/>
    <col min="18" max="16384" width="9.140625" style="4676"/>
  </cols>
  <sheetData>
    <row r="2" spans="1:17" ht="15.75">
      <c r="G2" s="4659" t="s">
        <v>3414</v>
      </c>
      <c r="H2" s="4659"/>
      <c r="I2" s="4659"/>
      <c r="J2" s="4659"/>
      <c r="K2" s="4659"/>
      <c r="L2" s="4659"/>
      <c r="M2" s="4659"/>
      <c r="N2" s="4659"/>
      <c r="O2" s="4659"/>
    </row>
    <row r="3" spans="1:17" ht="15.75">
      <c r="G3" s="5323" t="s">
        <v>3919</v>
      </c>
      <c r="H3" s="4660"/>
      <c r="I3" s="4660"/>
      <c r="J3" s="4660"/>
      <c r="K3" s="4660"/>
      <c r="L3" s="4660"/>
      <c r="M3" s="4660"/>
      <c r="N3" s="4660"/>
      <c r="O3" s="4660"/>
      <c r="P3" s="4280"/>
    </row>
    <row r="4" spans="1:17" ht="15.75">
      <c r="B4" s="5397"/>
      <c r="C4" s="5397"/>
      <c r="D4" s="5397"/>
      <c r="E4" s="5397"/>
      <c r="F4" s="5397"/>
      <c r="G4" s="5397"/>
      <c r="H4" s="5397"/>
      <c r="I4" s="5397"/>
      <c r="J4" s="5397"/>
      <c r="K4" s="5397"/>
      <c r="L4" s="5397"/>
      <c r="M4" s="5397"/>
      <c r="N4" s="5397"/>
      <c r="O4" s="5397"/>
    </row>
    <row r="5" spans="1:17">
      <c r="B5" s="5455" t="s">
        <v>3462</v>
      </c>
      <c r="C5" s="5456"/>
      <c r="D5" s="5456"/>
      <c r="E5" s="5456"/>
      <c r="F5" s="5456"/>
      <c r="G5" s="5456"/>
      <c r="H5" s="5456"/>
      <c r="I5" s="5456"/>
      <c r="J5" s="5456"/>
      <c r="K5" s="5456"/>
      <c r="L5" s="5456"/>
      <c r="M5" s="5456"/>
      <c r="N5" s="5456"/>
      <c r="O5" s="5456"/>
      <c r="P5" s="4677"/>
      <c r="Q5" s="4677"/>
    </row>
    <row r="6" spans="1:17">
      <c r="B6" s="4678"/>
      <c r="C6" s="4679"/>
      <c r="D6" s="4679"/>
      <c r="E6" s="4679"/>
      <c r="F6" s="4679"/>
      <c r="G6" s="4679"/>
      <c r="H6" s="4679"/>
      <c r="I6" s="4679"/>
      <c r="J6" s="4679"/>
      <c r="K6" s="4679"/>
      <c r="L6" s="4679"/>
      <c r="M6" s="4679"/>
      <c r="N6" s="4679"/>
      <c r="O6" s="4679"/>
      <c r="P6" s="4677"/>
      <c r="Q6" s="4677"/>
    </row>
    <row r="7" spans="1:17">
      <c r="B7" s="4680" t="s">
        <v>3480</v>
      </c>
      <c r="C7" s="4679"/>
      <c r="D7" s="4679"/>
      <c r="E7" s="4679"/>
      <c r="F7" s="4679"/>
      <c r="G7" s="4679"/>
      <c r="H7" s="4679"/>
      <c r="I7" s="4679"/>
      <c r="J7" s="4679"/>
      <c r="K7" s="4679"/>
      <c r="L7" s="4679"/>
      <c r="M7" s="4679"/>
      <c r="N7" s="4679"/>
      <c r="O7" s="4677"/>
      <c r="P7" s="4677"/>
      <c r="Q7" s="4677"/>
    </row>
    <row r="8" spans="1:17">
      <c r="A8" s="4676" t="s">
        <v>3463</v>
      </c>
      <c r="B8" s="4680"/>
      <c r="C8" s="4681"/>
      <c r="D8" s="4681"/>
      <c r="O8" s="4681" t="s">
        <v>3464</v>
      </c>
    </row>
    <row r="9" spans="1:17" s="4682" customFormat="1" ht="28.5">
      <c r="B9" s="4699" t="s">
        <v>3465</v>
      </c>
      <c r="C9" s="4699" t="s">
        <v>3185</v>
      </c>
      <c r="D9" s="4699" t="s">
        <v>3186</v>
      </c>
      <c r="E9" s="4698" t="s">
        <v>3187</v>
      </c>
      <c r="F9" s="4698" t="s">
        <v>3188</v>
      </c>
      <c r="G9" s="4698" t="s">
        <v>3189</v>
      </c>
      <c r="H9" s="4698" t="s">
        <v>3190</v>
      </c>
      <c r="I9" s="4698" t="s">
        <v>3191</v>
      </c>
      <c r="J9" s="4698" t="s">
        <v>3192</v>
      </c>
      <c r="K9" s="4698" t="s">
        <v>3193</v>
      </c>
      <c r="L9" s="4698" t="s">
        <v>3194</v>
      </c>
      <c r="M9" s="4698" t="s">
        <v>3195</v>
      </c>
      <c r="N9" s="4698" t="s">
        <v>3196</v>
      </c>
      <c r="O9" s="4698" t="s">
        <v>47</v>
      </c>
    </row>
    <row r="10" spans="1:17" s="4683" customFormat="1">
      <c r="B10" s="4684"/>
      <c r="C10" s="5467" t="s">
        <v>3460</v>
      </c>
      <c r="D10" s="5468"/>
      <c r="E10" s="5468"/>
      <c r="F10" s="5468"/>
      <c r="G10" s="5468"/>
      <c r="H10" s="5468"/>
      <c r="I10" s="5468"/>
      <c r="J10" s="5468"/>
      <c r="K10" s="5468"/>
      <c r="L10" s="5468"/>
      <c r="M10" s="5468"/>
      <c r="N10" s="5468"/>
      <c r="O10" s="4684"/>
    </row>
    <row r="11" spans="1:17" s="4685" customFormat="1" ht="15" customHeight="1">
      <c r="B11" s="4701" t="s">
        <v>2004</v>
      </c>
      <c r="C11" s="5468"/>
      <c r="D11" s="5468"/>
      <c r="E11" s="5468"/>
      <c r="F11" s="5468"/>
      <c r="G11" s="5468"/>
      <c r="H11" s="5468"/>
      <c r="I11" s="5468"/>
      <c r="J11" s="5468"/>
      <c r="K11" s="5468"/>
      <c r="L11" s="5468"/>
      <c r="M11" s="5468"/>
      <c r="N11" s="5468"/>
      <c r="O11" s="4688"/>
    </row>
    <row r="12" spans="1:17" s="4685" customFormat="1">
      <c r="B12" s="4702" t="s">
        <v>3466</v>
      </c>
      <c r="C12" s="5468"/>
      <c r="D12" s="5468"/>
      <c r="E12" s="5468"/>
      <c r="F12" s="5468"/>
      <c r="G12" s="5468"/>
      <c r="H12" s="5468"/>
      <c r="I12" s="5468"/>
      <c r="J12" s="5468"/>
      <c r="K12" s="5468"/>
      <c r="L12" s="5468"/>
      <c r="M12" s="5468"/>
      <c r="N12" s="5468"/>
      <c r="O12" s="4686"/>
    </row>
    <row r="13" spans="1:17" s="4685" customFormat="1">
      <c r="B13" s="4702"/>
      <c r="C13" s="5468"/>
      <c r="D13" s="5468"/>
      <c r="E13" s="5468"/>
      <c r="F13" s="5468"/>
      <c r="G13" s="5468"/>
      <c r="H13" s="5468"/>
      <c r="I13" s="5468"/>
      <c r="J13" s="5468"/>
      <c r="K13" s="5468"/>
      <c r="L13" s="5468"/>
      <c r="M13" s="5468"/>
      <c r="N13" s="5468"/>
      <c r="O13" s="4686"/>
    </row>
    <row r="14" spans="1:17" s="4685" customFormat="1">
      <c r="B14" s="4703" t="s">
        <v>3467</v>
      </c>
      <c r="C14" s="5468"/>
      <c r="D14" s="5468"/>
      <c r="E14" s="5468"/>
      <c r="F14" s="5468"/>
      <c r="G14" s="5468"/>
      <c r="H14" s="5468"/>
      <c r="I14" s="5468"/>
      <c r="J14" s="5468"/>
      <c r="K14" s="5468"/>
      <c r="L14" s="5468"/>
      <c r="M14" s="5468"/>
      <c r="N14" s="5468"/>
      <c r="O14" s="4686"/>
    </row>
    <row r="15" spans="1:17" s="4685" customFormat="1">
      <c r="B15" s="4703"/>
      <c r="C15" s="5468"/>
      <c r="D15" s="5468"/>
      <c r="E15" s="5468"/>
      <c r="F15" s="5468"/>
      <c r="G15" s="5468"/>
      <c r="H15" s="5468"/>
      <c r="I15" s="5468"/>
      <c r="J15" s="5468"/>
      <c r="K15" s="5468"/>
      <c r="L15" s="5468"/>
      <c r="M15" s="5468"/>
      <c r="N15" s="5468"/>
      <c r="O15" s="4686"/>
    </row>
    <row r="16" spans="1:17" s="4685" customFormat="1" ht="15" customHeight="1">
      <c r="B16" s="4701" t="s">
        <v>1989</v>
      </c>
      <c r="C16" s="5468"/>
      <c r="D16" s="5468"/>
      <c r="E16" s="5468"/>
      <c r="F16" s="5468"/>
      <c r="G16" s="5468"/>
      <c r="H16" s="5468"/>
      <c r="I16" s="5468"/>
      <c r="J16" s="5468"/>
      <c r="K16" s="5468"/>
      <c r="L16" s="5468"/>
      <c r="M16" s="5468"/>
      <c r="N16" s="5468"/>
      <c r="O16" s="4686"/>
    </row>
    <row r="17" spans="1:18" s="4685" customFormat="1">
      <c r="B17" s="4702" t="s">
        <v>3466</v>
      </c>
      <c r="C17" s="5468"/>
      <c r="D17" s="5468"/>
      <c r="E17" s="5468"/>
      <c r="F17" s="5468"/>
      <c r="G17" s="5468"/>
      <c r="H17" s="5468"/>
      <c r="I17" s="5468"/>
      <c r="J17" s="5468"/>
      <c r="K17" s="5468"/>
      <c r="L17" s="5468"/>
      <c r="M17" s="5468"/>
      <c r="N17" s="5468"/>
      <c r="O17" s="4686"/>
    </row>
    <row r="18" spans="1:18">
      <c r="B18" s="4702"/>
      <c r="C18" s="5468"/>
      <c r="D18" s="5468"/>
      <c r="E18" s="5468"/>
      <c r="F18" s="5468"/>
      <c r="G18" s="5468"/>
      <c r="H18" s="5468"/>
      <c r="I18" s="5468"/>
      <c r="J18" s="5468"/>
      <c r="K18" s="5468"/>
      <c r="L18" s="5468"/>
      <c r="M18" s="5468"/>
      <c r="N18" s="5468"/>
      <c r="O18" s="4689"/>
    </row>
    <row r="19" spans="1:18">
      <c r="B19" s="4703" t="s">
        <v>3467</v>
      </c>
      <c r="C19" s="5468"/>
      <c r="D19" s="5468"/>
      <c r="E19" s="5468"/>
      <c r="F19" s="5468"/>
      <c r="G19" s="5468"/>
      <c r="H19" s="5468"/>
      <c r="I19" s="5468"/>
      <c r="J19" s="5468"/>
      <c r="K19" s="5468"/>
      <c r="L19" s="5468"/>
      <c r="M19" s="5468"/>
      <c r="N19" s="5468"/>
      <c r="O19" s="4689"/>
    </row>
    <row r="20" spans="1:18">
      <c r="B20" s="4703"/>
      <c r="C20" s="5468"/>
      <c r="D20" s="5468"/>
      <c r="E20" s="5468"/>
      <c r="F20" s="5468"/>
      <c r="G20" s="5468"/>
      <c r="H20" s="5468"/>
      <c r="I20" s="5468"/>
      <c r="J20" s="5468"/>
      <c r="K20" s="5468"/>
      <c r="L20" s="5468"/>
      <c r="M20" s="5468"/>
      <c r="N20" s="5468"/>
      <c r="O20" s="4689"/>
    </row>
    <row r="21" spans="1:18" s="4690" customFormat="1">
      <c r="B21" s="4687" t="s">
        <v>47</v>
      </c>
      <c r="C21" s="5468"/>
      <c r="D21" s="5468"/>
      <c r="E21" s="5468"/>
      <c r="F21" s="5468"/>
      <c r="G21" s="5468"/>
      <c r="H21" s="5468"/>
      <c r="I21" s="5468"/>
      <c r="J21" s="5468"/>
      <c r="K21" s="5468"/>
      <c r="L21" s="5468"/>
      <c r="M21" s="5468"/>
      <c r="N21" s="5468"/>
      <c r="O21" s="4705"/>
    </row>
    <row r="22" spans="1:18" s="4690" customFormat="1">
      <c r="B22" s="4691"/>
      <c r="C22" s="4683"/>
      <c r="D22" s="4683"/>
      <c r="E22" s="4676"/>
      <c r="F22" s="4692"/>
      <c r="G22" s="4693"/>
      <c r="H22" s="4693"/>
      <c r="I22" s="4693"/>
      <c r="J22" s="4693"/>
      <c r="K22" s="4693"/>
      <c r="L22" s="4693"/>
      <c r="M22" s="4693"/>
      <c r="N22" s="4693"/>
      <c r="O22" s="4676"/>
      <c r="P22" s="4676"/>
      <c r="Q22" s="4676"/>
    </row>
    <row r="23" spans="1:18" s="4690" customFormat="1" ht="18">
      <c r="B23" s="4694"/>
      <c r="C23" s="4695"/>
      <c r="D23" s="4695"/>
      <c r="E23" s="4695"/>
      <c r="F23" s="4695"/>
      <c r="G23" s="4274"/>
      <c r="H23" s="4274"/>
      <c r="I23" s="4274"/>
      <c r="J23" s="4274"/>
      <c r="K23" s="4274"/>
      <c r="L23" s="4274"/>
      <c r="M23" s="4274"/>
      <c r="N23" s="4274"/>
      <c r="O23" s="4274"/>
      <c r="P23" s="4696"/>
      <c r="Q23" s="4696"/>
    </row>
    <row r="24" spans="1:18" s="4690" customFormat="1" ht="18">
      <c r="B24" s="4680" t="s">
        <v>3481</v>
      </c>
      <c r="C24" s="4679"/>
      <c r="D24" s="4679"/>
      <c r="E24" s="4679"/>
      <c r="F24" s="4679"/>
      <c r="G24" s="4679"/>
      <c r="H24" s="4679"/>
      <c r="I24" s="4679"/>
      <c r="J24" s="4679"/>
      <c r="K24" s="4679"/>
      <c r="L24" s="4679"/>
      <c r="M24" s="4679"/>
      <c r="N24" s="4679"/>
      <c r="O24" s="4677"/>
      <c r="P24" s="4696"/>
      <c r="Q24" s="4696"/>
      <c r="R24" s="4697"/>
    </row>
    <row r="25" spans="1:18" s="4690" customFormat="1" ht="18">
      <c r="A25" s="4690" t="s">
        <v>3468</v>
      </c>
      <c r="B25" s="4680"/>
      <c r="C25" s="4681"/>
      <c r="D25" s="4681"/>
      <c r="E25" s="4676"/>
      <c r="F25" s="4676"/>
      <c r="G25" s="4676"/>
      <c r="H25" s="4676"/>
      <c r="I25" s="4676"/>
      <c r="J25" s="4676"/>
      <c r="K25" s="4676"/>
      <c r="L25" s="4676"/>
      <c r="M25" s="4676"/>
      <c r="N25" s="4676"/>
      <c r="P25" s="4681" t="s">
        <v>3464</v>
      </c>
      <c r="Q25" s="4696"/>
    </row>
    <row r="26" spans="1:18" s="4690" customFormat="1" ht="18.75" customHeight="1">
      <c r="B26" s="5457" t="s">
        <v>3465</v>
      </c>
      <c r="C26" s="5458" t="s">
        <v>86</v>
      </c>
      <c r="D26" s="5458"/>
      <c r="E26" s="5458"/>
      <c r="F26" s="5458"/>
      <c r="G26" s="5458"/>
      <c r="H26" s="5458"/>
      <c r="I26" s="5458"/>
      <c r="J26" s="5458"/>
      <c r="K26" s="5458"/>
      <c r="L26" s="5459" t="s">
        <v>3279</v>
      </c>
      <c r="M26" s="5459"/>
      <c r="N26" s="5459"/>
      <c r="O26" s="5457" t="s">
        <v>3469</v>
      </c>
      <c r="P26" s="5460"/>
      <c r="Q26" s="4696"/>
      <c r="R26" s="4696"/>
    </row>
    <row r="27" spans="1:18" s="4682" customFormat="1">
      <c r="B27" s="5457"/>
      <c r="C27" s="4699" t="s">
        <v>3185</v>
      </c>
      <c r="D27" s="4699" t="s">
        <v>3186</v>
      </c>
      <c r="E27" s="4698" t="s">
        <v>3187</v>
      </c>
      <c r="F27" s="4698" t="s">
        <v>3188</v>
      </c>
      <c r="G27" s="4698" t="s">
        <v>3189</v>
      </c>
      <c r="H27" s="4698" t="s">
        <v>3190</v>
      </c>
      <c r="I27" s="4698" t="s">
        <v>3191</v>
      </c>
      <c r="J27" s="4698" t="s">
        <v>3192</v>
      </c>
      <c r="K27" s="4698" t="s">
        <v>3193</v>
      </c>
      <c r="L27" s="4698" t="s">
        <v>3194</v>
      </c>
      <c r="M27" s="4698" t="s">
        <v>3195</v>
      </c>
      <c r="N27" s="4698" t="s">
        <v>3196</v>
      </c>
      <c r="O27" s="5460"/>
      <c r="P27" s="5460"/>
    </row>
    <row r="28" spans="1:18" s="4683" customFormat="1">
      <c r="B28" s="4684"/>
      <c r="C28" s="5467" t="s">
        <v>3460</v>
      </c>
      <c r="D28" s="5468"/>
      <c r="E28" s="5468"/>
      <c r="F28" s="5468"/>
      <c r="G28" s="5468"/>
      <c r="H28" s="5468"/>
      <c r="I28" s="5468"/>
      <c r="J28" s="5468"/>
      <c r="K28" s="5468"/>
      <c r="L28" s="5468"/>
      <c r="M28" s="5468"/>
      <c r="N28" s="5468"/>
      <c r="O28" s="5471"/>
      <c r="P28" s="5472"/>
    </row>
    <row r="29" spans="1:18" s="4685" customFormat="1" ht="14.25">
      <c r="B29" s="4701" t="s">
        <v>2004</v>
      </c>
      <c r="C29" s="5468"/>
      <c r="D29" s="5468"/>
      <c r="E29" s="5468"/>
      <c r="F29" s="5468"/>
      <c r="G29" s="5468"/>
      <c r="H29" s="5468"/>
      <c r="I29" s="5468"/>
      <c r="J29" s="5468"/>
      <c r="K29" s="5468"/>
      <c r="L29" s="5468"/>
      <c r="M29" s="5468"/>
      <c r="N29" s="5468"/>
      <c r="O29" s="5473"/>
      <c r="P29" s="5474"/>
    </row>
    <row r="30" spans="1:18" s="4685" customFormat="1">
      <c r="B30" s="4702" t="s">
        <v>3466</v>
      </c>
      <c r="C30" s="5468"/>
      <c r="D30" s="5468"/>
      <c r="E30" s="5468"/>
      <c r="F30" s="5468"/>
      <c r="G30" s="5468"/>
      <c r="H30" s="5468"/>
      <c r="I30" s="5468"/>
      <c r="J30" s="5468"/>
      <c r="K30" s="5468"/>
      <c r="L30" s="5468"/>
      <c r="M30" s="5468"/>
      <c r="N30" s="5468"/>
      <c r="O30" s="5453"/>
      <c r="P30" s="5454"/>
    </row>
    <row r="31" spans="1:18" s="4685" customFormat="1">
      <c r="B31" s="4702"/>
      <c r="C31" s="5468"/>
      <c r="D31" s="5468"/>
      <c r="E31" s="5468"/>
      <c r="F31" s="5468"/>
      <c r="G31" s="5468"/>
      <c r="H31" s="5468"/>
      <c r="I31" s="5468"/>
      <c r="J31" s="5468"/>
      <c r="K31" s="5468"/>
      <c r="L31" s="5468"/>
      <c r="M31" s="5468"/>
      <c r="N31" s="5468"/>
      <c r="O31" s="5453"/>
      <c r="P31" s="5454"/>
    </row>
    <row r="32" spans="1:18" s="4685" customFormat="1">
      <c r="B32" s="4703" t="s">
        <v>3467</v>
      </c>
      <c r="C32" s="5468"/>
      <c r="D32" s="5468"/>
      <c r="E32" s="5468"/>
      <c r="F32" s="5468"/>
      <c r="G32" s="5468"/>
      <c r="H32" s="5468"/>
      <c r="I32" s="5468"/>
      <c r="J32" s="5468"/>
      <c r="K32" s="5468"/>
      <c r="L32" s="5468"/>
      <c r="M32" s="5468"/>
      <c r="N32" s="5468"/>
      <c r="O32" s="5453"/>
      <c r="P32" s="5454"/>
    </row>
    <row r="33" spans="2:16" s="4685" customFormat="1">
      <c r="B33" s="4703"/>
      <c r="C33" s="5468"/>
      <c r="D33" s="5468"/>
      <c r="E33" s="5468"/>
      <c r="F33" s="5468"/>
      <c r="G33" s="5468"/>
      <c r="H33" s="5468"/>
      <c r="I33" s="5468"/>
      <c r="J33" s="5468"/>
      <c r="K33" s="5468"/>
      <c r="L33" s="5468"/>
      <c r="M33" s="5468"/>
      <c r="N33" s="5468"/>
      <c r="O33" s="5453"/>
      <c r="P33" s="5454"/>
    </row>
    <row r="34" spans="2:16" s="4685" customFormat="1" ht="14.25">
      <c r="B34" s="4701" t="s">
        <v>1989</v>
      </c>
      <c r="C34" s="5468"/>
      <c r="D34" s="5468"/>
      <c r="E34" s="5468"/>
      <c r="F34" s="5468"/>
      <c r="G34" s="5468"/>
      <c r="H34" s="5468"/>
      <c r="I34" s="5468"/>
      <c r="J34" s="5468"/>
      <c r="K34" s="5468"/>
      <c r="L34" s="5468"/>
      <c r="M34" s="5468"/>
      <c r="N34" s="5468"/>
      <c r="O34" s="5453"/>
      <c r="P34" s="5454"/>
    </row>
    <row r="35" spans="2:16" s="4685" customFormat="1">
      <c r="B35" s="4702" t="s">
        <v>3466</v>
      </c>
      <c r="C35" s="5468"/>
      <c r="D35" s="5468"/>
      <c r="E35" s="5468"/>
      <c r="F35" s="5468"/>
      <c r="G35" s="5468"/>
      <c r="H35" s="5468"/>
      <c r="I35" s="5468"/>
      <c r="J35" s="5468"/>
      <c r="K35" s="5468"/>
      <c r="L35" s="5468"/>
      <c r="M35" s="5468"/>
      <c r="N35" s="5468"/>
      <c r="O35" s="5453"/>
      <c r="P35" s="5454"/>
    </row>
    <row r="36" spans="2:16">
      <c r="B36" s="4702"/>
      <c r="C36" s="5468"/>
      <c r="D36" s="5468"/>
      <c r="E36" s="5468"/>
      <c r="F36" s="5468"/>
      <c r="G36" s="5468"/>
      <c r="H36" s="5468"/>
      <c r="I36" s="5468"/>
      <c r="J36" s="5468"/>
      <c r="K36" s="5468"/>
      <c r="L36" s="5468"/>
      <c r="M36" s="5468"/>
      <c r="N36" s="5468"/>
      <c r="O36" s="5469"/>
      <c r="P36" s="5454"/>
    </row>
    <row r="37" spans="2:16">
      <c r="B37" s="4703" t="s">
        <v>3467</v>
      </c>
      <c r="C37" s="5468"/>
      <c r="D37" s="5468"/>
      <c r="E37" s="5468"/>
      <c r="F37" s="5468"/>
      <c r="G37" s="5468"/>
      <c r="H37" s="5468"/>
      <c r="I37" s="5468"/>
      <c r="J37" s="5468"/>
      <c r="K37" s="5468"/>
      <c r="L37" s="5468"/>
      <c r="M37" s="5468"/>
      <c r="N37" s="5468"/>
      <c r="O37" s="5469"/>
      <c r="P37" s="5454"/>
    </row>
    <row r="38" spans="2:16">
      <c r="B38" s="4703"/>
      <c r="C38" s="5468"/>
      <c r="D38" s="5468"/>
      <c r="E38" s="5468"/>
      <c r="F38" s="5468"/>
      <c r="G38" s="5468"/>
      <c r="H38" s="5468"/>
      <c r="I38" s="5468"/>
      <c r="J38" s="5468"/>
      <c r="K38" s="5468"/>
      <c r="L38" s="5468"/>
      <c r="M38" s="5468"/>
      <c r="N38" s="5468"/>
      <c r="O38" s="5469"/>
      <c r="P38" s="5454"/>
    </row>
    <row r="39" spans="2:16" s="4690" customFormat="1">
      <c r="B39" s="4687" t="s">
        <v>47</v>
      </c>
      <c r="C39" s="5468"/>
      <c r="D39" s="5468"/>
      <c r="E39" s="5468"/>
      <c r="F39" s="5468"/>
      <c r="G39" s="5468"/>
      <c r="H39" s="5468"/>
      <c r="I39" s="5468"/>
      <c r="J39" s="5468"/>
      <c r="K39" s="5468"/>
      <c r="L39" s="5468"/>
      <c r="M39" s="5468"/>
      <c r="N39" s="5468"/>
      <c r="O39" s="5470"/>
      <c r="P39" s="5454"/>
    </row>
    <row r="40" spans="2:16">
      <c r="B40" s="4691"/>
    </row>
    <row r="41" spans="2:16" hidden="1"/>
    <row r="42" spans="2:16" hidden="1"/>
    <row r="43" spans="2:16" hidden="1">
      <c r="B43" s="4680" t="s">
        <v>3470</v>
      </c>
      <c r="C43" s="4679"/>
      <c r="D43" s="4679"/>
      <c r="E43" s="4679"/>
      <c r="F43" s="4679"/>
      <c r="G43" s="4679"/>
      <c r="H43" s="4679"/>
      <c r="I43" s="4679"/>
      <c r="J43" s="4679"/>
      <c r="K43" s="4679"/>
      <c r="L43" s="4679"/>
      <c r="M43" s="4679"/>
      <c r="N43" s="4679"/>
      <c r="O43" s="4677"/>
    </row>
    <row r="44" spans="2:16" hidden="1">
      <c r="B44" s="4680"/>
      <c r="C44" s="4681"/>
      <c r="D44" s="4681"/>
      <c r="O44" s="4681"/>
    </row>
    <row r="45" spans="2:16" hidden="1">
      <c r="B45" s="4681"/>
      <c r="C45" s="4681"/>
      <c r="D45" s="4681"/>
      <c r="O45" s="4681"/>
    </row>
    <row r="46" spans="2:16" ht="28.5" hidden="1">
      <c r="B46" s="4699" t="s">
        <v>3465</v>
      </c>
      <c r="C46" s="4700" t="s">
        <v>3471</v>
      </c>
      <c r="D46" s="4700" t="s">
        <v>3472</v>
      </c>
    </row>
    <row r="47" spans="2:16" hidden="1">
      <c r="B47" s="4684"/>
      <c r="C47" s="5461" t="s">
        <v>3460</v>
      </c>
      <c r="D47" s="5462"/>
    </row>
    <row r="48" spans="2:16" hidden="1">
      <c r="B48" s="4701" t="s">
        <v>2004</v>
      </c>
      <c r="C48" s="5463"/>
      <c r="D48" s="5464"/>
    </row>
    <row r="49" spans="2:8" hidden="1">
      <c r="B49" s="4702" t="s">
        <v>3466</v>
      </c>
      <c r="C49" s="5463"/>
      <c r="D49" s="5464"/>
    </row>
    <row r="50" spans="2:8" hidden="1">
      <c r="B50" s="4702"/>
      <c r="C50" s="5463"/>
      <c r="D50" s="5464"/>
    </row>
    <row r="51" spans="2:8" hidden="1">
      <c r="B51" s="4703" t="s">
        <v>3467</v>
      </c>
      <c r="C51" s="5463"/>
      <c r="D51" s="5464"/>
    </row>
    <row r="52" spans="2:8" hidden="1">
      <c r="B52" s="4703"/>
      <c r="C52" s="5463"/>
      <c r="D52" s="5464"/>
    </row>
    <row r="53" spans="2:8" hidden="1">
      <c r="B53" s="4701" t="s">
        <v>1989</v>
      </c>
      <c r="C53" s="5463"/>
      <c r="D53" s="5464"/>
    </row>
    <row r="54" spans="2:8" hidden="1">
      <c r="B54" s="4702" t="s">
        <v>3466</v>
      </c>
      <c r="C54" s="5463"/>
      <c r="D54" s="5464"/>
    </row>
    <row r="55" spans="2:8" hidden="1">
      <c r="B55" s="4702"/>
      <c r="C55" s="5463"/>
      <c r="D55" s="5464"/>
    </row>
    <row r="56" spans="2:8" hidden="1">
      <c r="B56" s="4703" t="s">
        <v>3467</v>
      </c>
      <c r="C56" s="5463"/>
      <c r="D56" s="5464"/>
    </row>
    <row r="57" spans="2:8" hidden="1">
      <c r="B57" s="4703"/>
      <c r="C57" s="5463"/>
      <c r="D57" s="5464"/>
    </row>
    <row r="58" spans="2:8" hidden="1">
      <c r="B58" s="4687" t="s">
        <v>47</v>
      </c>
      <c r="C58" s="5465"/>
      <c r="D58" s="5466"/>
    </row>
    <row r="59" spans="2:8" hidden="1">
      <c r="B59" s="4691"/>
    </row>
    <row r="60" spans="2:8" hidden="1"/>
    <row r="61" spans="2:8" hidden="1"/>
    <row r="62" spans="2:8" hidden="1">
      <c r="B62" s="4685" t="s">
        <v>3473</v>
      </c>
    </row>
    <row r="63" spans="2:8" hidden="1"/>
    <row r="64" spans="2:8" ht="28.5" hidden="1">
      <c r="B64" s="4699" t="s">
        <v>3465</v>
      </c>
      <c r="C64" s="4698" t="s">
        <v>3474</v>
      </c>
      <c r="D64" s="4698" t="s">
        <v>3475</v>
      </c>
      <c r="E64" s="4698" t="s">
        <v>3476</v>
      </c>
      <c r="F64" s="4698" t="s">
        <v>3477</v>
      </c>
      <c r="G64" s="4698" t="s">
        <v>3478</v>
      </c>
      <c r="H64" s="4698" t="s">
        <v>3479</v>
      </c>
    </row>
    <row r="65" spans="2:8" hidden="1">
      <c r="B65" s="4684"/>
      <c r="C65" s="5467" t="s">
        <v>3460</v>
      </c>
      <c r="D65" s="5468"/>
      <c r="E65" s="5468"/>
      <c r="F65" s="5468"/>
      <c r="G65" s="5468"/>
      <c r="H65" s="4684"/>
    </row>
    <row r="66" spans="2:8" hidden="1">
      <c r="B66" s="4701" t="s">
        <v>2004</v>
      </c>
      <c r="C66" s="5468"/>
      <c r="D66" s="5468"/>
      <c r="E66" s="5468"/>
      <c r="F66" s="5468"/>
      <c r="G66" s="5468"/>
      <c r="H66" s="4687"/>
    </row>
    <row r="67" spans="2:8" hidden="1">
      <c r="B67" s="4702" t="s">
        <v>3466</v>
      </c>
      <c r="C67" s="5468"/>
      <c r="D67" s="5468"/>
      <c r="E67" s="5468"/>
      <c r="F67" s="5468"/>
      <c r="G67" s="5468"/>
      <c r="H67" s="4686"/>
    </row>
    <row r="68" spans="2:8" hidden="1">
      <c r="B68" s="4702"/>
      <c r="C68" s="5468"/>
      <c r="D68" s="5468"/>
      <c r="E68" s="5468"/>
      <c r="F68" s="5468"/>
      <c r="G68" s="5468"/>
      <c r="H68" s="4686"/>
    </row>
    <row r="69" spans="2:8" hidden="1">
      <c r="B69" s="4703" t="s">
        <v>3467</v>
      </c>
      <c r="C69" s="5468"/>
      <c r="D69" s="5468"/>
      <c r="E69" s="5468"/>
      <c r="F69" s="5468"/>
      <c r="G69" s="5468"/>
      <c r="H69" s="4686"/>
    </row>
    <row r="70" spans="2:8" hidden="1">
      <c r="B70" s="4703"/>
      <c r="C70" s="5468"/>
      <c r="D70" s="5468"/>
      <c r="E70" s="5468"/>
      <c r="F70" s="5468"/>
      <c r="G70" s="5468"/>
      <c r="H70" s="4686"/>
    </row>
    <row r="71" spans="2:8" hidden="1">
      <c r="B71" s="4701" t="s">
        <v>1989</v>
      </c>
      <c r="C71" s="5468"/>
      <c r="D71" s="5468"/>
      <c r="E71" s="5468"/>
      <c r="F71" s="5468"/>
      <c r="G71" s="5468"/>
      <c r="H71" s="4686"/>
    </row>
    <row r="72" spans="2:8" hidden="1">
      <c r="B72" s="4702" t="s">
        <v>3466</v>
      </c>
      <c r="C72" s="5468"/>
      <c r="D72" s="5468"/>
      <c r="E72" s="5468"/>
      <c r="F72" s="5468"/>
      <c r="G72" s="5468"/>
      <c r="H72" s="4686"/>
    </row>
    <row r="73" spans="2:8" hidden="1">
      <c r="B73" s="4702"/>
      <c r="C73" s="5468"/>
      <c r="D73" s="5468"/>
      <c r="E73" s="5468"/>
      <c r="F73" s="5468"/>
      <c r="G73" s="5468"/>
      <c r="H73" s="4689"/>
    </row>
    <row r="74" spans="2:8" hidden="1">
      <c r="B74" s="4703" t="s">
        <v>3467</v>
      </c>
      <c r="C74" s="5468"/>
      <c r="D74" s="5468"/>
      <c r="E74" s="5468"/>
      <c r="F74" s="5468"/>
      <c r="G74" s="5468"/>
      <c r="H74" s="4689"/>
    </row>
    <row r="75" spans="2:8" hidden="1">
      <c r="B75" s="4703"/>
      <c r="C75" s="5468"/>
      <c r="D75" s="5468"/>
      <c r="E75" s="5468"/>
      <c r="F75" s="5468"/>
      <c r="G75" s="5468"/>
      <c r="H75" s="4689"/>
    </row>
    <row r="76" spans="2:8" hidden="1">
      <c r="B76" s="4687" t="s">
        <v>47</v>
      </c>
      <c r="C76" s="5468"/>
      <c r="D76" s="5468"/>
      <c r="E76" s="5468"/>
      <c r="F76" s="5468"/>
      <c r="G76" s="5468"/>
      <c r="H76" s="4704"/>
    </row>
    <row r="77" spans="2:8" hidden="1">
      <c r="B77" s="4691"/>
    </row>
    <row r="78" spans="2:8" hidden="1"/>
  </sheetData>
  <mergeCells count="23">
    <mergeCell ref="C47:D58"/>
    <mergeCell ref="C65:G76"/>
    <mergeCell ref="B4:H4"/>
    <mergeCell ref="I4:O4"/>
    <mergeCell ref="C10:N21"/>
    <mergeCell ref="C28:N39"/>
    <mergeCell ref="O34:P34"/>
    <mergeCell ref="O35:P35"/>
    <mergeCell ref="O36:P36"/>
    <mergeCell ref="O37:P37"/>
    <mergeCell ref="O38:P38"/>
    <mergeCell ref="O39:P39"/>
    <mergeCell ref="O28:P28"/>
    <mergeCell ref="O29:P29"/>
    <mergeCell ref="O30:P30"/>
    <mergeCell ref="O31:P31"/>
    <mergeCell ref="O32:P32"/>
    <mergeCell ref="O33:P33"/>
    <mergeCell ref="B5:O5"/>
    <mergeCell ref="B26:B27"/>
    <mergeCell ref="C26:K26"/>
    <mergeCell ref="L26:N26"/>
    <mergeCell ref="O26:P27"/>
  </mergeCells>
  <pageMargins left="0.26" right="0.25" top="0.87" bottom="0.38" header="0.25" footer="0.25"/>
  <pageSetup paperSize="9" scale="75" orientation="landscape" r:id="rId1"/>
  <headerFooter alignWithMargins="0"/>
</worksheet>
</file>

<file path=xl/worksheets/sheet22.xml><?xml version="1.0" encoding="utf-8"?>
<worksheet xmlns="http://schemas.openxmlformats.org/spreadsheetml/2006/main" xmlns:r="http://schemas.openxmlformats.org/officeDocument/2006/relationships">
  <sheetPr>
    <tabColor rgb="FFFF0000"/>
  </sheetPr>
  <dimension ref="B2:I38"/>
  <sheetViews>
    <sheetView zoomScale="60" zoomScaleNormal="60" workbookViewId="0">
      <selection activeCell="G3" sqref="G3"/>
    </sheetView>
  </sheetViews>
  <sheetFormatPr defaultRowHeight="15"/>
  <cols>
    <col min="1" max="1" width="9.140625" style="1013"/>
    <col min="2" max="2" width="47.28515625" style="1013" customWidth="1"/>
    <col min="3" max="3" width="17.28515625" style="1013" customWidth="1"/>
    <col min="4" max="4" width="20.28515625" style="1013" customWidth="1"/>
    <col min="5" max="5" width="17" style="1013" customWidth="1"/>
    <col min="6" max="9" width="20.28515625" style="1013" customWidth="1"/>
    <col min="10" max="16384" width="9.140625" style="1013"/>
  </cols>
  <sheetData>
    <row r="2" spans="2:9" s="4231" customFormat="1">
      <c r="B2" s="5478" t="s">
        <v>1938</v>
      </c>
      <c r="C2" s="5479" t="s">
        <v>3077</v>
      </c>
      <c r="D2" s="5475" t="s">
        <v>3287</v>
      </c>
      <c r="E2" s="5476"/>
      <c r="F2" s="5477"/>
      <c r="G2" s="5430" t="s">
        <v>758</v>
      </c>
      <c r="H2" s="5430"/>
      <c r="I2" s="5430"/>
    </row>
    <row r="3" spans="2:9" s="4231" customFormat="1" ht="28.5">
      <c r="B3" s="5478"/>
      <c r="C3" s="5479"/>
      <c r="D3" s="3581" t="s">
        <v>2966</v>
      </c>
      <c r="E3" s="3581" t="s">
        <v>3288</v>
      </c>
      <c r="F3" s="3581" t="s">
        <v>3286</v>
      </c>
      <c r="G3" s="3581" t="s">
        <v>2966</v>
      </c>
      <c r="H3" s="3581" t="s">
        <v>3288</v>
      </c>
      <c r="I3" s="3581" t="s">
        <v>3286</v>
      </c>
    </row>
    <row r="4" spans="2:9">
      <c r="B4" s="4223" t="s">
        <v>3226</v>
      </c>
      <c r="C4" s="4223" t="s">
        <v>15</v>
      </c>
      <c r="D4" s="1015">
        <f>F19.1!L9</f>
        <v>0.89</v>
      </c>
      <c r="E4" s="1016">
        <f>F4/D4*10</f>
        <v>1.2184134831460673</v>
      </c>
      <c r="F4" s="1016">
        <f>F19.1!W9</f>
        <v>0.10843879999999999</v>
      </c>
      <c r="G4" s="1016">
        <f>'F22'!L9</f>
        <v>5.0000473283962926E-2</v>
      </c>
      <c r="H4" s="1016">
        <f t="shared" ref="H4:H20" si="0">I4/G4*10</f>
        <v>1.346078711922559</v>
      </c>
      <c r="I4" s="1016">
        <f>'F22'!V9</f>
        <v>6.7304572673595143E-3</v>
      </c>
    </row>
    <row r="5" spans="2:9">
      <c r="B5" s="4224" t="s">
        <v>3046</v>
      </c>
      <c r="C5" s="4225" t="s">
        <v>17</v>
      </c>
      <c r="D5" s="1015">
        <f>F19.1!L10</f>
        <v>765.46</v>
      </c>
      <c r="E5" s="1016">
        <f t="shared" ref="E5:E32" si="1">F5/D5*10</f>
        <v>4.1263036082878273</v>
      </c>
      <c r="F5" s="1016">
        <f>F19.1!W10</f>
        <v>315.852036</v>
      </c>
      <c r="G5" s="1016">
        <f>'F22'!L10</f>
        <v>740.70916312206168</v>
      </c>
      <c r="H5" s="1016">
        <f t="shared" si="0"/>
        <v>4.1403154382272271</v>
      </c>
      <c r="I5" s="1016">
        <f>'F22'!V10</f>
        <v>306.67695833106416</v>
      </c>
    </row>
    <row r="6" spans="2:9">
      <c r="B6" s="4224"/>
      <c r="C6" s="4225" t="s">
        <v>18</v>
      </c>
      <c r="D6" s="1015">
        <f>F19.1!L11</f>
        <v>656.23</v>
      </c>
      <c r="E6" s="1016">
        <f t="shared" si="1"/>
        <v>8.6861851789768849</v>
      </c>
      <c r="F6" s="1016">
        <f>F19.1!W11</f>
        <v>570.01353000000006</v>
      </c>
      <c r="G6" s="1016">
        <f>'F22'!L11</f>
        <v>638.93612398134803</v>
      </c>
      <c r="H6" s="1016">
        <f t="shared" si="0"/>
        <v>8.6680982729293312</v>
      </c>
      <c r="I6" s="1016">
        <f>'F22'!V11</f>
        <v>553.83611127948848</v>
      </c>
    </row>
    <row r="7" spans="2:9">
      <c r="B7" s="4224"/>
      <c r="C7" s="4225" t="s">
        <v>19</v>
      </c>
      <c r="D7" s="1015">
        <f>F19.1!L12</f>
        <v>203.06</v>
      </c>
      <c r="E7" s="1016">
        <f t="shared" si="1"/>
        <v>11.631522210184182</v>
      </c>
      <c r="F7" s="1016">
        <f>F19.1!W12</f>
        <v>236.18969000000001</v>
      </c>
      <c r="G7" s="1016">
        <f>'F22'!L12</f>
        <v>195.47247711742492</v>
      </c>
      <c r="H7" s="1016">
        <f t="shared" si="0"/>
        <v>11.541055737270929</v>
      </c>
      <c r="I7" s="1016">
        <f>'F22'!V12</f>
        <v>225.59587535146173</v>
      </c>
    </row>
    <row r="8" spans="2:9">
      <c r="B8" s="4224"/>
      <c r="C8" s="4225" t="s">
        <v>20</v>
      </c>
      <c r="D8" s="1015">
        <f>F19.1!L13</f>
        <v>390.39</v>
      </c>
      <c r="E8" s="1016">
        <f t="shared" si="1"/>
        <v>14.140351187274264</v>
      </c>
      <c r="F8" s="1016">
        <f>F19.1!W13</f>
        <v>552.02517</v>
      </c>
      <c r="G8" s="1016">
        <f>'F22'!L13</f>
        <v>359.99730133356655</v>
      </c>
      <c r="H8" s="1016">
        <f t="shared" si="0"/>
        <v>14.096716694351279</v>
      </c>
      <c r="I8" s="1016">
        <f>'F22'!V13</f>
        <v>507.47799676302952</v>
      </c>
    </row>
    <row r="9" spans="2:9">
      <c r="B9" s="4224" t="s">
        <v>3227</v>
      </c>
      <c r="C9" s="4225" t="s">
        <v>3096</v>
      </c>
      <c r="D9" s="1015">
        <f>F19.1!L14</f>
        <v>816.68</v>
      </c>
      <c r="E9" s="1016">
        <f t="shared" si="1"/>
        <v>11.86983690062203</v>
      </c>
      <c r="F9" s="1016">
        <f>F19.1!W14</f>
        <v>969.38583999999992</v>
      </c>
      <c r="G9" s="1016">
        <f>'F22'!L14</f>
        <v>557.25224670732882</v>
      </c>
      <c r="H9" s="1016">
        <f t="shared" si="0"/>
        <v>12.240865668006437</v>
      </c>
      <c r="I9" s="1016">
        <f>'F22'!V14</f>
        <v>682.12498951391945</v>
      </c>
    </row>
    <row r="10" spans="2:9">
      <c r="B10" s="1015"/>
      <c r="C10" s="4225" t="s">
        <v>20</v>
      </c>
      <c r="D10" s="1015">
        <f>F19.1!L15</f>
        <v>572.19000000000005</v>
      </c>
      <c r="E10" s="1016">
        <f t="shared" si="1"/>
        <v>15.840452472080953</v>
      </c>
      <c r="F10" s="1016">
        <f>F19.1!W15</f>
        <v>906.37485000000015</v>
      </c>
      <c r="G10" s="1016">
        <f>'F22'!L15</f>
        <v>353.68963760997781</v>
      </c>
      <c r="H10" s="1016">
        <f t="shared" si="0"/>
        <v>15.925990378126414</v>
      </c>
      <c r="I10" s="1016">
        <f>'F22'!V15</f>
        <v>563.28577654195249</v>
      </c>
    </row>
    <row r="11" spans="2:9">
      <c r="B11" s="4224" t="s">
        <v>3228</v>
      </c>
      <c r="C11" s="4224" t="s">
        <v>28</v>
      </c>
      <c r="D11" s="1015">
        <f>F19.1!L16</f>
        <v>401.55</v>
      </c>
      <c r="E11" s="1016">
        <f t="shared" si="1"/>
        <v>14.671922686831598</v>
      </c>
      <c r="F11" s="1016">
        <f>F19.1!W16</f>
        <v>589.15105548972281</v>
      </c>
      <c r="G11" s="1016">
        <f>'F22'!L16</f>
        <v>240.61024998912467</v>
      </c>
      <c r="H11" s="1016">
        <f t="shared" si="0"/>
        <v>15.076096230392235</v>
      </c>
      <c r="I11" s="1016">
        <f>'F22'!V16</f>
        <v>362.7463282854776</v>
      </c>
    </row>
    <row r="12" spans="2:9">
      <c r="B12" s="4224" t="s">
        <v>3229</v>
      </c>
      <c r="C12" s="4224" t="s">
        <v>28</v>
      </c>
      <c r="D12" s="1015">
        <f>F19.1!L17</f>
        <v>794.39</v>
      </c>
      <c r="E12" s="1016">
        <f t="shared" si="1"/>
        <v>15.178892639526593</v>
      </c>
      <c r="F12" s="1016">
        <f>F19.1!W17</f>
        <v>1205.796052391353</v>
      </c>
      <c r="G12" s="1016">
        <f>'F22'!L17</f>
        <v>474.79038926628346</v>
      </c>
      <c r="H12" s="1016">
        <f t="shared" si="0"/>
        <v>15.372643694393449</v>
      </c>
      <c r="I12" s="1016">
        <f>'F22'!V17</f>
        <v>729.87834837129435</v>
      </c>
    </row>
    <row r="13" spans="2:9">
      <c r="B13" s="4224" t="s">
        <v>3230</v>
      </c>
      <c r="C13" s="4225" t="s">
        <v>25</v>
      </c>
      <c r="D13" s="1015">
        <f>F19.1!L18</f>
        <v>25.61</v>
      </c>
      <c r="E13" s="1016">
        <f t="shared" si="1"/>
        <v>10.430913705583757</v>
      </c>
      <c r="F13" s="1016">
        <f>F19.1!W18</f>
        <v>26.713570000000001</v>
      </c>
      <c r="G13" s="1016">
        <f>'F22'!L18</f>
        <v>21.323338722833718</v>
      </c>
      <c r="H13" s="1016">
        <f t="shared" si="0"/>
        <v>10.538303614851912</v>
      </c>
      <c r="I13" s="1016">
        <f>'F22'!V18</f>
        <v>22.47118175435503</v>
      </c>
    </row>
    <row r="14" spans="2:9">
      <c r="B14" s="4224"/>
      <c r="C14" s="4225" t="s">
        <v>20</v>
      </c>
      <c r="D14" s="1015">
        <f>F19.1!L19</f>
        <v>29.49</v>
      </c>
      <c r="E14" s="1016">
        <f t="shared" si="1"/>
        <v>13.819664292980672</v>
      </c>
      <c r="F14" s="1016">
        <f>F19.1!W19</f>
        <v>40.754189999999994</v>
      </c>
      <c r="G14" s="1016">
        <f>'F22'!L19</f>
        <v>23.412585970123601</v>
      </c>
      <c r="H14" s="1016">
        <f t="shared" si="0"/>
        <v>13.871346981212779</v>
      </c>
      <c r="I14" s="1016">
        <f>'F22'!V19</f>
        <v>32.476410371905871</v>
      </c>
    </row>
    <row r="15" spans="2:9">
      <c r="B15" s="4224" t="s">
        <v>3231</v>
      </c>
      <c r="C15" s="4224" t="s">
        <v>28</v>
      </c>
      <c r="D15" s="1015">
        <f>F19.1!L20</f>
        <v>62.74</v>
      </c>
      <c r="E15" s="1016">
        <f t="shared" si="1"/>
        <v>12.841116071631946</v>
      </c>
      <c r="F15" s="1016">
        <f>F19.1!W20</f>
        <v>80.565162233418832</v>
      </c>
      <c r="G15" s="1016">
        <f>'F22'!L20</f>
        <v>53.444546787552618</v>
      </c>
      <c r="H15" s="1016">
        <f t="shared" si="0"/>
        <v>13.059783928823613</v>
      </c>
      <c r="I15" s="1016">
        <f>'F22'!V20</f>
        <v>69.797423321934133</v>
      </c>
    </row>
    <row r="16" spans="2:9">
      <c r="B16" s="4224" t="s">
        <v>3232</v>
      </c>
      <c r="C16" s="4224" t="s">
        <v>28</v>
      </c>
      <c r="D16" s="1015">
        <f>F19.1!L21</f>
        <v>57.33</v>
      </c>
      <c r="E16" s="1016">
        <f t="shared" si="1"/>
        <v>12.487657738235342</v>
      </c>
      <c r="F16" s="1016">
        <f>F19.1!W21</f>
        <v>71.591741813303216</v>
      </c>
      <c r="G16" s="1016">
        <f>'F22'!L21</f>
        <v>48.920121922597481</v>
      </c>
      <c r="H16" s="1016">
        <f t="shared" si="0"/>
        <v>12.532490433823579</v>
      </c>
      <c r="I16" s="1016">
        <f>'F22'!V21</f>
        <v>61.30909600164361</v>
      </c>
    </row>
    <row r="17" spans="2:9">
      <c r="B17" s="4224" t="s">
        <v>3233</v>
      </c>
      <c r="C17" s="4224" t="s">
        <v>28</v>
      </c>
      <c r="D17" s="1015">
        <f>F19.1!L22</f>
        <v>3.1</v>
      </c>
      <c r="E17" s="1016">
        <f t="shared" si="1"/>
        <v>21.92716129032258</v>
      </c>
      <c r="F17" s="1016">
        <f>F19.1!W22</f>
        <v>6.7974200000000007</v>
      </c>
      <c r="G17" s="1016">
        <f>'F22'!L22</f>
        <v>1.6412256112723016</v>
      </c>
      <c r="H17" s="1016">
        <f t="shared" si="0"/>
        <v>23.131898192283153</v>
      </c>
      <c r="I17" s="1016">
        <f>'F22'!V22</f>
        <v>3.7964663750518568</v>
      </c>
    </row>
    <row r="18" spans="2:9">
      <c r="B18" s="4224" t="s">
        <v>3234</v>
      </c>
      <c r="C18" s="4224" t="s">
        <v>28</v>
      </c>
      <c r="D18" s="1015">
        <f>F19.1!L23</f>
        <v>35.979999999999997</v>
      </c>
      <c r="E18" s="1016">
        <f t="shared" si="1"/>
        <v>12.181922686831598</v>
      </c>
      <c r="F18" s="1016">
        <f>F19.1!W23</f>
        <v>43.83055782722009</v>
      </c>
      <c r="G18" s="1016">
        <f>'F22'!L23</f>
        <v>30.785385876232155</v>
      </c>
      <c r="H18" s="1016">
        <f t="shared" si="0"/>
        <v>12.586096230392235</v>
      </c>
      <c r="I18" s="1016">
        <f>'F22'!V23</f>
        <v>38.746782912801585</v>
      </c>
    </row>
    <row r="19" spans="2:9">
      <c r="B19" s="4224" t="s">
        <v>3235</v>
      </c>
      <c r="C19" s="4224" t="s">
        <v>28</v>
      </c>
      <c r="D19" s="1015">
        <f>F19.1!L24</f>
        <v>1.99</v>
      </c>
      <c r="E19" s="1016">
        <f t="shared" si="1"/>
        <v>6.4908040201005033</v>
      </c>
      <c r="F19" s="1016">
        <f>F19.1!W24</f>
        <v>1.2916700000000001</v>
      </c>
      <c r="G19" s="1016">
        <f>'F22'!L24</f>
        <v>2.3273066915796381</v>
      </c>
      <c r="H19" s="1016">
        <f t="shared" si="0"/>
        <v>6.4905156174750589</v>
      </c>
      <c r="I19" s="1016">
        <f>'F22'!V24</f>
        <v>1.510542042835185</v>
      </c>
    </row>
    <row r="20" spans="2:9">
      <c r="B20" s="4224" t="s">
        <v>3236</v>
      </c>
      <c r="C20" s="4224" t="s">
        <v>28</v>
      </c>
      <c r="D20" s="1015">
        <f>F19.1!L25</f>
        <v>52.21</v>
      </c>
      <c r="E20" s="1016">
        <f t="shared" si="1"/>
        <v>17.06498371959395</v>
      </c>
      <c r="F20" s="1016">
        <f>F19.1!W25</f>
        <v>89.096280000000007</v>
      </c>
      <c r="G20" s="1016">
        <f>'F22'!L25</f>
        <v>37.300932574388348</v>
      </c>
      <c r="H20" s="1016">
        <f t="shared" si="0"/>
        <v>17.132584497296047</v>
      </c>
      <c r="I20" s="1016">
        <f>'F22'!V25</f>
        <v>63.906137915865088</v>
      </c>
    </row>
    <row r="21" spans="2:9">
      <c r="B21" s="4224" t="s">
        <v>3237</v>
      </c>
      <c r="C21" s="4224" t="s">
        <v>28</v>
      </c>
      <c r="D21" s="1015">
        <f>F19.1!L26</f>
        <v>1.45</v>
      </c>
      <c r="E21" s="1016">
        <f t="shared" si="1"/>
        <v>6.5180689655172408</v>
      </c>
      <c r="F21" s="1016">
        <f>F19.1!W26</f>
        <v>0.94511999999999985</v>
      </c>
      <c r="G21" s="1016">
        <f>'F22'!L26</f>
        <v>1.2308820278524386</v>
      </c>
      <c r="H21" s="1016">
        <f t="shared" ref="H21" si="2">I21/G21*10</f>
        <v>6.5365448178014525</v>
      </c>
      <c r="I21" s="1016">
        <f>'F22'!V26</f>
        <v>0.8045715540483801</v>
      </c>
    </row>
    <row r="22" spans="2:9">
      <c r="B22" s="4226" t="s">
        <v>3238</v>
      </c>
      <c r="C22" s="4224" t="s">
        <v>28</v>
      </c>
      <c r="D22" s="1015">
        <f>F19.1!L27</f>
        <v>50.48</v>
      </c>
      <c r="E22" s="1016">
        <f t="shared" si="1"/>
        <v>12.464623613312204</v>
      </c>
      <c r="F22" s="1016">
        <f>F19.1!W27</f>
        <v>62.921420000000005</v>
      </c>
      <c r="G22" s="1016">
        <f>'F22'!L27</f>
        <v>12.779773157416724</v>
      </c>
      <c r="H22" s="1016">
        <f>I22/G22*10</f>
        <v>12.822712116627299</v>
      </c>
      <c r="I22" s="1016">
        <f>'F22'!V27</f>
        <v>16.387135211335575</v>
      </c>
    </row>
    <row r="23" spans="2:9">
      <c r="B23" s="4226" t="s">
        <v>3239</v>
      </c>
      <c r="C23" s="4224" t="s">
        <v>28</v>
      </c>
      <c r="D23" s="1015">
        <f>F19.1!L28</f>
        <v>64.23</v>
      </c>
      <c r="E23" s="1016">
        <f t="shared" si="1"/>
        <v>12.891922686831599</v>
      </c>
      <c r="F23" s="1016">
        <f>F19.1!W28</f>
        <v>82.804819417519354</v>
      </c>
      <c r="G23" s="1016">
        <f>'F22'!L28</f>
        <v>75.891669968670342</v>
      </c>
      <c r="H23" s="1016">
        <f>I23/G23*10</f>
        <v>13.056988520588295</v>
      </c>
      <c r="I23" s="1016">
        <f>'F22'!V28</f>
        <v>99.091666358920421</v>
      </c>
    </row>
    <row r="24" spans="2:9">
      <c r="B24" s="4224" t="s">
        <v>3097</v>
      </c>
      <c r="C24" s="4224"/>
      <c r="D24" s="1022">
        <f>F19.1!L29</f>
        <v>4985.449999999998</v>
      </c>
      <c r="E24" s="1016"/>
      <c r="F24" s="4232">
        <f>SUM(F4:F23)</f>
        <v>5852.2086139725361</v>
      </c>
      <c r="G24" s="4232">
        <f>'F22'!L29</f>
        <v>3870.5653589109193</v>
      </c>
      <c r="H24" s="1015"/>
      <c r="I24" s="4232">
        <f>SUM(I4:I23)</f>
        <v>4341.9265287156513</v>
      </c>
    </row>
    <row r="25" spans="2:9">
      <c r="B25" s="4227" t="s">
        <v>2004</v>
      </c>
      <c r="C25" s="4224"/>
      <c r="D25" s="1015">
        <f>F19.1!L30</f>
        <v>0</v>
      </c>
      <c r="E25" s="1016"/>
      <c r="F25" s="1016"/>
      <c r="G25" s="1016"/>
      <c r="H25" s="1015"/>
      <c r="I25" s="1016"/>
    </row>
    <row r="26" spans="2:9">
      <c r="B26" s="4228" t="s">
        <v>3240</v>
      </c>
      <c r="C26" s="4224" t="s">
        <v>28</v>
      </c>
      <c r="D26" s="1015">
        <f>F19.1!L31</f>
        <v>231.716666</v>
      </c>
      <c r="E26" s="1016">
        <f t="shared" si="1"/>
        <v>12.224367825367686</v>
      </c>
      <c r="F26" s="1016">
        <f>F19.1!W31</f>
        <v>283.25897564518704</v>
      </c>
      <c r="G26" s="1016">
        <f>'F22'!L31</f>
        <v>197.20559168255826</v>
      </c>
      <c r="H26" s="1016">
        <f t="shared" ref="H26:H32" si="3">I26/G26*10</f>
        <v>12.334013004795441</v>
      </c>
      <c r="I26" s="1016">
        <f>'F22'!V31</f>
        <v>243.23363324310532</v>
      </c>
    </row>
    <row r="27" spans="2:9">
      <c r="B27" s="4228" t="s">
        <v>3241</v>
      </c>
      <c r="C27" s="4224" t="s">
        <v>28</v>
      </c>
      <c r="D27" s="1015">
        <f>F19.1!L32</f>
        <v>431.67666600000001</v>
      </c>
      <c r="E27" s="1016">
        <f t="shared" si="1"/>
        <v>13.164900582326124</v>
      </c>
      <c r="F27" s="1016">
        <f>F19.1!W32</f>
        <v>568.29803916000003</v>
      </c>
      <c r="G27" s="1016">
        <f>'F22'!L32</f>
        <v>376.30713842443834</v>
      </c>
      <c r="H27" s="1016">
        <f t="shared" si="3"/>
        <v>13.227657738235338</v>
      </c>
      <c r="I27" s="1016">
        <f>'F22'!V32</f>
        <v>497.76620315332184</v>
      </c>
    </row>
    <row r="28" spans="2:9">
      <c r="B28" s="4228" t="s">
        <v>3242</v>
      </c>
      <c r="C28" s="4224" t="s">
        <v>28</v>
      </c>
      <c r="D28" s="1015">
        <f>F19.1!L33</f>
        <v>36.75</v>
      </c>
      <c r="E28" s="1016">
        <f t="shared" si="1"/>
        <v>8.9260244897959193</v>
      </c>
      <c r="F28" s="1016">
        <f>F19.1!W33</f>
        <v>32.803140000000006</v>
      </c>
      <c r="G28" s="1016">
        <f>'F22'!L33</f>
        <v>34.54054419494873</v>
      </c>
      <c r="H28" s="1016">
        <f t="shared" si="3"/>
        <v>8.7243678253676844</v>
      </c>
      <c r="I28" s="1016">
        <f>'F22'!V33</f>
        <v>30.134441244510125</v>
      </c>
    </row>
    <row r="29" spans="2:9">
      <c r="B29" s="4228" t="s">
        <v>3243</v>
      </c>
      <c r="C29" s="4224" t="s">
        <v>28</v>
      </c>
      <c r="D29" s="1015">
        <f>F19.1!L34</f>
        <v>4.6900000000000004</v>
      </c>
      <c r="E29" s="1016">
        <f t="shared" si="1"/>
        <v>16.011918976545839</v>
      </c>
      <c r="F29" s="1016">
        <f>F19.1!W34</f>
        <v>7.5095899999999993</v>
      </c>
      <c r="G29" s="1016">
        <f>'F22'!L34</f>
        <v>11.665209189340334</v>
      </c>
      <c r="H29" s="1016">
        <f t="shared" si="3"/>
        <v>16.01154304991088</v>
      </c>
      <c r="I29" s="1016">
        <f>'F22'!V34</f>
        <v>18.677799912133874</v>
      </c>
    </row>
    <row r="30" spans="2:9">
      <c r="B30" s="4228" t="s">
        <v>3244</v>
      </c>
      <c r="C30" s="4224" t="s">
        <v>28</v>
      </c>
      <c r="D30" s="1015">
        <f>F19.1!L35</f>
        <v>44.38</v>
      </c>
      <c r="E30" s="1016">
        <f t="shared" si="1"/>
        <v>12.044891964411805</v>
      </c>
      <c r="F30" s="1016">
        <f>F19.1!W35</f>
        <v>53.455230538059595</v>
      </c>
      <c r="G30" s="1016">
        <f>'F22'!L35</f>
        <v>103.34551388689785</v>
      </c>
      <c r="H30" s="1016">
        <f t="shared" si="3"/>
        <v>11.99353814946528</v>
      </c>
      <c r="I30" s="1016">
        <f>'F22'!V35</f>
        <v>123.94783633786031</v>
      </c>
    </row>
    <row r="31" spans="2:9">
      <c r="B31" s="4228" t="s">
        <v>3099</v>
      </c>
      <c r="C31" s="4224" t="s">
        <v>28</v>
      </c>
      <c r="D31" s="1022">
        <f>F19.1!L36</f>
        <v>749.21333200000004</v>
      </c>
      <c r="E31" s="1016"/>
      <c r="F31" s="4232">
        <f>SUM(F26:F30)</f>
        <v>945.32497534324659</v>
      </c>
      <c r="G31" s="1016">
        <f>'F22'!L36</f>
        <v>723.06399737818356</v>
      </c>
      <c r="H31" s="1015"/>
      <c r="I31" s="4232">
        <f>SUM(I26:I30)</f>
        <v>913.75991389093133</v>
      </c>
    </row>
    <row r="32" spans="2:9">
      <c r="B32" s="4229" t="s">
        <v>47</v>
      </c>
      <c r="C32" s="4230"/>
      <c r="D32" s="1022">
        <f>D24+D31</f>
        <v>5734.6633319999983</v>
      </c>
      <c r="E32" s="1016">
        <f t="shared" si="1"/>
        <v>11.853413523658594</v>
      </c>
      <c r="F32" s="4232">
        <f>F24+F31</f>
        <v>6797.5335893157826</v>
      </c>
      <c r="G32" s="4232">
        <f>G24+G31</f>
        <v>4593.6293562891024</v>
      </c>
      <c r="H32" s="4232">
        <f t="shared" si="3"/>
        <v>11.44125055586181</v>
      </c>
      <c r="I32" s="4232">
        <f>I24+I31</f>
        <v>5255.6864426065822</v>
      </c>
    </row>
    <row r="33" spans="2:9">
      <c r="B33" s="1015"/>
      <c r="C33" s="1015"/>
      <c r="D33" s="1015"/>
      <c r="E33" s="1015"/>
      <c r="F33" s="1016"/>
      <c r="G33" s="1015"/>
      <c r="H33" s="1015"/>
      <c r="I33" s="1015"/>
    </row>
    <row r="34" spans="2:9">
      <c r="B34" s="4228" t="s">
        <v>48</v>
      </c>
      <c r="C34" s="1015"/>
      <c r="D34" s="1015"/>
      <c r="E34" s="1015"/>
      <c r="F34" s="1016">
        <f>F19.1!W38</f>
        <v>19.05</v>
      </c>
      <c r="G34" s="1015"/>
      <c r="H34" s="1015"/>
      <c r="I34" s="1015">
        <f>'F22'!V38</f>
        <v>19.05</v>
      </c>
    </row>
    <row r="35" spans="2:9">
      <c r="B35" s="4228" t="s">
        <v>52</v>
      </c>
      <c r="C35" s="1015"/>
      <c r="D35" s="1015"/>
      <c r="E35" s="1015"/>
      <c r="F35" s="1016">
        <f>F19.1!W39</f>
        <v>12.97</v>
      </c>
      <c r="G35" s="1015"/>
      <c r="H35" s="1015"/>
      <c r="I35" s="1015">
        <f>'F22'!V39</f>
        <v>12.97</v>
      </c>
    </row>
    <row r="36" spans="2:9">
      <c r="B36" s="4228" t="s">
        <v>3182</v>
      </c>
      <c r="C36" s="1015"/>
      <c r="D36" s="1015"/>
      <c r="E36" s="1015"/>
      <c r="F36" s="1016">
        <f>F19.1!W40</f>
        <v>20.22</v>
      </c>
      <c r="G36" s="1015"/>
      <c r="H36" s="1015"/>
      <c r="I36" s="1015">
        <f>'F22'!V40</f>
        <v>20.22</v>
      </c>
    </row>
    <row r="37" spans="2:9">
      <c r="B37" s="1015"/>
      <c r="C37" s="1015"/>
      <c r="D37" s="1015"/>
      <c r="E37" s="1015"/>
      <c r="F37" s="1016"/>
      <c r="G37" s="1015"/>
      <c r="H37" s="1015"/>
      <c r="I37" s="1015"/>
    </row>
    <row r="38" spans="2:9">
      <c r="B38" s="1015" t="s">
        <v>3289</v>
      </c>
      <c r="C38" s="1015"/>
      <c r="D38" s="4232">
        <f>D32+SUM(D34:D36)</f>
        <v>5734.6633319999983</v>
      </c>
      <c r="E38" s="4232">
        <f t="shared" ref="E38" si="4">F38/D38*10</f>
        <v>11.944508670793901</v>
      </c>
      <c r="F38" s="4232">
        <f>F32+SUM(F34:F36)</f>
        <v>6849.7735893157824</v>
      </c>
      <c r="G38" s="4232">
        <f>G32+SUM(G34:G36)</f>
        <v>4593.6293562891024</v>
      </c>
      <c r="H38" s="4232">
        <f t="shared" ref="H38" si="5">I38/G38*10</f>
        <v>11.554973270404458</v>
      </c>
      <c r="I38" s="4232">
        <f>I32+SUM(I34:I36)</f>
        <v>5307.926442606582</v>
      </c>
    </row>
  </sheetData>
  <mergeCells count="4">
    <mergeCell ref="D2:F2"/>
    <mergeCell ref="G2:I2"/>
    <mergeCell ref="B2:B3"/>
    <mergeCell ref="C2:C3"/>
  </mergeCell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18"/>
  <dimension ref="B4:I27"/>
  <sheetViews>
    <sheetView showGridLines="0" topLeftCell="A4" workbookViewId="0">
      <selection activeCell="C21" sqref="C21"/>
    </sheetView>
  </sheetViews>
  <sheetFormatPr defaultRowHeight="15"/>
  <cols>
    <col min="2" max="2" width="63.5703125" customWidth="1"/>
    <col min="3" max="3" width="17.85546875" customWidth="1"/>
    <col min="4" max="5" width="14.7109375" bestFit="1" customWidth="1"/>
    <col min="7" max="7" width="11.28515625" customWidth="1"/>
  </cols>
  <sheetData>
    <row r="4" spans="2:7">
      <c r="B4" s="247" t="s">
        <v>2969</v>
      </c>
    </row>
    <row r="5" spans="2:7">
      <c r="B5" s="3736" t="s">
        <v>81</v>
      </c>
      <c r="C5" s="3736" t="s">
        <v>1845</v>
      </c>
      <c r="D5" s="3736" t="s">
        <v>2442</v>
      </c>
      <c r="E5" s="3736" t="s">
        <v>2443</v>
      </c>
    </row>
    <row r="6" spans="2:7">
      <c r="B6" s="1" t="s">
        <v>2965</v>
      </c>
      <c r="C6" s="3439">
        <f>'ARR Summary'!H35</f>
        <v>5624.7362517313331</v>
      </c>
      <c r="D6" s="3733">
        <v>5719.42</v>
      </c>
      <c r="E6" s="3735">
        <v>5616.29</v>
      </c>
    </row>
    <row r="7" spans="2:7">
      <c r="B7" s="1" t="s">
        <v>2966</v>
      </c>
      <c r="C7" s="3439">
        <f>Assumptions!F70</f>
        <v>4758.37</v>
      </c>
      <c r="D7" s="3733">
        <v>5216.16</v>
      </c>
      <c r="E7" s="3735">
        <v>5734.66</v>
      </c>
    </row>
    <row r="8" spans="2:7">
      <c r="B8" s="2" t="s">
        <v>2967</v>
      </c>
      <c r="C8" s="3438">
        <f>4356.53</f>
        <v>4356.53</v>
      </c>
      <c r="D8" s="3871">
        <v>5247.96</v>
      </c>
      <c r="E8" s="4091">
        <v>6315.23</v>
      </c>
    </row>
    <row r="9" spans="2:7">
      <c r="B9" s="1" t="s">
        <v>2970</v>
      </c>
      <c r="C9" s="4326">
        <f>C6-C8</f>
        <v>1268.2062517313334</v>
      </c>
      <c r="D9" s="3439">
        <f>D6-D8</f>
        <v>471.46000000000004</v>
      </c>
      <c r="E9" s="3439">
        <f>E6-E8</f>
        <v>-698.9399999999996</v>
      </c>
    </row>
    <row r="10" spans="2:7">
      <c r="B10" s="1" t="s">
        <v>2968</v>
      </c>
      <c r="C10" s="3439">
        <f>C6/C7*10</f>
        <v>11.820720649573978</v>
      </c>
      <c r="D10" s="3439">
        <f>D6/D7*10</f>
        <v>10.964809361676021</v>
      </c>
      <c r="E10" s="3439">
        <f>E6/E7*10</f>
        <v>9.7935884603446404</v>
      </c>
    </row>
    <row r="11" spans="2:7">
      <c r="B11" s="1" t="s">
        <v>2975</v>
      </c>
      <c r="C11" s="3439">
        <f>(C6-C9)/C7*10</f>
        <v>9.1555091344304866</v>
      </c>
      <c r="D11" s="3439">
        <f>(D6-D9)/D7*10</f>
        <v>10.060964387595472</v>
      </c>
      <c r="E11" s="3439">
        <f>(E6-E9)/E7*10</f>
        <v>11.012387831187899</v>
      </c>
      <c r="F11" s="4121"/>
    </row>
    <row r="12" spans="2:7">
      <c r="B12" s="1" t="s">
        <v>2971</v>
      </c>
      <c r="C12" s="3343">
        <f>(C10-C11)/C11</f>
        <v>0.29110467544842655</v>
      </c>
      <c r="D12" s="3343">
        <f>(D10-D11)/D11</f>
        <v>8.9836812780585154E-2</v>
      </c>
      <c r="E12" s="3343">
        <f>(E10-E11)/E11</f>
        <v>-0.11067530398734493</v>
      </c>
    </row>
    <row r="13" spans="2:7">
      <c r="B13" s="1" t="s">
        <v>2972</v>
      </c>
      <c r="C13" s="4325">
        <v>236.91</v>
      </c>
      <c r="D13" s="3733">
        <v>271.91000000000003</v>
      </c>
      <c r="E13" s="3733">
        <v>531.91</v>
      </c>
      <c r="G13" s="911"/>
    </row>
    <row r="14" spans="2:7">
      <c r="B14" s="1" t="s">
        <v>2978</v>
      </c>
      <c r="C14" s="3343">
        <f>'SBI PLR'!E58</f>
        <v>0.14582602739726028</v>
      </c>
      <c r="D14" s="3343">
        <f>'SBI PLR'!E65</f>
        <v>0.14749999999999999</v>
      </c>
      <c r="E14" s="1"/>
      <c r="G14" s="911"/>
    </row>
    <row r="15" spans="2:7">
      <c r="B15" s="1" t="s">
        <v>2977</v>
      </c>
      <c r="C15" s="3343">
        <v>0.1462</v>
      </c>
      <c r="D15" s="3343">
        <v>0.1462</v>
      </c>
      <c r="E15" s="3343">
        <v>0.1462</v>
      </c>
      <c r="G15" s="911"/>
    </row>
    <row r="16" spans="2:7">
      <c r="B16" s="1" t="s">
        <v>2973</v>
      </c>
      <c r="C16" s="3439">
        <f>(C9-C13)*C15</f>
        <v>150.77551200312092</v>
      </c>
      <c r="D16" s="3439">
        <f>(D9-D13)*D15+C16</f>
        <v>179.94972200312094</v>
      </c>
      <c r="E16" s="3738">
        <f>(E9-E13)*E15+D16</f>
        <v>-5.4799687896434079E-4</v>
      </c>
      <c r="G16" s="911"/>
    </row>
    <row r="17" spans="2:9">
      <c r="B17" s="2" t="s">
        <v>2974</v>
      </c>
      <c r="C17" s="4327">
        <f>C13+C16</f>
        <v>387.68551200312095</v>
      </c>
      <c r="D17" s="3438">
        <f>D13+D16</f>
        <v>451.85972200312096</v>
      </c>
      <c r="E17" s="3438">
        <f>E13+E16</f>
        <v>531.90945200312103</v>
      </c>
    </row>
    <row r="18" spans="2:9">
      <c r="B18" s="1" t="s">
        <v>2971</v>
      </c>
      <c r="C18" s="3343">
        <f>(C19-C11)/C11</f>
        <v>8.898951964134777E-2</v>
      </c>
      <c r="D18" s="3343">
        <f>(D19-D11)/D11</f>
        <v>8.6101975244308626E-2</v>
      </c>
      <c r="E18" s="3343">
        <f>(E19-E11)/E11</f>
        <v>8.4226457627532433E-2</v>
      </c>
    </row>
    <row r="19" spans="2:9">
      <c r="B19" s="1" t="s">
        <v>2976</v>
      </c>
      <c r="C19" s="3439">
        <f>(C6-C9+C17)/C7*10</f>
        <v>9.9702534943754273</v>
      </c>
      <c r="D19" s="3439">
        <f>(D6-D9+D17)/D7*10</f>
        <v>10.927233294230088</v>
      </c>
      <c r="E19" s="3439">
        <f>(E6-E9+E17)/E7*10</f>
        <v>11.939922248229401</v>
      </c>
    </row>
    <row r="20" spans="2:9">
      <c r="C20" s="911"/>
    </row>
    <row r="21" spans="2:9">
      <c r="B21" s="3736" t="s">
        <v>491</v>
      </c>
      <c r="C21" s="3736" t="s">
        <v>1845</v>
      </c>
      <c r="D21" s="3736" t="s">
        <v>2442</v>
      </c>
      <c r="E21" s="3736" t="s">
        <v>2443</v>
      </c>
      <c r="H21" s="3736" t="s">
        <v>1848</v>
      </c>
      <c r="I21" s="3736" t="s">
        <v>3307</v>
      </c>
    </row>
    <row r="22" spans="2:9">
      <c r="B22" s="1" t="s">
        <v>2970</v>
      </c>
      <c r="C22" s="3439">
        <f>C9</f>
        <v>1268.2062517313334</v>
      </c>
      <c r="D22" s="3439">
        <f>D9</f>
        <v>471.46000000000004</v>
      </c>
      <c r="E22" s="3439">
        <f t="shared" ref="E22" si="0">E9</f>
        <v>-698.9399999999996</v>
      </c>
      <c r="H22" s="912">
        <f>C24+C26</f>
        <v>1182.0717637344542</v>
      </c>
      <c r="I22" s="912">
        <f>H25</f>
        <v>710.61176373445414</v>
      </c>
    </row>
    <row r="23" spans="2:9">
      <c r="B23" s="1" t="s">
        <v>2972</v>
      </c>
      <c r="C23" s="3734">
        <f>C13</f>
        <v>236.91</v>
      </c>
      <c r="D23" s="3734">
        <f>D13</f>
        <v>271.91000000000003</v>
      </c>
      <c r="E23" s="3734">
        <f>E13</f>
        <v>531.91</v>
      </c>
      <c r="H23" s="912">
        <f>D23</f>
        <v>271.91000000000003</v>
      </c>
      <c r="I23" s="912">
        <f>E23</f>
        <v>531.91</v>
      </c>
    </row>
    <row r="24" spans="2:9">
      <c r="B24" s="3746" t="s">
        <v>2979</v>
      </c>
      <c r="C24" s="3439">
        <f>C22-C23</f>
        <v>1031.2962517313333</v>
      </c>
      <c r="D24" s="3439">
        <f>D22-D23</f>
        <v>199.55</v>
      </c>
      <c r="E24" s="3439">
        <f>E22-E23</f>
        <v>-1230.8499999999995</v>
      </c>
      <c r="H24" s="912">
        <f>D24</f>
        <v>199.55</v>
      </c>
      <c r="I24" s="912">
        <f>C26+D26</f>
        <v>179.94972200312094</v>
      </c>
    </row>
    <row r="25" spans="2:9">
      <c r="B25" s="3746" t="s">
        <v>2980</v>
      </c>
      <c r="C25" s="3343">
        <f>C15</f>
        <v>0.1462</v>
      </c>
      <c r="D25" s="3343">
        <f>D15</f>
        <v>0.1462</v>
      </c>
      <c r="E25" s="3343">
        <f t="shared" ref="E25" si="1">E15</f>
        <v>0.1462</v>
      </c>
      <c r="H25" s="912">
        <f>H22-H23-H24</f>
        <v>710.61176373445414</v>
      </c>
      <c r="I25" s="912">
        <f>I22-I23-I24</f>
        <v>-1.2479582686667641</v>
      </c>
    </row>
    <row r="26" spans="2:9">
      <c r="B26" s="1" t="s">
        <v>2973</v>
      </c>
      <c r="C26" s="3439">
        <f>C24*C25</f>
        <v>150.77551200312092</v>
      </c>
      <c r="D26" s="3439">
        <f>D24*D25</f>
        <v>29.174210000000002</v>
      </c>
      <c r="E26" s="3439">
        <f>E24*E25</f>
        <v>-179.9502699999999</v>
      </c>
    </row>
    <row r="27" spans="2:9">
      <c r="C27" s="911"/>
      <c r="D27" s="911"/>
      <c r="E27" s="911"/>
    </row>
  </sheetData>
  <pageMargins left="0.7" right="0.7" top="0.75" bottom="0.75" header="0.3" footer="0.3"/>
  <pageSetup paperSize="9" scale="67" orientation="portrait" r:id="rId1"/>
  <colBreaks count="1" manualBreakCount="1">
    <brk id="6" max="1048575" man="1"/>
  </colBreaks>
</worksheet>
</file>

<file path=xl/worksheets/sheet24.xml><?xml version="1.0" encoding="utf-8"?>
<worksheet xmlns="http://schemas.openxmlformats.org/spreadsheetml/2006/main" xmlns:r="http://schemas.openxmlformats.org/officeDocument/2006/relationships">
  <sheetPr codeName="Sheet19"/>
  <dimension ref="A1:AC34"/>
  <sheetViews>
    <sheetView showGridLines="0" view="pageBreakPreview" topLeftCell="A5" zoomScale="70" zoomScaleNormal="70" zoomScaleSheetLayoutView="70" workbookViewId="0">
      <pane xSplit="2" ySplit="7" topLeftCell="R12" activePane="bottomRight" state="frozen"/>
      <selection activeCell="A5" sqref="A5"/>
      <selection pane="topRight" activeCell="C5" sqref="C5"/>
      <selection pane="bottomLeft" activeCell="A12" sqref="A12"/>
      <selection pane="bottomRight" activeCell="R5" sqref="R1:AC1048576"/>
    </sheetView>
  </sheetViews>
  <sheetFormatPr defaultRowHeight="15.75"/>
  <cols>
    <col min="1" max="1" width="9.140625" style="254"/>
    <col min="2" max="2" width="32.7109375" style="254" customWidth="1"/>
    <col min="3" max="3" width="14.5703125" style="254" hidden="1" customWidth="1"/>
    <col min="4" max="4" width="13.7109375" style="254" hidden="1" customWidth="1"/>
    <col min="5" max="5" width="14.5703125" style="254" hidden="1" customWidth="1"/>
    <col min="6" max="6" width="14.140625" style="254" customWidth="1"/>
    <col min="7" max="7" width="15.42578125" style="254" customWidth="1"/>
    <col min="8" max="8" width="12.140625" style="254" customWidth="1"/>
    <col min="9" max="9" width="17.7109375" style="254" customWidth="1"/>
    <col min="10" max="10" width="14" style="254" customWidth="1"/>
    <col min="11" max="11" width="9.140625" style="254" customWidth="1"/>
    <col min="12" max="12" width="17.5703125" style="254" customWidth="1"/>
    <col min="13" max="13" width="15.42578125" style="254" customWidth="1"/>
    <col min="14" max="14" width="14.7109375" style="254" customWidth="1"/>
    <col min="15" max="15" width="15" style="254" customWidth="1"/>
    <col min="16" max="16" width="15.42578125" style="254" customWidth="1"/>
    <col min="17" max="17" width="16.42578125" style="254" customWidth="1"/>
    <col min="18" max="29" width="18.42578125" style="254" hidden="1" customWidth="1"/>
    <col min="30" max="16384" width="9.140625" style="254"/>
  </cols>
  <sheetData>
    <row r="1" spans="1:29" s="3527" customFormat="1">
      <c r="B1" s="5396"/>
      <c r="C1" s="5396"/>
      <c r="D1" s="5396"/>
      <c r="E1" s="5396"/>
      <c r="F1" s="5396"/>
      <c r="G1" s="5396"/>
      <c r="H1" s="5396"/>
      <c r="I1" s="4240"/>
      <c r="J1" s="3727"/>
      <c r="K1" s="4463"/>
      <c r="L1" s="4463"/>
      <c r="M1" s="4463"/>
      <c r="N1" s="4463"/>
      <c r="O1" s="3526"/>
    </row>
    <row r="2" spans="1:29" s="3527" customFormat="1">
      <c r="B2" s="5397"/>
      <c r="C2" s="5397"/>
      <c r="D2" s="5397"/>
      <c r="E2" s="5397"/>
      <c r="F2" s="5397"/>
      <c r="G2" s="5397"/>
      <c r="H2" s="5397"/>
      <c r="I2" s="3832"/>
      <c r="J2" s="3831"/>
      <c r="K2" s="4464"/>
      <c r="L2" s="4464"/>
      <c r="M2" s="4464"/>
      <c r="N2" s="4464"/>
    </row>
    <row r="3" spans="1:29" s="3527" customFormat="1">
      <c r="B3" s="5397"/>
      <c r="C3" s="5397"/>
      <c r="D3" s="5397"/>
      <c r="E3" s="5397"/>
      <c r="F3" s="5397"/>
      <c r="G3" s="5397"/>
      <c r="H3" s="5397"/>
      <c r="I3" s="3832"/>
      <c r="J3" s="3832"/>
      <c r="K3" s="4464"/>
      <c r="L3" s="4464"/>
      <c r="M3" s="4464"/>
      <c r="N3" s="4464"/>
    </row>
    <row r="4" spans="1:29" s="253" customFormat="1">
      <c r="C4" s="874"/>
      <c r="D4" s="874"/>
      <c r="E4" s="874"/>
      <c r="F4" s="874"/>
      <c r="G4" s="874"/>
      <c r="H4" s="874"/>
      <c r="I4" s="874"/>
      <c r="J4" s="4662" t="s">
        <v>3414</v>
      </c>
      <c r="K4" s="874"/>
      <c r="L4" s="874"/>
      <c r="M4" s="874"/>
      <c r="N4" s="874"/>
      <c r="O4" s="874"/>
      <c r="P4" s="874"/>
      <c r="Q4" s="874"/>
      <c r="R4" s="874"/>
      <c r="S4" s="874"/>
      <c r="T4" s="874"/>
      <c r="U4" s="874"/>
      <c r="V4" s="874"/>
      <c r="W4" s="4662" t="s">
        <v>3414</v>
      </c>
      <c r="X4" s="874"/>
      <c r="Y4" s="874"/>
      <c r="Z4" s="874"/>
      <c r="AA4" s="874"/>
      <c r="AB4" s="874"/>
    </row>
    <row r="5" spans="1:29" s="253" customFormat="1">
      <c r="C5" s="259"/>
      <c r="D5" s="259"/>
      <c r="E5" s="259"/>
      <c r="F5" s="259"/>
      <c r="G5" s="259"/>
      <c r="H5" s="259"/>
      <c r="I5" s="259"/>
      <c r="J5" s="5322" t="s">
        <v>3915</v>
      </c>
      <c r="K5" s="259"/>
      <c r="L5" s="259"/>
      <c r="M5" s="259"/>
      <c r="N5" s="259"/>
      <c r="O5" s="259"/>
      <c r="P5" s="259"/>
      <c r="Q5" s="259"/>
      <c r="R5" s="259"/>
      <c r="S5" s="259"/>
      <c r="T5" s="259"/>
      <c r="U5" s="259"/>
      <c r="V5" s="259"/>
      <c r="W5" s="5322" t="s">
        <v>3915</v>
      </c>
      <c r="X5" s="259"/>
      <c r="Y5" s="259"/>
      <c r="Z5" s="259"/>
      <c r="AA5" s="259"/>
      <c r="AB5" s="259"/>
    </row>
    <row r="6" spans="1:29" s="253" customFormat="1">
      <c r="C6" s="259"/>
      <c r="D6" s="259"/>
      <c r="E6" s="259"/>
      <c r="F6" s="259"/>
      <c r="G6" s="259"/>
      <c r="H6" s="259"/>
      <c r="I6" s="259"/>
      <c r="J6" s="4658" t="s">
        <v>242</v>
      </c>
      <c r="K6" s="259"/>
      <c r="L6" s="259"/>
      <c r="M6" s="259"/>
      <c r="N6" s="259"/>
      <c r="O6" s="259"/>
      <c r="P6" s="259"/>
      <c r="Q6" s="259"/>
      <c r="R6" s="259"/>
      <c r="S6" s="259"/>
      <c r="T6" s="259"/>
      <c r="U6" s="259"/>
      <c r="V6" s="259"/>
      <c r="W6" s="4658" t="s">
        <v>242</v>
      </c>
      <c r="X6" s="259"/>
      <c r="Y6" s="259"/>
      <c r="Z6" s="259"/>
      <c r="AA6" s="259"/>
      <c r="AB6" s="259"/>
      <c r="AC6" s="259"/>
    </row>
    <row r="7" spans="1:29">
      <c r="M7" s="255"/>
      <c r="P7" s="5487" t="s">
        <v>151</v>
      </c>
      <c r="Q7" s="5487"/>
      <c r="AB7" s="5483" t="s">
        <v>151</v>
      </c>
      <c r="AC7" s="5483"/>
    </row>
    <row r="8" spans="1:29">
      <c r="A8" s="5447" t="s">
        <v>651</v>
      </c>
      <c r="B8" s="5480" t="s">
        <v>95</v>
      </c>
      <c r="C8" s="5480" t="s">
        <v>1897</v>
      </c>
      <c r="D8" s="5480"/>
      <c r="E8" s="5480"/>
      <c r="F8" s="5480" t="s">
        <v>82</v>
      </c>
      <c r="G8" s="5480"/>
      <c r="H8" s="5480"/>
      <c r="I8" s="5480" t="s">
        <v>82</v>
      </c>
      <c r="J8" s="5480"/>
      <c r="K8" s="5480"/>
      <c r="L8" s="5480" t="s">
        <v>1845</v>
      </c>
      <c r="M8" s="5480"/>
      <c r="N8" s="5480"/>
      <c r="O8" s="5480" t="s">
        <v>1845</v>
      </c>
      <c r="P8" s="5452"/>
      <c r="Q8" s="5452"/>
      <c r="R8" s="5484" t="s">
        <v>2613</v>
      </c>
      <c r="S8" s="5485"/>
      <c r="T8" s="5485"/>
      <c r="U8" s="5485"/>
      <c r="V8" s="5485"/>
      <c r="W8" s="5485"/>
      <c r="X8" s="5485"/>
      <c r="Y8" s="5485"/>
      <c r="Z8" s="5485"/>
      <c r="AA8" s="5485"/>
      <c r="AB8" s="5485"/>
      <c r="AC8" s="5486"/>
    </row>
    <row r="9" spans="1:29">
      <c r="A9" s="5447"/>
      <c r="B9" s="5480"/>
      <c r="C9" s="5480"/>
      <c r="D9" s="5480"/>
      <c r="E9" s="5480"/>
      <c r="F9" s="5480"/>
      <c r="G9" s="5480"/>
      <c r="H9" s="5480"/>
      <c r="I9" s="5480"/>
      <c r="J9" s="5480"/>
      <c r="K9" s="5480"/>
      <c r="L9" s="5480"/>
      <c r="M9" s="5480"/>
      <c r="N9" s="5480"/>
      <c r="O9" s="5480"/>
      <c r="P9" s="5480"/>
      <c r="Q9" s="5480"/>
      <c r="R9" s="5484" t="s">
        <v>2442</v>
      </c>
      <c r="S9" s="5485"/>
      <c r="T9" s="5486"/>
      <c r="U9" s="5484" t="s">
        <v>2442</v>
      </c>
      <c r="V9" s="5485"/>
      <c r="W9" s="5486"/>
      <c r="X9" s="5484" t="s">
        <v>2443</v>
      </c>
      <c r="Y9" s="5485"/>
      <c r="Z9" s="5486"/>
      <c r="AA9" s="5484" t="s">
        <v>2443</v>
      </c>
      <c r="AB9" s="5485"/>
      <c r="AC9" s="5486"/>
    </row>
    <row r="10" spans="1:29">
      <c r="A10" s="5447"/>
      <c r="B10" s="5480"/>
      <c r="C10" s="5484" t="s">
        <v>1043</v>
      </c>
      <c r="D10" s="5485"/>
      <c r="E10" s="5486"/>
      <c r="F10" s="5484" t="s">
        <v>755</v>
      </c>
      <c r="G10" s="5485"/>
      <c r="H10" s="5486"/>
      <c r="I10" s="5484" t="s">
        <v>96</v>
      </c>
      <c r="J10" s="5485"/>
      <c r="K10" s="5486"/>
      <c r="L10" s="5484" t="s">
        <v>755</v>
      </c>
      <c r="M10" s="5485"/>
      <c r="N10" s="5486"/>
      <c r="O10" s="5484" t="s">
        <v>96</v>
      </c>
      <c r="P10" s="5485"/>
      <c r="Q10" s="5486"/>
      <c r="R10" s="5484" t="s">
        <v>755</v>
      </c>
      <c r="S10" s="5485"/>
      <c r="T10" s="5486"/>
      <c r="U10" s="5484" t="s">
        <v>96</v>
      </c>
      <c r="V10" s="5485"/>
      <c r="W10" s="5486"/>
      <c r="X10" s="5484" t="s">
        <v>755</v>
      </c>
      <c r="Y10" s="5485"/>
      <c r="Z10" s="5486"/>
      <c r="AA10" s="5484" t="s">
        <v>3399</v>
      </c>
      <c r="AB10" s="5485"/>
      <c r="AC10" s="5486"/>
    </row>
    <row r="11" spans="1:29">
      <c r="A11" s="5447"/>
      <c r="B11" s="5480"/>
      <c r="C11" s="796" t="s">
        <v>83</v>
      </c>
      <c r="D11" s="796" t="s">
        <v>151</v>
      </c>
      <c r="E11" s="796" t="s">
        <v>244</v>
      </c>
      <c r="F11" s="796" t="s">
        <v>83</v>
      </c>
      <c r="G11" s="796" t="s">
        <v>151</v>
      </c>
      <c r="H11" s="796" t="s">
        <v>244</v>
      </c>
      <c r="I11" s="796" t="s">
        <v>83</v>
      </c>
      <c r="J11" s="796" t="s">
        <v>151</v>
      </c>
      <c r="K11" s="796" t="s">
        <v>244</v>
      </c>
      <c r="L11" s="796" t="s">
        <v>83</v>
      </c>
      <c r="M11" s="796" t="s">
        <v>151</v>
      </c>
      <c r="N11" s="796" t="s">
        <v>244</v>
      </c>
      <c r="O11" s="1926" t="s">
        <v>83</v>
      </c>
      <c r="P11" s="1926" t="s">
        <v>151</v>
      </c>
      <c r="Q11" s="1926" t="s">
        <v>244</v>
      </c>
      <c r="R11" s="1926" t="s">
        <v>83</v>
      </c>
      <c r="S11" s="1926" t="s">
        <v>151</v>
      </c>
      <c r="T11" s="1926" t="s">
        <v>244</v>
      </c>
      <c r="U11" s="1926" t="s">
        <v>83</v>
      </c>
      <c r="V11" s="1926" t="s">
        <v>151</v>
      </c>
      <c r="W11" s="1926" t="s">
        <v>244</v>
      </c>
      <c r="X11" s="1926" t="s">
        <v>83</v>
      </c>
      <c r="Y11" s="1926" t="s">
        <v>151</v>
      </c>
      <c r="Z11" s="1926" t="s">
        <v>244</v>
      </c>
      <c r="AA11" s="1926" t="s">
        <v>83</v>
      </c>
      <c r="AB11" s="1926" t="s">
        <v>151</v>
      </c>
      <c r="AC11" s="1926" t="s">
        <v>244</v>
      </c>
    </row>
    <row r="12" spans="1:29" s="261" customFormat="1">
      <c r="A12" s="5096">
        <v>1</v>
      </c>
      <c r="B12" s="1063" t="s">
        <v>245</v>
      </c>
      <c r="C12" s="5109">
        <v>5110.3900000000003</v>
      </c>
      <c r="D12" s="5109">
        <v>2490.3000000000002</v>
      </c>
      <c r="E12" s="5109">
        <f>(D12/C12)*10</f>
        <v>4.8730136056152267</v>
      </c>
      <c r="F12" s="5109">
        <v>5083.97</v>
      </c>
      <c r="G12" s="5109">
        <v>2739.21</v>
      </c>
      <c r="H12" s="5109">
        <f>G12/F12*10</f>
        <v>5.3879350192861084</v>
      </c>
      <c r="I12" s="5109">
        <f>'PP FY 2012-13'!F6</f>
        <v>5083.9657485950302</v>
      </c>
      <c r="J12" s="5109">
        <f>'PP FY 2012-13'!G6</f>
        <v>2739.2086402614177</v>
      </c>
      <c r="K12" s="5110">
        <f>J12/I12*10</f>
        <v>5.3879368503188809</v>
      </c>
      <c r="L12" s="5111">
        <f>'PP FY 2013-14 '!C8</f>
        <v>3722.14</v>
      </c>
      <c r="M12" s="5111">
        <f>'PP FY 2013-14 '!D8</f>
        <v>1761.94</v>
      </c>
      <c r="N12" s="5111">
        <f>M12/L12*10</f>
        <v>4.7336747140086084</v>
      </c>
      <c r="O12" s="5111">
        <f>'PP FY 2013-14 '!F8</f>
        <v>4058.8107822154993</v>
      </c>
      <c r="P12" s="5111">
        <f>'PP FY 2013-14 '!G8</f>
        <v>1870.8965876420827</v>
      </c>
      <c r="Q12" s="5111">
        <f>P12/O12*10</f>
        <v>4.6094698374208392</v>
      </c>
      <c r="R12" s="5112">
        <v>4053.59</v>
      </c>
      <c r="S12" s="5110">
        <v>1935.13</v>
      </c>
      <c r="T12" s="5110">
        <f>S12/R12*10</f>
        <v>4.7738671153224672</v>
      </c>
      <c r="U12" s="5110">
        <f>'PP FY 2014-15'!AM12</f>
        <v>3411.0186080058998</v>
      </c>
      <c r="V12" s="5110">
        <f>'PP FY 2014-15'!AN12</f>
        <v>1664.3444224012023</v>
      </c>
      <c r="W12" s="5110">
        <f>V12/U12*10</f>
        <v>4.8793179213237634</v>
      </c>
      <c r="X12" s="5110">
        <v>5589.97</v>
      </c>
      <c r="Y12" s="5110">
        <v>2542.3000000000002</v>
      </c>
      <c r="Z12" s="5110">
        <f>Y12/X12*10</f>
        <v>4.5479671626144684</v>
      </c>
      <c r="AA12" s="5110">
        <f>'Power Purchase Projections'!F26</f>
        <v>3751.4848810000003</v>
      </c>
      <c r="AB12" s="5110">
        <f>'Power Purchase Projections'!G26</f>
        <v>1824.5126407420685</v>
      </c>
      <c r="AC12" s="5110">
        <f>AB12/AA12*10</f>
        <v>4.8634412735677195</v>
      </c>
    </row>
    <row r="13" spans="1:29" s="261" customFormat="1">
      <c r="A13" s="5096">
        <f>A12+1</f>
        <v>2</v>
      </c>
      <c r="B13" s="1063" t="s">
        <v>246</v>
      </c>
      <c r="C13" s="5481">
        <v>218.21</v>
      </c>
      <c r="D13" s="5481">
        <v>112.7</v>
      </c>
      <c r="E13" s="5481">
        <f>(D13/C13)*10</f>
        <v>5.1647495531827134</v>
      </c>
      <c r="F13" s="5109">
        <v>0</v>
      </c>
      <c r="G13" s="5109">
        <v>0</v>
      </c>
      <c r="H13" s="5109">
        <v>0</v>
      </c>
      <c r="I13" s="5113">
        <v>0</v>
      </c>
      <c r="J13" s="5113">
        <v>0</v>
      </c>
      <c r="K13" s="5113">
        <v>0</v>
      </c>
      <c r="L13" s="5110">
        <f>'PP FY 2013-14 '!C9</f>
        <v>212.87</v>
      </c>
      <c r="M13" s="5114">
        <f>'PP FY 2013-14 '!D9</f>
        <v>101.11</v>
      </c>
      <c r="N13" s="5111">
        <f>M13/L13*10</f>
        <v>4.7498473246582416</v>
      </c>
      <c r="O13" s="5110">
        <f>'PP FY 2013-14 '!F9</f>
        <v>0</v>
      </c>
      <c r="P13" s="5110">
        <f>'PP FY 2013-14 '!G9</f>
        <v>0</v>
      </c>
      <c r="Q13" s="5111"/>
      <c r="R13" s="5112">
        <v>283.82</v>
      </c>
      <c r="S13" s="5110">
        <v>142.19999999999999</v>
      </c>
      <c r="T13" s="5110">
        <f t="shared" ref="T13:T18" si="0">S13/R13*10</f>
        <v>5.010217743640335</v>
      </c>
      <c r="U13" s="5110">
        <f>'PP FY 2014-15'!AM13</f>
        <v>0</v>
      </c>
      <c r="V13" s="5110">
        <f>'Power Purchase Projections'!E28</f>
        <v>0</v>
      </c>
      <c r="W13" s="5110"/>
      <c r="X13" s="5110">
        <v>283.82</v>
      </c>
      <c r="Y13" s="5110">
        <v>150.13999999999999</v>
      </c>
      <c r="Z13" s="5110">
        <f t="shared" ref="Z13:Z18" si="1">Y13/X13*10</f>
        <v>5.2899725177929664</v>
      </c>
      <c r="AA13" s="5110">
        <f>'Power Purchase Projections'!F28</f>
        <v>0</v>
      </c>
      <c r="AB13" s="5110">
        <f>'Power Purchase Projections'!G28</f>
        <v>0</v>
      </c>
      <c r="AC13" s="5110"/>
    </row>
    <row r="14" spans="1:29" s="261" customFormat="1">
      <c r="A14" s="5096">
        <f t="shared" ref="A14:A31" si="2">A13+1</f>
        <v>3</v>
      </c>
      <c r="B14" s="1063" t="s">
        <v>97</v>
      </c>
      <c r="C14" s="5482"/>
      <c r="D14" s="5482"/>
      <c r="E14" s="5482"/>
      <c r="F14" s="5109">
        <v>0</v>
      </c>
      <c r="G14" s="5109">
        <v>0</v>
      </c>
      <c r="H14" s="5109">
        <v>0</v>
      </c>
      <c r="I14" s="5113">
        <v>0</v>
      </c>
      <c r="J14" s="5113">
        <v>0</v>
      </c>
      <c r="K14" s="5113">
        <v>0</v>
      </c>
      <c r="L14" s="5110">
        <f>'PP FY 2013-14 '!C10</f>
        <v>45</v>
      </c>
      <c r="M14" s="5114">
        <f>'PP FY 2013-14 '!D10</f>
        <v>38.520000000000003</v>
      </c>
      <c r="N14" s="5111">
        <f>M14/L14*10</f>
        <v>8.56</v>
      </c>
      <c r="O14" s="5110">
        <f>'PP FY 2013-14 '!F10</f>
        <v>24.60066011</v>
      </c>
      <c r="P14" s="5110">
        <f>'PP FY 2013-14 '!G10</f>
        <v>19.9803511</v>
      </c>
      <c r="Q14" s="5111">
        <f t="shared" ref="Q14:Q21" si="3">P14/O14*10</f>
        <v>8.1218760027817805</v>
      </c>
      <c r="R14" s="5112">
        <v>45</v>
      </c>
      <c r="S14" s="5110">
        <v>38.520000000000003</v>
      </c>
      <c r="T14" s="5110">
        <f t="shared" si="0"/>
        <v>8.56</v>
      </c>
      <c r="U14" s="5110">
        <f>'PP FY 2014-15'!AM14</f>
        <v>53.022996859999992</v>
      </c>
      <c r="V14" s="5110">
        <f>'PP FY 2014-15'!AN14</f>
        <v>43.384684924340007</v>
      </c>
      <c r="W14" s="5110">
        <f t="shared" ref="W14:W21" si="4">V14/U14*10</f>
        <v>8.1822393100283204</v>
      </c>
      <c r="X14" s="5110">
        <v>45</v>
      </c>
      <c r="Y14" s="5110">
        <v>38.520000000000003</v>
      </c>
      <c r="Z14" s="5110">
        <f t="shared" si="1"/>
        <v>8.56</v>
      </c>
      <c r="AA14" s="5110">
        <f>'Power Purchase Projections'!F27</f>
        <v>31.499999999999964</v>
      </c>
      <c r="AB14" s="5110">
        <f>'Power Purchase Projections'!G27</f>
        <v>26.96399999999997</v>
      </c>
      <c r="AC14" s="5110">
        <f t="shared" ref="AC14:AC18" si="5">AB14/AA14*10</f>
        <v>8.56</v>
      </c>
    </row>
    <row r="15" spans="1:29" s="261" customFormat="1">
      <c r="A15" s="5096">
        <f t="shared" si="2"/>
        <v>4</v>
      </c>
      <c r="B15" s="1063" t="s">
        <v>1847</v>
      </c>
      <c r="C15" s="5482"/>
      <c r="D15" s="5482"/>
      <c r="E15" s="5482"/>
      <c r="F15" s="5109">
        <v>104.66</v>
      </c>
      <c r="G15" s="5109">
        <v>122.27</v>
      </c>
      <c r="H15" s="5109">
        <f>G15/F15*10</f>
        <v>11.682591247850183</v>
      </c>
      <c r="I15" s="5113">
        <f>'PP FY 2012-13'!F9</f>
        <v>104.65574487950001</v>
      </c>
      <c r="J15" s="5113">
        <f>'PP FY 2012-13'!G9</f>
        <v>56.086640411674992</v>
      </c>
      <c r="K15" s="5113">
        <f>J15/I15*10</f>
        <v>5.3591554363549578</v>
      </c>
      <c r="L15" s="5110">
        <f>'PP FY 2013-14 '!C11</f>
        <v>241.1</v>
      </c>
      <c r="M15" s="5114">
        <f>'PP FY 2013-14 '!D11</f>
        <v>140.08000000000001</v>
      </c>
      <c r="N15" s="5111">
        <f>M15/L15*10</f>
        <v>5.8100373289091669</v>
      </c>
      <c r="O15" s="5110">
        <f>'PP FY 2013-14 '!F11</f>
        <v>198.93562900000001</v>
      </c>
      <c r="P15" s="5110">
        <f>'PP FY 2013-14 '!G11</f>
        <v>116.02709489999999</v>
      </c>
      <c r="Q15" s="5111">
        <f t="shared" si="3"/>
        <v>5.8323938996367506</v>
      </c>
      <c r="R15" s="5112">
        <v>212.49</v>
      </c>
      <c r="S15" s="5110">
        <v>123.46</v>
      </c>
      <c r="T15" s="5110">
        <f t="shared" si="0"/>
        <v>5.8101557720363308</v>
      </c>
      <c r="U15" s="5110">
        <f>'PP FY 2014-15'!AM15</f>
        <v>240.71436122069997</v>
      </c>
      <c r="V15" s="5110">
        <f>'PP FY 2014-15'!AN15</f>
        <v>155.88466527692</v>
      </c>
      <c r="W15" s="5110">
        <f t="shared" si="4"/>
        <v>6.4759187813475112</v>
      </c>
      <c r="X15" s="5110">
        <v>260.37</v>
      </c>
      <c r="Y15" s="5110">
        <v>151.27000000000001</v>
      </c>
      <c r="Z15" s="5110">
        <f t="shared" si="1"/>
        <v>5.8098091177939093</v>
      </c>
      <c r="AA15" s="5110">
        <f>'Power Purchase Projections'!F29</f>
        <v>435.34488826290863</v>
      </c>
      <c r="AB15" s="5110">
        <f>'Power Purchase Projections'!G29</f>
        <v>288.63366091830841</v>
      </c>
      <c r="AC15" s="5110">
        <f t="shared" si="5"/>
        <v>6.629999999999999</v>
      </c>
    </row>
    <row r="16" spans="1:29" s="261" customFormat="1">
      <c r="A16" s="5096">
        <f t="shared" si="2"/>
        <v>5</v>
      </c>
      <c r="B16" s="1063" t="s">
        <v>2782</v>
      </c>
      <c r="C16" s="5482"/>
      <c r="D16" s="5482"/>
      <c r="E16" s="5482"/>
      <c r="F16" s="5109"/>
      <c r="G16" s="5109"/>
      <c r="H16" s="5109"/>
      <c r="I16" s="5113"/>
      <c r="J16" s="5113">
        <f>'PP FY 2012-13'!G10</f>
        <v>66.783466099999998</v>
      </c>
      <c r="K16" s="5113"/>
      <c r="L16" s="5110">
        <f>'PP FY 2013-14 '!C12</f>
        <v>0</v>
      </c>
      <c r="M16" s="5110">
        <f>'PP FY 2013-14 '!D12</f>
        <v>0</v>
      </c>
      <c r="N16" s="5111" t="s">
        <v>560</v>
      </c>
      <c r="O16" s="5110">
        <f>'PP FY 2013-14 '!F12</f>
        <v>0</v>
      </c>
      <c r="P16" s="5110">
        <f>'PP FY 2013-14 '!G12</f>
        <v>33</v>
      </c>
      <c r="Q16" s="5111"/>
      <c r="R16" s="5112"/>
      <c r="S16" s="5110"/>
      <c r="T16" s="5110"/>
      <c r="U16" s="5110">
        <f>'PP FY 2014-15'!AM16</f>
        <v>0</v>
      </c>
      <c r="V16" s="5110">
        <f>'PP FY 2014-15'!AN16</f>
        <v>26.4</v>
      </c>
      <c r="W16" s="5110"/>
      <c r="X16" s="5110"/>
      <c r="Y16" s="5110"/>
      <c r="Z16" s="5110"/>
      <c r="AA16" s="5110"/>
      <c r="AB16" s="5110"/>
      <c r="AC16" s="5110"/>
    </row>
    <row r="17" spans="1:29" s="261" customFormat="1">
      <c r="A17" s="5096">
        <f t="shared" si="2"/>
        <v>6</v>
      </c>
      <c r="B17" s="1063" t="s">
        <v>3562</v>
      </c>
      <c r="C17" s="5109"/>
      <c r="D17" s="5109"/>
      <c r="E17" s="5109"/>
      <c r="F17" s="5109"/>
      <c r="G17" s="5109"/>
      <c r="H17" s="5109"/>
      <c r="I17" s="5113"/>
      <c r="J17" s="5113"/>
      <c r="K17" s="5113"/>
      <c r="L17" s="5110"/>
      <c r="M17" s="5110"/>
      <c r="N17" s="5111"/>
      <c r="O17" s="5110"/>
      <c r="P17" s="5110"/>
      <c r="Q17" s="5111"/>
      <c r="R17" s="5112"/>
      <c r="S17" s="5110"/>
      <c r="T17" s="5110"/>
      <c r="U17" s="5110">
        <f>'PP FY 2014-15'!AM17</f>
        <v>0</v>
      </c>
      <c r="V17" s="5110">
        <f>'PP FY 2014-15'!AN17</f>
        <v>0</v>
      </c>
      <c r="W17" s="5110"/>
      <c r="X17" s="5110"/>
      <c r="Y17" s="5110"/>
      <c r="Z17" s="5110"/>
      <c r="AA17" s="5110">
        <f>'Power Purchase Projections'!F30</f>
        <v>1.692888817078753</v>
      </c>
      <c r="AB17" s="5110">
        <f>'Power Purchase Projections'!G30</f>
        <v>1.3018315003335612</v>
      </c>
      <c r="AC17" s="5110">
        <f t="shared" ref="AC17" si="6">AB17/AA17*10</f>
        <v>7.69</v>
      </c>
    </row>
    <row r="18" spans="1:29" s="261" customFormat="1">
      <c r="A18" s="5096">
        <f t="shared" si="2"/>
        <v>7</v>
      </c>
      <c r="B18" s="1063" t="s">
        <v>247</v>
      </c>
      <c r="C18" s="5109">
        <v>88</v>
      </c>
      <c r="D18" s="5109">
        <v>34.39</v>
      </c>
      <c r="E18" s="5109">
        <f>D18/C18*10</f>
        <v>3.9079545454545457</v>
      </c>
      <c r="F18" s="5109">
        <v>76.44</v>
      </c>
      <c r="G18" s="5109">
        <v>33.69</v>
      </c>
      <c r="H18" s="5109">
        <f>G18/F18*10</f>
        <v>4.4073783359497645</v>
      </c>
      <c r="I18" s="5109">
        <f>'PP FY 2012-13'!F11</f>
        <v>76.435563418749993</v>
      </c>
      <c r="J18" s="5109">
        <f>'PP FY 2012-13'!G11</f>
        <v>33.694781027559991</v>
      </c>
      <c r="K18" s="5110">
        <f>J18/I18*10</f>
        <v>4.4082596530314193</v>
      </c>
      <c r="L18" s="5110">
        <f>'PP FY 2013-14 '!C13</f>
        <v>1119.74</v>
      </c>
      <c r="M18" s="5110">
        <f>'PP FY 2013-14 '!D13</f>
        <v>493.57</v>
      </c>
      <c r="N18" s="5111">
        <f>M18/L18*10</f>
        <v>4.4078982620965581</v>
      </c>
      <c r="O18" s="5110">
        <f>'PP FY 2013-14 '!F13</f>
        <v>254.49054600000005</v>
      </c>
      <c r="P18" s="5110">
        <f>'PP FY 2013-14 '!G13</f>
        <v>78.592800001000001</v>
      </c>
      <c r="Q18" s="5111">
        <f t="shared" si="3"/>
        <v>3.0882404567201482</v>
      </c>
      <c r="R18" s="5112">
        <v>1244.07</v>
      </c>
      <c r="S18" s="5110">
        <v>548.37</v>
      </c>
      <c r="T18" s="5110">
        <f t="shared" si="0"/>
        <v>4.4078709397381175</v>
      </c>
      <c r="U18" s="5110">
        <f>'PP FY 2014-15'!AM18</f>
        <v>838.83361599999989</v>
      </c>
      <c r="V18" s="5110">
        <f>'PP FY 2014-15'!AN18</f>
        <v>277.87185318999997</v>
      </c>
      <c r="W18" s="5110">
        <f>V18/U18*10</f>
        <v>3.312597968057589</v>
      </c>
      <c r="X18" s="5110">
        <v>223.06</v>
      </c>
      <c r="Y18" s="5110">
        <v>98.32</v>
      </c>
      <c r="Z18" s="5110">
        <f t="shared" si="1"/>
        <v>4.4077826593741589</v>
      </c>
      <c r="AA18" s="5110">
        <f>'Power Purchase Projections'!F31</f>
        <v>901.68190971893682</v>
      </c>
      <c r="AB18" s="5110">
        <f>'Power Purchase Projections'!G31</f>
        <v>298.69096619692363</v>
      </c>
      <c r="AC18" s="5110">
        <f t="shared" si="5"/>
        <v>3.3125979680575885</v>
      </c>
    </row>
    <row r="19" spans="1:29" s="261" customFormat="1">
      <c r="A19" s="5096">
        <f t="shared" si="2"/>
        <v>8</v>
      </c>
      <c r="B19" s="1063" t="s">
        <v>99</v>
      </c>
      <c r="C19" s="5109"/>
      <c r="D19" s="5109"/>
      <c r="E19" s="5109"/>
      <c r="F19" s="5109">
        <f>-2.2</f>
        <v>-2.2000000000000002</v>
      </c>
      <c r="G19" s="5109">
        <v>-1.1324955999999999</v>
      </c>
      <c r="H19" s="5109">
        <f>G19/F19*10</f>
        <v>5.1477072727272724</v>
      </c>
      <c r="I19" s="5109">
        <f>'PP FY 2012-13'!F12</f>
        <v>-2.1992430000000001</v>
      </c>
      <c r="J19" s="5109">
        <f>'PP FY 2012-13'!G12</f>
        <v>-1.1324955999999999</v>
      </c>
      <c r="K19" s="5110">
        <f>J19/I19*10</f>
        <v>5.1494791616933639</v>
      </c>
      <c r="L19" s="5110">
        <f>'PP FY 2013-14 '!C14</f>
        <v>0</v>
      </c>
      <c r="M19" s="5110">
        <f>'PP FY 2013-14 '!D14</f>
        <v>0</v>
      </c>
      <c r="N19" s="5110">
        <f>'PP FY 2013-14 '!E14</f>
        <v>0</v>
      </c>
      <c r="O19" s="5110">
        <f>'PP FY 2013-14 '!F14</f>
        <v>0</v>
      </c>
      <c r="P19" s="5110">
        <f>'PP FY 2013-14 '!G14</f>
        <v>0</v>
      </c>
      <c r="Q19" s="5111"/>
      <c r="R19" s="5112" t="s">
        <v>560</v>
      </c>
      <c r="S19" s="5112" t="s">
        <v>560</v>
      </c>
      <c r="T19" s="5110"/>
      <c r="U19" s="5110">
        <f>'PP FY 2014-15'!AM19</f>
        <v>0</v>
      </c>
      <c r="V19" s="5110">
        <f>'PP FY 2014-15'!AN19</f>
        <v>0</v>
      </c>
      <c r="W19" s="5110"/>
      <c r="X19" s="5112" t="s">
        <v>560</v>
      </c>
      <c r="Y19" s="5112" t="s">
        <v>560</v>
      </c>
      <c r="Z19" s="5110"/>
      <c r="AA19" s="5110" t="str">
        <f t="shared" ref="AA19:AA28" si="7">X19</f>
        <v>-</v>
      </c>
      <c r="AB19" s="5110" t="str">
        <f t="shared" ref="AB19:AB28" si="8">Y19</f>
        <v>-</v>
      </c>
      <c r="AC19" s="5110"/>
    </row>
    <row r="20" spans="1:29" s="261" customFormat="1">
      <c r="A20" s="5096">
        <f t="shared" si="2"/>
        <v>9</v>
      </c>
      <c r="B20" s="1048" t="s">
        <v>248</v>
      </c>
      <c r="C20" s="5110">
        <v>-567.49</v>
      </c>
      <c r="D20" s="5110">
        <v>-419.43</v>
      </c>
      <c r="E20" s="5109">
        <f>D20/C20*10</f>
        <v>7.3909672417135113</v>
      </c>
      <c r="F20" s="5109">
        <v>-355.92</v>
      </c>
      <c r="G20" s="5109">
        <v>-312.19</v>
      </c>
      <c r="H20" s="5109">
        <f>G20/F20*10</f>
        <v>8.7713531130591136</v>
      </c>
      <c r="I20" s="5115">
        <f>'PP FY 2012-13'!F13</f>
        <v>-364.57485165200899</v>
      </c>
      <c r="J20" s="5115">
        <f>'PP FY 2012-13'!G13</f>
        <v>-315.43438640000005</v>
      </c>
      <c r="K20" s="5110">
        <f>J20/I20*10</f>
        <v>8.652115881571719</v>
      </c>
      <c r="L20" s="5110">
        <f>'PP FY 2013-14 '!C15</f>
        <v>0</v>
      </c>
      <c r="M20" s="5110">
        <f>'PP FY 2013-14 '!D15</f>
        <v>0</v>
      </c>
      <c r="N20" s="5110">
        <f>'PP FY 2013-14 '!E15</f>
        <v>0</v>
      </c>
      <c r="O20" s="5110">
        <f>'PP FY 2013-14 '!F15</f>
        <v>280.24979518964409</v>
      </c>
      <c r="P20" s="5110">
        <f>'PP FY 2013-14 '!G15</f>
        <v>29.213327200000002</v>
      </c>
      <c r="Q20" s="5111">
        <f t="shared" si="3"/>
        <v>1.042403159660882</v>
      </c>
      <c r="R20" s="5112" t="s">
        <v>560</v>
      </c>
      <c r="S20" s="5112" t="s">
        <v>560</v>
      </c>
      <c r="T20" s="5110"/>
      <c r="U20" s="5110">
        <f>'PP FY 2014-15'!AM20</f>
        <v>333.71283139443995</v>
      </c>
      <c r="V20" s="5110">
        <f>'PP FY 2014-15'!AN20</f>
        <v>125.97386896038009</v>
      </c>
      <c r="W20" s="5110">
        <f t="shared" si="4"/>
        <v>3.7749183462317104</v>
      </c>
      <c r="X20" s="5112" t="s">
        <v>560</v>
      </c>
      <c r="Y20" s="5112" t="s">
        <v>560</v>
      </c>
      <c r="Z20" s="5110"/>
      <c r="AA20" s="5110" t="str">
        <f t="shared" si="7"/>
        <v>-</v>
      </c>
      <c r="AB20" s="5110" t="str">
        <f t="shared" si="8"/>
        <v>-</v>
      </c>
      <c r="AC20" s="5110"/>
    </row>
    <row r="21" spans="1:29" s="261" customFormat="1">
      <c r="A21" s="5096">
        <f t="shared" si="2"/>
        <v>10</v>
      </c>
      <c r="B21" s="1048" t="s">
        <v>747</v>
      </c>
      <c r="C21" s="5115"/>
      <c r="D21" s="5115">
        <v>107.85</v>
      </c>
      <c r="E21" s="5115"/>
      <c r="F21" s="5109">
        <v>7.16</v>
      </c>
      <c r="G21" s="5109">
        <v>3.2</v>
      </c>
      <c r="H21" s="5109">
        <f>G21/F21*10</f>
        <v>4.4692737430167604</v>
      </c>
      <c r="I21" s="5115">
        <f>'PP FY 2012-13'!F14</f>
        <v>7.8897770000000005</v>
      </c>
      <c r="J21" s="5115">
        <f>'PP FY 2012-13'!G14</f>
        <v>3.1995670999999999</v>
      </c>
      <c r="K21" s="5110">
        <f>J21/I21*10</f>
        <v>4.0553327426111023</v>
      </c>
      <c r="L21" s="5110">
        <f>'PP FY 2013-14 '!C16</f>
        <v>0</v>
      </c>
      <c r="M21" s="5110">
        <f>'PP FY 2013-14 '!D16</f>
        <v>0</v>
      </c>
      <c r="N21" s="5110">
        <f>'PP FY 2013-14 '!E16</f>
        <v>0</v>
      </c>
      <c r="O21" s="5110">
        <f>'PP FY 2013-14 '!F16</f>
        <v>4.9512499999999999</v>
      </c>
      <c r="P21" s="5110">
        <f>'PP FY 2013-14 '!G16</f>
        <v>2.5205480299999996</v>
      </c>
      <c r="Q21" s="5111">
        <f t="shared" si="3"/>
        <v>5.0907306841706639</v>
      </c>
      <c r="R21" s="5112" t="s">
        <v>560</v>
      </c>
      <c r="S21" s="5112" t="s">
        <v>560</v>
      </c>
      <c r="T21" s="5110"/>
      <c r="U21" s="5110">
        <f>'PP FY 2014-15'!AM21</f>
        <v>42.373750000000001</v>
      </c>
      <c r="V21" s="5110">
        <f>'PP FY 2014-15'!AN21</f>
        <v>23.313797182421617</v>
      </c>
      <c r="W21" s="5110">
        <f t="shared" si="4"/>
        <v>5.5019433452129238</v>
      </c>
      <c r="X21" s="5112" t="s">
        <v>560</v>
      </c>
      <c r="Y21" s="5112" t="s">
        <v>560</v>
      </c>
      <c r="Z21" s="5110"/>
      <c r="AA21" s="5110" t="str">
        <f t="shared" si="7"/>
        <v>-</v>
      </c>
      <c r="AB21" s="5110" t="str">
        <f t="shared" si="8"/>
        <v>-</v>
      </c>
      <c r="AC21" s="5110"/>
    </row>
    <row r="22" spans="1:29" s="261" customFormat="1">
      <c r="A22" s="5096">
        <f t="shared" si="2"/>
        <v>11</v>
      </c>
      <c r="B22" s="1048" t="s">
        <v>618</v>
      </c>
      <c r="C22" s="5115"/>
      <c r="D22" s="5115">
        <v>127.64</v>
      </c>
      <c r="E22" s="5115"/>
      <c r="F22" s="5110"/>
      <c r="G22" s="5109">
        <v>193.08</v>
      </c>
      <c r="H22" s="5109"/>
      <c r="I22" s="5115">
        <f>'PP FY 2012-13'!F15</f>
        <v>0</v>
      </c>
      <c r="J22" s="5115">
        <f>F2.4!E12</f>
        <v>193.20680140000005</v>
      </c>
      <c r="K22" s="5110"/>
      <c r="L22" s="5110">
        <f>'PP FY 2013-14 '!C17</f>
        <v>0</v>
      </c>
      <c r="M22" s="5110">
        <f>'PP FY 2013-14 '!D17</f>
        <v>341.57</v>
      </c>
      <c r="N22" s="5110">
        <f>'PP FY 2013-14 '!E17</f>
        <v>0</v>
      </c>
      <c r="O22" s="5110">
        <f>'PP FY 2013-14 '!F17</f>
        <v>0</v>
      </c>
      <c r="P22" s="5116">
        <f>'PP FY 2013-14 '!G17</f>
        <v>341.52</v>
      </c>
      <c r="Q22" s="5111"/>
      <c r="R22" s="5112" t="s">
        <v>560</v>
      </c>
      <c r="S22" s="5110">
        <v>311.38</v>
      </c>
      <c r="T22" s="5110"/>
      <c r="U22" s="5110" t="str">
        <f t="shared" ref="U22:U28" si="9">R22</f>
        <v>-</v>
      </c>
      <c r="V22" s="5110">
        <f>'PP FY 2014-15'!AN22</f>
        <v>327.48000000000008</v>
      </c>
      <c r="W22" s="5110"/>
      <c r="X22" s="5112" t="s">
        <v>560</v>
      </c>
      <c r="Y22" s="5110">
        <v>361.61</v>
      </c>
      <c r="Z22" s="5110"/>
      <c r="AA22" s="5110" t="str">
        <f t="shared" si="7"/>
        <v>-</v>
      </c>
      <c r="AB22" s="5110">
        <f>Assumptions!$H$89</f>
        <v>372.12</v>
      </c>
      <c r="AC22" s="5110"/>
    </row>
    <row r="23" spans="1:29" s="261" customFormat="1">
      <c r="A23" s="5096">
        <f t="shared" si="2"/>
        <v>12</v>
      </c>
      <c r="B23" s="1048" t="s">
        <v>743</v>
      </c>
      <c r="C23" s="5115"/>
      <c r="D23" s="5115">
        <v>0.96</v>
      </c>
      <c r="E23" s="5115"/>
      <c r="F23" s="5110"/>
      <c r="G23" s="5109">
        <v>0.75</v>
      </c>
      <c r="H23" s="5109"/>
      <c r="I23" s="5115">
        <f>'PP FY 2012-13'!F16</f>
        <v>0</v>
      </c>
      <c r="J23" s="5115">
        <f>F2.4!E13</f>
        <v>0.74599999999999989</v>
      </c>
      <c r="K23" s="5110"/>
      <c r="L23" s="5110">
        <f>'PP FY 2013-14 '!C18</f>
        <v>0</v>
      </c>
      <c r="M23" s="5110">
        <f>'PP FY 2013-14 '!D18</f>
        <v>1.27</v>
      </c>
      <c r="N23" s="5110">
        <f>'PP FY 2013-14 '!E18</f>
        <v>0</v>
      </c>
      <c r="O23" s="5110">
        <f>'PP FY 2013-14 '!F18</f>
        <v>0</v>
      </c>
      <c r="P23" s="5116">
        <f>'PP FY 2013-14 '!G18</f>
        <v>1.2721999999999998</v>
      </c>
      <c r="Q23" s="5111"/>
      <c r="R23" s="5112" t="s">
        <v>560</v>
      </c>
      <c r="S23" s="5110">
        <v>1.28</v>
      </c>
      <c r="T23" s="5110"/>
      <c r="U23" s="5110" t="str">
        <f t="shared" si="9"/>
        <v>-</v>
      </c>
      <c r="V23" s="5110">
        <f>'PP FY 2014-15'!AN23</f>
        <v>1.6262000000000005</v>
      </c>
      <c r="W23" s="5110"/>
      <c r="X23" s="5112" t="s">
        <v>560</v>
      </c>
      <c r="Y23" s="5110">
        <v>1.28</v>
      </c>
      <c r="Z23" s="5110"/>
      <c r="AA23" s="5110" t="str">
        <f t="shared" si="7"/>
        <v>-</v>
      </c>
      <c r="AB23" s="5110">
        <f>Assumptions!$H$90</f>
        <v>1.6256999999999999</v>
      </c>
      <c r="AC23" s="5110"/>
    </row>
    <row r="24" spans="1:29" s="261" customFormat="1">
      <c r="A24" s="5096">
        <f t="shared" si="2"/>
        <v>13</v>
      </c>
      <c r="B24" s="1048" t="s">
        <v>746</v>
      </c>
      <c r="C24" s="5115"/>
      <c r="D24" s="5115"/>
      <c r="E24" s="5115"/>
      <c r="F24" s="5110"/>
      <c r="G24" s="5109">
        <v>107.85</v>
      </c>
      <c r="H24" s="5109"/>
      <c r="I24" s="5115">
        <f>'PP FY 2012-13'!F17</f>
        <v>0</v>
      </c>
      <c r="J24" s="5115">
        <f>'PP FY 2012-13'!G17</f>
        <v>107.84999999999998</v>
      </c>
      <c r="K24" s="5110"/>
      <c r="L24" s="5110">
        <f>'PP FY 2013-14 '!C19</f>
        <v>0</v>
      </c>
      <c r="M24" s="5110">
        <f>'PP FY 2013-14 '!D19</f>
        <v>109.33</v>
      </c>
      <c r="N24" s="5110">
        <f>'PP FY 2013-14 '!E19</f>
        <v>0</v>
      </c>
      <c r="O24" s="5110">
        <f>'PP FY 2013-14 '!F19</f>
        <v>0</v>
      </c>
      <c r="P24" s="5116">
        <f>'PP FY 2013-14 '!G19</f>
        <v>113.27043519999999</v>
      </c>
      <c r="Q24" s="5111"/>
      <c r="R24" s="5112" t="s">
        <v>560</v>
      </c>
      <c r="S24" s="5110">
        <v>109.33</v>
      </c>
      <c r="T24" s="5110"/>
      <c r="U24" s="5110" t="str">
        <f t="shared" si="9"/>
        <v>-</v>
      </c>
      <c r="V24" s="5110">
        <f>'PP FY 2014-15'!AN24</f>
        <v>109.3304352</v>
      </c>
      <c r="W24" s="5110"/>
      <c r="X24" s="5112" t="s">
        <v>560</v>
      </c>
      <c r="Y24" s="5110">
        <v>109.33</v>
      </c>
      <c r="Z24" s="5110"/>
      <c r="AA24" s="5110" t="str">
        <f t="shared" si="7"/>
        <v>-</v>
      </c>
      <c r="AB24" s="5110">
        <f>V24</f>
        <v>109.3304352</v>
      </c>
      <c r="AC24" s="5110"/>
    </row>
    <row r="25" spans="1:29" s="261" customFormat="1">
      <c r="A25" s="5096">
        <f t="shared" si="2"/>
        <v>14</v>
      </c>
      <c r="B25" s="1048" t="s">
        <v>3687</v>
      </c>
      <c r="C25" s="5115"/>
      <c r="D25" s="5110">
        <v>-28.73</v>
      </c>
      <c r="E25" s="5110"/>
      <c r="F25" s="5109"/>
      <c r="G25" s="5109"/>
      <c r="H25" s="5109"/>
      <c r="I25" s="5115"/>
      <c r="J25" s="5115"/>
      <c r="K25" s="5110"/>
      <c r="L25" s="5110">
        <f>'PP FY 2013-14 '!C20</f>
        <v>0</v>
      </c>
      <c r="M25" s="5110">
        <f>'PP FY 2013-14 '!D20</f>
        <v>0</v>
      </c>
      <c r="N25" s="5110">
        <f>'PP FY 2013-14 '!E20</f>
        <v>0</v>
      </c>
      <c r="O25" s="5110">
        <f>'PP FY 2013-14 '!F20</f>
        <v>0</v>
      </c>
      <c r="P25" s="5116"/>
      <c r="Q25" s="5111"/>
      <c r="R25" s="5112" t="s">
        <v>560</v>
      </c>
      <c r="S25" s="5110">
        <v>0</v>
      </c>
      <c r="T25" s="5110"/>
      <c r="U25" s="5110" t="str">
        <f t="shared" si="9"/>
        <v>-</v>
      </c>
      <c r="V25" s="5110">
        <f>'PP FY 2014-15'!AN28</f>
        <v>-5.0799462530000001</v>
      </c>
      <c r="W25" s="5110"/>
      <c r="X25" s="5112" t="s">
        <v>560</v>
      </c>
      <c r="Y25" s="5110">
        <v>0</v>
      </c>
      <c r="Z25" s="5110"/>
      <c r="AA25" s="5110" t="str">
        <f t="shared" si="7"/>
        <v>-</v>
      </c>
      <c r="AB25" s="5110">
        <f>Y25</f>
        <v>0</v>
      </c>
      <c r="AC25" s="5110"/>
    </row>
    <row r="26" spans="1:29" s="261" customFormat="1" ht="31.5">
      <c r="A26" s="5096">
        <f t="shared" si="2"/>
        <v>15</v>
      </c>
      <c r="B26" s="1048" t="s">
        <v>249</v>
      </c>
      <c r="C26" s="5115"/>
      <c r="D26" s="5115"/>
      <c r="E26" s="5115"/>
      <c r="F26" s="5109">
        <v>0</v>
      </c>
      <c r="G26" s="5109">
        <v>0</v>
      </c>
      <c r="H26" s="5109">
        <v>0</v>
      </c>
      <c r="I26" s="5109">
        <v>0</v>
      </c>
      <c r="J26" s="5115">
        <f>CostOfPowerPurchase!S33</f>
        <v>45.870000000000005</v>
      </c>
      <c r="K26" s="5109">
        <v>0</v>
      </c>
      <c r="L26" s="5110">
        <f>'PP FY 2013-14 '!C21</f>
        <v>0</v>
      </c>
      <c r="M26" s="5110">
        <f>'PP FY 2013-14 '!D21</f>
        <v>0</v>
      </c>
      <c r="N26" s="5110">
        <f>'PP FY 2013-14 '!E21</f>
        <v>0</v>
      </c>
      <c r="O26" s="5110">
        <f>'PP FY 2013-14 '!F21</f>
        <v>0</v>
      </c>
      <c r="P26" s="5116">
        <f>'PP FY 2013-14 '!G21</f>
        <v>26.12</v>
      </c>
      <c r="Q26" s="5111"/>
      <c r="R26" s="5112" t="s">
        <v>560</v>
      </c>
      <c r="S26" s="5112" t="s">
        <v>560</v>
      </c>
      <c r="T26" s="5110"/>
      <c r="U26" s="5110" t="str">
        <f>R26</f>
        <v>-</v>
      </c>
      <c r="V26" s="5110">
        <f>'PP FY 2014-15'!AN26</f>
        <v>32.29</v>
      </c>
      <c r="W26" s="5110"/>
      <c r="X26" s="5112" t="s">
        <v>560</v>
      </c>
      <c r="Y26" s="5112" t="s">
        <v>560</v>
      </c>
      <c r="Z26" s="5110"/>
      <c r="AA26" s="5110" t="str">
        <f t="shared" si="7"/>
        <v>-</v>
      </c>
      <c r="AB26" s="5110" t="str">
        <f>Y26</f>
        <v>-</v>
      </c>
      <c r="AC26" s="5110"/>
    </row>
    <row r="27" spans="1:29" s="261" customFormat="1">
      <c r="A27" s="5096">
        <f t="shared" si="2"/>
        <v>16</v>
      </c>
      <c r="B27" s="1048" t="s">
        <v>2341</v>
      </c>
      <c r="C27" s="5109">
        <v>0</v>
      </c>
      <c r="D27" s="5115"/>
      <c r="E27" s="5109">
        <v>0</v>
      </c>
      <c r="F27" s="5109">
        <v>0</v>
      </c>
      <c r="G27" s="5109">
        <v>0</v>
      </c>
      <c r="H27" s="5109">
        <v>0</v>
      </c>
      <c r="I27" s="5109"/>
      <c r="J27" s="5113">
        <f>'PP FY 2012-13'!G19</f>
        <v>-1.7924480000000003</v>
      </c>
      <c r="K27" s="5109"/>
      <c r="L27" s="5110"/>
      <c r="M27" s="5110"/>
      <c r="N27" s="5110"/>
      <c r="O27" s="5109"/>
      <c r="P27" s="5116">
        <f>'PP FY 2013-14 '!$G$20</f>
        <v>-5.05</v>
      </c>
      <c r="Q27" s="5110"/>
      <c r="R27" s="5112" t="s">
        <v>560</v>
      </c>
      <c r="S27" s="5112" t="s">
        <v>560</v>
      </c>
      <c r="T27" s="5110"/>
      <c r="U27" s="5110" t="str">
        <f t="shared" si="9"/>
        <v>-</v>
      </c>
      <c r="V27" s="5110">
        <f>'PP FY 2014-15'!AN27</f>
        <v>-3.6179756150999998</v>
      </c>
      <c r="W27" s="5110"/>
      <c r="X27" s="5112" t="s">
        <v>560</v>
      </c>
      <c r="Y27" s="5112" t="s">
        <v>560</v>
      </c>
      <c r="Z27" s="5110"/>
      <c r="AA27" s="5110" t="str">
        <f t="shared" si="7"/>
        <v>-</v>
      </c>
      <c r="AB27" s="5110" t="str">
        <f t="shared" si="8"/>
        <v>-</v>
      </c>
      <c r="AC27" s="5110"/>
    </row>
    <row r="28" spans="1:29" s="261" customFormat="1">
      <c r="A28" s="5097">
        <f>A27+1</f>
        <v>17</v>
      </c>
      <c r="B28" s="1048" t="s">
        <v>3688</v>
      </c>
      <c r="C28" s="5115"/>
      <c r="D28" s="5115"/>
      <c r="E28" s="5115"/>
      <c r="F28" s="5115"/>
      <c r="G28" s="5115"/>
      <c r="H28" s="5115"/>
      <c r="I28" s="5115"/>
      <c r="J28" s="5115"/>
      <c r="K28" s="5115"/>
      <c r="L28" s="5117">
        <v>0</v>
      </c>
      <c r="M28" s="5112">
        <f>'PP FY 2013-14 '!D24*0</f>
        <v>0</v>
      </c>
      <c r="N28" s="5112"/>
      <c r="O28" s="5115"/>
      <c r="P28" s="5118">
        <f>'PP FY 2013-14 '!G24*0</f>
        <v>0</v>
      </c>
      <c r="Q28" s="5115"/>
      <c r="R28" s="5112"/>
      <c r="S28" s="5112"/>
      <c r="T28" s="5110"/>
      <c r="U28" s="5110">
        <f t="shared" si="9"/>
        <v>0</v>
      </c>
      <c r="V28" s="5110">
        <f>'PP FY 2014-15'!AN30</f>
        <v>3.73</v>
      </c>
      <c r="W28" s="5110"/>
      <c r="X28" s="5112"/>
      <c r="Y28" s="5112"/>
      <c r="Z28" s="5110"/>
      <c r="AA28" s="5110">
        <f t="shared" si="7"/>
        <v>0</v>
      </c>
      <c r="AB28" s="5110">
        <f t="shared" si="8"/>
        <v>0</v>
      </c>
      <c r="AC28" s="5110"/>
    </row>
    <row r="29" spans="1:29" s="261" customFormat="1" ht="31.5">
      <c r="A29" s="5097">
        <f>A28+1</f>
        <v>18</v>
      </c>
      <c r="B29" s="1048" t="s">
        <v>3749</v>
      </c>
      <c r="C29" s="5115"/>
      <c r="D29" s="5115"/>
      <c r="E29" s="5115"/>
      <c r="F29" s="5115"/>
      <c r="G29" s="5115"/>
      <c r="H29" s="5115"/>
      <c r="I29" s="5115"/>
      <c r="J29" s="5115"/>
      <c r="K29" s="5115"/>
      <c r="L29" s="5117"/>
      <c r="M29" s="5112"/>
      <c r="N29" s="5112"/>
      <c r="O29" s="5115"/>
      <c r="P29" s="5118"/>
      <c r="Q29" s="5115"/>
      <c r="R29" s="5112"/>
      <c r="S29" s="5112"/>
      <c r="T29" s="5110"/>
      <c r="U29" s="5110"/>
      <c r="V29" s="5110">
        <f>'PP FY 2014-15'!AN31</f>
        <v>22.735485999999995</v>
      </c>
      <c r="W29" s="5110"/>
      <c r="X29" s="5112"/>
      <c r="Y29" s="5112"/>
      <c r="Z29" s="5110"/>
      <c r="AA29" s="5110"/>
      <c r="AB29" s="5110"/>
      <c r="AC29" s="5110"/>
    </row>
    <row r="30" spans="1:29" s="261" customFormat="1">
      <c r="A30" s="5105">
        <f>A29+1</f>
        <v>19</v>
      </c>
      <c r="B30" s="4785" t="s">
        <v>47</v>
      </c>
      <c r="C30" s="5119">
        <f>SUM(C12:C26)</f>
        <v>4849.1100000000006</v>
      </c>
      <c r="D30" s="5119">
        <f>SUM(D12:D26)</f>
        <v>2425.6799999999998</v>
      </c>
      <c r="E30" s="5119">
        <f>D30/C30*10</f>
        <v>5.0023200133632759</v>
      </c>
      <c r="F30" s="5119">
        <f>SUM(F12:F29)</f>
        <v>4914.1099999999997</v>
      </c>
      <c r="G30" s="5119">
        <f>SUM(G12:G29)</f>
        <v>2886.7275043999998</v>
      </c>
      <c r="H30" s="5120">
        <f>G30/F30*10</f>
        <v>5.8743648481617221</v>
      </c>
      <c r="I30" s="5119">
        <f t="shared" ref="I30:J30" si="10">SUM(I12:I29)</f>
        <v>4906.1727392412713</v>
      </c>
      <c r="J30" s="5119">
        <f t="shared" si="10"/>
        <v>2928.2865663006528</v>
      </c>
      <c r="K30" s="5121">
        <f>J30/I30*10</f>
        <v>5.9685761630021723</v>
      </c>
      <c r="L30" s="5119">
        <f t="shared" ref="L30" si="11">SUM(L12:L29)</f>
        <v>5340.8499999999995</v>
      </c>
      <c r="M30" s="5119">
        <f t="shared" ref="M30" si="12">SUM(M12:M29)</f>
        <v>2987.39</v>
      </c>
      <c r="N30" s="5122">
        <f>M30/L30*10</f>
        <v>5.5934729490624155</v>
      </c>
      <c r="O30" s="5119">
        <f t="shared" ref="O30" si="13">SUM(O12:O29)</f>
        <v>4822.0386625151432</v>
      </c>
      <c r="P30" s="5119">
        <f t="shared" ref="P30" si="14">SUM(P12:P29)</f>
        <v>2627.3633440730828</v>
      </c>
      <c r="Q30" s="5122">
        <f t="shared" ref="Q30" si="15">P30/O30*10</f>
        <v>5.448656736200177</v>
      </c>
      <c r="R30" s="5119">
        <f t="shared" ref="R30" si="16">SUM(R12:R29)</f>
        <v>5838.9699999999993</v>
      </c>
      <c r="S30" s="5119">
        <f t="shared" ref="S30" si="17">SUM(S12:S29)</f>
        <v>3209.67</v>
      </c>
      <c r="T30" s="5122">
        <f>S30/R30*10</f>
        <v>5.4969797755426058</v>
      </c>
      <c r="U30" s="5119">
        <f>SUM(U12:U29)</f>
        <v>4919.67616348104</v>
      </c>
      <c r="V30" s="5119">
        <f>SUM(V12:V29)</f>
        <v>2805.6674912671647</v>
      </c>
      <c r="W30" s="5122">
        <f>V30/U30*10</f>
        <v>5.7029515724911946</v>
      </c>
      <c r="X30" s="5119">
        <f t="shared" ref="X30" si="18">SUM(X12:X29)</f>
        <v>6402.22</v>
      </c>
      <c r="Y30" s="5119">
        <f t="shared" ref="Y30" si="19">SUM(Y12:Y29)</f>
        <v>3452.7700000000004</v>
      </c>
      <c r="Z30" s="5122">
        <f>Y30/X30*10</f>
        <v>5.3930823995426591</v>
      </c>
      <c r="AA30" s="5119">
        <f t="shared" ref="AA30" si="20">SUM(AA12:AA29)</f>
        <v>5121.7045677989245</v>
      </c>
      <c r="AB30" s="5119">
        <f>SUM(AB12:AB29)</f>
        <v>2923.1792345576341</v>
      </c>
      <c r="AC30" s="5122">
        <f>AB30/AA30*10</f>
        <v>5.7074343040717075</v>
      </c>
    </row>
    <row r="31" spans="1:29" s="261" customFormat="1" ht="31.5">
      <c r="A31" s="5096">
        <f t="shared" si="2"/>
        <v>20</v>
      </c>
      <c r="B31" s="4785" t="s">
        <v>250</v>
      </c>
      <c r="C31" s="5109"/>
      <c r="D31" s="5119">
        <f>D30/C30*10</f>
        <v>5.0023200133632759</v>
      </c>
      <c r="E31" s="5109"/>
      <c r="F31" s="5109"/>
      <c r="G31" s="5109">
        <f>(G30/F30)*10</f>
        <v>5.8743648481617221</v>
      </c>
      <c r="H31" s="5109"/>
      <c r="I31" s="5109"/>
      <c r="J31" s="5109">
        <f>J30/I30*10</f>
        <v>5.9685761630021723</v>
      </c>
      <c r="K31" s="5109"/>
      <c r="L31" s="5109"/>
      <c r="M31" s="5109">
        <f>M30/L30*10</f>
        <v>5.5934729490624155</v>
      </c>
      <c r="N31" s="5109"/>
      <c r="O31" s="5109"/>
      <c r="P31" s="5113">
        <f>P30/O30*10</f>
        <v>5.448656736200177</v>
      </c>
      <c r="Q31" s="5110"/>
      <c r="R31" s="5112"/>
      <c r="S31" s="5110">
        <f>S30/R30*10</f>
        <v>5.4969797755426058</v>
      </c>
      <c r="T31" s="5110"/>
      <c r="U31" s="5110"/>
      <c r="V31" s="5110">
        <f>V30/U30*10</f>
        <v>5.7029515724911946</v>
      </c>
      <c r="W31" s="5110"/>
      <c r="X31" s="5110"/>
      <c r="Y31" s="5110">
        <f>Y30/X30*10</f>
        <v>5.3930823995426591</v>
      </c>
      <c r="Z31" s="5110"/>
      <c r="AA31" s="5110"/>
      <c r="AB31" s="5110">
        <f>AB30/AA30*10</f>
        <v>5.7074343040717075</v>
      </c>
      <c r="AC31" s="5110"/>
    </row>
    <row r="32" spans="1:29">
      <c r="M32" s="868">
        <f>M30</f>
        <v>2987.39</v>
      </c>
      <c r="P32" s="868"/>
    </row>
    <row r="33" spans="9:29">
      <c r="I33" s="5034"/>
      <c r="L33" s="868"/>
      <c r="M33" s="868"/>
      <c r="P33" s="868"/>
      <c r="U33" s="254" t="b">
        <f>U30=F1.2!M12</f>
        <v>1</v>
      </c>
    </row>
    <row r="34" spans="9:29">
      <c r="P34" s="868"/>
      <c r="AA34" s="264">
        <f>SUM(AA14:AA17)</f>
        <v>468.53777707998734</v>
      </c>
      <c r="AB34" s="264">
        <f>SUM(AB14:AB17)</f>
        <v>316.89949241864196</v>
      </c>
      <c r="AC34" s="4938">
        <f>AB34/AA34*10</f>
        <v>6.7635846653308773</v>
      </c>
    </row>
  </sheetData>
  <mergeCells count="29">
    <mergeCell ref="B1:H1"/>
    <mergeCell ref="B2:H2"/>
    <mergeCell ref="B3:H3"/>
    <mergeCell ref="L10:N10"/>
    <mergeCell ref="F10:H10"/>
    <mergeCell ref="I10:K10"/>
    <mergeCell ref="C10:E10"/>
    <mergeCell ref="F8:H9"/>
    <mergeCell ref="I8:K9"/>
    <mergeCell ref="L8:N9"/>
    <mergeCell ref="AB7:AC7"/>
    <mergeCell ref="O10:Q10"/>
    <mergeCell ref="O8:Q9"/>
    <mergeCell ref="X10:Z10"/>
    <mergeCell ref="AA10:AC10"/>
    <mergeCell ref="R10:T10"/>
    <mergeCell ref="U10:W10"/>
    <mergeCell ref="R9:T9"/>
    <mergeCell ref="U9:W9"/>
    <mergeCell ref="X9:Z9"/>
    <mergeCell ref="AA9:AC9"/>
    <mergeCell ref="P7:Q7"/>
    <mergeCell ref="R8:AC8"/>
    <mergeCell ref="A8:A11"/>
    <mergeCell ref="B8:B11"/>
    <mergeCell ref="C8:E9"/>
    <mergeCell ref="C13:C16"/>
    <mergeCell ref="D13:D16"/>
    <mergeCell ref="E13:E16"/>
  </mergeCells>
  <printOptions horizontalCentered="1"/>
  <pageMargins left="0.2" right="0.25" top="0.89" bottom="0.23" header="0.31496062992126" footer="0.31496062992126"/>
  <pageSetup paperSize="9" scale="65" orientation="landscape" r:id="rId1"/>
  <colBreaks count="1" manualBreakCount="1">
    <brk id="17" min="4" max="30" man="1"/>
  </colBreaks>
</worksheet>
</file>

<file path=xl/worksheets/sheet25.xml><?xml version="1.0" encoding="utf-8"?>
<worksheet xmlns="http://schemas.openxmlformats.org/spreadsheetml/2006/main" xmlns:r="http://schemas.openxmlformats.org/officeDocument/2006/relationships">
  <sheetPr codeName="Sheet21">
    <tabColor rgb="FF00B050"/>
    <pageSetUpPr fitToPage="1"/>
  </sheetPr>
  <dimension ref="A1:I31"/>
  <sheetViews>
    <sheetView showGridLines="0" view="pageBreakPreview" zoomScale="60" workbookViewId="0">
      <pane xSplit="2" ySplit="3" topLeftCell="C4" activePane="bottomRight" state="frozen"/>
      <selection activeCell="B3" sqref="B3:Q5"/>
      <selection pane="topRight" activeCell="B3" sqref="B3:Q5"/>
      <selection pane="bottomLeft" activeCell="B3" sqref="B3:Q5"/>
      <selection pane="bottomRight" activeCell="G10" sqref="B10:G10"/>
    </sheetView>
  </sheetViews>
  <sheetFormatPr defaultRowHeight="15.75"/>
  <cols>
    <col min="1" max="1" width="9.140625" style="254"/>
    <col min="2" max="2" width="36.28515625" style="254" customWidth="1"/>
    <col min="3" max="3" width="15.7109375" style="254" customWidth="1"/>
    <col min="4" max="4" width="17.5703125" style="254" customWidth="1"/>
    <col min="5" max="5" width="10.7109375" style="254" customWidth="1"/>
    <col min="6" max="7" width="15.7109375" style="254" customWidth="1"/>
    <col min="8" max="8" width="10.7109375" style="261" customWidth="1"/>
    <col min="9" max="9" width="11.140625" style="254" customWidth="1"/>
    <col min="10" max="16384" width="9.140625" style="254"/>
  </cols>
  <sheetData>
    <row r="1" spans="1:9" ht="16.5" thickBot="1">
      <c r="B1" s="5490" t="s">
        <v>749</v>
      </c>
      <c r="C1" s="5491"/>
      <c r="D1" s="5492"/>
      <c r="E1" s="1051"/>
      <c r="F1" s="1051"/>
      <c r="G1" s="1051"/>
      <c r="H1" s="5495"/>
      <c r="I1" s="5495"/>
    </row>
    <row r="2" spans="1:9">
      <c r="H2" s="5496"/>
      <c r="I2" s="5496"/>
    </row>
    <row r="3" spans="1:9" s="1067" customFormat="1" ht="31.5" customHeight="1">
      <c r="A3" s="5435" t="s">
        <v>651</v>
      </c>
      <c r="B3" s="5450" t="s">
        <v>95</v>
      </c>
      <c r="C3" s="5484" t="s">
        <v>243</v>
      </c>
      <c r="D3" s="5485"/>
      <c r="E3" s="5486"/>
      <c r="F3" s="5480" t="s">
        <v>86</v>
      </c>
      <c r="G3" s="5480"/>
      <c r="H3" s="5480"/>
      <c r="I3" s="5499"/>
    </row>
    <row r="4" spans="1:9" s="1042" customFormat="1" ht="20.100000000000001" customHeight="1">
      <c r="A4" s="5449"/>
      <c r="B4" s="5451"/>
      <c r="C4" s="5500" t="s">
        <v>82</v>
      </c>
      <c r="D4" s="5501"/>
      <c r="E4" s="5502"/>
      <c r="F4" s="5503" t="s">
        <v>82</v>
      </c>
      <c r="G4" s="5503"/>
      <c r="H4" s="5503"/>
      <c r="I4" s="5499"/>
    </row>
    <row r="5" spans="1:9" s="1042" customFormat="1" ht="20.100000000000001" customHeight="1">
      <c r="A5" s="5436"/>
      <c r="B5" s="5452"/>
      <c r="C5" s="1043" t="s">
        <v>83</v>
      </c>
      <c r="D5" s="1044" t="s">
        <v>151</v>
      </c>
      <c r="E5" s="1044" t="s">
        <v>244</v>
      </c>
      <c r="F5" s="1043" t="s">
        <v>83</v>
      </c>
      <c r="G5" s="1044" t="s">
        <v>151</v>
      </c>
      <c r="H5" s="1052" t="s">
        <v>244</v>
      </c>
      <c r="I5" s="5499"/>
    </row>
    <row r="6" spans="1:9" ht="20.100000000000001" customHeight="1">
      <c r="A6" s="1927">
        <v>1</v>
      </c>
      <c r="B6" s="1053" t="s">
        <v>245</v>
      </c>
      <c r="C6" s="1054">
        <v>5083.97</v>
      </c>
      <c r="D6" s="1054">
        <v>2739.21</v>
      </c>
      <c r="E6" s="256">
        <f>D6/C6*10</f>
        <v>5.3879350192861084</v>
      </c>
      <c r="F6" s="1054">
        <f>'[89]Source-wise PP-FY 2012-13'!C30</f>
        <v>5083.9657485950302</v>
      </c>
      <c r="G6" s="1054">
        <f>'[90]Summary PP FY 2012-13'!$G$11</f>
        <v>2739.2086402614177</v>
      </c>
      <c r="H6" s="257">
        <f>G6/F6*10</f>
        <v>5.3879368503188809</v>
      </c>
      <c r="I6" s="1821"/>
    </row>
    <row r="7" spans="1:9" ht="20.100000000000001" customHeight="1">
      <c r="A7" s="1927">
        <f>A6+1</f>
        <v>2</v>
      </c>
      <c r="B7" s="1053" t="s">
        <v>246</v>
      </c>
      <c r="C7" s="1054">
        <v>0</v>
      </c>
      <c r="D7" s="1054">
        <v>0</v>
      </c>
      <c r="E7" s="256">
        <v>0</v>
      </c>
      <c r="F7" s="1055">
        <v>0</v>
      </c>
      <c r="G7" s="1055">
        <v>0</v>
      </c>
      <c r="H7" s="1056">
        <v>0</v>
      </c>
      <c r="I7" s="5497"/>
    </row>
    <row r="8" spans="1:9" ht="20.100000000000001" customHeight="1">
      <c r="A8" s="1927">
        <f t="shared" ref="A8:A22" si="0">A7+1</f>
        <v>3</v>
      </c>
      <c r="B8" s="1053" t="s">
        <v>97</v>
      </c>
      <c r="C8" s="1054">
        <v>0</v>
      </c>
      <c r="D8" s="1054">
        <v>0</v>
      </c>
      <c r="E8" s="256">
        <v>0</v>
      </c>
      <c r="F8" s="1055">
        <v>0</v>
      </c>
      <c r="G8" s="1055">
        <v>0</v>
      </c>
      <c r="H8" s="1056">
        <v>0</v>
      </c>
      <c r="I8" s="5497"/>
    </row>
    <row r="9" spans="1:9" ht="20.100000000000001" customHeight="1">
      <c r="A9" s="1927">
        <f t="shared" si="0"/>
        <v>4</v>
      </c>
      <c r="B9" s="1053" t="s">
        <v>750</v>
      </c>
      <c r="C9" s="1054">
        <v>104.66</v>
      </c>
      <c r="D9" s="1054">
        <v>55.49</v>
      </c>
      <c r="E9" s="256">
        <f t="shared" ref="E9:E21" si="1">D9/C9*10</f>
        <v>5.3019300592394423</v>
      </c>
      <c r="F9" s="1055">
        <f>'[89]Source-wise PP-FY 2012-13'!H30</f>
        <v>104.65574487950001</v>
      </c>
      <c r="G9" s="1046">
        <f>'[90]Summary PP FY 2012-13'!$G$14</f>
        <v>56.086640411674992</v>
      </c>
      <c r="H9" s="257">
        <f t="shared" ref="H9:H21" si="2">G9/F9*10</f>
        <v>5.3591554363549578</v>
      </c>
      <c r="I9" s="5497"/>
    </row>
    <row r="10" spans="1:9" ht="20.100000000000001" customHeight="1">
      <c r="A10" s="1927">
        <f t="shared" si="0"/>
        <v>5</v>
      </c>
      <c r="B10" s="1053" t="s">
        <v>751</v>
      </c>
      <c r="C10" s="1054">
        <v>0</v>
      </c>
      <c r="D10" s="1054">
        <v>66.78</v>
      </c>
      <c r="E10" s="256">
        <v>0</v>
      </c>
      <c r="F10" s="1055"/>
      <c r="G10" s="1055">
        <f>'[90]Summary PP FY 2012-13'!$G$15</f>
        <v>66.783466099999998</v>
      </c>
      <c r="H10" s="1054">
        <v>0</v>
      </c>
      <c r="I10" s="5497"/>
    </row>
    <row r="11" spans="1:9" ht="20.100000000000001" customHeight="1">
      <c r="A11" s="1927">
        <f t="shared" si="0"/>
        <v>6</v>
      </c>
      <c r="B11" s="1053" t="s">
        <v>247</v>
      </c>
      <c r="C11" s="1054">
        <v>76.44</v>
      </c>
      <c r="D11" s="1054">
        <v>33.69</v>
      </c>
      <c r="E11" s="256">
        <f t="shared" si="1"/>
        <v>4.4073783359497645</v>
      </c>
      <c r="F11" s="1054">
        <f>'[89]Source-wise PP-FY 2012-13'!F30</f>
        <v>76.435563418749993</v>
      </c>
      <c r="G11" s="1054">
        <f>'[90]Summary PP FY 2012-13'!G16</f>
        <v>33.694781027559991</v>
      </c>
      <c r="H11" s="257">
        <f t="shared" si="2"/>
        <v>4.4082596530314193</v>
      </c>
      <c r="I11" s="1511"/>
    </row>
    <row r="12" spans="1:9" ht="20.100000000000001" customHeight="1">
      <c r="A12" s="1927">
        <f t="shared" si="0"/>
        <v>7</v>
      </c>
      <c r="B12" s="1053" t="s">
        <v>99</v>
      </c>
      <c r="C12" s="1054">
        <f>-2.2</f>
        <v>-2.2000000000000002</v>
      </c>
      <c r="D12" s="1054">
        <v>-1.1324955999999999</v>
      </c>
      <c r="E12" s="256">
        <f t="shared" si="1"/>
        <v>5.1477072727272724</v>
      </c>
      <c r="F12" s="1054">
        <f>'[89]Source-wise PP-FY 2012-13'!D30</f>
        <v>-2.1992430000000001</v>
      </c>
      <c r="G12" s="1054">
        <f>'[90]Summary PP FY 2012-13'!G17</f>
        <v>-1.1324955999999999</v>
      </c>
      <c r="H12" s="257">
        <f t="shared" si="2"/>
        <v>5.1494791616933639</v>
      </c>
      <c r="I12" s="1511"/>
    </row>
    <row r="13" spans="1:9" ht="20.100000000000001" customHeight="1">
      <c r="A13" s="1927">
        <f t="shared" si="0"/>
        <v>8</v>
      </c>
      <c r="B13" s="1045" t="s">
        <v>248</v>
      </c>
      <c r="C13" s="1054">
        <f>-355.92</f>
        <v>-355.92</v>
      </c>
      <c r="D13" s="1054">
        <v>-312.19</v>
      </c>
      <c r="E13" s="256">
        <f t="shared" si="1"/>
        <v>8.7713531130591136</v>
      </c>
      <c r="F13" s="1054">
        <v>-364.57485165200899</v>
      </c>
      <c r="G13" s="1054">
        <f>'[90]Summary PP FY 2012-13'!G18</f>
        <v>-315.43438640000005</v>
      </c>
      <c r="H13" s="257">
        <f t="shared" si="2"/>
        <v>8.652115881571719</v>
      </c>
      <c r="I13" s="1511"/>
    </row>
    <row r="14" spans="1:9" ht="20.100000000000001" customHeight="1">
      <c r="A14" s="1927">
        <f t="shared" si="0"/>
        <v>9</v>
      </c>
      <c r="B14" s="1045" t="s">
        <v>742</v>
      </c>
      <c r="C14" s="1054">
        <v>7.16</v>
      </c>
      <c r="D14" s="1054">
        <v>3.2</v>
      </c>
      <c r="E14" s="256">
        <f t="shared" si="1"/>
        <v>4.4692737430167604</v>
      </c>
      <c r="F14" s="1046">
        <f>'[89]Source-wise PP-FY 2012-13'!G30</f>
        <v>7.8897770000000005</v>
      </c>
      <c r="G14" s="1054">
        <f>'[90]Summary PP FY 2012-13'!G19</f>
        <v>3.1995670999999999</v>
      </c>
      <c r="H14" s="257">
        <f t="shared" si="2"/>
        <v>4.0553327426111023</v>
      </c>
      <c r="I14" s="1511"/>
    </row>
    <row r="15" spans="1:9" ht="20.100000000000001" customHeight="1">
      <c r="A15" s="1927">
        <f t="shared" si="0"/>
        <v>10</v>
      </c>
      <c r="B15" s="1045" t="s">
        <v>618</v>
      </c>
      <c r="C15" s="1054">
        <v>0</v>
      </c>
      <c r="D15" s="1054">
        <v>193.08</v>
      </c>
      <c r="E15" s="256">
        <v>0</v>
      </c>
      <c r="F15" s="1046">
        <v>0</v>
      </c>
      <c r="G15" s="1054">
        <f>'[90]Summary PP FY 2012-13'!G20</f>
        <v>193.20680140000005</v>
      </c>
      <c r="H15" s="1054">
        <v>0</v>
      </c>
      <c r="I15" s="1511"/>
    </row>
    <row r="16" spans="1:9" ht="20.100000000000001" customHeight="1">
      <c r="A16" s="1927">
        <f t="shared" si="0"/>
        <v>11</v>
      </c>
      <c r="B16" s="1053" t="s">
        <v>743</v>
      </c>
      <c r="C16" s="1054">
        <v>0</v>
      </c>
      <c r="D16" s="1054">
        <v>0.75</v>
      </c>
      <c r="E16" s="256">
        <v>0</v>
      </c>
      <c r="F16" s="1054">
        <v>0</v>
      </c>
      <c r="G16" s="1054">
        <f>'[90]Summary PP FY 2012-13'!G21</f>
        <v>0.74599999999999989</v>
      </c>
      <c r="H16" s="1054">
        <v>0</v>
      </c>
      <c r="I16" s="1511"/>
    </row>
    <row r="17" spans="1:9" ht="20.100000000000001" customHeight="1">
      <c r="A17" s="1927">
        <f t="shared" si="0"/>
        <v>12</v>
      </c>
      <c r="B17" s="1053" t="s">
        <v>744</v>
      </c>
      <c r="C17" s="1054">
        <v>0</v>
      </c>
      <c r="D17" s="1054">
        <v>107.85</v>
      </c>
      <c r="E17" s="256">
        <v>0</v>
      </c>
      <c r="F17" s="1054">
        <v>0</v>
      </c>
      <c r="G17" s="1054">
        <f>'[90]Summary PP FY 2012-13'!G22</f>
        <v>107.84999999999998</v>
      </c>
      <c r="H17" s="1054">
        <v>0</v>
      </c>
      <c r="I17" s="1511"/>
    </row>
    <row r="18" spans="1:9" ht="20.100000000000001" customHeight="1">
      <c r="A18" s="1927">
        <f t="shared" si="0"/>
        <v>13</v>
      </c>
      <c r="B18" s="1053" t="s">
        <v>745</v>
      </c>
      <c r="C18" s="1054">
        <v>0</v>
      </c>
      <c r="D18" s="1054">
        <v>0</v>
      </c>
      <c r="E18" s="256">
        <v>0</v>
      </c>
      <c r="F18" s="1054">
        <v>0</v>
      </c>
      <c r="G18" s="1054">
        <f>'[90]Summary PP FY 2012-13'!G23</f>
        <v>0</v>
      </c>
      <c r="H18" s="1054">
        <v>0</v>
      </c>
      <c r="I18" s="1511"/>
    </row>
    <row r="19" spans="1:9" ht="20.100000000000001" customHeight="1">
      <c r="A19" s="4435">
        <f t="shared" si="0"/>
        <v>14</v>
      </c>
      <c r="B19" s="1053" t="s">
        <v>2341</v>
      </c>
      <c r="C19" s="1054"/>
      <c r="D19" s="1054"/>
      <c r="E19" s="4432"/>
      <c r="F19" s="1054"/>
      <c r="G19" s="1054">
        <f>'[90]Summary PP FY 2012-13'!G24</f>
        <v>-1.7924480000000003</v>
      </c>
      <c r="H19" s="1054"/>
      <c r="I19" s="4433"/>
    </row>
    <row r="20" spans="1:9" ht="47.25" customHeight="1">
      <c r="A20" s="4435">
        <f t="shared" si="0"/>
        <v>15</v>
      </c>
      <c r="B20" s="1045" t="s">
        <v>3343</v>
      </c>
      <c r="C20" s="1046">
        <v>0</v>
      </c>
      <c r="D20" s="1046">
        <v>0</v>
      </c>
      <c r="E20" s="1057">
        <v>0</v>
      </c>
      <c r="F20" s="1046">
        <v>0</v>
      </c>
      <c r="G20" s="1054">
        <f>'[90]Summary PP FY 2012-13'!G25</f>
        <v>45.871239699999997</v>
      </c>
      <c r="H20" s="1054">
        <v>0</v>
      </c>
      <c r="I20" s="1511"/>
    </row>
    <row r="21" spans="1:9" ht="20.100000000000001" customHeight="1">
      <c r="A21" s="1927">
        <f t="shared" si="0"/>
        <v>16</v>
      </c>
      <c r="B21" s="1058" t="s">
        <v>47</v>
      </c>
      <c r="C21" s="1059">
        <v>4914.1000000000004</v>
      </c>
      <c r="D21" s="1060">
        <f>SUM(D6:D20)</f>
        <v>2886.7275043999998</v>
      </c>
      <c r="E21" s="1061">
        <f t="shared" si="1"/>
        <v>5.8743768022628746</v>
      </c>
      <c r="F21" s="1060">
        <f>SUM(F6:F20)</f>
        <v>4906.1727392412713</v>
      </c>
      <c r="G21" s="1060">
        <f>SUM(G6:G20)</f>
        <v>2928.2878060006528</v>
      </c>
      <c r="H21" s="1062">
        <f t="shared" si="2"/>
        <v>5.9685786898190338</v>
      </c>
      <c r="I21" s="1511"/>
    </row>
    <row r="22" spans="1:9" s="261" customFormat="1" ht="34.5" customHeight="1">
      <c r="A22" s="1927">
        <f t="shared" si="0"/>
        <v>17</v>
      </c>
      <c r="B22" s="1063" t="s">
        <v>250</v>
      </c>
      <c r="C22" s="1064"/>
      <c r="D22" s="1065">
        <f>D21/C21*10</f>
        <v>5.8743768022628746</v>
      </c>
      <c r="E22" s="1064"/>
      <c r="F22" s="1065"/>
      <c r="G22" s="1065">
        <f>G21/F21*10</f>
        <v>5.9685786898190338</v>
      </c>
      <c r="H22" s="1512"/>
      <c r="I22" s="1511"/>
    </row>
    <row r="23" spans="1:9" ht="21.75" customHeight="1">
      <c r="A23" s="612"/>
      <c r="I23" s="1513"/>
    </row>
    <row r="24" spans="1:9">
      <c r="B24" s="1066"/>
      <c r="I24" s="1012"/>
    </row>
    <row r="25" spans="1:9" ht="54" customHeight="1">
      <c r="B25" s="5498"/>
      <c r="C25" s="5498"/>
      <c r="D25" s="5498"/>
      <c r="E25" s="5498"/>
      <c r="F25" s="5498"/>
      <c r="G25" s="5498"/>
      <c r="H25" s="5498"/>
      <c r="I25" s="5498"/>
    </row>
    <row r="26" spans="1:9" ht="51" customHeight="1">
      <c r="B26" s="5498"/>
      <c r="C26" s="5498"/>
      <c r="D26" s="5498"/>
      <c r="E26" s="5498"/>
      <c r="F26" s="5498"/>
      <c r="G26" s="5498"/>
      <c r="H26" s="5498"/>
      <c r="I26" s="5498"/>
    </row>
    <row r="27" spans="1:9" ht="52.5" customHeight="1">
      <c r="B27" s="5498"/>
      <c r="C27" s="5498"/>
      <c r="D27" s="5498"/>
      <c r="E27" s="5498"/>
      <c r="F27" s="5498"/>
      <c r="G27" s="5498"/>
      <c r="H27" s="5498"/>
      <c r="I27" s="5498"/>
    </row>
    <row r="28" spans="1:9" ht="40.5" customHeight="1">
      <c r="B28" s="5493"/>
      <c r="C28" s="5493"/>
      <c r="D28" s="5493"/>
      <c r="E28" s="5493"/>
      <c r="F28" s="5493"/>
      <c r="G28" s="5493"/>
      <c r="H28" s="5493"/>
      <c r="I28" s="5493"/>
    </row>
    <row r="29" spans="1:9" s="1068" customFormat="1" ht="103.5" customHeight="1">
      <c r="B29" s="5494"/>
      <c r="C29" s="5494"/>
      <c r="D29" s="5494"/>
      <c r="E29" s="5494"/>
      <c r="F29" s="5494"/>
      <c r="G29" s="5494"/>
      <c r="H29" s="5494"/>
      <c r="I29" s="5494"/>
    </row>
    <row r="30" spans="1:9" ht="129" customHeight="1">
      <c r="B30" s="5488"/>
      <c r="C30" s="5488"/>
      <c r="D30" s="5488"/>
      <c r="E30" s="5488"/>
      <c r="F30" s="5488"/>
      <c r="G30" s="5488"/>
      <c r="H30" s="5488"/>
      <c r="I30" s="5488"/>
    </row>
    <row r="31" spans="1:9" ht="37.5" customHeight="1">
      <c r="B31" s="5489"/>
      <c r="C31" s="5489"/>
      <c r="D31" s="5489"/>
      <c r="E31" s="5489"/>
      <c r="F31" s="5489"/>
      <c r="G31" s="5489"/>
      <c r="H31" s="5489"/>
      <c r="I31" s="5489"/>
    </row>
  </sheetData>
  <mergeCells count="18">
    <mergeCell ref="A3:A5"/>
    <mergeCell ref="I7:I10"/>
    <mergeCell ref="B25:I25"/>
    <mergeCell ref="B26:I26"/>
    <mergeCell ref="B27:I27"/>
    <mergeCell ref="B3:B5"/>
    <mergeCell ref="C3:E3"/>
    <mergeCell ref="F3:H3"/>
    <mergeCell ref="I3:I5"/>
    <mergeCell ref="C4:E4"/>
    <mergeCell ref="F4:H4"/>
    <mergeCell ref="B30:I30"/>
    <mergeCell ref="B31:I31"/>
    <mergeCell ref="B1:D1"/>
    <mergeCell ref="B28:I28"/>
    <mergeCell ref="B29:I29"/>
    <mergeCell ref="H1:I1"/>
    <mergeCell ref="H2:I2"/>
  </mergeCells>
  <pageMargins left="0.62" right="0.18" top="0.75" bottom="0.75" header="0.3" footer="0.3"/>
  <pageSetup scale="68" orientation="portrait" horizontalDpi="300" verticalDpi="300" r:id="rId1"/>
</worksheet>
</file>

<file path=xl/worksheets/sheet26.xml><?xml version="1.0" encoding="utf-8"?>
<worksheet xmlns="http://schemas.openxmlformats.org/spreadsheetml/2006/main" xmlns:r="http://schemas.openxmlformats.org/officeDocument/2006/relationships">
  <sheetPr codeName="Sheet20">
    <tabColor rgb="FF00B050"/>
    <pageSetUpPr fitToPage="1"/>
  </sheetPr>
  <dimension ref="A1:L34"/>
  <sheetViews>
    <sheetView showGridLines="0" view="pageBreakPreview" topLeftCell="A3" zoomScale="70" zoomScaleSheetLayoutView="70" workbookViewId="0">
      <pane xSplit="2" ySplit="5" topLeftCell="C8" activePane="bottomRight" state="frozen"/>
      <selection activeCell="K60" sqref="K60"/>
      <selection pane="topRight" activeCell="K60" sqref="K60"/>
      <selection pane="bottomLeft" activeCell="K60" sqref="K60"/>
      <selection pane="bottomRight" activeCell="G16" sqref="G16"/>
    </sheetView>
  </sheetViews>
  <sheetFormatPr defaultRowHeight="15.75"/>
  <cols>
    <col min="1" max="1" width="9.140625" style="254"/>
    <col min="2" max="2" width="43.85546875" style="254" customWidth="1"/>
    <col min="3" max="3" width="17.42578125" style="254" customWidth="1"/>
    <col min="4" max="4" width="17.140625" style="254" customWidth="1"/>
    <col min="5" max="5" width="12.85546875" style="254" customWidth="1"/>
    <col min="6" max="6" width="17.28515625" style="254" customWidth="1"/>
    <col min="7" max="7" width="17.7109375" style="254" customWidth="1"/>
    <col min="8" max="8" width="17.140625" style="254" customWidth="1"/>
    <col min="9" max="16384" width="9.140625" style="254"/>
  </cols>
  <sheetData>
    <row r="1" spans="1:9" ht="16.5" thickBot="1">
      <c r="G1" s="5495" t="s">
        <v>748</v>
      </c>
      <c r="H1" s="5495"/>
    </row>
    <row r="2" spans="1:9">
      <c r="B2" s="5505" t="s">
        <v>2213</v>
      </c>
      <c r="C2" s="5506"/>
      <c r="D2" s="5506"/>
      <c r="E2" s="5506"/>
      <c r="F2" s="5507"/>
      <c r="G2" s="5496" t="s">
        <v>1845</v>
      </c>
      <c r="H2" s="5496"/>
    </row>
    <row r="3" spans="1:9">
      <c r="B3" s="5509" t="s">
        <v>2698</v>
      </c>
      <c r="C3" s="5510"/>
      <c r="D3" s="5510"/>
      <c r="E3" s="5510"/>
      <c r="F3" s="5510"/>
      <c r="G3" s="5511"/>
      <c r="H3" s="2847"/>
    </row>
    <row r="5" spans="1:9" s="1042" customFormat="1">
      <c r="A5" s="5447" t="s">
        <v>651</v>
      </c>
      <c r="B5" s="5450" t="s">
        <v>95</v>
      </c>
      <c r="C5" s="5500" t="s">
        <v>2614</v>
      </c>
      <c r="D5" s="5501"/>
      <c r="E5" s="5502"/>
      <c r="F5" s="5503" t="s">
        <v>86</v>
      </c>
      <c r="G5" s="5503"/>
      <c r="H5" s="5503"/>
    </row>
    <row r="6" spans="1:9" s="1042" customFormat="1">
      <c r="A6" s="5447"/>
      <c r="B6" s="5451"/>
      <c r="C6" s="5500" t="s">
        <v>1845</v>
      </c>
      <c r="D6" s="5501"/>
      <c r="E6" s="5502"/>
      <c r="F6" s="5503" t="s">
        <v>1845</v>
      </c>
      <c r="G6" s="5503"/>
      <c r="H6" s="5503"/>
    </row>
    <row r="7" spans="1:9" s="1042" customFormat="1">
      <c r="A7" s="5447"/>
      <c r="B7" s="5452"/>
      <c r="C7" s="1043" t="s">
        <v>83</v>
      </c>
      <c r="D7" s="1044" t="s">
        <v>151</v>
      </c>
      <c r="E7" s="1044" t="s">
        <v>244</v>
      </c>
      <c r="F7" s="1043" t="s">
        <v>83</v>
      </c>
      <c r="G7" s="1044" t="s">
        <v>151</v>
      </c>
      <c r="H7" s="1044" t="s">
        <v>244</v>
      </c>
    </row>
    <row r="8" spans="1:9">
      <c r="A8" s="1931">
        <v>1</v>
      </c>
      <c r="B8" s="1048" t="s">
        <v>245</v>
      </c>
      <c r="C8" s="1057">
        <v>3722.14</v>
      </c>
      <c r="D8" s="1057">
        <v>1761.94</v>
      </c>
      <c r="E8" s="1057">
        <f>D8/C8*10</f>
        <v>4.7336747140086084</v>
      </c>
      <c r="F8" s="1057">
        <f>'[91]Summary of PP FY 2013-14'!F10</f>
        <v>4058.8107822154993</v>
      </c>
      <c r="G8" s="1057">
        <f>'[91]Summary of PP FY 2013-14'!G10</f>
        <v>1870.8965876420827</v>
      </c>
      <c r="H8" s="2764">
        <f>G8/F8*10</f>
        <v>4.6094698374208392</v>
      </c>
    </row>
    <row r="9" spans="1:9">
      <c r="A9" s="1931">
        <f>A8+1</f>
        <v>2</v>
      </c>
      <c r="B9" s="1048" t="s">
        <v>246</v>
      </c>
      <c r="C9" s="1057">
        <v>212.87</v>
      </c>
      <c r="D9" s="1057">
        <v>101.11</v>
      </c>
      <c r="E9" s="1057">
        <f>D9/C9*10</f>
        <v>4.7498473246582416</v>
      </c>
      <c r="F9" s="1057">
        <f>'[91]Summary of PP FY 2013-14'!F11</f>
        <v>0</v>
      </c>
      <c r="G9" s="1057">
        <f>'[91]Summary of PP FY 2013-14'!G11</f>
        <v>0</v>
      </c>
      <c r="H9" s="1057">
        <v>0</v>
      </c>
    </row>
    <row r="10" spans="1:9">
      <c r="A10" s="1931">
        <f t="shared" ref="A10:A26" si="0">A9+1</f>
        <v>3</v>
      </c>
      <c r="B10" s="1048" t="s">
        <v>97</v>
      </c>
      <c r="C10" s="1057">
        <v>45</v>
      </c>
      <c r="D10" s="1057">
        <v>38.520000000000003</v>
      </c>
      <c r="E10" s="1057">
        <f>D10/C10*10</f>
        <v>8.56</v>
      </c>
      <c r="F10" s="1057">
        <f>'[91]Summary of PP FY 2013-14'!F12</f>
        <v>24.60066011</v>
      </c>
      <c r="G10" s="1057">
        <f>'[91]Summary of PP FY 2013-14'!G12</f>
        <v>19.9803511</v>
      </c>
      <c r="H10" s="2764">
        <f t="shared" ref="H10:H16" si="1">G10/F10*10</f>
        <v>8.1218760027817805</v>
      </c>
    </row>
    <row r="11" spans="1:9">
      <c r="A11" s="1931">
        <f t="shared" si="0"/>
        <v>4</v>
      </c>
      <c r="B11" s="1048" t="s">
        <v>750</v>
      </c>
      <c r="C11" s="1057">
        <v>241.1</v>
      </c>
      <c r="D11" s="1057">
        <v>140.08000000000001</v>
      </c>
      <c r="E11" s="1057">
        <f>D11/C11*10</f>
        <v>5.8100373289091669</v>
      </c>
      <c r="F11" s="1057">
        <f>'[91]Summary of PP FY 2013-14'!F13</f>
        <v>198.93562900000001</v>
      </c>
      <c r="G11" s="1057">
        <f>'[91]Summary of PP FY 2013-14'!G13</f>
        <v>116.02709489999999</v>
      </c>
      <c r="H11" s="2764">
        <f t="shared" si="1"/>
        <v>5.8323938996367506</v>
      </c>
    </row>
    <row r="12" spans="1:9">
      <c r="A12" s="1931">
        <f t="shared" si="0"/>
        <v>5</v>
      </c>
      <c r="B12" s="1048" t="s">
        <v>751</v>
      </c>
      <c r="C12" s="1057">
        <v>0</v>
      </c>
      <c r="D12" s="1057">
        <v>0</v>
      </c>
      <c r="E12" s="1057">
        <v>0</v>
      </c>
      <c r="F12" s="1057">
        <f>'[91]Summary of PP FY 2013-14'!F14</f>
        <v>0</v>
      </c>
      <c r="G12" s="1057">
        <f>'[91]Summary of PP FY 2013-14'!G14</f>
        <v>33</v>
      </c>
      <c r="H12" s="1057">
        <v>0</v>
      </c>
    </row>
    <row r="13" spans="1:9">
      <c r="A13" s="1931">
        <f t="shared" si="0"/>
        <v>6</v>
      </c>
      <c r="B13" s="1048" t="s">
        <v>2214</v>
      </c>
      <c r="C13" s="1057">
        <v>1119.74</v>
      </c>
      <c r="D13" s="1057">
        <v>493.57</v>
      </c>
      <c r="E13" s="1057">
        <f>D13/C13*10</f>
        <v>4.4078982620965581</v>
      </c>
      <c r="F13" s="1057">
        <f>'[91]Summary of PP FY 2013-14'!F15</f>
        <v>254.49054600000005</v>
      </c>
      <c r="G13" s="1057">
        <f>'[92]Summary of PP FY 2013-14'!$G$16</f>
        <v>78.592800001000001</v>
      </c>
      <c r="H13" s="2764">
        <f t="shared" si="1"/>
        <v>3.0882404567201482</v>
      </c>
      <c r="I13" s="868"/>
    </row>
    <row r="14" spans="1:9">
      <c r="A14" s="1931">
        <f t="shared" si="0"/>
        <v>7</v>
      </c>
      <c r="B14" s="1048" t="s">
        <v>99</v>
      </c>
      <c r="C14" s="1057">
        <v>0</v>
      </c>
      <c r="D14" s="1057">
        <v>0</v>
      </c>
      <c r="E14" s="1057"/>
      <c r="F14" s="1057">
        <f>'[91]Summary of PP FY 2013-14'!F16</f>
        <v>0</v>
      </c>
      <c r="G14" s="1057">
        <f>'[91]Summary of PP FY 2013-14'!G16</f>
        <v>0</v>
      </c>
      <c r="H14" s="2764"/>
    </row>
    <row r="15" spans="1:9">
      <c r="A15" s="1931">
        <f t="shared" si="0"/>
        <v>8</v>
      </c>
      <c r="B15" s="1048" t="s">
        <v>248</v>
      </c>
      <c r="C15" s="1057">
        <v>0</v>
      </c>
      <c r="D15" s="1057">
        <v>0</v>
      </c>
      <c r="E15" s="1057"/>
      <c r="F15" s="1057">
        <f>'[92]Summary of PP FY 2013-14'!$F$18</f>
        <v>280.24979518964409</v>
      </c>
      <c r="G15" s="1057">
        <f>'[91]Summary of PP FY 2013-14'!G17</f>
        <v>29.213327200000002</v>
      </c>
      <c r="H15" s="2764">
        <f t="shared" si="1"/>
        <v>1.042403159660882</v>
      </c>
    </row>
    <row r="16" spans="1:9">
      <c r="A16" s="1931">
        <f t="shared" si="0"/>
        <v>9</v>
      </c>
      <c r="B16" s="1048" t="s">
        <v>742</v>
      </c>
      <c r="C16" s="1057">
        <v>0</v>
      </c>
      <c r="D16" s="1057">
        <v>0</v>
      </c>
      <c r="E16" s="1057"/>
      <c r="F16" s="1057">
        <f>'[92]Summary of PP FY 2013-14'!$F$19</f>
        <v>4.9512499999999999</v>
      </c>
      <c r="G16" s="1057">
        <f>'[92]Summary of PP FY 2013-14'!$G$19</f>
        <v>2.5205480299999996</v>
      </c>
      <c r="H16" s="2764">
        <f t="shared" si="1"/>
        <v>5.0907306841706639</v>
      </c>
    </row>
    <row r="17" spans="1:8">
      <c r="A17" s="1931">
        <f t="shared" si="0"/>
        <v>10</v>
      </c>
      <c r="B17" s="1048" t="s">
        <v>618</v>
      </c>
      <c r="C17" s="1057">
        <v>0</v>
      </c>
      <c r="D17" s="1057">
        <v>341.57</v>
      </c>
      <c r="E17" s="1057"/>
      <c r="F17" s="1057"/>
      <c r="G17" s="1057">
        <f>'[91]Summary of PP FY 2013-14'!G19</f>
        <v>341.52</v>
      </c>
      <c r="H17" s="2764"/>
    </row>
    <row r="18" spans="1:8">
      <c r="A18" s="1931">
        <f t="shared" si="0"/>
        <v>11</v>
      </c>
      <c r="B18" s="1048" t="s">
        <v>743</v>
      </c>
      <c r="C18" s="1057">
        <v>0</v>
      </c>
      <c r="D18" s="1057">
        <v>1.27</v>
      </c>
      <c r="E18" s="1057"/>
      <c r="F18" s="1057"/>
      <c r="G18" s="1057">
        <f>'[91]Summary of PP FY 2013-14'!G20</f>
        <v>1.2721999999999998</v>
      </c>
      <c r="H18" s="2764"/>
    </row>
    <row r="19" spans="1:8">
      <c r="A19" s="1931">
        <f t="shared" si="0"/>
        <v>12</v>
      </c>
      <c r="B19" s="1048" t="s">
        <v>744</v>
      </c>
      <c r="C19" s="1057">
        <v>0</v>
      </c>
      <c r="D19" s="1057">
        <v>109.33</v>
      </c>
      <c r="E19" s="1057"/>
      <c r="F19" s="1057"/>
      <c r="G19" s="1057">
        <f>'[91]Summary of PP FY 2013-14'!G21</f>
        <v>113.27043519999999</v>
      </c>
      <c r="H19" s="2764"/>
    </row>
    <row r="20" spans="1:8">
      <c r="A20" s="1931">
        <f t="shared" si="0"/>
        <v>13</v>
      </c>
      <c r="B20" s="1048" t="s">
        <v>3002</v>
      </c>
      <c r="C20" s="1057">
        <v>0</v>
      </c>
      <c r="D20" s="1057">
        <v>0</v>
      </c>
      <c r="E20" s="1057"/>
      <c r="F20" s="1057"/>
      <c r="G20" s="1057">
        <v>-5.05</v>
      </c>
      <c r="H20" s="2764"/>
    </row>
    <row r="21" spans="1:8" ht="31.5">
      <c r="A21" s="1931">
        <f t="shared" si="0"/>
        <v>14</v>
      </c>
      <c r="B21" s="1048" t="s">
        <v>2215</v>
      </c>
      <c r="C21" s="1057"/>
      <c r="D21" s="1057"/>
      <c r="E21" s="1057"/>
      <c r="F21" s="1057"/>
      <c r="G21" s="1057">
        <v>26.12</v>
      </c>
      <c r="H21" s="2764"/>
    </row>
    <row r="22" spans="1:8">
      <c r="A22" s="1931">
        <f t="shared" si="0"/>
        <v>15</v>
      </c>
      <c r="B22" s="1049" t="s">
        <v>47</v>
      </c>
      <c r="C22" s="2765">
        <f>SUM(C8:C21)</f>
        <v>5340.8499999999995</v>
      </c>
      <c r="D22" s="2765">
        <f>SUM(D8:D21)</f>
        <v>2987.39</v>
      </c>
      <c r="E22" s="2765">
        <f>D22/C22*10</f>
        <v>5.5934729490624155</v>
      </c>
      <c r="F22" s="2765">
        <f>SUM(F8:F21)</f>
        <v>4822.0386625151432</v>
      </c>
      <c r="G22" s="2765">
        <f>SUM(G8:G21)</f>
        <v>2627.3633440730828</v>
      </c>
      <c r="H22" s="2766">
        <f>G22/F22*10</f>
        <v>5.448656736200177</v>
      </c>
    </row>
    <row r="23" spans="1:8" s="261" customFormat="1">
      <c r="A23" s="1931">
        <f t="shared" si="0"/>
        <v>16</v>
      </c>
      <c r="B23" s="1048" t="s">
        <v>250</v>
      </c>
      <c r="C23" s="1057"/>
      <c r="D23" s="1057">
        <f>D22/C22*10</f>
        <v>5.5934729490624155</v>
      </c>
      <c r="E23" s="1057"/>
      <c r="F23" s="1057"/>
      <c r="G23" s="1057">
        <f>G22/F22*10</f>
        <v>5.448656736200177</v>
      </c>
      <c r="H23" s="2764"/>
    </row>
    <row r="24" spans="1:8">
      <c r="A24" s="1931">
        <f t="shared" si="0"/>
        <v>17</v>
      </c>
      <c r="B24" s="1048" t="s">
        <v>2216</v>
      </c>
      <c r="C24" s="2764"/>
      <c r="D24" s="2764">
        <v>304.14999999999998</v>
      </c>
      <c r="E24" s="2764"/>
      <c r="F24" s="2764"/>
      <c r="G24" s="2764">
        <f>D24</f>
        <v>304.14999999999998</v>
      </c>
      <c r="H24" s="2764"/>
    </row>
    <row r="25" spans="1:8">
      <c r="A25" s="1931">
        <f t="shared" si="0"/>
        <v>18</v>
      </c>
      <c r="B25" s="1049" t="s">
        <v>47</v>
      </c>
      <c r="C25" s="2764">
        <f>C22</f>
        <v>5340.8499999999995</v>
      </c>
      <c r="D25" s="2764">
        <f>D22+D24</f>
        <v>3291.54</v>
      </c>
      <c r="E25" s="2764">
        <f>D25/C25*10</f>
        <v>6.1629515901026997</v>
      </c>
      <c r="F25" s="2764">
        <f>F22</f>
        <v>4822.0386625151432</v>
      </c>
      <c r="G25" s="2764">
        <f>G22+G24</f>
        <v>2931.5133440730829</v>
      </c>
      <c r="H25" s="2764">
        <f>G25/F25*10</f>
        <v>6.0794065523813634</v>
      </c>
    </row>
    <row r="26" spans="1:8" s="261" customFormat="1">
      <c r="A26" s="1931">
        <f t="shared" si="0"/>
        <v>19</v>
      </c>
      <c r="B26" s="1048" t="s">
        <v>250</v>
      </c>
      <c r="C26" s="1057"/>
      <c r="D26" s="1057">
        <f>D25/C25*10</f>
        <v>6.1629515901026997</v>
      </c>
      <c r="E26" s="1057"/>
      <c r="F26" s="1057"/>
      <c r="G26" s="1057">
        <f>G25/F25*10</f>
        <v>6.0794065523813634</v>
      </c>
      <c r="H26" s="2764"/>
    </row>
    <row r="28" spans="1:8">
      <c r="B28" s="255"/>
      <c r="C28" s="612"/>
      <c r="D28" s="612"/>
      <c r="E28" s="612"/>
      <c r="F28" s="4164"/>
      <c r="G28" s="612"/>
      <c r="H28" s="612"/>
    </row>
    <row r="29" spans="1:8">
      <c r="B29" s="5508"/>
      <c r="C29" s="5508"/>
      <c r="D29" s="5508"/>
      <c r="E29" s="5508"/>
      <c r="F29" s="5508"/>
      <c r="G29" s="5508"/>
      <c r="H29" s="5508"/>
    </row>
    <row r="30" spans="1:8" s="261" customFormat="1">
      <c r="B30" s="5508"/>
      <c r="C30" s="5508"/>
      <c r="D30" s="5508"/>
      <c r="E30" s="5508"/>
      <c r="F30" s="5508"/>
      <c r="G30" s="5508"/>
      <c r="H30" s="5508"/>
    </row>
    <row r="31" spans="1:8" s="261" customFormat="1">
      <c r="B31" s="5493"/>
      <c r="C31" s="5493"/>
      <c r="D31" s="5493"/>
      <c r="E31" s="5493"/>
      <c r="F31" s="5493"/>
      <c r="G31" s="5493"/>
      <c r="H31" s="5493"/>
    </row>
    <row r="32" spans="1:8" s="261" customFormat="1">
      <c r="B32" s="5508"/>
      <c r="C32" s="5508"/>
      <c r="D32" s="5508"/>
      <c r="E32" s="5508"/>
      <c r="F32" s="5508"/>
      <c r="G32" s="5508"/>
      <c r="H32" s="5508"/>
    </row>
    <row r="33" spans="2:12" s="261" customFormat="1">
      <c r="B33" s="5493"/>
      <c r="C33" s="5493"/>
      <c r="D33" s="5493"/>
      <c r="E33" s="5493"/>
      <c r="F33" s="5493"/>
      <c r="G33" s="5493"/>
      <c r="H33" s="5493"/>
      <c r="I33" s="1050"/>
      <c r="J33" s="1050"/>
      <c r="K33" s="1050"/>
      <c r="L33" s="1050"/>
    </row>
    <row r="34" spans="2:12" s="261" customFormat="1">
      <c r="B34" s="5504"/>
      <c r="C34" s="5504"/>
      <c r="D34" s="5504"/>
      <c r="E34" s="5504"/>
      <c r="F34" s="5504"/>
      <c r="G34" s="5504"/>
      <c r="H34" s="5504"/>
    </row>
  </sheetData>
  <mergeCells count="16">
    <mergeCell ref="G1:H1"/>
    <mergeCell ref="G2:H2"/>
    <mergeCell ref="B5:B7"/>
    <mergeCell ref="C5:E5"/>
    <mergeCell ref="F5:H5"/>
    <mergeCell ref="C6:E6"/>
    <mergeCell ref="F6:H6"/>
    <mergeCell ref="B3:G3"/>
    <mergeCell ref="A5:A7"/>
    <mergeCell ref="B34:H34"/>
    <mergeCell ref="B2:F2"/>
    <mergeCell ref="B29:H29"/>
    <mergeCell ref="B30:H30"/>
    <mergeCell ref="B31:H31"/>
    <mergeCell ref="B32:H32"/>
    <mergeCell ref="B33:H33"/>
  </mergeCells>
  <pageMargins left="1.07" right="0.44" top="0.75" bottom="0.75" header="0.3" footer="0.3"/>
  <pageSetup scale="55" orientation="portrait" r:id="rId1"/>
</worksheet>
</file>

<file path=xl/worksheets/sheet27.xml><?xml version="1.0" encoding="utf-8"?>
<worksheet xmlns="http://schemas.openxmlformats.org/spreadsheetml/2006/main" xmlns:r="http://schemas.openxmlformats.org/officeDocument/2006/relationships">
  <sheetPr>
    <tabColor rgb="FFFF0000"/>
    <pageSetUpPr fitToPage="1"/>
  </sheetPr>
  <dimension ref="A1:BC60"/>
  <sheetViews>
    <sheetView topLeftCell="U3" zoomScale="50" zoomScaleNormal="50" workbookViewId="0">
      <selection activeCell="AN19" sqref="AN19"/>
    </sheetView>
  </sheetViews>
  <sheetFormatPr defaultRowHeight="15.75"/>
  <cols>
    <col min="1" max="1" width="9.140625" style="1068"/>
    <col min="2" max="2" width="32.7109375" style="1068" customWidth="1"/>
    <col min="3" max="41" width="18.42578125" style="1068" customWidth="1"/>
    <col min="42" max="47" width="18.42578125" style="1068" hidden="1" customWidth="1"/>
    <col min="48" max="48" width="9.140625" style="1068"/>
    <col min="49" max="49" width="6.42578125" style="1068" customWidth="1"/>
    <col min="50" max="50" width="16.7109375" style="1068" bestFit="1" customWidth="1"/>
    <col min="51" max="51" width="9.7109375" style="1068" bestFit="1" customWidth="1"/>
    <col min="52" max="53" width="9.140625" style="1068"/>
    <col min="54" max="55" width="9.7109375" style="1068" bestFit="1" customWidth="1"/>
    <col min="56" max="16384" width="9.140625" style="1068"/>
  </cols>
  <sheetData>
    <row r="1" spans="1:55" s="5123" customFormat="1">
      <c r="B1" s="5124"/>
    </row>
    <row r="2" spans="1:55" s="5123" customFormat="1">
      <c r="B2" s="5088"/>
    </row>
    <row r="3" spans="1:55" s="5123" customFormat="1">
      <c r="B3" s="5088"/>
      <c r="AO3" s="5522" t="s">
        <v>748</v>
      </c>
      <c r="AP3" s="5522"/>
    </row>
    <row r="4" spans="1:55" s="5123" customFormat="1">
      <c r="C4" s="5125" t="s">
        <v>3414</v>
      </c>
      <c r="D4" s="5125"/>
      <c r="E4" s="5125"/>
      <c r="F4" s="5125"/>
      <c r="G4" s="5125"/>
      <c r="H4" s="5125"/>
      <c r="I4" s="5125"/>
      <c r="J4" s="5125"/>
      <c r="K4" s="5125"/>
      <c r="L4" s="5125"/>
      <c r="M4" s="5125"/>
      <c r="N4" s="5125"/>
      <c r="O4" s="5125"/>
      <c r="P4" s="5125"/>
      <c r="Q4" s="5125"/>
      <c r="R4" s="5125"/>
      <c r="S4" s="5125"/>
      <c r="T4" s="5125"/>
      <c r="U4" s="5125"/>
      <c r="V4" s="5125"/>
      <c r="W4" s="5125"/>
      <c r="X4" s="5125"/>
      <c r="Y4" s="5125"/>
      <c r="Z4" s="5125"/>
      <c r="AA4" s="5125"/>
      <c r="AB4" s="5125"/>
      <c r="AC4" s="5125"/>
      <c r="AD4" s="5125"/>
      <c r="AE4" s="5125"/>
      <c r="AF4" s="5125"/>
      <c r="AG4" s="5125"/>
      <c r="AH4" s="5125"/>
      <c r="AI4" s="5125"/>
      <c r="AJ4" s="5125"/>
      <c r="AK4" s="5125"/>
      <c r="AL4" s="5125"/>
      <c r="AM4" s="5125"/>
      <c r="AN4" s="5125"/>
      <c r="AO4" s="5523" t="s">
        <v>2442</v>
      </c>
      <c r="AP4" s="5523"/>
      <c r="AQ4" s="5126"/>
      <c r="AR4" s="5126"/>
      <c r="AS4" s="5126"/>
      <c r="AT4" s="5126"/>
    </row>
    <row r="5" spans="1:55" s="5123" customFormat="1">
      <c r="C5" s="5088" t="s">
        <v>3402</v>
      </c>
      <c r="D5" s="5088"/>
      <c r="E5" s="5088"/>
      <c r="F5" s="5088"/>
      <c r="G5" s="5088"/>
      <c r="H5" s="5088"/>
      <c r="I5" s="5088"/>
      <c r="J5" s="5088"/>
      <c r="K5" s="5088"/>
      <c r="L5" s="5088"/>
      <c r="M5" s="5088"/>
      <c r="N5" s="5088"/>
      <c r="O5" s="5088"/>
      <c r="P5" s="5088"/>
      <c r="Q5" s="5088"/>
      <c r="R5" s="5088"/>
      <c r="S5" s="5088"/>
      <c r="T5" s="5088"/>
      <c r="U5" s="5088"/>
      <c r="V5" s="5088"/>
      <c r="W5" s="5088"/>
      <c r="X5" s="5088"/>
      <c r="Y5" s="5088"/>
      <c r="Z5" s="5088"/>
      <c r="AA5" s="5088"/>
      <c r="AB5" s="5088"/>
      <c r="AC5" s="5088"/>
      <c r="AD5" s="5088"/>
      <c r="AE5" s="5088"/>
      <c r="AF5" s="5088"/>
      <c r="AG5" s="5088"/>
      <c r="AH5" s="5088"/>
      <c r="AI5" s="5088"/>
      <c r="AJ5" s="5088"/>
      <c r="AK5" s="5088"/>
      <c r="AL5" s="5088"/>
      <c r="AM5" s="5088"/>
      <c r="AN5" s="5088"/>
      <c r="AO5" s="5088"/>
      <c r="AP5" s="259"/>
      <c r="AQ5" s="259"/>
      <c r="AR5" s="259"/>
      <c r="AS5" s="259"/>
      <c r="AT5" s="259"/>
    </row>
    <row r="6" spans="1:55" s="5123" customFormat="1">
      <c r="C6" s="5088" t="s">
        <v>3716</v>
      </c>
      <c r="D6" s="5088"/>
      <c r="E6" s="5088"/>
      <c r="F6" s="5088"/>
      <c r="G6" s="5088"/>
      <c r="H6" s="5088"/>
      <c r="I6" s="5088"/>
      <c r="J6" s="5088"/>
      <c r="K6" s="5088"/>
      <c r="L6" s="5088"/>
      <c r="M6" s="5088"/>
      <c r="N6" s="5088"/>
      <c r="O6" s="5088"/>
      <c r="P6" s="5088"/>
      <c r="Q6" s="5088"/>
      <c r="R6" s="5088"/>
      <c r="S6" s="5088"/>
      <c r="T6" s="5088"/>
      <c r="U6" s="5088"/>
      <c r="V6" s="5088"/>
      <c r="W6" s="5088"/>
      <c r="X6" s="5088"/>
      <c r="Y6" s="5088"/>
      <c r="Z6" s="5088"/>
      <c r="AA6" s="5088"/>
      <c r="AB6" s="5088"/>
      <c r="AC6" s="5088"/>
      <c r="AD6" s="5088"/>
      <c r="AE6" s="5088"/>
      <c r="AF6" s="5088"/>
      <c r="AG6" s="5088"/>
      <c r="AH6" s="5088"/>
      <c r="AI6" s="5088"/>
      <c r="AJ6" s="5088"/>
      <c r="AK6" s="5088"/>
      <c r="AL6" s="5088"/>
      <c r="AM6" s="5088"/>
      <c r="AN6" s="5088"/>
      <c r="AO6" s="5088"/>
      <c r="AP6" s="259"/>
      <c r="AQ6" s="259"/>
      <c r="AR6" s="259"/>
      <c r="AS6" s="259"/>
      <c r="AT6" s="259"/>
      <c r="AU6" s="259"/>
    </row>
    <row r="7" spans="1:55">
      <c r="AT7" s="5524" t="s">
        <v>151</v>
      </c>
      <c r="AU7" s="5524"/>
    </row>
    <row r="8" spans="1:55">
      <c r="A8" s="5525" t="s">
        <v>651</v>
      </c>
      <c r="B8" s="5503" t="s">
        <v>95</v>
      </c>
      <c r="C8" s="5127"/>
      <c r="D8" s="5128"/>
      <c r="E8" s="5128"/>
      <c r="F8" s="5128"/>
      <c r="G8" s="5128"/>
      <c r="H8" s="5128"/>
      <c r="I8" s="5128"/>
      <c r="J8" s="5128"/>
      <c r="K8" s="5128"/>
      <c r="L8" s="5128"/>
      <c r="M8" s="5128"/>
      <c r="N8" s="5128"/>
      <c r="O8" s="5128"/>
      <c r="P8" s="5128"/>
      <c r="Q8" s="5128"/>
      <c r="R8" s="5128"/>
      <c r="S8" s="5128"/>
      <c r="T8" s="5128"/>
      <c r="U8" s="5128"/>
      <c r="V8" s="5128"/>
      <c r="W8" s="5128"/>
      <c r="X8" s="5128"/>
      <c r="Y8" s="5128"/>
      <c r="Z8" s="5128"/>
      <c r="AA8" s="5128"/>
      <c r="AB8" s="5128"/>
      <c r="AC8" s="5128"/>
      <c r="AD8" s="5128"/>
      <c r="AE8" s="5128"/>
      <c r="AF8" s="5128"/>
      <c r="AG8" s="5128"/>
      <c r="AH8" s="5128"/>
      <c r="AI8" s="5128"/>
      <c r="AJ8" s="5128"/>
      <c r="AK8" s="5128"/>
      <c r="AL8" s="5128"/>
      <c r="AM8" s="5128"/>
      <c r="AN8" s="5128"/>
      <c r="AO8" s="5128"/>
      <c r="AP8" s="5128"/>
      <c r="AQ8" s="5128"/>
      <c r="AR8" s="5128"/>
      <c r="AS8" s="5128"/>
      <c r="AT8" s="5128"/>
      <c r="AU8" s="5129"/>
      <c r="AX8" s="5157"/>
    </row>
    <row r="9" spans="1:55" ht="32.25" thickBot="1">
      <c r="A9" s="5525"/>
      <c r="B9" s="5503"/>
      <c r="C9" s="5127" t="s">
        <v>3675</v>
      </c>
      <c r="D9" s="5128"/>
      <c r="E9" s="5128"/>
      <c r="F9" s="5128"/>
      <c r="G9" s="5128"/>
      <c r="H9" s="5128"/>
      <c r="I9" s="5128"/>
      <c r="J9" s="5128"/>
      <c r="K9" s="5128"/>
      <c r="L9" s="5128"/>
      <c r="M9" s="5128"/>
      <c r="N9" s="5128"/>
      <c r="O9" s="5128"/>
      <c r="P9" s="5128"/>
      <c r="Q9" s="5128"/>
      <c r="R9" s="5128"/>
      <c r="S9" s="5128"/>
      <c r="T9" s="5128"/>
      <c r="U9" s="5128"/>
      <c r="V9" s="5128"/>
      <c r="W9" s="5128"/>
      <c r="X9" s="5128"/>
      <c r="Y9" s="5128"/>
      <c r="Z9" s="5128"/>
      <c r="AA9" s="5128"/>
      <c r="AB9" s="5128"/>
      <c r="AC9" s="5128"/>
      <c r="AD9" s="5128"/>
      <c r="AE9" s="5128"/>
      <c r="AF9" s="5128"/>
      <c r="AG9" s="5128"/>
      <c r="AH9" s="5128"/>
      <c r="AI9" s="5128"/>
      <c r="AJ9" s="5128"/>
      <c r="AK9" s="5128"/>
      <c r="AL9" s="5128"/>
      <c r="AM9" s="5128"/>
      <c r="AN9" s="5128"/>
      <c r="AO9" s="5129"/>
      <c r="AP9" s="5500" t="s">
        <v>2443</v>
      </c>
      <c r="AQ9" s="5501"/>
      <c r="AR9" s="5502"/>
      <c r="AS9" s="5500" t="s">
        <v>2443</v>
      </c>
      <c r="AT9" s="5501"/>
      <c r="AU9" s="5502"/>
    </row>
    <row r="10" spans="1:55" ht="16.5" thickBot="1">
      <c r="A10" s="5525"/>
      <c r="B10" s="5503"/>
      <c r="C10" s="5517" t="s">
        <v>3717</v>
      </c>
      <c r="D10" s="5501"/>
      <c r="E10" s="5502"/>
      <c r="F10" s="5517" t="s">
        <v>3718</v>
      </c>
      <c r="G10" s="5501"/>
      <c r="H10" s="5502"/>
      <c r="I10" s="5517" t="s">
        <v>3719</v>
      </c>
      <c r="J10" s="5501"/>
      <c r="K10" s="5502"/>
      <c r="L10" s="5517" t="s">
        <v>3720</v>
      </c>
      <c r="M10" s="5501"/>
      <c r="N10" s="5502"/>
      <c r="O10" s="5517" t="s">
        <v>3721</v>
      </c>
      <c r="P10" s="5501"/>
      <c r="Q10" s="5502"/>
      <c r="R10" s="5517" t="s">
        <v>3722</v>
      </c>
      <c r="S10" s="5501"/>
      <c r="T10" s="5502"/>
      <c r="U10" s="5500" t="s">
        <v>3676</v>
      </c>
      <c r="V10" s="5501"/>
      <c r="W10" s="5502"/>
      <c r="X10" s="5500" t="s">
        <v>3677</v>
      </c>
      <c r="Y10" s="5501"/>
      <c r="Z10" s="5502"/>
      <c r="AA10" s="5500" t="s">
        <v>3678</v>
      </c>
      <c r="AB10" s="5501"/>
      <c r="AC10" s="5502"/>
      <c r="AD10" s="5500" t="s">
        <v>3679</v>
      </c>
      <c r="AE10" s="5501"/>
      <c r="AF10" s="5502"/>
      <c r="AG10" s="5500" t="s">
        <v>3680</v>
      </c>
      <c r="AH10" s="5501"/>
      <c r="AI10" s="5502"/>
      <c r="AJ10" s="5500" t="s">
        <v>3681</v>
      </c>
      <c r="AK10" s="5501"/>
      <c r="AL10" s="5502"/>
      <c r="AM10" s="5500" t="s">
        <v>3726</v>
      </c>
      <c r="AN10" s="5501"/>
      <c r="AO10" s="5502"/>
      <c r="AP10" s="5500" t="s">
        <v>755</v>
      </c>
      <c r="AQ10" s="5501"/>
      <c r="AR10" s="5502"/>
      <c r="AS10" s="5500" t="s">
        <v>3399</v>
      </c>
      <c r="AT10" s="5501"/>
      <c r="AU10" s="5502"/>
      <c r="AW10" s="5514" t="s">
        <v>575</v>
      </c>
      <c r="AX10" s="5514" t="s">
        <v>3611</v>
      </c>
      <c r="AY10" s="5518" t="s">
        <v>2442</v>
      </c>
      <c r="AZ10" s="5519"/>
      <c r="BA10" s="5519"/>
      <c r="BB10" s="5519"/>
      <c r="BC10" s="5520"/>
    </row>
    <row r="11" spans="1:55" ht="45">
      <c r="A11" s="5525"/>
      <c r="B11" s="5503"/>
      <c r="C11" s="5092" t="s">
        <v>83</v>
      </c>
      <c r="D11" s="5092" t="s">
        <v>151</v>
      </c>
      <c r="E11" s="5092" t="s">
        <v>244</v>
      </c>
      <c r="F11" s="5092" t="s">
        <v>83</v>
      </c>
      <c r="G11" s="5092" t="s">
        <v>151</v>
      </c>
      <c r="H11" s="5092" t="s">
        <v>244</v>
      </c>
      <c r="I11" s="5092" t="s">
        <v>83</v>
      </c>
      <c r="J11" s="5092" t="s">
        <v>151</v>
      </c>
      <c r="K11" s="5092" t="s">
        <v>244</v>
      </c>
      <c r="L11" s="5092" t="s">
        <v>83</v>
      </c>
      <c r="M11" s="5092" t="s">
        <v>151</v>
      </c>
      <c r="N11" s="5092" t="s">
        <v>244</v>
      </c>
      <c r="O11" s="5092" t="s">
        <v>83</v>
      </c>
      <c r="P11" s="5092" t="s">
        <v>151</v>
      </c>
      <c r="Q11" s="5092" t="s">
        <v>244</v>
      </c>
      <c r="R11" s="5092" t="s">
        <v>83</v>
      </c>
      <c r="S11" s="5092" t="s">
        <v>151</v>
      </c>
      <c r="T11" s="5092" t="s">
        <v>244</v>
      </c>
      <c r="U11" s="5092" t="s">
        <v>83</v>
      </c>
      <c r="V11" s="5092" t="s">
        <v>151</v>
      </c>
      <c r="W11" s="5092" t="s">
        <v>244</v>
      </c>
      <c r="X11" s="5092" t="s">
        <v>83</v>
      </c>
      <c r="Y11" s="5092" t="s">
        <v>151</v>
      </c>
      <c r="Z11" s="5092" t="s">
        <v>244</v>
      </c>
      <c r="AA11" s="5092" t="s">
        <v>83</v>
      </c>
      <c r="AB11" s="5092" t="s">
        <v>151</v>
      </c>
      <c r="AC11" s="5092" t="s">
        <v>244</v>
      </c>
      <c r="AD11" s="5092" t="s">
        <v>83</v>
      </c>
      <c r="AE11" s="5092" t="s">
        <v>151</v>
      </c>
      <c r="AF11" s="5092" t="s">
        <v>244</v>
      </c>
      <c r="AG11" s="5092" t="s">
        <v>83</v>
      </c>
      <c r="AH11" s="5092" t="s">
        <v>151</v>
      </c>
      <c r="AI11" s="5092" t="s">
        <v>244</v>
      </c>
      <c r="AJ11" s="5092" t="s">
        <v>83</v>
      </c>
      <c r="AK11" s="5092" t="s">
        <v>151</v>
      </c>
      <c r="AL11" s="5092" t="s">
        <v>244</v>
      </c>
      <c r="AM11" s="5092" t="s">
        <v>83</v>
      </c>
      <c r="AN11" s="5091" t="s">
        <v>151</v>
      </c>
      <c r="AO11" s="5092" t="s">
        <v>244</v>
      </c>
      <c r="AP11" s="5092" t="s">
        <v>83</v>
      </c>
      <c r="AQ11" s="5092" t="s">
        <v>151</v>
      </c>
      <c r="AR11" s="5092" t="s">
        <v>244</v>
      </c>
      <c r="AS11" s="5092" t="s">
        <v>83</v>
      </c>
      <c r="AT11" s="5092" t="s">
        <v>151</v>
      </c>
      <c r="AU11" s="5092" t="s">
        <v>244</v>
      </c>
      <c r="AW11" s="5515"/>
      <c r="AX11" s="5515"/>
      <c r="AY11" s="5514" t="s">
        <v>3612</v>
      </c>
      <c r="AZ11" s="5130" t="s">
        <v>3694</v>
      </c>
      <c r="BA11" s="5514" t="s">
        <v>3613</v>
      </c>
      <c r="BB11" s="5130" t="s">
        <v>3696</v>
      </c>
      <c r="BC11" s="5514" t="s">
        <v>3614</v>
      </c>
    </row>
    <row r="12" spans="1:55" s="5135" customFormat="1" ht="30.75" thickBot="1">
      <c r="A12" s="5131">
        <v>1</v>
      </c>
      <c r="B12" s="4972" t="s">
        <v>245</v>
      </c>
      <c r="C12" s="5132">
        <v>310.05963601000002</v>
      </c>
      <c r="D12" s="5132">
        <f>159.660699812079</f>
        <v>159.660699812079</v>
      </c>
      <c r="E12" s="5132">
        <f>D12/C12*10</f>
        <v>5.1493545521329853</v>
      </c>
      <c r="F12" s="5132">
        <v>322.4533323</v>
      </c>
      <c r="G12" s="5132">
        <f>171.246743433191</f>
        <v>171.246743433191</v>
      </c>
      <c r="H12" s="5132">
        <f>G12/F12*10</f>
        <v>5.3107450374824676</v>
      </c>
      <c r="I12" s="5132">
        <f>'[93]PP FY2014-15 (As on 26-05-2015)'!E12</f>
        <v>315.42976723999999</v>
      </c>
      <c r="J12" s="5132">
        <f>'[93]PP FY2014-15 (As on 26-05-2015)'!O12+'[93]PP FY2014-15 (As on 26-05-2015)'!P12+'[93]PP FY2014-15 (As on 26-05-2015)'!Q12+'[93]PP FY2014-15 (As on 26-05-2015)'!R12+'[93]PP FY2014-15 (As on 26-05-2015)'!S12+'[93]PP FY2014-15 (As on 26-05-2015)'!T12+'[93]PP FY2014-15 (As on 26-05-2015)'!X12+'[93]PP FY2014-15 (As on 26-05-2015)'!Y12+'[93]PP FY2014-15 (As on 26-05-2015)'!Z12+'[93]PP FY2014-15 (As on 26-05-2015)'!AA12</f>
        <v>175.49832481387475</v>
      </c>
      <c r="K12" s="5132">
        <f>J12/I12*10</f>
        <v>5.5637844947063577</v>
      </c>
      <c r="L12" s="5132">
        <f>'[93]PP FY2014-15 (As on 26-05-2015)'!E13</f>
        <v>274.62605263</v>
      </c>
      <c r="M12" s="5132">
        <f>'[93]PP FY2014-15 (As on 26-05-2015)'!O13+'[93]PP FY2014-15 (As on 26-05-2015)'!P13+'[93]PP FY2014-15 (As on 26-05-2015)'!Q13+'[93]PP FY2014-15 (As on 26-05-2015)'!R13+'[93]PP FY2014-15 (As on 26-05-2015)'!S13+'[93]PP FY2014-15 (As on 26-05-2015)'!T13+'[93]PP FY2014-15 (As on 26-05-2015)'!X13+'[93]PP FY2014-15 (As on 26-05-2015)'!Y13+'[93]PP FY2014-15 (As on 26-05-2015)'!Z13+'[93]PP FY2014-15 (As on 26-05-2015)'!AA13</f>
        <v>146.96366164477999</v>
      </c>
      <c r="N12" s="5132">
        <f>M12/L12*10</f>
        <v>5.3514100442168235</v>
      </c>
      <c r="O12" s="5132">
        <f>'[93]PP FY2014-15 (As on 26-05-2015)'!E14</f>
        <v>300.62456213590002</v>
      </c>
      <c r="P12" s="5132">
        <f>'[93]PP FY2014-15 (As on 26-05-2015)'!O14+'[93]PP FY2014-15 (As on 26-05-2015)'!P14+'[93]PP FY2014-15 (As on 26-05-2015)'!Q14+'[93]PP FY2014-15 (As on 26-05-2015)'!R14+'[93]PP FY2014-15 (As on 26-05-2015)'!S14+'[93]PP FY2014-15 (As on 26-05-2015)'!T14+'[93]PP FY2014-15 (As on 26-05-2015)'!X14+'[93]PP FY2014-15 (As on 26-05-2015)'!Y14+'[93]PP FY2014-15 (As on 26-05-2015)'!Z14+'[93]PP FY2014-15 (As on 26-05-2015)'!AA14</f>
        <v>133.69962362378541</v>
      </c>
      <c r="Q12" s="5132">
        <f>P12/O12*10</f>
        <v>4.4473952052974735</v>
      </c>
      <c r="R12" s="5132">
        <f>'[93]PP FY2014-15 (As on 26-05-2015)'!E15</f>
        <v>290.09088903000003</v>
      </c>
      <c r="S12" s="5132">
        <f>'[93]PP FY2014-15 (As on 26-05-2015)'!O15+'[93]PP FY2014-15 (As on 26-05-2015)'!P15+'[93]PP FY2014-15 (As on 26-05-2015)'!Q15+'[93]PP FY2014-15 (As on 26-05-2015)'!R15+'[93]PP FY2014-15 (As on 26-05-2015)'!S15+'[93]PP FY2014-15 (As on 26-05-2015)'!T15+'[93]PP FY2014-15 (As on 26-05-2015)'!X15+'[93]PP FY2014-15 (As on 26-05-2015)'!Y15+'[93]PP FY2014-15 (As on 26-05-2015)'!Z15+'[93]PP FY2014-15 (As on 26-05-2015)'!AA15</f>
        <v>145.61541379296628</v>
      </c>
      <c r="T12" s="5132">
        <f>S12/R12*10</f>
        <v>5.0196479551588862</v>
      </c>
      <c r="U12" s="5132">
        <f>'[93]PP FY2014-15 (As on 26-05-2015)'!E18</f>
        <v>314.55044937000002</v>
      </c>
      <c r="V12" s="5132">
        <f>'[93]PP FY2014-15 (As on 26-05-2015)'!O18+'[93]PP FY2014-15 (As on 26-05-2015)'!P18+'[93]PP FY2014-15 (As on 26-05-2015)'!Q18+'[93]PP FY2014-15 (As on 26-05-2015)'!R18+'[93]PP FY2014-15 (As on 26-05-2015)'!S18+'[93]PP FY2014-15 (As on 26-05-2015)'!T18+'[93]PP FY2014-15 (As on 26-05-2015)'!X18+'[93]PP FY2014-15 (As on 26-05-2015)'!Y18+'[93]PP FY2014-15 (As on 26-05-2015)'!Z18+'[93]PP FY2014-15 (As on 26-05-2015)'!AA18</f>
        <v>166.39909398311516</v>
      </c>
      <c r="W12" s="5132">
        <f>V12/U12*10</f>
        <v>5.2900606028822716</v>
      </c>
      <c r="X12" s="5132">
        <f>'[93]PP FY2014-15 (As on 26-05-2015)'!E19</f>
        <v>292.25533359999997</v>
      </c>
      <c r="Y12" s="5132">
        <f>'[93]PP FY2014-15 (As on 26-05-2015)'!O19+'[93]PP FY2014-15 (As on 26-05-2015)'!P19+'[93]PP FY2014-15 (As on 26-05-2015)'!Q19+'[93]PP FY2014-15 (As on 26-05-2015)'!R19+'[93]PP FY2014-15 (As on 26-05-2015)'!S19+'[93]PP FY2014-15 (As on 26-05-2015)'!T19+'[93]PP FY2014-15 (As on 26-05-2015)'!X19+'[93]PP FY2014-15 (As on 26-05-2015)'!Y19+'[93]PP FY2014-15 (As on 26-05-2015)'!Z19+'[93]PP FY2014-15 (As on 26-05-2015)'!AA19</f>
        <v>151.11290404320198</v>
      </c>
      <c r="Z12" s="5132">
        <f>Y12/X12*10</f>
        <v>5.1705781441794016</v>
      </c>
      <c r="AA12" s="5132">
        <f>'[93]PP FY2014-15 (As on 26-05-2015)'!E20</f>
        <v>277.71656239999999</v>
      </c>
      <c r="AB12" s="5132">
        <f>'[93]PP FY2014-15 (As on 26-05-2015)'!O20+'[93]PP FY2014-15 (As on 26-05-2015)'!P20+'[93]PP FY2014-15 (As on 26-05-2015)'!Q20+'[93]PP FY2014-15 (As on 26-05-2015)'!R20+'[93]PP FY2014-15 (As on 26-05-2015)'!S20+'[93]PP FY2014-15 (As on 26-05-2015)'!T20+'[93]PP FY2014-15 (As on 26-05-2015)'!X20+'[93]PP FY2014-15 (As on 26-05-2015)'!Y20+'[93]PP FY2014-15 (As on 26-05-2015)'!Z20+'[93]PP FY2014-15 (As on 26-05-2015)'!AA20</f>
        <v>124.80977302270655</v>
      </c>
      <c r="AC12" s="5132">
        <f>AB12/AA12*10</f>
        <v>4.4941422270286084</v>
      </c>
      <c r="AD12" s="5132">
        <f>'[93]PP FY2014-15 (As on 26-05-2015)'!E21</f>
        <v>193.02750713</v>
      </c>
      <c r="AE12" s="5132">
        <f>'[93]PP FY2014-15 (As on 26-05-2015)'!O21+'[93]PP FY2014-15 (As on 26-05-2015)'!P21+'[93]PP FY2014-15 (As on 26-05-2015)'!Q21+'[93]PP FY2014-15 (As on 26-05-2015)'!R21+'[93]PP FY2014-15 (As on 26-05-2015)'!S21+'[93]PP FY2014-15 (As on 26-05-2015)'!T21+'[93]PP FY2014-15 (As on 26-05-2015)'!X21+'[93]PP FY2014-15 (As on 26-05-2015)'!Y21+'[93]PP FY2014-15 (As on 26-05-2015)'!Z21+'[93]PP FY2014-15 (As on 26-05-2015)'!AA21</f>
        <v>107.10833513686944</v>
      </c>
      <c r="AF12" s="5132">
        <f>AE12/AD12*10</f>
        <v>5.548863824093953</v>
      </c>
      <c r="AG12" s="5132">
        <f>'[93]PP FY2014-15 (As on 26-05-2015)'!E22</f>
        <v>205.06979440000001</v>
      </c>
      <c r="AH12" s="5132">
        <f>'[93]PP FY2014-15 (As on 26-05-2015)'!O22+'[93]PP FY2014-15 (As on 26-05-2015)'!P22+'[93]PP FY2014-15 (As on 26-05-2015)'!Q22+'[93]PP FY2014-15 (As on 26-05-2015)'!R22+'[93]PP FY2014-15 (As on 26-05-2015)'!S22+'[93]PP FY2014-15 (As on 26-05-2015)'!T22+'[93]PP FY2014-15 (As on 26-05-2015)'!X22+'[93]PP FY2014-15 (As on 26-05-2015)'!Y22+'[93]PP FY2014-15 (As on 26-05-2015)'!Z22+'[93]PP FY2014-15 (As on 26-05-2015)'!AA22</f>
        <v>111.62468171706256</v>
      </c>
      <c r="AI12" s="5132">
        <f>AH12/AG12*10</f>
        <v>5.443253212578564</v>
      </c>
      <c r="AJ12" s="5132">
        <f>'[93]PP FY2014-15 (As on 26-05-2015)'!E23</f>
        <v>315.11472176000001</v>
      </c>
      <c r="AK12" s="5132">
        <f>'[93]PP FY2014-15 (As on 26-05-2015)'!O23+'[93]PP FY2014-15 (As on 26-05-2015)'!P23+'[93]PP FY2014-15 (As on 26-05-2015)'!Q23+'[93]PP FY2014-15 (As on 26-05-2015)'!R23+'[93]PP FY2014-15 (As on 26-05-2015)'!S23+'[93]PP FY2014-15 (As on 26-05-2015)'!T23+'[93]PP FY2014-15 (As on 26-05-2015)'!X23+'[93]PP FY2014-15 (As on 26-05-2015)'!Y23+'[93]PP FY2014-15 (As on 26-05-2015)'!Z23+'[93]PP FY2014-15 (As on 26-05-2015)'!AA23</f>
        <v>145.02150047756999</v>
      </c>
      <c r="AL12" s="5132">
        <f>AK12/AJ12*10</f>
        <v>4.6021810617919119</v>
      </c>
      <c r="AM12" s="5132">
        <f>C12+F12+I12+L12+O12+R12+U12+X12+AA12+AD12+AG12+AJ12</f>
        <v>3411.0186080058998</v>
      </c>
      <c r="AN12" s="5133">
        <f>D12+G12+J12+M12+P12+S12+V12+Y12+AB12+AE12+AH12+AK12-(9.3723333*7)-(8.81)</f>
        <v>1664.3444224012023</v>
      </c>
      <c r="AO12" s="5132">
        <f>AN12/AM12*10</f>
        <v>4.8793179213237634</v>
      </c>
      <c r="AP12" s="5131">
        <v>5589.97</v>
      </c>
      <c r="AQ12" s="5131">
        <v>2542.3000000000002</v>
      </c>
      <c r="AR12" s="5134">
        <f>AQ12/AP12*10</f>
        <v>4.5479671626144684</v>
      </c>
      <c r="AS12" s="5132">
        <f>'[94]Power Purchase Projections'!F26</f>
        <v>3751.4848810000003</v>
      </c>
      <c r="AT12" s="5132">
        <f>'[94]Power Purchase Projections'!G26</f>
        <v>1831.2797269415432</v>
      </c>
      <c r="AU12" s="5134">
        <f>AT12/AS12*10</f>
        <v>4.8814796941241969</v>
      </c>
      <c r="AW12" s="5516"/>
      <c r="AX12" s="5516"/>
      <c r="AY12" s="5521"/>
      <c r="AZ12" s="5136" t="s">
        <v>3695</v>
      </c>
      <c r="BA12" s="5521"/>
      <c r="BB12" s="5136" t="s">
        <v>3697</v>
      </c>
      <c r="BC12" s="5521"/>
    </row>
    <row r="13" spans="1:55" s="5135" customFormat="1" ht="16.5" thickBot="1">
      <c r="A13" s="5131">
        <f>A12+1</f>
        <v>2</v>
      </c>
      <c r="B13" s="4972" t="s">
        <v>246</v>
      </c>
      <c r="C13" s="5132"/>
      <c r="D13" s="5132"/>
      <c r="E13" s="5132"/>
      <c r="F13" s="5132"/>
      <c r="G13" s="5132"/>
      <c r="H13" s="5132"/>
      <c r="I13" s="5132"/>
      <c r="J13" s="5132"/>
      <c r="K13" s="5132"/>
      <c r="L13" s="5132"/>
      <c r="M13" s="5132"/>
      <c r="N13" s="5132"/>
      <c r="O13" s="5132"/>
      <c r="P13" s="5132"/>
      <c r="Q13" s="5132"/>
      <c r="R13" s="5132"/>
      <c r="S13" s="5132"/>
      <c r="T13" s="5132"/>
      <c r="U13" s="5132"/>
      <c r="V13" s="5132"/>
      <c r="W13" s="5132"/>
      <c r="X13" s="5132"/>
      <c r="Y13" s="5132"/>
      <c r="Z13" s="5132"/>
      <c r="AA13" s="5132"/>
      <c r="AB13" s="5132"/>
      <c r="AC13" s="5132"/>
      <c r="AD13" s="5132"/>
      <c r="AE13" s="5132"/>
      <c r="AF13" s="5132"/>
      <c r="AG13" s="5132"/>
      <c r="AH13" s="5132"/>
      <c r="AI13" s="5132"/>
      <c r="AJ13" s="5132"/>
      <c r="AK13" s="5132"/>
      <c r="AL13" s="5132"/>
      <c r="AM13" s="5132"/>
      <c r="AN13" s="5133"/>
      <c r="AO13" s="5132"/>
      <c r="AP13" s="5131">
        <v>283.82</v>
      </c>
      <c r="AQ13" s="5131">
        <v>150.13999999999999</v>
      </c>
      <c r="AR13" s="5134">
        <f t="shared" ref="AR13:AR18" si="0">AQ13/AP13*10</f>
        <v>5.2899725177929664</v>
      </c>
      <c r="AS13" s="5132">
        <f>'[94]Power Purchase Projections'!F28</f>
        <v>0</v>
      </c>
      <c r="AT13" s="5132">
        <f>'[94]Power Purchase Projections'!G28</f>
        <v>0</v>
      </c>
      <c r="AU13" s="5134"/>
      <c r="AW13" s="5137">
        <v>1</v>
      </c>
      <c r="AX13" s="5138" t="s">
        <v>3616</v>
      </c>
      <c r="AY13" s="5139">
        <f>'[95]Table 85_Total TPC-G FY 2014-15'!D6</f>
        <v>-1.3231874215000001</v>
      </c>
      <c r="AZ13" s="5139">
        <v>0</v>
      </c>
      <c r="BA13" s="5139"/>
      <c r="BB13" s="5139">
        <v>0</v>
      </c>
      <c r="BC13" s="5139">
        <f>AZ13+BB13</f>
        <v>0</v>
      </c>
    </row>
    <row r="14" spans="1:55" s="5135" customFormat="1" ht="16.5" thickBot="1">
      <c r="A14" s="5131">
        <f t="shared" ref="A14:A33" si="1">A13+1</f>
        <v>3</v>
      </c>
      <c r="B14" s="4972" t="s">
        <v>97</v>
      </c>
      <c r="C14" s="5132">
        <f>'[93]RPS Data'!C13</f>
        <v>4.7751256699999995</v>
      </c>
      <c r="D14" s="5132">
        <f>'[93]RPS Data'!D13</f>
        <v>3.9490387502300002</v>
      </c>
      <c r="E14" s="5132">
        <f t="shared" ref="E14:E15" si="2">D14/C14*10</f>
        <v>8.2700205672911657</v>
      </c>
      <c r="F14" s="5132">
        <f>'[93]RPS Data'!F13</f>
        <v>4.9400600700000004</v>
      </c>
      <c r="G14" s="5132">
        <f>'[93]RPS Data'!G13</f>
        <v>4.0833039738300005</v>
      </c>
      <c r="H14" s="5132">
        <f t="shared" ref="H14:H15" si="3">G14/F14*10</f>
        <v>8.2656970076681677</v>
      </c>
      <c r="I14" s="5132">
        <f>'[93]RPS Data'!I13</f>
        <v>4.36839069</v>
      </c>
      <c r="J14" s="5132">
        <f>'[93]RPS Data'!J13</f>
        <v>3.6029864006099999</v>
      </c>
      <c r="K14" s="5132">
        <f t="shared" ref="K14:K15" si="4">J14/I14*10</f>
        <v>8.2478575207521097</v>
      </c>
      <c r="L14" s="5132">
        <f>'[93]RPS Data'!L13</f>
        <v>3.49582909</v>
      </c>
      <c r="M14" s="5132">
        <f>'[93]RPS Data'!M13</f>
        <v>2.8810236702100003</v>
      </c>
      <c r="N14" s="5132">
        <f t="shared" ref="N14:N15" si="5">M14/L14*10</f>
        <v>8.2413172842211235</v>
      </c>
      <c r="O14" s="5132">
        <f>'[93]RPS Data'!O13</f>
        <v>3.8394963999999998</v>
      </c>
      <c r="P14" s="5132">
        <f>'[93]RPS Data'!P13</f>
        <v>3.1691244315999998</v>
      </c>
      <c r="Q14" s="5132">
        <f t="shared" ref="Q14:Q15" si="6">P14/O14*10</f>
        <v>8.2540106864014771</v>
      </c>
      <c r="R14" s="5132">
        <f>'[93]RPS Data'!R13</f>
        <v>4.0804059400000003</v>
      </c>
      <c r="S14" s="5132">
        <f>'[93]RPS Data'!S13</f>
        <v>3.3720187678599998</v>
      </c>
      <c r="T14" s="5132">
        <f t="shared" ref="T14:T15" si="7">S14/R14*10</f>
        <v>8.2639296615179401</v>
      </c>
      <c r="U14" s="5132">
        <f>'[93]RPS Data'!U13</f>
        <v>4.6353376399999995</v>
      </c>
      <c r="V14" s="5132">
        <f>'[93]RPS Data'!V13</f>
        <v>3.8263028351599999</v>
      </c>
      <c r="W14" s="5132">
        <f t="shared" ref="W14:W15" si="8">V14/U14*10</f>
        <v>8.2546367326976426</v>
      </c>
      <c r="X14" s="5132">
        <f>'[93]RPS Data'!X13</f>
        <v>4.2778998699999997</v>
      </c>
      <c r="Y14" s="5132">
        <f>'[93]RPS Data'!Y13</f>
        <v>3.53110042003</v>
      </c>
      <c r="Z14" s="5132">
        <f t="shared" ref="Z14:Z15" si="9">Y14/X14*10</f>
        <v>8.2542848765415364</v>
      </c>
      <c r="AA14" s="5132">
        <f>'[93]RPS Data'!AA13</f>
        <v>4.44915577</v>
      </c>
      <c r="AB14" s="5132">
        <f>'[93]RPS Data'!AB13</f>
        <v>3.6661117771300002</v>
      </c>
      <c r="AC14" s="5132">
        <f t="shared" ref="AC14:AC15" si="10">AB14/AA14*10</f>
        <v>8.2400166832774211</v>
      </c>
      <c r="AD14" s="5132">
        <f>'[93]RPS Data'!AD13</f>
        <v>4.5402650099999997</v>
      </c>
      <c r="AE14" s="5132">
        <f>'[93]RPS Data'!AE13</f>
        <v>3.7366898226899998</v>
      </c>
      <c r="AF14" s="5132">
        <f t="shared" ref="AF14:AF15" si="11">AE14/AD14*10</f>
        <v>8.2301139128660683</v>
      </c>
      <c r="AG14" s="5132">
        <f>'[93]RPS Data'!AG13</f>
        <v>4.6275617099999993</v>
      </c>
      <c r="AH14" s="5132">
        <f>'[93]RPS Data'!AH13</f>
        <v>3.7270060749899998</v>
      </c>
      <c r="AI14" s="5132">
        <f t="shared" ref="AI14:AI15" si="12">AH14/AG14*10</f>
        <v>8.0539305763034346</v>
      </c>
      <c r="AJ14" s="5132">
        <f>'[93]RPS Data'!AJ13</f>
        <v>4.9934690000000002</v>
      </c>
      <c r="AK14" s="5132">
        <f>'[93]RPS Data'!AK13</f>
        <v>3.8399779999999999</v>
      </c>
      <c r="AL14" s="5132">
        <v>0</v>
      </c>
      <c r="AM14" s="5132">
        <f t="shared" ref="AM14:AN29" si="13">C14+F14+I14+L14+O14+R14+U14+X14+AA14+AD14+AG14+AJ14</f>
        <v>53.022996859999992</v>
      </c>
      <c r="AN14" s="5133">
        <f t="shared" si="13"/>
        <v>43.384684924340007</v>
      </c>
      <c r="AO14" s="5132">
        <f>AN14/AM14*10</f>
        <v>8.1822393100283204</v>
      </c>
      <c r="AP14" s="5131">
        <v>45</v>
      </c>
      <c r="AQ14" s="5131">
        <v>38.520000000000003</v>
      </c>
      <c r="AR14" s="5134">
        <f t="shared" si="0"/>
        <v>8.56</v>
      </c>
      <c r="AS14" s="5132">
        <f>'[94]Power Purchase Projections'!F27</f>
        <v>32.920000000000009</v>
      </c>
      <c r="AT14" s="5132">
        <f>'[94]Power Purchase Projections'!G27</f>
        <v>28.179520000000007</v>
      </c>
      <c r="AU14" s="5134">
        <f t="shared" ref="AU14:AU18" si="14">AT14/AS14*10</f>
        <v>8.56</v>
      </c>
      <c r="AW14" s="5137">
        <v>2</v>
      </c>
      <c r="AX14" s="5138" t="s">
        <v>3617</v>
      </c>
      <c r="AY14" s="5139">
        <f>'[95]Table 85_Total TPC-G FY 2014-15'!$D7</f>
        <v>1600.4260556452</v>
      </c>
      <c r="AZ14" s="5139">
        <v>205.42</v>
      </c>
      <c r="BA14" s="5139">
        <f>BB14/AY14*10</f>
        <v>3.1212722771454224</v>
      </c>
      <c r="BB14" s="5139">
        <v>499.536547910656</v>
      </c>
      <c r="BC14" s="5139">
        <f t="shared" ref="BC14:BC19" si="15">AZ14+BB14</f>
        <v>704.95654791065601</v>
      </c>
    </row>
    <row r="15" spans="1:55" s="5135" customFormat="1" ht="16.5" thickBot="1">
      <c r="A15" s="5131">
        <f t="shared" si="1"/>
        <v>4</v>
      </c>
      <c r="B15" s="4972" t="s">
        <v>1847</v>
      </c>
      <c r="C15" s="5132">
        <f>'[93]RPS Data'!C14</f>
        <v>16.580703268000001</v>
      </c>
      <c r="D15" s="5132">
        <f>'[93]RPS Data'!D14</f>
        <v>10.725297142800001</v>
      </c>
      <c r="E15" s="5132">
        <f t="shared" si="2"/>
        <v>6.4685417557042557</v>
      </c>
      <c r="F15" s="5132">
        <f>'[93]RPS Data'!F14</f>
        <v>17.021400094999997</v>
      </c>
      <c r="G15" s="5132">
        <f>'[93]RPS Data'!G14</f>
        <v>11.029329965500001</v>
      </c>
      <c r="H15" s="5132">
        <f t="shared" si="3"/>
        <v>6.4796843408550417</v>
      </c>
      <c r="I15" s="5132">
        <f>'[93]RPS Data'!I14</f>
        <v>16.452255082000001</v>
      </c>
      <c r="J15" s="5132">
        <f>'[93]RPS Data'!J14</f>
        <v>10.6696167524</v>
      </c>
      <c r="K15" s="5132">
        <f t="shared" si="4"/>
        <v>6.4852001742140262</v>
      </c>
      <c r="L15" s="5132">
        <f>'[93]RPS Data'!L14</f>
        <v>17.110860217399999</v>
      </c>
      <c r="M15" s="5132">
        <f>'[93]RPS Data'!M14</f>
        <v>11.11362166804</v>
      </c>
      <c r="N15" s="5132">
        <f t="shared" si="5"/>
        <v>6.4950689368256196</v>
      </c>
      <c r="O15" s="5132">
        <f>'[93]RPS Data'!O14</f>
        <v>18.144879846000002</v>
      </c>
      <c r="P15" s="5132">
        <f>'[93]RPS Data'!P14</f>
        <v>11.732528375599999</v>
      </c>
      <c r="Q15" s="5132">
        <f t="shared" si="6"/>
        <v>6.4660270418855426</v>
      </c>
      <c r="R15" s="5132">
        <f>'[93]RPS Data'!R14</f>
        <v>15.995972910299999</v>
      </c>
      <c r="S15" s="5132">
        <f>'[93]RPS Data'!S14</f>
        <v>10.352048977380001</v>
      </c>
      <c r="T15" s="5132">
        <f t="shared" si="7"/>
        <v>6.4716594829403542</v>
      </c>
      <c r="U15" s="5132">
        <f>'[93]RPS Data'!U14</f>
        <v>16.654090572000001</v>
      </c>
      <c r="V15" s="5132">
        <f>'[93]RPS Data'!V14</f>
        <v>10.746815031200001</v>
      </c>
      <c r="W15" s="5132">
        <f t="shared" si="8"/>
        <v>6.4529581995118255</v>
      </c>
      <c r="X15" s="5132">
        <f>'[93]RPS Data'!X14</f>
        <v>17.697963375499999</v>
      </c>
      <c r="Y15" s="5132">
        <f>'[93]RPS Data'!Y14</f>
        <v>11.46923787105</v>
      </c>
      <c r="Z15" s="5132">
        <f t="shared" si="9"/>
        <v>6.480541081312964</v>
      </c>
      <c r="AA15" s="5132">
        <f>'[93]RPS Data'!AA14</f>
        <v>21.482460814500001</v>
      </c>
      <c r="AB15" s="5132">
        <f>'[93]RPS Data'!AB14</f>
        <v>13.973749965950001</v>
      </c>
      <c r="AC15" s="5132">
        <f t="shared" si="10"/>
        <v>6.5047249877994187</v>
      </c>
      <c r="AD15" s="5132">
        <f>'[93]RPS Data'!AD14</f>
        <v>29.127464958000001</v>
      </c>
      <c r="AE15" s="5132">
        <f>'[93]RPS Data'!AE14</f>
        <v>18.870759325799998</v>
      </c>
      <c r="AF15" s="5132">
        <f t="shared" si="11"/>
        <v>6.4786823546128938</v>
      </c>
      <c r="AG15" s="5132">
        <f>'[93]RPS Data'!AG14</f>
        <v>22.337254081999998</v>
      </c>
      <c r="AH15" s="5132">
        <f>'[93]RPS Data'!AH14</f>
        <v>14.443717701199999</v>
      </c>
      <c r="AI15" s="5132">
        <f t="shared" si="12"/>
        <v>6.4662011042973999</v>
      </c>
      <c r="AJ15" s="5132">
        <f>'[93]RPS Data'!AJ14</f>
        <v>32.109056000000002</v>
      </c>
      <c r="AK15" s="5132">
        <f>'[93]RPS Data'!AK14</f>
        <v>20.757942500000002</v>
      </c>
      <c r="AL15" s="5132">
        <f t="shared" ref="AL15" si="16">AK15/AJ15*10</f>
        <v>6.4648249079636599</v>
      </c>
      <c r="AM15" s="5132">
        <f t="shared" si="13"/>
        <v>240.71436122069997</v>
      </c>
      <c r="AN15" s="5133">
        <f t="shared" si="13"/>
        <v>155.88466527692</v>
      </c>
      <c r="AO15" s="5132">
        <f>AN15/AM15*10</f>
        <v>6.4759187813475112</v>
      </c>
      <c r="AP15" s="5131">
        <v>260.37</v>
      </c>
      <c r="AQ15" s="5131">
        <v>151.27000000000001</v>
      </c>
      <c r="AR15" s="5134">
        <f t="shared" si="0"/>
        <v>5.8098091177939093</v>
      </c>
      <c r="AS15" s="5132">
        <f>'[94]Power Purchase Projections'!F29</f>
        <v>443.11147217976242</v>
      </c>
      <c r="AT15" s="5132">
        <f>'[94]Power Purchase Projections'!G29</f>
        <v>293.78290605518248</v>
      </c>
      <c r="AU15" s="5134">
        <f t="shared" si="14"/>
        <v>6.6300000000000008</v>
      </c>
      <c r="AW15" s="5137">
        <v>3</v>
      </c>
      <c r="AX15" s="5138" t="s">
        <v>3618</v>
      </c>
      <c r="AY15" s="5139">
        <f>'[95]Table 85_Total TPC-G FY 2014-15'!$D8</f>
        <v>252.73752852405551</v>
      </c>
      <c r="AZ15" s="5139">
        <v>173.46</v>
      </c>
      <c r="BA15" s="5139">
        <f>BB15/AY15*10</f>
        <v>10.544478241305534</v>
      </c>
      <c r="BB15" s="5139">
        <f>275.312977028324-8.81444</f>
        <v>266.49853702832399</v>
      </c>
      <c r="BC15" s="5139">
        <f t="shared" si="15"/>
        <v>439.95853702832403</v>
      </c>
    </row>
    <row r="16" spans="1:55" s="5135" customFormat="1" ht="16.5" thickBot="1">
      <c r="A16" s="5131">
        <f t="shared" si="1"/>
        <v>5</v>
      </c>
      <c r="B16" s="4972" t="s">
        <v>2782</v>
      </c>
      <c r="C16" s="5140"/>
      <c r="D16" s="5140"/>
      <c r="E16" s="5132"/>
      <c r="F16" s="5140"/>
      <c r="G16" s="5140"/>
      <c r="H16" s="5132"/>
      <c r="I16" s="5140"/>
      <c r="J16" s="5140"/>
      <c r="K16" s="5132"/>
      <c r="L16" s="5140"/>
      <c r="M16" s="5140"/>
      <c r="N16" s="5132"/>
      <c r="O16" s="5140"/>
      <c r="P16" s="5140"/>
      <c r="Q16" s="5132"/>
      <c r="R16" s="5140"/>
      <c r="S16" s="5140"/>
      <c r="T16" s="5132"/>
      <c r="U16" s="5140"/>
      <c r="V16" s="5140">
        <f>'[93]PP FY2014-15 (As on 26-05-2015)'!U35</f>
        <v>6</v>
      </c>
      <c r="W16" s="5132"/>
      <c r="X16" s="5140"/>
      <c r="Y16" s="5140">
        <f>'[93]PP FY2014-15 (As on 26-05-2015)'!U36</f>
        <v>6</v>
      </c>
      <c r="Z16" s="5132"/>
      <c r="AA16" s="5140"/>
      <c r="AB16" s="5140">
        <f>'[93]PP FY2014-15 (As on 26-05-2015)'!U37</f>
        <v>6</v>
      </c>
      <c r="AC16" s="5132"/>
      <c r="AD16" s="5140"/>
      <c r="AE16" s="5140">
        <f>'[93]PP FY2014-15 (As on 26-05-2015)'!U38</f>
        <v>6</v>
      </c>
      <c r="AF16" s="5132"/>
      <c r="AG16" s="5140"/>
      <c r="AH16" s="5140">
        <f>'[93]PP FY2014-15 (As on 26-05-2015)'!U39</f>
        <v>1.5</v>
      </c>
      <c r="AI16" s="5132"/>
      <c r="AJ16" s="5140"/>
      <c r="AK16" s="5140">
        <f>'[93]PP FY2014-15 (As on 26-05-2015)'!U40</f>
        <v>0.9</v>
      </c>
      <c r="AL16" s="5132"/>
      <c r="AM16" s="5132">
        <f t="shared" si="13"/>
        <v>0</v>
      </c>
      <c r="AN16" s="5133">
        <f t="shared" si="13"/>
        <v>26.4</v>
      </c>
      <c r="AO16" s="5132"/>
      <c r="AP16" s="5131"/>
      <c r="AQ16" s="5131"/>
      <c r="AR16" s="5134"/>
      <c r="AS16" s="5141"/>
      <c r="AT16" s="5141"/>
      <c r="AU16" s="5134"/>
      <c r="AW16" s="5137">
        <v>4</v>
      </c>
      <c r="AX16" s="5138" t="s">
        <v>3619</v>
      </c>
      <c r="AY16" s="5139">
        <f>'[95]Table 85_Total TPC-G FY 2014-15'!$D9</f>
        <v>572.73279798069996</v>
      </c>
      <c r="AZ16" s="5139">
        <v>88.46</v>
      </c>
      <c r="BA16" s="5139">
        <f>BB16/AY16*10</f>
        <v>2.4892410324569059</v>
      </c>
      <c r="BB16" s="5139">
        <v>142.56699813674101</v>
      </c>
      <c r="BC16" s="5139">
        <f t="shared" si="15"/>
        <v>231.02699813674099</v>
      </c>
    </row>
    <row r="17" spans="1:55" s="5135" customFormat="1" ht="16.5" thickBot="1">
      <c r="A17" s="5131">
        <f t="shared" si="1"/>
        <v>6</v>
      </c>
      <c r="B17" s="4972" t="s">
        <v>3562</v>
      </c>
      <c r="C17" s="5132"/>
      <c r="D17" s="5132"/>
      <c r="E17" s="5132"/>
      <c r="F17" s="5132"/>
      <c r="G17" s="5132"/>
      <c r="H17" s="5132"/>
      <c r="I17" s="5132"/>
      <c r="J17" s="5132"/>
      <c r="K17" s="5132"/>
      <c r="L17" s="5132"/>
      <c r="M17" s="5132"/>
      <c r="N17" s="5132"/>
      <c r="O17" s="5132"/>
      <c r="P17" s="5132"/>
      <c r="Q17" s="5132"/>
      <c r="R17" s="5132"/>
      <c r="S17" s="5132"/>
      <c r="T17" s="5132"/>
      <c r="U17" s="5132"/>
      <c r="V17" s="5132"/>
      <c r="W17" s="5132"/>
      <c r="X17" s="5132"/>
      <c r="Y17" s="5132"/>
      <c r="Z17" s="5132"/>
      <c r="AA17" s="5132"/>
      <c r="AB17" s="5132"/>
      <c r="AC17" s="5132"/>
      <c r="AD17" s="5132"/>
      <c r="AE17" s="5132"/>
      <c r="AF17" s="5132"/>
      <c r="AG17" s="5132"/>
      <c r="AH17" s="5132"/>
      <c r="AI17" s="5132"/>
      <c r="AJ17" s="5132"/>
      <c r="AK17" s="5132"/>
      <c r="AL17" s="5132"/>
      <c r="AM17" s="5132"/>
      <c r="AN17" s="5133"/>
      <c r="AO17" s="5132"/>
      <c r="AP17" s="5131"/>
      <c r="AQ17" s="5131"/>
      <c r="AR17" s="5134"/>
      <c r="AS17" s="5132">
        <f>'[94]Power Purchase Projections'!F30</f>
        <v>4.3500000000000005</v>
      </c>
      <c r="AT17" s="5132">
        <f>'[94]Power Purchase Projections'!G30</f>
        <v>3.3451500000000003</v>
      </c>
      <c r="AU17" s="5134"/>
      <c r="AW17" s="5137">
        <v>5</v>
      </c>
      <c r="AX17" s="5138" t="s">
        <v>3620</v>
      </c>
      <c r="AY17" s="5139">
        <f>'[95]Table 85_Total TPC-G FY 2014-15'!$D10</f>
        <v>268.22642200000001</v>
      </c>
      <c r="AZ17" s="5139">
        <f>112.47-(9.3723333*7)</f>
        <v>46.863666899999998</v>
      </c>
      <c r="BA17" s="5139">
        <f t="shared" ref="BA17:BA18" si="17">BB17/AY17*10</f>
        <v>2.8933602922608421</v>
      </c>
      <c r="BB17" s="5139">
        <v>77.607567875000001</v>
      </c>
      <c r="BC17" s="5139">
        <f t="shared" si="15"/>
        <v>124.471234775</v>
      </c>
    </row>
    <row r="18" spans="1:55" s="5135" customFormat="1" ht="16.5" thickBot="1">
      <c r="A18" s="5131">
        <f t="shared" si="1"/>
        <v>7</v>
      </c>
      <c r="B18" s="4972" t="s">
        <v>247</v>
      </c>
      <c r="C18" s="5132">
        <f>'[93]PP FY2014-15 (As on 26-05-2015)'!J10-C21</f>
        <v>119.14293000000001</v>
      </c>
      <c r="D18" s="5132">
        <f>'[93]PP FY2014-15 (As on 26-05-2015)'!V10-D21</f>
        <v>41.335928251000006</v>
      </c>
      <c r="E18" s="5132">
        <f>D18/C18*10</f>
        <v>3.4694402975484993</v>
      </c>
      <c r="F18" s="5132">
        <f>'[93]PP FY2014-15 (As on 26-05-2015)'!J11-F21</f>
        <v>119.594205</v>
      </c>
      <c r="G18" s="5132">
        <f>'[93]PP FY2014-15 (As on 26-05-2015)'!V11-G21</f>
        <v>40.242219388999999</v>
      </c>
      <c r="H18" s="5132">
        <f>G18/F18*10</f>
        <v>3.3648971025811827</v>
      </c>
      <c r="I18" s="5132">
        <f>'[93]PP FY2014-15 (As on 26-05-2015)'!J12-I21</f>
        <v>124.601562</v>
      </c>
      <c r="J18" s="5132">
        <f>'[93]PP FY2014-15 (As on 26-05-2015)'!V12-J21</f>
        <v>42.407111098000001</v>
      </c>
      <c r="K18" s="5132">
        <f>J18/I18*10</f>
        <v>3.4034172940785448</v>
      </c>
      <c r="L18" s="5132">
        <f>'[93]PP FY2014-15 (As on 26-05-2015)'!J13-L21</f>
        <v>81.630195999999998</v>
      </c>
      <c r="M18" s="5132">
        <f>'[93]PP FY2014-15 (As on 26-05-2015)'!V13-M21</f>
        <v>25.494913411000002</v>
      </c>
      <c r="N18" s="5132">
        <f>M18/L18*10</f>
        <v>3.1232208986733294</v>
      </c>
      <c r="O18" s="5132">
        <f>'[93]PP FY2014-15 (As on 26-05-2015)'!J14-O21</f>
        <v>49.893992999999995</v>
      </c>
      <c r="P18" s="5132">
        <f>'[93]PP FY2014-15 (As on 26-05-2015)'!V14-P21</f>
        <v>15.360425771000001</v>
      </c>
      <c r="Q18" s="5132">
        <f>P18/O18*10</f>
        <v>3.0786122431612162</v>
      </c>
      <c r="R18" s="5132">
        <f>'[93]PP FY2014-15 (As on 26-05-2015)'!J15</f>
        <v>53.150458</v>
      </c>
      <c r="S18" s="5132">
        <f>'[93]PP FY2014-15 (As on 26-05-2015)'!V15</f>
        <v>17.532618031999998</v>
      </c>
      <c r="T18" s="5132">
        <f>S18/R18*10</f>
        <v>3.2986767549585365</v>
      </c>
      <c r="U18" s="5132">
        <f>'[93]PP FY2014-15 (As on 26-05-2015)'!J18</f>
        <v>87.888857999999999</v>
      </c>
      <c r="V18" s="5132">
        <f>'[93]PP FY2014-15 (As on 26-05-2015)'!V18</f>
        <v>28.212442803000002</v>
      </c>
      <c r="W18" s="5132">
        <f>V18/U18*10</f>
        <v>3.210013583633093</v>
      </c>
      <c r="X18" s="5132">
        <f>'[93]PP FY2014-15 (As on 26-05-2015)'!J19</f>
        <v>53.271433000000002</v>
      </c>
      <c r="Y18" s="5132">
        <f>'[93]PP FY2014-15 (As on 26-05-2015)'!V19</f>
        <v>17.083568013000001</v>
      </c>
      <c r="Z18" s="5132">
        <f>Y18/X18*10</f>
        <v>3.2068910203710872</v>
      </c>
      <c r="AA18" s="5132">
        <f>'[93]PP FY2014-15 (As on 26-05-2015)'!J20</f>
        <v>26.911628</v>
      </c>
      <c r="AB18" s="5132">
        <f>'[93]PP FY2014-15 (As on 26-05-2015)'!V20</f>
        <v>8.6552268410000011</v>
      </c>
      <c r="AC18" s="5132">
        <f>AB18/AA18*10</f>
        <v>3.2161662018366188</v>
      </c>
      <c r="AD18" s="5132">
        <f>'[93]PP FY2014-15 (As on 26-05-2015)'!J21</f>
        <v>61.168858</v>
      </c>
      <c r="AE18" s="5132">
        <f>'[93]PP FY2014-15 (As on 26-05-2015)'!V21</f>
        <v>21.666249399999998</v>
      </c>
      <c r="AF18" s="5132">
        <f>AE18/AD18*10</f>
        <v>3.5420392187148564</v>
      </c>
      <c r="AG18" s="5132">
        <f>'[93]PP FY2014-15 (As on 26-05-2015)'!J22</f>
        <v>30.588395000000002</v>
      </c>
      <c r="AH18" s="5132">
        <f>'[93]PP FY2014-15 (As on 26-05-2015)'!V22</f>
        <v>9.8701030809999999</v>
      </c>
      <c r="AI18" s="5132">
        <f>AH18/AG18*10</f>
        <v>3.2267476214427071</v>
      </c>
      <c r="AJ18" s="5132">
        <f>'[93]PP FY2014-15 (As on 26-05-2015)'!J23</f>
        <v>30.991099999999999</v>
      </c>
      <c r="AK18" s="5132">
        <f>'[93]PP FY2014-15 (As on 26-05-2015)'!V23</f>
        <v>10.011047099999999</v>
      </c>
      <c r="AL18" s="5132">
        <f>AK18/AJ18*10</f>
        <v>3.230297440232841</v>
      </c>
      <c r="AM18" s="5132">
        <f t="shared" si="13"/>
        <v>838.83361599999989</v>
      </c>
      <c r="AN18" s="5133">
        <f>(D18+G18+J18+M18+P18+S18+V18+Y18+AB18+AE18+AH18+AK18)</f>
        <v>277.87185318999997</v>
      </c>
      <c r="AO18" s="5132">
        <f>AN18/AM18*10</f>
        <v>3.312597968057589</v>
      </c>
      <c r="AP18" s="5131">
        <v>223.06</v>
      </c>
      <c r="AQ18" s="5131">
        <v>98.32</v>
      </c>
      <c r="AR18" s="5134">
        <f t="shared" si="0"/>
        <v>4.4077826593741589</v>
      </c>
      <c r="AS18" s="5132">
        <f>'[94]Power Purchase Projections'!F31</f>
        <v>981.20979011155953</v>
      </c>
      <c r="AT18" s="5132">
        <f>'[94]Power Purchase Projections'!G31</f>
        <v>325.85985096834389</v>
      </c>
      <c r="AU18" s="5134">
        <f t="shared" si="14"/>
        <v>3.3210008119802286</v>
      </c>
      <c r="AW18" s="5137">
        <v>6</v>
      </c>
      <c r="AX18" s="5138" t="s">
        <v>3310</v>
      </c>
      <c r="AY18" s="5139">
        <f>'[95]Table 85_Total TPC-G FY 2014-15'!$D11</f>
        <v>718.21889424320011</v>
      </c>
      <c r="AZ18" s="5139">
        <v>78.72</v>
      </c>
      <c r="BA18" s="5139">
        <f t="shared" si="17"/>
        <v>1.1863832138499431</v>
      </c>
      <c r="BB18" s="5139">
        <v>85.208284000000006</v>
      </c>
      <c r="BC18" s="5139">
        <f t="shared" si="15"/>
        <v>163.92828400000002</v>
      </c>
    </row>
    <row r="19" spans="1:55" s="5135" customFormat="1" ht="16.5" thickBot="1">
      <c r="A19" s="5131">
        <f t="shared" si="1"/>
        <v>8</v>
      </c>
      <c r="B19" s="4972" t="s">
        <v>99</v>
      </c>
      <c r="C19" s="5132"/>
      <c r="D19" s="5132"/>
      <c r="E19" s="5132"/>
      <c r="F19" s="5132"/>
      <c r="G19" s="5132"/>
      <c r="H19" s="5132"/>
      <c r="I19" s="5132"/>
      <c r="J19" s="5132"/>
      <c r="K19" s="5132"/>
      <c r="L19" s="5132"/>
      <c r="M19" s="5132"/>
      <c r="N19" s="5132"/>
      <c r="O19" s="5132"/>
      <c r="P19" s="5132"/>
      <c r="Q19" s="5132"/>
      <c r="R19" s="5132"/>
      <c r="S19" s="5132"/>
      <c r="T19" s="5132"/>
      <c r="U19" s="5132"/>
      <c r="V19" s="5132"/>
      <c r="W19" s="5132"/>
      <c r="X19" s="5132"/>
      <c r="Y19" s="5132"/>
      <c r="Z19" s="5132"/>
      <c r="AA19" s="5132"/>
      <c r="AB19" s="5132"/>
      <c r="AC19" s="5132"/>
      <c r="AD19" s="5132"/>
      <c r="AE19" s="5132"/>
      <c r="AF19" s="5132"/>
      <c r="AG19" s="5132"/>
      <c r="AH19" s="5132"/>
      <c r="AI19" s="5132"/>
      <c r="AJ19" s="5132"/>
      <c r="AK19" s="5132"/>
      <c r="AL19" s="5132"/>
      <c r="AM19" s="5132"/>
      <c r="AN19" s="5133"/>
      <c r="AO19" s="5132"/>
      <c r="AP19" s="5142" t="s">
        <v>560</v>
      </c>
      <c r="AQ19" s="5142" t="s">
        <v>560</v>
      </c>
      <c r="AR19" s="5134"/>
      <c r="AS19" s="5131" t="str">
        <f t="shared" ref="AS19:AT29" si="18">AP19</f>
        <v>-</v>
      </c>
      <c r="AT19" s="5131" t="str">
        <f t="shared" si="18"/>
        <v>-</v>
      </c>
      <c r="AU19" s="5134"/>
      <c r="AW19" s="5137">
        <v>7</v>
      </c>
      <c r="AX19" s="5138" t="s">
        <v>3336</v>
      </c>
      <c r="AY19" s="5139" t="s">
        <v>3698</v>
      </c>
      <c r="AZ19" s="5139"/>
      <c r="BA19" s="5139"/>
      <c r="BB19" s="5139">
        <v>0</v>
      </c>
      <c r="BC19" s="5139">
        <f t="shared" si="15"/>
        <v>0</v>
      </c>
    </row>
    <row r="20" spans="1:55" s="5135" customFormat="1" ht="16.5" thickBot="1">
      <c r="A20" s="5131">
        <f t="shared" si="1"/>
        <v>9</v>
      </c>
      <c r="B20" s="4972" t="s">
        <v>248</v>
      </c>
      <c r="C20" s="5132">
        <f>'[93]PP FY2014-15 (As on 26-05-2015)'!M10</f>
        <v>-20.085584506246732</v>
      </c>
      <c r="D20" s="5132">
        <f>'[93]PP FY2014-15 (As on 26-05-2015)'!W10</f>
        <v>-1.7854108</v>
      </c>
      <c r="E20" s="5132">
        <f t="shared" ref="E20:E21" si="19">D20/C20*10</f>
        <v>0.88890158981668022</v>
      </c>
      <c r="F20" s="5132">
        <f>'[93]PP FY2014-15 (As on 26-05-2015)'!M11</f>
        <v>4.8425527279414382</v>
      </c>
      <c r="G20" s="5132">
        <f>'[93]PP FY2014-15 (As on 26-05-2015)'!W11</f>
        <v>4.7970607000000003</v>
      </c>
      <c r="H20" s="5132">
        <f t="shared" ref="H20:H21" si="20">G20/F20*10</f>
        <v>9.9060577540458166</v>
      </c>
      <c r="I20" s="5132">
        <f>'[93]PP FY2014-15 (As on 26-05-2015)'!M12</f>
        <v>13.028160686933006</v>
      </c>
      <c r="J20" s="5132">
        <f>'[93]PP FY2014-15 (As on 26-05-2015)'!W12</f>
        <v>7.3793825000000002</v>
      </c>
      <c r="K20" s="5132">
        <f t="shared" ref="K20:K21" si="21">J20/I20*10</f>
        <v>5.6641782960210021</v>
      </c>
      <c r="L20" s="5132">
        <f>'[93]PP FY2014-15 (As on 26-05-2015)'!M13</f>
        <v>40.461008293139741</v>
      </c>
      <c r="M20" s="5132">
        <f>'[93]PP FY2014-15 (As on 26-05-2015)'!W13</f>
        <v>12.0791898</v>
      </c>
      <c r="N20" s="5132">
        <f t="shared" ref="N20:N21" si="22">M20/L20*10</f>
        <v>2.985390208886133</v>
      </c>
      <c r="O20" s="5132">
        <f>'[93]PP FY2014-15 (As on 26-05-2015)'!M14</f>
        <v>34.170333725665273</v>
      </c>
      <c r="P20" s="5132">
        <f>'[93]PP FY2014-15 (As on 26-05-2015)'!W14</f>
        <v>10.0484426</v>
      </c>
      <c r="Q20" s="5132">
        <f t="shared" ref="Q20:Q21" si="23">P20/O20*10</f>
        <v>2.9406919700209522</v>
      </c>
      <c r="R20" s="5132">
        <f>'[93]PP FY2014-15 (As on 26-05-2015)'!M15-R21</f>
        <v>42.487764400728061</v>
      </c>
      <c r="S20" s="5132">
        <f>'[93]PP FY2014-15 (As on 26-05-2015)'!W15</f>
        <v>10.856745800000001</v>
      </c>
      <c r="T20" s="5132">
        <f t="shared" ref="T20:T21" si="24">S20/R20*10</f>
        <v>2.5552640749942497</v>
      </c>
      <c r="U20" s="5132">
        <f>'[93]PP FY2014-15 (As on 26-05-2015)'!M18-U21</f>
        <v>18.046075493455582</v>
      </c>
      <c r="V20" s="5143">
        <f>U20*G46/10</f>
        <v>6.8122461457727947</v>
      </c>
      <c r="W20" s="5132">
        <f>V20/U20*10</f>
        <v>3.7749183462317104</v>
      </c>
      <c r="X20" s="5132">
        <f>'[93]PP FY2014-15 (As on 26-05-2015)'!M19-X21</f>
        <v>46.660659011219501</v>
      </c>
      <c r="Y20" s="5143">
        <f>X20*G46/10</f>
        <v>17.614017774871449</v>
      </c>
      <c r="Z20" s="5132">
        <f>Y20/X20*10</f>
        <v>3.7749183462317109</v>
      </c>
      <c r="AA20" s="5132">
        <f>'[93]PP FY2014-15 (As on 26-05-2015)'!M20-AA21</f>
        <v>31.07075279278428</v>
      </c>
      <c r="AB20" s="5143">
        <f>AA20*G46/10</f>
        <v>11.728955474871153</v>
      </c>
      <c r="AC20" s="5132">
        <f>AB20/AA20*10</f>
        <v>3.7749183462317104</v>
      </c>
      <c r="AD20" s="5132">
        <f>'[93]PP FY2014-15 (As on 26-05-2015)'!M21-AD21</f>
        <v>43.950323159140339</v>
      </c>
      <c r="AE20" s="5143">
        <f>AD20*G46/10</f>
        <v>16.590888121625131</v>
      </c>
      <c r="AF20" s="5132">
        <f>AE20/AD20*10</f>
        <v>3.7749183462317109</v>
      </c>
      <c r="AG20" s="5132">
        <f>'[93]PP FY2014-15 (As on 26-05-2015)'!M22-AG21</f>
        <v>62.446822310784363</v>
      </c>
      <c r="AH20" s="5143">
        <f>AG20*G46/10</f>
        <v>23.573165520485162</v>
      </c>
      <c r="AI20" s="5132">
        <f>AH20/AG20*10</f>
        <v>3.7749183462317109</v>
      </c>
      <c r="AJ20" s="5132">
        <f>'[93]PP FY2014-15 (As on 26-05-2015)'!M23-AJ21</f>
        <v>16.633963298895104</v>
      </c>
      <c r="AK20" s="5143">
        <f>AJ20*G46/10</f>
        <v>6.2791853227544081</v>
      </c>
      <c r="AL20" s="5132">
        <f>AK20/AJ20*10</f>
        <v>3.7749183462317109</v>
      </c>
      <c r="AM20" s="5143">
        <f t="shared" si="13"/>
        <v>333.71283139443995</v>
      </c>
      <c r="AN20" s="5144">
        <f t="shared" si="13"/>
        <v>125.97386896038009</v>
      </c>
      <c r="AO20" s="5132">
        <f>AN20/AM20*10</f>
        <v>3.7749183462317104</v>
      </c>
      <c r="AP20" s="5142" t="s">
        <v>560</v>
      </c>
      <c r="AQ20" s="5142" t="s">
        <v>560</v>
      </c>
      <c r="AR20" s="5134"/>
      <c r="AS20" s="5131" t="str">
        <f t="shared" si="18"/>
        <v>-</v>
      </c>
      <c r="AT20" s="5131" t="str">
        <f t="shared" si="18"/>
        <v>-</v>
      </c>
      <c r="AU20" s="5134"/>
      <c r="AW20" s="5145">
        <v>8</v>
      </c>
      <c r="AX20" s="5146" t="s">
        <v>47</v>
      </c>
      <c r="AY20" s="5147">
        <f>SUM(AY13:AY19)</f>
        <v>3411.0185109716558</v>
      </c>
      <c r="AZ20" s="5147">
        <f>SUM(AZ13:AZ19)</f>
        <v>592.92366689999994</v>
      </c>
      <c r="BA20" s="5147">
        <f>BB20/AY20*10</f>
        <v>3.1410498990388618</v>
      </c>
      <c r="BB20" s="5147">
        <f>SUM(BB13:BB19)</f>
        <v>1071.4179349507208</v>
      </c>
      <c r="BC20" s="5147">
        <f>SUM(BC13:BC19)</f>
        <v>1664.3416018507212</v>
      </c>
    </row>
    <row r="21" spans="1:55" s="5135" customFormat="1">
      <c r="A21" s="5131">
        <f t="shared" si="1"/>
        <v>10</v>
      </c>
      <c r="B21" s="4972" t="s">
        <v>747</v>
      </c>
      <c r="C21" s="5148">
        <f>'[93]External Power Pur. FY2014-15'!L9</f>
        <v>0.67174999999999996</v>
      </c>
      <c r="D21" s="5148">
        <f>'[93]External Power Pur. FY2014-15'!M9</f>
        <v>0.65445450000000005</v>
      </c>
      <c r="E21" s="5132">
        <f t="shared" si="19"/>
        <v>9.7425307033866773</v>
      </c>
      <c r="F21" s="5148">
        <f>'[93]External Power Pur. FY2014-15'!L10</f>
        <v>2.59375</v>
      </c>
      <c r="G21" s="5148">
        <f>'[93]External Power Pur. FY2014-15'!M10</f>
        <v>1.13608361</v>
      </c>
      <c r="H21" s="5132">
        <f t="shared" si="20"/>
        <v>4.3800813879518072</v>
      </c>
      <c r="I21" s="5148">
        <f>'[93]External Power Pur. FY2014-15'!L11</f>
        <v>2.1305000000000001</v>
      </c>
      <c r="J21" s="5148">
        <f>'[93]External Power Pur. FY2014-15'!M11</f>
        <v>1.25502</v>
      </c>
      <c r="K21" s="5132">
        <f t="shared" si="21"/>
        <v>5.890729875616052</v>
      </c>
      <c r="L21" s="5148">
        <f>'[93]External Power Pur. FY2014-15'!L12</f>
        <v>7.5010000000000003</v>
      </c>
      <c r="M21" s="5148">
        <f>'[93]External Power Pur. FY2014-15'!M12</f>
        <v>4.0751622999999997</v>
      </c>
      <c r="N21" s="5132">
        <f t="shared" si="22"/>
        <v>5.4328253566191167</v>
      </c>
      <c r="O21" s="5148">
        <f>'[93]External Power Pur. FY2014-15'!L13</f>
        <v>7.7967500000000003</v>
      </c>
      <c r="P21" s="5148">
        <f>'[93]External Power Pur. FY2014-15'!M13</f>
        <v>4.2648636</v>
      </c>
      <c r="Q21" s="5132">
        <f t="shared" si="23"/>
        <v>5.4700530349183953</v>
      </c>
      <c r="R21" s="5148">
        <f>B47</f>
        <v>12.417999999999999</v>
      </c>
      <c r="S21" s="5149">
        <f>R21*$G$52/10</f>
        <v>6.8323132460854108</v>
      </c>
      <c r="T21" s="5132">
        <f t="shared" si="24"/>
        <v>5.5019433452129265</v>
      </c>
      <c r="U21" s="5132">
        <f>B48</f>
        <v>3.28132</v>
      </c>
      <c r="V21" s="5149">
        <f>U21*$G$52/10</f>
        <v>1.8053636737514076</v>
      </c>
      <c r="W21" s="5132">
        <f>V21/U21*10</f>
        <v>5.5019433452129256</v>
      </c>
      <c r="X21" s="5132">
        <f>B49</f>
        <v>1.00875</v>
      </c>
      <c r="Y21" s="5149">
        <f>X21*$G$52/10</f>
        <v>0.55500853494835389</v>
      </c>
      <c r="Z21" s="5132">
        <f>Y21/X21*10</f>
        <v>5.5019433452129256</v>
      </c>
      <c r="AA21" s="5132">
        <f>B50</f>
        <v>2.1106799999999999</v>
      </c>
      <c r="AB21" s="5149">
        <f>AA21*$G$52/10</f>
        <v>1.1612841779874017</v>
      </c>
      <c r="AC21" s="5132">
        <f>AB21/AA21*10</f>
        <v>5.5019433452129256</v>
      </c>
      <c r="AD21" s="5132">
        <f>B51</f>
        <v>0</v>
      </c>
      <c r="AE21" s="5149">
        <f>AD21*$G$52/10</f>
        <v>0</v>
      </c>
      <c r="AF21" s="5150">
        <v>0</v>
      </c>
      <c r="AG21" s="5132">
        <f>B52</f>
        <v>2.26125</v>
      </c>
      <c r="AH21" s="5149">
        <f>AG21*$G$52/10</f>
        <v>1.2441269389362728</v>
      </c>
      <c r="AI21" s="5132">
        <f>AH21/AG21*10</f>
        <v>5.5019433452129256</v>
      </c>
      <c r="AJ21" s="5132">
        <f>B53</f>
        <v>0.6</v>
      </c>
      <c r="AK21" s="5149">
        <f>AJ21*$G$52/10</f>
        <v>0.33011660071277549</v>
      </c>
      <c r="AL21" s="5132">
        <f>AK21/AJ21*10</f>
        <v>5.5019433452129256</v>
      </c>
      <c r="AM21" s="5143">
        <f>C21+F21+I21+L21+O21+R21+U21+X21+AA21+AD21+AG21+AJ21</f>
        <v>42.373750000000001</v>
      </c>
      <c r="AN21" s="5144">
        <f t="shared" si="13"/>
        <v>23.313797182421617</v>
      </c>
      <c r="AO21" s="5132">
        <f>AN21/AM21*10</f>
        <v>5.5019433452129238</v>
      </c>
      <c r="AP21" s="5142" t="s">
        <v>560</v>
      </c>
      <c r="AQ21" s="5142" t="s">
        <v>560</v>
      </c>
      <c r="AR21" s="5134"/>
      <c r="AS21" s="5131" t="str">
        <f t="shared" si="18"/>
        <v>-</v>
      </c>
      <c r="AT21" s="5131" t="str">
        <f t="shared" si="18"/>
        <v>-</v>
      </c>
      <c r="AU21" s="5134"/>
      <c r="AW21" s="5151"/>
      <c r="AX21" s="5151"/>
    </row>
    <row r="22" spans="1:55" s="5135" customFormat="1">
      <c r="A22" s="5131">
        <f t="shared" si="1"/>
        <v>11</v>
      </c>
      <c r="B22" s="4972" t="s">
        <v>618</v>
      </c>
      <c r="C22" s="5132"/>
      <c r="D22" s="5132">
        <f>'[93]PP FY2014-15 (As on 26-05-2015)'!AC10</f>
        <v>25.95</v>
      </c>
      <c r="E22" s="5132"/>
      <c r="F22" s="5132"/>
      <c r="G22" s="5132">
        <f>'[93]PP FY2014-15 (As on 26-05-2015)'!AC11</f>
        <v>25.95</v>
      </c>
      <c r="H22" s="5132"/>
      <c r="I22" s="5132"/>
      <c r="J22" s="5132">
        <f>'[93]PP FY2014-15 (As on 26-05-2015)'!AC12</f>
        <v>26</v>
      </c>
      <c r="K22" s="5132"/>
      <c r="L22" s="5132"/>
      <c r="M22" s="5132">
        <f>'[93]PP FY2014-15 (As on 26-05-2015)'!AC13</f>
        <v>25.95</v>
      </c>
      <c r="N22" s="5132"/>
      <c r="O22" s="5132"/>
      <c r="P22" s="5132">
        <f>'[93]PP FY2014-15 (As on 26-05-2015)'!AC14</f>
        <v>25.95</v>
      </c>
      <c r="Q22" s="5132"/>
      <c r="R22" s="5132"/>
      <c r="S22" s="5132">
        <f>'[93]PP FY2014-15 (As on 26-05-2015)'!AC15</f>
        <v>28.24</v>
      </c>
      <c r="T22" s="5132"/>
      <c r="U22" s="5132"/>
      <c r="V22" s="5132">
        <f>'[93]PP FY2014-15 (As on 26-05-2015)'!AC18</f>
        <v>28.24</v>
      </c>
      <c r="W22" s="5132"/>
      <c r="X22" s="5132"/>
      <c r="Y22" s="5132">
        <f>'[93]PP FY2014-15 (As on 26-05-2015)'!AC19</f>
        <v>28.24</v>
      </c>
      <c r="Z22" s="5132"/>
      <c r="AA22" s="5132"/>
      <c r="AB22" s="5132">
        <f>'[93]PP FY2014-15 (As on 26-05-2015)'!AC20</f>
        <v>28.24</v>
      </c>
      <c r="AC22" s="5132"/>
      <c r="AD22" s="5132"/>
      <c r="AE22" s="5132">
        <f>'[93]PP FY2014-15 (As on 26-05-2015)'!AC21</f>
        <v>28.24</v>
      </c>
      <c r="AF22" s="5132"/>
      <c r="AG22" s="5132"/>
      <c r="AH22" s="5132">
        <f>'[93]PP FY2014-15 (As on 26-05-2015)'!AC22</f>
        <v>28.24</v>
      </c>
      <c r="AI22" s="5132"/>
      <c r="AJ22" s="5132"/>
      <c r="AK22" s="5132">
        <f>'[93]PP FY2014-15 (As on 26-05-2015)'!AC23</f>
        <v>28.24</v>
      </c>
      <c r="AL22" s="5132"/>
      <c r="AM22" s="5132"/>
      <c r="AN22" s="5133">
        <f t="shared" si="13"/>
        <v>327.48000000000008</v>
      </c>
      <c r="AO22" s="5132"/>
      <c r="AP22" s="5142" t="s">
        <v>560</v>
      </c>
      <c r="AQ22" s="5131">
        <v>361.61</v>
      </c>
      <c r="AR22" s="5134"/>
      <c r="AS22" s="5131" t="str">
        <f t="shared" si="18"/>
        <v>-</v>
      </c>
      <c r="AT22" s="5132">
        <f>[94]Assumptions!$H$89</f>
        <v>372.12</v>
      </c>
      <c r="AU22" s="5134"/>
    </row>
    <row r="23" spans="1:55" s="5135" customFormat="1">
      <c r="A23" s="5131">
        <f t="shared" si="1"/>
        <v>12</v>
      </c>
      <c r="B23" s="4972" t="s">
        <v>743</v>
      </c>
      <c r="C23" s="5132"/>
      <c r="D23" s="5132">
        <f>'[93]PP FY2014-15 (As on 26-05-2015)'!AD10</f>
        <v>0.31359999999999999</v>
      </c>
      <c r="E23" s="5132"/>
      <c r="F23" s="5132"/>
      <c r="G23" s="5132">
        <f>'[93]PP FY2014-15 (As on 26-05-2015)'!AD11</f>
        <v>9.9900000000000003E-2</v>
      </c>
      <c r="H23" s="5132"/>
      <c r="I23" s="5132"/>
      <c r="J23" s="5132">
        <f>'[93]PP FY2014-15 (As on 26-05-2015)'!AD12</f>
        <v>9.9900000000000003E-2</v>
      </c>
      <c r="K23" s="5132"/>
      <c r="L23" s="5132"/>
      <c r="M23" s="5132">
        <f>'[93]PP FY2014-15 (As on 26-05-2015)'!AD13</f>
        <v>9.9900000000000003E-2</v>
      </c>
      <c r="N23" s="5132"/>
      <c r="O23" s="5132"/>
      <c r="P23" s="5132">
        <f>'[93]PP FY2014-15 (As on 26-05-2015)'!AD14</f>
        <v>9.9900000000000003E-2</v>
      </c>
      <c r="Q23" s="5132"/>
      <c r="R23" s="5132"/>
      <c r="S23" s="5132">
        <f>'[93]PP FY2014-15 (As on 26-05-2015)'!AD15</f>
        <v>9.9900000000000003E-2</v>
      </c>
      <c r="T23" s="5132"/>
      <c r="U23" s="5132"/>
      <c r="V23" s="5132">
        <f>'[93]PP FY2014-15 (As on 26-05-2015)'!AD18</f>
        <v>0.31359999999999999</v>
      </c>
      <c r="W23" s="5132"/>
      <c r="X23" s="5132"/>
      <c r="Y23" s="5132">
        <f>'[93]PP FY2014-15 (As on 26-05-2015)'!AD19</f>
        <v>9.9900000000000003E-2</v>
      </c>
      <c r="Z23" s="5132"/>
      <c r="AA23" s="5132"/>
      <c r="AB23" s="5132">
        <f>'[93]PP FY2014-15 (As on 26-05-2015)'!AD20</f>
        <v>9.9900000000000003E-2</v>
      </c>
      <c r="AC23" s="5132"/>
      <c r="AD23" s="5132"/>
      <c r="AE23" s="5132">
        <f>'[93]PP FY2014-15 (As on 26-05-2015)'!AD21</f>
        <v>9.9900000000000003E-2</v>
      </c>
      <c r="AF23" s="5132"/>
      <c r="AG23" s="5132"/>
      <c r="AH23" s="5132">
        <f>'[93]PP FY2014-15 (As on 26-05-2015)'!AD22</f>
        <v>9.9900000000000003E-2</v>
      </c>
      <c r="AI23" s="5132"/>
      <c r="AJ23" s="5132"/>
      <c r="AK23" s="5132">
        <f>'[93]PP FY2014-15 (As on 26-05-2015)'!AD23</f>
        <v>9.9900000000000003E-2</v>
      </c>
      <c r="AL23" s="5132"/>
      <c r="AM23" s="5132"/>
      <c r="AN23" s="5133">
        <f t="shared" si="13"/>
        <v>1.6262000000000005</v>
      </c>
      <c r="AO23" s="5132"/>
      <c r="AP23" s="5142" t="s">
        <v>560</v>
      </c>
      <c r="AQ23" s="5131">
        <v>1.28</v>
      </c>
      <c r="AR23" s="5134"/>
      <c r="AS23" s="5131" t="str">
        <f t="shared" si="18"/>
        <v>-</v>
      </c>
      <c r="AT23" s="5132">
        <f>[94]Assumptions!$H$90</f>
        <v>1.6256999999999999</v>
      </c>
      <c r="AU23" s="5134"/>
      <c r="AX23" s="5135">
        <v>42.61</v>
      </c>
      <c r="AY23" s="5135">
        <v>-1.83</v>
      </c>
      <c r="BA23" s="5135">
        <v>35.19</v>
      </c>
    </row>
    <row r="24" spans="1:55" s="5135" customFormat="1">
      <c r="A24" s="5131">
        <f t="shared" si="1"/>
        <v>13</v>
      </c>
      <c r="B24" s="4972" t="s">
        <v>746</v>
      </c>
      <c r="D24" s="5132">
        <f>'[93]PP FY2014-15 (As on 26-05-2015)'!AB10</f>
        <v>9.1108695999999991</v>
      </c>
      <c r="E24" s="5132"/>
      <c r="G24" s="5132">
        <f>'[93]PP FY2014-15 (As on 26-05-2015)'!AB11</f>
        <v>9.1108695999999991</v>
      </c>
      <c r="H24" s="5132"/>
      <c r="J24" s="5132">
        <f>'[93]PP FY2014-15 (As on 26-05-2015)'!AB12</f>
        <v>9.1108695999999991</v>
      </c>
      <c r="K24" s="5132"/>
      <c r="M24" s="5132">
        <f>'[93]PP FY2014-15 (As on 26-05-2015)'!AB13</f>
        <v>9.1108695999999991</v>
      </c>
      <c r="N24" s="5132"/>
      <c r="P24" s="5132">
        <f>'[93]PP FY2014-15 (As on 26-05-2015)'!AB14</f>
        <v>9.1108695999999991</v>
      </c>
      <c r="Q24" s="5132"/>
      <c r="S24" s="5132">
        <f>'[93]PP FY2014-15 (As on 26-05-2015)'!AB15</f>
        <v>9.1108695999999991</v>
      </c>
      <c r="T24" s="5132"/>
      <c r="U24" s="5132"/>
      <c r="V24" s="5132">
        <f>'[93]PP FY2014-15 (As on 26-05-2015)'!AB18</f>
        <v>9.1108695999999991</v>
      </c>
      <c r="W24" s="5132"/>
      <c r="X24" s="5132"/>
      <c r="Y24" s="5132">
        <f>'[93]PP FY2014-15 (As on 26-05-2015)'!AB19</f>
        <v>9.1108695999999991</v>
      </c>
      <c r="Z24" s="5132"/>
      <c r="AA24" s="5132"/>
      <c r="AB24" s="5132">
        <f>'[93]PP FY2014-15 (As on 26-05-2015)'!AB20</f>
        <v>9.1108695999999991</v>
      </c>
      <c r="AC24" s="5132"/>
      <c r="AD24" s="5132"/>
      <c r="AE24" s="5132">
        <f>'[93]PP FY2014-15 (As on 26-05-2015)'!AB21</f>
        <v>9.1108695999999991</v>
      </c>
      <c r="AF24" s="5132"/>
      <c r="AG24" s="5132"/>
      <c r="AH24" s="5132">
        <f>'[93]PP FY2014-15 (As on 26-05-2015)'!AB22</f>
        <v>9.1108695999999991</v>
      </c>
      <c r="AI24" s="5132"/>
      <c r="AJ24" s="5132"/>
      <c r="AK24" s="5132">
        <f>'[93]PP FY2014-15 (As on 26-05-2015)'!AB23</f>
        <v>9.1108695999999991</v>
      </c>
      <c r="AL24" s="5132"/>
      <c r="AM24" s="5132"/>
      <c r="AN24" s="5133">
        <f t="shared" si="13"/>
        <v>109.3304352</v>
      </c>
      <c r="AO24" s="5132"/>
      <c r="AP24" s="5142" t="s">
        <v>560</v>
      </c>
      <c r="AQ24" s="5131">
        <v>109.33</v>
      </c>
      <c r="AR24" s="5134"/>
      <c r="AS24" s="5131" t="str">
        <f t="shared" si="18"/>
        <v>-</v>
      </c>
      <c r="AT24" s="5132">
        <f>[94]Assumptions!$H$91</f>
        <v>113.27043519999999</v>
      </c>
      <c r="AU24" s="5134"/>
      <c r="AX24" s="5135">
        <v>45.83</v>
      </c>
      <c r="AY24" s="5135">
        <v>-7.42</v>
      </c>
      <c r="BA24" s="5135">
        <v>32.29</v>
      </c>
    </row>
    <row r="25" spans="1:55" s="5135" customFormat="1">
      <c r="A25" s="5131">
        <f t="shared" si="1"/>
        <v>14</v>
      </c>
      <c r="B25" s="4972" t="s">
        <v>752</v>
      </c>
      <c r="C25" s="5132"/>
      <c r="D25" s="5132"/>
      <c r="E25" s="5132"/>
      <c r="F25" s="5132"/>
      <c r="G25" s="5132"/>
      <c r="H25" s="5132"/>
      <c r="I25" s="5132"/>
      <c r="J25" s="5132"/>
      <c r="K25" s="5132"/>
      <c r="L25" s="5132"/>
      <c r="M25" s="5132"/>
      <c r="N25" s="5132"/>
      <c r="O25" s="5132"/>
      <c r="P25" s="5132"/>
      <c r="Q25" s="5132"/>
      <c r="R25" s="5132"/>
      <c r="S25" s="5132"/>
      <c r="T25" s="5132"/>
      <c r="U25" s="5132"/>
      <c r="V25" s="5132"/>
      <c r="W25" s="5132"/>
      <c r="X25" s="5132"/>
      <c r="Y25" s="5132"/>
      <c r="Z25" s="5132"/>
      <c r="AA25" s="5132"/>
      <c r="AB25" s="5132"/>
      <c r="AC25" s="5132"/>
      <c r="AD25" s="5132"/>
      <c r="AE25" s="5132"/>
      <c r="AF25" s="5132"/>
      <c r="AG25" s="5132"/>
      <c r="AH25" s="5132"/>
      <c r="AI25" s="5132"/>
      <c r="AJ25" s="5132"/>
      <c r="AK25" s="5132"/>
      <c r="AL25" s="5132"/>
      <c r="AM25" s="5132"/>
      <c r="AN25" s="5133"/>
      <c r="AO25" s="5132"/>
      <c r="AP25" s="5142" t="s">
        <v>560</v>
      </c>
      <c r="AQ25" s="5131">
        <v>0</v>
      </c>
      <c r="AR25" s="5134"/>
      <c r="AS25" s="5131" t="str">
        <f t="shared" si="18"/>
        <v>-</v>
      </c>
      <c r="AT25" s="5131">
        <f>AQ25</f>
        <v>0</v>
      </c>
      <c r="AU25" s="5134"/>
      <c r="AX25" s="5135">
        <f>AX24-AX23</f>
        <v>3.2199999999999989</v>
      </c>
      <c r="AY25" s="5135">
        <f>AY24-AY23</f>
        <v>-5.59</v>
      </c>
      <c r="BA25" s="5135">
        <f>BA24-BA23</f>
        <v>-2.8999999999999986</v>
      </c>
    </row>
    <row r="26" spans="1:55" s="5135" customFormat="1" ht="31.5">
      <c r="A26" s="5131">
        <f t="shared" si="1"/>
        <v>15</v>
      </c>
      <c r="B26" s="4972" t="s">
        <v>249</v>
      </c>
      <c r="C26" s="5132"/>
      <c r="D26" s="5132">
        <f>'[93]PP FY2014-15 (As on 26-05-2015)'!AO10</f>
        <v>2.5355178</v>
      </c>
      <c r="E26" s="5132"/>
      <c r="F26" s="5132"/>
      <c r="G26" s="5132">
        <f>'[93]PP FY2014-15 (As on 26-05-2015)'!AO11</f>
        <v>3.7295273</v>
      </c>
      <c r="H26" s="5132"/>
      <c r="I26" s="5132"/>
      <c r="J26" s="5132">
        <f>'[93]PP FY2014-15 (As on 26-05-2015)'!AO12</f>
        <v>6.4249904999999998</v>
      </c>
      <c r="K26" s="5132"/>
      <c r="L26" s="5132"/>
      <c r="M26" s="5132">
        <f>'[93]PP FY2014-15 (As on 26-05-2015)'!AO13</f>
        <v>4.9507753000000001</v>
      </c>
      <c r="N26" s="5132"/>
      <c r="O26" s="5132"/>
      <c r="P26" s="5132">
        <f>'[93]PP FY2014-15 (As on 26-05-2015)'!AO14</f>
        <v>2.8813244</v>
      </c>
      <c r="Q26" s="5132"/>
      <c r="R26" s="5132"/>
      <c r="S26" s="5132">
        <f>'[93]PP FY2014-15 (As on 26-05-2015)'!AO15</f>
        <v>3.3439019999999999</v>
      </c>
      <c r="T26" s="5132"/>
      <c r="U26" s="5132"/>
      <c r="V26" s="5132">
        <f>'[93]PP FY2014-15 (As on 26-05-2015)'!AO18</f>
        <v>5.2223758</v>
      </c>
      <c r="W26" s="5132"/>
      <c r="X26" s="5132"/>
      <c r="Y26" s="5132">
        <f>'[93]PP FY2014-15 (As on 26-05-2015)'!AO19</f>
        <v>3.4230242999999998</v>
      </c>
      <c r="Z26" s="5132"/>
      <c r="AA26" s="5132"/>
      <c r="AB26" s="5132">
        <f>'[93]PP FY2014-15 (As on 26-05-2015)'!AO20</f>
        <v>1.6124240999999999</v>
      </c>
      <c r="AC26" s="5132"/>
      <c r="AD26" s="5132"/>
      <c r="AE26" s="5132">
        <f>'[93]PP FY2014-15 (As on 26-05-2015)'!AO21</f>
        <v>1.0710833</v>
      </c>
      <c r="AF26" s="5132"/>
      <c r="AG26" s="5132"/>
      <c r="AH26" s="5132">
        <f>'[93]PP FY2014-15 (As on 26-05-2015)'!AO22</f>
        <v>0</v>
      </c>
      <c r="AI26" s="5132"/>
      <c r="AJ26" s="5132"/>
      <c r="AK26" s="5132">
        <f>'[93]PP FY2014-15 (As on 26-05-2015)'!AO23</f>
        <v>0</v>
      </c>
      <c r="AL26" s="5132"/>
      <c r="AM26" s="5132"/>
      <c r="AN26" s="5133">
        <f>(D26+G26+J26+M26+P26+S26+V26+Y26+AB26+AE26+AH26+AK26)*0+32.29</f>
        <v>32.29</v>
      </c>
      <c r="AO26" s="5132"/>
      <c r="AP26" s="5142" t="s">
        <v>560</v>
      </c>
      <c r="AQ26" s="5142" t="s">
        <v>560</v>
      </c>
      <c r="AR26" s="5134"/>
      <c r="AS26" s="5131" t="str">
        <f t="shared" si="18"/>
        <v>-</v>
      </c>
      <c r="AT26" s="5142" t="str">
        <f>AQ26</f>
        <v>-</v>
      </c>
      <c r="AU26" s="5134"/>
    </row>
    <row r="27" spans="1:55" s="5135" customFormat="1">
      <c r="A27" s="5131">
        <f t="shared" si="1"/>
        <v>16</v>
      </c>
      <c r="B27" s="4972" t="s">
        <v>3002</v>
      </c>
      <c r="C27" s="5132"/>
      <c r="D27" s="5132">
        <f>'[93]PP FY2014-15 (As on 26-05-2015)'!B111</f>
        <v>-0.26047121509999999</v>
      </c>
      <c r="E27" s="5132"/>
      <c r="F27" s="5132"/>
      <c r="G27" s="5132">
        <f>'[93]PP FY2014-15 (As on 26-05-2015)'!B112</f>
        <v>-0.26798250000000001</v>
      </c>
      <c r="H27" s="5132"/>
      <c r="I27" s="5132"/>
      <c r="J27" s="5132">
        <f>'[93]PP FY2014-15 (As on 26-05-2015)'!B113</f>
        <v>-0.25510959999999999</v>
      </c>
      <c r="K27" s="5132"/>
      <c r="L27" s="5132"/>
      <c r="M27" s="5132">
        <f>'[93]PP FY2014-15 (As on 26-05-2015)'!B114</f>
        <v>-0.25507930000000001</v>
      </c>
      <c r="N27" s="5132"/>
      <c r="O27" s="5132"/>
      <c r="P27" s="5132">
        <f>'[93]PP FY2014-15 (As on 26-05-2015)'!B115</f>
        <v>-0.27113890000000002</v>
      </c>
      <c r="Q27" s="5132"/>
      <c r="R27" s="5132"/>
      <c r="S27" s="5132">
        <f>'[93]PP FY2014-15 (As on 26-05-2015)'!B116</f>
        <v>-0.24650459999999999</v>
      </c>
      <c r="T27" s="5132"/>
      <c r="U27" s="5132"/>
      <c r="V27" s="5132">
        <f>'[93]PP FY2014-15 (As on 26-05-2015)'!B117</f>
        <v>-0.26071889999999998</v>
      </c>
      <c r="W27" s="5132"/>
      <c r="X27" s="5132"/>
      <c r="Y27" s="5132">
        <f>'[93]PP FY2014-15 (As on 26-05-2015)'!B118</f>
        <v>-0.27033049999999997</v>
      </c>
      <c r="Z27" s="5132"/>
      <c r="AA27" s="5132"/>
      <c r="AB27" s="5132">
        <f>'[93]PP FY2014-15 (As on 26-05-2015)'!B119</f>
        <v>-0.32191180000000003</v>
      </c>
      <c r="AC27" s="5132"/>
      <c r="AD27" s="5132"/>
      <c r="AE27" s="5132">
        <f>'[93]PP FY2014-15 (As on 26-05-2015)'!B120</f>
        <v>-0.42053869999999999</v>
      </c>
      <c r="AF27" s="5132"/>
      <c r="AG27" s="5132"/>
      <c r="AH27" s="5132">
        <f>'[93]PP FY2014-15 (As on 26-05-2015)'!B121</f>
        <v>-0.33342889999999997</v>
      </c>
      <c r="AI27" s="5132"/>
      <c r="AJ27" s="5132"/>
      <c r="AK27" s="5152">
        <f>'[93]PP FY2014-15 (As on 26-05-2015)'!B122</f>
        <v>-0.45476070000000002</v>
      </c>
      <c r="AL27" s="5132"/>
      <c r="AM27" s="5132"/>
      <c r="AN27" s="5153">
        <f t="shared" si="13"/>
        <v>-3.6179756150999998</v>
      </c>
      <c r="AO27" s="5132"/>
      <c r="AP27" s="5142" t="s">
        <v>560</v>
      </c>
      <c r="AQ27" s="5142" t="s">
        <v>560</v>
      </c>
      <c r="AR27" s="5134"/>
      <c r="AS27" s="5131" t="str">
        <f t="shared" si="18"/>
        <v>-</v>
      </c>
      <c r="AT27" s="5131" t="str">
        <f t="shared" si="18"/>
        <v>-</v>
      </c>
      <c r="AU27" s="5134"/>
    </row>
    <row r="28" spans="1:55" s="5135" customFormat="1">
      <c r="A28" s="5131">
        <f t="shared" si="1"/>
        <v>17</v>
      </c>
      <c r="B28" s="4972" t="s">
        <v>3682</v>
      </c>
      <c r="C28" s="5132"/>
      <c r="D28" s="5132">
        <f>'[93]PP FY2014-15 (As on 26-05-2015)'!C111</f>
        <v>-0.82596466099999999</v>
      </c>
      <c r="E28" s="5132"/>
      <c r="F28" s="5132"/>
      <c r="G28" s="5132">
        <f>'[93]PP FY2014-15 (As on 26-05-2015)'!C112</f>
        <v>-0.78751779700000002</v>
      </c>
      <c r="H28" s="5132"/>
      <c r="I28" s="5132"/>
      <c r="J28" s="5132">
        <f>'[93]PP FY2014-15 (As on 26-05-2015)'!C113</f>
        <v>-0.78425486</v>
      </c>
      <c r="K28" s="5132"/>
      <c r="L28" s="5132"/>
      <c r="M28" s="5132">
        <f>'[93]PP FY2014-15 (As on 26-05-2015)'!C114</f>
        <v>-0.31286249999999999</v>
      </c>
      <c r="N28" s="5132"/>
      <c r="O28" s="5132"/>
      <c r="P28" s="5132">
        <f>'[93]PP FY2014-15 (As on 26-05-2015)'!C115</f>
        <v>-0.25201679999999999</v>
      </c>
      <c r="Q28" s="5132"/>
      <c r="R28" s="5132"/>
      <c r="S28" s="5132">
        <f>'[93]PP FY2014-15 (As on 26-05-2015)'!C116</f>
        <v>-0.28997060000000002</v>
      </c>
      <c r="T28" s="5132"/>
      <c r="U28" s="5132"/>
      <c r="V28" s="5132">
        <f>'[93]PP FY2014-15 (As on 26-05-2015)'!C117</f>
        <v>-0.55765140700000004</v>
      </c>
      <c r="W28" s="5132"/>
      <c r="X28" s="5132"/>
      <c r="Y28" s="5132">
        <f>'[93]PP FY2014-15 (As on 26-05-2015)'!C118</f>
        <v>-0.32895217999999998</v>
      </c>
      <c r="Z28" s="5132"/>
      <c r="AA28" s="5132"/>
      <c r="AB28" s="5132">
        <f>'[93]PP FY2014-15 (As on 26-05-2015)'!C119</f>
        <v>-0.16432079999999999</v>
      </c>
      <c r="AC28" s="5132"/>
      <c r="AD28" s="5132"/>
      <c r="AE28" s="5132">
        <f>'[93]PP FY2014-15 (As on 26-05-2015)'!C120</f>
        <v>-0.42736216999999999</v>
      </c>
      <c r="AF28" s="5132"/>
      <c r="AG28" s="5132"/>
      <c r="AH28" s="5132">
        <f>'[93]PP FY2014-15 (As on 26-05-2015)'!C121</f>
        <v>-0.14925047799999999</v>
      </c>
      <c r="AI28" s="5132"/>
      <c r="AJ28" s="5132"/>
      <c r="AK28" s="5132">
        <f>'[93]PP FY2014-15 (As on 26-05-2015)'!C122</f>
        <v>-0.199822</v>
      </c>
      <c r="AL28" s="5132"/>
      <c r="AM28" s="5132"/>
      <c r="AN28" s="5133">
        <f t="shared" si="13"/>
        <v>-5.0799462530000001</v>
      </c>
      <c r="AO28" s="5132"/>
      <c r="AP28" s="5142"/>
      <c r="AQ28" s="5142"/>
      <c r="AR28" s="5134"/>
      <c r="AS28" s="5131"/>
      <c r="AT28" s="5131"/>
      <c r="AU28" s="5134"/>
    </row>
    <row r="29" spans="1:55" s="5135" customFormat="1" ht="47.25">
      <c r="A29" s="5131">
        <f t="shared" si="1"/>
        <v>18</v>
      </c>
      <c r="B29" s="4972" t="s">
        <v>1846</v>
      </c>
      <c r="C29" s="5132"/>
      <c r="D29" s="5132"/>
      <c r="E29" s="5132"/>
      <c r="F29" s="5132"/>
      <c r="G29" s="5132"/>
      <c r="H29" s="5132"/>
      <c r="I29" s="5132"/>
      <c r="J29" s="5132"/>
      <c r="K29" s="5132"/>
      <c r="L29" s="5132"/>
      <c r="M29" s="5132"/>
      <c r="N29" s="5132"/>
      <c r="O29" s="5132"/>
      <c r="P29" s="5132"/>
      <c r="Q29" s="5132"/>
      <c r="R29" s="5132"/>
      <c r="S29" s="5132"/>
      <c r="T29" s="5132"/>
      <c r="U29" s="5132"/>
      <c r="V29" s="5132"/>
      <c r="W29" s="5132"/>
      <c r="X29" s="5132"/>
      <c r="Y29" s="5132"/>
      <c r="Z29" s="5132"/>
      <c r="AA29" s="5132"/>
      <c r="AB29" s="5132"/>
      <c r="AC29" s="5132"/>
      <c r="AD29" s="5132"/>
      <c r="AE29" s="5132"/>
      <c r="AF29" s="5132"/>
      <c r="AG29" s="5132"/>
      <c r="AH29" s="5132"/>
      <c r="AI29" s="5132"/>
      <c r="AJ29" s="5132"/>
      <c r="AK29" s="5132"/>
      <c r="AL29" s="5132"/>
      <c r="AM29" s="5132"/>
      <c r="AN29" s="5133">
        <f t="shared" si="13"/>
        <v>0</v>
      </c>
      <c r="AO29" s="5132"/>
      <c r="AP29" s="5131"/>
      <c r="AQ29" s="5131"/>
      <c r="AR29" s="5134"/>
      <c r="AS29" s="5131">
        <f t="shared" si="18"/>
        <v>0</v>
      </c>
      <c r="AT29" s="5131">
        <f t="shared" si="18"/>
        <v>0</v>
      </c>
      <c r="AU29" s="5134"/>
    </row>
    <row r="30" spans="1:55" s="5135" customFormat="1" ht="47.25">
      <c r="A30" s="5131">
        <f t="shared" si="1"/>
        <v>19</v>
      </c>
      <c r="B30" s="4972" t="s">
        <v>3683</v>
      </c>
      <c r="C30" s="5132"/>
      <c r="D30" s="5132"/>
      <c r="E30" s="5132"/>
      <c r="F30" s="5132"/>
      <c r="G30" s="5132"/>
      <c r="H30" s="5132"/>
      <c r="I30" s="5132"/>
      <c r="J30" s="5132"/>
      <c r="K30" s="5132"/>
      <c r="L30" s="5132"/>
      <c r="M30" s="5132"/>
      <c r="N30" s="5132"/>
      <c r="O30" s="5132"/>
      <c r="P30" s="5132"/>
      <c r="Q30" s="5132"/>
      <c r="R30" s="5132"/>
      <c r="S30" s="5132"/>
      <c r="T30" s="5132"/>
      <c r="U30" s="5132"/>
      <c r="V30" s="5132"/>
      <c r="W30" s="5132"/>
      <c r="X30" s="5132"/>
      <c r="Y30" s="5132"/>
      <c r="Z30" s="5132"/>
      <c r="AA30" s="5132"/>
      <c r="AB30" s="5132"/>
      <c r="AC30" s="5132"/>
      <c r="AD30" s="5132"/>
      <c r="AE30" s="5132"/>
      <c r="AF30" s="5132"/>
      <c r="AG30" s="5132"/>
      <c r="AH30" s="5132"/>
      <c r="AI30" s="5132"/>
      <c r="AJ30" s="5132"/>
      <c r="AK30" s="5132"/>
      <c r="AL30" s="5132"/>
      <c r="AM30" s="5132"/>
      <c r="AN30" s="5133">
        <v>3.73</v>
      </c>
      <c r="AO30" s="5132"/>
      <c r="AP30" s="5131"/>
      <c r="AQ30" s="5131"/>
      <c r="AR30" s="5134"/>
      <c r="AS30" s="5131"/>
      <c r="AT30" s="5131"/>
      <c r="AU30" s="5134"/>
    </row>
    <row r="31" spans="1:55" s="5135" customFormat="1" ht="31.5">
      <c r="A31" s="5131">
        <f t="shared" si="1"/>
        <v>20</v>
      </c>
      <c r="B31" s="4972" t="s">
        <v>3684</v>
      </c>
      <c r="C31" s="5132"/>
      <c r="D31" s="5132"/>
      <c r="E31" s="5132"/>
      <c r="F31" s="5132"/>
      <c r="G31" s="5132"/>
      <c r="H31" s="5132"/>
      <c r="I31" s="5132"/>
      <c r="J31" s="5132"/>
      <c r="K31" s="5132"/>
      <c r="L31" s="5132"/>
      <c r="M31" s="5132"/>
      <c r="N31" s="5132"/>
      <c r="O31" s="5132"/>
      <c r="P31" s="5132"/>
      <c r="Q31" s="5132"/>
      <c r="R31" s="5132"/>
      <c r="S31" s="5132"/>
      <c r="T31" s="5132"/>
      <c r="U31" s="5132"/>
      <c r="V31" s="5132"/>
      <c r="W31" s="5132"/>
      <c r="X31" s="5132"/>
      <c r="Y31" s="5132"/>
      <c r="Z31" s="5132"/>
      <c r="AA31" s="5132"/>
      <c r="AB31" s="5132"/>
      <c r="AC31" s="5132"/>
      <c r="AD31" s="5132"/>
      <c r="AE31" s="5132"/>
      <c r="AF31" s="5132"/>
      <c r="AG31" s="5132"/>
      <c r="AH31" s="5132"/>
      <c r="AI31" s="5132"/>
      <c r="AJ31" s="5132"/>
      <c r="AK31" s="5132"/>
      <c r="AL31" s="5132"/>
      <c r="AM31" s="5132"/>
      <c r="AN31" s="5133">
        <f>'[93]PP FY2014-15 (As on 26-05-2015)'!W26+'[93]PP FY2014-15 (As on 26-05-2015)'!W28+'[93]PP FY2014-15 (As on 26-05-2015)'!W29+'[93]PP FY2014-15 (As on 26-05-2015)'!W30+'[93]PP FY2014-15 (As on 26-05-2015)'!W31+'[93]PP FY2014-15 (As on 26-05-2015)'!W32+'[93]PP FY2014-15 (As on 26-05-2015)'!W33+'[93]PP FY2014-15 (As on 26-05-2015)'!W41+'[93]PP FY2014-15 (As on 26-05-2015)'!W42+'[93]PP FY2014-15 (As on 26-05-2015)'!W43+'[93]PP FY2014-15 (As on 26-05-2015)'!AO43</f>
        <v>22.735485999999995</v>
      </c>
      <c r="AO31" s="5132"/>
      <c r="AP31" s="5131"/>
      <c r="AQ31" s="5131"/>
      <c r="AR31" s="5134"/>
      <c r="AS31" s="5131"/>
      <c r="AT31" s="5131"/>
      <c r="AU31" s="5134"/>
    </row>
    <row r="32" spans="1:55" s="5135" customFormat="1">
      <c r="A32" s="5131">
        <f t="shared" si="1"/>
        <v>21</v>
      </c>
      <c r="B32" s="4973" t="s">
        <v>47</v>
      </c>
      <c r="C32" s="5148">
        <f>SUM(C12:C31)</f>
        <v>431.14456044175324</v>
      </c>
      <c r="D32" s="5148">
        <f>SUM(D12:D31)</f>
        <v>251.36355918000902</v>
      </c>
      <c r="E32" s="5148">
        <f>D32/C32*10</f>
        <v>5.8301456690642333</v>
      </c>
      <c r="F32" s="5148">
        <f>SUM(F12:F31)</f>
        <v>471.44530019294143</v>
      </c>
      <c r="G32" s="5148">
        <f>SUM(G12:G31)</f>
        <v>270.36953767452093</v>
      </c>
      <c r="H32" s="5148">
        <f>G32/F32*10</f>
        <v>5.7349079005320611</v>
      </c>
      <c r="I32" s="5148">
        <f>SUM(I12:I31)</f>
        <v>476.01063569893302</v>
      </c>
      <c r="J32" s="5148">
        <f>SUM(J12:J31)</f>
        <v>281.40883720488472</v>
      </c>
      <c r="K32" s="5148">
        <f>J32/I32*10</f>
        <v>5.9118182683394931</v>
      </c>
      <c r="L32" s="5148">
        <f>SUM(L12:L31)</f>
        <v>424.82494623053969</v>
      </c>
      <c r="M32" s="5148">
        <f>SUM(M12:M31)</f>
        <v>242.15117559402995</v>
      </c>
      <c r="N32" s="5148">
        <f>M32/L32*10</f>
        <v>5.7000225090977077</v>
      </c>
      <c r="O32" s="5148">
        <f>SUM(O12:O31)</f>
        <v>414.47001510756525</v>
      </c>
      <c r="P32" s="5148">
        <f>SUM(P12:P31)</f>
        <v>215.79394670198539</v>
      </c>
      <c r="Q32" s="5148">
        <f>P32/O32*10</f>
        <v>5.2065032170296206</v>
      </c>
      <c r="R32" s="5148">
        <f>SUM(R12:R31)</f>
        <v>418.22349028102809</v>
      </c>
      <c r="S32" s="5148">
        <f>SUM(S12:S31)</f>
        <v>234.81935501629167</v>
      </c>
      <c r="T32" s="5148">
        <f>S32/R32*10</f>
        <v>5.6146859388147519</v>
      </c>
      <c r="U32" s="5148">
        <f>SUM(U12:U31)</f>
        <v>445.0561310754556</v>
      </c>
      <c r="V32" s="5148">
        <f>SUM(V12:V31)</f>
        <v>265.87073956499944</v>
      </c>
      <c r="W32" s="5148">
        <f>V32/U32*10</f>
        <v>5.9738698335092311</v>
      </c>
      <c r="X32" s="5148">
        <f>SUM(X12:X31)</f>
        <v>415.1720388567195</v>
      </c>
      <c r="Y32" s="5148">
        <f>SUM(Y12:Y31)</f>
        <v>247.64034787710179</v>
      </c>
      <c r="Z32" s="5148">
        <f>Y32/X32*10</f>
        <v>5.9647645963596609</v>
      </c>
      <c r="AA32" s="5148">
        <f>SUM(AA12:AA31)</f>
        <v>363.74123977728425</v>
      </c>
      <c r="AB32" s="5148">
        <f>SUM(AB12:AB31)</f>
        <v>208.57206235964509</v>
      </c>
      <c r="AC32" s="5148">
        <f>AB32/AA32*10</f>
        <v>5.7340779529797627</v>
      </c>
      <c r="AD32" s="5148">
        <f>SUM(AD12:AD31)</f>
        <v>331.81441825714035</v>
      </c>
      <c r="AE32" s="5148">
        <f>SUM(AE12:AE31)</f>
        <v>211.64687383698455</v>
      </c>
      <c r="AF32" s="5148">
        <f>AE32/AD32*10</f>
        <v>6.3784712836971513</v>
      </c>
      <c r="AG32" s="5148">
        <f>SUM(AG12:AG31)</f>
        <v>327.33107750278435</v>
      </c>
      <c r="AH32" s="5148">
        <f>SUM(AH12:AH31)</f>
        <v>202.95089125567398</v>
      </c>
      <c r="AI32" s="5148">
        <f>AH32/AG32*10</f>
        <v>6.2001717894918684</v>
      </c>
      <c r="AJ32" s="5148">
        <f>SUM(AJ12:AJ31)</f>
        <v>400.44231005889515</v>
      </c>
      <c r="AK32" s="5148">
        <f>SUM(AK12:AK31)</f>
        <v>223.93595690103717</v>
      </c>
      <c r="AL32" s="5148">
        <f>AK32/AJ32*10</f>
        <v>5.5922151899508759</v>
      </c>
      <c r="AM32" s="5148">
        <f>SUM(AM12:AM31)</f>
        <v>4919.67616348104</v>
      </c>
      <c r="AN32" s="5154">
        <f>SUM(AN12:AN31)</f>
        <v>2805.6674912671647</v>
      </c>
      <c r="AO32" s="5148">
        <f>AN32/AM32*10</f>
        <v>5.7029515724911946</v>
      </c>
      <c r="AP32" s="5155">
        <f>SUM(AP12:AP29)</f>
        <v>6402.22</v>
      </c>
      <c r="AQ32" s="5155">
        <f>SUM(AQ12:AQ29)</f>
        <v>3452.7700000000004</v>
      </c>
      <c r="AR32" s="5131"/>
      <c r="AS32" s="5148">
        <f t="shared" ref="AS32:AT32" si="25">SUM(AS12:AS29)</f>
        <v>5213.0761432913223</v>
      </c>
      <c r="AT32" s="5148">
        <f t="shared" si="25"/>
        <v>2969.4632891650695</v>
      </c>
      <c r="AU32" s="5131"/>
    </row>
    <row r="33" spans="1:47" s="5135" customFormat="1" ht="31.5">
      <c r="A33" s="5131">
        <f t="shared" si="1"/>
        <v>22</v>
      </c>
      <c r="B33" s="5156" t="s">
        <v>250</v>
      </c>
      <c r="C33" s="5132"/>
      <c r="D33" s="5132">
        <f>D32/C32*10</f>
        <v>5.8301456690642333</v>
      </c>
      <c r="E33" s="5132"/>
      <c r="F33" s="5132"/>
      <c r="G33" s="5132">
        <f>G32/F32*10</f>
        <v>5.7349079005320611</v>
      </c>
      <c r="H33" s="5132"/>
      <c r="I33" s="5132"/>
      <c r="J33" s="5132">
        <f>J32/I32*10</f>
        <v>5.9118182683394931</v>
      </c>
      <c r="K33" s="5132"/>
      <c r="L33" s="5132"/>
      <c r="M33" s="5132">
        <f>M32/L32*10</f>
        <v>5.7000225090977077</v>
      </c>
      <c r="N33" s="5132"/>
      <c r="O33" s="5132"/>
      <c r="P33" s="5132">
        <f>P32/O32*10</f>
        <v>5.2065032170296206</v>
      </c>
      <c r="Q33" s="5132"/>
      <c r="R33" s="5132"/>
      <c r="S33" s="5132">
        <f>S32/R32*10</f>
        <v>5.6146859388147519</v>
      </c>
      <c r="T33" s="5132"/>
      <c r="U33" s="5132"/>
      <c r="V33" s="5132">
        <f>V32/U32*10</f>
        <v>5.9738698335092311</v>
      </c>
      <c r="W33" s="5132"/>
      <c r="X33" s="5132"/>
      <c r="Y33" s="5132">
        <f>Y32/X32*10</f>
        <v>5.9647645963596609</v>
      </c>
      <c r="Z33" s="5132"/>
      <c r="AA33" s="5132"/>
      <c r="AB33" s="5132">
        <f>AB32/AA32*10</f>
        <v>5.7340779529797627</v>
      </c>
      <c r="AC33" s="5132"/>
      <c r="AD33" s="5132"/>
      <c r="AE33" s="5132">
        <f>AE32/AD32*10</f>
        <v>6.3784712836971513</v>
      </c>
      <c r="AF33" s="5132"/>
      <c r="AG33" s="5132"/>
      <c r="AH33" s="5132">
        <f>AH32/AG32*10</f>
        <v>6.2001717894918684</v>
      </c>
      <c r="AI33" s="5132"/>
      <c r="AJ33" s="5132"/>
      <c r="AK33" s="5132">
        <f>AK32/AJ32*10</f>
        <v>5.5922151899508759</v>
      </c>
      <c r="AL33" s="5132"/>
      <c r="AM33" s="5132"/>
      <c r="AN33" s="5133">
        <f>AN32/AM32*10</f>
        <v>5.7029515724911946</v>
      </c>
      <c r="AO33" s="5132"/>
      <c r="AP33" s="5132"/>
      <c r="AQ33" s="5132">
        <f>AQ32/AP32*10</f>
        <v>5.3930823995426591</v>
      </c>
      <c r="AR33" s="5132"/>
      <c r="AS33" s="5132"/>
      <c r="AT33" s="5132">
        <f>AT32/AS32*10</f>
        <v>5.6961824603050442</v>
      </c>
      <c r="AU33" s="5132"/>
    </row>
    <row r="35" spans="1:47">
      <c r="B35" s="1068" t="s">
        <v>3685</v>
      </c>
      <c r="AM35" s="5157"/>
      <c r="AN35" s="5157"/>
      <c r="AO35" s="5158"/>
    </row>
    <row r="36" spans="1:47">
      <c r="B36" s="5512" t="s">
        <v>3686</v>
      </c>
      <c r="C36" s="5512"/>
      <c r="D36" s="5512"/>
      <c r="E36" s="5512"/>
      <c r="F36" s="5512"/>
      <c r="G36" s="5512"/>
      <c r="H36" s="5512"/>
      <c r="I36" s="5512"/>
      <c r="J36" s="5512"/>
      <c r="K36" s="5512"/>
      <c r="L36" s="5159"/>
      <c r="M36" s="5159"/>
      <c r="N36" s="5159"/>
      <c r="O36" s="5159"/>
      <c r="P36" s="5159"/>
      <c r="Q36" s="5159"/>
      <c r="R36" s="5159"/>
      <c r="S36" s="5159"/>
      <c r="T36" s="5159"/>
      <c r="U36" s="5159"/>
      <c r="V36" s="5159"/>
      <c r="W36" s="5159"/>
      <c r="X36" s="5159"/>
      <c r="Y36" s="5159"/>
      <c r="Z36" s="5159"/>
      <c r="AA36" s="5159"/>
      <c r="AB36" s="5159"/>
      <c r="AC36" s="5159"/>
      <c r="AD36" s="5159"/>
      <c r="AE36" s="5159"/>
      <c r="AF36" s="5159"/>
      <c r="AG36" s="5159"/>
      <c r="AH36" s="5159"/>
      <c r="AI36" s="5159"/>
      <c r="AJ36" s="5159"/>
      <c r="AK36" s="5159"/>
      <c r="AL36" s="5159"/>
      <c r="AM36" s="5159"/>
      <c r="AN36" s="5160"/>
      <c r="AO36" s="5159"/>
    </row>
    <row r="37" spans="1:47">
      <c r="B37" s="5494" t="s">
        <v>3727</v>
      </c>
      <c r="C37" s="5494"/>
      <c r="D37" s="5494"/>
      <c r="E37" s="5494"/>
      <c r="F37" s="5494"/>
      <c r="G37" s="5494"/>
      <c r="H37" s="5494"/>
      <c r="I37" s="5494"/>
      <c r="J37" s="5494"/>
      <c r="K37" s="5494"/>
      <c r="L37" s="5161"/>
      <c r="M37" s="5161"/>
      <c r="N37" s="5161"/>
      <c r="AN37" s="5157"/>
    </row>
    <row r="38" spans="1:47">
      <c r="B38" s="5512" t="s">
        <v>3728</v>
      </c>
      <c r="C38" s="5512"/>
      <c r="D38" s="5512"/>
      <c r="E38" s="5512"/>
      <c r="F38" s="5512"/>
      <c r="G38" s="5512"/>
      <c r="H38" s="5512"/>
      <c r="I38" s="5512"/>
      <c r="J38" s="5512"/>
      <c r="K38" s="5512"/>
      <c r="L38" s="5159"/>
      <c r="M38" s="5159"/>
      <c r="N38" s="5159"/>
      <c r="O38" s="5159"/>
      <c r="P38" s="5159"/>
      <c r="Q38" s="5159"/>
      <c r="R38" s="5159"/>
      <c r="S38" s="5159"/>
      <c r="T38" s="5159"/>
      <c r="U38" s="5159"/>
      <c r="V38" s="5159"/>
      <c r="W38" s="5159"/>
      <c r="X38" s="5159"/>
      <c r="Y38" s="5159"/>
      <c r="Z38" s="5159"/>
      <c r="AA38" s="5159"/>
      <c r="AB38" s="5159"/>
      <c r="AC38" s="5159"/>
      <c r="AD38" s="5159"/>
      <c r="AE38" s="5159"/>
      <c r="AF38" s="5159"/>
      <c r="AG38" s="5159"/>
      <c r="AH38" s="5159"/>
      <c r="AI38" s="5159"/>
      <c r="AJ38" s="5159"/>
      <c r="AK38" s="5159"/>
      <c r="AL38" s="5159"/>
      <c r="AM38" s="5159"/>
      <c r="AN38" s="5159"/>
      <c r="AO38" s="5159"/>
    </row>
    <row r="39" spans="1:47">
      <c r="B39" s="5513" t="s">
        <v>3729</v>
      </c>
      <c r="C39" s="5513"/>
      <c r="D39" s="5513"/>
      <c r="E39" s="5513"/>
      <c r="F39" s="5513"/>
      <c r="G39" s="5513"/>
      <c r="H39" s="5513"/>
      <c r="I39" s="5513"/>
      <c r="J39" s="5513"/>
      <c r="K39" s="5513"/>
    </row>
    <row r="41" spans="1:47">
      <c r="C41" s="5157"/>
      <c r="F41" s="5157"/>
      <c r="I41" s="5157"/>
      <c r="L41" s="5157"/>
      <c r="O41" s="5157"/>
      <c r="R41" s="5157"/>
    </row>
    <row r="45" spans="1:47" ht="31.5">
      <c r="A45" s="1068" t="s">
        <v>3710</v>
      </c>
      <c r="D45" s="482" t="s">
        <v>3723</v>
      </c>
      <c r="E45" s="5162" t="s">
        <v>83</v>
      </c>
      <c r="F45" s="5163" t="s">
        <v>3724</v>
      </c>
      <c r="G45" s="5163" t="s">
        <v>3209</v>
      </c>
    </row>
    <row r="46" spans="1:47" ht="47.25">
      <c r="A46" s="5163" t="s">
        <v>2245</v>
      </c>
      <c r="B46" s="5164" t="s">
        <v>83</v>
      </c>
      <c r="D46" s="482" t="s">
        <v>3730</v>
      </c>
      <c r="E46" s="5162">
        <f>C20+F20+I20+L20+O20+R20</f>
        <v>114.90423532816078</v>
      </c>
      <c r="F46" s="5162">
        <f>D20+G20+J20+M20+P20+S20</f>
        <v>43.375410600000002</v>
      </c>
      <c r="G46" s="5143">
        <f>F46/E46*10</f>
        <v>3.7749183462317109</v>
      </c>
      <c r="H46" s="5165"/>
      <c r="I46" s="5165"/>
      <c r="J46" s="5166"/>
      <c r="K46" s="5166"/>
      <c r="L46" s="5166"/>
      <c r="M46" s="5166"/>
      <c r="N46" s="5166"/>
      <c r="O46" s="5166"/>
      <c r="P46" s="5166"/>
      <c r="Q46" s="5166"/>
      <c r="R46" s="5166"/>
    </row>
    <row r="47" spans="1:47" ht="47.25">
      <c r="A47" s="5167">
        <v>41883</v>
      </c>
      <c r="B47" s="5164">
        <v>12.417999999999999</v>
      </c>
      <c r="D47" s="482" t="s">
        <v>3731</v>
      </c>
      <c r="E47" s="5162">
        <f>U20+X20+AA20+AD20+AG20+AJ20</f>
        <v>218.80859606627916</v>
      </c>
      <c r="F47" s="5162">
        <f>E47*G47/10</f>
        <v>82.598458360380093</v>
      </c>
      <c r="G47" s="5162">
        <v>3.7749183462317109</v>
      </c>
      <c r="H47" s="5166"/>
      <c r="I47" s="5166"/>
      <c r="J47" s="5166"/>
      <c r="K47" s="5166"/>
      <c r="L47" s="5166"/>
      <c r="M47" s="5166"/>
      <c r="N47" s="5166"/>
      <c r="O47" s="5166"/>
      <c r="P47" s="5166"/>
      <c r="Q47" s="5166"/>
      <c r="R47" s="5166"/>
    </row>
    <row r="48" spans="1:47">
      <c r="A48" s="5167">
        <v>41913</v>
      </c>
      <c r="B48" s="5164">
        <v>3.28132</v>
      </c>
      <c r="D48" s="5168" t="s">
        <v>47</v>
      </c>
      <c r="E48" s="5143">
        <f>SUM(E46:E47)</f>
        <v>333.71283139443995</v>
      </c>
      <c r="F48" s="5143">
        <f>SUM(F46:F47)</f>
        <v>125.97386896038009</v>
      </c>
      <c r="G48" s="5143">
        <f>F48/E48*10</f>
        <v>3.7749183462317104</v>
      </c>
      <c r="H48" s="5166"/>
      <c r="I48" s="5166"/>
      <c r="J48" s="5166"/>
      <c r="K48" s="5166"/>
      <c r="L48" s="5166"/>
      <c r="M48" s="5166"/>
      <c r="N48" s="5166"/>
      <c r="O48" s="5166"/>
      <c r="P48" s="5166"/>
      <c r="Q48" s="5166"/>
      <c r="R48" s="5166"/>
    </row>
    <row r="49" spans="1:18">
      <c r="A49" s="5167">
        <v>41944</v>
      </c>
      <c r="B49" s="5164">
        <v>1.00875</v>
      </c>
      <c r="H49" s="5166"/>
      <c r="I49" s="5166"/>
      <c r="J49" s="5166"/>
      <c r="K49" s="5166"/>
      <c r="L49" s="5166"/>
      <c r="M49" s="5166"/>
      <c r="N49" s="5166"/>
      <c r="O49" s="5166"/>
      <c r="P49" s="5166"/>
      <c r="Q49" s="5166"/>
      <c r="R49" s="5166"/>
    </row>
    <row r="50" spans="1:18">
      <c r="A50" s="5167">
        <v>41974</v>
      </c>
      <c r="B50" s="5164">
        <v>2.1106799999999999</v>
      </c>
      <c r="F50" s="5166"/>
      <c r="G50" s="5166"/>
      <c r="H50" s="5166"/>
      <c r="I50" s="5166"/>
      <c r="J50" s="5166"/>
      <c r="K50" s="5166"/>
      <c r="L50" s="5166"/>
      <c r="M50" s="5166"/>
      <c r="N50" s="5166"/>
      <c r="O50" s="5166"/>
      <c r="P50" s="5166"/>
      <c r="Q50" s="5166"/>
      <c r="R50" s="5166"/>
    </row>
    <row r="51" spans="1:18">
      <c r="A51" s="5167">
        <v>42005</v>
      </c>
      <c r="B51" s="5164">
        <v>0</v>
      </c>
      <c r="D51" s="5164" t="s">
        <v>3725</v>
      </c>
      <c r="E51" s="5169"/>
      <c r="F51" s="5169"/>
      <c r="G51" s="5169"/>
      <c r="H51" s="5166"/>
      <c r="I51" s="5166"/>
      <c r="J51" s="5166"/>
      <c r="K51" s="5166"/>
      <c r="L51" s="5166"/>
      <c r="M51" s="5166"/>
      <c r="N51" s="5166"/>
      <c r="O51" s="5166"/>
      <c r="P51" s="5166"/>
      <c r="Q51" s="5166"/>
      <c r="R51" s="5166"/>
    </row>
    <row r="52" spans="1:18" ht="47.25">
      <c r="A52" s="5167">
        <v>42036</v>
      </c>
      <c r="B52" s="5164">
        <v>2.26125</v>
      </c>
      <c r="D52" s="482" t="s">
        <v>3732</v>
      </c>
      <c r="E52" s="5162">
        <f>C21+F21+I21+L21+O21</f>
        <v>20.693750000000001</v>
      </c>
      <c r="F52" s="5162">
        <f>D21+G21+J21+M21+P21</f>
        <v>11.385584009999999</v>
      </c>
      <c r="G52" s="5143">
        <f>F52/E52*10</f>
        <v>5.5019433452129256</v>
      </c>
      <c r="H52" s="5166"/>
      <c r="I52" s="5166"/>
      <c r="J52" s="5166"/>
      <c r="K52" s="5166"/>
      <c r="L52" s="5166"/>
      <c r="M52" s="5166"/>
      <c r="N52" s="5166"/>
      <c r="O52" s="5166"/>
      <c r="P52" s="5166"/>
      <c r="Q52" s="5166"/>
      <c r="R52" s="5166"/>
    </row>
    <row r="53" spans="1:18" ht="47.25">
      <c r="A53" s="5167">
        <v>42064</v>
      </c>
      <c r="B53" s="5164">
        <v>0.6</v>
      </c>
      <c r="D53" s="482" t="s">
        <v>3733</v>
      </c>
      <c r="E53" s="5163">
        <f>B54</f>
        <v>21.68</v>
      </c>
      <c r="F53" s="5162">
        <f>E53*G53/10</f>
        <v>11.928213172421623</v>
      </c>
      <c r="G53" s="5162">
        <v>5.5019433452129256</v>
      </c>
      <c r="H53" s="5166"/>
      <c r="I53" s="5166"/>
      <c r="J53" s="5166"/>
      <c r="K53" s="5166"/>
      <c r="L53" s="5166"/>
      <c r="M53" s="5166"/>
      <c r="N53" s="5166"/>
      <c r="O53" s="5166"/>
      <c r="P53" s="5166"/>
      <c r="Q53" s="5166"/>
      <c r="R53" s="5166"/>
    </row>
    <row r="54" spans="1:18">
      <c r="A54" s="5164" t="s">
        <v>499</v>
      </c>
      <c r="B54" s="5164">
        <f>SUM(B47:B53)</f>
        <v>21.68</v>
      </c>
      <c r="D54" s="5168" t="s">
        <v>47</v>
      </c>
      <c r="E54" s="5143">
        <f>SUM(E52:E53)</f>
        <v>42.373750000000001</v>
      </c>
      <c r="F54" s="5143">
        <f>SUM(F52:F53)</f>
        <v>23.313797182421624</v>
      </c>
      <c r="G54" s="5143">
        <f>F54/E54*10</f>
        <v>5.5019433452129265</v>
      </c>
      <c r="H54" s="5166"/>
      <c r="I54" s="5166"/>
      <c r="J54" s="5166"/>
      <c r="K54" s="5166"/>
      <c r="L54" s="5166"/>
      <c r="M54" s="5166"/>
      <c r="N54" s="5166"/>
      <c r="O54" s="5166"/>
      <c r="P54" s="5166"/>
      <c r="Q54" s="5166"/>
      <c r="R54" s="5166"/>
    </row>
    <row r="55" spans="1:18">
      <c r="D55" s="5166"/>
      <c r="E55" s="5165"/>
      <c r="F55" s="5165"/>
      <c r="G55" s="5165"/>
    </row>
    <row r="56" spans="1:18">
      <c r="D56" s="5166"/>
      <c r="E56" s="5165"/>
      <c r="F56" s="5165"/>
      <c r="G56" s="5165"/>
    </row>
    <row r="57" spans="1:18">
      <c r="D57" s="5166"/>
      <c r="E57" s="5170"/>
      <c r="F57" s="5170"/>
      <c r="G57" s="5170"/>
    </row>
    <row r="58" spans="1:18">
      <c r="D58" s="5166"/>
      <c r="E58" s="5166"/>
      <c r="F58" s="5166"/>
      <c r="G58" s="5166"/>
    </row>
    <row r="59" spans="1:18">
      <c r="D59" s="5166"/>
      <c r="E59" s="5166"/>
      <c r="F59" s="5165"/>
      <c r="G59" s="5166"/>
    </row>
    <row r="60" spans="1:18">
      <c r="D60" s="5166"/>
      <c r="E60" s="5166"/>
      <c r="F60" s="5166"/>
      <c r="G60" s="5166"/>
    </row>
  </sheetData>
  <mergeCells count="32">
    <mergeCell ref="AA10:AC10"/>
    <mergeCell ref="AO3:AP3"/>
    <mergeCell ref="AO4:AP4"/>
    <mergeCell ref="AT7:AU7"/>
    <mergeCell ref="A8:A11"/>
    <mergeCell ref="B8:B11"/>
    <mergeCell ref="AP9:AR9"/>
    <mergeCell ref="AS9:AU9"/>
    <mergeCell ref="C10:E10"/>
    <mergeCell ref="F10:H10"/>
    <mergeCell ref="I10:K10"/>
    <mergeCell ref="AX10:AX12"/>
    <mergeCell ref="AY10:BC10"/>
    <mergeCell ref="AY11:AY12"/>
    <mergeCell ref="BA11:BA12"/>
    <mergeCell ref="BC11:BC12"/>
    <mergeCell ref="B36:K36"/>
    <mergeCell ref="B37:K37"/>
    <mergeCell ref="B38:K38"/>
    <mergeCell ref="B39:K39"/>
    <mergeCell ref="AW10:AW12"/>
    <mergeCell ref="AD10:AF10"/>
    <mergeCell ref="AG10:AI10"/>
    <mergeCell ref="AJ10:AL10"/>
    <mergeCell ref="AM10:AO10"/>
    <mergeCell ref="AP10:AR10"/>
    <mergeCell ref="AS10:AU10"/>
    <mergeCell ref="L10:N10"/>
    <mergeCell ref="O10:Q10"/>
    <mergeCell ref="R10:T10"/>
    <mergeCell ref="U10:W10"/>
    <mergeCell ref="X10:Z10"/>
  </mergeCells>
  <pageMargins left="0.56000000000000005" right="0.7" top="1.61" bottom="0.63" header="0.3" footer="0.3"/>
  <pageSetup scale="47" orientation="landscape" r:id="rId1"/>
  <legacyDrawing r:id="rId2"/>
</worksheet>
</file>

<file path=xl/worksheets/sheet28.xml><?xml version="1.0" encoding="utf-8"?>
<worksheet xmlns="http://schemas.openxmlformats.org/spreadsheetml/2006/main" xmlns:r="http://schemas.openxmlformats.org/officeDocument/2006/relationships">
  <sheetPr codeName="Sheet22">
    <tabColor rgb="FF00B050"/>
  </sheetPr>
  <dimension ref="A2:AF203"/>
  <sheetViews>
    <sheetView zoomScale="80" zoomScaleNormal="80" zoomScaleSheetLayoutView="80" workbookViewId="0">
      <selection activeCell="F16" sqref="F16"/>
    </sheetView>
  </sheetViews>
  <sheetFormatPr defaultRowHeight="15"/>
  <cols>
    <col min="1" max="1" width="9.140625" style="4010"/>
    <col min="2" max="2" width="7.28515625" style="4010" bestFit="1" customWidth="1"/>
    <col min="3" max="3" width="36.28515625" style="4010" bestFit="1" customWidth="1"/>
    <col min="4" max="4" width="16.140625" style="4010" customWidth="1"/>
    <col min="5" max="5" width="20.28515625" style="4010" customWidth="1"/>
    <col min="6" max="6" width="20.140625" style="4010" customWidth="1"/>
    <col min="7" max="7" width="16.28515625" style="4010" customWidth="1"/>
    <col min="8" max="8" width="18.85546875" style="4010" customWidth="1"/>
    <col min="9" max="9" width="19.140625" style="4010" customWidth="1"/>
    <col min="10" max="10" width="23.140625" style="4010" customWidth="1"/>
    <col min="11" max="11" width="19.28515625" style="4010" customWidth="1"/>
    <col min="12" max="16384" width="9.140625" style="4010"/>
  </cols>
  <sheetData>
    <row r="2" spans="2:7">
      <c r="B2" s="3920" t="s">
        <v>84</v>
      </c>
      <c r="C2" s="3920" t="s">
        <v>81</v>
      </c>
      <c r="D2" s="3920" t="s">
        <v>85</v>
      </c>
      <c r="E2" s="3920" t="s">
        <v>2442</v>
      </c>
      <c r="F2" s="3920" t="s">
        <v>2443</v>
      </c>
    </row>
    <row r="3" spans="2:7">
      <c r="B3" s="3866">
        <v>1</v>
      </c>
      <c r="C3" s="3422" t="s">
        <v>87</v>
      </c>
      <c r="D3" s="3866" t="s">
        <v>83</v>
      </c>
      <c r="E3" s="4011">
        <f>F1.2!M8</f>
        <v>4418.8313277799989</v>
      </c>
      <c r="F3" s="4011">
        <f>F1.2!O8</f>
        <v>4593.6293562891042</v>
      </c>
    </row>
    <row r="4" spans="2:7">
      <c r="B4" s="3866">
        <f>B3+1</f>
        <v>2</v>
      </c>
      <c r="C4" s="3422" t="s">
        <v>88</v>
      </c>
      <c r="D4" s="3866" t="s">
        <v>89</v>
      </c>
      <c r="E4" s="4066">
        <f>F1.2!M9</f>
        <v>6.5317048767100511E-2</v>
      </c>
      <c r="F4" s="4066">
        <f>F1.2!O9</f>
        <v>6.4955550000000001E-2</v>
      </c>
    </row>
    <row r="5" spans="2:7">
      <c r="B5" s="3866">
        <f>B4+1</f>
        <v>3</v>
      </c>
      <c r="C5" s="3422" t="s">
        <v>90</v>
      </c>
      <c r="D5" s="3866" t="s">
        <v>83</v>
      </c>
      <c r="E5" s="4011">
        <f>F1.2!M10</f>
        <v>4727.6258991899995</v>
      </c>
      <c r="F5" s="4011">
        <f>F1.2!O10</f>
        <v>4912.7390214327288</v>
      </c>
    </row>
    <row r="6" spans="2:7">
      <c r="B6" s="3866">
        <f>B5+1</f>
        <v>4</v>
      </c>
      <c r="C6" s="3422" t="s">
        <v>91</v>
      </c>
      <c r="D6" s="3866" t="s">
        <v>89</v>
      </c>
      <c r="E6" s="4066">
        <f>F1.2!M11</f>
        <v>3.9037176006957046E-2</v>
      </c>
      <c r="F6" s="4066">
        <f>F1.2!O11</f>
        <v>4.0800000000000003E-2</v>
      </c>
    </row>
    <row r="7" spans="2:7">
      <c r="B7" s="4067">
        <f>B6+1</f>
        <v>5</v>
      </c>
      <c r="C7" s="4068" t="s">
        <v>92</v>
      </c>
      <c r="D7" s="4067" t="s">
        <v>83</v>
      </c>
      <c r="E7" s="4069">
        <f>F1.2!M12</f>
        <v>4919.67616348104</v>
      </c>
      <c r="F7" s="4069">
        <f>F1.2!O12</f>
        <v>5121.7045677989245</v>
      </c>
      <c r="G7" s="4012"/>
    </row>
    <row r="9" spans="2:7">
      <c r="B9" s="4012" t="s">
        <v>3100</v>
      </c>
    </row>
    <row r="10" spans="2:7">
      <c r="B10" s="3920" t="s">
        <v>84</v>
      </c>
      <c r="C10" s="3920" t="s">
        <v>81</v>
      </c>
      <c r="D10" s="3920" t="s">
        <v>85</v>
      </c>
      <c r="E10" s="3920" t="s">
        <v>2442</v>
      </c>
      <c r="F10" s="3920" t="s">
        <v>2443</v>
      </c>
    </row>
    <row r="11" spans="2:7">
      <c r="B11" s="3866">
        <v>1</v>
      </c>
      <c r="C11" s="4013" t="s">
        <v>3101</v>
      </c>
      <c r="D11" s="4013" t="s">
        <v>89</v>
      </c>
      <c r="E11" s="4014">
        <v>5.0000000000000001E-3</v>
      </c>
      <c r="F11" s="4014">
        <v>5.0000000000000001E-3</v>
      </c>
    </row>
    <row r="12" spans="2:7">
      <c r="B12" s="3866">
        <f t="shared" ref="B12:B15" si="0">B11+1</f>
        <v>2</v>
      </c>
      <c r="C12" s="4013" t="s">
        <v>3102</v>
      </c>
      <c r="D12" s="4013" t="s">
        <v>83</v>
      </c>
      <c r="E12" s="4015">
        <f>E$7*$E$11</f>
        <v>24.5983808174052</v>
      </c>
      <c r="F12" s="4015">
        <f>F$7*$E$11</f>
        <v>25.608522838994624</v>
      </c>
    </row>
    <row r="13" spans="2:7">
      <c r="B13" s="3866">
        <f t="shared" si="0"/>
        <v>3</v>
      </c>
      <c r="C13" s="4013" t="s">
        <v>3103</v>
      </c>
      <c r="D13" s="4013" t="s">
        <v>89</v>
      </c>
      <c r="E13" s="4014">
        <v>8.5000000000000006E-2</v>
      </c>
      <c r="F13" s="4014">
        <v>8.5000000000000006E-2</v>
      </c>
    </row>
    <row r="14" spans="2:7">
      <c r="B14" s="3866">
        <f t="shared" si="0"/>
        <v>4</v>
      </c>
      <c r="C14" s="4013" t="s">
        <v>3104</v>
      </c>
      <c r="D14" s="4013" t="s">
        <v>83</v>
      </c>
      <c r="E14" s="4015">
        <f>E$7*$E$13</f>
        <v>418.17247389588846</v>
      </c>
      <c r="F14" s="4015">
        <f>F$7*$E$13</f>
        <v>435.34488826290863</v>
      </c>
    </row>
    <row r="15" spans="2:7">
      <c r="B15" s="3868">
        <f t="shared" si="0"/>
        <v>5</v>
      </c>
      <c r="C15" s="4016" t="s">
        <v>3105</v>
      </c>
      <c r="D15" s="4016" t="s">
        <v>83</v>
      </c>
      <c r="E15" s="4017">
        <f>E14+E12</f>
        <v>442.77085471329366</v>
      </c>
      <c r="F15" s="4017">
        <f>F14+F12</f>
        <v>460.95341110190327</v>
      </c>
    </row>
    <row r="16" spans="2:7">
      <c r="B16" s="3866"/>
      <c r="C16" s="4013" t="s">
        <v>94</v>
      </c>
      <c r="D16" s="4013"/>
      <c r="E16" s="4015"/>
      <c r="F16" s="4015"/>
    </row>
    <row r="17" spans="1:10">
      <c r="B17" s="3866">
        <f>B15+1</f>
        <v>6</v>
      </c>
      <c r="C17" s="4013" t="s">
        <v>3106</v>
      </c>
      <c r="D17" s="4013" t="s">
        <v>83</v>
      </c>
      <c r="E17" s="4018">
        <f>J48</f>
        <v>4115.4487054000001</v>
      </c>
      <c r="F17" s="4018">
        <f>K48</f>
        <v>4013.4873514000001</v>
      </c>
    </row>
    <row r="18" spans="1:10">
      <c r="B18" s="3866">
        <f t="shared" ref="B18" si="1">B17+1</f>
        <v>7</v>
      </c>
      <c r="C18" s="4013" t="s">
        <v>3107</v>
      </c>
      <c r="D18" s="4013" t="s">
        <v>83</v>
      </c>
      <c r="E18" s="4018">
        <f>H48</f>
        <v>5267.4621134000008</v>
      </c>
      <c r="F18" s="4018">
        <f>I48</f>
        <v>5676.6118334000012</v>
      </c>
    </row>
    <row r="19" spans="1:10">
      <c r="B19" s="3680"/>
      <c r="C19" s="4019"/>
      <c r="D19" s="4019"/>
      <c r="E19" s="4019"/>
      <c r="F19" s="4019"/>
    </row>
    <row r="20" spans="1:10">
      <c r="B20" s="3866">
        <f>B18+1</f>
        <v>8</v>
      </c>
      <c r="C20" s="4013" t="s">
        <v>2013</v>
      </c>
      <c r="D20" s="4013" t="s">
        <v>83</v>
      </c>
      <c r="E20" s="4015">
        <f>E7-D26-E176-E159</f>
        <v>923.3828707959517</v>
      </c>
      <c r="F20" s="4015">
        <f>F7-F26-F176-F159</f>
        <v>901.68190971893682</v>
      </c>
    </row>
    <row r="22" spans="1:10">
      <c r="A22" s="4020"/>
      <c r="B22" s="4021" t="s">
        <v>3108</v>
      </c>
      <c r="C22" s="4020"/>
      <c r="D22" s="4020"/>
      <c r="E22" s="4020"/>
      <c r="F22" s="4020"/>
      <c r="G22" s="4020"/>
      <c r="H22" s="4020"/>
    </row>
    <row r="23" spans="1:10">
      <c r="A23" s="4020"/>
      <c r="B23" s="4020"/>
      <c r="C23" s="4020"/>
      <c r="D23" s="4020"/>
      <c r="E23" s="4020"/>
      <c r="F23" s="4020"/>
      <c r="G23" s="4020"/>
      <c r="H23" s="4020"/>
    </row>
    <row r="24" spans="1:10">
      <c r="A24" s="4020"/>
      <c r="B24" s="5526" t="s">
        <v>84</v>
      </c>
      <c r="C24" s="5526" t="s">
        <v>95</v>
      </c>
      <c r="D24" s="5424" t="s">
        <v>2442</v>
      </c>
      <c r="E24" s="5424"/>
      <c r="F24" s="5424" t="s">
        <v>2443</v>
      </c>
      <c r="G24" s="5424"/>
      <c r="H24" s="4020"/>
    </row>
    <row r="25" spans="1:10">
      <c r="A25" s="4020"/>
      <c r="B25" s="5527"/>
      <c r="C25" s="5527"/>
      <c r="D25" s="4022" t="s">
        <v>83</v>
      </c>
      <c r="E25" s="4022" t="s">
        <v>151</v>
      </c>
      <c r="F25" s="4022" t="s">
        <v>83</v>
      </c>
      <c r="G25" s="4022" t="s">
        <v>151</v>
      </c>
      <c r="H25" s="4020"/>
    </row>
    <row r="26" spans="1:10">
      <c r="A26" s="4020"/>
      <c r="B26" s="4023">
        <v>1</v>
      </c>
      <c r="C26" s="4023" t="s">
        <v>245</v>
      </c>
      <c r="D26" s="4024">
        <f>'TPC G'!G47</f>
        <v>3527.8822987891999</v>
      </c>
      <c r="E26" s="4024">
        <f>'TPC G'!$G$52</f>
        <v>1773.5099659814232</v>
      </c>
      <c r="F26" s="4024">
        <f>'TPC G'!$H$47</f>
        <v>3751.4848810000003</v>
      </c>
      <c r="G26" s="4024">
        <f>'TPC G'!$H$52</f>
        <v>1824.5126407420685</v>
      </c>
      <c r="H26" s="4020"/>
      <c r="I26" s="4350"/>
      <c r="J26" s="4350"/>
    </row>
    <row r="27" spans="1:10">
      <c r="A27" s="4020"/>
      <c r="B27" s="4023">
        <f>B26+1</f>
        <v>2</v>
      </c>
      <c r="C27" s="4023" t="s">
        <v>3109</v>
      </c>
      <c r="D27" s="4024">
        <f>$E$139</f>
        <v>31.499999999999964</v>
      </c>
      <c r="E27" s="4024">
        <f>$E$141</f>
        <v>26.96399999999997</v>
      </c>
      <c r="F27" s="4024">
        <f>$F$139</f>
        <v>31.499999999999964</v>
      </c>
      <c r="G27" s="4024">
        <f>$F$141</f>
        <v>26.96399999999997</v>
      </c>
      <c r="H27" s="4020"/>
    </row>
    <row r="28" spans="1:10">
      <c r="A28" s="4020"/>
      <c r="B28" s="4023">
        <f t="shared" ref="B28:B31" si="2">B27+1</f>
        <v>3</v>
      </c>
      <c r="C28" s="4023" t="s">
        <v>3110</v>
      </c>
      <c r="D28" s="4024">
        <f>$E$130</f>
        <v>0</v>
      </c>
      <c r="E28" s="4024">
        <f>$E$132</f>
        <v>0</v>
      </c>
      <c r="F28" s="4024">
        <f>$F$130</f>
        <v>0</v>
      </c>
      <c r="G28" s="4024">
        <f>$F$132</f>
        <v>0</v>
      </c>
      <c r="H28" s="4020"/>
    </row>
    <row r="29" spans="1:10">
      <c r="A29" s="4020"/>
      <c r="B29" s="4023">
        <f t="shared" si="2"/>
        <v>4</v>
      </c>
      <c r="C29" s="4023" t="s">
        <v>3111</v>
      </c>
      <c r="D29" s="4024">
        <f>$E$146</f>
        <v>418.17247389588846</v>
      </c>
      <c r="E29" s="4024">
        <f>$E$148</f>
        <v>277.24835019297404</v>
      </c>
      <c r="F29" s="4024">
        <f>$F$146</f>
        <v>435.34488826290863</v>
      </c>
      <c r="G29" s="4024">
        <f>$F$148</f>
        <v>288.63366091830841</v>
      </c>
      <c r="H29" s="4020"/>
    </row>
    <row r="30" spans="1:10">
      <c r="A30" s="4020"/>
      <c r="B30" s="4023">
        <f t="shared" si="2"/>
        <v>5</v>
      </c>
      <c r="C30" s="4023" t="s">
        <v>3292</v>
      </c>
      <c r="D30" s="4024">
        <f>$E$159</f>
        <v>18.738520000000001</v>
      </c>
      <c r="E30" s="4024">
        <f>$E$163</f>
        <v>14.409921880000002</v>
      </c>
      <c r="F30" s="4024">
        <f>$F$159</f>
        <v>1.692888817078753</v>
      </c>
      <c r="G30" s="4024">
        <f>$F$163</f>
        <v>1.3018315003335612</v>
      </c>
      <c r="H30" s="4020"/>
    </row>
    <row r="31" spans="1:10">
      <c r="A31" s="4020"/>
      <c r="B31" s="4023">
        <f t="shared" si="2"/>
        <v>6</v>
      </c>
      <c r="C31" s="4023" t="s">
        <v>3181</v>
      </c>
      <c r="D31" s="4024">
        <f>$F$201</f>
        <v>923.3828707959517</v>
      </c>
      <c r="E31" s="4024">
        <f>$F$203</f>
        <v>306.65552636819905</v>
      </c>
      <c r="F31" s="4024">
        <f>$G$201</f>
        <v>901.68190971893682</v>
      </c>
      <c r="G31" s="4024">
        <f>$G$203</f>
        <v>298.69096619692363</v>
      </c>
      <c r="H31" s="4020"/>
    </row>
    <row r="32" spans="1:10">
      <c r="A32" s="4020"/>
      <c r="B32" s="4023"/>
      <c r="C32" s="4025" t="s">
        <v>47</v>
      </c>
      <c r="D32" s="4026">
        <f>SUM(D26:D31)</f>
        <v>4919.67616348104</v>
      </c>
      <c r="E32" s="4026">
        <f t="shared" ref="E32:G32" si="3">SUM(E26:E31)</f>
        <v>2398.7877644225964</v>
      </c>
      <c r="F32" s="4026">
        <f t="shared" si="3"/>
        <v>5121.7045677989245</v>
      </c>
      <c r="G32" s="4026">
        <f t="shared" si="3"/>
        <v>2440.1030993576342</v>
      </c>
      <c r="H32" s="4020"/>
    </row>
    <row r="33" spans="1:32">
      <c r="A33" s="4020"/>
      <c r="B33" s="4027"/>
      <c r="C33" s="4028"/>
      <c r="D33" s="4029"/>
      <c r="E33" s="4029"/>
      <c r="F33" s="4029"/>
      <c r="G33" s="4029"/>
      <c r="H33" s="4020"/>
    </row>
    <row r="34" spans="1:32">
      <c r="B34" s="4019"/>
      <c r="C34" s="4030" t="s">
        <v>3660</v>
      </c>
      <c r="D34" s="4031">
        <f>SUM(D27:D30)</f>
        <v>468.4109938958884</v>
      </c>
      <c r="E34" s="4031">
        <f t="shared" ref="E34:G34" si="4">SUM(E27:E30)</f>
        <v>318.622272072974</v>
      </c>
      <c r="F34" s="4031">
        <f t="shared" si="4"/>
        <v>468.53777707998734</v>
      </c>
      <c r="G34" s="4031">
        <f t="shared" si="4"/>
        <v>316.89949241864196</v>
      </c>
    </row>
    <row r="36" spans="1:32">
      <c r="A36" s="4032"/>
      <c r="B36" s="4033" t="s">
        <v>3112</v>
      </c>
      <c r="C36" s="4032"/>
      <c r="D36" s="4032"/>
      <c r="E36" s="4032"/>
      <c r="F36" s="4032"/>
      <c r="G36" s="4032"/>
      <c r="H36" s="4032"/>
      <c r="I36" s="4032"/>
      <c r="J36" s="4032"/>
      <c r="K36" s="4032"/>
      <c r="L36" s="4032"/>
      <c r="M36" s="4032"/>
      <c r="N36" s="4032"/>
      <c r="O36" s="4032"/>
      <c r="P36" s="4032"/>
      <c r="Q36" s="4032"/>
      <c r="R36" s="4032"/>
      <c r="S36" s="4032"/>
      <c r="T36" s="4032"/>
      <c r="U36" s="4032"/>
      <c r="V36" s="4032"/>
      <c r="W36" s="4032"/>
      <c r="X36" s="4032"/>
      <c r="Y36" s="4032"/>
      <c r="Z36" s="4032"/>
      <c r="AA36" s="4032"/>
      <c r="AB36" s="4032"/>
      <c r="AC36" s="4032"/>
      <c r="AD36" s="4032"/>
      <c r="AE36" s="4032"/>
      <c r="AF36" s="4032"/>
    </row>
    <row r="37" spans="1:32">
      <c r="B37" s="4012"/>
    </row>
    <row r="38" spans="1:32">
      <c r="B38" s="4012" t="s">
        <v>3113</v>
      </c>
      <c r="C38" s="4012"/>
    </row>
    <row r="39" spans="1:32" ht="78.75" customHeight="1">
      <c r="B39" s="3920" t="s">
        <v>84</v>
      </c>
      <c r="C39" s="3920" t="s">
        <v>81</v>
      </c>
      <c r="D39" s="3581" t="s">
        <v>3114</v>
      </c>
      <c r="E39" s="3581" t="s">
        <v>3115</v>
      </c>
      <c r="F39" s="3581" t="s">
        <v>3116</v>
      </c>
      <c r="G39" s="3581" t="s">
        <v>3117</v>
      </c>
      <c r="H39" s="3581" t="s">
        <v>3118</v>
      </c>
      <c r="I39" s="3581" t="s">
        <v>3119</v>
      </c>
      <c r="J39" s="3581" t="s">
        <v>3120</v>
      </c>
      <c r="K39" s="3581" t="s">
        <v>3121</v>
      </c>
    </row>
    <row r="40" spans="1:32">
      <c r="B40" s="4013">
        <v>1</v>
      </c>
      <c r="C40" s="4013" t="s">
        <v>3122</v>
      </c>
      <c r="D40" s="4013">
        <v>108</v>
      </c>
      <c r="E40" s="4013">
        <v>214.62</v>
      </c>
      <c r="F40" s="4013">
        <v>59.62</v>
      </c>
      <c r="G40" s="4034">
        <v>0.45019999999999999</v>
      </c>
      <c r="H40" s="4018">
        <f t="shared" ref="H40:I47" si="5">E40*$G40</f>
        <v>96.621923999999993</v>
      </c>
      <c r="I40" s="4018">
        <f t="shared" si="5"/>
        <v>26.840923999999998</v>
      </c>
      <c r="J40" s="4018">
        <f>H40*0</f>
        <v>0</v>
      </c>
      <c r="K40" s="4018">
        <f>I40*0</f>
        <v>0</v>
      </c>
    </row>
    <row r="41" spans="1:32">
      <c r="B41" s="4013">
        <f>B40+1</f>
        <v>2</v>
      </c>
      <c r="C41" s="4013" t="s">
        <v>3123</v>
      </c>
      <c r="D41" s="4013">
        <v>500</v>
      </c>
      <c r="E41" s="4013">
        <v>3906.52</v>
      </c>
      <c r="F41" s="4013">
        <v>3648.85</v>
      </c>
      <c r="G41" s="4034">
        <v>0.51170000000000004</v>
      </c>
      <c r="H41" s="4018">
        <f t="shared" si="5"/>
        <v>1998.9662840000001</v>
      </c>
      <c r="I41" s="4018">
        <f t="shared" si="5"/>
        <v>1867.1165450000001</v>
      </c>
      <c r="J41" s="4018">
        <f>H41</f>
        <v>1998.9662840000001</v>
      </c>
      <c r="K41" s="4018">
        <f t="shared" ref="J41:K47" si="6">I41</f>
        <v>1867.1165450000001</v>
      </c>
    </row>
    <row r="42" spans="1:32">
      <c r="B42" s="4013">
        <f t="shared" ref="B42:B48" si="7">B41+1</f>
        <v>3</v>
      </c>
      <c r="C42" s="4013" t="s">
        <v>3124</v>
      </c>
      <c r="D42" s="4013">
        <v>500</v>
      </c>
      <c r="E42" s="4013">
        <v>2062.52</v>
      </c>
      <c r="F42" s="4013">
        <v>3197.74</v>
      </c>
      <c r="G42" s="4034">
        <v>0.51170000000000004</v>
      </c>
      <c r="H42" s="4018">
        <f t="shared" si="5"/>
        <v>1055.391484</v>
      </c>
      <c r="I42" s="4018">
        <f t="shared" si="5"/>
        <v>1636.2835580000001</v>
      </c>
      <c r="J42" s="4018">
        <f>H42*0</f>
        <v>0</v>
      </c>
      <c r="K42" s="4018">
        <f>I42*0</f>
        <v>0</v>
      </c>
    </row>
    <row r="43" spans="1:32">
      <c r="B43" s="4013">
        <f t="shared" si="7"/>
        <v>4</v>
      </c>
      <c r="C43" s="4013" t="s">
        <v>3125</v>
      </c>
      <c r="D43" s="4013">
        <v>180</v>
      </c>
      <c r="E43" s="4013">
        <v>1477.15</v>
      </c>
      <c r="F43" s="4013">
        <v>1481.2</v>
      </c>
      <c r="G43" s="4034">
        <v>0.51170000000000004</v>
      </c>
      <c r="H43" s="4018">
        <f t="shared" si="5"/>
        <v>755.85765500000014</v>
      </c>
      <c r="I43" s="4018">
        <f t="shared" si="5"/>
        <v>757.93004000000008</v>
      </c>
      <c r="J43" s="4018">
        <f>H43</f>
        <v>755.85765500000014</v>
      </c>
      <c r="K43" s="4018">
        <f t="shared" si="6"/>
        <v>757.93004000000008</v>
      </c>
    </row>
    <row r="44" spans="1:32">
      <c r="B44" s="4013">
        <f t="shared" si="7"/>
        <v>5</v>
      </c>
      <c r="C44" s="4013" t="s">
        <v>3126</v>
      </c>
      <c r="D44" s="4013">
        <v>250</v>
      </c>
      <c r="E44" s="4013">
        <v>1692.75</v>
      </c>
      <c r="F44" s="4013">
        <v>1762.29</v>
      </c>
      <c r="G44" s="4034">
        <v>0.4</v>
      </c>
      <c r="H44" s="4018">
        <f t="shared" si="5"/>
        <v>677.1</v>
      </c>
      <c r="I44" s="4018">
        <f t="shared" si="5"/>
        <v>704.91600000000005</v>
      </c>
      <c r="J44" s="4018">
        <f t="shared" si="6"/>
        <v>677.1</v>
      </c>
      <c r="K44" s="4018">
        <f t="shared" si="6"/>
        <v>704.91600000000005</v>
      </c>
    </row>
    <row r="45" spans="1:32">
      <c r="B45" s="4013">
        <f t="shared" si="7"/>
        <v>6</v>
      </c>
      <c r="C45" s="4013" t="s">
        <v>3127</v>
      </c>
      <c r="D45" s="4013">
        <v>300</v>
      </c>
      <c r="E45" s="4015">
        <f>912.75*(1-1.78%)</f>
        <v>896.50304999999992</v>
      </c>
      <c r="F45" s="4015">
        <f>912.75*(1-1.78%)</f>
        <v>896.50304999999992</v>
      </c>
      <c r="G45" s="4034">
        <v>0.51170000000000004</v>
      </c>
      <c r="H45" s="4018">
        <f t="shared" si="5"/>
        <v>458.74061068499998</v>
      </c>
      <c r="I45" s="4018">
        <f>F45*$G45</f>
        <v>458.74061068499998</v>
      </c>
      <c r="J45" s="4018">
        <f t="shared" si="6"/>
        <v>458.74061068499998</v>
      </c>
      <c r="K45" s="4018">
        <f t="shared" si="6"/>
        <v>458.74061068499998</v>
      </c>
    </row>
    <row r="46" spans="1:32">
      <c r="B46" s="4013">
        <f t="shared" si="7"/>
        <v>7</v>
      </c>
      <c r="C46" s="4013" t="s">
        <v>3128</v>
      </c>
      <c r="D46" s="4013">
        <v>75</v>
      </c>
      <c r="E46" s="4015">
        <f>228.19*(1-1.78%)</f>
        <v>224.12821799999998</v>
      </c>
      <c r="F46" s="4015">
        <f>228.19*(1-1.78%)</f>
        <v>224.12821799999998</v>
      </c>
      <c r="G46" s="4034">
        <v>0.51170000000000004</v>
      </c>
      <c r="H46" s="4018">
        <f t="shared" si="5"/>
        <v>114.6864091506</v>
      </c>
      <c r="I46" s="4018">
        <f t="shared" si="5"/>
        <v>114.6864091506</v>
      </c>
      <c r="J46" s="4018">
        <f t="shared" si="6"/>
        <v>114.6864091506</v>
      </c>
      <c r="K46" s="4018">
        <f t="shared" si="6"/>
        <v>114.6864091506</v>
      </c>
    </row>
    <row r="47" spans="1:32">
      <c r="B47" s="4013">
        <f t="shared" si="7"/>
        <v>8</v>
      </c>
      <c r="C47" s="4013" t="s">
        <v>3129</v>
      </c>
      <c r="D47" s="4013">
        <v>72</v>
      </c>
      <c r="E47" s="4015">
        <f>219.06*(1-1.78%)</f>
        <v>215.160732</v>
      </c>
      <c r="F47" s="4015">
        <f>219.06*(1-1.78%)</f>
        <v>215.160732</v>
      </c>
      <c r="G47" s="4034">
        <v>0.51170000000000004</v>
      </c>
      <c r="H47" s="4018">
        <f t="shared" si="5"/>
        <v>110.09774656440001</v>
      </c>
      <c r="I47" s="4018">
        <f t="shared" si="5"/>
        <v>110.09774656440001</v>
      </c>
      <c r="J47" s="4018">
        <f t="shared" si="6"/>
        <v>110.09774656440001</v>
      </c>
      <c r="K47" s="4018">
        <f t="shared" si="6"/>
        <v>110.09774656440001</v>
      </c>
      <c r="O47" s="4060"/>
    </row>
    <row r="48" spans="1:32">
      <c r="B48" s="4013">
        <f t="shared" si="7"/>
        <v>9</v>
      </c>
      <c r="C48" s="4016" t="s">
        <v>47</v>
      </c>
      <c r="D48" s="4013">
        <f>SUM(D40:D47)</f>
        <v>1985</v>
      </c>
      <c r="E48" s="4018">
        <f>SUM(E40:E47)</f>
        <v>10689.351999999999</v>
      </c>
      <c r="F48" s="4018">
        <f>SUM(F40:F47)</f>
        <v>11485.492</v>
      </c>
      <c r="G48" s="4013"/>
      <c r="H48" s="4018">
        <f>SUM(H40:H47)</f>
        <v>5267.4621134000008</v>
      </c>
      <c r="I48" s="4018">
        <f t="shared" ref="I48:K48" si="8">SUM(I40:I47)</f>
        <v>5676.6118334000012</v>
      </c>
      <c r="J48" s="4018">
        <f>SUM(J40:J47)</f>
        <v>4115.4487054000001</v>
      </c>
      <c r="K48" s="4018">
        <f t="shared" si="8"/>
        <v>4013.4873514000001</v>
      </c>
    </row>
    <row r="49" spans="2:9">
      <c r="F49" s="4035"/>
    </row>
    <row r="50" spans="2:9">
      <c r="B50" s="4012" t="s">
        <v>3130</v>
      </c>
      <c r="F50" s="4035"/>
    </row>
    <row r="51" spans="2:9" ht="78.75" customHeight="1">
      <c r="B51" s="3920" t="s">
        <v>84</v>
      </c>
      <c r="C51" s="3920" t="s">
        <v>81</v>
      </c>
      <c r="D51" s="3581" t="s">
        <v>2898</v>
      </c>
      <c r="E51" s="3581" t="s">
        <v>3131</v>
      </c>
      <c r="F51" s="3581" t="s">
        <v>3132</v>
      </c>
      <c r="G51" s="3581" t="s">
        <v>3117</v>
      </c>
      <c r="H51" s="3581" t="s">
        <v>3133</v>
      </c>
      <c r="I51" s="3581" t="s">
        <v>3134</v>
      </c>
    </row>
    <row r="52" spans="2:9">
      <c r="B52" s="4013">
        <v>1</v>
      </c>
      <c r="C52" s="4013" t="s">
        <v>3122</v>
      </c>
      <c r="D52" s="4013" t="s">
        <v>151</v>
      </c>
      <c r="E52" s="4036">
        <f>E87</f>
        <v>18.13</v>
      </c>
      <c r="F52" s="4036">
        <f t="shared" ref="F52:F56" si="9">F87</f>
        <v>9.23</v>
      </c>
      <c r="G52" s="4034">
        <v>0.45019999999999999</v>
      </c>
      <c r="H52" s="4015">
        <f t="shared" ref="H52:I59" si="10">E52*$G52</f>
        <v>8.1621259999999989</v>
      </c>
      <c r="I52" s="4015">
        <f t="shared" si="10"/>
        <v>4.1553459999999998</v>
      </c>
    </row>
    <row r="53" spans="2:9">
      <c r="B53" s="4013">
        <f>B52+1</f>
        <v>2</v>
      </c>
      <c r="C53" s="4013" t="s">
        <v>3123</v>
      </c>
      <c r="D53" s="4013" t="s">
        <v>151</v>
      </c>
      <c r="E53" s="4036">
        <f t="shared" ref="E53:E56" si="11">E88</f>
        <v>401.44</v>
      </c>
      <c r="F53" s="4036">
        <f t="shared" si="9"/>
        <v>386.8</v>
      </c>
      <c r="G53" s="4034">
        <v>0.51170000000000004</v>
      </c>
      <c r="H53" s="4015">
        <f t="shared" si="10"/>
        <v>205.41684800000002</v>
      </c>
      <c r="I53" s="4015">
        <f t="shared" si="10"/>
        <v>197.92556000000002</v>
      </c>
    </row>
    <row r="54" spans="2:9">
      <c r="B54" s="4013">
        <f t="shared" ref="B54:B60" si="12">B53+1</f>
        <v>3</v>
      </c>
      <c r="C54" s="4013" t="s">
        <v>3124</v>
      </c>
      <c r="D54" s="4013" t="s">
        <v>151</v>
      </c>
      <c r="E54" s="4036">
        <f t="shared" si="11"/>
        <v>338.99</v>
      </c>
      <c r="F54" s="4036">
        <f t="shared" si="9"/>
        <v>414.13</v>
      </c>
      <c r="G54" s="4034">
        <v>0.51170000000000004</v>
      </c>
      <c r="H54" s="4015">
        <f t="shared" si="10"/>
        <v>173.46118300000001</v>
      </c>
      <c r="I54" s="4015">
        <f t="shared" si="10"/>
        <v>211.91032100000001</v>
      </c>
    </row>
    <row r="55" spans="2:9">
      <c r="B55" s="4013">
        <f t="shared" si="12"/>
        <v>4</v>
      </c>
      <c r="C55" s="4013" t="s">
        <v>3125</v>
      </c>
      <c r="D55" s="4013" t="s">
        <v>151</v>
      </c>
      <c r="E55" s="4036">
        <f t="shared" si="11"/>
        <v>172.88</v>
      </c>
      <c r="F55" s="4036">
        <f t="shared" si="9"/>
        <v>170</v>
      </c>
      <c r="G55" s="4034">
        <v>0.51170000000000004</v>
      </c>
      <c r="H55" s="4015">
        <f t="shared" si="10"/>
        <v>88.462696000000008</v>
      </c>
      <c r="I55" s="4015">
        <f t="shared" si="10"/>
        <v>86.989000000000004</v>
      </c>
    </row>
    <row r="56" spans="2:9">
      <c r="B56" s="4013">
        <f t="shared" si="12"/>
        <v>5</v>
      </c>
      <c r="C56" s="4013" t="s">
        <v>3126</v>
      </c>
      <c r="D56" s="4013" t="s">
        <v>151</v>
      </c>
      <c r="E56" s="4036">
        <f t="shared" si="11"/>
        <v>281.17</v>
      </c>
      <c r="F56" s="4036">
        <f t="shared" si="9"/>
        <v>283.25</v>
      </c>
      <c r="G56" s="4034">
        <v>0.4</v>
      </c>
      <c r="H56" s="4015">
        <f t="shared" si="10"/>
        <v>112.46800000000002</v>
      </c>
      <c r="I56" s="4015">
        <f t="shared" si="10"/>
        <v>113.30000000000001</v>
      </c>
    </row>
    <row r="57" spans="2:9">
      <c r="B57" s="4013">
        <f t="shared" si="12"/>
        <v>6</v>
      </c>
      <c r="C57" s="4013" t="s">
        <v>3127</v>
      </c>
      <c r="D57" s="4013" t="s">
        <v>151</v>
      </c>
      <c r="E57" s="4013">
        <f>E97</f>
        <v>72.28</v>
      </c>
      <c r="F57" s="4013">
        <f t="shared" ref="F57:F59" si="13">F97</f>
        <v>68.84</v>
      </c>
      <c r="G57" s="4034">
        <v>0.51170000000000004</v>
      </c>
      <c r="H57" s="4015">
        <f t="shared" si="10"/>
        <v>36.985676000000005</v>
      </c>
      <c r="I57" s="4015">
        <f t="shared" si="10"/>
        <v>35.225428000000008</v>
      </c>
    </row>
    <row r="58" spans="2:9">
      <c r="B58" s="4013">
        <f t="shared" si="12"/>
        <v>7</v>
      </c>
      <c r="C58" s="4013" t="s">
        <v>3128</v>
      </c>
      <c r="D58" s="4013" t="s">
        <v>151</v>
      </c>
      <c r="E58" s="4013">
        <f t="shared" ref="E58:E59" si="14">E98</f>
        <v>33.630000000000003</v>
      </c>
      <c r="F58" s="4013">
        <f t="shared" si="13"/>
        <v>34.33</v>
      </c>
      <c r="G58" s="4034">
        <v>0.51170000000000004</v>
      </c>
      <c r="H58" s="4015">
        <f t="shared" si="10"/>
        <v>17.208471000000003</v>
      </c>
      <c r="I58" s="4015">
        <f t="shared" si="10"/>
        <v>17.566661</v>
      </c>
    </row>
    <row r="59" spans="2:9">
      <c r="B59" s="4013">
        <f t="shared" si="12"/>
        <v>8</v>
      </c>
      <c r="C59" s="4013" t="s">
        <v>3129</v>
      </c>
      <c r="D59" s="4013" t="s">
        <v>151</v>
      </c>
      <c r="E59" s="4013">
        <f t="shared" si="14"/>
        <v>47.93</v>
      </c>
      <c r="F59" s="4013">
        <f t="shared" si="13"/>
        <v>50.21</v>
      </c>
      <c r="G59" s="4034">
        <v>0.51170000000000004</v>
      </c>
      <c r="H59" s="4015">
        <f t="shared" si="10"/>
        <v>24.525781000000002</v>
      </c>
      <c r="I59" s="4015">
        <f t="shared" si="10"/>
        <v>25.692457000000001</v>
      </c>
    </row>
    <row r="60" spans="2:9">
      <c r="B60" s="4013">
        <f t="shared" si="12"/>
        <v>9</v>
      </c>
      <c r="C60" s="4016" t="s">
        <v>47</v>
      </c>
      <c r="D60" s="4013"/>
      <c r="E60" s="4018">
        <f>SUM(E52:E59)</f>
        <v>1366.45</v>
      </c>
      <c r="F60" s="4018">
        <f>SUM(F52:F59)</f>
        <v>1416.79</v>
      </c>
      <c r="G60" s="4013"/>
      <c r="H60" s="4015">
        <f>SUM(H52:H59)</f>
        <v>666.69078100000013</v>
      </c>
      <c r="I60" s="4015">
        <f>SUM(I52:I59)</f>
        <v>692.76477299999988</v>
      </c>
    </row>
    <row r="61" spans="2:9">
      <c r="F61" s="4035"/>
    </row>
    <row r="62" spans="2:9">
      <c r="B62" s="4012" t="s">
        <v>3135</v>
      </c>
      <c r="F62" s="4035"/>
    </row>
    <row r="63" spans="2:9">
      <c r="B63" s="5425" t="s">
        <v>84</v>
      </c>
      <c r="C63" s="5425" t="s">
        <v>81</v>
      </c>
      <c r="D63" s="5430" t="s">
        <v>2442</v>
      </c>
      <c r="E63" s="5430"/>
      <c r="F63" s="5430"/>
      <c r="G63" s="5430" t="s">
        <v>2443</v>
      </c>
      <c r="H63" s="5430"/>
      <c r="I63" s="5430"/>
    </row>
    <row r="64" spans="2:9" ht="28.5">
      <c r="B64" s="5425"/>
      <c r="C64" s="5425"/>
      <c r="D64" s="3581" t="s">
        <v>3136</v>
      </c>
      <c r="E64" s="3581" t="s">
        <v>3137</v>
      </c>
      <c r="F64" s="3581" t="s">
        <v>3135</v>
      </c>
      <c r="G64" s="3581" t="s">
        <v>3136</v>
      </c>
      <c r="H64" s="3581" t="s">
        <v>3137</v>
      </c>
      <c r="I64" s="3581" t="s">
        <v>3135</v>
      </c>
    </row>
    <row r="65" spans="1:9">
      <c r="B65" s="4013">
        <v>1</v>
      </c>
      <c r="C65" s="4013" t="s">
        <v>3122</v>
      </c>
      <c r="D65" s="4018">
        <f>J40</f>
        <v>0</v>
      </c>
      <c r="E65" s="4036">
        <f>E101</f>
        <v>14.04</v>
      </c>
      <c r="F65" s="4037">
        <f>D65*E65/10</f>
        <v>0</v>
      </c>
      <c r="G65" s="4018">
        <f>K40</f>
        <v>0</v>
      </c>
      <c r="H65" s="4036">
        <f>F101</f>
        <v>14.06</v>
      </c>
      <c r="I65" s="4037">
        <f>G65*H65/10</f>
        <v>0</v>
      </c>
    </row>
    <row r="66" spans="1:9">
      <c r="B66" s="4013">
        <f>B65+1</f>
        <v>2</v>
      </c>
      <c r="C66" s="4013" t="s">
        <v>3123</v>
      </c>
      <c r="D66" s="4018">
        <f t="shared" ref="D66:D72" si="15">J41</f>
        <v>1998.9662840000001</v>
      </c>
      <c r="E66" s="4036">
        <f>E104</f>
        <v>3.9</v>
      </c>
      <c r="F66" s="4037">
        <f>D66*E66/10</f>
        <v>779.59685076000005</v>
      </c>
      <c r="G66" s="4018">
        <f t="shared" ref="G66:G72" si="16">K41</f>
        <v>1867.1165450000001</v>
      </c>
      <c r="H66" s="4036">
        <f>F104</f>
        <v>3.91</v>
      </c>
      <c r="I66" s="4037">
        <f t="shared" ref="I66:I72" si="17">G66*H66/10</f>
        <v>730.04256909500009</v>
      </c>
    </row>
    <row r="67" spans="1:9">
      <c r="B67" s="4013">
        <f t="shared" ref="B67:B73" si="18">B66+1</f>
        <v>3</v>
      </c>
      <c r="C67" s="4013" t="s">
        <v>3124</v>
      </c>
      <c r="D67" s="4018">
        <f t="shared" si="15"/>
        <v>0</v>
      </c>
      <c r="E67" s="4036">
        <f>E105</f>
        <v>10.59</v>
      </c>
      <c r="F67" s="4037">
        <f t="shared" ref="F67:F72" si="19">D67*E67/10</f>
        <v>0</v>
      </c>
      <c r="G67" s="4018">
        <f t="shared" si="16"/>
        <v>0</v>
      </c>
      <c r="H67" s="4036">
        <f>F105</f>
        <v>0</v>
      </c>
      <c r="I67" s="4037">
        <f>G67*H67/10</f>
        <v>0</v>
      </c>
    </row>
    <row r="68" spans="1:9">
      <c r="B68" s="4013">
        <f t="shared" si="18"/>
        <v>4</v>
      </c>
      <c r="C68" s="4013" t="s">
        <v>3125</v>
      </c>
      <c r="D68" s="4018">
        <f t="shared" si="15"/>
        <v>755.85765500000014</v>
      </c>
      <c r="E68" s="4036">
        <f>E107</f>
        <v>2.0099999999999998</v>
      </c>
      <c r="F68" s="4037">
        <f t="shared" si="19"/>
        <v>151.92738865500002</v>
      </c>
      <c r="G68" s="4018">
        <f t="shared" si="16"/>
        <v>757.93004000000008</v>
      </c>
      <c r="H68" s="4036">
        <f>F107</f>
        <v>2.02</v>
      </c>
      <c r="I68" s="4037">
        <f t="shared" si="17"/>
        <v>153.10186808</v>
      </c>
    </row>
    <row r="69" spans="1:9">
      <c r="B69" s="4013">
        <f t="shared" si="18"/>
        <v>5</v>
      </c>
      <c r="C69" s="4013" t="s">
        <v>3126</v>
      </c>
      <c r="D69" s="4018">
        <f t="shared" si="15"/>
        <v>677.1</v>
      </c>
      <c r="E69" s="4036">
        <f>E109</f>
        <v>3.85</v>
      </c>
      <c r="F69" s="4037">
        <f t="shared" si="19"/>
        <v>260.68349999999998</v>
      </c>
      <c r="G69" s="4018">
        <f t="shared" si="16"/>
        <v>704.91600000000005</v>
      </c>
      <c r="H69" s="4036">
        <f>F109</f>
        <v>3.85</v>
      </c>
      <c r="I69" s="4037">
        <f t="shared" si="17"/>
        <v>271.39266000000003</v>
      </c>
    </row>
    <row r="70" spans="1:9">
      <c r="B70" s="4013">
        <f t="shared" si="18"/>
        <v>6</v>
      </c>
      <c r="C70" s="4013" t="s">
        <v>3127</v>
      </c>
      <c r="D70" s="4018">
        <f t="shared" si="15"/>
        <v>458.74061068499998</v>
      </c>
      <c r="E70" s="4013">
        <f>E110</f>
        <v>0.90400000000000003</v>
      </c>
      <c r="F70" s="4037">
        <f t="shared" si="19"/>
        <v>41.470151205923997</v>
      </c>
      <c r="G70" s="4018">
        <f t="shared" si="16"/>
        <v>458.74061068499998</v>
      </c>
      <c r="H70" s="4013">
        <f>F110</f>
        <v>0.90900000000000003</v>
      </c>
      <c r="I70" s="4037">
        <f t="shared" si="17"/>
        <v>41.699521511266497</v>
      </c>
    </row>
    <row r="71" spans="1:9">
      <c r="B71" s="4013">
        <f t="shared" si="18"/>
        <v>7</v>
      </c>
      <c r="C71" s="4013" t="s">
        <v>3128</v>
      </c>
      <c r="D71" s="4018">
        <f t="shared" si="15"/>
        <v>114.6864091506</v>
      </c>
      <c r="E71" s="4013">
        <f t="shared" ref="E71:E72" si="20">E111</f>
        <v>1.6559999999999999</v>
      </c>
      <c r="F71" s="4037">
        <f t="shared" si="19"/>
        <v>18.99206935533936</v>
      </c>
      <c r="G71" s="4018">
        <f t="shared" si="16"/>
        <v>114.6864091506</v>
      </c>
      <c r="H71" s="4013">
        <f>F111</f>
        <v>1.671</v>
      </c>
      <c r="I71" s="4037">
        <f t="shared" si="17"/>
        <v>19.164098969065261</v>
      </c>
    </row>
    <row r="72" spans="1:9">
      <c r="B72" s="4013">
        <f t="shared" si="18"/>
        <v>8</v>
      </c>
      <c r="C72" s="4013" t="s">
        <v>3129</v>
      </c>
      <c r="D72" s="4018">
        <f t="shared" si="15"/>
        <v>110.09774656440001</v>
      </c>
      <c r="E72" s="4013">
        <f t="shared" si="20"/>
        <v>2.5710000000000002</v>
      </c>
      <c r="F72" s="4037">
        <f t="shared" si="19"/>
        <v>28.306130641707245</v>
      </c>
      <c r="G72" s="4018">
        <f t="shared" si="16"/>
        <v>110.09774656440001</v>
      </c>
      <c r="H72" s="4013">
        <f>F112</f>
        <v>2.657</v>
      </c>
      <c r="I72" s="4037">
        <f t="shared" si="17"/>
        <v>29.252971262161083</v>
      </c>
    </row>
    <row r="73" spans="1:9">
      <c r="B73" s="4013">
        <f t="shared" si="18"/>
        <v>9</v>
      </c>
      <c r="C73" s="4016" t="s">
        <v>47</v>
      </c>
      <c r="D73" s="4018">
        <f>SUM(D65:D72)</f>
        <v>4115.4487054000001</v>
      </c>
      <c r="E73" s="4017">
        <f>F73/D73*10</f>
        <v>3.112603709377217</v>
      </c>
      <c r="F73" s="4015">
        <f>SUM(F65:F72)</f>
        <v>1280.9760906179706</v>
      </c>
      <c r="G73" s="4018">
        <f t="shared" ref="G73:I73" si="21">SUM(G65:G72)</f>
        <v>4013.4873514000001</v>
      </c>
      <c r="H73" s="4017">
        <f>I73/G73*10</f>
        <v>3.1011775544361142</v>
      </c>
      <c r="I73" s="4015">
        <f t="shared" si="21"/>
        <v>1244.6536889174929</v>
      </c>
    </row>
    <row r="74" spans="1:9">
      <c r="B74" s="4012"/>
      <c r="F74" s="4035"/>
    </row>
    <row r="75" spans="1:9">
      <c r="A75" s="4038"/>
      <c r="B75" s="4039" t="s">
        <v>3138</v>
      </c>
      <c r="C75" s="4038"/>
      <c r="D75" s="4038"/>
      <c r="E75" s="4038"/>
      <c r="F75" s="4040"/>
      <c r="G75" s="4038"/>
    </row>
    <row r="76" spans="1:9">
      <c r="A76" s="4038"/>
      <c r="B76" s="4041" t="s">
        <v>84</v>
      </c>
      <c r="C76" s="4041" t="s">
        <v>81</v>
      </c>
      <c r="D76" s="4041" t="s">
        <v>85</v>
      </c>
      <c r="E76" s="4042" t="s">
        <v>2442</v>
      </c>
      <c r="F76" s="4042" t="s">
        <v>2443</v>
      </c>
      <c r="G76" s="4038"/>
    </row>
    <row r="77" spans="1:9">
      <c r="A77" s="4038"/>
      <c r="B77" s="4043">
        <v>1</v>
      </c>
      <c r="C77" s="4043" t="s">
        <v>3139</v>
      </c>
      <c r="D77" s="4043" t="s">
        <v>83</v>
      </c>
      <c r="E77" s="4044">
        <f>J48</f>
        <v>4115.4487054000001</v>
      </c>
      <c r="F77" s="4044">
        <f>K48</f>
        <v>4013.4873514000001</v>
      </c>
      <c r="G77" s="4038"/>
    </row>
    <row r="78" spans="1:9">
      <c r="A78" s="4038"/>
      <c r="B78" s="4043">
        <f>B77+1</f>
        <v>2</v>
      </c>
      <c r="C78" s="4043" t="s">
        <v>3140</v>
      </c>
      <c r="D78" s="4043" t="s">
        <v>151</v>
      </c>
      <c r="E78" s="4045">
        <f>H60</f>
        <v>666.69078100000013</v>
      </c>
      <c r="F78" s="4045">
        <f>I60</f>
        <v>692.76477299999988</v>
      </c>
      <c r="G78" s="4038"/>
    </row>
    <row r="79" spans="1:9">
      <c r="A79" s="4038"/>
      <c r="B79" s="4043">
        <f t="shared" ref="B79:B81" si="22">B78+1</f>
        <v>3</v>
      </c>
      <c r="C79" s="4043" t="s">
        <v>3141</v>
      </c>
      <c r="D79" s="4043" t="s">
        <v>151</v>
      </c>
      <c r="E79" s="4045">
        <f>F73</f>
        <v>1280.9760906179706</v>
      </c>
      <c r="F79" s="4044">
        <f>I73</f>
        <v>1244.6536889174929</v>
      </c>
      <c r="G79" s="4038"/>
    </row>
    <row r="80" spans="1:9">
      <c r="A80" s="4038"/>
      <c r="B80" s="4043">
        <f t="shared" si="22"/>
        <v>4</v>
      </c>
      <c r="C80" s="4043" t="s">
        <v>3142</v>
      </c>
      <c r="D80" s="4043" t="s">
        <v>151</v>
      </c>
      <c r="E80" s="4045">
        <f>SUM(E78:E79)</f>
        <v>1947.6668716179706</v>
      </c>
      <c r="F80" s="4045">
        <f>SUM(F78:F79)</f>
        <v>1937.4184619174928</v>
      </c>
      <c r="G80" s="4038"/>
    </row>
    <row r="81" spans="1:7">
      <c r="A81" s="4038"/>
      <c r="B81" s="4043">
        <f t="shared" si="22"/>
        <v>5</v>
      </c>
      <c r="C81" s="4043" t="s">
        <v>3143</v>
      </c>
      <c r="D81" s="4046" t="s">
        <v>3144</v>
      </c>
      <c r="E81" s="4045">
        <f>E80/E77*10</f>
        <v>4.7325747714031285</v>
      </c>
      <c r="F81" s="4045">
        <f t="shared" ref="F81" si="23">F80/F77*10</f>
        <v>4.8272693851686741</v>
      </c>
      <c r="G81" s="4038"/>
    </row>
    <row r="82" spans="1:7">
      <c r="A82" s="4038"/>
      <c r="B82" s="4039"/>
      <c r="C82" s="4038"/>
      <c r="D82" s="4038"/>
      <c r="E82" s="4038"/>
      <c r="F82" s="4040"/>
      <c r="G82" s="4038"/>
    </row>
    <row r="83" spans="1:7">
      <c r="B83" s="4012"/>
      <c r="F83" s="4035"/>
    </row>
    <row r="84" spans="1:7">
      <c r="B84" s="4012" t="s">
        <v>3145</v>
      </c>
    </row>
    <row r="85" spans="1:7">
      <c r="B85" s="3920" t="s">
        <v>84</v>
      </c>
      <c r="C85" s="4047" t="s">
        <v>81</v>
      </c>
      <c r="D85" s="4047" t="s">
        <v>1921</v>
      </c>
      <c r="E85" s="4048" t="s">
        <v>2442</v>
      </c>
      <c r="F85" s="4048" t="s">
        <v>2443</v>
      </c>
    </row>
    <row r="86" spans="1:7">
      <c r="B86" s="1317">
        <v>1</v>
      </c>
      <c r="C86" s="4049" t="s">
        <v>3146</v>
      </c>
      <c r="D86" s="4049"/>
      <c r="E86" s="4050"/>
      <c r="F86" s="4050"/>
    </row>
    <row r="87" spans="1:7">
      <c r="B87" s="1317"/>
      <c r="C87" s="4013" t="s">
        <v>3122</v>
      </c>
      <c r="D87" s="1317" t="s">
        <v>151</v>
      </c>
      <c r="E87" s="4036">
        <v>18.13</v>
      </c>
      <c r="F87" s="4036">
        <v>9.23</v>
      </c>
    </row>
    <row r="88" spans="1:7">
      <c r="B88" s="1317"/>
      <c r="C88" s="4013" t="s">
        <v>3123</v>
      </c>
      <c r="D88" s="1317" t="s">
        <v>151</v>
      </c>
      <c r="E88" s="4036">
        <v>401.44</v>
      </c>
      <c r="F88" s="4036">
        <v>386.8</v>
      </c>
    </row>
    <row r="89" spans="1:7">
      <c r="B89" s="1317"/>
      <c r="C89" s="4013" t="s">
        <v>3124</v>
      </c>
      <c r="D89" s="1317" t="s">
        <v>151</v>
      </c>
      <c r="E89" s="4036">
        <v>338.99</v>
      </c>
      <c r="F89" s="4036">
        <v>414.13</v>
      </c>
    </row>
    <row r="90" spans="1:7">
      <c r="B90" s="1317"/>
      <c r="C90" s="4013" t="s">
        <v>3125</v>
      </c>
      <c r="D90" s="1317" t="s">
        <v>151</v>
      </c>
      <c r="E90" s="4036">
        <v>172.88</v>
      </c>
      <c r="F90" s="4036">
        <v>170</v>
      </c>
    </row>
    <row r="91" spans="1:7">
      <c r="B91" s="1317"/>
      <c r="C91" s="4013" t="s">
        <v>3126</v>
      </c>
      <c r="D91" s="1317" t="s">
        <v>151</v>
      </c>
      <c r="E91" s="4051">
        <v>281.17</v>
      </c>
      <c r="F91" s="4036">
        <v>283.25</v>
      </c>
    </row>
    <row r="92" spans="1:7">
      <c r="B92" s="1317"/>
      <c r="C92" s="4013" t="s">
        <v>3147</v>
      </c>
      <c r="D92" s="1317" t="s">
        <v>151</v>
      </c>
      <c r="E92" s="4051">
        <v>283.17</v>
      </c>
      <c r="F92" s="4036">
        <v>287.5</v>
      </c>
    </row>
    <row r="93" spans="1:7">
      <c r="B93" s="1317"/>
      <c r="C93" s="4052" t="s">
        <v>3127</v>
      </c>
      <c r="D93" s="4052" t="s">
        <v>151</v>
      </c>
      <c r="E93" s="4052">
        <v>132.09</v>
      </c>
      <c r="F93" s="4053">
        <v>132.88</v>
      </c>
    </row>
    <row r="94" spans="1:7">
      <c r="B94" s="1317"/>
      <c r="C94" s="4052" t="s">
        <v>3128</v>
      </c>
      <c r="D94" s="4052" t="s">
        <v>151</v>
      </c>
      <c r="E94" s="4052">
        <v>62.85</v>
      </c>
      <c r="F94" s="4053">
        <v>63.44</v>
      </c>
    </row>
    <row r="95" spans="1:7">
      <c r="B95" s="1317"/>
      <c r="C95" s="4052" t="s">
        <v>3129</v>
      </c>
      <c r="D95" s="4052" t="s">
        <v>151</v>
      </c>
      <c r="E95" s="4052">
        <v>88.23</v>
      </c>
      <c r="F95" s="4053">
        <v>91.18</v>
      </c>
    </row>
    <row r="96" spans="1:7">
      <c r="B96" s="1317"/>
      <c r="C96" s="4013" t="s">
        <v>3148</v>
      </c>
      <c r="D96" s="1317" t="s">
        <v>151</v>
      </c>
      <c r="E96" s="4051">
        <v>153.84</v>
      </c>
      <c r="F96" s="4036">
        <v>153.38</v>
      </c>
    </row>
    <row r="97" spans="2:6">
      <c r="B97" s="1317"/>
      <c r="C97" s="4052" t="s">
        <v>3127</v>
      </c>
      <c r="D97" s="4052" t="s">
        <v>151</v>
      </c>
      <c r="E97" s="4054">
        <v>72.28</v>
      </c>
      <c r="F97" s="4054">
        <v>68.84</v>
      </c>
    </row>
    <row r="98" spans="2:6">
      <c r="B98" s="1317"/>
      <c r="C98" s="4052" t="s">
        <v>3128</v>
      </c>
      <c r="D98" s="4052" t="s">
        <v>151</v>
      </c>
      <c r="E98" s="4054">
        <v>33.630000000000003</v>
      </c>
      <c r="F98" s="4054">
        <v>34.33</v>
      </c>
    </row>
    <row r="99" spans="2:6">
      <c r="B99" s="1317"/>
      <c r="C99" s="4052" t="s">
        <v>3129</v>
      </c>
      <c r="D99" s="4052" t="s">
        <v>151</v>
      </c>
      <c r="E99" s="4054">
        <v>47.93</v>
      </c>
      <c r="F99" s="4054">
        <v>50.21</v>
      </c>
    </row>
    <row r="100" spans="2:6">
      <c r="B100" s="1317">
        <v>2</v>
      </c>
      <c r="C100" s="3872" t="s">
        <v>3149</v>
      </c>
      <c r="D100" s="1317"/>
      <c r="E100" s="4051"/>
      <c r="F100" s="4051"/>
    </row>
    <row r="101" spans="2:6">
      <c r="B101" s="1317"/>
      <c r="C101" s="4013" t="s">
        <v>3150</v>
      </c>
      <c r="D101" s="1317" t="s">
        <v>3144</v>
      </c>
      <c r="E101" s="4051">
        <v>14.04</v>
      </c>
      <c r="F101" s="4051">
        <v>14.06</v>
      </c>
    </row>
    <row r="102" spans="2:6">
      <c r="B102" s="1317"/>
      <c r="C102" s="4013" t="s">
        <v>3151</v>
      </c>
      <c r="D102" s="1317" t="s">
        <v>3144</v>
      </c>
      <c r="E102" s="4051">
        <v>2.65</v>
      </c>
      <c r="F102" s="4051">
        <v>2.65</v>
      </c>
    </row>
    <row r="103" spans="2:6">
      <c r="B103" s="1317"/>
      <c r="C103" s="4013" t="s">
        <v>3152</v>
      </c>
      <c r="D103" s="1317" t="s">
        <v>3144</v>
      </c>
      <c r="E103" s="4051">
        <v>13.67</v>
      </c>
      <c r="F103" s="4051">
        <v>13.71</v>
      </c>
    </row>
    <row r="104" spans="2:6">
      <c r="B104" s="1317"/>
      <c r="C104" s="4013" t="s">
        <v>3153</v>
      </c>
      <c r="D104" s="1317" t="s">
        <v>3144</v>
      </c>
      <c r="E104" s="4051">
        <v>3.9</v>
      </c>
      <c r="F104" s="4051">
        <v>3.91</v>
      </c>
    </row>
    <row r="105" spans="2:6">
      <c r="B105" s="1317"/>
      <c r="C105" s="4013" t="s">
        <v>3154</v>
      </c>
      <c r="D105" s="1317" t="s">
        <v>3144</v>
      </c>
      <c r="E105" s="4051">
        <v>10.59</v>
      </c>
      <c r="F105" s="4051">
        <v>0</v>
      </c>
    </row>
    <row r="106" spans="2:6">
      <c r="B106" s="1317"/>
      <c r="C106" s="4013" t="s">
        <v>3155</v>
      </c>
      <c r="D106" s="1317" t="s">
        <v>3144</v>
      </c>
      <c r="E106" s="4051" t="s">
        <v>560</v>
      </c>
      <c r="F106" s="4051">
        <v>3.78</v>
      </c>
    </row>
    <row r="107" spans="2:6">
      <c r="B107" s="1317"/>
      <c r="C107" s="4013" t="s">
        <v>3156</v>
      </c>
      <c r="D107" s="1317" t="s">
        <v>3144</v>
      </c>
      <c r="E107" s="4051">
        <v>2.0099999999999998</v>
      </c>
      <c r="F107" s="4051">
        <v>2.02</v>
      </c>
    </row>
    <row r="108" spans="2:6">
      <c r="B108" s="1317"/>
      <c r="C108" s="4013" t="s">
        <v>3157</v>
      </c>
      <c r="D108" s="1317" t="s">
        <v>3144</v>
      </c>
      <c r="E108" s="4051">
        <v>6.2</v>
      </c>
      <c r="F108" s="4051">
        <v>6.21</v>
      </c>
    </row>
    <row r="109" spans="2:6">
      <c r="B109" s="4013"/>
      <c r="C109" s="4013" t="s">
        <v>3158</v>
      </c>
      <c r="D109" s="1317" t="s">
        <v>3144</v>
      </c>
      <c r="E109" s="4036">
        <v>3.85</v>
      </c>
      <c r="F109" s="4051">
        <v>3.85</v>
      </c>
    </row>
    <row r="110" spans="2:6">
      <c r="B110" s="4013"/>
      <c r="C110" s="4013" t="s">
        <v>3127</v>
      </c>
      <c r="D110" s="1317" t="s">
        <v>3144</v>
      </c>
      <c r="E110" s="4036">
        <v>0.90400000000000003</v>
      </c>
      <c r="F110" s="4036">
        <v>0.90900000000000003</v>
      </c>
    </row>
    <row r="111" spans="2:6">
      <c r="B111" s="4013"/>
      <c r="C111" s="4013" t="s">
        <v>3128</v>
      </c>
      <c r="D111" s="1317" t="s">
        <v>3144</v>
      </c>
      <c r="E111" s="4013">
        <v>1.6559999999999999</v>
      </c>
      <c r="F111" s="4013">
        <v>1.671</v>
      </c>
    </row>
    <row r="112" spans="2:6">
      <c r="B112" s="4013"/>
      <c r="C112" s="4013" t="s">
        <v>3129</v>
      </c>
      <c r="D112" s="1317" t="s">
        <v>3144</v>
      </c>
      <c r="E112" s="4013">
        <v>2.5710000000000002</v>
      </c>
      <c r="F112" s="4013">
        <v>2.657</v>
      </c>
    </row>
    <row r="114" spans="1:32">
      <c r="A114" s="4032"/>
      <c r="B114" s="4033" t="s">
        <v>3159</v>
      </c>
      <c r="C114" s="4032"/>
      <c r="D114" s="4032"/>
      <c r="E114" s="4032"/>
      <c r="F114" s="4032"/>
      <c r="G114" s="4032"/>
      <c r="H114" s="4032"/>
      <c r="I114" s="4032"/>
      <c r="J114" s="4032"/>
      <c r="K114" s="4032"/>
      <c r="L114" s="4032"/>
      <c r="M114" s="4032"/>
      <c r="N114" s="4032"/>
      <c r="O114" s="4032"/>
      <c r="P114" s="4032"/>
      <c r="Q114" s="4032"/>
      <c r="R114" s="4032"/>
      <c r="S114" s="4032"/>
      <c r="T114" s="4032"/>
      <c r="U114" s="4032"/>
      <c r="V114" s="4032"/>
      <c r="W114" s="4032"/>
      <c r="X114" s="4032"/>
      <c r="Y114" s="4032"/>
      <c r="Z114" s="4032"/>
      <c r="AA114" s="4032"/>
      <c r="AB114" s="4032"/>
      <c r="AC114" s="4032"/>
      <c r="AD114" s="4032"/>
      <c r="AE114" s="4032"/>
      <c r="AF114" s="4032"/>
    </row>
    <row r="116" spans="1:32">
      <c r="B116" s="3920" t="s">
        <v>84</v>
      </c>
      <c r="C116" s="3920" t="s">
        <v>81</v>
      </c>
      <c r="D116" s="3920" t="s">
        <v>85</v>
      </c>
      <c r="E116" s="3920" t="s">
        <v>2442</v>
      </c>
      <c r="F116" s="3920" t="s">
        <v>2443</v>
      </c>
    </row>
    <row r="117" spans="1:32">
      <c r="B117" s="3866">
        <v>1</v>
      </c>
      <c r="C117" s="4013" t="s">
        <v>3160</v>
      </c>
      <c r="D117" s="4013" t="s">
        <v>83</v>
      </c>
      <c r="E117" s="4015">
        <f>E12</f>
        <v>24.5983808174052</v>
      </c>
      <c r="F117" s="4015">
        <f t="shared" ref="F117" si="24">F12</f>
        <v>25.608522838994624</v>
      </c>
    </row>
    <row r="118" spans="1:32">
      <c r="B118" s="3866">
        <f t="shared" ref="B118:B119" si="25">B117+1</f>
        <v>2</v>
      </c>
      <c r="C118" s="4013" t="s">
        <v>3104</v>
      </c>
      <c r="D118" s="4013" t="s">
        <v>83</v>
      </c>
      <c r="E118" s="4015">
        <f>E14</f>
        <v>418.17247389588846</v>
      </c>
      <c r="F118" s="4015">
        <f>F14</f>
        <v>435.34488826290863</v>
      </c>
    </row>
    <row r="119" spans="1:32">
      <c r="B119" s="3866">
        <f t="shared" si="25"/>
        <v>3</v>
      </c>
      <c r="C119" s="4016" t="s">
        <v>3161</v>
      </c>
      <c r="D119" s="4016" t="s">
        <v>83</v>
      </c>
      <c r="E119" s="4017">
        <f>E118+E117</f>
        <v>442.77085471329366</v>
      </c>
      <c r="F119" s="4017">
        <f>F118+F117</f>
        <v>460.95341110190327</v>
      </c>
    </row>
    <row r="122" spans="1:32">
      <c r="B122" s="4012" t="s">
        <v>3162</v>
      </c>
    </row>
    <row r="124" spans="1:32">
      <c r="B124" s="3920" t="s">
        <v>84</v>
      </c>
      <c r="C124" s="3920" t="s">
        <v>81</v>
      </c>
      <c r="D124" s="3920" t="s">
        <v>85</v>
      </c>
      <c r="E124" s="3920" t="s">
        <v>2442</v>
      </c>
      <c r="F124" s="3920" t="s">
        <v>2443</v>
      </c>
    </row>
    <row r="125" spans="1:32">
      <c r="B125" s="3866">
        <v>1</v>
      </c>
      <c r="C125" s="4013" t="s">
        <v>3163</v>
      </c>
      <c r="D125" s="4013" t="s">
        <v>2906</v>
      </c>
      <c r="E125" s="4055">
        <f>50*0</f>
        <v>0</v>
      </c>
      <c r="F125" s="4055">
        <f>50*0</f>
        <v>0</v>
      </c>
    </row>
    <row r="126" spans="1:32">
      <c r="B126" s="3866">
        <f t="shared" ref="B126:B132" si="26">B125+1</f>
        <v>2</v>
      </c>
      <c r="C126" s="4013" t="s">
        <v>3164</v>
      </c>
      <c r="D126" s="4013" t="s">
        <v>89</v>
      </c>
      <c r="E126" s="4056">
        <v>0.1</v>
      </c>
      <c r="F126" s="4056">
        <v>0.1</v>
      </c>
    </row>
    <row r="127" spans="1:32">
      <c r="B127" s="3866">
        <f t="shared" si="26"/>
        <v>3</v>
      </c>
      <c r="C127" s="4013" t="s">
        <v>3165</v>
      </c>
      <c r="D127" s="4013" t="s">
        <v>89</v>
      </c>
      <c r="E127" s="4057">
        <v>0.9</v>
      </c>
      <c r="F127" s="4057">
        <v>0.9</v>
      </c>
    </row>
    <row r="128" spans="1:32">
      <c r="B128" s="3866">
        <f t="shared" si="26"/>
        <v>4</v>
      </c>
      <c r="C128" s="4013" t="s">
        <v>3166</v>
      </c>
      <c r="D128" s="4013" t="s">
        <v>89</v>
      </c>
      <c r="E128" s="4056">
        <v>0.8</v>
      </c>
      <c r="F128" s="4056">
        <v>0.8</v>
      </c>
    </row>
    <row r="129" spans="2:8">
      <c r="B129" s="3866">
        <f t="shared" si="26"/>
        <v>5</v>
      </c>
      <c r="C129" s="4013" t="s">
        <v>3167</v>
      </c>
      <c r="D129" s="4013" t="s">
        <v>83</v>
      </c>
      <c r="E129" s="4037">
        <f>E125*E127*E128*365*24/1000</f>
        <v>0</v>
      </c>
      <c r="F129" s="4037">
        <f>F125*F127*F128*365*24/1000</f>
        <v>0</v>
      </c>
    </row>
    <row r="130" spans="2:8">
      <c r="B130" s="3866">
        <f t="shared" si="26"/>
        <v>6</v>
      </c>
      <c r="C130" s="4013" t="s">
        <v>3168</v>
      </c>
      <c r="D130" s="4013" t="s">
        <v>83</v>
      </c>
      <c r="E130" s="4037">
        <f>E129*(1-E126)</f>
        <v>0</v>
      </c>
      <c r="F130" s="4037">
        <f>F129*(1-F126)</f>
        <v>0</v>
      </c>
    </row>
    <row r="131" spans="2:8">
      <c r="B131" s="3866">
        <f t="shared" si="26"/>
        <v>7</v>
      </c>
      <c r="C131" s="4013" t="s">
        <v>3143</v>
      </c>
      <c r="D131" s="4058" t="s">
        <v>3144</v>
      </c>
      <c r="E131" s="4059">
        <v>5.01</v>
      </c>
      <c r="F131" s="4059">
        <v>5.29</v>
      </c>
    </row>
    <row r="132" spans="2:8">
      <c r="B132" s="3866">
        <f t="shared" si="26"/>
        <v>8</v>
      </c>
      <c r="C132" s="4013" t="s">
        <v>3169</v>
      </c>
      <c r="D132" s="4013" t="s">
        <v>151</v>
      </c>
      <c r="E132" s="4015">
        <f>E130*E131/10</f>
        <v>0</v>
      </c>
      <c r="F132" s="4015">
        <f t="shared" ref="F132" si="27">F130*F131/10</f>
        <v>0</v>
      </c>
    </row>
    <row r="134" spans="2:8">
      <c r="B134" s="4012" t="s">
        <v>3170</v>
      </c>
    </row>
    <row r="136" spans="2:8">
      <c r="B136" s="3920" t="s">
        <v>84</v>
      </c>
      <c r="C136" s="3920" t="s">
        <v>81</v>
      </c>
      <c r="D136" s="3920" t="s">
        <v>85</v>
      </c>
      <c r="E136" s="3920" t="s">
        <v>2442</v>
      </c>
      <c r="F136" s="3920" t="s">
        <v>2443</v>
      </c>
    </row>
    <row r="137" spans="2:8">
      <c r="B137" s="3866">
        <v>1</v>
      </c>
      <c r="C137" s="4013" t="s">
        <v>3163</v>
      </c>
      <c r="D137" s="4013" t="s">
        <v>2906</v>
      </c>
      <c r="E137" s="4055">
        <v>20</v>
      </c>
      <c r="F137" s="4055">
        <v>20</v>
      </c>
      <c r="G137" s="4055">
        <f>F137*99%</f>
        <v>19.8</v>
      </c>
    </row>
    <row r="138" spans="2:8">
      <c r="B138" s="3866">
        <f t="shared" ref="B138:B141" si="28">B137+1</f>
        <v>2</v>
      </c>
      <c r="C138" s="4013" t="s">
        <v>3711</v>
      </c>
      <c r="D138" s="4013" t="s">
        <v>89</v>
      </c>
      <c r="E138" s="4056">
        <v>0.17979452054794501</v>
      </c>
      <c r="F138" s="4056">
        <v>0.17979452054794501</v>
      </c>
      <c r="G138" s="4580">
        <v>0.19</v>
      </c>
      <c r="H138" s="4060"/>
    </row>
    <row r="139" spans="2:8">
      <c r="B139" s="3866">
        <f t="shared" si="28"/>
        <v>3</v>
      </c>
      <c r="C139" s="4013" t="s">
        <v>3168</v>
      </c>
      <c r="D139" s="4013" t="s">
        <v>83</v>
      </c>
      <c r="E139" s="4037">
        <f>E137*E138*8760/1000</f>
        <v>31.499999999999964</v>
      </c>
      <c r="F139" s="4037">
        <f>F137*F138*8760/1000</f>
        <v>31.499999999999964</v>
      </c>
      <c r="G139" s="4037">
        <f>G137*G138*8760/1000</f>
        <v>32.955120000000001</v>
      </c>
    </row>
    <row r="140" spans="2:8">
      <c r="B140" s="3866">
        <f t="shared" si="28"/>
        <v>4</v>
      </c>
      <c r="C140" s="4013" t="s">
        <v>3171</v>
      </c>
      <c r="D140" s="4058" t="s">
        <v>3144</v>
      </c>
      <c r="E140" s="4061">
        <v>8.56</v>
      </c>
      <c r="F140" s="4061">
        <v>8.56</v>
      </c>
    </row>
    <row r="141" spans="2:8">
      <c r="B141" s="3866">
        <f t="shared" si="28"/>
        <v>5</v>
      </c>
      <c r="C141" s="4013" t="s">
        <v>3169</v>
      </c>
      <c r="D141" s="4013" t="s">
        <v>151</v>
      </c>
      <c r="E141" s="4015">
        <f>E139*E140/10</f>
        <v>26.96399999999997</v>
      </c>
      <c r="F141" s="4015">
        <f>F139*F140/10</f>
        <v>26.96399999999997</v>
      </c>
    </row>
    <row r="143" spans="2:8">
      <c r="B143" s="4012" t="s">
        <v>3172</v>
      </c>
    </row>
    <row r="145" spans="2:6">
      <c r="B145" s="3920" t="s">
        <v>84</v>
      </c>
      <c r="C145" s="3920" t="s">
        <v>81</v>
      </c>
      <c r="D145" s="3920" t="s">
        <v>85</v>
      </c>
      <c r="E145" s="3920" t="s">
        <v>2442</v>
      </c>
      <c r="F145" s="3920" t="s">
        <v>2443</v>
      </c>
    </row>
    <row r="146" spans="2:6">
      <c r="B146" s="3866">
        <v>1</v>
      </c>
      <c r="C146" s="4013" t="s">
        <v>3173</v>
      </c>
      <c r="D146" s="4013" t="s">
        <v>83</v>
      </c>
      <c r="E146" s="4062">
        <f>E118-E130</f>
        <v>418.17247389588846</v>
      </c>
      <c r="F146" s="4062">
        <f>F118-F130</f>
        <v>435.34488826290863</v>
      </c>
    </row>
    <row r="147" spans="2:6">
      <c r="B147" s="3866">
        <f t="shared" ref="B147:B148" si="29">B146+1</f>
        <v>2</v>
      </c>
      <c r="C147" s="4013" t="s">
        <v>3375</v>
      </c>
      <c r="D147" s="4058" t="s">
        <v>3144</v>
      </c>
      <c r="E147" s="4059">
        <f>6.63</f>
        <v>6.63</v>
      </c>
      <c r="F147" s="4059">
        <f>E147</f>
        <v>6.63</v>
      </c>
    </row>
    <row r="148" spans="2:6">
      <c r="B148" s="3866">
        <f t="shared" si="29"/>
        <v>3</v>
      </c>
      <c r="C148" s="4013" t="s">
        <v>3169</v>
      </c>
      <c r="D148" s="4013" t="s">
        <v>151</v>
      </c>
      <c r="E148" s="4015">
        <f>IF(E146&gt;0,E146*E147/10,0)</f>
        <v>277.24835019297404</v>
      </c>
      <c r="F148" s="4015">
        <f>IF(F146&gt;0,F146*F147/10,0)</f>
        <v>288.63366091830841</v>
      </c>
    </row>
    <row r="149" spans="2:6">
      <c r="B149" s="3680"/>
      <c r="C149" s="4019"/>
      <c r="D149" s="4019"/>
      <c r="E149" s="4162"/>
      <c r="F149" s="4162"/>
    </row>
    <row r="150" spans="2:6">
      <c r="B150" s="4012" t="s">
        <v>3270</v>
      </c>
      <c r="C150" s="4019"/>
      <c r="D150" s="4019"/>
      <c r="E150" s="4162"/>
      <c r="F150" s="4162"/>
    </row>
    <row r="151" spans="2:6">
      <c r="B151" s="3680"/>
      <c r="C151" s="4019"/>
      <c r="D151" s="4019"/>
      <c r="E151" s="4162"/>
      <c r="F151" s="4162"/>
    </row>
    <row r="152" spans="2:6">
      <c r="B152" s="3920" t="s">
        <v>84</v>
      </c>
      <c r="C152" s="3920" t="s">
        <v>81</v>
      </c>
      <c r="D152" s="3920" t="s">
        <v>85</v>
      </c>
      <c r="E152" s="3920"/>
    </row>
    <row r="153" spans="2:6">
      <c r="B153" s="3882">
        <v>1</v>
      </c>
      <c r="C153" s="4013" t="s">
        <v>3271</v>
      </c>
      <c r="D153" s="4013" t="s">
        <v>83</v>
      </c>
      <c r="E153" s="4062">
        <v>12.11</v>
      </c>
    </row>
    <row r="154" spans="2:6">
      <c r="B154" s="3882">
        <f>B153+1</f>
        <v>2</v>
      </c>
      <c r="C154" s="4013" t="s">
        <v>3272</v>
      </c>
      <c r="D154" s="4013" t="s">
        <v>83</v>
      </c>
      <c r="E154" s="4062">
        <v>12.12</v>
      </c>
      <c r="F154" s="4163"/>
    </row>
    <row r="155" spans="2:6">
      <c r="B155" s="3882">
        <f t="shared" ref="B155:B163" si="30">B154+1</f>
        <v>3</v>
      </c>
      <c r="C155" s="4013" t="s">
        <v>3273</v>
      </c>
      <c r="D155" s="4013" t="s">
        <v>83</v>
      </c>
      <c r="E155" s="4062">
        <f>0.25%*'F2'!I30</f>
        <v>12.265431848103178</v>
      </c>
      <c r="F155" s="4163"/>
    </row>
    <row r="156" spans="2:6">
      <c r="B156" s="4234">
        <f t="shared" si="30"/>
        <v>4</v>
      </c>
      <c r="C156" s="4016" t="s">
        <v>3274</v>
      </c>
      <c r="D156" s="4016" t="s">
        <v>83</v>
      </c>
      <c r="E156" s="4165">
        <f>SUM(E153:E155)</f>
        <v>36.495431848103173</v>
      </c>
      <c r="F156" s="4163"/>
    </row>
    <row r="157" spans="2:6">
      <c r="B157" s="4234"/>
      <c r="C157" s="4016"/>
      <c r="D157" s="4016"/>
      <c r="E157" s="4165"/>
      <c r="F157" s="4163"/>
    </row>
    <row r="158" spans="2:6">
      <c r="B158" s="3920" t="s">
        <v>84</v>
      </c>
      <c r="C158" s="3920" t="s">
        <v>81</v>
      </c>
      <c r="D158" s="3920" t="s">
        <v>85</v>
      </c>
      <c r="E158" s="3920" t="s">
        <v>2442</v>
      </c>
      <c r="F158" s="3920" t="s">
        <v>2443</v>
      </c>
    </row>
    <row r="159" spans="2:6">
      <c r="B159" s="4233">
        <v>1</v>
      </c>
      <c r="C159" s="4016" t="s">
        <v>3293</v>
      </c>
      <c r="D159" s="4016" t="s">
        <v>83</v>
      </c>
      <c r="E159" s="4165">
        <f>H187</f>
        <v>18.738520000000001</v>
      </c>
      <c r="F159" s="4165">
        <f>H188</f>
        <v>1.692888817078753</v>
      </c>
    </row>
    <row r="160" spans="2:6">
      <c r="B160" s="4233">
        <f>B159+1</f>
        <v>2</v>
      </c>
      <c r="C160" s="4013" t="s">
        <v>3290</v>
      </c>
      <c r="D160" s="4013" t="s">
        <v>3291</v>
      </c>
      <c r="E160" s="4062">
        <v>7.69</v>
      </c>
      <c r="F160" s="4062">
        <f>E160</f>
        <v>7.69</v>
      </c>
    </row>
    <row r="161" spans="1:7">
      <c r="B161" s="4233">
        <f t="shared" si="30"/>
        <v>3</v>
      </c>
      <c r="C161" s="4013" t="s">
        <v>3275</v>
      </c>
      <c r="D161" s="4013" t="s">
        <v>3277</v>
      </c>
      <c r="E161" s="4166">
        <v>9300</v>
      </c>
      <c r="F161" s="4166">
        <v>9300</v>
      </c>
    </row>
    <row r="162" spans="1:7">
      <c r="B162" s="3882">
        <f t="shared" si="30"/>
        <v>4</v>
      </c>
      <c r="C162" s="4013" t="s">
        <v>3276</v>
      </c>
      <c r="D162" s="4013" t="s">
        <v>3277</v>
      </c>
      <c r="E162" s="4166">
        <v>13400</v>
      </c>
      <c r="F162" s="4166">
        <v>13400</v>
      </c>
    </row>
    <row r="163" spans="1:7">
      <c r="B163" s="3883">
        <f t="shared" si="30"/>
        <v>5</v>
      </c>
      <c r="C163" s="4016" t="s">
        <v>3278</v>
      </c>
      <c r="D163" s="4016" t="s">
        <v>151</v>
      </c>
      <c r="E163" s="4165">
        <f>E159*E160/10</f>
        <v>14.409921880000002</v>
      </c>
      <c r="F163" s="4165">
        <f>F159*F160/10</f>
        <v>1.3018315003335612</v>
      </c>
    </row>
    <row r="164" spans="1:7">
      <c r="B164" s="3680"/>
      <c r="C164" s="4019"/>
      <c r="D164" s="4019"/>
      <c r="E164" s="4163"/>
      <c r="F164" s="4163"/>
    </row>
    <row r="165" spans="1:7">
      <c r="A165" s="4038"/>
      <c r="B165" s="4039" t="s">
        <v>3174</v>
      </c>
      <c r="C165" s="4038"/>
      <c r="D165" s="4038"/>
      <c r="E165" s="4038"/>
      <c r="F165" s="4038"/>
      <c r="G165" s="4038"/>
    </row>
    <row r="166" spans="1:7">
      <c r="A166" s="4038"/>
      <c r="B166" s="4041" t="s">
        <v>84</v>
      </c>
      <c r="C166" s="4041" t="s">
        <v>81</v>
      </c>
      <c r="D166" s="4041" t="s">
        <v>85</v>
      </c>
      <c r="E166" s="4042" t="s">
        <v>2442</v>
      </c>
      <c r="F166" s="4042" t="s">
        <v>2443</v>
      </c>
      <c r="G166" s="4038"/>
    </row>
    <row r="167" spans="1:7">
      <c r="A167" s="4038"/>
      <c r="B167" s="4041">
        <v>1</v>
      </c>
      <c r="C167" s="4041" t="s">
        <v>3175</v>
      </c>
      <c r="D167" s="4041"/>
      <c r="E167" s="4042"/>
      <c r="F167" s="4042"/>
      <c r="G167" s="4038"/>
    </row>
    <row r="168" spans="1:7">
      <c r="A168" s="4038"/>
      <c r="B168" s="4043"/>
      <c r="C168" s="4043" t="s">
        <v>3139</v>
      </c>
      <c r="D168" s="4043" t="s">
        <v>83</v>
      </c>
      <c r="E168" s="4045">
        <f>E139</f>
        <v>31.499999999999964</v>
      </c>
      <c r="F168" s="4045">
        <f>F139</f>
        <v>31.499999999999964</v>
      </c>
      <c r="G168" s="4038"/>
    </row>
    <row r="169" spans="1:7">
      <c r="A169" s="4038"/>
      <c r="B169" s="4043"/>
      <c r="C169" s="4043" t="s">
        <v>3142</v>
      </c>
      <c r="D169" s="4043" t="s">
        <v>151</v>
      </c>
      <c r="E169" s="4045">
        <f>E141</f>
        <v>26.96399999999997</v>
      </c>
      <c r="F169" s="4045">
        <f>F141</f>
        <v>26.96399999999997</v>
      </c>
      <c r="G169" s="4038"/>
    </row>
    <row r="170" spans="1:7">
      <c r="A170" s="4038"/>
      <c r="B170" s="4043"/>
      <c r="C170" s="4043"/>
      <c r="D170" s="4043"/>
      <c r="E170" s="4045"/>
      <c r="F170" s="4045"/>
      <c r="G170" s="4038"/>
    </row>
    <row r="171" spans="1:7">
      <c r="A171" s="4038"/>
      <c r="B171" s="4041">
        <v>2</v>
      </c>
      <c r="C171" s="4041" t="s">
        <v>3176</v>
      </c>
      <c r="D171" s="4041"/>
      <c r="E171" s="4042"/>
      <c r="F171" s="4042"/>
      <c r="G171" s="4038"/>
    </row>
    <row r="172" spans="1:7">
      <c r="A172" s="4038"/>
      <c r="B172" s="4043"/>
      <c r="C172" s="4043" t="s">
        <v>3139</v>
      </c>
      <c r="D172" s="4043" t="s">
        <v>83</v>
      </c>
      <c r="E172" s="4045">
        <f>E130+E146</f>
        <v>418.17247389588846</v>
      </c>
      <c r="F172" s="4045">
        <f>F130+F146</f>
        <v>435.34488826290863</v>
      </c>
      <c r="G172" s="4038"/>
    </row>
    <row r="173" spans="1:7">
      <c r="A173" s="4038"/>
      <c r="B173" s="4043"/>
      <c r="C173" s="4043" t="s">
        <v>3142</v>
      </c>
      <c r="D173" s="4043" t="s">
        <v>151</v>
      </c>
      <c r="E173" s="4045">
        <f>E132+E148</f>
        <v>277.24835019297404</v>
      </c>
      <c r="F173" s="4045">
        <f>F132+F148</f>
        <v>288.63366091830841</v>
      </c>
      <c r="G173" s="4038"/>
    </row>
    <row r="174" spans="1:7">
      <c r="A174" s="4038"/>
      <c r="B174" s="4043"/>
      <c r="C174" s="4043"/>
      <c r="D174" s="4043"/>
      <c r="E174" s="4045"/>
      <c r="F174" s="4045"/>
      <c r="G174" s="4038"/>
    </row>
    <row r="175" spans="1:7">
      <c r="A175" s="4038"/>
      <c r="B175" s="4041">
        <v>3</v>
      </c>
      <c r="C175" s="4041" t="s">
        <v>3177</v>
      </c>
      <c r="D175" s="4041"/>
      <c r="E175" s="4042"/>
      <c r="F175" s="4042"/>
      <c r="G175" s="4038"/>
    </row>
    <row r="176" spans="1:7">
      <c r="A176" s="4038"/>
      <c r="B176" s="4043"/>
      <c r="C176" s="4043" t="s">
        <v>3139</v>
      </c>
      <c r="D176" s="4043" t="s">
        <v>83</v>
      </c>
      <c r="E176" s="4045">
        <f>E168+E172</f>
        <v>449.6724738958884</v>
      </c>
      <c r="F176" s="4045">
        <f>F168+F172</f>
        <v>466.84488826290857</v>
      </c>
      <c r="G176" s="4038"/>
    </row>
    <row r="177" spans="1:10">
      <c r="A177" s="4038"/>
      <c r="B177" s="4043"/>
      <c r="C177" s="4043" t="s">
        <v>3142</v>
      </c>
      <c r="D177" s="4043" t="s">
        <v>151</v>
      </c>
      <c r="E177" s="4045">
        <f>E169+E173</f>
        <v>304.21235019297399</v>
      </c>
      <c r="F177" s="4045">
        <f>F169+F173</f>
        <v>315.59766091830841</v>
      </c>
      <c r="G177" s="4038"/>
    </row>
    <row r="178" spans="1:10">
      <c r="A178" s="4038"/>
      <c r="B178" s="4038"/>
      <c r="C178" s="4038"/>
      <c r="D178" s="4038"/>
      <c r="E178" s="4038"/>
      <c r="F178" s="4038"/>
      <c r="G178" s="4038"/>
    </row>
    <row r="180" spans="1:10" ht="30" customHeight="1">
      <c r="B180" s="4931" t="s">
        <v>450</v>
      </c>
      <c r="C180" s="5528" t="s">
        <v>2717</v>
      </c>
      <c r="D180" s="5528" t="s">
        <v>3652</v>
      </c>
      <c r="E180" s="5528" t="s">
        <v>3653</v>
      </c>
      <c r="F180" s="5528"/>
      <c r="G180" s="5528" t="s">
        <v>3654</v>
      </c>
      <c r="H180" s="5528"/>
      <c r="I180" s="5528"/>
      <c r="J180" s="5528" t="s">
        <v>3655</v>
      </c>
    </row>
    <row r="181" spans="1:10">
      <c r="B181" s="4931" t="s">
        <v>3651</v>
      </c>
      <c r="C181" s="5528"/>
      <c r="D181" s="5528"/>
      <c r="E181" s="5528" t="s">
        <v>89</v>
      </c>
      <c r="F181" s="5528" t="s">
        <v>83</v>
      </c>
      <c r="G181" s="5528" t="s">
        <v>3656</v>
      </c>
      <c r="H181" s="5528" t="s">
        <v>3657</v>
      </c>
      <c r="I181" s="4931" t="s">
        <v>3658</v>
      </c>
      <c r="J181" s="5528"/>
    </row>
    <row r="182" spans="1:10">
      <c r="B182" s="4932"/>
      <c r="C182" s="5528"/>
      <c r="D182" s="5528"/>
      <c r="E182" s="5528"/>
      <c r="F182" s="5528"/>
      <c r="G182" s="5528"/>
      <c r="H182" s="5528"/>
      <c r="I182" s="4931" t="s">
        <v>3659</v>
      </c>
      <c r="J182" s="5528"/>
    </row>
    <row r="183" spans="1:10">
      <c r="B183" s="4933">
        <v>1</v>
      </c>
      <c r="C183" s="4934" t="s">
        <v>2474</v>
      </c>
      <c r="D183" s="4935">
        <v>4844.2299999999996</v>
      </c>
      <c r="E183" s="4935">
        <v>0.25</v>
      </c>
      <c r="F183" s="4936">
        <f t="shared" ref="F183:F188" si="31">D183*E183/100</f>
        <v>12.110574999999999</v>
      </c>
      <c r="G183" s="4935">
        <v>0</v>
      </c>
      <c r="H183" s="4935">
        <v>0</v>
      </c>
      <c r="I183" s="4936">
        <f>F183-G183-H183</f>
        <v>12.110574999999999</v>
      </c>
      <c r="J183" s="4937">
        <f>I183</f>
        <v>12.110574999999999</v>
      </c>
    </row>
    <row r="184" spans="1:10">
      <c r="B184" s="4933">
        <v>2</v>
      </c>
      <c r="C184" s="4934" t="s">
        <v>380</v>
      </c>
      <c r="D184" s="4935">
        <v>4849.1099999999997</v>
      </c>
      <c r="E184" s="4935">
        <v>0.25</v>
      </c>
      <c r="F184" s="4936">
        <f t="shared" si="31"/>
        <v>12.122774999999999</v>
      </c>
      <c r="G184" s="4935">
        <v>0</v>
      </c>
      <c r="H184" s="4935">
        <v>0</v>
      </c>
      <c r="I184" s="4936">
        <f t="shared" ref="I184:I185" si="32">F184-G184-H184</f>
        <v>12.122774999999999</v>
      </c>
      <c r="J184" s="4937">
        <f>J183+I184</f>
        <v>24.233349999999998</v>
      </c>
    </row>
    <row r="185" spans="1:10">
      <c r="B185" s="4933">
        <v>3</v>
      </c>
      <c r="C185" s="4934" t="s">
        <v>557</v>
      </c>
      <c r="D185" s="4936">
        <f>F1.2!I12</f>
        <v>4906.1727392412713</v>
      </c>
      <c r="E185" s="4935">
        <v>0.25</v>
      </c>
      <c r="F185" s="4936">
        <f t="shared" si="31"/>
        <v>12.265431848103178</v>
      </c>
      <c r="G185" s="4935">
        <v>0</v>
      </c>
      <c r="H185" s="4935">
        <v>0</v>
      </c>
      <c r="I185" s="4936">
        <f t="shared" si="32"/>
        <v>12.265431848103178</v>
      </c>
      <c r="J185" s="4937">
        <f t="shared" ref="J185:J186" si="33">J184+I185</f>
        <v>36.498781848103178</v>
      </c>
    </row>
    <row r="186" spans="1:10">
      <c r="B186" s="4933">
        <v>4</v>
      </c>
      <c r="C186" s="4934" t="s">
        <v>558</v>
      </c>
      <c r="D186" s="4936">
        <f>F1.2!K12</f>
        <v>4822.0386625151432</v>
      </c>
      <c r="E186" s="4935">
        <v>0.5</v>
      </c>
      <c r="F186" s="4936">
        <f t="shared" si="31"/>
        <v>24.110193312575717</v>
      </c>
      <c r="G186" s="4935">
        <v>16.66</v>
      </c>
      <c r="H186" s="4935">
        <v>7.94</v>
      </c>
      <c r="I186" s="4936">
        <f>F186-G186-H186</f>
        <v>-0.48980668742428346</v>
      </c>
      <c r="J186" s="4937">
        <f t="shared" si="33"/>
        <v>36.008975160678894</v>
      </c>
    </row>
    <row r="187" spans="1:10">
      <c r="B187" s="4933">
        <v>5</v>
      </c>
      <c r="C187" s="4934" t="s">
        <v>1848</v>
      </c>
      <c r="D187" s="4936">
        <f>F1.2!M12</f>
        <v>4919.67616348104</v>
      </c>
      <c r="E187" s="4935">
        <v>0.5</v>
      </c>
      <c r="F187" s="4936">
        <f t="shared" si="31"/>
        <v>24.5983808174052</v>
      </c>
      <c r="G187" s="4936">
        <f>'[96]Mid Term Review Data'!$G$21</f>
        <v>34.284469999999999</v>
      </c>
      <c r="H187" s="4936">
        <f>'[96]Mid Term Review Data'!$H$21</f>
        <v>18.738520000000001</v>
      </c>
      <c r="I187" s="4936">
        <f>F187-G187-H187</f>
        <v>-28.4246091825948</v>
      </c>
      <c r="J187" s="4937">
        <f>J186+I187</f>
        <v>7.5843659780840937</v>
      </c>
    </row>
    <row r="188" spans="1:10">
      <c r="B188" s="4933">
        <v>6</v>
      </c>
      <c r="C188" s="4934" t="s">
        <v>3307</v>
      </c>
      <c r="D188" s="4936">
        <f>F1.2!O12</f>
        <v>5121.7045677989245</v>
      </c>
      <c r="E188" s="4935">
        <v>0.5</v>
      </c>
      <c r="F188" s="4936">
        <f t="shared" si="31"/>
        <v>25.608522838994624</v>
      </c>
      <c r="G188" s="4936">
        <f>F139</f>
        <v>31.499999999999964</v>
      </c>
      <c r="H188" s="4936">
        <f>F188+J187-G188</f>
        <v>1.692888817078753</v>
      </c>
      <c r="I188" s="4936">
        <f>F188-G188-H188</f>
        <v>-7.5843659780840937</v>
      </c>
      <c r="J188" s="4937">
        <f>J187+I188</f>
        <v>0</v>
      </c>
    </row>
    <row r="189" spans="1:10">
      <c r="B189" s="4933">
        <v>7</v>
      </c>
      <c r="C189" s="5529" t="s">
        <v>47</v>
      </c>
      <c r="D189" s="5529"/>
      <c r="E189" s="4934"/>
      <c r="F189" s="4936">
        <f>SUM(F183:F188)</f>
        <v>110.81587881707873</v>
      </c>
      <c r="G189" s="4936">
        <f>SUM(G183:G188)</f>
        <v>82.444469999999967</v>
      </c>
      <c r="H189" s="4936">
        <f>SUM(H183:H188)</f>
        <v>28.371408817078756</v>
      </c>
      <c r="I189" s="4935">
        <v>0</v>
      </c>
      <c r="J189" s="4385">
        <v>0</v>
      </c>
    </row>
    <row r="198" spans="1:32">
      <c r="A198" s="4032"/>
      <c r="B198" s="4033" t="s">
        <v>2013</v>
      </c>
      <c r="C198" s="4032"/>
      <c r="D198" s="4032"/>
      <c r="E198" s="4032"/>
      <c r="F198" s="4032"/>
      <c r="G198" s="4032"/>
      <c r="H198" s="4032"/>
      <c r="I198" s="4032"/>
      <c r="J198" s="4032"/>
      <c r="K198" s="4032"/>
      <c r="L198" s="4032"/>
      <c r="M198" s="4032"/>
      <c r="N198" s="4032"/>
      <c r="O198" s="4032"/>
      <c r="P198" s="4032"/>
      <c r="Q198" s="4032"/>
      <c r="R198" s="4032"/>
      <c r="S198" s="4032"/>
      <c r="T198" s="4032"/>
      <c r="U198" s="4032"/>
      <c r="V198" s="4032"/>
      <c r="W198" s="4032"/>
      <c r="X198" s="4032"/>
      <c r="Y198" s="4032"/>
      <c r="Z198" s="4032"/>
      <c r="AA198" s="4032"/>
      <c r="AB198" s="4032"/>
      <c r="AC198" s="4032"/>
      <c r="AD198" s="4032"/>
      <c r="AE198" s="4032"/>
      <c r="AF198" s="4032"/>
    </row>
    <row r="200" spans="1:32">
      <c r="B200" s="3920" t="s">
        <v>84</v>
      </c>
      <c r="C200" s="3920" t="s">
        <v>81</v>
      </c>
      <c r="D200" s="3920" t="s">
        <v>85</v>
      </c>
      <c r="E200" s="3920" t="s">
        <v>1845</v>
      </c>
      <c r="F200" s="4041" t="s">
        <v>2442</v>
      </c>
      <c r="G200" s="4041" t="s">
        <v>2443</v>
      </c>
      <c r="H200" s="3920" t="s">
        <v>3317</v>
      </c>
    </row>
    <row r="201" spans="1:32">
      <c r="B201" s="3866">
        <v>1</v>
      </c>
      <c r="C201" s="4013" t="s">
        <v>3178</v>
      </c>
      <c r="D201" s="4013" t="s">
        <v>83</v>
      </c>
      <c r="E201" s="4062">
        <v>76.44</v>
      </c>
      <c r="F201" s="4370">
        <f>E20</f>
        <v>923.3828707959517</v>
      </c>
      <c r="G201" s="4370">
        <f>F20</f>
        <v>901.68190971893682</v>
      </c>
      <c r="H201" s="4015">
        <f>'TPC G'!D96</f>
        <v>548.01334399999996</v>
      </c>
    </row>
    <row r="202" spans="1:32">
      <c r="B202" s="3866">
        <f t="shared" ref="B202:B203" si="34">B201+1</f>
        <v>2</v>
      </c>
      <c r="C202" s="4013" t="s">
        <v>3179</v>
      </c>
      <c r="D202" s="4058" t="s">
        <v>3144</v>
      </c>
      <c r="E202" s="4063">
        <f>E203/E201*10</f>
        <v>4.4073783359497645</v>
      </c>
      <c r="F202" s="4353">
        <f>H202</f>
        <v>3.3210008119802286</v>
      </c>
      <c r="G202" s="4353">
        <f>'F2'!W18</f>
        <v>3.312597968057589</v>
      </c>
      <c r="H202" s="4063">
        <f>H203/H201*10</f>
        <v>3.3210008119802286</v>
      </c>
    </row>
    <row r="203" spans="1:32">
      <c r="B203" s="3866">
        <f t="shared" si="34"/>
        <v>3</v>
      </c>
      <c r="C203" s="4013" t="s">
        <v>3169</v>
      </c>
      <c r="D203" s="4013" t="s">
        <v>151</v>
      </c>
      <c r="E203" s="4015">
        <v>33.69</v>
      </c>
      <c r="F203" s="4353">
        <f>F201*F202/10</f>
        <v>306.65552636819905</v>
      </c>
      <c r="G203" s="4353">
        <f>G201*G202/10</f>
        <v>298.69096619692363</v>
      </c>
      <c r="H203" s="4015">
        <f>'TPC G'!E96</f>
        <v>181.99527604000002</v>
      </c>
    </row>
  </sheetData>
  <mergeCells count="18">
    <mergeCell ref="C189:D189"/>
    <mergeCell ref="C180:C182"/>
    <mergeCell ref="D180:D182"/>
    <mergeCell ref="E180:F180"/>
    <mergeCell ref="G180:I180"/>
    <mergeCell ref="J180:J182"/>
    <mergeCell ref="E181:E182"/>
    <mergeCell ref="F181:F182"/>
    <mergeCell ref="G181:G182"/>
    <mergeCell ref="H181:H182"/>
    <mergeCell ref="B24:B25"/>
    <mergeCell ref="C24:C25"/>
    <mergeCell ref="D24:E24"/>
    <mergeCell ref="F24:G24"/>
    <mergeCell ref="B63:B64"/>
    <mergeCell ref="C63:C64"/>
    <mergeCell ref="D63:F63"/>
    <mergeCell ref="G63:I63"/>
  </mergeCells>
  <pageMargins left="0.7" right="0.7" top="0.75" bottom="0.75" header="0.3" footer="0.3"/>
  <pageSetup scale="41" orientation="portrait" r:id="rId1"/>
  <legacyDrawing r:id="rId2"/>
</worksheet>
</file>

<file path=xl/worksheets/sheet29.xml><?xml version="1.0" encoding="utf-8"?>
<worksheet xmlns="http://schemas.openxmlformats.org/spreadsheetml/2006/main" xmlns:r="http://schemas.openxmlformats.org/officeDocument/2006/relationships">
  <sheetPr>
    <tabColor rgb="FF00B050"/>
  </sheetPr>
  <dimension ref="A2:AE172"/>
  <sheetViews>
    <sheetView topLeftCell="A32" zoomScale="60" zoomScaleNormal="60" zoomScaleSheetLayoutView="80" workbookViewId="0">
      <selection activeCell="G52" sqref="G52"/>
    </sheetView>
  </sheetViews>
  <sheetFormatPr defaultRowHeight="15"/>
  <cols>
    <col min="1" max="1" width="9.140625" style="4010"/>
    <col min="2" max="2" width="9.85546875" style="4010" customWidth="1"/>
    <col min="3" max="3" width="36.28515625" style="4010" bestFit="1" customWidth="1"/>
    <col min="4" max="4" width="16.140625" style="4010" customWidth="1"/>
    <col min="5" max="5" width="23.28515625" style="4010" customWidth="1"/>
    <col min="6" max="6" width="22.85546875" style="4010" customWidth="1"/>
    <col min="7" max="7" width="16.42578125" style="4010" customWidth="1"/>
    <col min="8" max="8" width="18.85546875" style="4010" customWidth="1"/>
    <col min="9" max="9" width="19.140625" style="4010" customWidth="1"/>
    <col min="10" max="10" width="23.140625" style="4010" customWidth="1"/>
    <col min="11" max="11" width="20.85546875" style="4010" customWidth="1"/>
    <col min="12" max="12" width="19.5703125" style="4010" customWidth="1"/>
    <col min="13" max="13" width="21.140625" style="4010" customWidth="1"/>
    <col min="14" max="18" width="20.140625" style="4010" customWidth="1"/>
    <col min="19" max="23" width="21" style="4010" customWidth="1"/>
    <col min="24" max="16384" width="9.140625" style="4010"/>
  </cols>
  <sheetData>
    <row r="2" spans="1:31">
      <c r="A2" s="4032"/>
      <c r="B2" s="4033" t="s">
        <v>3112</v>
      </c>
      <c r="C2" s="4032"/>
      <c r="D2" s="4032"/>
      <c r="E2" s="4032"/>
      <c r="F2" s="4032"/>
      <c r="G2" s="4032"/>
      <c r="H2" s="4032"/>
      <c r="I2" s="4032"/>
      <c r="J2" s="4032"/>
      <c r="K2" s="4032"/>
      <c r="L2" s="4032"/>
      <c r="M2" s="4032"/>
      <c r="N2" s="4032"/>
      <c r="O2" s="4032"/>
      <c r="P2" s="4032"/>
      <c r="Q2" s="4032"/>
      <c r="R2" s="4032"/>
      <c r="S2" s="4032"/>
      <c r="T2" s="4032"/>
      <c r="U2" s="4032"/>
      <c r="V2" s="4032"/>
      <c r="W2" s="4032"/>
      <c r="X2" s="4032"/>
      <c r="Y2" s="4032"/>
      <c r="Z2" s="4032"/>
      <c r="AA2" s="4032"/>
      <c r="AB2" s="4032"/>
      <c r="AC2" s="4032"/>
      <c r="AD2" s="4032"/>
      <c r="AE2" s="4032"/>
    </row>
    <row r="3" spans="1:31">
      <c r="B3" s="4012"/>
    </row>
    <row r="4" spans="1:31">
      <c r="B4" s="4012" t="s">
        <v>3130</v>
      </c>
      <c r="F4" s="4035"/>
    </row>
    <row r="5" spans="1:31" ht="78.75" customHeight="1">
      <c r="B5" s="3920" t="s">
        <v>84</v>
      </c>
      <c r="C5" s="3920" t="s">
        <v>81</v>
      </c>
      <c r="D5" s="3581" t="s">
        <v>2898</v>
      </c>
      <c r="E5" s="3581" t="s">
        <v>3131</v>
      </c>
      <c r="F5" s="3581" t="s">
        <v>3132</v>
      </c>
      <c r="G5" s="3581" t="s">
        <v>3117</v>
      </c>
      <c r="H5" s="3581" t="s">
        <v>3133</v>
      </c>
      <c r="I5" s="3581" t="s">
        <v>3134</v>
      </c>
    </row>
    <row r="6" spans="1:31">
      <c r="B6" s="4013">
        <v>1</v>
      </c>
      <c r="C6" s="4013" t="s">
        <v>3122</v>
      </c>
      <c r="D6" s="4013" t="s">
        <v>151</v>
      </c>
      <c r="E6" s="4351">
        <f t="shared" ref="E6:F10" si="0">E59</f>
        <v>18.13</v>
      </c>
      <c r="F6" s="4351">
        <f t="shared" si="0"/>
        <v>9.23</v>
      </c>
      <c r="G6" s="4352">
        <v>0.62649999999999995</v>
      </c>
      <c r="H6" s="4353">
        <f>E6*$G6*0</f>
        <v>0</v>
      </c>
      <c r="I6" s="4353">
        <f>F6*$G6*0</f>
        <v>0</v>
      </c>
    </row>
    <row r="7" spans="1:31">
      <c r="B7" s="4013">
        <f>B6+1</f>
        <v>2</v>
      </c>
      <c r="C7" s="4013" t="s">
        <v>3123</v>
      </c>
      <c r="D7" s="4013" t="s">
        <v>151</v>
      </c>
      <c r="E7" s="4036">
        <f t="shared" si="0"/>
        <v>401.44</v>
      </c>
      <c r="F7" s="4036">
        <f t="shared" si="0"/>
        <v>386.8</v>
      </c>
      <c r="G7" s="4034">
        <v>0.51170000000000004</v>
      </c>
      <c r="H7" s="4015">
        <f t="shared" ref="H7:I13" si="1">E7*$G7</f>
        <v>205.41684800000002</v>
      </c>
      <c r="I7" s="4015">
        <f t="shared" si="1"/>
        <v>197.92556000000002</v>
      </c>
      <c r="J7" s="4350"/>
    </row>
    <row r="8" spans="1:31">
      <c r="B8" s="4013">
        <f t="shared" ref="B8:B14" si="2">B7+1</f>
        <v>3</v>
      </c>
      <c r="C8" s="4013" t="s">
        <v>3124</v>
      </c>
      <c r="D8" s="4013" t="s">
        <v>151</v>
      </c>
      <c r="E8" s="4036">
        <f t="shared" si="0"/>
        <v>338.99</v>
      </c>
      <c r="F8" s="4036">
        <f t="shared" si="0"/>
        <v>414.13</v>
      </c>
      <c r="G8" s="4034">
        <v>0.51170000000000004</v>
      </c>
      <c r="H8" s="4015">
        <f t="shared" si="1"/>
        <v>173.46118300000001</v>
      </c>
      <c r="I8" s="4015">
        <f t="shared" si="1"/>
        <v>211.91032100000001</v>
      </c>
      <c r="J8" s="4350"/>
    </row>
    <row r="9" spans="1:31">
      <c r="B9" s="4013">
        <f t="shared" si="2"/>
        <v>4</v>
      </c>
      <c r="C9" s="4013" t="s">
        <v>3125</v>
      </c>
      <c r="D9" s="4013" t="s">
        <v>151</v>
      </c>
      <c r="E9" s="4036">
        <f t="shared" si="0"/>
        <v>172.88</v>
      </c>
      <c r="F9" s="4036">
        <f t="shared" si="0"/>
        <v>170</v>
      </c>
      <c r="G9" s="4034">
        <v>0.51170000000000004</v>
      </c>
      <c r="H9" s="4015">
        <f t="shared" si="1"/>
        <v>88.462696000000008</v>
      </c>
      <c r="I9" s="4015">
        <f t="shared" si="1"/>
        <v>86.989000000000004</v>
      </c>
      <c r="J9" s="4350"/>
    </row>
    <row r="10" spans="1:31">
      <c r="B10" s="4013">
        <f t="shared" si="2"/>
        <v>5</v>
      </c>
      <c r="C10" s="4013" t="s">
        <v>3126</v>
      </c>
      <c r="D10" s="4013" t="s">
        <v>151</v>
      </c>
      <c r="E10" s="4036">
        <f t="shared" si="0"/>
        <v>281.17</v>
      </c>
      <c r="F10" s="4036">
        <f t="shared" si="0"/>
        <v>283.25</v>
      </c>
      <c r="G10" s="4034">
        <v>0.4</v>
      </c>
      <c r="H10" s="4015">
        <f t="shared" si="1"/>
        <v>112.46800000000002</v>
      </c>
      <c r="I10" s="4015">
        <f t="shared" si="1"/>
        <v>113.30000000000001</v>
      </c>
    </row>
    <row r="11" spans="1:31">
      <c r="B11" s="4013">
        <f t="shared" si="2"/>
        <v>6</v>
      </c>
      <c r="C11" s="4013" t="s">
        <v>3127</v>
      </c>
      <c r="D11" s="4013" t="s">
        <v>151</v>
      </c>
      <c r="E11" s="4013">
        <f t="shared" ref="E11:F13" si="3">E69</f>
        <v>72.28</v>
      </c>
      <c r="F11" s="4013">
        <f t="shared" si="3"/>
        <v>68.84</v>
      </c>
      <c r="G11" s="4034">
        <v>0.51170000000000004</v>
      </c>
      <c r="H11" s="4015">
        <f t="shared" si="1"/>
        <v>36.985676000000005</v>
      </c>
      <c r="I11" s="4015">
        <f t="shared" si="1"/>
        <v>35.225428000000008</v>
      </c>
    </row>
    <row r="12" spans="1:31">
      <c r="B12" s="4013">
        <f t="shared" si="2"/>
        <v>7</v>
      </c>
      <c r="C12" s="4013" t="s">
        <v>3128</v>
      </c>
      <c r="D12" s="4013" t="s">
        <v>151</v>
      </c>
      <c r="E12" s="4013">
        <f t="shared" si="3"/>
        <v>33.630000000000003</v>
      </c>
      <c r="F12" s="4013">
        <f t="shared" si="3"/>
        <v>34.33</v>
      </c>
      <c r="G12" s="4034">
        <v>0.51170000000000004</v>
      </c>
      <c r="H12" s="4015">
        <f t="shared" si="1"/>
        <v>17.208471000000003</v>
      </c>
      <c r="I12" s="4015">
        <f t="shared" si="1"/>
        <v>17.566661</v>
      </c>
    </row>
    <row r="13" spans="1:31">
      <c r="B13" s="4013">
        <f t="shared" si="2"/>
        <v>8</v>
      </c>
      <c r="C13" s="4013" t="s">
        <v>3129</v>
      </c>
      <c r="D13" s="4013" t="s">
        <v>151</v>
      </c>
      <c r="E13" s="4013">
        <f t="shared" si="3"/>
        <v>47.93</v>
      </c>
      <c r="F13" s="4013">
        <f t="shared" si="3"/>
        <v>50.21</v>
      </c>
      <c r="G13" s="4034">
        <v>0.51170000000000004</v>
      </c>
      <c r="H13" s="4015">
        <f t="shared" si="1"/>
        <v>24.525781000000002</v>
      </c>
      <c r="I13" s="4015">
        <f t="shared" si="1"/>
        <v>25.692457000000001</v>
      </c>
    </row>
    <row r="14" spans="1:31">
      <c r="B14" s="4016">
        <f t="shared" si="2"/>
        <v>9</v>
      </c>
      <c r="C14" s="4016" t="s">
        <v>47</v>
      </c>
      <c r="D14" s="4016"/>
      <c r="E14" s="4348">
        <f>SUM(E6:E13)</f>
        <v>1366.45</v>
      </c>
      <c r="F14" s="4348">
        <f>SUM(F6:F13)</f>
        <v>1416.79</v>
      </c>
      <c r="G14" s="4016"/>
      <c r="H14" s="4017">
        <f>SUM(H6:H13)</f>
        <v>658.52865500000019</v>
      </c>
      <c r="I14" s="4017">
        <f>SUM(I6:I13)</f>
        <v>688.60942699999987</v>
      </c>
    </row>
    <row r="15" spans="1:31">
      <c r="B15" s="4019"/>
      <c r="C15" s="4030"/>
      <c r="D15" s="4019"/>
      <c r="E15" s="4357"/>
      <c r="F15" s="4357"/>
      <c r="G15" s="4019"/>
      <c r="H15" s="4162"/>
      <c r="I15" s="4162"/>
    </row>
    <row r="16" spans="1:31">
      <c r="B16" s="4012" t="s">
        <v>3113</v>
      </c>
      <c r="C16" s="4012"/>
    </row>
    <row r="17" spans="2:14" ht="78.75" customHeight="1">
      <c r="B17" s="3920" t="s">
        <v>84</v>
      </c>
      <c r="C17" s="3920" t="s">
        <v>81</v>
      </c>
      <c r="D17" s="3581" t="s">
        <v>3114</v>
      </c>
      <c r="E17" s="3581" t="s">
        <v>3312</v>
      </c>
      <c r="F17" s="3581" t="s">
        <v>3313</v>
      </c>
      <c r="G17" s="3581" t="s">
        <v>3311</v>
      </c>
      <c r="H17" s="3581" t="s">
        <v>3314</v>
      </c>
      <c r="I17" s="3581" t="s">
        <v>3315</v>
      </c>
      <c r="J17" s="3581" t="s">
        <v>3117</v>
      </c>
      <c r="K17" s="3581" t="s">
        <v>3118</v>
      </c>
      <c r="L17" s="3581" t="s">
        <v>3119</v>
      </c>
      <c r="M17" s="4354" t="s">
        <v>3120</v>
      </c>
      <c r="N17" s="4354" t="s">
        <v>3121</v>
      </c>
    </row>
    <row r="18" spans="2:14" s="4344" customFormat="1">
      <c r="B18" s="4345"/>
      <c r="C18" s="4345" t="s">
        <v>3309</v>
      </c>
      <c r="D18" s="4346"/>
      <c r="E18" s="4348">
        <f>SUM(E19:E23)</f>
        <v>6168</v>
      </c>
      <c r="F18" s="4016">
        <f>SUM(F19:F23)</f>
        <v>6706</v>
      </c>
      <c r="G18" s="4016">
        <f t="shared" ref="G18:I18" si="4">SUM(G19:G23)</f>
        <v>0.21000000000000002</v>
      </c>
      <c r="H18" s="4347">
        <f t="shared" si="4"/>
        <v>5836</v>
      </c>
      <c r="I18" s="4347">
        <f t="shared" si="4"/>
        <v>6298.3099999999995</v>
      </c>
      <c r="J18" s="4346"/>
      <c r="K18" s="4346"/>
      <c r="L18" s="4346"/>
      <c r="M18" s="4354"/>
      <c r="N18" s="4354"/>
    </row>
    <row r="19" spans="2:14">
      <c r="B19" s="4361">
        <v>1</v>
      </c>
      <c r="C19" s="4013" t="s">
        <v>3122</v>
      </c>
      <c r="D19" s="4013">
        <v>108</v>
      </c>
      <c r="E19" s="4013">
        <v>0</v>
      </c>
      <c r="F19" s="4013">
        <v>0</v>
      </c>
      <c r="G19" s="4013">
        <v>0</v>
      </c>
      <c r="H19" s="4015">
        <f t="shared" ref="H19:I24" si="5">E19*(1-$G19)</f>
        <v>0</v>
      </c>
      <c r="I19" s="4015">
        <f t="shared" si="5"/>
        <v>0</v>
      </c>
      <c r="J19" s="4034">
        <v>0.45019999999999999</v>
      </c>
      <c r="K19" s="4018">
        <f t="shared" ref="K19:L27" si="6">H19*$J19</f>
        <v>0</v>
      </c>
      <c r="L19" s="4018">
        <f t="shared" si="6"/>
        <v>0</v>
      </c>
      <c r="M19" s="4355">
        <f>K19*0-1.32</f>
        <v>-1.32</v>
      </c>
      <c r="N19" s="4355">
        <f>L19</f>
        <v>0</v>
      </c>
    </row>
    <row r="20" spans="2:14">
      <c r="B20" s="4361">
        <f>B19+1</f>
        <v>2</v>
      </c>
      <c r="C20" s="4013" t="s">
        <v>3123</v>
      </c>
      <c r="D20" s="4013">
        <v>500</v>
      </c>
      <c r="E20" s="4018">
        <v>3347</v>
      </c>
      <c r="F20" s="4013">
        <v>3294</v>
      </c>
      <c r="G20" s="4349">
        <v>0.06</v>
      </c>
      <c r="H20" s="4015">
        <f t="shared" si="5"/>
        <v>3146.18</v>
      </c>
      <c r="I20" s="4015">
        <f t="shared" si="5"/>
        <v>3096.3599999999997</v>
      </c>
      <c r="J20" s="4034">
        <v>0.51170000000000004</v>
      </c>
      <c r="K20" s="4018">
        <f t="shared" si="6"/>
        <v>1609.900306</v>
      </c>
      <c r="L20" s="4018">
        <f t="shared" si="6"/>
        <v>1584.407412</v>
      </c>
      <c r="M20" s="4355">
        <f t="shared" ref="M20:N27" si="7">K20</f>
        <v>1609.900306</v>
      </c>
      <c r="N20" s="4355">
        <f t="shared" si="7"/>
        <v>1584.407412</v>
      </c>
    </row>
    <row r="21" spans="2:14">
      <c r="B21" s="4361">
        <f t="shared" ref="B21:B28" si="8">B20+1</f>
        <v>3</v>
      </c>
      <c r="C21" s="4013" t="s">
        <v>3124</v>
      </c>
      <c r="D21" s="4013">
        <v>500</v>
      </c>
      <c r="E21" s="4018">
        <v>554</v>
      </c>
      <c r="F21" s="4013">
        <v>0</v>
      </c>
      <c r="G21" s="4034">
        <v>3.5000000000000003E-2</v>
      </c>
      <c r="H21" s="4015">
        <f>E21*(1-$G21)</f>
        <v>534.61</v>
      </c>
      <c r="I21" s="4015">
        <f t="shared" si="5"/>
        <v>0</v>
      </c>
      <c r="J21" s="4577">
        <f>E137</f>
        <v>0.28694961836794503</v>
      </c>
      <c r="K21" s="4018">
        <f>H21*$J21</f>
        <v>153.40613547568708</v>
      </c>
      <c r="L21" s="4018">
        <f t="shared" si="6"/>
        <v>0</v>
      </c>
      <c r="M21" s="4355">
        <f>K21*0+D162</f>
        <v>165.05785686920001</v>
      </c>
      <c r="N21" s="4355">
        <f t="shared" si="7"/>
        <v>0</v>
      </c>
    </row>
    <row r="22" spans="2:14">
      <c r="B22" s="4361">
        <f t="shared" si="8"/>
        <v>4</v>
      </c>
      <c r="C22" s="4013" t="s">
        <v>3125</v>
      </c>
      <c r="D22" s="4013">
        <v>180</v>
      </c>
      <c r="E22" s="4013">
        <v>1471</v>
      </c>
      <c r="F22" s="4013">
        <v>1454</v>
      </c>
      <c r="G22" s="4349">
        <v>0.03</v>
      </c>
      <c r="H22" s="4015">
        <f t="shared" si="5"/>
        <v>1426.87</v>
      </c>
      <c r="I22" s="4015">
        <f t="shared" si="5"/>
        <v>1410.3799999999999</v>
      </c>
      <c r="J22" s="4034">
        <v>0.51170000000000004</v>
      </c>
      <c r="K22" s="4018">
        <f>H22*$J22</f>
        <v>730.12937899999997</v>
      </c>
      <c r="L22" s="4018">
        <f t="shared" si="6"/>
        <v>721.69144600000004</v>
      </c>
      <c r="M22" s="4355">
        <f t="shared" si="7"/>
        <v>730.12937899999997</v>
      </c>
      <c r="N22" s="4355">
        <f t="shared" si="7"/>
        <v>721.69144600000004</v>
      </c>
    </row>
    <row r="23" spans="2:14">
      <c r="B23" s="4361">
        <f t="shared" si="8"/>
        <v>5</v>
      </c>
      <c r="C23" s="4013" t="s">
        <v>3126</v>
      </c>
      <c r="D23" s="4013">
        <v>250</v>
      </c>
      <c r="E23" s="4013">
        <v>796</v>
      </c>
      <c r="F23" s="4013">
        <v>1958</v>
      </c>
      <c r="G23" s="4034">
        <v>8.5000000000000006E-2</v>
      </c>
      <c r="H23" s="4015">
        <f t="shared" si="5"/>
        <v>728.34</v>
      </c>
      <c r="I23" s="4015">
        <f t="shared" si="5"/>
        <v>1791.5700000000002</v>
      </c>
      <c r="J23" s="4034">
        <v>0.4</v>
      </c>
      <c r="K23" s="4018">
        <f t="shared" si="6"/>
        <v>291.33600000000001</v>
      </c>
      <c r="L23" s="4018">
        <f t="shared" si="6"/>
        <v>716.62800000000016</v>
      </c>
      <c r="M23" s="4355">
        <f t="shared" si="7"/>
        <v>291.33600000000001</v>
      </c>
      <c r="N23" s="4355">
        <f t="shared" si="7"/>
        <v>716.62800000000016</v>
      </c>
    </row>
    <row r="24" spans="2:14">
      <c r="B24" s="4361"/>
      <c r="C24" s="4016" t="s">
        <v>3310</v>
      </c>
      <c r="D24" s="4013"/>
      <c r="E24" s="4016">
        <v>1458</v>
      </c>
      <c r="F24" s="4016">
        <v>1450</v>
      </c>
      <c r="G24" s="4034">
        <v>1.78E-2</v>
      </c>
      <c r="H24" s="4015">
        <f t="shared" si="5"/>
        <v>1432.0475999999999</v>
      </c>
      <c r="I24" s="4015">
        <f t="shared" si="5"/>
        <v>1424.19</v>
      </c>
      <c r="J24" s="4034">
        <v>0.51170000000000004</v>
      </c>
      <c r="K24" s="4018">
        <f t="shared" si="6"/>
        <v>732.77875691999998</v>
      </c>
      <c r="L24" s="4018">
        <f t="shared" si="6"/>
        <v>728.75802300000009</v>
      </c>
      <c r="M24" s="4355">
        <f t="shared" si="7"/>
        <v>732.77875691999998</v>
      </c>
      <c r="N24" s="4355">
        <f t="shared" si="7"/>
        <v>728.75802300000009</v>
      </c>
    </row>
    <row r="25" spans="2:14">
      <c r="B25" s="4361">
        <f>B23+1</f>
        <v>6</v>
      </c>
      <c r="C25" s="4013" t="s">
        <v>3127</v>
      </c>
      <c r="D25" s="4013">
        <v>300</v>
      </c>
      <c r="E25" s="4013"/>
      <c r="F25" s="4013"/>
      <c r="G25" s="4013"/>
      <c r="H25" s="4015"/>
      <c r="I25" s="4015"/>
      <c r="J25" s="4034">
        <v>0.51170000000000004</v>
      </c>
      <c r="K25" s="4018">
        <f t="shared" si="6"/>
        <v>0</v>
      </c>
      <c r="L25" s="4018">
        <f t="shared" si="6"/>
        <v>0</v>
      </c>
      <c r="M25" s="4355">
        <f t="shared" si="7"/>
        <v>0</v>
      </c>
      <c r="N25" s="4355">
        <f t="shared" si="7"/>
        <v>0</v>
      </c>
    </row>
    <row r="26" spans="2:14">
      <c r="B26" s="4361">
        <f t="shared" si="8"/>
        <v>7</v>
      </c>
      <c r="C26" s="4013" t="s">
        <v>3128</v>
      </c>
      <c r="D26" s="4013">
        <v>75</v>
      </c>
      <c r="E26" s="4013"/>
      <c r="F26" s="4013"/>
      <c r="G26" s="4013"/>
      <c r="H26" s="4015"/>
      <c r="I26" s="4015"/>
      <c r="J26" s="4034">
        <v>0.51170000000000004</v>
      </c>
      <c r="K26" s="4018">
        <f t="shared" si="6"/>
        <v>0</v>
      </c>
      <c r="L26" s="4018">
        <f t="shared" si="6"/>
        <v>0</v>
      </c>
      <c r="M26" s="4355">
        <f t="shared" si="7"/>
        <v>0</v>
      </c>
      <c r="N26" s="4355">
        <f t="shared" si="7"/>
        <v>0</v>
      </c>
    </row>
    <row r="27" spans="2:14">
      <c r="B27" s="4361">
        <f t="shared" si="8"/>
        <v>8</v>
      </c>
      <c r="C27" s="4013" t="s">
        <v>3129</v>
      </c>
      <c r="D27" s="4013">
        <v>72</v>
      </c>
      <c r="E27" s="4013"/>
      <c r="F27" s="4013"/>
      <c r="G27" s="4013"/>
      <c r="H27" s="4015"/>
      <c r="I27" s="4015"/>
      <c r="J27" s="4034">
        <v>0.51170000000000004</v>
      </c>
      <c r="K27" s="4018">
        <f t="shared" si="6"/>
        <v>0</v>
      </c>
      <c r="L27" s="4018">
        <f t="shared" si="6"/>
        <v>0</v>
      </c>
      <c r="M27" s="4355">
        <f t="shared" si="7"/>
        <v>0</v>
      </c>
      <c r="N27" s="4355">
        <f t="shared" si="7"/>
        <v>0</v>
      </c>
    </row>
    <row r="28" spans="2:14">
      <c r="B28" s="4362">
        <f t="shared" si="8"/>
        <v>9</v>
      </c>
      <c r="C28" s="4016" t="s">
        <v>47</v>
      </c>
      <c r="D28" s="4016">
        <f>SUM(D19:D27)</f>
        <v>1985</v>
      </c>
      <c r="E28" s="4347">
        <f t="shared" ref="E28:F28" si="9">SUM(E19:E27)</f>
        <v>7626</v>
      </c>
      <c r="F28" s="4347">
        <f t="shared" si="9"/>
        <v>8156</v>
      </c>
      <c r="G28" s="4347"/>
      <c r="H28" s="4347">
        <f>SUM(H19:H27)</f>
        <v>7268.0475999999999</v>
      </c>
      <c r="I28" s="4347">
        <f>SUM(I19:I27)</f>
        <v>7722.5</v>
      </c>
      <c r="J28" s="4016"/>
      <c r="K28" s="4348">
        <f>SUM(K19:K27)</f>
        <v>3517.5505773956875</v>
      </c>
      <c r="L28" s="4348">
        <f>SUM(L19:L27)</f>
        <v>3751.4848810000003</v>
      </c>
      <c r="M28" s="4356">
        <f>SUM(M19:M27)</f>
        <v>3527.8822987891999</v>
      </c>
      <c r="N28" s="4356">
        <f>SUM(N19:N27)</f>
        <v>3751.4848810000003</v>
      </c>
    </row>
    <row r="29" spans="2:14">
      <c r="F29" s="4035"/>
    </row>
    <row r="30" spans="2:14">
      <c r="F30" s="4035"/>
    </row>
    <row r="31" spans="2:14">
      <c r="B31" s="4012" t="s">
        <v>3135</v>
      </c>
      <c r="F31" s="4035"/>
    </row>
    <row r="32" spans="2:14" ht="21" customHeight="1">
      <c r="B32" s="5425" t="s">
        <v>84</v>
      </c>
      <c r="C32" s="5425" t="s">
        <v>81</v>
      </c>
      <c r="D32" s="5430" t="s">
        <v>3317</v>
      </c>
      <c r="E32" s="5430"/>
      <c r="F32" s="5430"/>
      <c r="G32" s="5430" t="s">
        <v>3435</v>
      </c>
      <c r="H32" s="5430"/>
      <c r="I32" s="5430"/>
      <c r="J32" s="3581" t="s">
        <v>2443</v>
      </c>
      <c r="K32" s="3581"/>
      <c r="L32" s="3581"/>
    </row>
    <row r="33" spans="1:12" ht="43.5" customHeight="1">
      <c r="B33" s="5425"/>
      <c r="C33" s="5425"/>
      <c r="D33" s="3581" t="s">
        <v>3136</v>
      </c>
      <c r="E33" s="3581" t="s">
        <v>3137</v>
      </c>
      <c r="F33" s="3581" t="s">
        <v>3135</v>
      </c>
      <c r="G33" s="3581" t="s">
        <v>3136</v>
      </c>
      <c r="H33" s="3581" t="s">
        <v>3137</v>
      </c>
      <c r="I33" s="3581" t="s">
        <v>3135</v>
      </c>
      <c r="J33" s="3581" t="s">
        <v>3136</v>
      </c>
      <c r="K33" s="3581" t="s">
        <v>3137</v>
      </c>
      <c r="L33" s="3581" t="s">
        <v>3135</v>
      </c>
    </row>
    <row r="34" spans="1:12">
      <c r="B34" s="4361">
        <v>1</v>
      </c>
      <c r="C34" s="4013" t="s">
        <v>3122</v>
      </c>
      <c r="D34" s="4015">
        <v>0</v>
      </c>
      <c r="E34" s="4015">
        <v>0</v>
      </c>
      <c r="F34" s="4015">
        <v>0</v>
      </c>
      <c r="G34" s="4015">
        <f>M19-D34</f>
        <v>-1.32</v>
      </c>
      <c r="H34" s="4036">
        <f>E73</f>
        <v>14.04</v>
      </c>
      <c r="I34" s="4037">
        <f>G34*H34/10</f>
        <v>-1.8532799999999998</v>
      </c>
      <c r="J34" s="4018">
        <f t="shared" ref="J34:J39" si="10">N19</f>
        <v>0</v>
      </c>
      <c r="K34" s="4036">
        <f>F73</f>
        <v>14.06</v>
      </c>
      <c r="L34" s="4037">
        <f t="shared" ref="L34:L39" si="11">J34*K34/10</f>
        <v>0</v>
      </c>
    </row>
    <row r="35" spans="1:12">
      <c r="B35" s="4361">
        <f>B34+1</f>
        <v>2</v>
      </c>
      <c r="C35" s="4013" t="s">
        <v>3123</v>
      </c>
      <c r="D35" s="4015">
        <f>[97]Sheet1!$E$53</f>
        <v>942.89745044460005</v>
      </c>
      <c r="E35" s="4015">
        <f t="shared" ref="E35:E37" si="12">F35/D35*10</f>
        <v>3.3719288303632746</v>
      </c>
      <c r="F35" s="4015">
        <f>E91*E149</f>
        <v>317.93830972301737</v>
      </c>
      <c r="G35" s="4015">
        <f>M20-D35</f>
        <v>667.00285555539995</v>
      </c>
      <c r="H35" s="4037">
        <f>E76</f>
        <v>3.9</v>
      </c>
      <c r="I35" s="4037">
        <f>G35*H35/10</f>
        <v>260.13111366660598</v>
      </c>
      <c r="J35" s="4018">
        <f t="shared" si="10"/>
        <v>1584.407412</v>
      </c>
      <c r="K35" s="4037">
        <f>F76</f>
        <v>3.91</v>
      </c>
      <c r="L35" s="4037">
        <f t="shared" si="11"/>
        <v>619.50329809200002</v>
      </c>
    </row>
    <row r="36" spans="1:12">
      <c r="B36" s="4361">
        <f t="shared" ref="B36:B39" si="13">B35+1</f>
        <v>3</v>
      </c>
      <c r="C36" s="4013" t="s">
        <v>3124</v>
      </c>
      <c r="D36" s="4015">
        <f>D107</f>
        <v>113.08</v>
      </c>
      <c r="E36" s="4015">
        <f t="shared" si="12"/>
        <v>13.370180403254333</v>
      </c>
      <c r="F36" s="4013">
        <f>F107</f>
        <v>151.19</v>
      </c>
      <c r="G36" s="4015">
        <f>M21-D36</f>
        <v>51.977856869200011</v>
      </c>
      <c r="H36" s="4036">
        <f>E77*0+13.37</f>
        <v>13.37</v>
      </c>
      <c r="I36" s="4037">
        <f>G36*H36/10</f>
        <v>69.494394634120411</v>
      </c>
      <c r="J36" s="4018">
        <f t="shared" si="10"/>
        <v>0</v>
      </c>
      <c r="K36" s="4036">
        <f>H36</f>
        <v>13.37</v>
      </c>
      <c r="L36" s="4037">
        <f t="shared" si="11"/>
        <v>0</v>
      </c>
    </row>
    <row r="37" spans="1:12">
      <c r="B37" s="4361">
        <f t="shared" si="13"/>
        <v>4</v>
      </c>
      <c r="C37" s="4013" t="s">
        <v>3125</v>
      </c>
      <c r="D37" s="4015">
        <f>[97]Sheet1!$G$53</f>
        <v>370.86341257070006</v>
      </c>
      <c r="E37" s="4015">
        <f t="shared" si="12"/>
        <v>3.4054820188034767</v>
      </c>
      <c r="F37" s="4015">
        <f>E91*G149</f>
        <v>126.29686829416144</v>
      </c>
      <c r="G37" s="4015">
        <f t="shared" ref="G37:G39" si="14">M22-D37</f>
        <v>359.26596642929991</v>
      </c>
      <c r="H37" s="4037">
        <f>E79</f>
        <v>2.0099999999999998</v>
      </c>
      <c r="I37" s="4037">
        <f t="shared" ref="I37:I38" si="15">G37*H37/10</f>
        <v>72.212459252289278</v>
      </c>
      <c r="J37" s="4018">
        <f t="shared" si="10"/>
        <v>721.69144600000004</v>
      </c>
      <c r="K37" s="4037">
        <f>F79</f>
        <v>2.02</v>
      </c>
      <c r="L37" s="4037">
        <f t="shared" si="11"/>
        <v>145.78167209200001</v>
      </c>
    </row>
    <row r="38" spans="1:12">
      <c r="B38" s="4361">
        <f t="shared" si="13"/>
        <v>5</v>
      </c>
      <c r="C38" s="4013" t="s">
        <v>3126</v>
      </c>
      <c r="D38" s="4015">
        <v>0</v>
      </c>
      <c r="E38" s="4015">
        <v>0</v>
      </c>
      <c r="F38" s="4013">
        <v>0</v>
      </c>
      <c r="G38" s="4015">
        <f t="shared" si="14"/>
        <v>291.33600000000001</v>
      </c>
      <c r="H38" s="4036">
        <f>E81</f>
        <v>3.85</v>
      </c>
      <c r="I38" s="4037">
        <f t="shared" si="15"/>
        <v>112.16436000000002</v>
      </c>
      <c r="J38" s="4018">
        <f t="shared" si="10"/>
        <v>716.62800000000016</v>
      </c>
      <c r="K38" s="4036">
        <f>F81</f>
        <v>3.85</v>
      </c>
      <c r="L38" s="4037">
        <f t="shared" si="11"/>
        <v>275.90178000000003</v>
      </c>
    </row>
    <row r="39" spans="1:12">
      <c r="B39" s="4361">
        <f t="shared" si="13"/>
        <v>6</v>
      </c>
      <c r="C39" s="4013" t="s">
        <v>3310</v>
      </c>
      <c r="D39" s="4015">
        <f>D110</f>
        <v>386.44</v>
      </c>
      <c r="E39" s="4015">
        <f>F39/D39*10</f>
        <v>1.3924541972880655</v>
      </c>
      <c r="F39" s="4013">
        <f>F110</f>
        <v>53.81</v>
      </c>
      <c r="G39" s="4015">
        <f t="shared" si="14"/>
        <v>346.33875691999998</v>
      </c>
      <c r="H39" s="4015">
        <f>$F$95</f>
        <v>1.3925548200454332</v>
      </c>
      <c r="I39" s="4037">
        <f>G39*H39/10</f>
        <v>48.229570531748962</v>
      </c>
      <c r="J39" s="4018">
        <f t="shared" si="10"/>
        <v>728.75802300000009</v>
      </c>
      <c r="K39" s="4015">
        <f>$F$95</f>
        <v>1.3925548200454332</v>
      </c>
      <c r="L39" s="4037">
        <f t="shared" si="11"/>
        <v>101.48354975754307</v>
      </c>
    </row>
    <row r="40" spans="1:12">
      <c r="B40" s="4361"/>
      <c r="C40" s="4013" t="s">
        <v>3436</v>
      </c>
      <c r="D40" s="4015"/>
      <c r="E40" s="4015"/>
      <c r="F40" s="4015">
        <f>G91</f>
        <v>-48.078483758000694</v>
      </c>
      <c r="G40" s="4013"/>
      <c r="H40" s="4015"/>
      <c r="I40" s="4037"/>
      <c r="J40" s="4018"/>
      <c r="K40" s="4015"/>
      <c r="L40" s="4037"/>
    </row>
    <row r="41" spans="1:12">
      <c r="B41" s="4362">
        <f>B39+1</f>
        <v>7</v>
      </c>
      <c r="C41" s="4016" t="s">
        <v>47</v>
      </c>
      <c r="D41" s="4017">
        <f>SUM(D34:D40)</f>
        <v>1813.2808630153002</v>
      </c>
      <c r="E41" s="4017">
        <f>F41/D41*10</f>
        <v>3.315298288978334</v>
      </c>
      <c r="F41" s="4017">
        <f>SUM(F34:F40)</f>
        <v>601.15669425917815</v>
      </c>
      <c r="G41" s="4017">
        <f>SUM(G34:G40)</f>
        <v>1714.6014357738998</v>
      </c>
      <c r="H41" s="4017">
        <f>I41/G41*10</f>
        <v>3.2682733514207811</v>
      </c>
      <c r="I41" s="4017">
        <f>SUM(I34:I40)</f>
        <v>560.37861808476464</v>
      </c>
      <c r="J41" s="4017">
        <f>SUM(J34:J40)</f>
        <v>3751.4848810000003</v>
      </c>
      <c r="K41" s="4017">
        <f>L41/J41*10</f>
        <v>3.0459147142742897</v>
      </c>
      <c r="L41" s="4017">
        <f>SUM(L34:L40)</f>
        <v>1142.6702999415434</v>
      </c>
    </row>
    <row r="42" spans="1:12">
      <c r="B42" s="4019"/>
      <c r="C42" s="4030"/>
      <c r="D42" s="4358" t="b">
        <f>D41=M28</f>
        <v>0</v>
      </c>
      <c r="E42" s="4359"/>
      <c r="F42" s="4360"/>
      <c r="G42" s="4358" t="b">
        <f>J41=N28</f>
        <v>1</v>
      </c>
      <c r="H42" s="4031"/>
      <c r="I42" s="4162"/>
      <c r="K42" s="4401"/>
    </row>
    <row r="43" spans="1:12">
      <c r="B43" s="4019"/>
      <c r="C43" s="4030"/>
      <c r="D43" s="4358"/>
      <c r="E43" s="4359"/>
      <c r="F43" s="4360"/>
      <c r="G43" s="4358"/>
      <c r="H43" s="4031"/>
      <c r="I43" s="4162"/>
    </row>
    <row r="44" spans="1:12">
      <c r="A44" s="4038"/>
      <c r="B44" s="4038"/>
      <c r="C44" s="4038"/>
      <c r="D44" s="4038"/>
      <c r="E44" s="4038"/>
      <c r="F44" s="4038"/>
      <c r="G44" s="4038"/>
      <c r="H44" s="4038"/>
      <c r="I44" s="4038"/>
    </row>
    <row r="45" spans="1:12">
      <c r="A45" s="4038"/>
      <c r="B45" s="4039" t="s">
        <v>3138</v>
      </c>
      <c r="C45" s="4038"/>
      <c r="D45" s="4038"/>
      <c r="E45" s="4038"/>
      <c r="F45" s="4038"/>
      <c r="G45" s="4038"/>
      <c r="H45" s="4038"/>
      <c r="I45" s="4038"/>
    </row>
    <row r="46" spans="1:12">
      <c r="A46" s="4038"/>
      <c r="B46" s="4041" t="s">
        <v>84</v>
      </c>
      <c r="C46" s="4041" t="s">
        <v>81</v>
      </c>
      <c r="D46" s="4041" t="s">
        <v>85</v>
      </c>
      <c r="E46" s="4578" t="s">
        <v>3610</v>
      </c>
      <c r="F46" s="4578" t="s">
        <v>3628</v>
      </c>
      <c r="G46" s="4042" t="s">
        <v>2442</v>
      </c>
      <c r="H46" s="4042" t="s">
        <v>2443</v>
      </c>
      <c r="I46" s="4038"/>
    </row>
    <row r="47" spans="1:12">
      <c r="A47" s="4038"/>
      <c r="B47" s="4365">
        <v>1</v>
      </c>
      <c r="C47" s="4366" t="s">
        <v>3139</v>
      </c>
      <c r="D47" s="4366" t="s">
        <v>83</v>
      </c>
      <c r="E47" s="4579">
        <f>D169</f>
        <v>2697.8061053037995</v>
      </c>
      <c r="F47" s="4579">
        <f>I169</f>
        <v>830.07372664289983</v>
      </c>
      <c r="G47" s="4364">
        <f>M28</f>
        <v>3527.8822987891999</v>
      </c>
      <c r="H47" s="4364">
        <f>S169</f>
        <v>3751.4848810000003</v>
      </c>
      <c r="I47" s="4038"/>
    </row>
    <row r="48" spans="1:12">
      <c r="A48" s="4038"/>
      <c r="B48" s="4363">
        <f>B47+1</f>
        <v>2</v>
      </c>
      <c r="C48" s="4043" t="s">
        <v>3140</v>
      </c>
      <c r="D48" s="4043" t="s">
        <v>151</v>
      </c>
      <c r="E48" s="4353">
        <f>E169</f>
        <v>493.89649124999994</v>
      </c>
      <c r="F48" s="4353">
        <f>J169</f>
        <v>164.63216375000013</v>
      </c>
      <c r="G48" s="4045">
        <f>E48+F48</f>
        <v>658.52865500000007</v>
      </c>
      <c r="H48" s="4045">
        <f>T169</f>
        <v>688.60942699999998</v>
      </c>
      <c r="I48" s="4038"/>
    </row>
    <row r="49" spans="1:9">
      <c r="A49" s="4038"/>
      <c r="B49" s="4363">
        <f t="shared" ref="B49" si="16">B48+1</f>
        <v>3</v>
      </c>
      <c r="C49" s="4043" t="s">
        <v>3141</v>
      </c>
      <c r="D49" s="4043" t="s">
        <v>151</v>
      </c>
      <c r="E49" s="4353">
        <f>G169</f>
        <v>879.80132661645484</v>
      </c>
      <c r="F49" s="4353">
        <f>L169</f>
        <v>234.02769009496816</v>
      </c>
      <c r="G49" s="4045">
        <f>E49+F49</f>
        <v>1113.829016711423</v>
      </c>
      <c r="H49" s="4045">
        <f>V169</f>
        <v>1135.9032137420686</v>
      </c>
      <c r="I49" s="4038"/>
    </row>
    <row r="50" spans="1:9">
      <c r="A50" s="4038"/>
      <c r="B50" s="4363">
        <v>4</v>
      </c>
      <c r="C50" s="4043" t="s">
        <v>3438</v>
      </c>
      <c r="D50" s="4043" t="s">
        <v>151</v>
      </c>
      <c r="E50" s="4353">
        <v>0</v>
      </c>
      <c r="F50" s="4353">
        <v>0</v>
      </c>
      <c r="G50" s="4045">
        <f t="shared" ref="G50:G51" si="17">E50+F50</f>
        <v>0</v>
      </c>
      <c r="H50" s="4045"/>
      <c r="I50" s="4038"/>
    </row>
    <row r="51" spans="1:9">
      <c r="A51" s="4038"/>
      <c r="B51" s="4363">
        <v>5</v>
      </c>
      <c r="C51" s="4043" t="s">
        <v>3336</v>
      </c>
      <c r="D51" s="4043" t="s">
        <v>151</v>
      </c>
      <c r="E51" s="4353">
        <f>H168</f>
        <v>1.1522942700000001</v>
      </c>
      <c r="F51" s="4353">
        <v>0</v>
      </c>
      <c r="G51" s="4045">
        <f t="shared" si="17"/>
        <v>1.1522942700000001</v>
      </c>
      <c r="H51" s="4045"/>
      <c r="I51" s="4038"/>
    </row>
    <row r="52" spans="1:9">
      <c r="A52" s="4038"/>
      <c r="B52" s="4365">
        <v>6</v>
      </c>
      <c r="C52" s="4366" t="s">
        <v>3142</v>
      </c>
      <c r="D52" s="4366" t="s">
        <v>151</v>
      </c>
      <c r="E52" s="4579">
        <f>SUM(E48:E51)</f>
        <v>1374.850112136455</v>
      </c>
      <c r="F52" s="4579">
        <f>SUM(F48:F51)</f>
        <v>398.65985384496832</v>
      </c>
      <c r="G52" s="4364">
        <f>SUM(G48:G51)</f>
        <v>1773.5099659814232</v>
      </c>
      <c r="H52" s="4364">
        <f>SUM(H48:H49)</f>
        <v>1824.5126407420685</v>
      </c>
      <c r="I52" s="4038"/>
    </row>
    <row r="53" spans="1:9">
      <c r="A53" s="4038"/>
      <c r="B53" s="4363">
        <v>7</v>
      </c>
      <c r="C53" s="4043" t="s">
        <v>3143</v>
      </c>
      <c r="D53" s="4046" t="s">
        <v>3144</v>
      </c>
      <c r="E53" s="4364">
        <f>E52/E47*10</f>
        <v>5.0961783703934245</v>
      </c>
      <c r="F53" s="4364">
        <f t="shared" ref="F53" si="18">F52/F47*10</f>
        <v>4.8027041580665877</v>
      </c>
      <c r="G53" s="4364">
        <f>G52/G47*10</f>
        <v>5.0271234008858725</v>
      </c>
      <c r="H53" s="4364">
        <f>H52/H47*10</f>
        <v>4.8634412735677195</v>
      </c>
      <c r="I53" s="4038"/>
    </row>
    <row r="54" spans="1:9">
      <c r="A54" s="4038"/>
      <c r="B54" s="4039"/>
      <c r="C54" s="4038"/>
      <c r="D54" s="4038"/>
      <c r="E54" s="4040"/>
      <c r="F54" s="4040"/>
      <c r="G54" s="4038"/>
      <c r="H54" s="4038"/>
      <c r="I54" s="4038"/>
    </row>
    <row r="55" spans="1:9">
      <c r="A55" s="4038"/>
      <c r="B55" s="4038"/>
      <c r="C55" s="4038"/>
      <c r="D55" s="4038"/>
      <c r="E55" s="4038"/>
      <c r="F55" s="4038"/>
      <c r="G55" s="4038"/>
      <c r="H55" s="4038"/>
      <c r="I55" s="4038"/>
    </row>
    <row r="56" spans="1:9">
      <c r="B56" s="4012" t="s">
        <v>3145</v>
      </c>
    </row>
    <row r="57" spans="1:9">
      <c r="B57" s="3920" t="s">
        <v>84</v>
      </c>
      <c r="C57" s="4047" t="s">
        <v>81</v>
      </c>
      <c r="D57" s="4047" t="s">
        <v>1921</v>
      </c>
      <c r="E57" s="4048" t="s">
        <v>2442</v>
      </c>
      <c r="F57" s="4048" t="s">
        <v>2443</v>
      </c>
    </row>
    <row r="58" spans="1:9">
      <c r="B58" s="1317">
        <v>1</v>
      </c>
      <c r="C58" s="4049" t="s">
        <v>3146</v>
      </c>
      <c r="D58" s="4049"/>
      <c r="E58" s="4050"/>
      <c r="F58" s="4050"/>
    </row>
    <row r="59" spans="1:9">
      <c r="B59" s="4361"/>
      <c r="C59" s="4013" t="s">
        <v>3122</v>
      </c>
      <c r="D59" s="1317" t="s">
        <v>151</v>
      </c>
      <c r="E59" s="4036">
        <v>18.13</v>
      </c>
      <c r="F59" s="4036">
        <v>9.23</v>
      </c>
    </row>
    <row r="60" spans="1:9">
      <c r="B60" s="1317"/>
      <c r="C60" s="4013" t="s">
        <v>3123</v>
      </c>
      <c r="D60" s="1317" t="s">
        <v>151</v>
      </c>
      <c r="E60" s="4036">
        <v>401.44</v>
      </c>
      <c r="F60" s="4036">
        <v>386.8</v>
      </c>
    </row>
    <row r="61" spans="1:9">
      <c r="B61" s="1317"/>
      <c r="C61" s="4013" t="s">
        <v>3124</v>
      </c>
      <c r="D61" s="1317" t="s">
        <v>151</v>
      </c>
      <c r="E61" s="4036">
        <v>338.99</v>
      </c>
      <c r="F61" s="4036">
        <v>414.13</v>
      </c>
    </row>
    <row r="62" spans="1:9">
      <c r="B62" s="1317"/>
      <c r="C62" s="4013" t="s">
        <v>3125</v>
      </c>
      <c r="D62" s="1317" t="s">
        <v>151</v>
      </c>
      <c r="E62" s="4036">
        <v>172.88</v>
      </c>
      <c r="F62" s="4036">
        <v>170</v>
      </c>
    </row>
    <row r="63" spans="1:9">
      <c r="B63" s="1317"/>
      <c r="C63" s="4013" t="s">
        <v>3126</v>
      </c>
      <c r="D63" s="1317" t="s">
        <v>151</v>
      </c>
      <c r="E63" s="4051">
        <v>281.17</v>
      </c>
      <c r="F63" s="4036">
        <v>283.25</v>
      </c>
    </row>
    <row r="64" spans="1:9">
      <c r="B64" s="1317"/>
      <c r="C64" s="4013" t="s">
        <v>3147</v>
      </c>
      <c r="D64" s="1317" t="s">
        <v>151</v>
      </c>
      <c r="E64" s="4051">
        <v>283.17</v>
      </c>
      <c r="F64" s="4036">
        <v>287.5</v>
      </c>
    </row>
    <row r="65" spans="2:6">
      <c r="B65" s="1317"/>
      <c r="C65" s="4052" t="s">
        <v>3127</v>
      </c>
      <c r="D65" s="4052" t="s">
        <v>151</v>
      </c>
      <c r="E65" s="4052">
        <v>132.09</v>
      </c>
      <c r="F65" s="4053">
        <v>132.88</v>
      </c>
    </row>
    <row r="66" spans="2:6">
      <c r="B66" s="1317"/>
      <c r="C66" s="4052" t="s">
        <v>3128</v>
      </c>
      <c r="D66" s="4052" t="s">
        <v>151</v>
      </c>
      <c r="E66" s="4052">
        <v>62.85</v>
      </c>
      <c r="F66" s="4053">
        <v>63.44</v>
      </c>
    </row>
    <row r="67" spans="2:6">
      <c r="B67" s="1317"/>
      <c r="C67" s="4052" t="s">
        <v>3129</v>
      </c>
      <c r="D67" s="4052" t="s">
        <v>151</v>
      </c>
      <c r="E67" s="4052">
        <v>88.23</v>
      </c>
      <c r="F67" s="4053">
        <v>91.18</v>
      </c>
    </row>
    <row r="68" spans="2:6">
      <c r="B68" s="1317"/>
      <c r="C68" s="4013" t="s">
        <v>3148</v>
      </c>
      <c r="D68" s="1317" t="s">
        <v>151</v>
      </c>
      <c r="E68" s="4051">
        <v>153.84</v>
      </c>
      <c r="F68" s="4036">
        <v>153.38</v>
      </c>
    </row>
    <row r="69" spans="2:6">
      <c r="B69" s="1317"/>
      <c r="C69" s="4052" t="s">
        <v>3127</v>
      </c>
      <c r="D69" s="4052" t="s">
        <v>151</v>
      </c>
      <c r="E69" s="4054">
        <v>72.28</v>
      </c>
      <c r="F69" s="4054">
        <v>68.84</v>
      </c>
    </row>
    <row r="70" spans="2:6">
      <c r="B70" s="1317"/>
      <c r="C70" s="4052" t="s">
        <v>3128</v>
      </c>
      <c r="D70" s="4052" t="s">
        <v>151</v>
      </c>
      <c r="E70" s="4054">
        <v>33.630000000000003</v>
      </c>
      <c r="F70" s="4054">
        <v>34.33</v>
      </c>
    </row>
    <row r="71" spans="2:6">
      <c r="B71" s="1317"/>
      <c r="C71" s="4052" t="s">
        <v>3129</v>
      </c>
      <c r="D71" s="4052" t="s">
        <v>151</v>
      </c>
      <c r="E71" s="4054">
        <v>47.93</v>
      </c>
      <c r="F71" s="4054">
        <v>50.21</v>
      </c>
    </row>
    <row r="72" spans="2:6">
      <c r="B72" s="1317">
        <v>2</v>
      </c>
      <c r="C72" s="4576" t="s">
        <v>3141</v>
      </c>
      <c r="D72" s="1317"/>
      <c r="E72" s="4051"/>
      <c r="F72" s="4051"/>
    </row>
    <row r="73" spans="2:6">
      <c r="B73" s="1317"/>
      <c r="C73" s="4013" t="s">
        <v>3150</v>
      </c>
      <c r="D73" s="1317" t="s">
        <v>3209</v>
      </c>
      <c r="E73" s="4051">
        <v>14.04</v>
      </c>
      <c r="F73" s="4051">
        <v>14.06</v>
      </c>
    </row>
    <row r="74" spans="2:6">
      <c r="B74" s="1317"/>
      <c r="C74" s="4013" t="s">
        <v>3151</v>
      </c>
      <c r="D74" s="1317" t="s">
        <v>3209</v>
      </c>
      <c r="E74" s="4051">
        <v>2.65</v>
      </c>
      <c r="F74" s="4051">
        <v>2.65</v>
      </c>
    </row>
    <row r="75" spans="2:6">
      <c r="B75" s="1317"/>
      <c r="C75" s="4013" t="s">
        <v>3152</v>
      </c>
      <c r="D75" s="1317" t="s">
        <v>3209</v>
      </c>
      <c r="E75" s="4051">
        <v>13.67</v>
      </c>
      <c r="F75" s="4051">
        <v>13.71</v>
      </c>
    </row>
    <row r="76" spans="2:6">
      <c r="B76" s="1317"/>
      <c r="C76" s="4013" t="s">
        <v>3153</v>
      </c>
      <c r="D76" s="1317" t="s">
        <v>3209</v>
      </c>
      <c r="E76" s="4051">
        <v>3.9</v>
      </c>
      <c r="F76" s="4051">
        <v>3.91</v>
      </c>
    </row>
    <row r="77" spans="2:6">
      <c r="B77" s="1317"/>
      <c r="C77" s="4013" t="s">
        <v>3154</v>
      </c>
      <c r="D77" s="1317" t="s">
        <v>3209</v>
      </c>
      <c r="E77" s="4051">
        <v>10.59</v>
      </c>
      <c r="F77" s="4051">
        <v>0</v>
      </c>
    </row>
    <row r="78" spans="2:6">
      <c r="B78" s="1317"/>
      <c r="C78" s="4013" t="s">
        <v>3155</v>
      </c>
      <c r="D78" s="1317" t="s">
        <v>3209</v>
      </c>
      <c r="E78" s="4051" t="s">
        <v>560</v>
      </c>
      <c r="F78" s="4051">
        <v>3.78</v>
      </c>
    </row>
    <row r="79" spans="2:6">
      <c r="B79" s="1317"/>
      <c r="C79" s="4013" t="s">
        <v>3156</v>
      </c>
      <c r="D79" s="1317" t="s">
        <v>3209</v>
      </c>
      <c r="E79" s="4051">
        <v>2.0099999999999998</v>
      </c>
      <c r="F79" s="4051">
        <v>2.02</v>
      </c>
    </row>
    <row r="80" spans="2:6">
      <c r="B80" s="1317"/>
      <c r="C80" s="4013" t="s">
        <v>3157</v>
      </c>
      <c r="D80" s="1317" t="s">
        <v>3209</v>
      </c>
      <c r="E80" s="4051">
        <v>6.2</v>
      </c>
      <c r="F80" s="4051">
        <v>6.21</v>
      </c>
    </row>
    <row r="81" spans="1:26">
      <c r="B81" s="4013"/>
      <c r="C81" s="4013" t="s">
        <v>3158</v>
      </c>
      <c r="D81" s="1317" t="s">
        <v>3209</v>
      </c>
      <c r="E81" s="4036">
        <v>3.85</v>
      </c>
      <c r="F81" s="4051">
        <v>3.85</v>
      </c>
    </row>
    <row r="82" spans="1:26">
      <c r="B82" s="4013"/>
      <c r="C82" s="4013" t="s">
        <v>3127</v>
      </c>
      <c r="D82" s="1317" t="s">
        <v>3209</v>
      </c>
      <c r="E82" s="4036">
        <v>0.90400000000000003</v>
      </c>
      <c r="F82" s="4036">
        <v>0.90900000000000003</v>
      </c>
    </row>
    <row r="83" spans="1:26">
      <c r="B83" s="4013"/>
      <c r="C83" s="4013" t="s">
        <v>3128</v>
      </c>
      <c r="D83" s="1317" t="s">
        <v>3209</v>
      </c>
      <c r="E83" s="4013">
        <v>1.6559999999999999</v>
      </c>
      <c r="F83" s="4013">
        <v>1.671</v>
      </c>
    </row>
    <row r="84" spans="1:26">
      <c r="B84" s="4013"/>
      <c r="C84" s="4013" t="s">
        <v>3129</v>
      </c>
      <c r="D84" s="1317" t="s">
        <v>3209</v>
      </c>
      <c r="E84" s="4013">
        <v>2.5710000000000002</v>
      </c>
      <c r="F84" s="4013">
        <v>2.657</v>
      </c>
    </row>
    <row r="86" spans="1:26">
      <c r="A86" s="4367"/>
      <c r="B86" s="4367"/>
      <c r="C86" s="4367"/>
      <c r="D86" s="4367"/>
      <c r="E86" s="4367"/>
      <c r="F86" s="4367"/>
      <c r="G86" s="4367"/>
      <c r="H86" s="4367"/>
      <c r="I86" s="4367"/>
      <c r="J86" s="4367"/>
      <c r="K86" s="4367"/>
      <c r="L86" s="4367"/>
      <c r="M86" s="4367"/>
      <c r="N86" s="4367"/>
      <c r="O86" s="4367"/>
      <c r="P86" s="4367"/>
      <c r="Q86" s="4367"/>
      <c r="R86" s="4367"/>
      <c r="S86" s="4367"/>
      <c r="T86" s="4367"/>
      <c r="U86" s="4367"/>
      <c r="V86" s="4367"/>
      <c r="W86" s="4367"/>
      <c r="X86" s="4367"/>
      <c r="Y86" s="4367"/>
      <c r="Z86" s="4367"/>
    </row>
    <row r="88" spans="1:26" hidden="1">
      <c r="C88" s="4012" t="s">
        <v>3316</v>
      </c>
    </row>
    <row r="89" spans="1:26" hidden="1"/>
    <row r="90" spans="1:26" s="4368" customFormat="1" ht="21.75" hidden="1" customHeight="1">
      <c r="C90" s="4369" t="str">
        <f>'[98]Actual H1 2014-15'!B2</f>
        <v>Source</v>
      </c>
      <c r="D90" s="4369" t="str">
        <f>'[98]Actual H1 2014-15'!C2</f>
        <v>MU</v>
      </c>
      <c r="E90" s="4369" t="str">
        <f>'[98]Actual H1 2014-15'!D2</f>
        <v>Energy Charges</v>
      </c>
      <c r="F90" s="4369" t="str">
        <f>'[98]Actual H1 2014-15'!E2</f>
        <v>Per unit charges</v>
      </c>
      <c r="G90" s="4369" t="str">
        <f>'[98]Actual H1 2014-15'!F2</f>
        <v>FAC Charges</v>
      </c>
    </row>
    <row r="91" spans="1:26" ht="18" hidden="1" customHeight="1">
      <c r="C91" s="4013" t="str">
        <f>'[98]Actual H1 2014-15'!B3</f>
        <v>TPC-G unit 4 to 7</v>
      </c>
      <c r="D91" s="4015">
        <f>'[98]Actual H1 2014-15'!C3</f>
        <v>1313.7610990039002</v>
      </c>
      <c r="E91" s="4015">
        <f>'[98]Actual H1 2014-15'!D3</f>
        <v>444.23517801717878</v>
      </c>
      <c r="F91" s="4015">
        <f>'[98]Actual H1 2014-15'!E3</f>
        <v>3.3814000000000002</v>
      </c>
      <c r="G91" s="4015">
        <f>'[98]Actual H1 2014-15'!F3</f>
        <v>-48.078483758000694</v>
      </c>
    </row>
    <row r="92" spans="1:26" ht="18" hidden="1" customHeight="1">
      <c r="C92" s="4013" t="str">
        <f>'[98]Actual H1 2014-15'!B4</f>
        <v xml:space="preserve">TPC-G Unit 8  </v>
      </c>
      <c r="D92" s="4015">
        <f>'[98]Actual H1 2014-15'!C4</f>
        <v>0</v>
      </c>
      <c r="E92" s="4015">
        <f>'[98]Actual H1 2014-15'!D4</f>
        <v>0</v>
      </c>
      <c r="F92" s="4015">
        <f>'[98]Actual H1 2014-15'!E4</f>
        <v>0</v>
      </c>
      <c r="G92" s="4015"/>
    </row>
    <row r="93" spans="1:26" ht="18" hidden="1" customHeight="1">
      <c r="C93" s="4013" t="str">
        <f>'[98]Actual H1 2014-15'!B5</f>
        <v>TPC-G Unit-6</v>
      </c>
      <c r="D93" s="4015">
        <f>'[98]Actual H1 2014-15'!C5</f>
        <v>113.08313724000001</v>
      </c>
      <c r="E93" s="4015">
        <f>'[98]Actual H1 2014-15'!D5</f>
        <v>151.18879949261529</v>
      </c>
      <c r="F93" s="4015">
        <f>'[98]Actual H1 2014-15'!E5</f>
        <v>13.369703315865953</v>
      </c>
      <c r="G93" s="4015"/>
    </row>
    <row r="94" spans="1:26" ht="18" hidden="1" customHeight="1">
      <c r="C94" s="4016" t="str">
        <f>'[98]Actual H1 2014-15'!B6</f>
        <v>TPC Thermal</v>
      </c>
      <c r="D94" s="4017">
        <f>'[98]Actual H1 2014-15'!C6</f>
        <v>1426.8442362439002</v>
      </c>
      <c r="E94" s="4017">
        <f>'[98]Actual H1 2014-15'!D6</f>
        <v>595.4239775097941</v>
      </c>
      <c r="F94" s="4017">
        <f>'[98]Actual H1 2014-15'!E6</f>
        <v>4.1730131599873825</v>
      </c>
      <c r="G94" s="4017"/>
      <c r="I94" s="4350"/>
      <c r="J94" s="4350"/>
    </row>
    <row r="95" spans="1:26" ht="18" hidden="1" customHeight="1">
      <c r="C95" s="4013" t="str">
        <f>'[98]Actual H1 2014-15'!B7</f>
        <v>TPC-G Hydro</v>
      </c>
      <c r="D95" s="4015">
        <f>'[98]Actual H1 2014-15'!C7</f>
        <v>386.44000192570002</v>
      </c>
      <c r="E95" s="4015">
        <f>'[98]Actual H1 2014-15'!D7</f>
        <v>53.813888734000003</v>
      </c>
      <c r="F95" s="4015">
        <f>'[98]Actual H1 2014-15'!E7</f>
        <v>1.3925548200454332</v>
      </c>
      <c r="G95" s="4015"/>
      <c r="I95" s="4350"/>
      <c r="J95" s="4350"/>
    </row>
    <row r="96" spans="1:26" ht="18" hidden="1" customHeight="1">
      <c r="C96" s="4016" t="str">
        <f>'[98]Actual H1 2014-15'!B8</f>
        <v>External  Pow. Pur. From    IEX/ PXIL/stn.by/bilateral</v>
      </c>
      <c r="D96" s="4017">
        <f>'[98]Actual H1 2014-15'!C8</f>
        <v>548.01334399999996</v>
      </c>
      <c r="E96" s="4017">
        <f>'[98]Actual H1 2014-15'!D8</f>
        <v>181.99527604000002</v>
      </c>
      <c r="F96" s="4017">
        <f>'[98]Actual H1 2014-15'!E8</f>
        <v>3.3210008119802286</v>
      </c>
      <c r="G96" s="4015"/>
    </row>
    <row r="97" spans="2:12" ht="18" hidden="1" customHeight="1">
      <c r="C97" s="4013" t="str">
        <f>'[98]Actual H1 2014-15'!B9</f>
        <v xml:space="preserve">RPS </v>
      </c>
      <c r="D97" s="4015">
        <f>'[98]Actual H1 2014-15'!C9</f>
        <v>115.95228300000002</v>
      </c>
      <c r="E97" s="4015">
        <f>'[98]Actual H1 2014-15'!D9</f>
        <v>78.568341200000006</v>
      </c>
      <c r="F97" s="4015">
        <f>'[98]Actual H1 2014-15'!E9</f>
        <v>6.7759201601921015</v>
      </c>
      <c r="G97" s="4015"/>
    </row>
    <row r="98" spans="2:12" ht="18" hidden="1" customHeight="1">
      <c r="C98" s="4013" t="str">
        <f>'[98]Actual H1 2014-15'!B10</f>
        <v xml:space="preserve">Total power Purchased by BEST </v>
      </c>
      <c r="D98" s="4015">
        <f>'[98]Actual H1 2014-15'!C10</f>
        <v>2477.2498651696001</v>
      </c>
      <c r="E98" s="4015">
        <f>'[98]Actual H1 2014-15'!D10</f>
        <v>909.80148348379407</v>
      </c>
      <c r="F98" s="4015">
        <f>'[98]Actual H1 2014-15'!E10</f>
        <v>3.6726270380541779</v>
      </c>
      <c r="G98" s="4015"/>
      <c r="J98" s="4580"/>
      <c r="K98" s="4580"/>
      <c r="L98" s="4580"/>
    </row>
    <row r="99" spans="2:12" ht="18" hidden="1" customHeight="1">
      <c r="C99" s="4013" t="str">
        <f>'[98]Actual H1 2014-15'!B11</f>
        <v>MSLDC Pool Imbal.  Power</v>
      </c>
      <c r="D99" s="4015">
        <f>'[98]Actual H1 2014-15'!C11</f>
        <v>164.01770717040012</v>
      </c>
      <c r="E99" s="4015">
        <f>'[98]Actual H1 2014-15'!D11</f>
        <v>0.94844119999999976</v>
      </c>
      <c r="F99" s="4015">
        <f>'[98]Actual H1 2014-15'!E11</f>
        <v>5.7825537032696842E-2</v>
      </c>
      <c r="G99" s="4015"/>
    </row>
    <row r="100" spans="2:12" ht="18" hidden="1" customHeight="1">
      <c r="C100" s="4016" t="str">
        <f>'[98]Actual H1 2014-15'!B12</f>
        <v xml:space="preserve">Net Requirement Grosseded up power  </v>
      </c>
      <c r="D100" s="4017">
        <f>'[98]Actual H1 2014-15'!C12</f>
        <v>2641.2675723400002</v>
      </c>
      <c r="E100" s="4017">
        <f>'[98]Actual H1 2014-15'!D12</f>
        <v>910.74992468379412</v>
      </c>
      <c r="F100" s="4017">
        <f>'[98]Actual H1 2014-15'!E12</f>
        <v>3.4481547201858302</v>
      </c>
      <c r="G100" s="4015"/>
    </row>
    <row r="101" spans="2:12" hidden="1"/>
    <row r="102" spans="2:12" hidden="1"/>
    <row r="103" spans="2:12" hidden="1"/>
    <row r="104" spans="2:12" ht="30" hidden="1">
      <c r="B104" s="4382" t="s">
        <v>575</v>
      </c>
      <c r="C104" s="4382" t="s">
        <v>3327</v>
      </c>
      <c r="D104" s="4382" t="s">
        <v>3328</v>
      </c>
      <c r="E104" s="4382" t="s">
        <v>3130</v>
      </c>
      <c r="F104" s="4382" t="s">
        <v>3141</v>
      </c>
      <c r="G104" s="4382" t="s">
        <v>47</v>
      </c>
    </row>
    <row r="105" spans="2:12" hidden="1">
      <c r="B105" s="4382"/>
      <c r="C105" s="4382"/>
      <c r="D105" s="4382"/>
      <c r="E105" s="4382"/>
      <c r="F105" s="4382" t="s">
        <v>581</v>
      </c>
      <c r="G105" s="4382" t="s">
        <v>3329</v>
      </c>
    </row>
    <row r="106" spans="2:12" hidden="1">
      <c r="B106" s="4383">
        <v>1</v>
      </c>
      <c r="C106" s="4384" t="s">
        <v>3330</v>
      </c>
      <c r="D106" s="4385">
        <v>1313.76</v>
      </c>
      <c r="E106" s="4386">
        <v>146.94</v>
      </c>
      <c r="F106" s="4386">
        <v>444.24</v>
      </c>
      <c r="G106" s="4386">
        <f>SUM(E106:F106)</f>
        <v>591.18000000000006</v>
      </c>
      <c r="H106" s="4393">
        <f t="shared" ref="H106" si="19">F106/D106*10</f>
        <v>3.3814395323346731</v>
      </c>
    </row>
    <row r="107" spans="2:12" hidden="1">
      <c r="B107" s="4383">
        <v>2</v>
      </c>
      <c r="C107" s="4384" t="s">
        <v>3331</v>
      </c>
      <c r="D107" s="4385">
        <v>113.08</v>
      </c>
      <c r="E107" s="4386">
        <v>86.73</v>
      </c>
      <c r="F107" s="4386">
        <v>151.19</v>
      </c>
      <c r="G107" s="4386">
        <f>SUM(E107:F107)</f>
        <v>237.92000000000002</v>
      </c>
      <c r="H107" s="4393">
        <f>F107/D107*10</f>
        <v>13.370180403254333</v>
      </c>
    </row>
    <row r="108" spans="2:12" hidden="1">
      <c r="B108" s="4383">
        <v>3</v>
      </c>
      <c r="C108" s="4384" t="s">
        <v>3332</v>
      </c>
      <c r="D108" s="4010">
        <v>0</v>
      </c>
      <c r="E108" s="4386">
        <v>56.23</v>
      </c>
      <c r="F108" s="4386">
        <v>0</v>
      </c>
      <c r="G108" s="4386">
        <f>SUM(E108:F108)</f>
        <v>56.23</v>
      </c>
      <c r="H108" s="4393"/>
    </row>
    <row r="109" spans="2:12" hidden="1">
      <c r="B109" s="4383">
        <v>4</v>
      </c>
      <c r="C109" s="4387" t="s">
        <v>3333</v>
      </c>
      <c r="D109" s="4388">
        <f>SUM(D106:D108)</f>
        <v>1426.84</v>
      </c>
      <c r="E109" s="4388">
        <f>SUM(E106:E108)</f>
        <v>289.90000000000003</v>
      </c>
      <c r="F109" s="4388">
        <f t="shared" ref="F109" si="20">SUM(F106:F108)</f>
        <v>595.43000000000006</v>
      </c>
      <c r="G109" s="4388">
        <f>SUM(G106:G108)</f>
        <v>885.33000000000015</v>
      </c>
      <c r="H109" s="4393">
        <f t="shared" ref="H109:H113" si="21">F109/D109*10</f>
        <v>4.173067758122845</v>
      </c>
    </row>
    <row r="110" spans="2:12" hidden="1">
      <c r="B110" s="4383">
        <v>5</v>
      </c>
      <c r="C110" s="4384" t="s">
        <v>3334</v>
      </c>
      <c r="D110" s="4385">
        <v>386.44</v>
      </c>
      <c r="E110" s="4386">
        <v>39.36</v>
      </c>
      <c r="F110" s="4386">
        <v>53.81</v>
      </c>
      <c r="G110" s="4386">
        <v>93.17</v>
      </c>
      <c r="H110" s="4393">
        <f>F110/D110*10</f>
        <v>1.3924541972880655</v>
      </c>
    </row>
    <row r="111" spans="2:12" hidden="1">
      <c r="B111" s="4390"/>
      <c r="C111" s="4391" t="s">
        <v>3335</v>
      </c>
      <c r="D111" s="4388"/>
      <c r="E111" s="4389"/>
      <c r="F111" s="4389"/>
      <c r="G111" s="4386">
        <v>-48.08</v>
      </c>
      <c r="H111" s="4393"/>
    </row>
    <row r="112" spans="2:12" hidden="1">
      <c r="B112" s="4390"/>
      <c r="C112" s="4391" t="s">
        <v>3336</v>
      </c>
      <c r="D112" s="4388"/>
      <c r="E112" s="4389"/>
      <c r="F112" s="4389"/>
      <c r="G112" s="4386">
        <v>1.72</v>
      </c>
      <c r="H112" s="4393"/>
    </row>
    <row r="113" spans="2:8" hidden="1">
      <c r="B113" s="4390">
        <v>6</v>
      </c>
      <c r="C113" s="4392" t="s">
        <v>3337</v>
      </c>
      <c r="D113" s="4389">
        <f>SUM(D109:D112)</f>
        <v>1813.28</v>
      </c>
      <c r="E113" s="4389">
        <f>SUM(E109:E112)</f>
        <v>329.26000000000005</v>
      </c>
      <c r="F113" s="4389">
        <f>SUM(F109:F112)</f>
        <v>649.24</v>
      </c>
      <c r="G113" s="4389">
        <f>SUM(G109:G112)</f>
        <v>932.1400000000001</v>
      </c>
      <c r="H113" s="4393">
        <f t="shared" si="21"/>
        <v>3.5804729550869148</v>
      </c>
    </row>
    <row r="114" spans="2:8" hidden="1"/>
    <row r="115" spans="2:8" hidden="1">
      <c r="D115" s="4035">
        <f>G47-D113</f>
        <v>1714.6022987891999</v>
      </c>
      <c r="G115" s="4350">
        <f>G52-G113</f>
        <v>841.36996598142309</v>
      </c>
    </row>
    <row r="116" spans="2:8" hidden="1"/>
    <row r="117" spans="2:8" hidden="1">
      <c r="C117" s="4012" t="s">
        <v>3439</v>
      </c>
    </row>
    <row r="118" spans="2:8" hidden="1">
      <c r="C118" s="4581"/>
      <c r="D118" s="5533" t="s">
        <v>2442</v>
      </c>
      <c r="E118" s="5533"/>
      <c r="F118" s="5533" t="s">
        <v>2443</v>
      </c>
      <c r="G118" s="5533"/>
    </row>
    <row r="119" spans="2:8" hidden="1">
      <c r="C119" s="4581"/>
      <c r="D119" s="4581" t="s">
        <v>83</v>
      </c>
      <c r="E119" s="4581" t="s">
        <v>3209</v>
      </c>
      <c r="F119" s="4581" t="s">
        <v>83</v>
      </c>
      <c r="G119" s="4581" t="s">
        <v>3209</v>
      </c>
    </row>
    <row r="120" spans="2:8" hidden="1">
      <c r="C120" s="4013" t="s">
        <v>3440</v>
      </c>
      <c r="D120" s="4013">
        <v>3906.52</v>
      </c>
      <c r="E120" s="4013">
        <v>3.9</v>
      </c>
      <c r="F120" s="4013">
        <v>3648.85</v>
      </c>
      <c r="G120" s="4013">
        <v>3.91</v>
      </c>
    </row>
    <row r="121" spans="2:8" hidden="1">
      <c r="C121" s="4013" t="s">
        <v>3441</v>
      </c>
      <c r="D121" s="4013">
        <v>1477.15</v>
      </c>
      <c r="E121" s="4013">
        <v>2.0099999999999998</v>
      </c>
      <c r="F121" s="4013">
        <v>1481.2</v>
      </c>
      <c r="G121" s="4013">
        <v>2.02</v>
      </c>
    </row>
    <row r="122" spans="2:8" hidden="1">
      <c r="C122" s="4013"/>
      <c r="D122" s="4013"/>
      <c r="E122" s="4582">
        <f>SUMPRODUCT(D120:D121,E120:E121)/SUM(D120:D121)</f>
        <v>3.3814293038020526</v>
      </c>
      <c r="F122" s="4013"/>
      <c r="G122" s="4582">
        <f>SUMPRODUCT(F120:F121,G120:G121)/SUM(F120:F121)</f>
        <v>3.364300055555014</v>
      </c>
    </row>
    <row r="124" spans="2:8">
      <c r="C124" s="4583" t="s">
        <v>3442</v>
      </c>
    </row>
    <row r="126" spans="2:8">
      <c r="C126" s="4584" t="s">
        <v>2245</v>
      </c>
      <c r="D126" s="4584" t="s">
        <v>83</v>
      </c>
      <c r="E126" s="4584" t="s">
        <v>3117</v>
      </c>
      <c r="F126" s="4584" t="s">
        <v>83</v>
      </c>
    </row>
    <row r="127" spans="2:8">
      <c r="C127" s="4585">
        <v>41730</v>
      </c>
      <c r="D127" s="4015">
        <v>82.885391999999996</v>
      </c>
      <c r="E127" s="4034">
        <v>0.27600000000000002</v>
      </c>
      <c r="F127" s="4015">
        <f>D127*E127</f>
        <v>22.876368192000001</v>
      </c>
    </row>
    <row r="128" spans="2:8">
      <c r="C128" s="4585">
        <v>41760</v>
      </c>
      <c r="D128" s="4015">
        <v>113.337396</v>
      </c>
      <c r="E128" s="4034">
        <v>0.27600000000000002</v>
      </c>
      <c r="F128" s="4015">
        <f t="shared" ref="F128:F134" si="22">D128*E128</f>
        <v>31.281121296000002</v>
      </c>
    </row>
    <row r="129" spans="3:8">
      <c r="C129" s="4585">
        <v>41791</v>
      </c>
      <c r="D129" s="4015">
        <v>108.422056</v>
      </c>
      <c r="E129" s="4034">
        <v>0.27600000000000002</v>
      </c>
      <c r="F129" s="4015">
        <f t="shared" si="22"/>
        <v>29.924487456000001</v>
      </c>
    </row>
    <row r="130" spans="3:8">
      <c r="C130" s="4013"/>
      <c r="D130" s="4015">
        <v>11.804314</v>
      </c>
      <c r="E130" s="4034">
        <v>0.51170000000000004</v>
      </c>
      <c r="F130" s="4015">
        <f t="shared" si="22"/>
        <v>6.0402674738000002</v>
      </c>
    </row>
    <row r="131" spans="3:8">
      <c r="C131" s="4585">
        <v>41821</v>
      </c>
      <c r="D131" s="4015">
        <v>35.460213000000003</v>
      </c>
      <c r="E131" s="4034">
        <v>0.27600000000000002</v>
      </c>
      <c r="F131" s="4015">
        <f t="shared" si="22"/>
        <v>9.787018788000001</v>
      </c>
    </row>
    <row r="132" spans="3:8">
      <c r="C132" s="4585">
        <v>41852</v>
      </c>
      <c r="D132" s="4015">
        <v>0</v>
      </c>
      <c r="E132" s="4034">
        <v>0.27600000000000002</v>
      </c>
      <c r="F132" s="4015">
        <f t="shared" si="22"/>
        <v>0</v>
      </c>
    </row>
    <row r="133" spans="3:8">
      <c r="C133" s="4585">
        <v>41883</v>
      </c>
      <c r="D133" s="4015">
        <v>19.317594</v>
      </c>
      <c r="E133" s="4034">
        <v>0.27266000000000001</v>
      </c>
      <c r="F133" s="4015">
        <f t="shared" si="22"/>
        <v>5.2671351800400004</v>
      </c>
    </row>
    <row r="134" spans="3:8">
      <c r="C134" s="4013"/>
      <c r="D134" s="4015">
        <v>15.455138</v>
      </c>
      <c r="E134" s="4034">
        <v>0.51170000000000004</v>
      </c>
      <c r="F134" s="4015">
        <f t="shared" si="22"/>
        <v>7.908394114600001</v>
      </c>
    </row>
    <row r="135" spans="3:8">
      <c r="C135" s="4016" t="s">
        <v>3443</v>
      </c>
      <c r="D135" s="4017">
        <f>SUM(D127:D134)</f>
        <v>386.68210299999993</v>
      </c>
      <c r="E135" s="4586">
        <f>F135/D135</f>
        <v>0.29244899524206847</v>
      </c>
      <c r="F135" s="4017">
        <f>SUM(F127:F134)</f>
        <v>113.08479250044</v>
      </c>
    </row>
    <row r="136" spans="3:8">
      <c r="C136" s="4016" t="s">
        <v>3444</v>
      </c>
      <c r="D136" s="4017">
        <f>H21-D135</f>
        <v>147.92789700000009</v>
      </c>
      <c r="E136" s="4587">
        <v>0.27257429999999999</v>
      </c>
      <c r="F136" s="4017">
        <f>D136*E136</f>
        <v>40.32134297524712</v>
      </c>
    </row>
    <row r="137" spans="3:8">
      <c r="C137" s="4016" t="s">
        <v>47</v>
      </c>
      <c r="D137" s="4017">
        <f>D135+D136</f>
        <v>534.61</v>
      </c>
      <c r="E137" s="4587">
        <f>F137/D137</f>
        <v>0.28694961836794503</v>
      </c>
      <c r="F137" s="4017">
        <f>SUM(F135:F136)</f>
        <v>153.40613547568711</v>
      </c>
    </row>
    <row r="140" spans="3:8">
      <c r="C140" s="4013"/>
      <c r="D140" s="4362" t="s">
        <v>3445</v>
      </c>
      <c r="E140" s="4362" t="s">
        <v>3446</v>
      </c>
      <c r="F140" s="4362" t="s">
        <v>3447</v>
      </c>
      <c r="G140" s="4362" t="s">
        <v>3448</v>
      </c>
      <c r="H140" s="4362" t="s">
        <v>47</v>
      </c>
    </row>
    <row r="141" spans="3:8">
      <c r="C141" s="4585">
        <v>41730</v>
      </c>
      <c r="D141" s="4588">
        <v>-4.3136404499999996E-2</v>
      </c>
      <c r="E141" s="4588">
        <v>163.3501143197</v>
      </c>
      <c r="F141" s="4588">
        <v>-0.18224093160000002</v>
      </c>
      <c r="G141" s="4588">
        <v>62.799059479100009</v>
      </c>
      <c r="H141" s="4588">
        <v>225.92379646270001</v>
      </c>
    </row>
    <row r="142" spans="3:8">
      <c r="C142" s="4585">
        <v>41760</v>
      </c>
      <c r="D142" s="4588">
        <v>-6.1326831999999998E-2</v>
      </c>
      <c r="E142" s="4588">
        <v>158.60770328130002</v>
      </c>
      <c r="F142" s="4588">
        <v>0</v>
      </c>
      <c r="G142" s="4588">
        <v>65.685089950200009</v>
      </c>
      <c r="H142" s="4588">
        <v>224.23146639950005</v>
      </c>
    </row>
    <row r="143" spans="3:8">
      <c r="C143" s="4585">
        <v>41791</v>
      </c>
      <c r="D143" s="4588">
        <v>-5.2974333999999998E-2</v>
      </c>
      <c r="E143" s="4588">
        <v>155.82258874909999</v>
      </c>
      <c r="F143" s="4588">
        <v>0</v>
      </c>
      <c r="G143" s="4588">
        <v>62.012305889800004</v>
      </c>
      <c r="H143" s="4588">
        <v>217.78192030489998</v>
      </c>
    </row>
    <row r="144" spans="3:8">
      <c r="C144" s="4585">
        <v>41821</v>
      </c>
      <c r="D144" s="4588">
        <v>-5.2284557499999995E-2</v>
      </c>
      <c r="E144" s="4588">
        <v>148.16138360030004</v>
      </c>
      <c r="F144" s="4588">
        <v>8.0767710464000011</v>
      </c>
      <c r="G144" s="4588">
        <v>59.154812416000006</v>
      </c>
      <c r="H144" s="4588">
        <v>215.34068250520005</v>
      </c>
    </row>
    <row r="145" spans="1:27">
      <c r="C145" s="4585">
        <v>41852</v>
      </c>
      <c r="D145" s="4588">
        <v>-0.145483324</v>
      </c>
      <c r="E145" s="4588">
        <v>167.36838696270001</v>
      </c>
      <c r="F145" s="4588">
        <v>-1.244270188</v>
      </c>
      <c r="G145" s="4588">
        <v>61.3047076852</v>
      </c>
      <c r="H145" s="4588">
        <v>227.2833411359</v>
      </c>
    </row>
    <row r="146" spans="1:27">
      <c r="C146" s="4585">
        <v>41883</v>
      </c>
      <c r="D146" s="4588">
        <v>-0.15117131749999999</v>
      </c>
      <c r="E146" s="4588">
        <v>144.30489770480003</v>
      </c>
      <c r="F146" s="4588">
        <v>-0.86150733060000007</v>
      </c>
      <c r="G146" s="4588">
        <v>59.907437150400007</v>
      </c>
      <c r="H146" s="4588">
        <v>203.19965620710002</v>
      </c>
    </row>
    <row r="147" spans="1:27">
      <c r="C147" s="4589" t="s">
        <v>47</v>
      </c>
      <c r="D147" s="4590">
        <f>SUM(D141:D146)</f>
        <v>-0.50637676949999999</v>
      </c>
      <c r="E147" s="4590">
        <f>SUM(E141:E146)</f>
        <v>937.61507461790006</v>
      </c>
      <c r="F147" s="4590">
        <f>SUM(F141:F146)</f>
        <v>5.788752596200001</v>
      </c>
      <c r="G147" s="4590">
        <f>SUM(G141:G146)</f>
        <v>370.86341257070006</v>
      </c>
      <c r="H147" s="4590">
        <f>SUM(H141:H146)</f>
        <v>1313.7608630152999</v>
      </c>
    </row>
    <row r="148" spans="1:27">
      <c r="C148" s="4013"/>
      <c r="D148" s="4588"/>
      <c r="E148" s="4590">
        <f>E147+((D147+F147)/2)</f>
        <v>940.25626253125006</v>
      </c>
      <c r="F148" s="4590"/>
      <c r="G148" s="4590">
        <f>((F147+D147)/2)+G147</f>
        <v>373.50460048405006</v>
      </c>
      <c r="H148" s="4588"/>
    </row>
    <row r="149" spans="1:27">
      <c r="E149" s="4591">
        <f>E148/($E$148+$G$148)</f>
        <v>0.71569818298073307</v>
      </c>
      <c r="F149" s="4591"/>
      <c r="G149" s="4591">
        <f>G148/($E$148+$G$148)</f>
        <v>0.28430181701926693</v>
      </c>
    </row>
    <row r="150" spans="1:27">
      <c r="E150" s="4591"/>
      <c r="F150" s="4591"/>
      <c r="G150" s="4591"/>
    </row>
    <row r="151" spans="1:27">
      <c r="E151" s="4591"/>
      <c r="F151" s="4591"/>
      <c r="G151" s="4591"/>
    </row>
    <row r="152" spans="1:27">
      <c r="E152" s="4591"/>
      <c r="F152" s="4591"/>
      <c r="G152" s="4591"/>
    </row>
    <row r="153" spans="1:27">
      <c r="A153" s="4912"/>
      <c r="B153" s="4912"/>
      <c r="C153" s="4912"/>
      <c r="D153" s="4912"/>
      <c r="E153" s="4913"/>
      <c r="F153" s="4913"/>
      <c r="G153" s="4913"/>
      <c r="H153" s="4912"/>
      <c r="I153" s="4912"/>
      <c r="J153" s="4912"/>
      <c r="K153" s="4912"/>
      <c r="L153" s="4912"/>
      <c r="M153" s="4912"/>
      <c r="N153" s="4912"/>
      <c r="O153" s="4912"/>
      <c r="P153" s="4912"/>
      <c r="Q153" s="4912"/>
      <c r="R153" s="4912"/>
      <c r="S153" s="4912"/>
      <c r="T153" s="4912"/>
      <c r="U153" s="4912"/>
      <c r="V153" s="4912"/>
      <c r="W153" s="4912"/>
      <c r="X153" s="4912"/>
      <c r="Y153" s="4912"/>
      <c r="Z153" s="4912"/>
      <c r="AA153" s="4912"/>
    </row>
    <row r="154" spans="1:27">
      <c r="E154" s="4591"/>
      <c r="F154" s="4591"/>
      <c r="G154" s="4591"/>
    </row>
    <row r="155" spans="1:27" ht="27">
      <c r="C155" s="4914" t="s">
        <v>3627</v>
      </c>
    </row>
    <row r="157" spans="1:27" s="4910" customFormat="1" ht="31.5" customHeight="1">
      <c r="B157" s="5531" t="s">
        <v>575</v>
      </c>
      <c r="C157" s="5531" t="s">
        <v>3611</v>
      </c>
      <c r="D157" s="5530" t="s">
        <v>3623</v>
      </c>
      <c r="E157" s="5530"/>
      <c r="F157" s="5530"/>
      <c r="G157" s="5530"/>
      <c r="H157" s="5530"/>
      <c r="I157" s="5530" t="s">
        <v>3624</v>
      </c>
      <c r="J157" s="5530"/>
      <c r="K157" s="5530"/>
      <c r="L157" s="5530"/>
      <c r="M157" s="5530"/>
      <c r="N157" s="5530" t="s">
        <v>2442</v>
      </c>
      <c r="O157" s="5530"/>
      <c r="P157" s="5530"/>
      <c r="Q157" s="5530"/>
      <c r="R157" s="5530"/>
      <c r="S157" s="5530" t="s">
        <v>2443</v>
      </c>
      <c r="T157" s="5530"/>
      <c r="U157" s="5530"/>
      <c r="V157" s="5530"/>
      <c r="W157" s="5530"/>
    </row>
    <row r="158" spans="1:27" ht="71.25" customHeight="1">
      <c r="B158" s="5532"/>
      <c r="C158" s="5532"/>
      <c r="D158" s="4911" t="s">
        <v>3612</v>
      </c>
      <c r="E158" s="4911" t="s">
        <v>3625</v>
      </c>
      <c r="F158" s="4911" t="s">
        <v>3613</v>
      </c>
      <c r="G158" s="4911" t="s">
        <v>3626</v>
      </c>
      <c r="H158" s="4911" t="s">
        <v>3614</v>
      </c>
      <c r="I158" s="4911" t="s">
        <v>3612</v>
      </c>
      <c r="J158" s="4911" t="s">
        <v>3625</v>
      </c>
      <c r="K158" s="4911" t="s">
        <v>3613</v>
      </c>
      <c r="L158" s="4911" t="s">
        <v>3626</v>
      </c>
      <c r="M158" s="4911" t="s">
        <v>3614</v>
      </c>
      <c r="N158" s="4911" t="s">
        <v>3612</v>
      </c>
      <c r="O158" s="4911" t="s">
        <v>3625</v>
      </c>
      <c r="P158" s="4911" t="s">
        <v>3613</v>
      </c>
      <c r="Q158" s="4911" t="s">
        <v>3626</v>
      </c>
      <c r="R158" s="4911" t="s">
        <v>3614</v>
      </c>
      <c r="S158" s="4911" t="s">
        <v>3612</v>
      </c>
      <c r="T158" s="4911" t="s">
        <v>3625</v>
      </c>
      <c r="U158" s="4911" t="s">
        <v>3613</v>
      </c>
      <c r="V158" s="4911" t="s">
        <v>3626</v>
      </c>
      <c r="W158" s="4911" t="s">
        <v>3614</v>
      </c>
    </row>
    <row r="159" spans="1:27" ht="15.75">
      <c r="B159" s="4884"/>
      <c r="C159" s="4904" t="s">
        <v>3615</v>
      </c>
      <c r="D159" s="4884"/>
      <c r="E159" s="4884"/>
      <c r="F159" s="4884"/>
      <c r="G159" s="4884"/>
      <c r="H159" s="4884"/>
      <c r="I159" s="4884"/>
      <c r="J159" s="4884"/>
      <c r="K159" s="4884"/>
      <c r="L159" s="4884"/>
      <c r="M159" s="4884"/>
      <c r="N159" s="4884"/>
      <c r="O159" s="4884"/>
      <c r="P159" s="4884"/>
      <c r="Q159" s="4884"/>
      <c r="R159" s="4884"/>
      <c r="S159" s="4884"/>
      <c r="T159" s="4884"/>
      <c r="U159" s="4884"/>
      <c r="V159" s="4884"/>
      <c r="W159" s="4884"/>
    </row>
    <row r="160" spans="1:27">
      <c r="B160" s="3427">
        <v>1</v>
      </c>
      <c r="C160" s="3453" t="s">
        <v>3616</v>
      </c>
      <c r="D160" s="3939">
        <v>-0.99246684249999995</v>
      </c>
      <c r="E160" s="3939">
        <v>0</v>
      </c>
      <c r="F160" s="3939">
        <f t="shared" ref="F160:F165" si="23">G160/D160*10</f>
        <v>0</v>
      </c>
      <c r="G160" s="3939">
        <v>0</v>
      </c>
      <c r="H160" s="3939">
        <f t="shared" ref="H160:H166" si="24">E160+G160</f>
        <v>0</v>
      </c>
      <c r="I160" s="3939">
        <v>-0.33</v>
      </c>
      <c r="J160" s="3939">
        <f t="shared" ref="J160:J165" si="25">O160-E160</f>
        <v>0</v>
      </c>
      <c r="K160" s="3939">
        <f>E73</f>
        <v>14.04</v>
      </c>
      <c r="L160" s="3939">
        <v>0</v>
      </c>
      <c r="M160" s="3939">
        <f t="shared" ref="M160:M167" si="26">J160+L160</f>
        <v>0</v>
      </c>
      <c r="N160" s="3939">
        <f t="shared" ref="N160:N165" si="27">M19</f>
        <v>-1.32</v>
      </c>
      <c r="O160" s="3939">
        <f>H6</f>
        <v>0</v>
      </c>
      <c r="P160" s="3939"/>
      <c r="Q160" s="3939">
        <f t="shared" ref="Q160:Q168" si="28">G160+L160</f>
        <v>0</v>
      </c>
      <c r="R160" s="3939">
        <f t="shared" ref="R160:R168" si="29">H160+M160</f>
        <v>0</v>
      </c>
      <c r="S160" s="3939">
        <f>N19</f>
        <v>0</v>
      </c>
      <c r="T160" s="3939">
        <f>I6</f>
        <v>0</v>
      </c>
      <c r="U160" s="3939">
        <v>0</v>
      </c>
      <c r="V160" s="3939">
        <f>S160*U160/10</f>
        <v>0</v>
      </c>
      <c r="W160" s="3939">
        <f>T160+V160</f>
        <v>0</v>
      </c>
    </row>
    <row r="161" spans="2:23">
      <c r="B161" s="3427">
        <v>2</v>
      </c>
      <c r="C161" s="3453" t="s">
        <v>3617</v>
      </c>
      <c r="D161" s="3939">
        <v>1388.7534714886001</v>
      </c>
      <c r="E161" s="3939">
        <f>171180706.666667*9/10^7</f>
        <v>154.06263600000031</v>
      </c>
      <c r="F161" s="3939">
        <f t="shared" si="23"/>
        <v>3.1367099914054601</v>
      </c>
      <c r="G161" s="3939">
        <v>435.61168896173098</v>
      </c>
      <c r="H161" s="3939">
        <f t="shared" si="24"/>
        <v>589.67432496173126</v>
      </c>
      <c r="I161" s="3939">
        <f>N161-D161</f>
        <v>221.1468345113999</v>
      </c>
      <c r="J161" s="3939">
        <f t="shared" si="25"/>
        <v>51.354211999999706</v>
      </c>
      <c r="K161" s="3939">
        <f>E76</f>
        <v>3.9</v>
      </c>
      <c r="L161" s="3939">
        <f>I161*K161/10</f>
        <v>86.24726545944597</v>
      </c>
      <c r="M161" s="3939">
        <f t="shared" si="26"/>
        <v>137.60147745944568</v>
      </c>
      <c r="N161" s="3939">
        <f t="shared" si="27"/>
        <v>1609.900306</v>
      </c>
      <c r="O161" s="3939">
        <f>H7</f>
        <v>205.41684800000002</v>
      </c>
      <c r="P161" s="3939">
        <f>Q161/N161*10</f>
        <v>3.2415606884242494</v>
      </c>
      <c r="Q161" s="3939">
        <f t="shared" si="28"/>
        <v>521.85895442117692</v>
      </c>
      <c r="R161" s="3939">
        <f t="shared" si="29"/>
        <v>727.27580242117688</v>
      </c>
      <c r="S161" s="3939">
        <f t="shared" ref="S161:S165" si="30">N20</f>
        <v>1584.407412</v>
      </c>
      <c r="T161" s="3939">
        <f>I7</f>
        <v>197.92556000000002</v>
      </c>
      <c r="U161" s="3939">
        <f>F76</f>
        <v>3.91</v>
      </c>
      <c r="V161" s="3939">
        <f t="shared" ref="T161:V168" si="31">S161*U161/10</f>
        <v>619.50329809200002</v>
      </c>
      <c r="W161" s="3939">
        <f t="shared" ref="W161:W168" si="32">T161+V161</f>
        <v>817.42885809200004</v>
      </c>
    </row>
    <row r="162" spans="2:23">
      <c r="B162" s="3427">
        <v>3</v>
      </c>
      <c r="C162" s="3453" t="s">
        <v>3618</v>
      </c>
      <c r="D162" s="3939">
        <f>160.7672408692+4.290616</f>
        <v>165.05785686920001</v>
      </c>
      <c r="E162" s="3939">
        <f>144550985.833333*9/10^7</f>
        <v>130.09588724999969</v>
      </c>
      <c r="F162" s="3939">
        <f t="shared" si="23"/>
        <v>13.527117519613421</v>
      </c>
      <c r="G162" s="3939">
        <f>215.00101529152+8.274687449</f>
        <v>223.27570274051999</v>
      </c>
      <c r="H162" s="3939">
        <f t="shared" si="24"/>
        <v>353.37158999051968</v>
      </c>
      <c r="I162" s="3939">
        <f>N162-D162</f>
        <v>0</v>
      </c>
      <c r="J162" s="3939">
        <f t="shared" si="25"/>
        <v>43.365295750000314</v>
      </c>
      <c r="K162" s="3939">
        <f>F162</f>
        <v>13.527117519613421</v>
      </c>
      <c r="L162" s="3939">
        <f>I162*K162/10</f>
        <v>0</v>
      </c>
      <c r="M162" s="3939">
        <f t="shared" si="26"/>
        <v>43.365295750000314</v>
      </c>
      <c r="N162" s="3939">
        <f t="shared" si="27"/>
        <v>165.05785686920001</v>
      </c>
      <c r="O162" s="3939">
        <f>H8</f>
        <v>173.46118300000001</v>
      </c>
      <c r="P162" s="3939">
        <f>Q162/N162*10</f>
        <v>13.527117519613421</v>
      </c>
      <c r="Q162" s="3939">
        <f t="shared" si="28"/>
        <v>223.27570274051999</v>
      </c>
      <c r="R162" s="3939">
        <f t="shared" si="29"/>
        <v>396.73688574051999</v>
      </c>
      <c r="S162" s="3939">
        <f t="shared" si="30"/>
        <v>0</v>
      </c>
      <c r="T162" s="3939">
        <f>I8</f>
        <v>211.91032100000001</v>
      </c>
      <c r="U162" s="3939">
        <f>F77</f>
        <v>0</v>
      </c>
      <c r="V162" s="3939">
        <f t="shared" si="31"/>
        <v>0</v>
      </c>
      <c r="W162" s="3939">
        <f t="shared" si="32"/>
        <v>211.91032100000001</v>
      </c>
    </row>
    <row r="163" spans="2:23">
      <c r="B163" s="3427">
        <v>4</v>
      </c>
      <c r="C163" s="3453" t="s">
        <v>3619</v>
      </c>
      <c r="D163" s="3939">
        <v>518.73563143080003</v>
      </c>
      <c r="E163" s="3939">
        <f>73718913.3333333*9/10^7</f>
        <v>66.347021999999967</v>
      </c>
      <c r="F163" s="3939">
        <f t="shared" si="23"/>
        <v>2.439495812234084</v>
      </c>
      <c r="G163" s="3939">
        <v>126.545340053204</v>
      </c>
      <c r="H163" s="3939">
        <f t="shared" si="24"/>
        <v>192.89236205320395</v>
      </c>
      <c r="I163" s="3939">
        <f>N163-D163</f>
        <v>211.39374756919995</v>
      </c>
      <c r="J163" s="3939">
        <f t="shared" si="25"/>
        <v>22.115674000000041</v>
      </c>
      <c r="K163" s="3939">
        <f>E79</f>
        <v>2.0099999999999998</v>
      </c>
      <c r="L163" s="3939">
        <f>I163*K163/10</f>
        <v>42.490143261409187</v>
      </c>
      <c r="M163" s="3939">
        <f t="shared" si="26"/>
        <v>64.605817261409229</v>
      </c>
      <c r="N163" s="3939">
        <f t="shared" si="27"/>
        <v>730.12937899999997</v>
      </c>
      <c r="O163" s="3939">
        <f>H9</f>
        <v>88.462696000000008</v>
      </c>
      <c r="P163" s="3939">
        <f>Q163/N163*10</f>
        <v>2.3151442494497019</v>
      </c>
      <c r="Q163" s="3939">
        <f t="shared" si="28"/>
        <v>169.0354833146132</v>
      </c>
      <c r="R163" s="3939">
        <f t="shared" si="29"/>
        <v>257.4981793146132</v>
      </c>
      <c r="S163" s="3939">
        <f t="shared" si="30"/>
        <v>721.69144600000004</v>
      </c>
      <c r="T163" s="3939">
        <f>I9</f>
        <v>86.989000000000004</v>
      </c>
      <c r="U163" s="3939">
        <f>F79</f>
        <v>2.02</v>
      </c>
      <c r="V163" s="3939">
        <f t="shared" si="31"/>
        <v>145.78167209200001</v>
      </c>
      <c r="W163" s="3939">
        <f t="shared" si="32"/>
        <v>232.77067209200001</v>
      </c>
    </row>
    <row r="164" spans="2:23">
      <c r="B164" s="3427">
        <v>5</v>
      </c>
      <c r="C164" s="3453" t="s">
        <v>3620</v>
      </c>
      <c r="D164" s="3939">
        <v>81.242817599999995</v>
      </c>
      <c r="E164" s="3939">
        <f>93723333.3333333*9/10^7</f>
        <v>84.350999999999971</v>
      </c>
      <c r="F164" s="3939">
        <f t="shared" si="23"/>
        <v>2.8967439284134331</v>
      </c>
      <c r="G164" s="4909">
        <v>23.533963861</v>
      </c>
      <c r="H164" s="3939">
        <f t="shared" si="24"/>
        <v>107.88496386099997</v>
      </c>
      <c r="I164" s="3939">
        <f>N164-D164</f>
        <v>210.09318240000002</v>
      </c>
      <c r="J164" s="3939">
        <f t="shared" si="25"/>
        <v>28.117000000000047</v>
      </c>
      <c r="K164" s="3939">
        <f>E81</f>
        <v>3.85</v>
      </c>
      <c r="L164" s="3939">
        <f>I164*K164/10</f>
        <v>80.885875224000003</v>
      </c>
      <c r="M164" s="3939">
        <f t="shared" si="26"/>
        <v>109.00287522400005</v>
      </c>
      <c r="N164" s="3939">
        <f t="shared" si="27"/>
        <v>291.33600000000001</v>
      </c>
      <c r="O164" s="3939">
        <f>H10</f>
        <v>112.46800000000002</v>
      </c>
      <c r="P164" s="3939">
        <f>Q164/N164*10</f>
        <v>3.5841721958494661</v>
      </c>
      <c r="Q164" s="3939">
        <f t="shared" si="28"/>
        <v>104.41983908500001</v>
      </c>
      <c r="R164" s="3939">
        <f t="shared" si="29"/>
        <v>216.88783908500002</v>
      </c>
      <c r="S164" s="3939">
        <f t="shared" si="30"/>
        <v>716.62800000000016</v>
      </c>
      <c r="T164" s="3939">
        <f>I10</f>
        <v>113.30000000000001</v>
      </c>
      <c r="U164" s="3939">
        <f>F81</f>
        <v>3.85</v>
      </c>
      <c r="V164" s="3939">
        <f t="shared" si="31"/>
        <v>275.90178000000003</v>
      </c>
      <c r="W164" s="3939">
        <f t="shared" si="32"/>
        <v>389.20178000000004</v>
      </c>
    </row>
    <row r="165" spans="2:23" ht="15.75">
      <c r="B165" s="3427">
        <v>6</v>
      </c>
      <c r="C165" s="4904" t="s">
        <v>3310</v>
      </c>
      <c r="D165" s="3939">
        <v>545.0087947577</v>
      </c>
      <c r="E165" s="3939">
        <f>65599940*9/10^7</f>
        <v>59.039946</v>
      </c>
      <c r="F165" s="3939">
        <f t="shared" si="23"/>
        <v>1.2996970265680146</v>
      </c>
      <c r="G165" s="4909">
        <v>70.834631000000002</v>
      </c>
      <c r="H165" s="3939">
        <f t="shared" si="24"/>
        <v>129.87457699999999</v>
      </c>
      <c r="I165" s="3939">
        <f>N165-D165</f>
        <v>187.76996216229998</v>
      </c>
      <c r="J165" s="3939">
        <f t="shared" si="25"/>
        <v>19.67998200000001</v>
      </c>
      <c r="K165" s="3939">
        <f>F165</f>
        <v>1.2996970265680146</v>
      </c>
      <c r="L165" s="3939">
        <f>I165*K165/10</f>
        <v>24.404406150112987</v>
      </c>
      <c r="M165" s="3939">
        <f t="shared" si="26"/>
        <v>44.084388150113</v>
      </c>
      <c r="N165" s="3939">
        <f t="shared" si="27"/>
        <v>732.77875691999998</v>
      </c>
      <c r="O165" s="3939">
        <f>H11+H12+H13</f>
        <v>78.71992800000001</v>
      </c>
      <c r="P165" s="3939">
        <f>Q165/N165*10</f>
        <v>1.2996970265680146</v>
      </c>
      <c r="Q165" s="3939">
        <f t="shared" si="28"/>
        <v>95.239037150112992</v>
      </c>
      <c r="R165" s="3939">
        <f t="shared" si="29"/>
        <v>173.95896515011299</v>
      </c>
      <c r="S165" s="3939">
        <f t="shared" si="30"/>
        <v>728.75802300000009</v>
      </c>
      <c r="T165" s="3939">
        <f>I11+I12+I13</f>
        <v>78.484546000000009</v>
      </c>
      <c r="U165" s="3939">
        <f>P165</f>
        <v>1.2996970265680146</v>
      </c>
      <c r="V165" s="3939">
        <f t="shared" si="31"/>
        <v>94.716463558068483</v>
      </c>
      <c r="W165" s="3939">
        <f t="shared" si="32"/>
        <v>173.20100955806851</v>
      </c>
    </row>
    <row r="166" spans="2:23">
      <c r="B166" s="3427">
        <v>7</v>
      </c>
      <c r="C166" s="4905" t="s">
        <v>3621</v>
      </c>
      <c r="D166" s="4906"/>
      <c r="E166" s="3428"/>
      <c r="F166" s="3427"/>
      <c r="G166" s="3428"/>
      <c r="H166" s="3428">
        <f t="shared" si="24"/>
        <v>0</v>
      </c>
      <c r="I166" s="4906"/>
      <c r="J166" s="3428"/>
      <c r="K166" s="3427"/>
      <c r="L166" s="3428"/>
      <c r="M166" s="3939">
        <f t="shared" si="26"/>
        <v>0</v>
      </c>
      <c r="N166" s="4906"/>
      <c r="O166" s="3428"/>
      <c r="P166" s="3427"/>
      <c r="Q166" s="3939">
        <f t="shared" si="28"/>
        <v>0</v>
      </c>
      <c r="R166" s="3939">
        <f t="shared" si="29"/>
        <v>0</v>
      </c>
      <c r="S166" s="4906"/>
      <c r="T166" s="3939">
        <f t="shared" si="31"/>
        <v>0</v>
      </c>
      <c r="U166" s="3427"/>
      <c r="V166" s="3939">
        <f t="shared" si="31"/>
        <v>0</v>
      </c>
      <c r="W166" s="3939">
        <f t="shared" si="32"/>
        <v>0</v>
      </c>
    </row>
    <row r="167" spans="2:23">
      <c r="B167" s="4886">
        <v>8</v>
      </c>
      <c r="C167" s="4905" t="s">
        <v>3622</v>
      </c>
      <c r="D167" s="4884"/>
      <c r="E167" s="3439"/>
      <c r="F167" s="4884"/>
      <c r="G167" s="4884"/>
      <c r="H167" s="3439">
        <f>E167</f>
        <v>0</v>
      </c>
      <c r="I167" s="4884"/>
      <c r="J167" s="3439"/>
      <c r="K167" s="4884"/>
      <c r="L167" s="4884"/>
      <c r="M167" s="3939">
        <f t="shared" si="26"/>
        <v>0</v>
      </c>
      <c r="N167" s="4884"/>
      <c r="O167" s="3439"/>
      <c r="P167" s="4884"/>
      <c r="Q167" s="3939">
        <f t="shared" si="28"/>
        <v>0</v>
      </c>
      <c r="R167" s="3939">
        <f t="shared" si="29"/>
        <v>0</v>
      </c>
      <c r="S167" s="4884"/>
      <c r="T167" s="3939">
        <f t="shared" si="31"/>
        <v>0</v>
      </c>
      <c r="U167" s="4884"/>
      <c r="V167" s="3939">
        <f t="shared" si="31"/>
        <v>0</v>
      </c>
      <c r="W167" s="3939">
        <f t="shared" si="32"/>
        <v>0</v>
      </c>
    </row>
    <row r="168" spans="2:23">
      <c r="B168" s="4907">
        <v>9</v>
      </c>
      <c r="C168" s="4908" t="s">
        <v>3336</v>
      </c>
      <c r="D168" s="4884"/>
      <c r="E168" s="3439"/>
      <c r="F168" s="4884"/>
      <c r="G168" s="4884"/>
      <c r="H168" s="3939">
        <v>1.1522942700000001</v>
      </c>
      <c r="I168" s="4884"/>
      <c r="J168" s="3439"/>
      <c r="K168" s="4884"/>
      <c r="L168" s="4884"/>
      <c r="M168" s="3939">
        <f t="shared" ref="M168" si="33">J168+L168</f>
        <v>0</v>
      </c>
      <c r="N168" s="4884"/>
      <c r="O168" s="3439"/>
      <c r="P168" s="4884"/>
      <c r="Q168" s="3939">
        <f t="shared" si="28"/>
        <v>0</v>
      </c>
      <c r="R168" s="3939">
        <f t="shared" si="29"/>
        <v>1.1522942700000001</v>
      </c>
      <c r="S168" s="4884"/>
      <c r="T168" s="3939">
        <f t="shared" si="31"/>
        <v>0</v>
      </c>
      <c r="U168" s="4884"/>
      <c r="V168" s="3939">
        <f t="shared" si="31"/>
        <v>0</v>
      </c>
      <c r="W168" s="3939">
        <f t="shared" si="32"/>
        <v>0</v>
      </c>
    </row>
    <row r="169" spans="2:23">
      <c r="B169" s="3427">
        <v>10</v>
      </c>
      <c r="C169" s="3453" t="s">
        <v>47</v>
      </c>
      <c r="D169" s="3948">
        <f>SUM(D160:D165)</f>
        <v>2697.8061053037995</v>
      </c>
      <c r="E169" s="3948">
        <f>SUM(E160:E168)</f>
        <v>493.89649124999994</v>
      </c>
      <c r="F169" s="3948">
        <f>G169/D169*10</f>
        <v>3.2611733099973117</v>
      </c>
      <c r="G169" s="3948">
        <f>SUM(G160:G165)</f>
        <v>879.80132661645484</v>
      </c>
      <c r="H169" s="3948">
        <f>SUM(H160:H168)</f>
        <v>1374.850112136455</v>
      </c>
      <c r="I169" s="3948">
        <f>SUM(I160:I165)</f>
        <v>830.07372664289983</v>
      </c>
      <c r="J169" s="3948">
        <f>SUM(J160:J168)</f>
        <v>164.63216375000013</v>
      </c>
      <c r="K169" s="3948">
        <f>L169/I169*10</f>
        <v>2.8193602879283466</v>
      </c>
      <c r="L169" s="3948">
        <f>SUM(L160:L165)</f>
        <v>234.02769009496816</v>
      </c>
      <c r="M169" s="3948">
        <f>SUM(M160:M168)</f>
        <v>398.65985384496827</v>
      </c>
      <c r="N169" s="3948">
        <f>SUM(N160:N165)</f>
        <v>3527.8822987891999</v>
      </c>
      <c r="O169" s="3948">
        <f>SUM(O160:O168)</f>
        <v>658.52865500000007</v>
      </c>
      <c r="P169" s="3948">
        <f>Q169/N169*10</f>
        <v>3.1572170565148925</v>
      </c>
      <c r="Q169" s="3948">
        <f>SUM(Q160:Q165)</f>
        <v>1113.829016711423</v>
      </c>
      <c r="R169" s="3948">
        <f>SUM(R160:R168)</f>
        <v>1773.5099659814232</v>
      </c>
      <c r="S169" s="3948">
        <f>SUM(S160:S165)</f>
        <v>3751.4848810000003</v>
      </c>
      <c r="T169" s="3948">
        <f>SUM(T160:T168)</f>
        <v>688.60942699999998</v>
      </c>
      <c r="U169" s="3948">
        <f>V169/S169*10</f>
        <v>3.0278762937178119</v>
      </c>
      <c r="V169" s="3948">
        <f>SUM(V160:V165)</f>
        <v>1135.9032137420686</v>
      </c>
      <c r="W169" s="3948">
        <f>SUM(W160:W168)</f>
        <v>1824.5126407420687</v>
      </c>
    </row>
    <row r="172" spans="2:23">
      <c r="R172" s="4350"/>
    </row>
  </sheetData>
  <mergeCells count="12">
    <mergeCell ref="B157:B158"/>
    <mergeCell ref="B32:B33"/>
    <mergeCell ref="C32:C33"/>
    <mergeCell ref="D32:F32"/>
    <mergeCell ref="G32:I32"/>
    <mergeCell ref="D118:E118"/>
    <mergeCell ref="F118:G118"/>
    <mergeCell ref="S157:W157"/>
    <mergeCell ref="D157:H157"/>
    <mergeCell ref="I157:M157"/>
    <mergeCell ref="N157:R157"/>
    <mergeCell ref="C157:C158"/>
  </mergeCells>
  <pageMargins left="0.7" right="0.7" top="0.75" bottom="0.75" header="0.3" footer="0.3"/>
  <pageSetup scale="41" orientation="portrait" r:id="rId1"/>
  <legacyDrawing r:id="rId2"/>
</worksheet>
</file>

<file path=xl/worksheets/sheet3.xml><?xml version="1.0" encoding="utf-8"?>
<worksheet xmlns="http://schemas.openxmlformats.org/spreadsheetml/2006/main" xmlns:r="http://schemas.openxmlformats.org/officeDocument/2006/relationships">
  <sheetPr codeName="Sheet3">
    <pageSetUpPr fitToPage="1"/>
  </sheetPr>
  <dimension ref="A1:Z64"/>
  <sheetViews>
    <sheetView view="pageBreakPreview" zoomScale="76" zoomScaleNormal="90" zoomScaleSheetLayoutView="76" workbookViewId="0">
      <pane xSplit="3" ySplit="9" topLeftCell="E10" activePane="bottomRight" state="frozen"/>
      <selection pane="topRight" activeCell="D1" sqref="D1"/>
      <selection pane="bottomLeft" activeCell="A11" sqref="A11"/>
      <selection pane="bottomRight" activeCell="U1" sqref="U1:U1048576"/>
    </sheetView>
  </sheetViews>
  <sheetFormatPr defaultRowHeight="15.75"/>
  <cols>
    <col min="1" max="1" width="6.85546875" style="3829" customWidth="1"/>
    <col min="2" max="2" width="8.5703125" style="3829" customWidth="1"/>
    <col min="3" max="3" width="62.7109375" style="3847" customWidth="1"/>
    <col min="4" max="4" width="16.42578125" style="3847" hidden="1" customWidth="1"/>
    <col min="5" max="5" width="15" style="3732" customWidth="1"/>
    <col min="6" max="6" width="14.85546875" style="3732" customWidth="1"/>
    <col min="7" max="7" width="18.28515625" style="3732" customWidth="1"/>
    <col min="8" max="8" width="15.140625" style="3732" customWidth="1"/>
    <col min="9" max="9" width="16.85546875" style="3732" customWidth="1"/>
    <col min="10" max="10" width="19.140625" style="3732" customWidth="1"/>
    <col min="11" max="14" width="16.85546875" style="3847" hidden="1" customWidth="1"/>
    <col min="15" max="15" width="10.85546875" style="3847" hidden="1" customWidth="1"/>
    <col min="16" max="16" width="10.5703125" style="3847" hidden="1" customWidth="1"/>
    <col min="17" max="20" width="12.85546875" style="5085" hidden="1" customWidth="1"/>
    <col min="21" max="21" width="9.140625" style="3847" hidden="1" customWidth="1"/>
    <col min="22" max="26" width="9.140625" style="3847" customWidth="1"/>
    <col min="27" max="16384" width="9.140625" style="3847"/>
  </cols>
  <sheetData>
    <row r="1" spans="1:26" s="3829" customFormat="1">
      <c r="E1" s="3726"/>
      <c r="F1" s="3726"/>
      <c r="G1" s="3726"/>
      <c r="H1" s="3726"/>
      <c r="I1" s="3726"/>
      <c r="J1" s="3726"/>
      <c r="Q1" s="5082"/>
      <c r="R1" s="5082"/>
      <c r="S1" s="5082"/>
      <c r="T1" s="5082"/>
    </row>
    <row r="2" spans="1:26" s="3527" customFormat="1">
      <c r="E2" s="3830"/>
      <c r="F2" s="3830"/>
      <c r="G2" s="3830"/>
      <c r="H2" s="3830"/>
      <c r="I2" s="3830"/>
      <c r="J2" s="3830"/>
      <c r="Q2" s="5083"/>
      <c r="R2" s="5083"/>
      <c r="S2" s="5083"/>
      <c r="T2" s="5083"/>
    </row>
    <row r="3" spans="1:26" s="3527" customFormat="1">
      <c r="B3" s="5396" t="s">
        <v>3414</v>
      </c>
      <c r="C3" s="5396"/>
      <c r="D3" s="5396"/>
      <c r="E3" s="5396"/>
      <c r="F3" s="5396"/>
      <c r="G3" s="5396"/>
      <c r="H3" s="5396"/>
      <c r="I3" s="4240"/>
      <c r="J3" s="3727"/>
      <c r="K3" s="5089"/>
      <c r="L3" s="5089"/>
      <c r="M3" s="5089"/>
      <c r="N3" s="5089"/>
      <c r="O3" s="3526"/>
      <c r="Q3" s="5083"/>
      <c r="R3" s="5083"/>
      <c r="S3" s="5083"/>
      <c r="T3" s="5083"/>
    </row>
    <row r="4" spans="1:26" s="3527" customFormat="1">
      <c r="B4" s="5397" t="s">
        <v>3915</v>
      </c>
      <c r="C4" s="5397"/>
      <c r="D4" s="5397"/>
      <c r="E4" s="5397"/>
      <c r="F4" s="5397"/>
      <c r="G4" s="5397"/>
      <c r="H4" s="5397"/>
      <c r="I4" s="3832"/>
      <c r="J4" s="3831"/>
      <c r="K4" s="5090"/>
      <c r="L4" s="5090"/>
      <c r="M4" s="5090"/>
      <c r="N4" s="5090"/>
      <c r="Q4" s="5083"/>
      <c r="R4" s="5083"/>
      <c r="S4" s="5083"/>
      <c r="T4" s="5083"/>
    </row>
    <row r="5" spans="1:26" s="3527" customFormat="1">
      <c r="B5" s="5397" t="s">
        <v>3563</v>
      </c>
      <c r="C5" s="5397"/>
      <c r="D5" s="5397"/>
      <c r="E5" s="5397"/>
      <c r="F5" s="5397"/>
      <c r="G5" s="5397"/>
      <c r="H5" s="5397"/>
      <c r="I5" s="3832"/>
      <c r="J5" s="3832"/>
      <c r="K5" s="5090"/>
      <c r="L5" s="5312"/>
      <c r="M5" s="5090"/>
      <c r="N5" s="5090"/>
      <c r="Q5" s="5083"/>
      <c r="R5" s="5083"/>
      <c r="S5" s="5083"/>
      <c r="T5" s="5083"/>
    </row>
    <row r="6" spans="1:26" s="3829" customFormat="1">
      <c r="E6" s="3726"/>
      <c r="F6" s="3726"/>
      <c r="G6" s="3737"/>
      <c r="H6" s="3726"/>
      <c r="I6" s="3726"/>
      <c r="J6" s="4791" t="s">
        <v>973</v>
      </c>
      <c r="Q6" s="5082"/>
      <c r="R6" s="5082"/>
      <c r="S6" s="5082"/>
      <c r="T6" s="5082"/>
    </row>
    <row r="7" spans="1:26" s="3829" customFormat="1">
      <c r="B7" s="5385" t="s">
        <v>101</v>
      </c>
      <c r="C7" s="5385" t="s">
        <v>81</v>
      </c>
      <c r="D7" s="5385" t="s">
        <v>1897</v>
      </c>
      <c r="E7" s="5387" t="s">
        <v>82</v>
      </c>
      <c r="F7" s="5388"/>
      <c r="G7" s="5389"/>
      <c r="H7" s="5387" t="s">
        <v>1845</v>
      </c>
      <c r="I7" s="5388"/>
      <c r="J7" s="5389"/>
      <c r="K7" s="5384" t="s">
        <v>2613</v>
      </c>
      <c r="L7" s="5384"/>
      <c r="M7" s="5384"/>
      <c r="N7" s="5384"/>
      <c r="Q7" s="5082"/>
      <c r="R7" s="5082"/>
      <c r="S7" s="5082"/>
      <c r="T7" s="5082"/>
    </row>
    <row r="8" spans="1:26" s="3829" customFormat="1">
      <c r="A8" s="3833"/>
      <c r="B8" s="5398"/>
      <c r="C8" s="5398"/>
      <c r="D8" s="5386"/>
      <c r="E8" s="5390"/>
      <c r="F8" s="5391"/>
      <c r="G8" s="5392"/>
      <c r="H8" s="5390"/>
      <c r="I8" s="5391"/>
      <c r="J8" s="5392"/>
      <c r="K8" s="5393" t="s">
        <v>2442</v>
      </c>
      <c r="L8" s="5394"/>
      <c r="M8" s="5393" t="s">
        <v>2443</v>
      </c>
      <c r="N8" s="5394"/>
      <c r="Q8" s="5082"/>
      <c r="R8" s="5082"/>
      <c r="S8" s="5082"/>
      <c r="T8" s="5082"/>
    </row>
    <row r="9" spans="1:26" s="3829" customFormat="1" ht="47.25">
      <c r="B9" s="5386"/>
      <c r="C9" s="5386"/>
      <c r="D9" s="3852" t="s">
        <v>1043</v>
      </c>
      <c r="E9" s="4674" t="s">
        <v>755</v>
      </c>
      <c r="F9" s="4674" t="s">
        <v>96</v>
      </c>
      <c r="G9" s="4882" t="s">
        <v>3606</v>
      </c>
      <c r="H9" s="4674" t="s">
        <v>755</v>
      </c>
      <c r="I9" s="4674" t="s">
        <v>96</v>
      </c>
      <c r="J9" s="4882" t="s">
        <v>3606</v>
      </c>
      <c r="K9" s="5072" t="s">
        <v>755</v>
      </c>
      <c r="L9" s="5072" t="s">
        <v>656</v>
      </c>
      <c r="M9" s="5072" t="s">
        <v>755</v>
      </c>
      <c r="N9" s="5072" t="s">
        <v>3399</v>
      </c>
      <c r="Q9" s="5213" t="s">
        <v>82</v>
      </c>
      <c r="R9" s="5213" t="s">
        <v>1845</v>
      </c>
      <c r="S9" s="5213" t="s">
        <v>2442</v>
      </c>
      <c r="T9" s="5213" t="s">
        <v>2443</v>
      </c>
    </row>
    <row r="10" spans="1:26" s="3829" customFormat="1">
      <c r="B10" s="2146">
        <v>1</v>
      </c>
      <c r="C10" s="4481" t="s">
        <v>206</v>
      </c>
      <c r="D10" s="4482">
        <f>'F2'!D30-'F2'!D22-'F2'!D21</f>
        <v>2190.19</v>
      </c>
      <c r="E10" s="3730">
        <f>'F2'!G30</f>
        <v>2886.7275043999998</v>
      </c>
      <c r="F10" s="3730">
        <f>'F2'!J30</f>
        <v>2928.2865663006528</v>
      </c>
      <c r="G10" s="3730">
        <f>F10</f>
        <v>2928.2865663006528</v>
      </c>
      <c r="H10" s="4324">
        <f>'F2'!M30</f>
        <v>2987.39</v>
      </c>
      <c r="I10" s="4483">
        <f>'F2'!P30</f>
        <v>2627.3633440730828</v>
      </c>
      <c r="J10" s="4483">
        <f>I10</f>
        <v>2627.3633440730828</v>
      </c>
      <c r="K10" s="4483">
        <f>'F2'!S30</f>
        <v>3209.67</v>
      </c>
      <c r="L10" s="4483">
        <f>'F2'!V30</f>
        <v>2805.6674912671647</v>
      </c>
      <c r="M10" s="4483">
        <f>'F2'!Y30</f>
        <v>3452.7700000000004</v>
      </c>
      <c r="N10" s="4483">
        <f>'F2'!AB30</f>
        <v>2923.1792345576341</v>
      </c>
      <c r="Q10" s="5086">
        <f>G10-E10</f>
        <v>41.559061900652978</v>
      </c>
      <c r="R10" s="5086">
        <f>J10-H10</f>
        <v>-360.0266559269171</v>
      </c>
      <c r="S10" s="5086">
        <f>L10-K10</f>
        <v>-404.00250873283539</v>
      </c>
      <c r="T10" s="5086">
        <f>N10-M10</f>
        <v>-529.59076544236632</v>
      </c>
    </row>
    <row r="11" spans="1:26" s="3829" customFormat="1">
      <c r="B11" s="4885">
        <f>B10+1</f>
        <v>2</v>
      </c>
      <c r="C11" s="4484" t="s">
        <v>199</v>
      </c>
      <c r="D11" s="4485">
        <f>'F3'!E15</f>
        <v>341.67999999999989</v>
      </c>
      <c r="E11" s="3730">
        <f>'F3'!F17</f>
        <v>406.87</v>
      </c>
      <c r="F11" s="3730">
        <f>'F3'!H17</f>
        <v>390.75</v>
      </c>
      <c r="G11" s="3730">
        <f>F11+('F3'!G15-'F3'!H15)*2/3*0</f>
        <v>390.75</v>
      </c>
      <c r="H11" s="4486">
        <f>'F3'!I17</f>
        <v>434.40444000000002</v>
      </c>
      <c r="I11" s="4486">
        <f>'F3'!K17</f>
        <v>464.16000000000008</v>
      </c>
      <c r="J11" s="4486">
        <f>I11+('F3'!J15-'F3'!K15)*2/3*0</f>
        <v>464.16000000000008</v>
      </c>
      <c r="K11" s="4486">
        <f>'F3'!L17</f>
        <v>474.34444000000002</v>
      </c>
      <c r="L11" s="4486">
        <f>'F3'!N17</f>
        <v>513.49999999999989</v>
      </c>
      <c r="M11" s="4486">
        <f>'F3'!O17</f>
        <v>518.55444</v>
      </c>
      <c r="N11" s="4486">
        <f>'F3'!Q17</f>
        <v>559.65</v>
      </c>
      <c r="O11" s="3834"/>
      <c r="P11" s="3834"/>
      <c r="Q11" s="5086">
        <f t="shared" ref="Q11:Q39" si="0">G11-E11</f>
        <v>-16.120000000000005</v>
      </c>
      <c r="R11" s="5086">
        <f t="shared" ref="R11:R39" si="1">J11-H11</f>
        <v>29.75556000000006</v>
      </c>
      <c r="S11" s="5086">
        <f t="shared" ref="S11:S39" si="2">L11-K11</f>
        <v>39.155559999999866</v>
      </c>
      <c r="T11" s="5086">
        <f t="shared" ref="T11:T39" si="3">N11-M11</f>
        <v>41.095559999999978</v>
      </c>
      <c r="U11" s="3834"/>
      <c r="V11" s="3834"/>
      <c r="W11" s="3834"/>
      <c r="X11" s="3834"/>
      <c r="Y11" s="3834"/>
      <c r="Z11" s="3834"/>
    </row>
    <row r="12" spans="1:26" s="3829" customFormat="1">
      <c r="B12" s="4885">
        <f t="shared" ref="B12:B39" si="4">B11+1</f>
        <v>3</v>
      </c>
      <c r="C12" s="4480" t="s">
        <v>240</v>
      </c>
      <c r="D12" s="4487">
        <f>F5.1!E43-F5.1!E40</f>
        <v>60.46</v>
      </c>
      <c r="E12" s="3730">
        <v>94.43</v>
      </c>
      <c r="F12" s="3730">
        <f>'F5'!E25</f>
        <v>90.543197904721723</v>
      </c>
      <c r="G12" s="3730">
        <f>F12</f>
        <v>90.543197904721723</v>
      </c>
      <c r="H12" s="4486">
        <v>105.61</v>
      </c>
      <c r="I12" s="4486">
        <f>'F5'!G25</f>
        <v>96.126071148087917</v>
      </c>
      <c r="J12" s="4486">
        <f>I12</f>
        <v>96.126071148087917</v>
      </c>
      <c r="K12" s="4486">
        <f>'F5'!H25</f>
        <v>119.33</v>
      </c>
      <c r="L12" s="4486">
        <f>'F5'!I25</f>
        <v>98.01</v>
      </c>
      <c r="M12" s="4486">
        <f>'F5'!J25</f>
        <v>133.69</v>
      </c>
      <c r="N12" s="4486">
        <f>'F5'!K25</f>
        <v>104.73063952004611</v>
      </c>
      <c r="P12" s="3834"/>
      <c r="Q12" s="5086">
        <f t="shared" si="0"/>
        <v>-3.8868020952782842</v>
      </c>
      <c r="R12" s="5086">
        <f t="shared" si="1"/>
        <v>-9.4839288519120828</v>
      </c>
      <c r="S12" s="5086">
        <f t="shared" si="2"/>
        <v>-21.319999999999993</v>
      </c>
      <c r="T12" s="5086">
        <f t="shared" si="3"/>
        <v>-28.959360479953887</v>
      </c>
      <c r="U12" s="3834"/>
      <c r="V12" s="3834"/>
    </row>
    <row r="13" spans="1:26" s="3829" customFormat="1">
      <c r="B13" s="4885">
        <f t="shared" si="4"/>
        <v>4</v>
      </c>
      <c r="C13" s="4484" t="s">
        <v>201</v>
      </c>
      <c r="D13" s="4485">
        <f>'F6'!K75</f>
        <v>0</v>
      </c>
      <c r="E13" s="3730">
        <f>'F6'!$D$106</f>
        <v>13.639674487500001</v>
      </c>
      <c r="F13" s="4488">
        <f>'F6'!$E$106</f>
        <v>9.9550327421166394</v>
      </c>
      <c r="G13" s="4488">
        <f>F13</f>
        <v>9.9550327421166394</v>
      </c>
      <c r="H13" s="3730">
        <f>'F6'!$F$106</f>
        <v>23.31</v>
      </c>
      <c r="I13" s="4488">
        <f>'F6'!$G$106</f>
        <v>8.0843822771979976</v>
      </c>
      <c r="J13" s="4488">
        <f>I13</f>
        <v>8.0843822771979976</v>
      </c>
      <c r="K13" s="4486">
        <f>'F6'!I106</f>
        <v>33.619999999999997</v>
      </c>
      <c r="L13" s="4486">
        <f>'F6'!J106</f>
        <v>5.2501522591704965</v>
      </c>
      <c r="M13" s="4486">
        <f>'F6'!K106</f>
        <v>42.81</v>
      </c>
      <c r="N13" s="4486">
        <f>'F6'!L106</f>
        <v>6.7878925038551223</v>
      </c>
      <c r="O13" s="3835"/>
      <c r="P13" s="3834"/>
      <c r="Q13" s="5086">
        <f t="shared" si="0"/>
        <v>-3.6846417453833613</v>
      </c>
      <c r="R13" s="5086">
        <f t="shared" si="1"/>
        <v>-15.225617722802001</v>
      </c>
      <c r="S13" s="5086">
        <f t="shared" si="2"/>
        <v>-28.369847740829499</v>
      </c>
      <c r="T13" s="5086">
        <f t="shared" si="3"/>
        <v>-36.022107496144883</v>
      </c>
      <c r="U13" s="3834"/>
      <c r="V13" s="3834"/>
    </row>
    <row r="14" spans="1:26" s="3829" customFormat="1">
      <c r="B14" s="4885">
        <f t="shared" si="4"/>
        <v>5</v>
      </c>
      <c r="C14" s="4489" t="s">
        <v>202</v>
      </c>
      <c r="D14" s="4490">
        <f>'F6'!D185</f>
        <v>23.851793923575162</v>
      </c>
      <c r="E14" s="3730">
        <f>'F6'!E185</f>
        <v>29.436296336666661</v>
      </c>
      <c r="F14" s="3730">
        <f>'F6'!F185</f>
        <v>19.222097330426916</v>
      </c>
      <c r="G14" s="4491">
        <f>(F15+(F14-F15)*2/3)</f>
        <v>20.864498220284609</v>
      </c>
      <c r="H14" s="4324">
        <f>'F6'!G185</f>
        <v>31.024150000000006</v>
      </c>
      <c r="I14" s="4492">
        <f>'F6'!H185</f>
        <v>31.152159649816827</v>
      </c>
      <c r="J14" s="3730">
        <f>(I15+(I14-I15)*2/3)</f>
        <v>64.905950866544543</v>
      </c>
      <c r="K14" s="4492">
        <f>'F6'!J185</f>
        <v>34.173888749999989</v>
      </c>
      <c r="L14" s="4492">
        <f>'F6'!K185</f>
        <v>32.208849707363981</v>
      </c>
      <c r="M14" s="4492">
        <f>'F6'!L185</f>
        <v>32.328864583333342</v>
      </c>
      <c r="N14" s="4492">
        <f>'F6'!M185</f>
        <v>42.066798462186561</v>
      </c>
      <c r="O14" s="3835"/>
      <c r="P14" s="3834"/>
      <c r="Q14" s="5086">
        <f t="shared" si="0"/>
        <v>-8.5717981163820518</v>
      </c>
      <c r="R14" s="5086">
        <f t="shared" si="1"/>
        <v>33.881800866544538</v>
      </c>
      <c r="S14" s="5086">
        <f t="shared" si="2"/>
        <v>-1.9650390426360076</v>
      </c>
      <c r="T14" s="5086">
        <f t="shared" si="3"/>
        <v>9.7379338788532195</v>
      </c>
      <c r="U14" s="3834"/>
      <c r="V14" s="3834"/>
    </row>
    <row r="15" spans="1:26" s="3829" customFormat="1">
      <c r="B15" s="4885">
        <f t="shared" si="4"/>
        <v>6</v>
      </c>
      <c r="C15" s="4489" t="s">
        <v>203</v>
      </c>
      <c r="D15" s="4490">
        <v>0</v>
      </c>
      <c r="E15" s="4493">
        <v>0</v>
      </c>
      <c r="F15" s="4494">
        <f>'F6'!I209</f>
        <v>24.1493</v>
      </c>
      <c r="G15" s="4494">
        <v>0</v>
      </c>
      <c r="H15" s="4495">
        <v>0</v>
      </c>
      <c r="I15" s="4324">
        <f>'F6'!I217</f>
        <v>132.41353329999998</v>
      </c>
      <c r="J15" s="4324">
        <v>0</v>
      </c>
      <c r="K15" s="4324"/>
      <c r="L15" s="4324"/>
      <c r="M15" s="4324"/>
      <c r="N15" s="4324"/>
      <c r="O15" s="3835"/>
      <c r="P15" s="3834"/>
      <c r="Q15" s="5086">
        <f t="shared" si="0"/>
        <v>0</v>
      </c>
      <c r="R15" s="5086">
        <f t="shared" si="1"/>
        <v>0</v>
      </c>
      <c r="S15" s="5086">
        <f t="shared" si="2"/>
        <v>0</v>
      </c>
      <c r="T15" s="5086">
        <f t="shared" si="3"/>
        <v>0</v>
      </c>
      <c r="U15" s="3834">
        <f>I15-I14</f>
        <v>101.26137365018316</v>
      </c>
      <c r="V15" s="3834"/>
    </row>
    <row r="16" spans="1:26" s="3829" customFormat="1">
      <c r="B16" s="4885">
        <f t="shared" si="4"/>
        <v>7</v>
      </c>
      <c r="C16" s="4489" t="s">
        <v>204</v>
      </c>
      <c r="D16" s="4490">
        <f>'F6'!D192</f>
        <v>14.291999999999998</v>
      </c>
      <c r="E16" s="3730">
        <f>'F6'!E192</f>
        <v>21.4146</v>
      </c>
      <c r="F16" s="3730">
        <f>'F6'!F192</f>
        <v>23.18</v>
      </c>
      <c r="G16" s="4491">
        <f t="shared" ref="G16:G20" si="5">F16</f>
        <v>23.18</v>
      </c>
      <c r="H16" s="4324">
        <f>'F6'!G192</f>
        <v>22.057200000000002</v>
      </c>
      <c r="I16" s="4324">
        <f>'F6'!H192</f>
        <v>22.5</v>
      </c>
      <c r="J16" s="4324">
        <f>I16</f>
        <v>22.5</v>
      </c>
      <c r="K16" s="4324">
        <f>'F6'!J192</f>
        <v>22.718699999999998</v>
      </c>
      <c r="L16" s="4324">
        <f>'F6'!K192</f>
        <v>30.507499999999997</v>
      </c>
      <c r="M16" s="4324">
        <f>'F6'!L192</f>
        <v>23.4</v>
      </c>
      <c r="N16" s="4324">
        <f>'F6'!M192</f>
        <v>31.381525</v>
      </c>
      <c r="O16" s="3835"/>
      <c r="P16" s="3834"/>
      <c r="Q16" s="5086">
        <f t="shared" si="0"/>
        <v>1.7653999999999996</v>
      </c>
      <c r="R16" s="5086">
        <f t="shared" si="1"/>
        <v>0.44279999999999831</v>
      </c>
      <c r="S16" s="5086">
        <f t="shared" si="2"/>
        <v>7.7887999999999984</v>
      </c>
      <c r="T16" s="5086">
        <f t="shared" si="3"/>
        <v>7.9815250000000013</v>
      </c>
      <c r="U16" s="3834">
        <f>U15*2/3</f>
        <v>67.50758243345544</v>
      </c>
      <c r="V16" s="3834"/>
    </row>
    <row r="17" spans="2:22" s="3829" customFormat="1">
      <c r="B17" s="4885">
        <f t="shared" si="4"/>
        <v>8</v>
      </c>
      <c r="C17" s="4489" t="s">
        <v>205</v>
      </c>
      <c r="D17" s="4490">
        <f>'F8'!E15</f>
        <v>0</v>
      </c>
      <c r="E17" s="3730">
        <v>0</v>
      </c>
      <c r="F17" s="3730">
        <f>'F8'!G15</f>
        <v>5.69</v>
      </c>
      <c r="G17" s="4491">
        <f t="shared" si="5"/>
        <v>5.69</v>
      </c>
      <c r="H17" s="4324">
        <v>0</v>
      </c>
      <c r="I17" s="4324">
        <f>'F8'!I15</f>
        <v>6.5</v>
      </c>
      <c r="J17" s="4324">
        <f t="shared" ref="J17:J20" si="6">I17</f>
        <v>6.5</v>
      </c>
      <c r="K17" s="4324">
        <v>0</v>
      </c>
      <c r="L17" s="4324">
        <f>'F8'!K15</f>
        <v>7.7675999999999998</v>
      </c>
      <c r="M17" s="4324">
        <v>0</v>
      </c>
      <c r="N17" s="4324">
        <f>'F8'!M15</f>
        <v>7.8372000000000002</v>
      </c>
      <c r="O17" s="3835"/>
      <c r="P17" s="3834"/>
      <c r="Q17" s="5086">
        <f t="shared" si="0"/>
        <v>5.69</v>
      </c>
      <c r="R17" s="5086">
        <f t="shared" si="1"/>
        <v>6.5</v>
      </c>
      <c r="S17" s="5086">
        <f t="shared" si="2"/>
        <v>7.7675999999999998</v>
      </c>
      <c r="T17" s="5086">
        <f t="shared" si="3"/>
        <v>7.8372000000000002</v>
      </c>
      <c r="U17" s="3834">
        <f>U15-U16</f>
        <v>33.75379121672772</v>
      </c>
      <c r="V17" s="3834"/>
    </row>
    <row r="18" spans="2:22" s="3829" customFormat="1">
      <c r="B18" s="4885">
        <f t="shared" si="4"/>
        <v>9</v>
      </c>
      <c r="C18" s="4481" t="s">
        <v>194</v>
      </c>
      <c r="D18" s="4482">
        <f>'F7 '!D18</f>
        <v>54.5</v>
      </c>
      <c r="E18" s="3730">
        <f>'F7 '!E18</f>
        <v>81.260000000000005</v>
      </c>
      <c r="F18" s="4488">
        <f>'F7 '!F18</f>
        <v>78.38</v>
      </c>
      <c r="G18" s="4488">
        <f t="shared" si="5"/>
        <v>78.38</v>
      </c>
      <c r="H18" s="4486">
        <f>'F7 '!G18</f>
        <v>81.260000000000005</v>
      </c>
      <c r="I18" s="4486">
        <f>'F7 '!H18</f>
        <v>90.21</v>
      </c>
      <c r="J18" s="4324">
        <f t="shared" si="6"/>
        <v>90.21</v>
      </c>
      <c r="K18" s="4486">
        <f>'F7 '!I18</f>
        <v>81.260000000000005</v>
      </c>
      <c r="L18" s="4486">
        <f>'F7 '!J18</f>
        <v>115.4</v>
      </c>
      <c r="M18" s="4486">
        <f>'F7 '!K18</f>
        <v>81.260000000000005</v>
      </c>
      <c r="N18" s="4486">
        <f>'F7 '!L18</f>
        <v>120.97999999999999</v>
      </c>
      <c r="O18" s="3834"/>
      <c r="P18" s="3834"/>
      <c r="Q18" s="5086">
        <f t="shared" si="0"/>
        <v>-2.8800000000000097</v>
      </c>
      <c r="R18" s="5086">
        <f t="shared" si="1"/>
        <v>8.9499999999999886</v>
      </c>
      <c r="S18" s="5086">
        <f t="shared" si="2"/>
        <v>34.14</v>
      </c>
      <c r="T18" s="5086">
        <f t="shared" si="3"/>
        <v>39.719999999999985</v>
      </c>
      <c r="U18" s="3834">
        <f>U17+I14</f>
        <v>64.905950866544543</v>
      </c>
      <c r="V18" s="3834"/>
    </row>
    <row r="19" spans="2:22" s="3829" customFormat="1">
      <c r="B19" s="4885">
        <f t="shared" si="4"/>
        <v>10</v>
      </c>
      <c r="C19" s="4484" t="s">
        <v>207</v>
      </c>
      <c r="D19" s="4485">
        <v>0</v>
      </c>
      <c r="E19" s="3730">
        <v>0</v>
      </c>
      <c r="F19" s="3730">
        <v>0</v>
      </c>
      <c r="G19" s="3730">
        <f t="shared" si="5"/>
        <v>0</v>
      </c>
      <c r="H19" s="3730">
        <v>0</v>
      </c>
      <c r="I19" s="3730">
        <v>0</v>
      </c>
      <c r="J19" s="4324">
        <f t="shared" si="6"/>
        <v>0</v>
      </c>
      <c r="K19" s="3730">
        <v>0</v>
      </c>
      <c r="L19" s="3730">
        <v>0</v>
      </c>
      <c r="M19" s="3730">
        <v>0</v>
      </c>
      <c r="N19" s="3730">
        <v>0</v>
      </c>
      <c r="O19" s="3834"/>
      <c r="P19" s="3834"/>
      <c r="Q19" s="5086">
        <f t="shared" si="0"/>
        <v>0</v>
      </c>
      <c r="R19" s="5086">
        <f t="shared" si="1"/>
        <v>0</v>
      </c>
      <c r="S19" s="5086">
        <f t="shared" si="2"/>
        <v>0</v>
      </c>
      <c r="T19" s="5086">
        <f t="shared" si="3"/>
        <v>0</v>
      </c>
      <c r="U19" s="3834"/>
      <c r="V19" s="3834"/>
    </row>
    <row r="20" spans="2:22" s="3829" customFormat="1">
      <c r="B20" s="4885">
        <f t="shared" si="4"/>
        <v>11</v>
      </c>
      <c r="C20" s="4489" t="s">
        <v>208</v>
      </c>
      <c r="D20" s="4490">
        <v>4.344924999999999</v>
      </c>
      <c r="E20" s="3730">
        <v>4.6040000000000001</v>
      </c>
      <c r="F20" s="3730">
        <f>'F5'!E37</f>
        <v>4.6175597000000002</v>
      </c>
      <c r="G20" s="3730">
        <f t="shared" si="5"/>
        <v>4.6175597000000002</v>
      </c>
      <c r="H20" s="4324">
        <v>5.1460999999999997</v>
      </c>
      <c r="I20" s="4483">
        <f>'F5'!G37</f>
        <v>4.8928959000000001</v>
      </c>
      <c r="J20" s="4324">
        <f t="shared" si="6"/>
        <v>4.8928959000000001</v>
      </c>
      <c r="K20" s="4483">
        <f>'F5'!H37</f>
        <v>5.8196750000000002</v>
      </c>
      <c r="L20" s="4483">
        <f>'F5'!I37</f>
        <v>5.0930818819999999</v>
      </c>
      <c r="M20" s="4483">
        <f>'F5'!J37</f>
        <v>6.5317999999999996</v>
      </c>
      <c r="N20" s="4483">
        <f>'F5'!K37</f>
        <v>5.442319382</v>
      </c>
      <c r="O20" s="3835"/>
      <c r="P20" s="3834"/>
      <c r="Q20" s="5086">
        <f t="shared" si="0"/>
        <v>1.3559700000000063E-2</v>
      </c>
      <c r="R20" s="5086">
        <f t="shared" si="1"/>
        <v>-0.2532040999999996</v>
      </c>
      <c r="S20" s="5086">
        <f t="shared" si="2"/>
        <v>-0.72659311800000026</v>
      </c>
      <c r="T20" s="5086">
        <f t="shared" si="3"/>
        <v>-1.0894806179999996</v>
      </c>
      <c r="U20" s="3834"/>
      <c r="V20" s="3834"/>
    </row>
    <row r="21" spans="2:22" s="3829" customFormat="1">
      <c r="B21" s="4885">
        <f t="shared" si="4"/>
        <v>12</v>
      </c>
      <c r="C21" s="4489" t="s">
        <v>1919</v>
      </c>
      <c r="D21" s="4490">
        <v>26.41</v>
      </c>
      <c r="E21" s="3730"/>
      <c r="F21" s="3730"/>
      <c r="G21" s="3730">
        <f>F1.3!$E$16</f>
        <v>23.035977033062938</v>
      </c>
      <c r="H21" s="4324"/>
      <c r="I21" s="4324"/>
      <c r="J21" s="4324">
        <f>F1.3!$F$16</f>
        <v>30.251692429274755</v>
      </c>
      <c r="K21" s="4324">
        <v>0</v>
      </c>
      <c r="L21" s="4324">
        <f>F1.3!G16</f>
        <v>0</v>
      </c>
      <c r="M21" s="4324">
        <v>0</v>
      </c>
      <c r="N21" s="4324">
        <v>0</v>
      </c>
      <c r="O21" s="3835"/>
      <c r="P21" s="3834"/>
      <c r="Q21" s="5086">
        <f t="shared" si="0"/>
        <v>23.035977033062938</v>
      </c>
      <c r="R21" s="5086">
        <f t="shared" si="1"/>
        <v>30.251692429274755</v>
      </c>
      <c r="S21" s="5086">
        <f t="shared" si="2"/>
        <v>0</v>
      </c>
      <c r="T21" s="5086">
        <f t="shared" si="3"/>
        <v>0</v>
      </c>
      <c r="U21" s="3834"/>
      <c r="V21" s="3834"/>
    </row>
    <row r="22" spans="2:22" s="3829" customFormat="1">
      <c r="B22" s="4885">
        <f t="shared" si="4"/>
        <v>13</v>
      </c>
      <c r="C22" s="4489" t="s">
        <v>2920</v>
      </c>
      <c r="D22" s="4490"/>
      <c r="E22" s="3730"/>
      <c r="F22" s="3730"/>
      <c r="G22" s="3730">
        <f>'F12'!$D$35</f>
        <v>2.7487136991395196</v>
      </c>
      <c r="H22" s="3730"/>
      <c r="I22" s="3730"/>
      <c r="J22" s="3730">
        <f>'F12'!$F$35</f>
        <v>2.9599746484893785</v>
      </c>
      <c r="K22" s="4324">
        <v>0</v>
      </c>
      <c r="L22" s="4324">
        <v>0</v>
      </c>
      <c r="M22" s="4324">
        <v>0</v>
      </c>
      <c r="N22" s="4324">
        <v>0</v>
      </c>
      <c r="O22" s="3835"/>
      <c r="P22" s="3834"/>
      <c r="Q22" s="5086">
        <f t="shared" si="0"/>
        <v>2.7487136991395196</v>
      </c>
      <c r="R22" s="5086">
        <f t="shared" si="1"/>
        <v>2.9599746484893785</v>
      </c>
      <c r="S22" s="5086">
        <f t="shared" si="2"/>
        <v>0</v>
      </c>
      <c r="T22" s="5086">
        <f t="shared" si="3"/>
        <v>0</v>
      </c>
      <c r="U22" s="3834"/>
      <c r="V22" s="3834"/>
    </row>
    <row r="23" spans="2:22" s="3838" customFormat="1">
      <c r="B23" s="4885">
        <f t="shared" si="4"/>
        <v>14</v>
      </c>
      <c r="C23" s="3839" t="s">
        <v>209</v>
      </c>
      <c r="D23" s="3836">
        <f>SUM(D10:D22)</f>
        <v>2715.7287189235749</v>
      </c>
      <c r="E23" s="3728">
        <f>SUM(E10:E22)</f>
        <v>3538.3820752241663</v>
      </c>
      <c r="F23" s="3728">
        <f>SUM(F10:F22)-F15</f>
        <v>3550.6244539779182</v>
      </c>
      <c r="G23" s="3728">
        <f>SUM(G10:G22)-G15</f>
        <v>3578.051545599978</v>
      </c>
      <c r="H23" s="3728">
        <f>SUM(H10:H22)-H15-0.02</f>
        <v>3690.1818900000003</v>
      </c>
      <c r="I23" s="3728">
        <f>SUM(I10:I22)-I15</f>
        <v>3350.9888530481853</v>
      </c>
      <c r="J23" s="3728">
        <f>SUM(J10:J22)-J15</f>
        <v>3417.9543113426771</v>
      </c>
      <c r="K23" s="3728">
        <f t="shared" ref="K23:L23" si="7">SUM(K10:K22)-K15</f>
        <v>3980.9367037500001</v>
      </c>
      <c r="L23" s="3728">
        <f t="shared" si="7"/>
        <v>3613.4046751157002</v>
      </c>
      <c r="M23" s="3728">
        <f t="shared" ref="M23" si="8">SUM(M10:M22)-M15</f>
        <v>4291.3451045833335</v>
      </c>
      <c r="N23" s="3728">
        <f t="shared" ref="N23" si="9">SUM(N10:N22)-N15</f>
        <v>3802.0556094257217</v>
      </c>
      <c r="O23" s="3837"/>
      <c r="P23" s="3834"/>
      <c r="Q23" s="5086">
        <f t="shared" si="0"/>
        <v>39.66947037581167</v>
      </c>
      <c r="R23" s="5086">
        <f t="shared" si="1"/>
        <v>-272.22757865732319</v>
      </c>
      <c r="S23" s="5086">
        <f t="shared" si="2"/>
        <v>-367.53202863429988</v>
      </c>
      <c r="T23" s="5086">
        <f t="shared" si="3"/>
        <v>-489.28949515761178</v>
      </c>
      <c r="U23" s="3834"/>
      <c r="V23" s="3834"/>
    </row>
    <row r="24" spans="2:22" s="3829" customFormat="1">
      <c r="B24" s="4885">
        <f>B23+1</f>
        <v>15</v>
      </c>
      <c r="C24" s="4484" t="s">
        <v>252</v>
      </c>
      <c r="D24" s="4485">
        <f>'F9'!D22</f>
        <v>121.75</v>
      </c>
      <c r="E24" s="3730">
        <f>'F9'!E22</f>
        <v>127.62993902949999</v>
      </c>
      <c r="F24" s="3730">
        <f>'F9'!F22</f>
        <v>124.74790559782062</v>
      </c>
      <c r="G24" s="3730">
        <f>F24</f>
        <v>124.74790559782062</v>
      </c>
      <c r="H24" s="4492">
        <f>'F9'!G22</f>
        <v>139.63755921949999</v>
      </c>
      <c r="I24" s="4492">
        <f>'F9'!H22</f>
        <v>129.03790194815093</v>
      </c>
      <c r="J24" s="4492">
        <f>I24</f>
        <v>129.03790194815093</v>
      </c>
      <c r="K24" s="4492">
        <f>'F9'!I22</f>
        <v>153.29503314149997</v>
      </c>
      <c r="L24" s="4492">
        <f>'F9'!J22</f>
        <v>133.94492573399629</v>
      </c>
      <c r="M24" s="4492">
        <f>'F9'!K22</f>
        <v>167.219442144</v>
      </c>
      <c r="N24" s="4492">
        <f>'F9'!L22</f>
        <v>140.88592155795828</v>
      </c>
      <c r="O24" s="3835"/>
      <c r="P24" s="3834"/>
      <c r="Q24" s="5086">
        <f t="shared" si="0"/>
        <v>-2.8820334316793748</v>
      </c>
      <c r="R24" s="5086">
        <f t="shared" si="1"/>
        <v>-10.599657271349059</v>
      </c>
      <c r="S24" s="5086">
        <f t="shared" si="2"/>
        <v>-19.350107407503685</v>
      </c>
      <c r="T24" s="5086">
        <f t="shared" si="3"/>
        <v>-26.333520586041715</v>
      </c>
      <c r="U24" s="3834"/>
      <c r="V24" s="3834"/>
    </row>
    <row r="25" spans="2:22" s="3829" customFormat="1">
      <c r="B25" s="4885">
        <f t="shared" si="4"/>
        <v>16</v>
      </c>
      <c r="C25" s="4484" t="s">
        <v>210</v>
      </c>
      <c r="D25" s="4485">
        <v>5.28</v>
      </c>
      <c r="E25" s="3730">
        <f>'F13'!E$18</f>
        <v>5.2796666640000005</v>
      </c>
      <c r="F25" s="3730">
        <f>'F13'!F$18</f>
        <v>5.2793999999999999</v>
      </c>
      <c r="G25" s="3730">
        <f>F25</f>
        <v>5.2793999999999999</v>
      </c>
      <c r="H25" s="3730">
        <f>'F13'!G$18</f>
        <v>5.2793999999999999</v>
      </c>
      <c r="I25" s="3730">
        <f>'F13'!H$18</f>
        <v>5.2793999999999999</v>
      </c>
      <c r="J25" s="4492">
        <f>I25</f>
        <v>5.2793999999999999</v>
      </c>
      <c r="K25" s="4492">
        <f>'F13'!I18</f>
        <v>5.2793999999999999</v>
      </c>
      <c r="L25" s="4492">
        <f>'F13'!J18</f>
        <v>5.2793999999999999</v>
      </c>
      <c r="M25" s="4492">
        <f>'F13'!K18</f>
        <v>5.2793999999999999</v>
      </c>
      <c r="N25" s="4492">
        <f>'F13'!L18</f>
        <v>5.2793999999999999</v>
      </c>
      <c r="O25" s="3835"/>
      <c r="P25" s="3834"/>
      <c r="Q25" s="5086">
        <f t="shared" si="0"/>
        <v>-2.6666400000063817E-4</v>
      </c>
      <c r="R25" s="5086">
        <f t="shared" si="1"/>
        <v>0</v>
      </c>
      <c r="S25" s="5086">
        <f t="shared" si="2"/>
        <v>0</v>
      </c>
      <c r="T25" s="5086">
        <f t="shared" si="3"/>
        <v>0</v>
      </c>
      <c r="U25" s="3834"/>
      <c r="V25" s="3834"/>
    </row>
    <row r="26" spans="2:22" s="3842" customFormat="1">
      <c r="B26" s="4885">
        <f t="shared" si="4"/>
        <v>17</v>
      </c>
      <c r="C26" s="3839" t="s">
        <v>211</v>
      </c>
      <c r="D26" s="3840">
        <f t="shared" ref="D26:H26" si="10">SUM(D23:D25)</f>
        <v>2842.7587189235751</v>
      </c>
      <c r="E26" s="3729">
        <f>SUM(E23:E25)</f>
        <v>3671.2916809176663</v>
      </c>
      <c r="F26" s="3729">
        <f t="shared" si="10"/>
        <v>3680.6517595757387</v>
      </c>
      <c r="G26" s="3729">
        <f t="shared" si="10"/>
        <v>3708.0788511977985</v>
      </c>
      <c r="H26" s="3729">
        <f t="shared" si="10"/>
        <v>3835.0988492195002</v>
      </c>
      <c r="I26" s="3729">
        <f>SUM(I23:I25)</f>
        <v>3485.3061549963363</v>
      </c>
      <c r="J26" s="3729">
        <f>SUM(J23:J25)</f>
        <v>3552.2716132908281</v>
      </c>
      <c r="K26" s="3729">
        <f t="shared" ref="K26" si="11">SUM(K23:K25)</f>
        <v>4139.5111368915004</v>
      </c>
      <c r="L26" s="3729">
        <f>SUM(L23:L25)</f>
        <v>3752.6290008496962</v>
      </c>
      <c r="M26" s="3729">
        <f t="shared" ref="M26" si="12">SUM(M23:M25)</f>
        <v>4463.8439467273338</v>
      </c>
      <c r="N26" s="3729">
        <f>SUM(N23:N25)</f>
        <v>3948.2209309836799</v>
      </c>
      <c r="O26" s="3841"/>
      <c r="P26" s="3841"/>
      <c r="Q26" s="5086">
        <f t="shared" si="0"/>
        <v>36.787170280132159</v>
      </c>
      <c r="R26" s="5086">
        <f t="shared" si="1"/>
        <v>-282.82723592867205</v>
      </c>
      <c r="S26" s="5086">
        <f t="shared" si="2"/>
        <v>-386.88213604180419</v>
      </c>
      <c r="T26" s="5086">
        <f t="shared" si="3"/>
        <v>-515.62301574365392</v>
      </c>
      <c r="U26" s="3841"/>
      <c r="V26" s="3841"/>
    </row>
    <row r="27" spans="2:22" s="3829" customFormat="1">
      <c r="B27" s="4885">
        <f t="shared" si="4"/>
        <v>18</v>
      </c>
      <c r="C27" s="4484" t="s">
        <v>212</v>
      </c>
      <c r="D27" s="4485">
        <f>'F10 '!C33</f>
        <v>48.085000000000001</v>
      </c>
      <c r="E27" s="3730">
        <f>'F10 '!D33</f>
        <v>62.510000000000005</v>
      </c>
      <c r="F27" s="3730">
        <f>'F10 '!E33</f>
        <v>57.709265200000004</v>
      </c>
      <c r="G27" s="3730">
        <f>F27</f>
        <v>57.709265200000004</v>
      </c>
      <c r="H27" s="4324">
        <f>'F10 '!F33</f>
        <v>68.498839999999987</v>
      </c>
      <c r="I27" s="4324">
        <f>'F10 '!G33</f>
        <v>61.7873825</v>
      </c>
      <c r="J27" s="4324">
        <f>I27</f>
        <v>61.7873825</v>
      </c>
      <c r="K27" s="4324">
        <f>'F10 '!H33</f>
        <v>75.109999999999985</v>
      </c>
      <c r="L27" s="4324">
        <f>'F10 '!I33</f>
        <v>54.95</v>
      </c>
      <c r="M27" s="4324">
        <f>'F10 '!J33</f>
        <v>82.39</v>
      </c>
      <c r="N27" s="4324">
        <f>'F10 '!K33</f>
        <v>73.400000000000006</v>
      </c>
      <c r="O27" s="3834"/>
      <c r="P27" s="3834"/>
      <c r="Q27" s="5086">
        <f t="shared" si="0"/>
        <v>-4.8007348000000007</v>
      </c>
      <c r="R27" s="5086">
        <f t="shared" si="1"/>
        <v>-6.7114574999999874</v>
      </c>
      <c r="S27" s="5086">
        <f t="shared" si="2"/>
        <v>-20.159999999999982</v>
      </c>
      <c r="T27" s="5086">
        <f t="shared" si="3"/>
        <v>-8.9899999999999949</v>
      </c>
      <c r="U27" s="3834"/>
      <c r="V27" s="3834"/>
    </row>
    <row r="28" spans="2:22" s="3845" customFormat="1" ht="17.25" customHeight="1">
      <c r="B28" s="4885">
        <f t="shared" si="4"/>
        <v>19</v>
      </c>
      <c r="C28" s="4496" t="s">
        <v>213</v>
      </c>
      <c r="D28" s="4497">
        <f>D26-D27</f>
        <v>2794.6737189235751</v>
      </c>
      <c r="E28" s="3728">
        <f t="shared" ref="E28:G28" si="13">(E26-E27)</f>
        <v>3608.7816809176661</v>
      </c>
      <c r="F28" s="3728">
        <f t="shared" si="13"/>
        <v>3622.9424943757385</v>
      </c>
      <c r="G28" s="3728">
        <f t="shared" si="13"/>
        <v>3650.3695859977984</v>
      </c>
      <c r="H28" s="3728">
        <f>(H26-H27)</f>
        <v>3766.6000092195</v>
      </c>
      <c r="I28" s="3728">
        <f>(I26-I27)</f>
        <v>3423.5187724963362</v>
      </c>
      <c r="J28" s="3728">
        <f>(J26-J27)</f>
        <v>3490.484230790828</v>
      </c>
      <c r="K28" s="3728">
        <f t="shared" ref="K28" si="14">(K26-K27)</f>
        <v>4064.4011368915003</v>
      </c>
      <c r="L28" s="3728">
        <f>(L26-L27)</f>
        <v>3697.6790008496964</v>
      </c>
      <c r="M28" s="3728">
        <f t="shared" ref="M28" si="15">(M26-M27)</f>
        <v>4381.4539467273335</v>
      </c>
      <c r="N28" s="3728">
        <f>(N26-N27)</f>
        <v>3874.8209309836798</v>
      </c>
      <c r="O28" s="3843"/>
      <c r="P28" s="3844"/>
      <c r="Q28" s="5086">
        <f t="shared" si="0"/>
        <v>41.587905080132259</v>
      </c>
      <c r="R28" s="5086">
        <f t="shared" si="1"/>
        <v>-276.115778428672</v>
      </c>
      <c r="S28" s="5086">
        <f t="shared" si="2"/>
        <v>-366.72213604180388</v>
      </c>
      <c r="T28" s="5086">
        <f t="shared" si="3"/>
        <v>-506.63301574365369</v>
      </c>
      <c r="U28" s="3844"/>
      <c r="V28" s="3844"/>
    </row>
    <row r="29" spans="2:22" s="3829" customFormat="1">
      <c r="B29" s="4885">
        <f t="shared" si="4"/>
        <v>20</v>
      </c>
      <c r="C29" s="4481" t="s">
        <v>214</v>
      </c>
      <c r="D29" s="4485">
        <v>263.55</v>
      </c>
      <c r="E29" s="3730">
        <v>273.8</v>
      </c>
      <c r="F29" s="4324">
        <f>'F15'!E11</f>
        <v>503.4726944021794</v>
      </c>
      <c r="G29" s="4324">
        <f>'F15'!E12</f>
        <v>276.68269440217932</v>
      </c>
      <c r="H29" s="4324">
        <f>'F15'!F11</f>
        <v>260.97000000000003</v>
      </c>
      <c r="I29" s="4324">
        <f>'F15'!G11</f>
        <v>633.42269805184901</v>
      </c>
      <c r="J29" s="4324">
        <f>'F15'!G12</f>
        <v>271.57269805184904</v>
      </c>
      <c r="K29" s="4324">
        <f>'F15'!H11</f>
        <v>228.85999999999999</v>
      </c>
      <c r="L29" s="4324">
        <f>'F15'!I11*0+'Transport deficit'!I25</f>
        <v>247.96262573929201</v>
      </c>
      <c r="M29" s="4498">
        <f>'F15'!J11</f>
        <v>-20.340000000000003</v>
      </c>
      <c r="N29" s="4324">
        <f>'F15'!K11*0+'Transport deficit'!J25</f>
        <v>5.41709061370352</v>
      </c>
      <c r="O29" s="3835"/>
      <c r="P29" s="3834"/>
      <c r="Q29" s="5086">
        <f t="shared" si="0"/>
        <v>2.8826944021793111</v>
      </c>
      <c r="R29" s="5086">
        <f t="shared" si="1"/>
        <v>10.602698051849018</v>
      </c>
      <c r="S29" s="5086">
        <f t="shared" si="2"/>
        <v>19.102625739292023</v>
      </c>
      <c r="T29" s="5086">
        <f t="shared" si="3"/>
        <v>25.757090613703525</v>
      </c>
      <c r="U29" s="3834"/>
      <c r="V29" s="3834"/>
    </row>
    <row r="30" spans="2:22" s="3829" customFormat="1">
      <c r="B30" s="4885">
        <f t="shared" si="4"/>
        <v>21</v>
      </c>
      <c r="C30" s="4496" t="s">
        <v>215</v>
      </c>
      <c r="D30" s="4497">
        <f>D28+D29</f>
        <v>3058.2237189235752</v>
      </c>
      <c r="E30" s="3729">
        <f>SUM(E28:E29)-0.01</f>
        <v>3882.5716809176661</v>
      </c>
      <c r="F30" s="3729">
        <f t="shared" ref="F30:M30" si="16">SUM(F28:F29)</f>
        <v>4126.415188777918</v>
      </c>
      <c r="G30" s="3729">
        <f t="shared" si="16"/>
        <v>3927.0522803999775</v>
      </c>
      <c r="H30" s="3729">
        <f>SUM(H28:H29)</f>
        <v>4027.5700092195002</v>
      </c>
      <c r="I30" s="3729">
        <f>SUM(I28:I29)</f>
        <v>4056.941470548185</v>
      </c>
      <c r="J30" s="3729">
        <f>SUM(J28:J29)</f>
        <v>3762.0569288426768</v>
      </c>
      <c r="K30" s="3729">
        <f t="shared" si="16"/>
        <v>4293.2611368915004</v>
      </c>
      <c r="L30" s="3729">
        <f>SUM(L28:L29)</f>
        <v>3945.6416265889884</v>
      </c>
      <c r="M30" s="3729">
        <f t="shared" si="16"/>
        <v>4361.1139467273333</v>
      </c>
      <c r="N30" s="3729">
        <f>SUM(N28:N29)</f>
        <v>3880.2380215973831</v>
      </c>
      <c r="O30" s="3835"/>
      <c r="P30" s="3834"/>
      <c r="Q30" s="5086">
        <f t="shared" si="0"/>
        <v>44.480599482311391</v>
      </c>
      <c r="R30" s="5086">
        <f t="shared" si="1"/>
        <v>-265.51308037682338</v>
      </c>
      <c r="S30" s="5086">
        <f t="shared" si="2"/>
        <v>-347.61951030251203</v>
      </c>
      <c r="T30" s="5086">
        <f t="shared" si="3"/>
        <v>-480.87592512995025</v>
      </c>
      <c r="U30" s="3834"/>
      <c r="V30" s="3834"/>
    </row>
    <row r="31" spans="2:22" s="3829" customFormat="1">
      <c r="B31" s="4885">
        <f t="shared" si="4"/>
        <v>22</v>
      </c>
      <c r="C31" s="4499" t="s">
        <v>2809</v>
      </c>
      <c r="D31" s="4482">
        <v>0</v>
      </c>
      <c r="E31" s="3730">
        <v>0</v>
      </c>
      <c r="F31" s="3730"/>
      <c r="G31" s="3730">
        <v>0</v>
      </c>
      <c r="H31" s="3730">
        <f>'F16'!$E$48</f>
        <v>1458.7273008451666</v>
      </c>
      <c r="I31" s="3730">
        <f>'F16'!$E$72</f>
        <v>1477.1082621356131</v>
      </c>
      <c r="J31" s="3730">
        <f>I31</f>
        <v>1477.1082621356131</v>
      </c>
      <c r="K31" s="3730">
        <f>'F16'!F48</f>
        <v>1302.5457326404335</v>
      </c>
      <c r="L31" s="3730">
        <f>'F16'!F72</f>
        <v>1321.9732109404881</v>
      </c>
      <c r="M31" s="3730">
        <f>'F16'!G48</f>
        <v>1146.3641644357001</v>
      </c>
      <c r="N31" s="3730">
        <f>'F16'!G72</f>
        <v>1162.3080738975223</v>
      </c>
      <c r="O31" s="3835"/>
      <c r="P31" s="3834"/>
      <c r="Q31" s="5086">
        <f t="shared" si="0"/>
        <v>0</v>
      </c>
      <c r="R31" s="5086">
        <f t="shared" si="1"/>
        <v>18.380961290446521</v>
      </c>
      <c r="S31" s="5086">
        <f t="shared" si="2"/>
        <v>19.427478300054645</v>
      </c>
      <c r="T31" s="5086">
        <f t="shared" si="3"/>
        <v>15.943909461822159</v>
      </c>
      <c r="U31" s="3834"/>
      <c r="V31" s="3834"/>
    </row>
    <row r="32" spans="2:22" s="3829" customFormat="1">
      <c r="B32" s="4885">
        <f t="shared" si="4"/>
        <v>23</v>
      </c>
      <c r="C32" s="4499" t="s">
        <v>2216</v>
      </c>
      <c r="D32" s="4482">
        <v>0</v>
      </c>
      <c r="E32" s="3730">
        <v>0</v>
      </c>
      <c r="F32" s="3730"/>
      <c r="G32" s="3730">
        <v>0</v>
      </c>
      <c r="H32" s="3730">
        <f>'F16'!$E$57</f>
        <v>138.43894166666666</v>
      </c>
      <c r="I32" s="3730">
        <f>'F16'!$E$81</f>
        <v>326.32649311643831</v>
      </c>
      <c r="J32" s="3730">
        <f>I32</f>
        <v>326.32649311643831</v>
      </c>
      <c r="K32" s="3731">
        <f>'F16'!F57</f>
        <v>123.61669833333332</v>
      </c>
      <c r="L32" s="3730">
        <f>'F16'!F81</f>
        <v>0</v>
      </c>
      <c r="M32" s="3730">
        <f>'F16'!G57</f>
        <v>108.794455</v>
      </c>
      <c r="N32" s="3730">
        <f>'F16'!G81</f>
        <v>0</v>
      </c>
      <c r="O32" s="3835"/>
      <c r="P32" s="3834"/>
      <c r="Q32" s="5086">
        <f t="shared" si="0"/>
        <v>0</v>
      </c>
      <c r="R32" s="5086">
        <f t="shared" si="1"/>
        <v>187.88755144977165</v>
      </c>
      <c r="S32" s="5086">
        <f t="shared" si="2"/>
        <v>-123.61669833333332</v>
      </c>
      <c r="T32" s="5086">
        <f t="shared" si="3"/>
        <v>-108.794455</v>
      </c>
      <c r="U32" s="3834"/>
      <c r="V32" s="3834"/>
    </row>
    <row r="33" spans="2:22" s="3829" customFormat="1">
      <c r="B33" s="4885">
        <f t="shared" si="4"/>
        <v>24</v>
      </c>
      <c r="C33" s="4499" t="s">
        <v>3744</v>
      </c>
      <c r="D33" s="4482">
        <v>0</v>
      </c>
      <c r="E33" s="4482">
        <v>0</v>
      </c>
      <c r="F33" s="4482">
        <v>0</v>
      </c>
      <c r="G33" s="4482">
        <v>0</v>
      </c>
      <c r="H33" s="4482">
        <v>0</v>
      </c>
      <c r="I33" s="4482">
        <v>0</v>
      </c>
      <c r="J33" s="4482">
        <v>0</v>
      </c>
      <c r="K33" s="4482">
        <v>0</v>
      </c>
      <c r="L33" s="4482">
        <v>0</v>
      </c>
      <c r="M33" s="4482">
        <v>0</v>
      </c>
      <c r="N33" s="3730">
        <f>F16.1!E25</f>
        <v>125.200978654278</v>
      </c>
      <c r="O33" s="3835"/>
      <c r="P33" s="3834"/>
      <c r="Q33" s="5086">
        <f t="shared" si="0"/>
        <v>0</v>
      </c>
      <c r="R33" s="5086">
        <f t="shared" si="1"/>
        <v>0</v>
      </c>
      <c r="S33" s="5086">
        <f t="shared" si="2"/>
        <v>0</v>
      </c>
      <c r="T33" s="5086">
        <f t="shared" si="3"/>
        <v>125.200978654278</v>
      </c>
      <c r="U33" s="3834"/>
      <c r="V33" s="3834"/>
    </row>
    <row r="34" spans="2:22" s="3829" customFormat="1">
      <c r="B34" s="4885">
        <f t="shared" si="4"/>
        <v>25</v>
      </c>
      <c r="C34" s="4499" t="s">
        <v>3198</v>
      </c>
      <c r="D34" s="4482">
        <v>0</v>
      </c>
      <c r="E34" s="4482">
        <v>0</v>
      </c>
      <c r="F34" s="4482">
        <v>0</v>
      </c>
      <c r="G34" s="4482">
        <v>0</v>
      </c>
      <c r="H34" s="4482">
        <v>0</v>
      </c>
      <c r="I34" s="4482">
        <v>0</v>
      </c>
      <c r="J34" s="4482">
        <v>0</v>
      </c>
      <c r="K34" s="4482">
        <v>0</v>
      </c>
      <c r="L34" s="4482">
        <v>0</v>
      </c>
      <c r="M34" s="4482">
        <v>0</v>
      </c>
      <c r="N34" s="3730">
        <f>F16.1!$E$49</f>
        <v>12.942427926978066</v>
      </c>
      <c r="O34" s="3835"/>
      <c r="P34" s="3834"/>
      <c r="Q34" s="5086">
        <f t="shared" si="0"/>
        <v>0</v>
      </c>
      <c r="R34" s="5086">
        <f t="shared" si="1"/>
        <v>0</v>
      </c>
      <c r="S34" s="5086">
        <f t="shared" si="2"/>
        <v>0</v>
      </c>
      <c r="T34" s="5086">
        <f t="shared" si="3"/>
        <v>12.942427926978066</v>
      </c>
      <c r="U34" s="3834"/>
      <c r="V34" s="3834"/>
    </row>
    <row r="35" spans="2:22" s="3829" customFormat="1">
      <c r="B35" s="4885">
        <f>B34+1</f>
        <v>26</v>
      </c>
      <c r="C35" s="4496" t="s">
        <v>2267</v>
      </c>
      <c r="D35" s="4497"/>
      <c r="E35" s="3729">
        <f t="shared" ref="E35:G35" si="17">SUM(E30:E34)</f>
        <v>3882.5716809176661</v>
      </c>
      <c r="F35" s="3729">
        <f t="shared" si="17"/>
        <v>4126.415188777918</v>
      </c>
      <c r="G35" s="3729">
        <f t="shared" si="17"/>
        <v>3927.0522803999775</v>
      </c>
      <c r="H35" s="3729">
        <f>SUM(H30:H34)</f>
        <v>5624.7362517313331</v>
      </c>
      <c r="I35" s="3729">
        <f>SUM(I30:I34)</f>
        <v>5860.3762258002362</v>
      </c>
      <c r="J35" s="3729">
        <f>SUM(J30:J34)</f>
        <v>5565.491684094729</v>
      </c>
      <c r="K35" s="3729">
        <f>SUM(K30:K34)-0.01</f>
        <v>5719.4135678652674</v>
      </c>
      <c r="L35" s="3729">
        <f>SUM(L30:L34)</f>
        <v>5267.6148375294761</v>
      </c>
      <c r="M35" s="3729">
        <f>SUM(M30:M34)+0.02</f>
        <v>5616.2925661630343</v>
      </c>
      <c r="N35" s="3729">
        <f>SUM(N30:N34)</f>
        <v>5180.6895020761604</v>
      </c>
      <c r="O35" s="3835"/>
      <c r="P35" s="3834"/>
      <c r="Q35" s="5086">
        <f t="shared" si="0"/>
        <v>44.480599482311391</v>
      </c>
      <c r="R35" s="5086">
        <f t="shared" si="1"/>
        <v>-59.244567636604188</v>
      </c>
      <c r="S35" s="5086">
        <f t="shared" si="2"/>
        <v>-451.79873033579133</v>
      </c>
      <c r="T35" s="5086">
        <f t="shared" si="3"/>
        <v>-435.60306408687393</v>
      </c>
      <c r="U35" s="3834"/>
      <c r="V35" s="3834"/>
    </row>
    <row r="36" spans="2:22" s="3829" customFormat="1">
      <c r="B36" s="4885">
        <f t="shared" si="4"/>
        <v>27</v>
      </c>
      <c r="C36" s="4481" t="s">
        <v>3580</v>
      </c>
      <c r="D36" s="4497"/>
      <c r="E36" s="3729">
        <v>3610.73</v>
      </c>
      <c r="F36" s="3729">
        <f>'F14'!J61/10^7</f>
        <v>3610.7259052718596</v>
      </c>
      <c r="G36" s="3729">
        <f>F36</f>
        <v>3610.7259052718596</v>
      </c>
      <c r="H36" s="3729">
        <f>('Tariff as per MYT Order'!C8+'Tariff as per MYT Order'!C17)*0+4745.4</f>
        <v>4745.3999999999996</v>
      </c>
      <c r="I36" s="4500">
        <f>'F14'!K105/10^7</f>
        <v>3876.4969516137107</v>
      </c>
      <c r="J36" s="4500">
        <f>I36</f>
        <v>3876.4969516137107</v>
      </c>
      <c r="K36" s="4500">
        <f>('Tariff as per MYT Order'!D8+'Tariff as per MYT Order'!D17)*0+5702.55</f>
        <v>5702.55</v>
      </c>
      <c r="L36" s="4500">
        <f>'F14'!K149/10^7</f>
        <v>4531.7342422043203</v>
      </c>
      <c r="M36" s="4500">
        <f>('Tariff as per MYT Order'!E8+'Tariff as per MYT Order'!E17)*0+6849.76</f>
        <v>6849.76</v>
      </c>
      <c r="N36" s="4500">
        <f>F14.1!U41</f>
        <v>5031.0924191304739</v>
      </c>
      <c r="O36" s="3835"/>
      <c r="P36" s="3834"/>
      <c r="Q36" s="5086">
        <f t="shared" si="0"/>
        <v>-4.0947281404442037E-3</v>
      </c>
      <c r="R36" s="5086">
        <f t="shared" si="1"/>
        <v>-868.9030483862889</v>
      </c>
      <c r="S36" s="5086">
        <f t="shared" si="2"/>
        <v>-1170.8157577956799</v>
      </c>
      <c r="T36" s="5086">
        <f t="shared" si="3"/>
        <v>-1818.6675808695263</v>
      </c>
      <c r="U36" s="3834"/>
      <c r="V36" s="3834"/>
    </row>
    <row r="37" spans="2:22" s="3829" customFormat="1">
      <c r="B37" s="4885">
        <f t="shared" si="4"/>
        <v>28</v>
      </c>
      <c r="C37" s="4481" t="s">
        <v>3581</v>
      </c>
      <c r="D37" s="4497"/>
      <c r="E37" s="4483">
        <v>0</v>
      </c>
      <c r="F37" s="3730">
        <v>6.93</v>
      </c>
      <c r="G37" s="3730">
        <f t="shared" ref="G37:G38" si="18">F37</f>
        <v>6.93</v>
      </c>
      <c r="H37" s="4483">
        <v>0</v>
      </c>
      <c r="I37" s="4483">
        <v>5.89</v>
      </c>
      <c r="J37" s="4483">
        <f>I37</f>
        <v>5.89</v>
      </c>
      <c r="K37" s="4483">
        <v>0</v>
      </c>
      <c r="L37" s="4483">
        <v>6.9</v>
      </c>
      <c r="M37" s="4483">
        <v>0</v>
      </c>
      <c r="N37" s="4483">
        <v>0</v>
      </c>
      <c r="O37" s="3835"/>
      <c r="P37" s="3834"/>
      <c r="Q37" s="5086">
        <f t="shared" si="0"/>
        <v>6.93</v>
      </c>
      <c r="R37" s="5086">
        <f t="shared" si="1"/>
        <v>5.89</v>
      </c>
      <c r="S37" s="5086">
        <f t="shared" si="2"/>
        <v>6.9</v>
      </c>
      <c r="T37" s="5086">
        <f t="shared" si="3"/>
        <v>0</v>
      </c>
      <c r="U37" s="3834"/>
      <c r="V37" s="3834"/>
    </row>
    <row r="38" spans="2:22" s="3829" customFormat="1">
      <c r="B38" s="4885">
        <f t="shared" si="4"/>
        <v>29</v>
      </c>
      <c r="C38" s="4481" t="s">
        <v>3740</v>
      </c>
      <c r="D38" s="4497"/>
      <c r="E38" s="4483">
        <v>0</v>
      </c>
      <c r="F38" s="3730">
        <v>5.05</v>
      </c>
      <c r="G38" s="3730">
        <f t="shared" si="18"/>
        <v>5.05</v>
      </c>
      <c r="H38" s="4483">
        <v>0</v>
      </c>
      <c r="I38" s="4483">
        <v>0.91</v>
      </c>
      <c r="J38" s="4483">
        <f>I38</f>
        <v>0.91</v>
      </c>
      <c r="K38" s="4483">
        <v>0</v>
      </c>
      <c r="L38" s="4483">
        <v>0.76</v>
      </c>
      <c r="M38" s="4483">
        <v>0</v>
      </c>
      <c r="N38" s="4483">
        <v>0</v>
      </c>
      <c r="O38" s="3835"/>
      <c r="P38" s="3834"/>
      <c r="Q38" s="5086">
        <f t="shared" si="0"/>
        <v>5.05</v>
      </c>
      <c r="R38" s="5086">
        <f t="shared" si="1"/>
        <v>0.91</v>
      </c>
      <c r="S38" s="5086">
        <f t="shared" si="2"/>
        <v>0.76</v>
      </c>
      <c r="T38" s="5086">
        <f t="shared" si="3"/>
        <v>0</v>
      </c>
      <c r="U38" s="3834"/>
      <c r="V38" s="3834"/>
    </row>
    <row r="39" spans="2:22" s="3829" customFormat="1">
      <c r="B39" s="4885">
        <f t="shared" si="4"/>
        <v>30</v>
      </c>
      <c r="C39" s="3846" t="s">
        <v>3306</v>
      </c>
      <c r="D39" s="4501"/>
      <c r="E39" s="4502">
        <f>E36-E35</f>
        <v>-271.84168091766605</v>
      </c>
      <c r="F39" s="4502">
        <f>(F36+F37)-F35-F38</f>
        <v>-513.80928350605859</v>
      </c>
      <c r="G39" s="4502">
        <f>(G36+G37)-G35-G38</f>
        <v>-314.44637512811806</v>
      </c>
      <c r="H39" s="4502">
        <f>H36-H35-H37+H38</f>
        <v>-879.3362517313335</v>
      </c>
      <c r="I39" s="4502">
        <f>(I36+I37)-I35-I38</f>
        <v>-1978.8992741865256</v>
      </c>
      <c r="J39" s="4502">
        <f>(J36+J37)-J35-J38</f>
        <v>-1684.0147324810184</v>
      </c>
      <c r="K39" s="4502">
        <f>K36-K35</f>
        <v>-16.863567865267214</v>
      </c>
      <c r="L39" s="4502">
        <f>(L36+L37)-L35-L38</f>
        <v>-729.74059532515616</v>
      </c>
      <c r="M39" s="4502">
        <f>M36-M35</f>
        <v>1233.4674338369659</v>
      </c>
      <c r="N39" s="4502">
        <f>N36-N35</f>
        <v>-149.59708294568645</v>
      </c>
      <c r="Q39" s="5086">
        <f t="shared" si="0"/>
        <v>-42.60469421045201</v>
      </c>
      <c r="R39" s="5086">
        <f t="shared" si="1"/>
        <v>-804.67848074968492</v>
      </c>
      <c r="S39" s="5086">
        <f t="shared" si="2"/>
        <v>-712.87702745988895</v>
      </c>
      <c r="T39" s="5086">
        <f t="shared" si="3"/>
        <v>-1383.0645167826524</v>
      </c>
    </row>
    <row r="40" spans="2:22" s="3829" customFormat="1">
      <c r="E40" s="3726"/>
      <c r="F40" s="3726"/>
      <c r="G40" s="3726"/>
      <c r="H40" s="3726"/>
      <c r="I40" s="3726"/>
      <c r="J40" s="3726"/>
      <c r="Q40" s="5082"/>
      <c r="R40" s="5082"/>
      <c r="S40" s="5082"/>
      <c r="T40" s="5082"/>
    </row>
    <row r="41" spans="2:22" s="3829" customFormat="1">
      <c r="E41" s="3726"/>
      <c r="F41" s="3737"/>
      <c r="G41" s="3737"/>
      <c r="H41" s="3737"/>
      <c r="I41" s="3737"/>
      <c r="J41" s="3737"/>
      <c r="K41" s="3737"/>
      <c r="L41" s="3737"/>
      <c r="M41" s="3737"/>
      <c r="N41" s="3737"/>
      <c r="O41" s="3835"/>
      <c r="Q41" s="5082"/>
      <c r="R41" s="5082"/>
      <c r="S41" s="5082"/>
      <c r="T41" s="5082"/>
    </row>
    <row r="42" spans="2:22" s="3829" customFormat="1">
      <c r="E42" s="3726"/>
      <c r="F42" s="3737"/>
      <c r="G42" s="3737"/>
      <c r="H42" s="3737"/>
      <c r="I42" s="3737"/>
      <c r="J42" s="3737"/>
      <c r="K42" s="3737"/>
      <c r="L42" s="3737"/>
      <c r="M42" s="3737"/>
      <c r="N42" s="3737"/>
      <c r="O42" s="3835"/>
      <c r="Q42" s="5082"/>
      <c r="R42" s="5082"/>
      <c r="S42" s="5082"/>
      <c r="T42" s="5082"/>
    </row>
    <row r="43" spans="2:22" s="3829" customFormat="1">
      <c r="C43" s="5057" t="s">
        <v>3286</v>
      </c>
      <c r="D43" s="5057"/>
      <c r="E43" s="5058"/>
      <c r="F43" s="5058"/>
      <c r="G43" s="5058">
        <f>G36</f>
        <v>3610.7259052718596</v>
      </c>
      <c r="H43" s="5058">
        <f>H36</f>
        <v>4745.3999999999996</v>
      </c>
      <c r="I43" s="5058"/>
      <c r="J43" s="5058">
        <f>J36</f>
        <v>3876.4969516137107</v>
      </c>
      <c r="K43" s="5058">
        <f>K36</f>
        <v>5702.55</v>
      </c>
      <c r="L43" s="5058">
        <f>L36</f>
        <v>4531.7342422043203</v>
      </c>
      <c r="M43" s="5058">
        <f>M36</f>
        <v>6849.76</v>
      </c>
      <c r="N43" s="5058">
        <f>N36</f>
        <v>5031.0924191304739</v>
      </c>
      <c r="O43" s="3835">
        <f>H43+K43+M43</f>
        <v>17297.71</v>
      </c>
      <c r="P43" s="3835">
        <f>J43+L43+N43</f>
        <v>13439.323612948505</v>
      </c>
      <c r="Q43" s="5084">
        <f>O43-P43</f>
        <v>3858.3863870514942</v>
      </c>
      <c r="R43" s="5082"/>
      <c r="S43" s="5082"/>
      <c r="T43" s="5082"/>
    </row>
    <row r="44" spans="2:22" s="3829" customFormat="1">
      <c r="C44" s="5057" t="s">
        <v>2966</v>
      </c>
      <c r="D44" s="5057"/>
      <c r="E44" s="5058"/>
      <c r="F44" s="5058"/>
      <c r="G44" s="5059">
        <f>'F1'!D40</f>
        <v>4392.9500000000016</v>
      </c>
      <c r="H44" s="5060">
        <v>4758.37</v>
      </c>
      <c r="I44" s="5058"/>
      <c r="J44" s="5058">
        <f>'F1'!E40</f>
        <v>4351.5211695899998</v>
      </c>
      <c r="K44" s="5058">
        <v>5216.16</v>
      </c>
      <c r="L44" s="5058">
        <f>'F1'!G40</f>
        <v>4418.8313277799989</v>
      </c>
      <c r="M44" s="5058">
        <v>5734.66</v>
      </c>
      <c r="N44" s="5058">
        <f>'F1'!I40</f>
        <v>4593.6293562891042</v>
      </c>
      <c r="Q44" s="5082"/>
      <c r="R44" s="5082"/>
      <c r="S44" s="5082"/>
      <c r="T44" s="5082"/>
    </row>
    <row r="45" spans="2:22" s="3829" customFormat="1">
      <c r="C45" s="5057" t="s">
        <v>3707</v>
      </c>
      <c r="D45" s="5057"/>
      <c r="E45" s="5060"/>
      <c r="F45" s="5060"/>
      <c r="G45" s="5059">
        <f>G43/G44*10</f>
        <v>8.2193649034745633</v>
      </c>
      <c r="H45" s="5059">
        <f>H43/H44*10</f>
        <v>9.9727427669559106</v>
      </c>
      <c r="I45" s="5058"/>
      <c r="J45" s="5059">
        <f>J43/J44*10</f>
        <v>8.908372039423984</v>
      </c>
      <c r="K45" s="5059">
        <f>K43/K44*10</f>
        <v>10.932467562344714</v>
      </c>
      <c r="L45" s="5059">
        <f>L43/L44*10</f>
        <v>10.255504014635118</v>
      </c>
      <c r="M45" s="5059">
        <f>M43/M44*10</f>
        <v>11.944491914080347</v>
      </c>
      <c r="N45" s="5059">
        <f>N43/N44*10</f>
        <v>10.952325555483579</v>
      </c>
      <c r="Q45" s="5082"/>
      <c r="R45" s="5082"/>
      <c r="S45" s="5082"/>
      <c r="T45" s="5082"/>
    </row>
    <row r="46" spans="2:22" ht="15.75" customHeight="1">
      <c r="C46" s="5395"/>
      <c r="D46" s="5061"/>
      <c r="E46" s="5062"/>
      <c r="F46" s="5062"/>
      <c r="G46" s="5062"/>
      <c r="H46" s="5062"/>
      <c r="I46" s="5062"/>
      <c r="J46" s="5063"/>
      <c r="K46" s="5064"/>
      <c r="L46" s="5063"/>
      <c r="M46" s="5064"/>
      <c r="N46" s="5063"/>
    </row>
    <row r="47" spans="2:22">
      <c r="C47" s="5395"/>
      <c r="D47" s="5061"/>
      <c r="E47" s="5065"/>
      <c r="F47" s="5065"/>
      <c r="G47" s="5065"/>
      <c r="H47" s="5065"/>
      <c r="I47" s="5065"/>
      <c r="J47" s="5065"/>
      <c r="K47" s="5066"/>
      <c r="L47" s="5066"/>
      <c r="M47" s="5066"/>
      <c r="N47" s="5066"/>
    </row>
    <row r="48" spans="2:22">
      <c r="C48" s="4826" t="s">
        <v>3709</v>
      </c>
      <c r="D48" s="4827"/>
      <c r="E48" s="5067"/>
      <c r="F48" s="5067"/>
      <c r="G48" s="5067"/>
      <c r="H48" s="5068">
        <f>H10</f>
        <v>2987.39</v>
      </c>
      <c r="I48" s="5067"/>
      <c r="J48" s="5068">
        <f>J10</f>
        <v>2627.3633440730828</v>
      </c>
      <c r="K48" s="5068">
        <f t="shared" ref="K48:N48" si="19">K10</f>
        <v>3209.67</v>
      </c>
      <c r="L48" s="5068">
        <f t="shared" si="19"/>
        <v>2805.6674912671647</v>
      </c>
      <c r="M48" s="5068">
        <f t="shared" si="19"/>
        <v>3452.7700000000004</v>
      </c>
      <c r="N48" s="5068">
        <f t="shared" si="19"/>
        <v>2923.1792345576341</v>
      </c>
    </row>
    <row r="49" spans="3:14">
      <c r="C49" s="4828" t="s">
        <v>3708</v>
      </c>
      <c r="D49" s="4828"/>
      <c r="E49" s="4829"/>
      <c r="F49" s="4829"/>
      <c r="G49" s="4829"/>
      <c r="H49" s="4829">
        <f>'F2'!L30</f>
        <v>5340.8499999999995</v>
      </c>
      <c r="I49" s="4829"/>
      <c r="J49" s="4829">
        <f>'F2'!O30</f>
        <v>4822.0386625151432</v>
      </c>
      <c r="K49" s="4829">
        <f>'F2'!R30</f>
        <v>5838.9699999999993</v>
      </c>
      <c r="L49" s="4829">
        <f>'F2'!U30</f>
        <v>4919.67616348104</v>
      </c>
      <c r="M49" s="4829">
        <f>'F2'!X30</f>
        <v>6402.22</v>
      </c>
      <c r="N49" s="4829">
        <f>'F2'!AA30</f>
        <v>5121.7045677989245</v>
      </c>
    </row>
    <row r="50" spans="3:14">
      <c r="C50" s="4828" t="s">
        <v>3745</v>
      </c>
      <c r="D50" s="4828"/>
      <c r="E50" s="4830"/>
      <c r="F50" s="4830"/>
      <c r="G50" s="4830"/>
      <c r="H50" s="5069">
        <f>H48/H49*10</f>
        <v>5.5934729490624155</v>
      </c>
      <c r="I50" s="4830"/>
      <c r="J50" s="5069">
        <f>J48/J49*10</f>
        <v>5.448656736200177</v>
      </c>
      <c r="K50" s="5069">
        <f t="shared" ref="K50:N50" si="20">K48/K49*10</f>
        <v>5.4969797755426058</v>
      </c>
      <c r="L50" s="5069">
        <f t="shared" si="20"/>
        <v>5.7029515724911946</v>
      </c>
      <c r="M50" s="5069">
        <f t="shared" si="20"/>
        <v>5.3930823995426591</v>
      </c>
      <c r="N50" s="5069">
        <f t="shared" si="20"/>
        <v>5.7074343040717075</v>
      </c>
    </row>
    <row r="51" spans="3:14">
      <c r="C51" s="3527"/>
      <c r="D51" s="3527"/>
      <c r="E51" s="3849"/>
      <c r="F51" s="3849"/>
      <c r="G51" s="3849"/>
      <c r="H51" s="3849"/>
      <c r="I51" s="3849"/>
      <c r="J51" s="3849"/>
      <c r="K51" s="3849"/>
      <c r="L51" s="3849"/>
      <c r="M51" s="3849"/>
      <c r="N51" s="3849"/>
    </row>
    <row r="52" spans="3:14">
      <c r="C52" s="3527"/>
      <c r="D52" s="3527"/>
      <c r="E52" s="3848"/>
      <c r="F52" s="3848"/>
      <c r="G52" s="3848"/>
      <c r="H52" s="3848"/>
      <c r="I52" s="3848"/>
      <c r="J52" s="3848"/>
      <c r="K52" s="3848"/>
      <c r="L52" s="3848"/>
      <c r="M52" s="3848"/>
      <c r="N52" s="3848"/>
    </row>
    <row r="53" spans="3:14">
      <c r="C53" s="3527"/>
      <c r="D53" s="3527"/>
      <c r="E53" s="3830"/>
      <c r="F53" s="3830"/>
      <c r="G53" s="3830"/>
      <c r="H53" s="3830"/>
      <c r="I53" s="3830"/>
      <c r="J53" s="3830"/>
      <c r="K53" s="3527"/>
      <c r="L53" s="3527"/>
      <c r="M53" s="3527"/>
      <c r="N53" s="3527"/>
    </row>
    <row r="54" spans="3:14">
      <c r="C54" s="3850"/>
      <c r="D54" s="3850"/>
      <c r="E54" s="3830"/>
      <c r="F54" s="3830"/>
      <c r="G54" s="3830"/>
      <c r="H54" s="3830"/>
      <c r="I54" s="3830"/>
      <c r="J54" s="3830"/>
      <c r="K54" s="3527"/>
      <c r="L54" s="3527"/>
      <c r="M54" s="3527"/>
      <c r="N54" s="3527"/>
    </row>
    <row r="55" spans="3:14">
      <c r="C55" s="3527"/>
      <c r="D55" s="3527" t="s">
        <v>3398</v>
      </c>
      <c r="E55" s="3848"/>
      <c r="F55" s="4461"/>
      <c r="G55" s="3848"/>
      <c r="H55" s="3848"/>
      <c r="I55" s="3848"/>
      <c r="J55" s="3848"/>
      <c r="K55" s="3848"/>
      <c r="L55" s="3848"/>
      <c r="M55" s="3848"/>
      <c r="N55" s="3848"/>
    </row>
    <row r="56" spans="3:14">
      <c r="C56" s="3527"/>
      <c r="D56" s="3527">
        <v>688.67</v>
      </c>
      <c r="E56" s="3848"/>
      <c r="F56" s="3848"/>
      <c r="G56" s="3848"/>
      <c r="H56" s="3848"/>
      <c r="I56" s="3848"/>
      <c r="J56" s="3848"/>
      <c r="K56" s="3848"/>
      <c r="L56" s="3848"/>
      <c r="M56" s="3848"/>
      <c r="N56" s="3848"/>
    </row>
    <row r="57" spans="3:14">
      <c r="C57" s="3527"/>
      <c r="D57" s="4460">
        <f>N11</f>
        <v>559.65</v>
      </c>
      <c r="E57" s="3849"/>
      <c r="F57" s="3849"/>
      <c r="G57" s="3849"/>
      <c r="H57" s="3849"/>
      <c r="I57" s="3849"/>
      <c r="J57" s="3849"/>
      <c r="K57" s="3849"/>
      <c r="L57" s="3849"/>
      <c r="M57" s="3849"/>
      <c r="N57" s="3849"/>
    </row>
    <row r="58" spans="3:14">
      <c r="C58" s="3527"/>
      <c r="D58" s="4460">
        <f>'F2'!AB22</f>
        <v>372.12</v>
      </c>
      <c r="E58" s="3848"/>
      <c r="F58" s="3848"/>
      <c r="G58" s="3848"/>
      <c r="H58" s="3848"/>
      <c r="I58" s="3848"/>
      <c r="J58" s="3848"/>
      <c r="K58" s="3848"/>
      <c r="L58" s="3848"/>
      <c r="M58" s="3848"/>
      <c r="N58" s="3848"/>
    </row>
    <row r="59" spans="3:14">
      <c r="C59" s="3527"/>
      <c r="D59" s="4460">
        <f>'F2'!AB23</f>
        <v>1.6256999999999999</v>
      </c>
      <c r="E59" s="3830"/>
      <c r="F59" s="3830"/>
      <c r="G59" s="3830"/>
      <c r="H59" s="3830"/>
      <c r="I59" s="3830"/>
      <c r="J59" s="3830"/>
      <c r="K59" s="3527"/>
      <c r="L59" s="3527"/>
      <c r="M59" s="3527"/>
      <c r="N59" s="3527"/>
    </row>
    <row r="60" spans="3:14">
      <c r="C60" s="3850"/>
      <c r="D60" s="4460">
        <f>'F2'!AB24</f>
        <v>109.3304352</v>
      </c>
      <c r="E60" s="3830"/>
      <c r="F60" s="3830"/>
      <c r="G60" s="3830"/>
      <c r="H60" s="3830"/>
      <c r="I60" s="3830"/>
      <c r="J60" s="3830"/>
      <c r="K60" s="3527"/>
      <c r="L60" s="3527"/>
      <c r="M60" s="3527"/>
      <c r="N60" s="3527"/>
    </row>
    <row r="61" spans="3:14">
      <c r="C61" s="3527"/>
      <c r="D61" s="4460">
        <f>N12</f>
        <v>104.73063952004611</v>
      </c>
      <c r="E61" s="3848"/>
      <c r="F61" s="3848"/>
      <c r="G61" s="3848"/>
      <c r="H61" s="3848"/>
      <c r="I61" s="3848"/>
      <c r="J61" s="3848"/>
      <c r="K61" s="3848"/>
      <c r="L61" s="3848"/>
      <c r="M61" s="3848"/>
      <c r="N61" s="3848"/>
    </row>
    <row r="62" spans="3:14">
      <c r="C62" s="3527"/>
      <c r="D62" s="3527"/>
      <c r="E62" s="3849"/>
      <c r="F62" s="3849"/>
      <c r="G62" s="3849"/>
      <c r="H62" s="3849"/>
      <c r="I62" s="3849"/>
      <c r="J62" s="3849"/>
      <c r="K62" s="3849"/>
      <c r="L62" s="3849"/>
      <c r="M62" s="3849"/>
      <c r="N62" s="3849"/>
    </row>
    <row r="63" spans="3:14">
      <c r="C63" s="3527"/>
      <c r="D63" s="3527"/>
      <c r="E63" s="3849"/>
      <c r="F63" s="3849"/>
      <c r="G63" s="3849"/>
      <c r="H63" s="3849"/>
      <c r="I63" s="3849"/>
      <c r="J63" s="3849"/>
      <c r="K63" s="3849"/>
      <c r="L63" s="3849"/>
      <c r="M63" s="3849"/>
      <c r="N63" s="3849"/>
    </row>
    <row r="64" spans="3:14">
      <c r="C64" s="3527"/>
      <c r="D64" s="3527"/>
      <c r="E64" s="3848"/>
      <c r="F64" s="3848"/>
      <c r="G64" s="3848"/>
      <c r="H64" s="3848"/>
      <c r="I64" s="3848"/>
      <c r="J64" s="3848"/>
      <c r="K64" s="3848"/>
      <c r="L64" s="3848"/>
      <c r="M64" s="3848"/>
      <c r="N64" s="3848"/>
    </row>
  </sheetData>
  <mergeCells count="12">
    <mergeCell ref="C46:C47"/>
    <mergeCell ref="B3:H3"/>
    <mergeCell ref="B4:H4"/>
    <mergeCell ref="B5:H5"/>
    <mergeCell ref="B7:B9"/>
    <mergeCell ref="C7:C9"/>
    <mergeCell ref="K7:N7"/>
    <mergeCell ref="D7:D8"/>
    <mergeCell ref="E7:G8"/>
    <mergeCell ref="H7:J8"/>
    <mergeCell ref="K8:L8"/>
    <mergeCell ref="M8:N8"/>
  </mergeCells>
  <printOptions horizontalCentered="1"/>
  <pageMargins left="0.19" right="0.15" top="0.89" bottom="0.25" header="0.25" footer="0.25"/>
  <pageSetup paperSize="9" scale="83" orientation="landscape" r:id="rId1"/>
  <headerFooter alignWithMargins="0"/>
  <ignoredErrors>
    <ignoredError sqref="J11" formula="1"/>
  </ignoredErrors>
  <legacyDrawing r:id="rId2"/>
</worksheet>
</file>

<file path=xl/worksheets/sheet30.xml><?xml version="1.0" encoding="utf-8"?>
<worksheet xmlns="http://schemas.openxmlformats.org/spreadsheetml/2006/main" xmlns:r="http://schemas.openxmlformats.org/officeDocument/2006/relationships">
  <sheetPr>
    <tabColor rgb="FF00B050"/>
  </sheetPr>
  <dimension ref="A2:AE149"/>
  <sheetViews>
    <sheetView topLeftCell="A31" zoomScale="60" zoomScaleNormal="60" zoomScaleSheetLayoutView="80" workbookViewId="0">
      <selection activeCell="K60" sqref="K60"/>
    </sheetView>
  </sheetViews>
  <sheetFormatPr defaultRowHeight="15"/>
  <cols>
    <col min="1" max="1" width="9.140625" style="4010"/>
    <col min="2" max="2" width="8.42578125" style="4010" customWidth="1"/>
    <col min="3" max="3" width="36.28515625" style="4010" bestFit="1" customWidth="1"/>
    <col min="4" max="4" width="16.140625" style="4010" customWidth="1"/>
    <col min="5" max="5" width="23.28515625" style="4010" customWidth="1"/>
    <col min="6" max="6" width="22.85546875" style="4010" customWidth="1"/>
    <col min="7" max="7" width="16.42578125" style="4010" customWidth="1"/>
    <col min="8" max="8" width="18.85546875" style="4010" customWidth="1"/>
    <col min="9" max="9" width="19.140625" style="4010" customWidth="1"/>
    <col min="10" max="10" width="23.140625" style="4010" customWidth="1"/>
    <col min="11" max="11" width="20.85546875" style="4010" customWidth="1"/>
    <col min="12" max="12" width="19.5703125" style="4010" customWidth="1"/>
    <col min="13" max="14" width="15.42578125" style="4010" customWidth="1"/>
    <col min="15" max="16384" width="9.140625" style="4010"/>
  </cols>
  <sheetData>
    <row r="2" spans="1:31">
      <c r="A2" s="4032"/>
      <c r="B2" s="4033" t="s">
        <v>3112</v>
      </c>
      <c r="C2" s="4032"/>
      <c r="D2" s="4032"/>
      <c r="E2" s="4032"/>
      <c r="F2" s="4032"/>
      <c r="G2" s="4032"/>
      <c r="H2" s="4032"/>
      <c r="I2" s="4032"/>
      <c r="J2" s="4032"/>
      <c r="K2" s="4032"/>
      <c r="L2" s="4032"/>
      <c r="M2" s="4032"/>
      <c r="N2" s="4032"/>
      <c r="O2" s="4032"/>
      <c r="P2" s="4032"/>
      <c r="Q2" s="4032"/>
      <c r="R2" s="4032"/>
      <c r="S2" s="4032"/>
      <c r="T2" s="4032"/>
      <c r="U2" s="4032"/>
      <c r="V2" s="4032"/>
      <c r="W2" s="4032"/>
      <c r="X2" s="4032"/>
      <c r="Y2" s="4032"/>
      <c r="Z2" s="4032"/>
      <c r="AA2" s="4032"/>
      <c r="AB2" s="4032"/>
      <c r="AC2" s="4032"/>
      <c r="AD2" s="4032"/>
      <c r="AE2" s="4032"/>
    </row>
    <row r="3" spans="1:31">
      <c r="B3" s="4012"/>
    </row>
    <row r="4" spans="1:31">
      <c r="B4" s="4012" t="s">
        <v>3130</v>
      </c>
      <c r="F4" s="4035"/>
    </row>
    <row r="5" spans="1:31" ht="78.75" customHeight="1">
      <c r="B5" s="3920" t="s">
        <v>84</v>
      </c>
      <c r="C5" s="3920" t="s">
        <v>81</v>
      </c>
      <c r="D5" s="3581" t="s">
        <v>2898</v>
      </c>
      <c r="E5" s="3581" t="s">
        <v>3603</v>
      </c>
      <c r="F5" s="3581" t="s">
        <v>3604</v>
      </c>
      <c r="G5" s="3581" t="s">
        <v>3117</v>
      </c>
      <c r="H5" s="3581" t="s">
        <v>3133</v>
      </c>
      <c r="I5" s="3581" t="s">
        <v>3134</v>
      </c>
    </row>
    <row r="6" spans="1:31">
      <c r="B6" s="4013">
        <v>1</v>
      </c>
      <c r="C6" s="4013" t="s">
        <v>3122</v>
      </c>
      <c r="D6" s="4013" t="s">
        <v>151</v>
      </c>
      <c r="E6" s="4351">
        <v>0</v>
      </c>
      <c r="F6" s="4351">
        <v>0</v>
      </c>
      <c r="G6" s="4352">
        <v>0.62649999999999995</v>
      </c>
      <c r="H6" s="4353">
        <f>E6*$G6*0</f>
        <v>0</v>
      </c>
      <c r="I6" s="4353">
        <f>F6*$G6*0</f>
        <v>0</v>
      </c>
    </row>
    <row r="7" spans="1:31">
      <c r="B7" s="4013">
        <f>B6+1</f>
        <v>2</v>
      </c>
      <c r="C7" s="4013" t="s">
        <v>3123</v>
      </c>
      <c r="D7" s="4013" t="s">
        <v>151</v>
      </c>
      <c r="E7" s="4036">
        <v>393.4</v>
      </c>
      <c r="F7" s="4036">
        <v>422.92</v>
      </c>
      <c r="G7" s="4034">
        <v>0.51170000000000004</v>
      </c>
      <c r="H7" s="4015">
        <f t="shared" ref="H7:I13" si="0">E7*$G7</f>
        <v>201.30278000000001</v>
      </c>
      <c r="I7" s="4015">
        <f t="shared" si="0"/>
        <v>216.40816400000003</v>
      </c>
      <c r="J7" s="4350"/>
    </row>
    <row r="8" spans="1:31">
      <c r="B8" s="4013">
        <f t="shared" ref="B8:B14" si="1">B7+1</f>
        <v>3</v>
      </c>
      <c r="C8" s="4013" t="s">
        <v>3124</v>
      </c>
      <c r="D8" s="4013" t="s">
        <v>151</v>
      </c>
      <c r="E8" s="4036">
        <v>148.82</v>
      </c>
      <c r="F8" s="4036">
        <v>135.96</v>
      </c>
      <c r="G8" s="4034">
        <v>0.51170000000000004</v>
      </c>
      <c r="H8" s="4015">
        <f t="shared" si="0"/>
        <v>76.151194000000004</v>
      </c>
      <c r="I8" s="4015">
        <f t="shared" si="0"/>
        <v>69.570732000000007</v>
      </c>
      <c r="J8" s="4350"/>
    </row>
    <row r="9" spans="1:31">
      <c r="B9" s="4013">
        <f t="shared" si="1"/>
        <v>4</v>
      </c>
      <c r="C9" s="4013" t="s">
        <v>3125</v>
      </c>
      <c r="D9" s="4013" t="s">
        <v>151</v>
      </c>
      <c r="E9" s="4036">
        <v>205.01</v>
      </c>
      <c r="F9" s="4036">
        <v>209.01</v>
      </c>
      <c r="G9" s="4034">
        <v>0.51170000000000004</v>
      </c>
      <c r="H9" s="4015">
        <f t="shared" si="0"/>
        <v>104.90361700000001</v>
      </c>
      <c r="I9" s="4015">
        <f t="shared" si="0"/>
        <v>106.950417</v>
      </c>
      <c r="J9" s="4350"/>
    </row>
    <row r="10" spans="1:31">
      <c r="B10" s="4013">
        <f t="shared" si="1"/>
        <v>5</v>
      </c>
      <c r="C10" s="4013" t="s">
        <v>3126</v>
      </c>
      <c r="D10" s="4013" t="s">
        <v>151</v>
      </c>
      <c r="E10" s="4036">
        <v>182.14</v>
      </c>
      <c r="F10" s="4036">
        <v>260.33</v>
      </c>
      <c r="G10" s="4034">
        <v>0.4</v>
      </c>
      <c r="H10" s="4015">
        <f t="shared" si="0"/>
        <v>72.855999999999995</v>
      </c>
      <c r="I10" s="4015">
        <f t="shared" si="0"/>
        <v>104.13200000000001</v>
      </c>
    </row>
    <row r="11" spans="1:31">
      <c r="B11" s="4013">
        <f t="shared" si="1"/>
        <v>6</v>
      </c>
      <c r="C11" s="4013" t="s">
        <v>3127</v>
      </c>
      <c r="D11" s="4013" t="s">
        <v>151</v>
      </c>
      <c r="E11" s="4015">
        <v>74.906398855954251</v>
      </c>
      <c r="F11" s="4015">
        <v>79.524914196567849</v>
      </c>
      <c r="G11" s="4034">
        <v>0.51170000000000004</v>
      </c>
      <c r="H11" s="4015">
        <f t="shared" si="0"/>
        <v>38.329604294591796</v>
      </c>
      <c r="I11" s="4015">
        <f t="shared" si="0"/>
        <v>40.69289859438377</v>
      </c>
    </row>
    <row r="12" spans="1:31">
      <c r="B12" s="4013">
        <f t="shared" si="1"/>
        <v>7</v>
      </c>
      <c r="C12" s="4013" t="s">
        <v>3128</v>
      </c>
      <c r="D12" s="4013" t="s">
        <v>151</v>
      </c>
      <c r="E12" s="4015">
        <v>34.8519949297972</v>
      </c>
      <c r="F12" s="4015">
        <v>37.000869734789397</v>
      </c>
      <c r="G12" s="4034">
        <v>0.51170000000000004</v>
      </c>
      <c r="H12" s="4015">
        <f t="shared" si="0"/>
        <v>17.833765805577229</v>
      </c>
      <c r="I12" s="4015">
        <f t="shared" si="0"/>
        <v>18.933345043291737</v>
      </c>
    </row>
    <row r="13" spans="1:31">
      <c r="B13" s="4013">
        <f t="shared" si="1"/>
        <v>8</v>
      </c>
      <c r="C13" s="4013" t="s">
        <v>3129</v>
      </c>
      <c r="D13" s="4013" t="s">
        <v>151</v>
      </c>
      <c r="E13" s="4015">
        <v>49.67160621424857</v>
      </c>
      <c r="F13" s="4015">
        <v>52.734216068642738</v>
      </c>
      <c r="G13" s="4034">
        <v>0.51170000000000004</v>
      </c>
      <c r="H13" s="4015">
        <f t="shared" si="0"/>
        <v>25.416960899830997</v>
      </c>
      <c r="I13" s="4015">
        <f t="shared" si="0"/>
        <v>26.984098362324492</v>
      </c>
    </row>
    <row r="14" spans="1:31">
      <c r="B14" s="4016">
        <f t="shared" si="1"/>
        <v>9</v>
      </c>
      <c r="C14" s="4016" t="s">
        <v>47</v>
      </c>
      <c r="D14" s="4016"/>
      <c r="E14" s="4348">
        <f>SUM(E6:E13)</f>
        <v>1088.8000000000002</v>
      </c>
      <c r="F14" s="4348">
        <f>SUM(F6:F13)</f>
        <v>1197.48</v>
      </c>
      <c r="G14" s="4016"/>
      <c r="H14" s="4017">
        <f>SUM(H6:H13)</f>
        <v>536.79392200000007</v>
      </c>
      <c r="I14" s="4017">
        <f>SUM(I6:I13)</f>
        <v>583.6716550000001</v>
      </c>
    </row>
    <row r="15" spans="1:31">
      <c r="B15" s="4019"/>
      <c r="C15" s="4030"/>
      <c r="D15" s="4019"/>
      <c r="E15" s="4357"/>
      <c r="F15" s="4357"/>
      <c r="G15" s="4019"/>
      <c r="H15" s="4162">
        <f>'TPC G'!H14</f>
        <v>658.52865500000019</v>
      </c>
      <c r="I15" s="4162">
        <f>'TPC G'!I14</f>
        <v>688.60942699999987</v>
      </c>
      <c r="J15" s="4350">
        <f>H15+I15-H14-I14</f>
        <v>226.67250499999977</v>
      </c>
    </row>
    <row r="16" spans="1:31">
      <c r="B16" s="4012" t="s">
        <v>3113</v>
      </c>
      <c r="C16" s="4012"/>
    </row>
    <row r="17" spans="2:14" ht="78.75" customHeight="1">
      <c r="B17" s="3920" t="s">
        <v>84</v>
      </c>
      <c r="C17" s="3920" t="s">
        <v>81</v>
      </c>
      <c r="D17" s="3581" t="s">
        <v>3114</v>
      </c>
      <c r="E17" s="3581" t="s">
        <v>3312</v>
      </c>
      <c r="F17" s="3581" t="s">
        <v>3313</v>
      </c>
      <c r="G17" s="3581" t="s">
        <v>3311</v>
      </c>
      <c r="H17" s="3581" t="s">
        <v>3314</v>
      </c>
      <c r="I17" s="3581" t="s">
        <v>3315</v>
      </c>
      <c r="J17" s="3581" t="s">
        <v>3117</v>
      </c>
      <c r="K17" s="3581" t="s">
        <v>3118</v>
      </c>
      <c r="L17" s="3581" t="s">
        <v>3119</v>
      </c>
      <c r="M17" s="4354" t="s">
        <v>3120</v>
      </c>
      <c r="N17" s="4354" t="s">
        <v>3121</v>
      </c>
    </row>
    <row r="18" spans="2:14" s="4344" customFormat="1">
      <c r="B18" s="4345"/>
      <c r="C18" s="4345" t="s">
        <v>3309</v>
      </c>
      <c r="D18" s="4346"/>
      <c r="E18" s="4348">
        <f>SUM(E19:E23)</f>
        <v>6168</v>
      </c>
      <c r="F18" s="4016">
        <f>SUM(F19:F23)</f>
        <v>6705.7</v>
      </c>
      <c r="G18" s="4016">
        <f t="shared" ref="G18:I18" si="2">SUM(G19:G23)</f>
        <v>0.21000000000000002</v>
      </c>
      <c r="H18" s="4347">
        <f t="shared" si="2"/>
        <v>5836</v>
      </c>
      <c r="I18" s="4347">
        <f t="shared" si="2"/>
        <v>6298.0156000000006</v>
      </c>
      <c r="J18" s="4346"/>
      <c r="K18" s="4346"/>
      <c r="L18" s="4346"/>
      <c r="M18" s="4354"/>
      <c r="N18" s="4354"/>
    </row>
    <row r="19" spans="2:14">
      <c r="B19" s="4361">
        <v>1</v>
      </c>
      <c r="C19" s="4013" t="s">
        <v>3122</v>
      </c>
      <c r="D19" s="4013">
        <v>108</v>
      </c>
      <c r="E19" s="4013">
        <v>0</v>
      </c>
      <c r="F19" s="4013">
        <v>0</v>
      </c>
      <c r="G19" s="4013">
        <v>0</v>
      </c>
      <c r="H19" s="4015">
        <f t="shared" ref="H19:I24" si="3">E19*(1-$G19)</f>
        <v>0</v>
      </c>
      <c r="I19" s="4015">
        <f t="shared" si="3"/>
        <v>0</v>
      </c>
      <c r="J19" s="4034">
        <v>0.45019999999999999</v>
      </c>
      <c r="K19" s="4018">
        <f t="shared" ref="K19:L27" si="4">H19*$J19</f>
        <v>0</v>
      </c>
      <c r="L19" s="4018">
        <f t="shared" si="4"/>
        <v>0</v>
      </c>
      <c r="M19" s="4355">
        <f>K19</f>
        <v>0</v>
      </c>
      <c r="N19" s="4355">
        <f>L19</f>
        <v>0</v>
      </c>
    </row>
    <row r="20" spans="2:14">
      <c r="B20" s="4361">
        <f>B19+1</f>
        <v>2</v>
      </c>
      <c r="C20" s="4013" t="s">
        <v>3123</v>
      </c>
      <c r="D20" s="4013">
        <v>500</v>
      </c>
      <c r="E20" s="4018">
        <v>3347</v>
      </c>
      <c r="F20" s="4013">
        <v>3293.71</v>
      </c>
      <c r="G20" s="4349">
        <v>0.06</v>
      </c>
      <c r="H20" s="4015">
        <f t="shared" si="3"/>
        <v>3146.18</v>
      </c>
      <c r="I20" s="4015">
        <f t="shared" si="3"/>
        <v>3096.0873999999999</v>
      </c>
      <c r="J20" s="4034">
        <v>0.51170000000000004</v>
      </c>
      <c r="K20" s="4018">
        <f t="shared" si="4"/>
        <v>1609.900306</v>
      </c>
      <c r="L20" s="4018">
        <f t="shared" si="4"/>
        <v>1584.26792258</v>
      </c>
      <c r="M20" s="4355">
        <f t="shared" ref="M20:N27" si="5">K20</f>
        <v>1609.900306</v>
      </c>
      <c r="N20" s="4355">
        <f t="shared" si="5"/>
        <v>1584.26792258</v>
      </c>
    </row>
    <row r="21" spans="2:14">
      <c r="B21" s="4361">
        <f t="shared" ref="B21:B28" si="6">B20+1</f>
        <v>3</v>
      </c>
      <c r="C21" s="4013" t="s">
        <v>3124</v>
      </c>
      <c r="D21" s="4013">
        <v>500</v>
      </c>
      <c r="E21" s="4018">
        <v>554</v>
      </c>
      <c r="F21" s="4013">
        <v>0</v>
      </c>
      <c r="G21" s="4034">
        <v>3.5000000000000003E-2</v>
      </c>
      <c r="H21" s="4015">
        <f>E21*(1-$G21)</f>
        <v>534.61</v>
      </c>
      <c r="I21" s="4015">
        <f t="shared" si="3"/>
        <v>0</v>
      </c>
      <c r="J21" s="4577">
        <f>E137</f>
        <v>0.28694961836794503</v>
      </c>
      <c r="K21" s="4018">
        <f>H21*$J21</f>
        <v>153.40613547568708</v>
      </c>
      <c r="L21" s="4018">
        <f t="shared" si="4"/>
        <v>0</v>
      </c>
      <c r="M21" s="4355">
        <f>K21</f>
        <v>153.40613547568708</v>
      </c>
      <c r="N21" s="4355">
        <f t="shared" si="5"/>
        <v>0</v>
      </c>
    </row>
    <row r="22" spans="2:14">
      <c r="B22" s="4361">
        <f t="shared" si="6"/>
        <v>4</v>
      </c>
      <c r="C22" s="4013" t="s">
        <v>3125</v>
      </c>
      <c r="D22" s="4013">
        <v>180</v>
      </c>
      <c r="E22" s="4013">
        <v>1471</v>
      </c>
      <c r="F22" s="4013">
        <v>1453.77</v>
      </c>
      <c r="G22" s="4349">
        <v>0.03</v>
      </c>
      <c r="H22" s="4015">
        <f t="shared" si="3"/>
        <v>1426.87</v>
      </c>
      <c r="I22" s="4015">
        <f t="shared" si="3"/>
        <v>1410.1569</v>
      </c>
      <c r="J22" s="4034">
        <v>0.51170000000000004</v>
      </c>
      <c r="K22" s="4018">
        <f t="shared" si="4"/>
        <v>730.12937899999997</v>
      </c>
      <c r="L22" s="4018">
        <f t="shared" si="4"/>
        <v>721.57728573000009</v>
      </c>
      <c r="M22" s="4355">
        <f t="shared" si="5"/>
        <v>730.12937899999997</v>
      </c>
      <c r="N22" s="4355">
        <f t="shared" si="5"/>
        <v>721.57728573000009</v>
      </c>
    </row>
    <row r="23" spans="2:14">
      <c r="B23" s="4361">
        <f t="shared" si="6"/>
        <v>5</v>
      </c>
      <c r="C23" s="4013" t="s">
        <v>3126</v>
      </c>
      <c r="D23" s="4013">
        <v>250</v>
      </c>
      <c r="E23" s="4013">
        <v>796</v>
      </c>
      <c r="F23" s="4013">
        <v>1958.22</v>
      </c>
      <c r="G23" s="4034">
        <v>8.5000000000000006E-2</v>
      </c>
      <c r="H23" s="4015">
        <f t="shared" si="3"/>
        <v>728.34</v>
      </c>
      <c r="I23" s="4015">
        <f t="shared" si="3"/>
        <v>1791.7713000000001</v>
      </c>
      <c r="J23" s="4034">
        <v>0.4</v>
      </c>
      <c r="K23" s="4018">
        <f t="shared" si="4"/>
        <v>291.33600000000001</v>
      </c>
      <c r="L23" s="4018">
        <f t="shared" si="4"/>
        <v>716.70852000000014</v>
      </c>
      <c r="M23" s="4355">
        <f t="shared" si="5"/>
        <v>291.33600000000001</v>
      </c>
      <c r="N23" s="4355">
        <f t="shared" si="5"/>
        <v>716.70852000000014</v>
      </c>
    </row>
    <row r="24" spans="2:14">
      <c r="B24" s="4361"/>
      <c r="C24" s="4016" t="s">
        <v>3310</v>
      </c>
      <c r="D24" s="4013"/>
      <c r="E24" s="4016">
        <v>1458</v>
      </c>
      <c r="F24" s="4016">
        <v>1450</v>
      </c>
      <c r="G24" s="4034">
        <v>1.78E-2</v>
      </c>
      <c r="H24" s="4015">
        <f t="shared" si="3"/>
        <v>1432.0475999999999</v>
      </c>
      <c r="I24" s="4015">
        <f t="shared" si="3"/>
        <v>1424.19</v>
      </c>
      <c r="J24" s="4034">
        <v>0.51170000000000004</v>
      </c>
      <c r="K24" s="4018">
        <f t="shared" si="4"/>
        <v>732.77875691999998</v>
      </c>
      <c r="L24" s="4018">
        <f t="shared" si="4"/>
        <v>728.75802300000009</v>
      </c>
      <c r="M24" s="4355">
        <f t="shared" si="5"/>
        <v>732.77875691999998</v>
      </c>
      <c r="N24" s="4355">
        <f t="shared" si="5"/>
        <v>728.75802300000009</v>
      </c>
    </row>
    <row r="25" spans="2:14">
      <c r="B25" s="4361">
        <f>B23+1</f>
        <v>6</v>
      </c>
      <c r="C25" s="4013" t="s">
        <v>3127</v>
      </c>
      <c r="D25" s="4013">
        <v>300</v>
      </c>
      <c r="E25" s="4013"/>
      <c r="F25" s="4013"/>
      <c r="G25" s="4013"/>
      <c r="H25" s="4015"/>
      <c r="I25" s="4015"/>
      <c r="J25" s="4034">
        <v>0.51170000000000004</v>
      </c>
      <c r="K25" s="4018">
        <f t="shared" si="4"/>
        <v>0</v>
      </c>
      <c r="L25" s="4018">
        <f t="shared" si="4"/>
        <v>0</v>
      </c>
      <c r="M25" s="4355">
        <f t="shared" si="5"/>
        <v>0</v>
      </c>
      <c r="N25" s="4355">
        <f t="shared" si="5"/>
        <v>0</v>
      </c>
    </row>
    <row r="26" spans="2:14">
      <c r="B26" s="4361">
        <f t="shared" si="6"/>
        <v>7</v>
      </c>
      <c r="C26" s="4013" t="s">
        <v>3128</v>
      </c>
      <c r="D26" s="4013">
        <v>75</v>
      </c>
      <c r="E26" s="4013"/>
      <c r="F26" s="4013"/>
      <c r="G26" s="4013"/>
      <c r="H26" s="4015"/>
      <c r="I26" s="4015"/>
      <c r="J26" s="4034">
        <v>0.51170000000000004</v>
      </c>
      <c r="K26" s="4018">
        <f t="shared" si="4"/>
        <v>0</v>
      </c>
      <c r="L26" s="4018">
        <f t="shared" si="4"/>
        <v>0</v>
      </c>
      <c r="M26" s="4355">
        <f t="shared" si="5"/>
        <v>0</v>
      </c>
      <c r="N26" s="4355">
        <f t="shared" si="5"/>
        <v>0</v>
      </c>
    </row>
    <row r="27" spans="2:14">
      <c r="B27" s="4361">
        <f t="shared" si="6"/>
        <v>8</v>
      </c>
      <c r="C27" s="4013" t="s">
        <v>3129</v>
      </c>
      <c r="D27" s="4013">
        <v>72</v>
      </c>
      <c r="E27" s="4013"/>
      <c r="F27" s="4013"/>
      <c r="G27" s="4013"/>
      <c r="H27" s="4015"/>
      <c r="I27" s="4015"/>
      <c r="J27" s="4034">
        <v>0.51170000000000004</v>
      </c>
      <c r="K27" s="4018">
        <f t="shared" si="4"/>
        <v>0</v>
      </c>
      <c r="L27" s="4018">
        <f t="shared" si="4"/>
        <v>0</v>
      </c>
      <c r="M27" s="4355">
        <f t="shared" si="5"/>
        <v>0</v>
      </c>
      <c r="N27" s="4355">
        <f t="shared" si="5"/>
        <v>0</v>
      </c>
    </row>
    <row r="28" spans="2:14">
      <c r="B28" s="4362">
        <f t="shared" si="6"/>
        <v>9</v>
      </c>
      <c r="C28" s="4016" t="s">
        <v>47</v>
      </c>
      <c r="D28" s="4016">
        <f>SUM(D19:D27)</f>
        <v>1985</v>
      </c>
      <c r="E28" s="4347">
        <f t="shared" ref="E28:F28" si="7">SUM(E19:E27)</f>
        <v>7626</v>
      </c>
      <c r="F28" s="4347">
        <f t="shared" si="7"/>
        <v>8155.7</v>
      </c>
      <c r="G28" s="4347"/>
      <c r="H28" s="4347">
        <f>SUM(H19:H27)</f>
        <v>7268.0475999999999</v>
      </c>
      <c r="I28" s="4347">
        <f>SUM(I19:I27)</f>
        <v>7722.2056000000011</v>
      </c>
      <c r="J28" s="4016"/>
      <c r="K28" s="4348">
        <f>SUM(K19:K27)</f>
        <v>3517.5505773956875</v>
      </c>
      <c r="L28" s="4348">
        <f>SUM(L19:L27)</f>
        <v>3751.3117513100005</v>
      </c>
      <c r="M28" s="4356">
        <f>SUM(M19:M27)</f>
        <v>3517.5505773956875</v>
      </c>
      <c r="N28" s="4356">
        <f>SUM(N19:N27)</f>
        <v>3751.3117513100005</v>
      </c>
    </row>
    <row r="29" spans="2:14">
      <c r="F29" s="4035"/>
    </row>
    <row r="30" spans="2:14">
      <c r="F30" s="4035"/>
    </row>
    <row r="31" spans="2:14">
      <c r="B31" s="4012" t="s">
        <v>3135</v>
      </c>
      <c r="F31" s="4035"/>
    </row>
    <row r="32" spans="2:14" ht="21" customHeight="1">
      <c r="B32" s="5425" t="s">
        <v>84</v>
      </c>
      <c r="C32" s="5425" t="s">
        <v>81</v>
      </c>
      <c r="D32" s="5430" t="s">
        <v>3317</v>
      </c>
      <c r="E32" s="5430"/>
      <c r="F32" s="5430"/>
      <c r="G32" s="5430" t="s">
        <v>3435</v>
      </c>
      <c r="H32" s="5430"/>
      <c r="I32" s="5430"/>
      <c r="J32" s="3581" t="s">
        <v>2443</v>
      </c>
      <c r="K32" s="3581"/>
      <c r="L32" s="3581"/>
    </row>
    <row r="33" spans="1:12" ht="43.5" customHeight="1">
      <c r="B33" s="5425"/>
      <c r="C33" s="5425"/>
      <c r="D33" s="3581" t="s">
        <v>3136</v>
      </c>
      <c r="E33" s="3581" t="s">
        <v>3137</v>
      </c>
      <c r="F33" s="3581" t="s">
        <v>3135</v>
      </c>
      <c r="G33" s="3581" t="s">
        <v>3136</v>
      </c>
      <c r="H33" s="3581" t="s">
        <v>3137</v>
      </c>
      <c r="I33" s="3581" t="s">
        <v>3135</v>
      </c>
      <c r="J33" s="3581" t="s">
        <v>3136</v>
      </c>
      <c r="K33" s="3581" t="s">
        <v>3137</v>
      </c>
      <c r="L33" s="3581" t="s">
        <v>3135</v>
      </c>
    </row>
    <row r="34" spans="1:12">
      <c r="B34" s="4361">
        <v>1</v>
      </c>
      <c r="C34" s="4013" t="s">
        <v>3122</v>
      </c>
      <c r="D34" s="4015">
        <v>0</v>
      </c>
      <c r="E34" s="4015">
        <v>0</v>
      </c>
      <c r="F34" s="4015">
        <v>0</v>
      </c>
      <c r="G34" s="4015">
        <f>M19-D34</f>
        <v>0</v>
      </c>
      <c r="H34" s="4036">
        <f>E73</f>
        <v>14.04</v>
      </c>
      <c r="I34" s="4037">
        <f>G34*H34/10</f>
        <v>0</v>
      </c>
      <c r="J34" s="4018">
        <f t="shared" ref="J34:J39" si="8">N19</f>
        <v>0</v>
      </c>
      <c r="K34" s="4036">
        <f>F73</f>
        <v>14.06</v>
      </c>
      <c r="L34" s="4037">
        <f t="shared" ref="L34:L39" si="9">J34*K34/10</f>
        <v>0</v>
      </c>
    </row>
    <row r="35" spans="1:12">
      <c r="B35" s="4361">
        <f>B34+1</f>
        <v>2</v>
      </c>
      <c r="C35" s="4013" t="s">
        <v>3123</v>
      </c>
      <c r="D35" s="4015">
        <f>[97]Sheet1!$E$53</f>
        <v>942.89745044460005</v>
      </c>
      <c r="E35" s="4015">
        <f t="shared" ref="E35:E37" si="10">F35/D35*10</f>
        <v>3.3719288303632746</v>
      </c>
      <c r="F35" s="4015">
        <f>E91*E149</f>
        <v>317.93830972301737</v>
      </c>
      <c r="G35" s="4015">
        <f>M20-D35</f>
        <v>667.00285555539995</v>
      </c>
      <c r="H35" s="4037">
        <f>E76</f>
        <v>3.9</v>
      </c>
      <c r="I35" s="4037">
        <f>G35*H35/10</f>
        <v>260.13111366660598</v>
      </c>
      <c r="J35" s="4018">
        <f t="shared" si="8"/>
        <v>1584.26792258</v>
      </c>
      <c r="K35" s="4037">
        <f>F76</f>
        <v>3.91</v>
      </c>
      <c r="L35" s="4037">
        <f t="shared" si="9"/>
        <v>619.44875772878004</v>
      </c>
    </row>
    <row r="36" spans="1:12">
      <c r="B36" s="4361">
        <f t="shared" ref="B36:B39" si="11">B35+1</f>
        <v>3</v>
      </c>
      <c r="C36" s="4013" t="s">
        <v>3124</v>
      </c>
      <c r="D36" s="4015">
        <f>D107</f>
        <v>113.08</v>
      </c>
      <c r="E36" s="4015">
        <f t="shared" si="10"/>
        <v>13.370180403254333</v>
      </c>
      <c r="F36" s="4013">
        <f>F107</f>
        <v>151.19</v>
      </c>
      <c r="G36" s="4015">
        <f>M21-D36</f>
        <v>40.326135475687082</v>
      </c>
      <c r="H36" s="4036">
        <f>E77*0+13.37</f>
        <v>13.37</v>
      </c>
      <c r="I36" s="4037">
        <f>G36*H36/10</f>
        <v>53.916043130993629</v>
      </c>
      <c r="J36" s="4018">
        <f t="shared" si="8"/>
        <v>0</v>
      </c>
      <c r="K36" s="4036">
        <f>H36</f>
        <v>13.37</v>
      </c>
      <c r="L36" s="4037">
        <f t="shared" si="9"/>
        <v>0</v>
      </c>
    </row>
    <row r="37" spans="1:12">
      <c r="B37" s="4361">
        <f t="shared" si="11"/>
        <v>4</v>
      </c>
      <c r="C37" s="4013" t="s">
        <v>3125</v>
      </c>
      <c r="D37" s="4015">
        <f>[97]Sheet1!$G$53</f>
        <v>370.86341257070006</v>
      </c>
      <c r="E37" s="4015">
        <f t="shared" si="10"/>
        <v>3.4054820188034767</v>
      </c>
      <c r="F37" s="4015">
        <f>E91*G149</f>
        <v>126.29686829416144</v>
      </c>
      <c r="G37" s="4015">
        <f t="shared" ref="G37:G39" si="12">M22-D37</f>
        <v>359.26596642929991</v>
      </c>
      <c r="H37" s="4037">
        <f>E79</f>
        <v>2.0099999999999998</v>
      </c>
      <c r="I37" s="4037">
        <f t="shared" ref="I37:I38" si="13">G37*H37/10</f>
        <v>72.212459252289278</v>
      </c>
      <c r="J37" s="4018">
        <f t="shared" si="8"/>
        <v>721.57728573000009</v>
      </c>
      <c r="K37" s="4037">
        <f>F79</f>
        <v>2.02</v>
      </c>
      <c r="L37" s="4037">
        <f t="shared" si="9"/>
        <v>145.75861171746001</v>
      </c>
    </row>
    <row r="38" spans="1:12">
      <c r="B38" s="4361">
        <f t="shared" si="11"/>
        <v>5</v>
      </c>
      <c r="C38" s="4013" t="s">
        <v>3126</v>
      </c>
      <c r="D38" s="4015">
        <v>0</v>
      </c>
      <c r="E38" s="4015">
        <v>0</v>
      </c>
      <c r="F38" s="4013">
        <v>0</v>
      </c>
      <c r="G38" s="4015">
        <f t="shared" si="12"/>
        <v>291.33600000000001</v>
      </c>
      <c r="H38" s="4036">
        <f>E81</f>
        <v>3.85</v>
      </c>
      <c r="I38" s="4037">
        <f t="shared" si="13"/>
        <v>112.16436000000002</v>
      </c>
      <c r="J38" s="4018">
        <f t="shared" si="8"/>
        <v>716.70852000000014</v>
      </c>
      <c r="K38" s="4036">
        <f>F81</f>
        <v>3.85</v>
      </c>
      <c r="L38" s="4037">
        <f t="shared" si="9"/>
        <v>275.93278020000008</v>
      </c>
    </row>
    <row r="39" spans="1:12">
      <c r="B39" s="4361">
        <f t="shared" si="11"/>
        <v>6</v>
      </c>
      <c r="C39" s="4013" t="s">
        <v>3310</v>
      </c>
      <c r="D39" s="4015">
        <f>D110</f>
        <v>386.44</v>
      </c>
      <c r="E39" s="4015">
        <f>F39/D39*10</f>
        <v>1.3924541972880655</v>
      </c>
      <c r="F39" s="4013">
        <f>F110</f>
        <v>53.81</v>
      </c>
      <c r="G39" s="4015">
        <f t="shared" si="12"/>
        <v>346.33875691999998</v>
      </c>
      <c r="H39" s="4015">
        <f>$F$95</f>
        <v>1.3925548200454332</v>
      </c>
      <c r="I39" s="4037">
        <f>G39*H39/10</f>
        <v>48.229570531748962</v>
      </c>
      <c r="J39" s="4018">
        <f t="shared" si="8"/>
        <v>728.75802300000009</v>
      </c>
      <c r="K39" s="4015">
        <f>$F$95</f>
        <v>1.3925548200454332</v>
      </c>
      <c r="L39" s="4037">
        <f t="shared" si="9"/>
        <v>101.48354975754307</v>
      </c>
    </row>
    <row r="40" spans="1:12">
      <c r="B40" s="4361"/>
      <c r="C40" s="4013" t="s">
        <v>3436</v>
      </c>
      <c r="D40" s="4015"/>
      <c r="E40" s="4015"/>
      <c r="F40" s="4015">
        <f>G91</f>
        <v>-48.078483758000694</v>
      </c>
      <c r="G40" s="4013"/>
      <c r="H40" s="4015"/>
      <c r="I40" s="4037"/>
      <c r="J40" s="4018"/>
      <c r="K40" s="4015"/>
      <c r="L40" s="4037"/>
    </row>
    <row r="41" spans="1:12">
      <c r="B41" s="4362">
        <f>B39+1</f>
        <v>7</v>
      </c>
      <c r="C41" s="4016" t="s">
        <v>47</v>
      </c>
      <c r="D41" s="4017">
        <f>SUM(D34:D40)</f>
        <v>1813.2808630153002</v>
      </c>
      <c r="E41" s="4017">
        <f>F41/D41*10</f>
        <v>3.315298288978334</v>
      </c>
      <c r="F41" s="4017">
        <f>SUM(F34:F40)</f>
        <v>601.15669425917815</v>
      </c>
      <c r="G41" s="4017">
        <f>SUM(G34:G40)</f>
        <v>1704.2697143803869</v>
      </c>
      <c r="H41" s="4017">
        <f>I41/G41*10</f>
        <v>3.2075530179821454</v>
      </c>
      <c r="I41" s="4017">
        <f>SUM(I34:I40)</f>
        <v>546.6535465816379</v>
      </c>
      <c r="J41" s="4017">
        <f>SUM(J34:J40)</f>
        <v>3751.3117513100005</v>
      </c>
      <c r="K41" s="4017">
        <f>L41/J41*10</f>
        <v>3.0459310639931916</v>
      </c>
      <c r="L41" s="4017">
        <f>SUM(L34:L40)</f>
        <v>1142.6236994037831</v>
      </c>
    </row>
    <row r="42" spans="1:12">
      <c r="B42" s="4019"/>
      <c r="C42" s="4030"/>
      <c r="D42" s="4358" t="b">
        <f>D41=M28</f>
        <v>0</v>
      </c>
      <c r="E42" s="4359"/>
      <c r="F42" s="4360"/>
      <c r="G42" s="4358" t="b">
        <f>J41=N28</f>
        <v>1</v>
      </c>
      <c r="H42" s="4031"/>
      <c r="I42" s="4162"/>
      <c r="K42" s="4401"/>
    </row>
    <row r="43" spans="1:12">
      <c r="B43" s="4019"/>
      <c r="C43" s="4030"/>
      <c r="D43" s="4358"/>
      <c r="E43" s="4359"/>
      <c r="F43" s="4360"/>
      <c r="G43" s="4358"/>
      <c r="H43" s="4031"/>
      <c r="I43" s="4162"/>
    </row>
    <row r="44" spans="1:12">
      <c r="A44" s="4038"/>
      <c r="B44" s="4038"/>
      <c r="C44" s="4038"/>
      <c r="D44" s="4038"/>
      <c r="E44" s="4038"/>
      <c r="F44" s="4038"/>
      <c r="G44" s="4038"/>
      <c r="H44" s="4038"/>
      <c r="I44" s="4038"/>
    </row>
    <row r="45" spans="1:12">
      <c r="A45" s="4038"/>
      <c r="B45" s="4039" t="s">
        <v>3138</v>
      </c>
      <c r="C45" s="4038"/>
      <c r="D45" s="4038"/>
      <c r="E45" s="4038"/>
      <c r="F45" s="4038"/>
      <c r="G45" s="4038"/>
      <c r="H45" s="4038"/>
      <c r="I45" s="4038"/>
    </row>
    <row r="46" spans="1:12">
      <c r="A46" s="4038"/>
      <c r="B46" s="4041" t="s">
        <v>84</v>
      </c>
      <c r="C46" s="4041" t="s">
        <v>81</v>
      </c>
      <c r="D46" s="4041" t="s">
        <v>85</v>
      </c>
      <c r="E46" s="4578" t="s">
        <v>3437</v>
      </c>
      <c r="F46" s="4578" t="s">
        <v>3435</v>
      </c>
      <c r="G46" s="4042" t="s">
        <v>2442</v>
      </c>
      <c r="H46" s="4042" t="s">
        <v>2443</v>
      </c>
      <c r="I46" s="4038"/>
    </row>
    <row r="47" spans="1:12">
      <c r="A47" s="4038"/>
      <c r="B47" s="4365">
        <v>1</v>
      </c>
      <c r="C47" s="4366" t="s">
        <v>3139</v>
      </c>
      <c r="D47" s="4366" t="s">
        <v>83</v>
      </c>
      <c r="E47" s="4579">
        <f>D113</f>
        <v>1813.28</v>
      </c>
      <c r="F47" s="4579">
        <f>G47-E47</f>
        <v>1704.2705773956875</v>
      </c>
      <c r="G47" s="4364">
        <f>M28</f>
        <v>3517.5505773956875</v>
      </c>
      <c r="H47" s="4364">
        <f>N28</f>
        <v>3751.3117513100005</v>
      </c>
      <c r="I47" s="4038"/>
    </row>
    <row r="48" spans="1:12">
      <c r="A48" s="4038"/>
      <c r="B48" s="4363">
        <f>B47+1</f>
        <v>2</v>
      </c>
      <c r="C48" s="4043" t="s">
        <v>3140</v>
      </c>
      <c r="D48" s="4043" t="s">
        <v>151</v>
      </c>
      <c r="E48" s="4353">
        <f>E113</f>
        <v>329.26000000000005</v>
      </c>
      <c r="F48" s="4353">
        <f>G48-E48</f>
        <v>207.53392200000002</v>
      </c>
      <c r="G48" s="4045">
        <f>H14</f>
        <v>536.79392200000007</v>
      </c>
      <c r="H48" s="4045">
        <f>I14</f>
        <v>583.6716550000001</v>
      </c>
      <c r="I48" s="4038"/>
    </row>
    <row r="49" spans="1:9">
      <c r="A49" s="4038"/>
      <c r="B49" s="4363">
        <f t="shared" ref="B49" si="14">B48+1</f>
        <v>3</v>
      </c>
      <c r="C49" s="4043" t="s">
        <v>3141</v>
      </c>
      <c r="D49" s="4043" t="s">
        <v>151</v>
      </c>
      <c r="E49" s="4353">
        <f>F113</f>
        <v>649.24</v>
      </c>
      <c r="F49" s="4353">
        <f>G49-E49-E50-E51</f>
        <v>544.93024084081605</v>
      </c>
      <c r="G49" s="4045">
        <f>F41+I41</f>
        <v>1147.810240840816</v>
      </c>
      <c r="H49" s="4045">
        <f>L41</f>
        <v>1142.6236994037831</v>
      </c>
      <c r="I49" s="4038"/>
    </row>
    <row r="50" spans="1:9">
      <c r="A50" s="4038"/>
      <c r="B50" s="4363">
        <v>4</v>
      </c>
      <c r="C50" s="4043" t="s">
        <v>3438</v>
      </c>
      <c r="D50" s="4043" t="s">
        <v>151</v>
      </c>
      <c r="E50" s="4353">
        <f>G111</f>
        <v>-48.08</v>
      </c>
      <c r="F50" s="4353"/>
      <c r="G50" s="4045"/>
      <c r="H50" s="4045"/>
      <c r="I50" s="4038"/>
    </row>
    <row r="51" spans="1:9">
      <c r="A51" s="4038"/>
      <c r="B51" s="4363">
        <v>5</v>
      </c>
      <c r="C51" s="4043" t="s">
        <v>3336</v>
      </c>
      <c r="D51" s="4043" t="s">
        <v>151</v>
      </c>
      <c r="E51" s="4353">
        <f>G112</f>
        <v>1.72</v>
      </c>
      <c r="F51" s="4353"/>
      <c r="G51" s="4045"/>
      <c r="H51" s="4045"/>
      <c r="I51" s="4038"/>
    </row>
    <row r="52" spans="1:9">
      <c r="A52" s="4038"/>
      <c r="B52" s="4365">
        <v>6</v>
      </c>
      <c r="C52" s="4366" t="s">
        <v>3142</v>
      </c>
      <c r="D52" s="4366" t="s">
        <v>151</v>
      </c>
      <c r="E52" s="4579">
        <f>G113</f>
        <v>932.1400000000001</v>
      </c>
      <c r="F52" s="4579">
        <f>G52-E52</f>
        <v>752.46416284081602</v>
      </c>
      <c r="G52" s="4364">
        <f>SUM(G48:G49)</f>
        <v>1684.6041628408161</v>
      </c>
      <c r="H52" s="4364">
        <f>SUM(H48:H49)</f>
        <v>1726.2953544037832</v>
      </c>
      <c r="I52" s="4038"/>
    </row>
    <row r="53" spans="1:9">
      <c r="A53" s="4038"/>
      <c r="B53" s="4363">
        <v>7</v>
      </c>
      <c r="C53" s="4043" t="s">
        <v>3143</v>
      </c>
      <c r="D53" s="4046" t="s">
        <v>3144</v>
      </c>
      <c r="E53" s="4364">
        <f t="shared" ref="E53:F53" si="15">E52/E47*10</f>
        <v>5.1406291361510634</v>
      </c>
      <c r="F53" s="4364">
        <f t="shared" si="15"/>
        <v>4.4151684176268766</v>
      </c>
      <c r="G53" s="4364">
        <f>G52/G47*10</f>
        <v>4.7891398453979237</v>
      </c>
      <c r="H53" s="4364">
        <f>H52/H47*10</f>
        <v>4.6018445515783677</v>
      </c>
      <c r="I53" s="4038"/>
    </row>
    <row r="54" spans="1:9">
      <c r="A54" s="4038"/>
      <c r="B54" s="4039"/>
      <c r="C54" s="4038"/>
      <c r="D54" s="4038"/>
      <c r="E54" s="4040"/>
      <c r="F54" s="4040"/>
      <c r="G54" s="4038"/>
      <c r="H54" s="4038"/>
      <c r="I54" s="4038"/>
    </row>
    <row r="55" spans="1:9">
      <c r="A55" s="4038"/>
      <c r="B55" s="4038"/>
      <c r="C55" s="4038"/>
      <c r="D55" s="4038"/>
      <c r="E55" s="4038"/>
      <c r="F55" s="4038"/>
      <c r="G55" s="4038"/>
      <c r="H55" s="4038"/>
      <c r="I55" s="4038"/>
    </row>
    <row r="56" spans="1:9">
      <c r="B56" s="4012" t="s">
        <v>3145</v>
      </c>
    </row>
    <row r="57" spans="1:9">
      <c r="B57" s="3920" t="s">
        <v>84</v>
      </c>
      <c r="C57" s="4047" t="s">
        <v>81</v>
      </c>
      <c r="D57" s="4047" t="s">
        <v>1921</v>
      </c>
      <c r="E57" s="4048" t="s">
        <v>2442</v>
      </c>
      <c r="F57" s="4048" t="s">
        <v>2443</v>
      </c>
    </row>
    <row r="58" spans="1:9">
      <c r="B58" s="1317">
        <v>1</v>
      </c>
      <c r="C58" s="4049" t="s">
        <v>3146</v>
      </c>
      <c r="D58" s="4049"/>
      <c r="E58" s="4050"/>
      <c r="F58" s="4050"/>
    </row>
    <row r="59" spans="1:9">
      <c r="B59" s="4361"/>
      <c r="C59" s="4013" t="s">
        <v>3122</v>
      </c>
      <c r="D59" s="1317" t="s">
        <v>151</v>
      </c>
      <c r="E59" s="4036">
        <v>18.13</v>
      </c>
      <c r="F59" s="4036">
        <v>9.23</v>
      </c>
    </row>
    <row r="60" spans="1:9">
      <c r="B60" s="1317"/>
      <c r="C60" s="4013" t="s">
        <v>3123</v>
      </c>
      <c r="D60" s="1317" t="s">
        <v>151</v>
      </c>
      <c r="E60" s="4036">
        <v>401.44</v>
      </c>
      <c r="F60" s="4036">
        <v>386.8</v>
      </c>
    </row>
    <row r="61" spans="1:9">
      <c r="B61" s="1317"/>
      <c r="C61" s="4013" t="s">
        <v>3124</v>
      </c>
      <c r="D61" s="1317" t="s">
        <v>151</v>
      </c>
      <c r="E61" s="4036">
        <v>338.99</v>
      </c>
      <c r="F61" s="4036">
        <v>414.13</v>
      </c>
    </row>
    <row r="62" spans="1:9">
      <c r="B62" s="1317"/>
      <c r="C62" s="4013" t="s">
        <v>3125</v>
      </c>
      <c r="D62" s="1317" t="s">
        <v>151</v>
      </c>
      <c r="E62" s="4036">
        <v>172.88</v>
      </c>
      <c r="F62" s="4036">
        <v>170</v>
      </c>
    </row>
    <row r="63" spans="1:9">
      <c r="B63" s="1317"/>
      <c r="C63" s="4013" t="s">
        <v>3126</v>
      </c>
      <c r="D63" s="1317" t="s">
        <v>151</v>
      </c>
      <c r="E63" s="4051">
        <v>281.17</v>
      </c>
      <c r="F63" s="4036">
        <v>283.25</v>
      </c>
    </row>
    <row r="64" spans="1:9">
      <c r="B64" s="1317"/>
      <c r="C64" s="4013" t="s">
        <v>3147</v>
      </c>
      <c r="D64" s="1317" t="s">
        <v>151</v>
      </c>
      <c r="E64" s="4051">
        <v>283.17</v>
      </c>
      <c r="F64" s="4036">
        <v>287.5</v>
      </c>
    </row>
    <row r="65" spans="2:6">
      <c r="B65" s="1317"/>
      <c r="C65" s="4052" t="s">
        <v>3127</v>
      </c>
      <c r="D65" s="4052" t="s">
        <v>151</v>
      </c>
      <c r="E65" s="4052">
        <v>132.09</v>
      </c>
      <c r="F65" s="4053">
        <v>132.88</v>
      </c>
    </row>
    <row r="66" spans="2:6">
      <c r="B66" s="1317"/>
      <c r="C66" s="4052" t="s">
        <v>3128</v>
      </c>
      <c r="D66" s="4052" t="s">
        <v>151</v>
      </c>
      <c r="E66" s="4052">
        <v>62.85</v>
      </c>
      <c r="F66" s="4053">
        <v>63.44</v>
      </c>
    </row>
    <row r="67" spans="2:6">
      <c r="B67" s="1317"/>
      <c r="C67" s="4052" t="s">
        <v>3129</v>
      </c>
      <c r="D67" s="4052" t="s">
        <v>151</v>
      </c>
      <c r="E67" s="4052">
        <v>88.23</v>
      </c>
      <c r="F67" s="4053">
        <v>91.18</v>
      </c>
    </row>
    <row r="68" spans="2:6">
      <c r="B68" s="1317"/>
      <c r="C68" s="4013" t="s">
        <v>3148</v>
      </c>
      <c r="D68" s="1317" t="s">
        <v>151</v>
      </c>
      <c r="E68" s="4051">
        <v>153.84</v>
      </c>
      <c r="F68" s="4036">
        <v>153.38</v>
      </c>
    </row>
    <row r="69" spans="2:6">
      <c r="B69" s="1317"/>
      <c r="C69" s="4052" t="s">
        <v>3127</v>
      </c>
      <c r="D69" s="4052" t="s">
        <v>151</v>
      </c>
      <c r="E69" s="4054">
        <v>72.28</v>
      </c>
      <c r="F69" s="4054">
        <v>68.84</v>
      </c>
    </row>
    <row r="70" spans="2:6">
      <c r="B70" s="1317"/>
      <c r="C70" s="4052" t="s">
        <v>3128</v>
      </c>
      <c r="D70" s="4052" t="s">
        <v>151</v>
      </c>
      <c r="E70" s="4054">
        <v>33.630000000000003</v>
      </c>
      <c r="F70" s="4054">
        <v>34.33</v>
      </c>
    </row>
    <row r="71" spans="2:6">
      <c r="B71" s="1317"/>
      <c r="C71" s="4052" t="s">
        <v>3129</v>
      </c>
      <c r="D71" s="4052" t="s">
        <v>151</v>
      </c>
      <c r="E71" s="4054">
        <v>47.93</v>
      </c>
      <c r="F71" s="4054">
        <v>50.21</v>
      </c>
    </row>
    <row r="72" spans="2:6">
      <c r="B72" s="1317">
        <v>2</v>
      </c>
      <c r="C72" s="4857" t="s">
        <v>3141</v>
      </c>
      <c r="D72" s="1317"/>
      <c r="E72" s="4051"/>
      <c r="F72" s="4051"/>
    </row>
    <row r="73" spans="2:6">
      <c r="B73" s="1317"/>
      <c r="C73" s="4013" t="s">
        <v>3150</v>
      </c>
      <c r="D73" s="1317" t="s">
        <v>3209</v>
      </c>
      <c r="E73" s="4051">
        <v>14.04</v>
      </c>
      <c r="F73" s="4051">
        <v>14.06</v>
      </c>
    </row>
    <row r="74" spans="2:6">
      <c r="B74" s="1317"/>
      <c r="C74" s="4013" t="s">
        <v>3151</v>
      </c>
      <c r="D74" s="1317" t="s">
        <v>3209</v>
      </c>
      <c r="E74" s="4051">
        <v>2.65</v>
      </c>
      <c r="F74" s="4051">
        <v>2.65</v>
      </c>
    </row>
    <row r="75" spans="2:6">
      <c r="B75" s="1317"/>
      <c r="C75" s="4013" t="s">
        <v>3152</v>
      </c>
      <c r="D75" s="1317" t="s">
        <v>3209</v>
      </c>
      <c r="E75" s="4051">
        <v>13.67</v>
      </c>
      <c r="F75" s="4051">
        <v>13.71</v>
      </c>
    </row>
    <row r="76" spans="2:6">
      <c r="B76" s="1317"/>
      <c r="C76" s="4013" t="s">
        <v>3153</v>
      </c>
      <c r="D76" s="1317" t="s">
        <v>3209</v>
      </c>
      <c r="E76" s="4051">
        <v>3.9</v>
      </c>
      <c r="F76" s="4051">
        <v>3.91</v>
      </c>
    </row>
    <row r="77" spans="2:6">
      <c r="B77" s="1317"/>
      <c r="C77" s="4013" t="s">
        <v>3154</v>
      </c>
      <c r="D77" s="1317" t="s">
        <v>3209</v>
      </c>
      <c r="E77" s="4051">
        <v>10.59</v>
      </c>
      <c r="F77" s="4051">
        <v>0</v>
      </c>
    </row>
    <row r="78" spans="2:6">
      <c r="B78" s="1317"/>
      <c r="C78" s="4013" t="s">
        <v>3155</v>
      </c>
      <c r="D78" s="1317" t="s">
        <v>3209</v>
      </c>
      <c r="E78" s="4051" t="s">
        <v>560</v>
      </c>
      <c r="F78" s="4051">
        <v>3.78</v>
      </c>
    </row>
    <row r="79" spans="2:6">
      <c r="B79" s="1317"/>
      <c r="C79" s="4013" t="s">
        <v>3156</v>
      </c>
      <c r="D79" s="1317" t="s">
        <v>3209</v>
      </c>
      <c r="E79" s="4051">
        <v>2.0099999999999998</v>
      </c>
      <c r="F79" s="4051">
        <v>2.02</v>
      </c>
    </row>
    <row r="80" spans="2:6">
      <c r="B80" s="1317"/>
      <c r="C80" s="4013" t="s">
        <v>3157</v>
      </c>
      <c r="D80" s="1317" t="s">
        <v>3209</v>
      </c>
      <c r="E80" s="4051">
        <v>6.2</v>
      </c>
      <c r="F80" s="4051">
        <v>6.21</v>
      </c>
    </row>
    <row r="81" spans="1:26">
      <c r="B81" s="4013"/>
      <c r="C81" s="4013" t="s">
        <v>3158</v>
      </c>
      <c r="D81" s="1317" t="s">
        <v>3209</v>
      </c>
      <c r="E81" s="4036">
        <v>3.85</v>
      </c>
      <c r="F81" s="4051">
        <v>3.85</v>
      </c>
    </row>
    <row r="82" spans="1:26">
      <c r="B82" s="4013"/>
      <c r="C82" s="4013" t="s">
        <v>3127</v>
      </c>
      <c r="D82" s="1317" t="s">
        <v>3209</v>
      </c>
      <c r="E82" s="4036">
        <v>0.90400000000000003</v>
      </c>
      <c r="F82" s="4036">
        <v>0.90900000000000003</v>
      </c>
    </row>
    <row r="83" spans="1:26">
      <c r="B83" s="4013"/>
      <c r="C83" s="4013" t="s">
        <v>3128</v>
      </c>
      <c r="D83" s="1317" t="s">
        <v>3209</v>
      </c>
      <c r="E83" s="4013">
        <v>1.6559999999999999</v>
      </c>
      <c r="F83" s="4013">
        <v>1.671</v>
      </c>
    </row>
    <row r="84" spans="1:26">
      <c r="B84" s="4013"/>
      <c r="C84" s="4013" t="s">
        <v>3129</v>
      </c>
      <c r="D84" s="1317" t="s">
        <v>3209</v>
      </c>
      <c r="E84" s="4013">
        <v>2.5710000000000002</v>
      </c>
      <c r="F84" s="4013">
        <v>2.657</v>
      </c>
    </row>
    <row r="86" spans="1:26">
      <c r="A86" s="4367"/>
      <c r="B86" s="4367"/>
      <c r="C86" s="4367"/>
      <c r="D86" s="4367"/>
      <c r="E86" s="4367"/>
      <c r="F86" s="4367"/>
      <c r="G86" s="4367"/>
      <c r="H86" s="4367"/>
      <c r="I86" s="4367"/>
      <c r="J86" s="4367"/>
      <c r="K86" s="4367"/>
      <c r="L86" s="4367"/>
      <c r="M86" s="4367"/>
      <c r="N86" s="4367"/>
      <c r="O86" s="4367"/>
      <c r="P86" s="4367"/>
      <c r="Q86" s="4367"/>
      <c r="R86" s="4367"/>
      <c r="S86" s="4367"/>
      <c r="T86" s="4367"/>
      <c r="U86" s="4367"/>
      <c r="V86" s="4367"/>
      <c r="W86" s="4367"/>
      <c r="X86" s="4367"/>
      <c r="Y86" s="4367"/>
      <c r="Z86" s="4367"/>
    </row>
    <row r="88" spans="1:26">
      <c r="C88" s="4012" t="s">
        <v>3316</v>
      </c>
    </row>
    <row r="90" spans="1:26" s="4368" customFormat="1" ht="21.75" customHeight="1">
      <c r="C90" s="4369" t="str">
        <f>'[98]Actual H1 2014-15'!B2</f>
        <v>Source</v>
      </c>
      <c r="D90" s="4369" t="str">
        <f>'[98]Actual H1 2014-15'!C2</f>
        <v>MU</v>
      </c>
      <c r="E90" s="4369" t="str">
        <f>'[98]Actual H1 2014-15'!D2</f>
        <v>Energy Charges</v>
      </c>
      <c r="F90" s="4369" t="str">
        <f>'[98]Actual H1 2014-15'!E2</f>
        <v>Per unit charges</v>
      </c>
      <c r="G90" s="4369" t="str">
        <f>'[98]Actual H1 2014-15'!F2</f>
        <v>FAC Charges</v>
      </c>
    </row>
    <row r="91" spans="1:26" ht="18" customHeight="1">
      <c r="C91" s="4013" t="str">
        <f>'[98]Actual H1 2014-15'!B3</f>
        <v>TPC-G unit 4 to 7</v>
      </c>
      <c r="D91" s="4015">
        <f>'[98]Actual H1 2014-15'!C3</f>
        <v>1313.7610990039002</v>
      </c>
      <c r="E91" s="4015">
        <f>'[98]Actual H1 2014-15'!D3</f>
        <v>444.23517801717878</v>
      </c>
      <c r="F91" s="4015">
        <f>'[98]Actual H1 2014-15'!E3</f>
        <v>3.3814000000000002</v>
      </c>
      <c r="G91" s="4015">
        <f>'[98]Actual H1 2014-15'!F3</f>
        <v>-48.078483758000694</v>
      </c>
    </row>
    <row r="92" spans="1:26" ht="18" customHeight="1">
      <c r="C92" s="4013" t="str">
        <f>'[98]Actual H1 2014-15'!B4</f>
        <v xml:space="preserve">TPC-G Unit 8  </v>
      </c>
      <c r="D92" s="4015">
        <f>'[98]Actual H1 2014-15'!C4</f>
        <v>0</v>
      </c>
      <c r="E92" s="4015">
        <f>'[98]Actual H1 2014-15'!D4</f>
        <v>0</v>
      </c>
      <c r="F92" s="4015">
        <f>'[98]Actual H1 2014-15'!E4</f>
        <v>0</v>
      </c>
      <c r="G92" s="4015"/>
    </row>
    <row r="93" spans="1:26" ht="18" customHeight="1">
      <c r="C93" s="4013" t="str">
        <f>'[98]Actual H1 2014-15'!B5</f>
        <v>TPC-G Unit-6</v>
      </c>
      <c r="D93" s="4015">
        <f>'[98]Actual H1 2014-15'!C5</f>
        <v>113.08313724000001</v>
      </c>
      <c r="E93" s="4015">
        <f>'[98]Actual H1 2014-15'!D5</f>
        <v>151.18879949261529</v>
      </c>
      <c r="F93" s="4015">
        <f>'[98]Actual H1 2014-15'!E5</f>
        <v>13.369703315865953</v>
      </c>
      <c r="G93" s="4015"/>
    </row>
    <row r="94" spans="1:26" ht="18" customHeight="1">
      <c r="C94" s="4016" t="str">
        <f>'[98]Actual H1 2014-15'!B6</f>
        <v>TPC Thermal</v>
      </c>
      <c r="D94" s="4017">
        <f>'[98]Actual H1 2014-15'!C6</f>
        <v>1426.8442362439002</v>
      </c>
      <c r="E94" s="4017">
        <f>'[98]Actual H1 2014-15'!D6</f>
        <v>595.4239775097941</v>
      </c>
      <c r="F94" s="4017">
        <f>'[98]Actual H1 2014-15'!E6</f>
        <v>4.1730131599873825</v>
      </c>
      <c r="G94" s="4017"/>
      <c r="I94" s="4350"/>
      <c r="J94" s="4350"/>
    </row>
    <row r="95" spans="1:26" ht="18" customHeight="1">
      <c r="C95" s="4013" t="str">
        <f>'[98]Actual H1 2014-15'!B7</f>
        <v>TPC-G Hydro</v>
      </c>
      <c r="D95" s="4015">
        <f>'[98]Actual H1 2014-15'!C7</f>
        <v>386.44000192570002</v>
      </c>
      <c r="E95" s="4015">
        <f>'[98]Actual H1 2014-15'!D7</f>
        <v>53.813888734000003</v>
      </c>
      <c r="F95" s="4015">
        <f>'[98]Actual H1 2014-15'!E7</f>
        <v>1.3925548200454332</v>
      </c>
      <c r="G95" s="4015"/>
      <c r="I95" s="4350"/>
      <c r="J95" s="4350"/>
    </row>
    <row r="96" spans="1:26" ht="18" customHeight="1">
      <c r="C96" s="4016" t="str">
        <f>'[98]Actual H1 2014-15'!B8</f>
        <v>External  Pow. Pur. From    IEX/ PXIL/stn.by/bilateral</v>
      </c>
      <c r="D96" s="4017">
        <f>'[98]Actual H1 2014-15'!C8</f>
        <v>548.01334399999996</v>
      </c>
      <c r="E96" s="4017">
        <f>'[98]Actual H1 2014-15'!D8</f>
        <v>181.99527604000002</v>
      </c>
      <c r="F96" s="4017">
        <f>'[98]Actual H1 2014-15'!E8</f>
        <v>3.3210008119802286</v>
      </c>
      <c r="G96" s="4015"/>
    </row>
    <row r="97" spans="2:12" ht="18" customHeight="1">
      <c r="C97" s="4013" t="str">
        <f>'[98]Actual H1 2014-15'!B9</f>
        <v xml:space="preserve">RPS </v>
      </c>
      <c r="D97" s="4015">
        <f>'[98]Actual H1 2014-15'!C9</f>
        <v>115.95228300000002</v>
      </c>
      <c r="E97" s="4015">
        <f>'[98]Actual H1 2014-15'!D9</f>
        <v>78.568341200000006</v>
      </c>
      <c r="F97" s="4015">
        <f>'[98]Actual H1 2014-15'!E9</f>
        <v>6.7759201601921015</v>
      </c>
      <c r="G97" s="4015"/>
    </row>
    <row r="98" spans="2:12" ht="18" customHeight="1">
      <c r="C98" s="4013" t="str">
        <f>'[98]Actual H1 2014-15'!B10</f>
        <v xml:space="preserve">Total power Purchased by BEST </v>
      </c>
      <c r="D98" s="4015">
        <f>'[98]Actual H1 2014-15'!C10</f>
        <v>2477.2498651696001</v>
      </c>
      <c r="E98" s="4015">
        <f>'[98]Actual H1 2014-15'!D10</f>
        <v>909.80148348379407</v>
      </c>
      <c r="F98" s="4015">
        <f>'[98]Actual H1 2014-15'!E10</f>
        <v>3.6726270380541779</v>
      </c>
      <c r="G98" s="4015"/>
      <c r="J98" s="4580"/>
      <c r="K98" s="4580"/>
      <c r="L98" s="4580"/>
    </row>
    <row r="99" spans="2:12" ht="18" customHeight="1">
      <c r="C99" s="4013" t="str">
        <f>'[98]Actual H1 2014-15'!B11</f>
        <v>MSLDC Pool Imbal.  Power</v>
      </c>
      <c r="D99" s="4015">
        <f>'[98]Actual H1 2014-15'!C11</f>
        <v>164.01770717040012</v>
      </c>
      <c r="E99" s="4015">
        <f>'[98]Actual H1 2014-15'!D11</f>
        <v>0.94844119999999976</v>
      </c>
      <c r="F99" s="4015">
        <f>'[98]Actual H1 2014-15'!E11</f>
        <v>5.7825537032696842E-2</v>
      </c>
      <c r="G99" s="4015"/>
    </row>
    <row r="100" spans="2:12" ht="18" customHeight="1">
      <c r="C100" s="4016" t="str">
        <f>'[98]Actual H1 2014-15'!B12</f>
        <v xml:space="preserve">Net Requirement Grosseded up power  </v>
      </c>
      <c r="D100" s="4017">
        <f>'[98]Actual H1 2014-15'!C12</f>
        <v>2641.2675723400002</v>
      </c>
      <c r="E100" s="4017">
        <f>'[98]Actual H1 2014-15'!D12</f>
        <v>910.74992468379412</v>
      </c>
      <c r="F100" s="4017">
        <f>'[98]Actual H1 2014-15'!E12</f>
        <v>3.4481547201858302</v>
      </c>
      <c r="G100" s="4015"/>
    </row>
    <row r="104" spans="2:12" ht="30">
      <c r="B104" s="4382" t="s">
        <v>575</v>
      </c>
      <c r="C104" s="4382" t="s">
        <v>3327</v>
      </c>
      <c r="D104" s="4382" t="s">
        <v>3328</v>
      </c>
      <c r="E104" s="4382" t="s">
        <v>3130</v>
      </c>
      <c r="F104" s="4382" t="s">
        <v>3141</v>
      </c>
      <c r="G104" s="4382" t="s">
        <v>47</v>
      </c>
    </row>
    <row r="105" spans="2:12">
      <c r="B105" s="4382"/>
      <c r="C105" s="4382"/>
      <c r="D105" s="4382"/>
      <c r="E105" s="4382"/>
      <c r="F105" s="4382" t="s">
        <v>581</v>
      </c>
      <c r="G105" s="4382" t="s">
        <v>3329</v>
      </c>
    </row>
    <row r="106" spans="2:12">
      <c r="B106" s="4383">
        <v>1</v>
      </c>
      <c r="C106" s="4384" t="s">
        <v>3330</v>
      </c>
      <c r="D106" s="4385">
        <v>1313.76</v>
      </c>
      <c r="E106" s="4386">
        <v>146.94</v>
      </c>
      <c r="F106" s="4386">
        <v>444.24</v>
      </c>
      <c r="G106" s="4386">
        <f>SUM(E106:F106)</f>
        <v>591.18000000000006</v>
      </c>
      <c r="H106" s="4393">
        <f t="shared" ref="H106" si="16">F106/D106*10</f>
        <v>3.3814395323346731</v>
      </c>
    </row>
    <row r="107" spans="2:12">
      <c r="B107" s="4383">
        <v>2</v>
      </c>
      <c r="C107" s="4384" t="s">
        <v>3331</v>
      </c>
      <c r="D107" s="4385">
        <v>113.08</v>
      </c>
      <c r="E107" s="4386">
        <v>86.73</v>
      </c>
      <c r="F107" s="4386">
        <v>151.19</v>
      </c>
      <c r="G107" s="4386">
        <f>SUM(E107:F107)</f>
        <v>237.92000000000002</v>
      </c>
      <c r="H107" s="4393">
        <f>F107/D107*10</f>
        <v>13.370180403254333</v>
      </c>
    </row>
    <row r="108" spans="2:12">
      <c r="B108" s="4383">
        <v>3</v>
      </c>
      <c r="C108" s="4384" t="s">
        <v>3332</v>
      </c>
      <c r="D108" s="4010">
        <v>0</v>
      </c>
      <c r="E108" s="4386">
        <v>56.23</v>
      </c>
      <c r="F108" s="4386">
        <v>0</v>
      </c>
      <c r="G108" s="4386">
        <f>SUM(E108:F108)</f>
        <v>56.23</v>
      </c>
      <c r="H108" s="4393"/>
    </row>
    <row r="109" spans="2:12">
      <c r="B109" s="4383">
        <v>4</v>
      </c>
      <c r="C109" s="4387" t="s">
        <v>3333</v>
      </c>
      <c r="D109" s="4388">
        <f>SUM(D106:D108)</f>
        <v>1426.84</v>
      </c>
      <c r="E109" s="4388">
        <f>SUM(E106:E108)</f>
        <v>289.90000000000003</v>
      </c>
      <c r="F109" s="4388">
        <f t="shared" ref="F109" si="17">SUM(F106:F108)</f>
        <v>595.43000000000006</v>
      </c>
      <c r="G109" s="4388">
        <f>SUM(G106:G108)</f>
        <v>885.33000000000015</v>
      </c>
      <c r="H109" s="4393">
        <f t="shared" ref="H109:H113" si="18">F109/D109*10</f>
        <v>4.173067758122845</v>
      </c>
    </row>
    <row r="110" spans="2:12">
      <c r="B110" s="4383">
        <v>5</v>
      </c>
      <c r="C110" s="4384" t="s">
        <v>3334</v>
      </c>
      <c r="D110" s="4385">
        <v>386.44</v>
      </c>
      <c r="E110" s="4386">
        <v>39.36</v>
      </c>
      <c r="F110" s="4386">
        <v>53.81</v>
      </c>
      <c r="G110" s="4386">
        <v>93.17</v>
      </c>
      <c r="H110" s="4393">
        <f>F110/D110*10</f>
        <v>1.3924541972880655</v>
      </c>
    </row>
    <row r="111" spans="2:12">
      <c r="B111" s="4390"/>
      <c r="C111" s="4391" t="s">
        <v>3335</v>
      </c>
      <c r="D111" s="4388"/>
      <c r="E111" s="4389"/>
      <c r="F111" s="4389"/>
      <c r="G111" s="4386">
        <v>-48.08</v>
      </c>
      <c r="H111" s="4393"/>
    </row>
    <row r="112" spans="2:12">
      <c r="B112" s="4390"/>
      <c r="C112" s="4391" t="s">
        <v>3336</v>
      </c>
      <c r="D112" s="4388"/>
      <c r="E112" s="4389"/>
      <c r="F112" s="4389"/>
      <c r="G112" s="4386">
        <v>1.72</v>
      </c>
      <c r="H112" s="4393"/>
    </row>
    <row r="113" spans="2:8">
      <c r="B113" s="4390">
        <v>6</v>
      </c>
      <c r="C113" s="4392" t="s">
        <v>3337</v>
      </c>
      <c r="D113" s="4389">
        <f>SUM(D109:D112)</f>
        <v>1813.28</v>
      </c>
      <c r="E113" s="4389">
        <f>SUM(E109:E112)</f>
        <v>329.26000000000005</v>
      </c>
      <c r="F113" s="4389">
        <f>SUM(F109:F112)</f>
        <v>649.24</v>
      </c>
      <c r="G113" s="4389">
        <f>SUM(G109:G112)</f>
        <v>932.1400000000001</v>
      </c>
      <c r="H113" s="4393">
        <f t="shared" si="18"/>
        <v>3.5804729550869148</v>
      </c>
    </row>
    <row r="115" spans="2:8">
      <c r="D115" s="4035">
        <f>G47-D113</f>
        <v>1704.2705773956875</v>
      </c>
      <c r="G115" s="4350">
        <f>G52-G113</f>
        <v>752.46416284081602</v>
      </c>
    </row>
    <row r="117" spans="2:8">
      <c r="C117" s="4012" t="s">
        <v>3439</v>
      </c>
    </row>
    <row r="118" spans="2:8">
      <c r="C118" s="4581"/>
      <c r="D118" s="5533" t="s">
        <v>2442</v>
      </c>
      <c r="E118" s="5533"/>
      <c r="F118" s="5533" t="s">
        <v>2443</v>
      </c>
      <c r="G118" s="5533"/>
    </row>
    <row r="119" spans="2:8">
      <c r="C119" s="4581"/>
      <c r="D119" s="4581" t="s">
        <v>83</v>
      </c>
      <c r="E119" s="4581" t="s">
        <v>3209</v>
      </c>
      <c r="F119" s="4581" t="s">
        <v>83</v>
      </c>
      <c r="G119" s="4581" t="s">
        <v>3209</v>
      </c>
    </row>
    <row r="120" spans="2:8">
      <c r="C120" s="4013" t="s">
        <v>3440</v>
      </c>
      <c r="D120" s="4013">
        <v>3906.52</v>
      </c>
      <c r="E120" s="4013">
        <v>3.9</v>
      </c>
      <c r="F120" s="4013">
        <v>3648.85</v>
      </c>
      <c r="G120" s="4013">
        <v>3.91</v>
      </c>
    </row>
    <row r="121" spans="2:8">
      <c r="C121" s="4013" t="s">
        <v>3441</v>
      </c>
      <c r="D121" s="4013">
        <v>1477.15</v>
      </c>
      <c r="E121" s="4013">
        <v>2.0099999999999998</v>
      </c>
      <c r="F121" s="4013">
        <v>1481.2</v>
      </c>
      <c r="G121" s="4013">
        <v>2.02</v>
      </c>
    </row>
    <row r="122" spans="2:8">
      <c r="C122" s="4013"/>
      <c r="D122" s="4013"/>
      <c r="E122" s="4582">
        <f>SUMPRODUCT(D120:D121,E120:E121)/SUM(D120:D121)</f>
        <v>3.3814293038020526</v>
      </c>
      <c r="F122" s="4013"/>
      <c r="G122" s="4582">
        <f>SUMPRODUCT(F120:F121,G120:G121)/SUM(F120:F121)</f>
        <v>3.364300055555014</v>
      </c>
    </row>
    <row r="124" spans="2:8">
      <c r="C124" s="4583" t="s">
        <v>3442</v>
      </c>
    </row>
    <row r="126" spans="2:8">
      <c r="C126" s="4856" t="s">
        <v>2245</v>
      </c>
      <c r="D126" s="4856" t="s">
        <v>83</v>
      </c>
      <c r="E126" s="4856" t="s">
        <v>3117</v>
      </c>
      <c r="F126" s="4856" t="s">
        <v>83</v>
      </c>
    </row>
    <row r="127" spans="2:8">
      <c r="C127" s="4585">
        <v>41730</v>
      </c>
      <c r="D127" s="4015">
        <v>82.885391999999996</v>
      </c>
      <c r="E127" s="4034">
        <v>0.27600000000000002</v>
      </c>
      <c r="F127" s="4015">
        <f>D127*E127</f>
        <v>22.876368192000001</v>
      </c>
    </row>
    <row r="128" spans="2:8">
      <c r="C128" s="4585">
        <v>41760</v>
      </c>
      <c r="D128" s="4015">
        <v>113.337396</v>
      </c>
      <c r="E128" s="4034">
        <v>0.27600000000000002</v>
      </c>
      <c r="F128" s="4015">
        <f t="shared" ref="F128:F134" si="19">D128*E128</f>
        <v>31.281121296000002</v>
      </c>
    </row>
    <row r="129" spans="3:8">
      <c r="C129" s="4585">
        <v>41791</v>
      </c>
      <c r="D129" s="4015">
        <v>108.422056</v>
      </c>
      <c r="E129" s="4034">
        <v>0.27600000000000002</v>
      </c>
      <c r="F129" s="4015">
        <f t="shared" si="19"/>
        <v>29.924487456000001</v>
      </c>
    </row>
    <row r="130" spans="3:8">
      <c r="C130" s="4013"/>
      <c r="D130" s="4015">
        <v>11.804314</v>
      </c>
      <c r="E130" s="4034">
        <v>0.51170000000000004</v>
      </c>
      <c r="F130" s="4015">
        <f t="shared" si="19"/>
        <v>6.0402674738000002</v>
      </c>
    </row>
    <row r="131" spans="3:8">
      <c r="C131" s="4585">
        <v>41821</v>
      </c>
      <c r="D131" s="4015">
        <v>35.460213000000003</v>
      </c>
      <c r="E131" s="4034">
        <v>0.27600000000000002</v>
      </c>
      <c r="F131" s="4015">
        <f t="shared" si="19"/>
        <v>9.787018788000001</v>
      </c>
    </row>
    <row r="132" spans="3:8">
      <c r="C132" s="4585">
        <v>41852</v>
      </c>
      <c r="D132" s="4015">
        <v>0</v>
      </c>
      <c r="E132" s="4034">
        <v>0.27600000000000002</v>
      </c>
      <c r="F132" s="4015">
        <f t="shared" si="19"/>
        <v>0</v>
      </c>
    </row>
    <row r="133" spans="3:8">
      <c r="C133" s="4585">
        <v>41883</v>
      </c>
      <c r="D133" s="4015">
        <v>19.317594</v>
      </c>
      <c r="E133" s="4034">
        <v>0.27266000000000001</v>
      </c>
      <c r="F133" s="4015">
        <f t="shared" si="19"/>
        <v>5.2671351800400004</v>
      </c>
    </row>
    <row r="134" spans="3:8">
      <c r="C134" s="4013"/>
      <c r="D134" s="4015">
        <v>15.455138</v>
      </c>
      <c r="E134" s="4034">
        <v>0.51170000000000004</v>
      </c>
      <c r="F134" s="4015">
        <f t="shared" si="19"/>
        <v>7.908394114600001</v>
      </c>
    </row>
    <row r="135" spans="3:8">
      <c r="C135" s="4016" t="s">
        <v>3443</v>
      </c>
      <c r="D135" s="4017">
        <f>SUM(D127:D134)</f>
        <v>386.68210299999993</v>
      </c>
      <c r="E135" s="4586">
        <f>F135/D135</f>
        <v>0.29244899524206847</v>
      </c>
      <c r="F135" s="4017">
        <f>SUM(F127:F134)</f>
        <v>113.08479250044</v>
      </c>
    </row>
    <row r="136" spans="3:8">
      <c r="C136" s="4016" t="s">
        <v>3444</v>
      </c>
      <c r="D136" s="4017">
        <f>H21-D135</f>
        <v>147.92789700000009</v>
      </c>
      <c r="E136" s="4587">
        <v>0.27257429999999999</v>
      </c>
      <c r="F136" s="4017">
        <f>D136*E136</f>
        <v>40.32134297524712</v>
      </c>
    </row>
    <row r="137" spans="3:8">
      <c r="C137" s="4016" t="s">
        <v>47</v>
      </c>
      <c r="D137" s="4017">
        <f>D135+D136</f>
        <v>534.61</v>
      </c>
      <c r="E137" s="4587">
        <f>F137/D137</f>
        <v>0.28694961836794503</v>
      </c>
      <c r="F137" s="4017">
        <f>SUM(F135:F136)</f>
        <v>153.40613547568711</v>
      </c>
    </row>
    <row r="140" spans="3:8">
      <c r="C140" s="4013"/>
      <c r="D140" s="4362" t="s">
        <v>3445</v>
      </c>
      <c r="E140" s="4362" t="s">
        <v>3446</v>
      </c>
      <c r="F140" s="4362" t="s">
        <v>3447</v>
      </c>
      <c r="G140" s="4362" t="s">
        <v>3448</v>
      </c>
      <c r="H140" s="4362" t="s">
        <v>47</v>
      </c>
    </row>
    <row r="141" spans="3:8">
      <c r="C141" s="4585">
        <v>41730</v>
      </c>
      <c r="D141" s="4588">
        <v>-4.3136404499999996E-2</v>
      </c>
      <c r="E141" s="4588">
        <v>163.3501143197</v>
      </c>
      <c r="F141" s="4588">
        <v>-0.18224093160000002</v>
      </c>
      <c r="G141" s="4588">
        <v>62.799059479100009</v>
      </c>
      <c r="H141" s="4588">
        <v>225.92379646270001</v>
      </c>
    </row>
    <row r="142" spans="3:8">
      <c r="C142" s="4585">
        <v>41760</v>
      </c>
      <c r="D142" s="4588">
        <v>-6.1326831999999998E-2</v>
      </c>
      <c r="E142" s="4588">
        <v>158.60770328130002</v>
      </c>
      <c r="F142" s="4588">
        <v>0</v>
      </c>
      <c r="G142" s="4588">
        <v>65.685089950200009</v>
      </c>
      <c r="H142" s="4588">
        <v>224.23146639950005</v>
      </c>
    </row>
    <row r="143" spans="3:8">
      <c r="C143" s="4585">
        <v>41791</v>
      </c>
      <c r="D143" s="4588">
        <v>-5.2974333999999998E-2</v>
      </c>
      <c r="E143" s="4588">
        <v>155.82258874909999</v>
      </c>
      <c r="F143" s="4588">
        <v>0</v>
      </c>
      <c r="G143" s="4588">
        <v>62.012305889800004</v>
      </c>
      <c r="H143" s="4588">
        <v>217.78192030489998</v>
      </c>
    </row>
    <row r="144" spans="3:8">
      <c r="C144" s="4585">
        <v>41821</v>
      </c>
      <c r="D144" s="4588">
        <v>-5.2284557499999995E-2</v>
      </c>
      <c r="E144" s="4588">
        <v>148.16138360030004</v>
      </c>
      <c r="F144" s="4588">
        <v>8.0767710464000011</v>
      </c>
      <c r="G144" s="4588">
        <v>59.154812416000006</v>
      </c>
      <c r="H144" s="4588">
        <v>215.34068250520005</v>
      </c>
    </row>
    <row r="145" spans="3:8">
      <c r="C145" s="4585">
        <v>41852</v>
      </c>
      <c r="D145" s="4588">
        <v>-0.145483324</v>
      </c>
      <c r="E145" s="4588">
        <v>167.36838696270001</v>
      </c>
      <c r="F145" s="4588">
        <v>-1.244270188</v>
      </c>
      <c r="G145" s="4588">
        <v>61.3047076852</v>
      </c>
      <c r="H145" s="4588">
        <v>227.2833411359</v>
      </c>
    </row>
    <row r="146" spans="3:8">
      <c r="C146" s="4585">
        <v>41883</v>
      </c>
      <c r="D146" s="4588">
        <v>-0.15117131749999999</v>
      </c>
      <c r="E146" s="4588">
        <v>144.30489770480003</v>
      </c>
      <c r="F146" s="4588">
        <v>-0.86150733060000007</v>
      </c>
      <c r="G146" s="4588">
        <v>59.907437150400007</v>
      </c>
      <c r="H146" s="4588">
        <v>203.19965620710002</v>
      </c>
    </row>
    <row r="147" spans="3:8">
      <c r="C147" s="4589" t="s">
        <v>47</v>
      </c>
      <c r="D147" s="4590">
        <f>SUM(D141:D146)</f>
        <v>-0.50637676949999999</v>
      </c>
      <c r="E147" s="4590">
        <f>SUM(E141:E146)</f>
        <v>937.61507461790006</v>
      </c>
      <c r="F147" s="4590">
        <f>SUM(F141:F146)</f>
        <v>5.788752596200001</v>
      </c>
      <c r="G147" s="4590">
        <f>SUM(G141:G146)</f>
        <v>370.86341257070006</v>
      </c>
      <c r="H147" s="4590">
        <f>SUM(H141:H146)</f>
        <v>1313.7608630152999</v>
      </c>
    </row>
    <row r="148" spans="3:8">
      <c r="C148" s="4013"/>
      <c r="D148" s="4588"/>
      <c r="E148" s="4590">
        <f>E147+((D147+F147)/2)</f>
        <v>940.25626253125006</v>
      </c>
      <c r="F148" s="4590"/>
      <c r="G148" s="4590">
        <f>((F147+D147)/2)+G147</f>
        <v>373.50460048405006</v>
      </c>
      <c r="H148" s="4588"/>
    </row>
    <row r="149" spans="3:8">
      <c r="E149" s="4591">
        <f>E148/($E$148+$G$148)</f>
        <v>0.71569818298073307</v>
      </c>
      <c r="F149" s="4591"/>
      <c r="G149" s="4591">
        <f>G148/($E$148+$G$148)</f>
        <v>0.28430181701926693</v>
      </c>
    </row>
  </sheetData>
  <mergeCells count="6">
    <mergeCell ref="B32:B33"/>
    <mergeCell ref="C32:C33"/>
    <mergeCell ref="D32:F32"/>
    <mergeCell ref="G32:I32"/>
    <mergeCell ref="D118:E118"/>
    <mergeCell ref="F118:G118"/>
  </mergeCells>
  <pageMargins left="0.7" right="0.7" top="0.75" bottom="0.75" header="0.3" footer="0.3"/>
  <pageSetup scale="41" orientation="portrait" r:id="rId1"/>
  <legacyDrawing r:id="rId2"/>
</worksheet>
</file>

<file path=xl/worksheets/sheet31.xml><?xml version="1.0" encoding="utf-8"?>
<worksheet xmlns="http://schemas.openxmlformats.org/spreadsheetml/2006/main" xmlns:r="http://schemas.openxmlformats.org/officeDocument/2006/relationships">
  <sheetPr>
    <pageSetUpPr fitToPage="1"/>
  </sheetPr>
  <dimension ref="B2:Q61"/>
  <sheetViews>
    <sheetView showGridLines="0" view="pageBreakPreview" topLeftCell="A27" zoomScale="60" workbookViewId="0">
      <selection activeCell="A38" sqref="A38:XFD61"/>
    </sheetView>
  </sheetViews>
  <sheetFormatPr defaultRowHeight="15"/>
  <cols>
    <col min="1" max="1" width="2.42578125" style="4861" customWidth="1"/>
    <col min="2" max="2" width="11.5703125" style="4861" customWidth="1"/>
    <col min="3" max="3" width="24.42578125" style="4861" customWidth="1"/>
    <col min="4" max="10" width="23.7109375" style="4861" customWidth="1"/>
    <col min="11" max="11" width="15.7109375" style="4861" customWidth="1"/>
    <col min="12" max="12" width="12.140625" style="4861" customWidth="1"/>
    <col min="13" max="13" width="11.7109375" style="4861" customWidth="1"/>
    <col min="14" max="14" width="12" style="4861" customWidth="1"/>
    <col min="15" max="15" width="16.5703125" style="4861" customWidth="1"/>
    <col min="16" max="16" width="14.5703125" style="4861" customWidth="1"/>
    <col min="17" max="17" width="13.28515625" style="4861" customWidth="1"/>
    <col min="18" max="16384" width="9.140625" style="4861"/>
  </cols>
  <sheetData>
    <row r="2" spans="2:17">
      <c r="B2" s="5534" t="s">
        <v>3601</v>
      </c>
      <c r="C2" s="5534"/>
      <c r="D2" s="5534"/>
      <c r="E2" s="5534"/>
      <c r="F2" s="5534"/>
      <c r="G2" s="5534"/>
      <c r="H2" s="5534"/>
      <c r="I2" s="5534"/>
      <c r="J2" s="5534"/>
      <c r="K2" s="5019"/>
      <c r="L2" s="5019"/>
      <c r="M2" s="5019"/>
      <c r="N2" s="5019"/>
      <c r="O2" s="5019"/>
      <c r="P2" s="5019"/>
      <c r="Q2" s="5019"/>
    </row>
    <row r="3" spans="2:17">
      <c r="B3" s="5535" t="s">
        <v>3602</v>
      </c>
      <c r="C3" s="5535"/>
      <c r="D3" s="5535"/>
      <c r="E3" s="5535"/>
      <c r="F3" s="5535"/>
      <c r="G3" s="5535"/>
      <c r="H3" s="5535"/>
      <c r="I3" s="5535"/>
      <c r="J3" s="5535"/>
      <c r="K3" s="5019"/>
      <c r="L3" s="5019"/>
      <c r="M3" s="5019"/>
      <c r="N3" s="5019"/>
      <c r="O3" s="5019"/>
      <c r="P3" s="5019"/>
      <c r="Q3" s="5019"/>
    </row>
    <row r="4" spans="2:17">
      <c r="B4" s="5020"/>
      <c r="C4" s="5021"/>
      <c r="D4" s="5021"/>
      <c r="E4" s="5021"/>
      <c r="F4" s="5021"/>
      <c r="G4" s="5021"/>
      <c r="H4" s="5021"/>
      <c r="I4" s="5021"/>
      <c r="J4" s="5021"/>
      <c r="K4" s="5021"/>
      <c r="L4" s="5021"/>
      <c r="M4" s="5021"/>
      <c r="N4" s="5021"/>
      <c r="O4" s="5021"/>
      <c r="P4" s="5021"/>
      <c r="Q4" s="5021"/>
    </row>
    <row r="5" spans="2:17">
      <c r="B5" s="5536" t="s">
        <v>3917</v>
      </c>
      <c r="C5" s="5536"/>
      <c r="D5" s="5536"/>
      <c r="E5" s="5536"/>
      <c r="F5" s="5536"/>
      <c r="G5" s="5536"/>
      <c r="H5" s="5536"/>
      <c r="I5" s="5536"/>
      <c r="J5" s="5536"/>
      <c r="K5" s="5021"/>
      <c r="L5" s="5021"/>
      <c r="M5" s="5021"/>
      <c r="N5" s="5021"/>
      <c r="O5" s="5021"/>
      <c r="P5" s="5021"/>
      <c r="Q5" s="5021"/>
    </row>
    <row r="6" spans="2:17">
      <c r="B6" s="5537" t="s">
        <v>3734</v>
      </c>
      <c r="C6" s="5537"/>
      <c r="D6" s="5537"/>
      <c r="E6" s="5537"/>
      <c r="F6" s="5537"/>
      <c r="G6" s="5537"/>
      <c r="H6" s="5537"/>
      <c r="I6" s="5537"/>
      <c r="J6" s="5537"/>
      <c r="K6" s="5021"/>
      <c r="L6" s="5021"/>
      <c r="M6" s="5021"/>
      <c r="N6" s="5021"/>
      <c r="O6" s="5021"/>
      <c r="P6" s="5021"/>
      <c r="Q6" s="5021"/>
    </row>
    <row r="7" spans="2:17">
      <c r="B7" s="4862"/>
      <c r="C7" s="4863"/>
      <c r="D7" s="4863"/>
      <c r="E7" s="4863"/>
      <c r="F7" s="4863"/>
      <c r="G7" s="4863"/>
      <c r="H7" s="4863"/>
      <c r="I7" s="4863"/>
      <c r="J7" s="4863"/>
      <c r="K7" s="4863"/>
      <c r="L7" s="4863"/>
      <c r="M7" s="4863"/>
      <c r="N7" s="4863"/>
      <c r="O7" s="4863"/>
      <c r="P7" s="4863"/>
      <c r="Q7" s="4863"/>
    </row>
    <row r="8" spans="2:17">
      <c r="B8" s="4862"/>
      <c r="C8" s="4863"/>
      <c r="D8" s="4863"/>
      <c r="E8" s="4863"/>
      <c r="F8" s="4863"/>
      <c r="G8" s="4863"/>
      <c r="H8" s="4863"/>
      <c r="I8" s="4863"/>
      <c r="J8" s="4863"/>
      <c r="K8" s="4863"/>
      <c r="L8" s="4863"/>
      <c r="M8" s="4863"/>
      <c r="N8" s="4863"/>
      <c r="O8" s="4863"/>
      <c r="P8" s="4863"/>
      <c r="Q8" s="4863"/>
    </row>
    <row r="9" spans="2:17">
      <c r="B9" s="5030" t="s">
        <v>82</v>
      </c>
      <c r="C9" s="5013"/>
      <c r="D9" s="5013"/>
      <c r="E9" s="5013"/>
      <c r="F9" s="5013"/>
      <c r="G9" s="5013"/>
      <c r="H9" s="5013"/>
      <c r="I9" s="5013"/>
      <c r="J9" s="5013"/>
      <c r="K9" s="5013"/>
      <c r="L9" s="5013"/>
      <c r="M9" s="5013"/>
      <c r="N9" s="5013"/>
      <c r="O9" s="5013"/>
      <c r="P9" s="5013"/>
      <c r="Q9" s="5013"/>
    </row>
    <row r="11" spans="2:17" ht="45">
      <c r="B11" s="5022" t="s">
        <v>575</v>
      </c>
      <c r="C11" s="5077" t="s">
        <v>3611</v>
      </c>
      <c r="D11" s="5015" t="s">
        <v>3735</v>
      </c>
      <c r="E11" s="5015" t="s">
        <v>3736</v>
      </c>
      <c r="F11" s="5015" t="s">
        <v>3612</v>
      </c>
      <c r="G11" s="5015" t="s">
        <v>3737</v>
      </c>
      <c r="H11" s="5015" t="s">
        <v>3613</v>
      </c>
      <c r="I11" s="5015" t="s">
        <v>3738</v>
      </c>
      <c r="J11" s="5015" t="s">
        <v>3614</v>
      </c>
      <c r="K11" s="5103" t="s">
        <v>3770</v>
      </c>
    </row>
    <row r="12" spans="2:17" ht="15.75">
      <c r="B12" s="5014"/>
      <c r="C12" s="4904" t="s">
        <v>3615</v>
      </c>
      <c r="D12" s="5014"/>
      <c r="E12" s="5014"/>
      <c r="F12" s="5014"/>
      <c r="G12" s="5014"/>
      <c r="H12" s="5014"/>
      <c r="I12" s="5014"/>
      <c r="J12" s="5101"/>
      <c r="K12" s="5209"/>
    </row>
    <row r="13" spans="2:17">
      <c r="B13" s="3427">
        <v>1</v>
      </c>
      <c r="C13" s="3453" t="s">
        <v>3616</v>
      </c>
      <c r="D13" s="3427">
        <v>108</v>
      </c>
      <c r="E13" s="5106">
        <v>0.62649999999999995</v>
      </c>
      <c r="F13" s="3428">
        <v>-2.1640838659999999</v>
      </c>
      <c r="G13" s="3428">
        <v>5.6680175999999998</v>
      </c>
      <c r="H13" s="3428">
        <f t="shared" ref="H13:H18" si="0">I13/F13*10</f>
        <v>0.86217128842085256</v>
      </c>
      <c r="I13" s="3428">
        <v>-0.18658109749999996</v>
      </c>
      <c r="J13" s="3428">
        <v>5.4814365024999994</v>
      </c>
      <c r="K13" s="5210">
        <f>J13/F13*10</f>
        <v>-25.329131595217017</v>
      </c>
    </row>
    <row r="14" spans="2:17">
      <c r="B14" s="3427">
        <v>2</v>
      </c>
      <c r="C14" s="3453" t="s">
        <v>3617</v>
      </c>
      <c r="D14" s="3427">
        <v>500</v>
      </c>
      <c r="E14" s="5107">
        <v>0.51170000000000004</v>
      </c>
      <c r="F14" s="3428">
        <v>1877.4681531045999</v>
      </c>
      <c r="G14" s="3428">
        <v>122.90522279999999</v>
      </c>
      <c r="H14" s="3428">
        <f t="shared" si="0"/>
        <v>3.8971336060635497</v>
      </c>
      <c r="I14" s="3428">
        <v>731.67442337780017</v>
      </c>
      <c r="J14" s="3428">
        <v>854.57964617780021</v>
      </c>
      <c r="K14" s="5210">
        <f t="shared" ref="K14:K22" si="1">J14/F14*10</f>
        <v>4.5517664028796379</v>
      </c>
    </row>
    <row r="15" spans="2:17">
      <c r="B15" s="3427">
        <v>3</v>
      </c>
      <c r="C15" s="3453" t="s">
        <v>3618</v>
      </c>
      <c r="D15" s="3427">
        <v>500</v>
      </c>
      <c r="E15" s="5107">
        <v>0.51170000000000004</v>
      </c>
      <c r="F15" s="3428">
        <v>976.67244891650012</v>
      </c>
      <c r="G15" s="3428">
        <v>105.81444359999999</v>
      </c>
      <c r="H15" s="3428">
        <f t="shared" si="0"/>
        <v>10.342871053130963</v>
      </c>
      <c r="I15" s="3428">
        <v>1010.1597200289</v>
      </c>
      <c r="J15" s="3428">
        <v>1115.9741636289</v>
      </c>
      <c r="K15" s="5210">
        <f t="shared" si="1"/>
        <v>11.426288976073177</v>
      </c>
    </row>
    <row r="16" spans="2:17">
      <c r="B16" s="3427">
        <v>4</v>
      </c>
      <c r="C16" s="3453" t="s">
        <v>3619</v>
      </c>
      <c r="D16" s="3427">
        <v>180</v>
      </c>
      <c r="E16" s="5107">
        <v>0.51170000000000004</v>
      </c>
      <c r="F16" s="3428">
        <v>798.37267114080009</v>
      </c>
      <c r="G16" s="3428">
        <v>54.644443200000005</v>
      </c>
      <c r="H16" s="3428">
        <f t="shared" si="0"/>
        <v>2.763092574651715</v>
      </c>
      <c r="I16" s="3428">
        <v>220.59775994340004</v>
      </c>
      <c r="J16" s="3428">
        <v>275.24220314340005</v>
      </c>
      <c r="K16" s="5210">
        <f t="shared" si="1"/>
        <v>3.4475403917584577</v>
      </c>
    </row>
    <row r="17" spans="2:11">
      <c r="B17" s="3427">
        <v>5</v>
      </c>
      <c r="C17" s="3453" t="s">
        <v>3620</v>
      </c>
      <c r="D17" s="3427">
        <v>250</v>
      </c>
      <c r="E17" s="5108">
        <v>0.4</v>
      </c>
      <c r="F17" s="3428">
        <v>719.3799479999999</v>
      </c>
      <c r="G17" s="3428">
        <v>92.537959200000003</v>
      </c>
      <c r="H17" s="3428">
        <f t="shared" si="0"/>
        <v>3.9530502836919226</v>
      </c>
      <c r="I17" s="3428">
        <v>284.374510752368</v>
      </c>
      <c r="J17" s="3428">
        <v>376.91246995236799</v>
      </c>
      <c r="K17" s="5210">
        <f t="shared" si="1"/>
        <v>5.2394075064261871</v>
      </c>
    </row>
    <row r="18" spans="2:11" ht="15.75">
      <c r="B18" s="3427">
        <v>6</v>
      </c>
      <c r="C18" s="5081" t="s">
        <v>3310</v>
      </c>
      <c r="D18" s="3427">
        <v>447</v>
      </c>
      <c r="E18" s="5107">
        <v>0.51170000000000004</v>
      </c>
      <c r="F18" s="3948">
        <v>714.23784777520007</v>
      </c>
      <c r="G18" s="3428"/>
      <c r="H18" s="3428">
        <f t="shared" si="0"/>
        <v>1.8146170007094415</v>
      </c>
      <c r="I18" s="3428">
        <v>129.60681411230001</v>
      </c>
      <c r="J18" s="3428">
        <v>129.60681411230001</v>
      </c>
      <c r="K18" s="5210">
        <f t="shared" si="1"/>
        <v>1.8146170007094415</v>
      </c>
    </row>
    <row r="19" spans="2:11">
      <c r="B19" s="3427">
        <v>7</v>
      </c>
      <c r="C19" s="5079" t="s">
        <v>3621</v>
      </c>
      <c r="D19" s="3427"/>
      <c r="E19" s="3427"/>
      <c r="F19" s="4906"/>
      <c r="G19" s="3428">
        <v>-34.903057199999999</v>
      </c>
      <c r="H19" s="3427"/>
      <c r="I19" s="3428"/>
      <c r="J19" s="3428">
        <v>-34.903057199999999</v>
      </c>
      <c r="K19" s="5210"/>
    </row>
    <row r="20" spans="2:11">
      <c r="B20" s="5016">
        <v>8</v>
      </c>
      <c r="C20" s="5079" t="s">
        <v>3622</v>
      </c>
      <c r="D20" s="5014"/>
      <c r="E20" s="5014"/>
      <c r="F20" s="5014"/>
      <c r="G20" s="3439">
        <v>5.927587859</v>
      </c>
      <c r="H20" s="5014"/>
      <c r="I20" s="5014"/>
      <c r="J20" s="3439">
        <v>5.927587859</v>
      </c>
      <c r="K20" s="5210"/>
    </row>
    <row r="21" spans="2:11">
      <c r="B21" s="4907">
        <v>9</v>
      </c>
      <c r="C21" s="5080" t="s">
        <v>3336</v>
      </c>
      <c r="D21" s="5018"/>
      <c r="E21" s="5014"/>
      <c r="F21" s="5014"/>
      <c r="G21" s="3439">
        <v>10.395381152999999</v>
      </c>
      <c r="H21" s="5014"/>
      <c r="I21" s="5014"/>
      <c r="J21" s="3428">
        <v>10.395381152999999</v>
      </c>
      <c r="K21" s="5210"/>
    </row>
    <row r="22" spans="2:11">
      <c r="B22" s="3427">
        <v>10</v>
      </c>
      <c r="C22" s="3453" t="s">
        <v>47</v>
      </c>
      <c r="D22" s="4906">
        <v>1985</v>
      </c>
      <c r="E22" s="4906"/>
      <c r="F22" s="3948">
        <v>5083.9669850710998</v>
      </c>
      <c r="G22" s="3948">
        <v>362.98999821200005</v>
      </c>
      <c r="H22" s="3948">
        <f>I22/F22*10</f>
        <v>4.6739616014324623</v>
      </c>
      <c r="I22" s="3948">
        <v>2376.2266471172684</v>
      </c>
      <c r="J22" s="3948">
        <v>2739.2166453292684</v>
      </c>
      <c r="K22" s="5210">
        <f t="shared" si="1"/>
        <v>5.3879512856257472</v>
      </c>
    </row>
    <row r="24" spans="2:11">
      <c r="B24" s="5029" t="s">
        <v>1845</v>
      </c>
    </row>
    <row r="26" spans="2:11" ht="45">
      <c r="B26" s="5022" t="s">
        <v>575</v>
      </c>
      <c r="C26" s="5078" t="s">
        <v>3611</v>
      </c>
      <c r="D26" s="5015" t="s">
        <v>3735</v>
      </c>
      <c r="E26" s="5015" t="s">
        <v>3736</v>
      </c>
      <c r="F26" s="5015" t="s">
        <v>3612</v>
      </c>
      <c r="G26" s="5015" t="s">
        <v>3739</v>
      </c>
      <c r="H26" s="5015" t="s">
        <v>3613</v>
      </c>
      <c r="I26" s="5015" t="s">
        <v>3738</v>
      </c>
      <c r="J26" s="5015" t="s">
        <v>3614</v>
      </c>
      <c r="K26" s="5103" t="s">
        <v>3770</v>
      </c>
    </row>
    <row r="27" spans="2:11" ht="15.75">
      <c r="B27" s="5014"/>
      <c r="C27" s="5023" t="s">
        <v>3615</v>
      </c>
      <c r="D27" s="5014"/>
      <c r="E27" s="5014"/>
      <c r="F27" s="5014"/>
      <c r="G27" s="5014"/>
      <c r="H27" s="5014"/>
      <c r="I27" s="5014"/>
      <c r="J27" s="5014"/>
      <c r="K27" s="5209"/>
    </row>
    <row r="28" spans="2:11">
      <c r="B28" s="3427">
        <v>1</v>
      </c>
      <c r="C28" s="5024" t="s">
        <v>3616</v>
      </c>
      <c r="D28" s="3427">
        <v>108</v>
      </c>
      <c r="E28" s="5106">
        <v>0.62649999999999995</v>
      </c>
      <c r="F28" s="3427">
        <v>-1.78</v>
      </c>
      <c r="G28" s="3428">
        <v>7.3401905999999997</v>
      </c>
      <c r="H28" s="3428">
        <f t="shared" ref="H28:H33" si="2">I28/F28*10</f>
        <v>0</v>
      </c>
      <c r="I28" s="3428">
        <v>0</v>
      </c>
      <c r="J28" s="3428">
        <v>7.3401905999999997</v>
      </c>
      <c r="K28" s="5210">
        <f t="shared" ref="K28:K33" si="3">J28/F28*10</f>
        <v>-41.237025842696625</v>
      </c>
    </row>
    <row r="29" spans="2:11">
      <c r="B29" s="3427">
        <v>2</v>
      </c>
      <c r="C29" s="5024" t="s">
        <v>3617</v>
      </c>
      <c r="D29" s="3427">
        <v>500</v>
      </c>
      <c r="E29" s="5107">
        <v>0.51170000000000004</v>
      </c>
      <c r="F29" s="3427">
        <v>1808.64</v>
      </c>
      <c r="G29" s="3428">
        <v>175.80647479999999</v>
      </c>
      <c r="H29" s="3428">
        <f t="shared" si="2"/>
        <v>3.2697607041755128</v>
      </c>
      <c r="I29" s="3428">
        <v>591.38199999999995</v>
      </c>
      <c r="J29" s="3428">
        <v>767.18847479999999</v>
      </c>
      <c r="K29" s="5210">
        <f t="shared" si="3"/>
        <v>4.2417975650212316</v>
      </c>
    </row>
    <row r="30" spans="2:11">
      <c r="B30" s="3427">
        <v>3</v>
      </c>
      <c r="C30" s="5024" t="s">
        <v>3618</v>
      </c>
      <c r="D30" s="3427">
        <v>500</v>
      </c>
      <c r="E30" s="5107">
        <v>0.51170000000000004</v>
      </c>
      <c r="F30" s="3427">
        <v>231.95</v>
      </c>
      <c r="G30" s="3428">
        <v>138.53339359999998</v>
      </c>
      <c r="H30" s="3428">
        <f t="shared" si="2"/>
        <v>11.95495517580513</v>
      </c>
      <c r="I30" s="3428">
        <v>277.29518530280001</v>
      </c>
      <c r="J30" s="3428">
        <v>415.82857890280002</v>
      </c>
      <c r="K30" s="5210">
        <f t="shared" si="3"/>
        <v>17.927509329717612</v>
      </c>
    </row>
    <row r="31" spans="2:11">
      <c r="B31" s="3427">
        <v>4</v>
      </c>
      <c r="C31" s="5024" t="s">
        <v>3619</v>
      </c>
      <c r="D31" s="3427">
        <v>180</v>
      </c>
      <c r="E31" s="5107">
        <v>0.51170000000000004</v>
      </c>
      <c r="F31" s="3427">
        <v>635.52</v>
      </c>
      <c r="G31" s="3428">
        <v>77.415093200000001</v>
      </c>
      <c r="H31" s="3428">
        <f t="shared" si="2"/>
        <v>2.4634120811817941</v>
      </c>
      <c r="I31" s="3428">
        <v>156.55476458326538</v>
      </c>
      <c r="J31" s="3428">
        <v>233.96985778326538</v>
      </c>
      <c r="K31" s="5210">
        <f t="shared" si="3"/>
        <v>3.6815498770025394</v>
      </c>
    </row>
    <row r="32" spans="2:11">
      <c r="B32" s="3427">
        <v>5</v>
      </c>
      <c r="C32" s="5024" t="s">
        <v>3620</v>
      </c>
      <c r="D32" s="3427">
        <v>250</v>
      </c>
      <c r="E32" s="5108">
        <v>0.4</v>
      </c>
      <c r="F32" s="3427">
        <v>587.63</v>
      </c>
      <c r="G32" s="3428">
        <v>105.31965919999999</v>
      </c>
      <c r="H32" s="3428">
        <f t="shared" si="2"/>
        <v>3.3168981849273864</v>
      </c>
      <c r="I32" s="3428">
        <v>194.91088804088801</v>
      </c>
      <c r="J32" s="3428">
        <v>300.23054724088797</v>
      </c>
      <c r="K32" s="5210">
        <f t="shared" si="3"/>
        <v>5.1091766458636894</v>
      </c>
    </row>
    <row r="33" spans="2:11" ht="15.75">
      <c r="B33" s="3427">
        <v>6</v>
      </c>
      <c r="C33" s="5023" t="s">
        <v>3310</v>
      </c>
      <c r="D33" s="3427">
        <v>447</v>
      </c>
      <c r="E33" s="5107">
        <v>0.51170000000000004</v>
      </c>
      <c r="F33" s="3948">
        <v>796.85170000000005</v>
      </c>
      <c r="G33" s="3428">
        <v>60.636450000000004</v>
      </c>
      <c r="H33" s="3428">
        <f t="shared" si="2"/>
        <v>1.1456171210665063</v>
      </c>
      <c r="I33" s="3428">
        <v>91.288695047095146</v>
      </c>
      <c r="J33" s="3428">
        <v>151.92514504709516</v>
      </c>
      <c r="K33" s="5210">
        <f t="shared" si="3"/>
        <v>1.9065673706549808</v>
      </c>
    </row>
    <row r="34" spans="2:11">
      <c r="B34" s="3427">
        <v>7</v>
      </c>
      <c r="C34" s="5025" t="s">
        <v>3621</v>
      </c>
      <c r="D34" s="3427"/>
      <c r="E34" s="3427"/>
      <c r="F34" s="4906"/>
      <c r="G34" s="3428">
        <v>-5.8171761999999996</v>
      </c>
      <c r="H34" s="3427"/>
      <c r="I34" s="3428"/>
      <c r="J34" s="3428">
        <v>-5.8171761999999996</v>
      </c>
      <c r="K34" s="5210"/>
    </row>
    <row r="35" spans="2:11">
      <c r="B35" s="5026">
        <v>8</v>
      </c>
      <c r="C35" s="5027" t="s">
        <v>3336</v>
      </c>
      <c r="D35" s="5014"/>
      <c r="E35" s="5014"/>
      <c r="F35" s="5014"/>
      <c r="G35" s="3439">
        <v>0.23116579400000015</v>
      </c>
      <c r="H35" s="5014"/>
      <c r="I35" s="5014"/>
      <c r="J35" s="3428">
        <v>0.23116579400000015</v>
      </c>
      <c r="K35" s="5210"/>
    </row>
    <row r="36" spans="2:11">
      <c r="B36" s="3427">
        <v>9</v>
      </c>
      <c r="C36" s="5024" t="s">
        <v>47</v>
      </c>
      <c r="D36" s="4906">
        <v>1985</v>
      </c>
      <c r="E36" s="3427"/>
      <c r="F36" s="3948">
        <v>4058.8117000000002</v>
      </c>
      <c r="G36" s="3948">
        <v>559.46525099400003</v>
      </c>
      <c r="H36" s="3948">
        <f>I36/F36*10</f>
        <v>3.2310726141201584</v>
      </c>
      <c r="I36" s="3948">
        <v>1311.4315329740484</v>
      </c>
      <c r="J36" s="3948">
        <v>1870.8967839680486</v>
      </c>
      <c r="K36" s="5211">
        <f>J36/F36*10</f>
        <v>4.609469278823771</v>
      </c>
    </row>
    <row r="38" spans="2:11" ht="20.25" hidden="1" customHeight="1"/>
    <row r="39" spans="2:11" hidden="1">
      <c r="B39" s="5029" t="s">
        <v>2442</v>
      </c>
    </row>
    <row r="40" spans="2:11" hidden="1"/>
    <row r="41" spans="2:11" ht="45" hidden="1">
      <c r="B41" s="5022" t="s">
        <v>575</v>
      </c>
      <c r="C41" s="5028" t="s">
        <v>3611</v>
      </c>
      <c r="D41" s="5015" t="s">
        <v>3735</v>
      </c>
      <c r="E41" s="5015" t="s">
        <v>3736</v>
      </c>
      <c r="F41" s="5015" t="s">
        <v>3612</v>
      </c>
      <c r="G41" s="5015" t="s">
        <v>3739</v>
      </c>
      <c r="H41" s="5015" t="s">
        <v>3613</v>
      </c>
      <c r="I41" s="5015" t="s">
        <v>3738</v>
      </c>
      <c r="J41" s="5015" t="s">
        <v>3614</v>
      </c>
      <c r="K41" s="5103" t="s">
        <v>3770</v>
      </c>
    </row>
    <row r="42" spans="2:11" hidden="1">
      <c r="B42" s="3427">
        <v>1</v>
      </c>
      <c r="C42" s="5024" t="s">
        <v>3616</v>
      </c>
      <c r="D42" s="3427">
        <v>108</v>
      </c>
      <c r="E42" s="5106">
        <v>0.62649999999999995</v>
      </c>
      <c r="F42" s="5017">
        <v>-1.32</v>
      </c>
      <c r="G42" s="4934">
        <v>0</v>
      </c>
      <c r="H42" s="3428">
        <v>0</v>
      </c>
      <c r="I42" s="4935">
        <v>0</v>
      </c>
      <c r="J42" s="3428">
        <f>G42+I42</f>
        <v>0</v>
      </c>
      <c r="K42" s="5209"/>
    </row>
    <row r="43" spans="2:11" hidden="1">
      <c r="B43" s="3427">
        <v>2</v>
      </c>
      <c r="C43" s="5024" t="s">
        <v>3617</v>
      </c>
      <c r="D43" s="3427">
        <v>500</v>
      </c>
      <c r="E43" s="5107">
        <v>0.51170000000000004</v>
      </c>
      <c r="F43" s="5031">
        <v>1600.4233300000001</v>
      </c>
      <c r="G43" s="4934">
        <v>205.42</v>
      </c>
      <c r="H43" s="3428">
        <f t="shared" ref="H43:H48" si="4">I43/F43*10</f>
        <v>3.1212775929144692</v>
      </c>
      <c r="I43" s="4936">
        <f>'PP FY 2014-15'!BB14</f>
        <v>499.536547910656</v>
      </c>
      <c r="J43" s="3428">
        <f>G43+I43</f>
        <v>704.95654791065601</v>
      </c>
      <c r="K43" s="5210">
        <f>J43/F43*10</f>
        <v>4.4048129935137599</v>
      </c>
    </row>
    <row r="44" spans="2:11" hidden="1">
      <c r="B44" s="3427">
        <v>3</v>
      </c>
      <c r="C44" s="5024" t="s">
        <v>3618</v>
      </c>
      <c r="D44" s="3427">
        <v>500</v>
      </c>
      <c r="E44" s="5107">
        <v>0.51170000000000004</v>
      </c>
      <c r="F44" s="5017">
        <v>252.74</v>
      </c>
      <c r="G44" s="4934">
        <v>173.46</v>
      </c>
      <c r="H44" s="3428">
        <f t="shared" si="4"/>
        <v>10.544375129711323</v>
      </c>
      <c r="I44" s="4936">
        <f>'PP FY 2014-15'!BB15</f>
        <v>266.49853702832399</v>
      </c>
      <c r="J44" s="3428">
        <f t="shared" ref="J44:J47" si="5">G44+I44</f>
        <v>439.95853702832403</v>
      </c>
      <c r="K44" s="5210">
        <f>J44/F44*10</f>
        <v>17.407554681820212</v>
      </c>
    </row>
    <row r="45" spans="2:11" hidden="1">
      <c r="B45" s="3427">
        <v>4</v>
      </c>
      <c r="C45" s="5024" t="s">
        <v>3619</v>
      </c>
      <c r="D45" s="3427">
        <v>180</v>
      </c>
      <c r="E45" s="5107">
        <v>0.51170000000000004</v>
      </c>
      <c r="F45" s="5017">
        <v>572.73</v>
      </c>
      <c r="G45" s="4934">
        <v>88.46</v>
      </c>
      <c r="H45" s="3428">
        <f t="shared" si="4"/>
        <v>2.4892531932453514</v>
      </c>
      <c r="I45" s="4936">
        <f>'PP FY 2014-15'!BB16</f>
        <v>142.56699813674101</v>
      </c>
      <c r="J45" s="3428">
        <f t="shared" si="5"/>
        <v>231.02699813674099</v>
      </c>
      <c r="K45" s="5210">
        <f>J45/F45*10</f>
        <v>4.0337855208691877</v>
      </c>
    </row>
    <row r="46" spans="2:11" hidden="1">
      <c r="B46" s="3427">
        <v>5</v>
      </c>
      <c r="C46" s="5024" t="s">
        <v>3620</v>
      </c>
      <c r="D46" s="3427">
        <v>250</v>
      </c>
      <c r="E46" s="5108">
        <v>0.4</v>
      </c>
      <c r="F46" s="5017">
        <v>268.23</v>
      </c>
      <c r="G46" s="4934">
        <v>46.86</v>
      </c>
      <c r="H46" s="3428">
        <f t="shared" si="4"/>
        <v>2.8933216968646307</v>
      </c>
      <c r="I46" s="4936">
        <f>'PP FY 2014-15'!BB17</f>
        <v>77.607567875000001</v>
      </c>
      <c r="J46" s="3428">
        <f t="shared" si="5"/>
        <v>124.467567875</v>
      </c>
      <c r="K46" s="5210">
        <f>J46/F46*10</f>
        <v>4.6403298614994597</v>
      </c>
    </row>
    <row r="47" spans="2:11" ht="15.75" hidden="1">
      <c r="B47" s="3427">
        <v>6</v>
      </c>
      <c r="C47" s="5032" t="s">
        <v>3310</v>
      </c>
      <c r="D47" s="3427">
        <v>447</v>
      </c>
      <c r="E47" s="5107">
        <v>0.51170000000000004</v>
      </c>
      <c r="F47" s="5017">
        <v>718.21555000000001</v>
      </c>
      <c r="G47" s="4934">
        <v>78.72</v>
      </c>
      <c r="H47" s="3428">
        <f t="shared" si="4"/>
        <v>1.1863887380327536</v>
      </c>
      <c r="I47" s="4936">
        <f>'PP FY 2014-15'!BB18</f>
        <v>85.208284000000006</v>
      </c>
      <c r="J47" s="3428">
        <f t="shared" si="5"/>
        <v>163.92828400000002</v>
      </c>
      <c r="K47" s="5210">
        <f t="shared" ref="K47:K48" si="6">J47/F47*10</f>
        <v>2.2824385242007086</v>
      </c>
    </row>
    <row r="48" spans="2:11" hidden="1">
      <c r="B48" s="3427">
        <v>9</v>
      </c>
      <c r="C48" s="5024" t="s">
        <v>47</v>
      </c>
      <c r="D48" s="4906">
        <f>SUM(D42:D47)</f>
        <v>1985</v>
      </c>
      <c r="E48" s="3427"/>
      <c r="F48" s="3948">
        <f>SUM(F42:F47)</f>
        <v>3411.0188800000001</v>
      </c>
      <c r="G48" s="3948">
        <f>SUM(G42:G47)</f>
        <v>592.91999999999996</v>
      </c>
      <c r="H48" s="3948">
        <f t="shared" si="4"/>
        <v>3.141049559217687</v>
      </c>
      <c r="I48" s="3948">
        <f>SUM(I42:I47)</f>
        <v>1071.4179349507208</v>
      </c>
      <c r="J48" s="3948">
        <f>SUM(J42:J47)</f>
        <v>1664.3379349507211</v>
      </c>
      <c r="K48" s="5211">
        <f t="shared" si="6"/>
        <v>4.8792985131490125</v>
      </c>
    </row>
    <row r="49" spans="2:11" hidden="1"/>
    <row r="50" spans="2:11" hidden="1"/>
    <row r="51" spans="2:11" hidden="1">
      <c r="B51" s="5029" t="s">
        <v>2443</v>
      </c>
    </row>
    <row r="52" spans="2:11" hidden="1"/>
    <row r="53" spans="2:11" ht="45" hidden="1">
      <c r="B53" s="5022" t="s">
        <v>575</v>
      </c>
      <c r="C53" s="5028" t="s">
        <v>3611</v>
      </c>
      <c r="D53" s="5015" t="s">
        <v>3735</v>
      </c>
      <c r="E53" s="5015" t="s">
        <v>3736</v>
      </c>
      <c r="F53" s="5015" t="s">
        <v>3612</v>
      </c>
      <c r="G53" s="5015" t="s">
        <v>3739</v>
      </c>
      <c r="H53" s="5015" t="s">
        <v>3613</v>
      </c>
      <c r="I53" s="5015" t="s">
        <v>3738</v>
      </c>
      <c r="J53" s="5015" t="s">
        <v>3614</v>
      </c>
      <c r="K53" s="5103" t="s">
        <v>3770</v>
      </c>
    </row>
    <row r="54" spans="2:11" hidden="1">
      <c r="B54" s="3427">
        <v>1</v>
      </c>
      <c r="C54" s="5024" t="s">
        <v>3616</v>
      </c>
      <c r="D54" s="3427">
        <v>108</v>
      </c>
      <c r="E54" s="5106">
        <v>0.62649999999999995</v>
      </c>
      <c r="F54" s="3428">
        <v>0</v>
      </c>
      <c r="G54" s="3428">
        <v>0</v>
      </c>
      <c r="H54" s="3428">
        <v>0</v>
      </c>
      <c r="I54" s="4934">
        <v>0</v>
      </c>
      <c r="J54" s="3428">
        <f>G54+I54</f>
        <v>0</v>
      </c>
      <c r="K54" s="5210"/>
    </row>
    <row r="55" spans="2:11" hidden="1">
      <c r="B55" s="3427">
        <v>2</v>
      </c>
      <c r="C55" s="5024" t="s">
        <v>3617</v>
      </c>
      <c r="D55" s="3427">
        <v>500</v>
      </c>
      <c r="E55" s="5107">
        <v>0.51170000000000004</v>
      </c>
      <c r="F55" s="4934">
        <v>1584.41</v>
      </c>
      <c r="G55" s="4934">
        <v>197.93</v>
      </c>
      <c r="H55" s="3428">
        <f>I55/F55*10</f>
        <v>3.9099727974451053</v>
      </c>
      <c r="I55" s="4934">
        <v>619.5</v>
      </c>
      <c r="J55" s="3428">
        <f t="shared" ref="J55:J59" si="7">G55+I55</f>
        <v>817.43000000000006</v>
      </c>
      <c r="K55" s="5210">
        <f>J55/F55*10</f>
        <v>5.1592075283544041</v>
      </c>
    </row>
    <row r="56" spans="2:11" hidden="1">
      <c r="B56" s="3427">
        <v>3</v>
      </c>
      <c r="C56" s="5024" t="s">
        <v>3618</v>
      </c>
      <c r="D56" s="3427">
        <v>500</v>
      </c>
      <c r="E56" s="5107">
        <v>0.51170000000000004</v>
      </c>
      <c r="F56" s="3428">
        <v>0</v>
      </c>
      <c r="G56" s="4934">
        <v>211.91</v>
      </c>
      <c r="H56" s="3428">
        <v>0</v>
      </c>
      <c r="I56" s="3428">
        <v>0</v>
      </c>
      <c r="J56" s="3428">
        <f t="shared" si="7"/>
        <v>211.91</v>
      </c>
      <c r="K56" s="5210"/>
    </row>
    <row r="57" spans="2:11" hidden="1">
      <c r="B57" s="3427">
        <v>4</v>
      </c>
      <c r="C57" s="5024" t="s">
        <v>3619</v>
      </c>
      <c r="D57" s="3427">
        <v>180</v>
      </c>
      <c r="E57" s="5107">
        <v>0.51170000000000004</v>
      </c>
      <c r="F57" s="4934">
        <v>721.69</v>
      </c>
      <c r="G57" s="4934">
        <v>86.99</v>
      </c>
      <c r="H57" s="3428">
        <f t="shared" ref="H57:H60" si="8">I57/F57*10</f>
        <v>2.0199808782164084</v>
      </c>
      <c r="I57" s="4934">
        <v>145.78</v>
      </c>
      <c r="J57" s="3428">
        <f t="shared" si="7"/>
        <v>232.76999999999998</v>
      </c>
      <c r="K57" s="5210">
        <f>J57/F57*10</f>
        <v>3.225346062713907</v>
      </c>
    </row>
    <row r="58" spans="2:11" hidden="1">
      <c r="B58" s="3427">
        <v>5</v>
      </c>
      <c r="C58" s="5024" t="s">
        <v>3620</v>
      </c>
      <c r="D58" s="3427">
        <v>250</v>
      </c>
      <c r="E58" s="5108">
        <v>0.4</v>
      </c>
      <c r="F58" s="4934">
        <v>716.63</v>
      </c>
      <c r="G58" s="4934">
        <v>113.3</v>
      </c>
      <c r="H58" s="3428">
        <f t="shared" si="8"/>
        <v>3.8499644167841138</v>
      </c>
      <c r="I58" s="4934">
        <v>275.89999999999998</v>
      </c>
      <c r="J58" s="3428">
        <f t="shared" si="7"/>
        <v>389.2</v>
      </c>
      <c r="K58" s="5210">
        <f>J58/F58*10</f>
        <v>5.430975538283354</v>
      </c>
    </row>
    <row r="59" spans="2:11" ht="15.75" hidden="1">
      <c r="B59" s="3427">
        <v>6</v>
      </c>
      <c r="C59" s="5032" t="s">
        <v>3310</v>
      </c>
      <c r="D59" s="3427">
        <v>447</v>
      </c>
      <c r="E59" s="5107">
        <v>0.51170000000000004</v>
      </c>
      <c r="F59" s="4934">
        <v>728.76</v>
      </c>
      <c r="G59" s="4934">
        <v>78.48</v>
      </c>
      <c r="H59" s="3428">
        <f t="shared" si="8"/>
        <v>1.2997420275536529</v>
      </c>
      <c r="I59" s="4934">
        <v>94.72</v>
      </c>
      <c r="J59" s="3428">
        <f t="shared" si="7"/>
        <v>173.2</v>
      </c>
      <c r="K59" s="5210">
        <f>J59/F59*10</f>
        <v>2.376639771666941</v>
      </c>
    </row>
    <row r="60" spans="2:11" hidden="1">
      <c r="B60" s="3427">
        <v>9</v>
      </c>
      <c r="C60" s="5024" t="s">
        <v>47</v>
      </c>
      <c r="D60" s="4906">
        <f>SUM(D54:D59)</f>
        <v>1985</v>
      </c>
      <c r="E60" s="3427"/>
      <c r="F60" s="3948">
        <f>SUM(F54:F59)</f>
        <v>3751.4900000000007</v>
      </c>
      <c r="G60" s="3948">
        <f t="shared" ref="G60" si="9">SUM(G54:G59)</f>
        <v>688.61</v>
      </c>
      <c r="H60" s="3948">
        <f t="shared" si="8"/>
        <v>3.0278635955313749</v>
      </c>
      <c r="I60" s="3948">
        <f>SUM(I54:I59)</f>
        <v>1135.8999999999999</v>
      </c>
      <c r="J60" s="3948">
        <f t="shared" ref="J60" si="10">SUM(J54:J59)</f>
        <v>1824.5100000000002</v>
      </c>
      <c r="K60" s="5211">
        <f>J60/F60*10</f>
        <v>4.8634275981010209</v>
      </c>
    </row>
    <row r="61" spans="2:11" hidden="1"/>
  </sheetData>
  <mergeCells count="4">
    <mergeCell ref="B2:J2"/>
    <mergeCell ref="B3:J3"/>
    <mergeCell ref="B5:J5"/>
    <mergeCell ref="B6:J6"/>
  </mergeCells>
  <printOptions horizontalCentered="1"/>
  <pageMargins left="0.16" right="0.15" top="0.89" bottom="0.45" header="0.25" footer="0.25"/>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dimension ref="A1:Q215"/>
  <sheetViews>
    <sheetView showGridLines="0" view="pageBreakPreview" zoomScale="60" workbookViewId="0">
      <selection activeCell="Q131" sqref="Q131"/>
    </sheetView>
  </sheetViews>
  <sheetFormatPr defaultRowHeight="15"/>
  <cols>
    <col min="1" max="1" width="10.5703125" style="5214" customWidth="1"/>
    <col min="2" max="2" width="12.5703125" style="3587" customWidth="1"/>
    <col min="3" max="3" width="26.28515625" style="3587" customWidth="1"/>
    <col min="4" max="4" width="20.5703125" style="3587" bestFit="1" customWidth="1"/>
    <col min="5" max="5" width="14.140625" style="5214" customWidth="1"/>
    <col min="6" max="6" width="13.140625" style="5214" customWidth="1"/>
    <col min="7" max="7" width="14.42578125" style="3587" customWidth="1"/>
    <col min="8" max="9" width="14.42578125" style="5214" customWidth="1"/>
    <col min="10" max="11" width="14.42578125" style="3587" customWidth="1"/>
    <col min="12" max="12" width="17.42578125" style="3587" customWidth="1"/>
    <col min="13" max="16384" width="9.140625" style="3587"/>
  </cols>
  <sheetData>
    <row r="1" spans="1:17">
      <c r="K1" s="5215"/>
    </row>
    <row r="2" spans="1:17" s="4861" customFormat="1">
      <c r="B2" s="5534" t="s">
        <v>3601</v>
      </c>
      <c r="C2" s="5534"/>
      <c r="D2" s="5534"/>
      <c r="E2" s="5534"/>
      <c r="F2" s="5534"/>
      <c r="G2" s="5534"/>
      <c r="H2" s="5534"/>
      <c r="I2" s="5534"/>
      <c r="J2" s="5534"/>
      <c r="K2" s="5019"/>
      <c r="L2" s="5019"/>
      <c r="M2" s="5019"/>
      <c r="N2" s="5019"/>
      <c r="O2" s="5019"/>
      <c r="P2" s="5019"/>
      <c r="Q2" s="5019"/>
    </row>
    <row r="3" spans="1:17" s="4861" customFormat="1">
      <c r="B3" s="5535" t="s">
        <v>3602</v>
      </c>
      <c r="C3" s="5535"/>
      <c r="D3" s="5535"/>
      <c r="E3" s="5535"/>
      <c r="F3" s="5535"/>
      <c r="G3" s="5535"/>
      <c r="H3" s="5535"/>
      <c r="I3" s="5535"/>
      <c r="J3" s="5535"/>
      <c r="K3" s="5019"/>
      <c r="L3" s="5019"/>
      <c r="M3" s="5019"/>
      <c r="N3" s="5019"/>
      <c r="O3" s="5019"/>
      <c r="P3" s="5019"/>
      <c r="Q3" s="5019"/>
    </row>
    <row r="4" spans="1:17" s="4861" customFormat="1">
      <c r="B4" s="5020"/>
      <c r="C4" s="5021"/>
      <c r="D4" s="5021"/>
      <c r="E4" s="5021"/>
      <c r="F4" s="5021"/>
      <c r="G4" s="5021"/>
      <c r="H4" s="5021"/>
      <c r="I4" s="5021"/>
      <c r="J4" s="5021"/>
      <c r="K4" s="5021"/>
      <c r="L4" s="5021"/>
      <c r="M4" s="5021"/>
      <c r="N4" s="5021"/>
      <c r="O4" s="5021"/>
      <c r="P4" s="5021"/>
      <c r="Q4" s="5021"/>
    </row>
    <row r="5" spans="1:17" s="4861" customFormat="1">
      <c r="B5" s="5536" t="s">
        <v>3917</v>
      </c>
      <c r="C5" s="5536"/>
      <c r="D5" s="5536"/>
      <c r="E5" s="5536"/>
      <c r="F5" s="5536"/>
      <c r="G5" s="5536"/>
      <c r="H5" s="5536"/>
      <c r="I5" s="5536"/>
      <c r="J5" s="5536"/>
      <c r="K5" s="5021"/>
      <c r="L5" s="5021"/>
      <c r="M5" s="5021"/>
      <c r="N5" s="5021"/>
      <c r="O5" s="5021"/>
      <c r="P5" s="5021"/>
      <c r="Q5" s="5021"/>
    </row>
    <row r="6" spans="1:17" s="4861" customFormat="1">
      <c r="B6" s="5537" t="s">
        <v>3906</v>
      </c>
      <c r="C6" s="5537"/>
      <c r="D6" s="5537"/>
      <c r="E6" s="5537"/>
      <c r="F6" s="5537"/>
      <c r="G6" s="5537"/>
      <c r="H6" s="5537"/>
      <c r="I6" s="5537"/>
      <c r="J6" s="5537"/>
      <c r="K6" s="5021"/>
      <c r="L6" s="5021"/>
      <c r="M6" s="5021"/>
      <c r="N6" s="5021"/>
      <c r="O6" s="5021"/>
      <c r="P6" s="5021"/>
      <c r="Q6" s="5021"/>
    </row>
    <row r="7" spans="1:17">
      <c r="A7" s="5216"/>
    </row>
    <row r="8" spans="1:17">
      <c r="B8" s="247" t="s">
        <v>82</v>
      </c>
    </row>
    <row r="10" spans="1:17" s="5217" customFormat="1" ht="33" customHeight="1">
      <c r="A10" s="5531" t="s">
        <v>2245</v>
      </c>
      <c r="B10" s="5531" t="s">
        <v>3771</v>
      </c>
      <c r="C10" s="5531" t="s">
        <v>3772</v>
      </c>
      <c r="D10" s="5531" t="s">
        <v>3773</v>
      </c>
      <c r="E10" s="5539" t="s">
        <v>3774</v>
      </c>
      <c r="F10" s="5540"/>
      <c r="G10" s="4911" t="s">
        <v>3775</v>
      </c>
      <c r="H10" s="4911" t="s">
        <v>3776</v>
      </c>
      <c r="I10" s="4911" t="s">
        <v>3777</v>
      </c>
      <c r="J10" s="4911" t="s">
        <v>3778</v>
      </c>
      <c r="K10" s="4911" t="s">
        <v>3779</v>
      </c>
    </row>
    <row r="11" spans="1:17" s="5214" customFormat="1" ht="30">
      <c r="A11" s="5532"/>
      <c r="B11" s="5532"/>
      <c r="C11" s="5532"/>
      <c r="D11" s="5532"/>
      <c r="E11" s="4911" t="s">
        <v>3780</v>
      </c>
      <c r="F11" s="4911" t="s">
        <v>3781</v>
      </c>
      <c r="G11" s="4911" t="s">
        <v>244</v>
      </c>
      <c r="H11" s="4911" t="s">
        <v>89</v>
      </c>
      <c r="I11" s="4911" t="s">
        <v>244</v>
      </c>
      <c r="J11" s="5284" t="s">
        <v>244</v>
      </c>
      <c r="K11" s="5284" t="s">
        <v>244</v>
      </c>
    </row>
    <row r="12" spans="1:17" ht="16.5" customHeight="1">
      <c r="A12" s="5538" t="s">
        <v>3782</v>
      </c>
      <c r="B12" s="3586" t="s">
        <v>3783</v>
      </c>
      <c r="C12" s="3586" t="s">
        <v>3784</v>
      </c>
      <c r="D12" s="3586" t="s">
        <v>3785</v>
      </c>
      <c r="E12" s="5218">
        <v>4.4371000000000001E-2</v>
      </c>
      <c r="F12" s="5218">
        <v>4.1708740000000001E-2</v>
      </c>
      <c r="G12" s="3939">
        <v>5.4724466430776859</v>
      </c>
      <c r="H12" s="5108">
        <v>0.09</v>
      </c>
      <c r="I12" s="5201">
        <v>0.04</v>
      </c>
      <c r="J12" s="3939">
        <v>5.821751747954985</v>
      </c>
      <c r="K12" s="5201">
        <v>4.79</v>
      </c>
    </row>
    <row r="13" spans="1:17" ht="16.5" customHeight="1">
      <c r="A13" s="5538"/>
      <c r="B13" s="3586" t="s">
        <v>3783</v>
      </c>
      <c r="C13" s="3586" t="s">
        <v>3786</v>
      </c>
      <c r="D13" s="3586" t="s">
        <v>3787</v>
      </c>
      <c r="E13" s="5218">
        <v>0.46460000000000001</v>
      </c>
      <c r="F13" s="5218">
        <v>0.436724</v>
      </c>
      <c r="G13" s="3939">
        <v>5.7438441670253981</v>
      </c>
      <c r="H13" s="5108">
        <v>0.06</v>
      </c>
      <c r="I13" s="5201">
        <v>0.04</v>
      </c>
      <c r="J13" s="3939">
        <v>6.1104725181121253</v>
      </c>
      <c r="K13" s="5201">
        <v>5.41</v>
      </c>
    </row>
    <row r="14" spans="1:17" ht="16.5" customHeight="1">
      <c r="A14" s="5538" t="s">
        <v>3788</v>
      </c>
      <c r="B14" s="3586" t="s">
        <v>3783</v>
      </c>
      <c r="C14" s="3586" t="s">
        <v>3784</v>
      </c>
      <c r="D14" s="3586" t="s">
        <v>3785</v>
      </c>
      <c r="E14" s="5218">
        <v>0.71912940000000003</v>
      </c>
      <c r="F14" s="5218">
        <v>0.67598163599999994</v>
      </c>
      <c r="G14" s="3939">
        <v>5.0076481395420629</v>
      </c>
      <c r="H14" s="5108">
        <v>0.06</v>
      </c>
      <c r="I14" s="5201">
        <v>0.04</v>
      </c>
      <c r="J14" s="3939">
        <v>5.3272852548319829</v>
      </c>
      <c r="K14" s="5201">
        <v>4.79</v>
      </c>
    </row>
    <row r="15" spans="1:17" ht="16.5" customHeight="1">
      <c r="A15" s="5538"/>
      <c r="B15" s="3586" t="s">
        <v>3783</v>
      </c>
      <c r="C15" s="3586" t="s">
        <v>3786</v>
      </c>
      <c r="D15" s="3586" t="s">
        <v>3787</v>
      </c>
      <c r="E15" s="5218">
        <v>0.77229999999999999</v>
      </c>
      <c r="F15" s="5218">
        <v>0.725962</v>
      </c>
      <c r="G15" s="3939">
        <v>5.6242975527644701</v>
      </c>
      <c r="H15" s="5108">
        <v>0.06</v>
      </c>
      <c r="I15" s="5201">
        <v>0.04</v>
      </c>
      <c r="J15" s="3939">
        <v>5.983295268898372</v>
      </c>
      <c r="K15" s="5201">
        <v>5.41</v>
      </c>
    </row>
    <row r="16" spans="1:17" ht="16.5" customHeight="1">
      <c r="A16" s="5201" t="s">
        <v>3789</v>
      </c>
      <c r="B16" s="3586" t="s">
        <v>3783</v>
      </c>
      <c r="C16" s="3586" t="s">
        <v>3784</v>
      </c>
      <c r="D16" s="3586" t="s">
        <v>3785</v>
      </c>
      <c r="E16" s="5218">
        <v>0.28636050000000002</v>
      </c>
      <c r="F16" s="5218">
        <v>0.26917887000000001</v>
      </c>
      <c r="G16" s="3939">
        <v>4.9522235608612215</v>
      </c>
      <c r="H16" s="5108">
        <v>0.06</v>
      </c>
      <c r="I16" s="5201">
        <v>0.04</v>
      </c>
      <c r="J16" s="3939">
        <v>5.2683229370864062</v>
      </c>
      <c r="K16" s="5201">
        <v>4.79</v>
      </c>
    </row>
    <row r="17" spans="1:11" ht="16.5" customHeight="1">
      <c r="A17" s="5426" t="s">
        <v>3790</v>
      </c>
      <c r="B17" s="3586" t="s">
        <v>3783</v>
      </c>
      <c r="C17" s="3586" t="s">
        <v>3786</v>
      </c>
      <c r="D17" s="3586" t="s">
        <v>3787</v>
      </c>
      <c r="E17" s="5218">
        <v>0.43969999999999998</v>
      </c>
      <c r="F17" s="5218">
        <v>0.41331800000000002</v>
      </c>
      <c r="G17" s="3939">
        <v>5.5295997270866497</v>
      </c>
      <c r="H17" s="5108">
        <v>0.06</v>
      </c>
      <c r="I17" s="5201">
        <v>0.04</v>
      </c>
      <c r="J17" s="3939">
        <v>5.8825529011560107</v>
      </c>
      <c r="K17" s="5201">
        <v>5.41</v>
      </c>
    </row>
    <row r="18" spans="1:11" ht="16.5" customHeight="1">
      <c r="A18" s="5426"/>
      <c r="B18" s="3586" t="s">
        <v>3783</v>
      </c>
      <c r="C18" s="3586" t="s">
        <v>3784</v>
      </c>
      <c r="D18" s="3586" t="s">
        <v>3785</v>
      </c>
      <c r="E18" s="5218">
        <v>0.54831399999999997</v>
      </c>
      <c r="F18" s="5218">
        <v>0.51541515999999998</v>
      </c>
      <c r="G18" s="3939">
        <v>4.8956558103568399</v>
      </c>
      <c r="H18" s="5108">
        <v>0.06</v>
      </c>
      <c r="I18" s="5201">
        <v>0.04</v>
      </c>
      <c r="J18" s="3939">
        <v>5.2081444791030211</v>
      </c>
      <c r="K18" s="5201">
        <v>4.79</v>
      </c>
    </row>
    <row r="19" spans="1:11" ht="16.5" customHeight="1">
      <c r="A19" s="5426"/>
      <c r="B19" s="3586" t="s">
        <v>3783</v>
      </c>
      <c r="C19" s="3586" t="s">
        <v>3786</v>
      </c>
      <c r="D19" s="3586" t="s">
        <v>3787</v>
      </c>
      <c r="E19" s="5218">
        <v>0.69330000000000003</v>
      </c>
      <c r="F19" s="5218">
        <v>0.651702</v>
      </c>
      <c r="G19" s="3939">
        <v>5.501925573344872</v>
      </c>
      <c r="H19" s="5108">
        <v>0.06</v>
      </c>
      <c r="I19" s="5201">
        <v>0.04</v>
      </c>
      <c r="J19" s="3939">
        <v>5.8531123120690127</v>
      </c>
      <c r="K19" s="5201">
        <v>5.41</v>
      </c>
    </row>
    <row r="20" spans="1:11" ht="16.5" customHeight="1">
      <c r="A20" s="5426"/>
      <c r="B20" s="3586" t="s">
        <v>3783</v>
      </c>
      <c r="C20" s="3586" t="s">
        <v>3791</v>
      </c>
      <c r="D20" s="3586" t="s">
        <v>350</v>
      </c>
      <c r="E20" s="5218">
        <v>3.1638700000000002</v>
      </c>
      <c r="F20" s="5218">
        <v>3.1638700000000002</v>
      </c>
      <c r="G20" s="3939">
        <v>5.4163213722434866</v>
      </c>
      <c r="H20" s="5108">
        <v>0</v>
      </c>
      <c r="I20" s="5201">
        <v>0</v>
      </c>
      <c r="J20" s="3939">
        <v>5.4163213722434866</v>
      </c>
      <c r="K20" s="5201">
        <v>5.41</v>
      </c>
    </row>
    <row r="21" spans="1:11" ht="16.5" customHeight="1">
      <c r="A21" s="5426" t="s">
        <v>3792</v>
      </c>
      <c r="B21" s="3586" t="s">
        <v>3783</v>
      </c>
      <c r="C21" s="3586" t="s">
        <v>3784</v>
      </c>
      <c r="D21" s="3586" t="s">
        <v>3785</v>
      </c>
      <c r="E21" s="5218">
        <v>0.76217100000000004</v>
      </c>
      <c r="F21" s="5218">
        <v>0.71644074000000002</v>
      </c>
      <c r="G21" s="3939">
        <v>4.8772334948456448</v>
      </c>
      <c r="H21" s="5108">
        <v>0.06</v>
      </c>
      <c r="I21" s="5201">
        <v>0.04</v>
      </c>
      <c r="J21" s="3939">
        <v>5.1885462711123882</v>
      </c>
      <c r="K21" s="5201">
        <v>4.79</v>
      </c>
    </row>
    <row r="22" spans="1:11" ht="16.5" customHeight="1">
      <c r="A22" s="5426"/>
      <c r="B22" s="3586" t="s">
        <v>3783</v>
      </c>
      <c r="C22" s="3586" t="s">
        <v>3786</v>
      </c>
      <c r="D22" s="3586" t="s">
        <v>3787</v>
      </c>
      <c r="E22" s="5218">
        <v>0.80189999999999995</v>
      </c>
      <c r="F22" s="5218">
        <v>0.75378599999999996</v>
      </c>
      <c r="G22" s="3939">
        <v>5.4948933782267115</v>
      </c>
      <c r="H22" s="5108">
        <v>0.06</v>
      </c>
      <c r="I22" s="5201">
        <v>0.04</v>
      </c>
      <c r="J22" s="3939">
        <v>5.8456312534326722</v>
      </c>
      <c r="K22" s="5201">
        <v>5.41</v>
      </c>
    </row>
    <row r="23" spans="1:11" ht="16.5" customHeight="1">
      <c r="A23" s="5426"/>
      <c r="B23" s="3586" t="s">
        <v>3783</v>
      </c>
      <c r="C23" s="3586" t="s">
        <v>3791</v>
      </c>
      <c r="D23" s="3586" t="s">
        <v>350</v>
      </c>
      <c r="E23" s="5218">
        <v>4.4962900000000001</v>
      </c>
      <c r="F23" s="5218">
        <v>4.4962900000000001</v>
      </c>
      <c r="G23" s="3939">
        <v>5.4111120279163485</v>
      </c>
      <c r="H23" s="5108">
        <v>0</v>
      </c>
      <c r="I23" s="5201">
        <v>0</v>
      </c>
      <c r="J23" s="3939">
        <v>5.4111120279163485</v>
      </c>
      <c r="K23" s="5201">
        <v>5.41</v>
      </c>
    </row>
    <row r="24" spans="1:11" ht="16.5" customHeight="1">
      <c r="A24" s="5426"/>
      <c r="B24" s="3586" t="s">
        <v>3783</v>
      </c>
      <c r="C24" s="3586" t="s">
        <v>3793</v>
      </c>
      <c r="D24" s="3586" t="s">
        <v>350</v>
      </c>
      <c r="E24" s="5218">
        <v>0.72528999999999999</v>
      </c>
      <c r="F24" s="5218">
        <v>0.72528999999999999</v>
      </c>
      <c r="G24" s="3939">
        <v>5.41</v>
      </c>
      <c r="H24" s="5108">
        <v>0.06</v>
      </c>
      <c r="I24" s="5201">
        <v>0.04</v>
      </c>
      <c r="J24" s="3939">
        <v>5.41</v>
      </c>
      <c r="K24" s="5201">
        <v>5.41</v>
      </c>
    </row>
    <row r="25" spans="1:11" ht="16.5" customHeight="1">
      <c r="A25" s="5426" t="s">
        <v>3794</v>
      </c>
      <c r="B25" s="3586" t="s">
        <v>3783</v>
      </c>
      <c r="C25" s="3586" t="s">
        <v>3784</v>
      </c>
      <c r="D25" s="3586" t="s">
        <v>3785</v>
      </c>
      <c r="E25" s="5218">
        <v>0.67546349999999988</v>
      </c>
      <c r="F25" s="5218">
        <v>0.63493568999999983</v>
      </c>
      <c r="G25" s="3939">
        <v>4.8818162713455271</v>
      </c>
      <c r="H25" s="5108">
        <v>0.06</v>
      </c>
      <c r="I25" s="5201">
        <v>0.04</v>
      </c>
      <c r="J25" s="3939">
        <v>5.1934215652612004</v>
      </c>
      <c r="K25" s="5201">
        <v>4.79</v>
      </c>
    </row>
    <row r="26" spans="1:11" ht="16.5" customHeight="1">
      <c r="A26" s="5426"/>
      <c r="B26" s="3586" t="s">
        <v>3783</v>
      </c>
      <c r="C26" s="3586" t="s">
        <v>3793</v>
      </c>
      <c r="D26" s="3586" t="s">
        <v>350</v>
      </c>
      <c r="E26" s="5218">
        <v>5.6352900000000004</v>
      </c>
      <c r="F26" s="5218">
        <v>5.6352900000000004</v>
      </c>
      <c r="G26" s="3939">
        <v>5.4144363289200728</v>
      </c>
      <c r="H26" s="5108">
        <v>0</v>
      </c>
      <c r="I26" s="5201">
        <v>0</v>
      </c>
      <c r="J26" s="3939">
        <v>5.4144363289200728</v>
      </c>
      <c r="K26" s="5201">
        <v>5.41</v>
      </c>
    </row>
    <row r="27" spans="1:11" ht="16.5" customHeight="1">
      <c r="A27" s="5426" t="s">
        <v>3795</v>
      </c>
      <c r="B27" s="3586" t="s">
        <v>3783</v>
      </c>
      <c r="C27" s="3586" t="s">
        <v>3796</v>
      </c>
      <c r="D27" s="3586" t="s">
        <v>3785</v>
      </c>
      <c r="E27" s="5218">
        <v>0.11633850000000029</v>
      </c>
      <c r="F27" s="5218">
        <v>0.10935819000000026</v>
      </c>
      <c r="G27" s="3939">
        <v>4.9159560678537204</v>
      </c>
      <c r="H27" s="5108">
        <v>0.06</v>
      </c>
      <c r="I27" s="5201">
        <v>0.04</v>
      </c>
      <c r="J27" s="3939">
        <v>5.2297404977167243</v>
      </c>
      <c r="K27" s="5201">
        <v>4.79</v>
      </c>
    </row>
    <row r="28" spans="1:11" ht="16.5" customHeight="1">
      <c r="A28" s="5426"/>
      <c r="B28" s="3586" t="s">
        <v>3783</v>
      </c>
      <c r="C28" s="3586" t="s">
        <v>3793</v>
      </c>
      <c r="D28" s="3586" t="s">
        <v>350</v>
      </c>
      <c r="E28" s="5218">
        <v>8.5728500000000007</v>
      </c>
      <c r="F28" s="5218">
        <v>8.5728500000000007</v>
      </c>
      <c r="G28" s="3939">
        <v>5.4141993036154838</v>
      </c>
      <c r="H28" s="5108">
        <v>0</v>
      </c>
      <c r="I28" s="5201">
        <v>0</v>
      </c>
      <c r="J28" s="3939">
        <v>5.4141993036154838</v>
      </c>
      <c r="K28" s="5201">
        <v>5.41</v>
      </c>
    </row>
    <row r="29" spans="1:11" ht="16.5" customHeight="1">
      <c r="A29" s="5426"/>
      <c r="B29" s="3586" t="s">
        <v>3783</v>
      </c>
      <c r="C29" s="3586" t="s">
        <v>3797</v>
      </c>
      <c r="D29" s="3586" t="s">
        <v>3785</v>
      </c>
      <c r="E29" s="5218">
        <v>1.250888</v>
      </c>
      <c r="F29" s="5218">
        <v>1.250888</v>
      </c>
      <c r="G29" s="3939">
        <v>4.8091863700027506</v>
      </c>
      <c r="H29" s="5108">
        <v>0</v>
      </c>
      <c r="I29" s="5201">
        <v>0</v>
      </c>
      <c r="J29" s="3939">
        <v>4.8091863700027506</v>
      </c>
      <c r="K29" s="5201">
        <v>4.79</v>
      </c>
    </row>
    <row r="30" spans="1:11" ht="16.5" customHeight="1">
      <c r="A30" s="5426" t="s">
        <v>3798</v>
      </c>
      <c r="B30" s="3586" t="s">
        <v>3783</v>
      </c>
      <c r="C30" s="3586" t="s">
        <v>3784</v>
      </c>
      <c r="D30" s="3586" t="s">
        <v>3785</v>
      </c>
      <c r="E30" s="5218">
        <v>9.5796000000000006E-2</v>
      </c>
      <c r="F30" s="5218">
        <v>9.0048239999999988E-2</v>
      </c>
      <c r="G30" s="3939">
        <v>5.0492158336464987</v>
      </c>
      <c r="H30" s="5108">
        <v>0.06</v>
      </c>
      <c r="I30" s="5201">
        <v>0.04</v>
      </c>
      <c r="J30" s="3939">
        <v>5.3715062060069139</v>
      </c>
      <c r="K30" s="5201">
        <v>4.79</v>
      </c>
    </row>
    <row r="31" spans="1:11" ht="16.5" customHeight="1">
      <c r="A31" s="5426"/>
      <c r="B31" s="3586" t="s">
        <v>3783</v>
      </c>
      <c r="C31" s="3586" t="s">
        <v>3786</v>
      </c>
      <c r="D31" s="3586" t="s">
        <v>3787</v>
      </c>
      <c r="E31" s="5218">
        <v>0.13500000000000001</v>
      </c>
      <c r="F31" s="5218">
        <v>0.12690000000000001</v>
      </c>
      <c r="G31" s="3939">
        <v>5.5240740740740737</v>
      </c>
      <c r="H31" s="5108">
        <v>0.06</v>
      </c>
      <c r="I31" s="5201">
        <v>0.04</v>
      </c>
      <c r="J31" s="3939">
        <v>5.8766745468873127</v>
      </c>
      <c r="K31" s="5201">
        <v>5.41</v>
      </c>
    </row>
    <row r="32" spans="1:11" ht="16.5" customHeight="1">
      <c r="A32" s="5426"/>
      <c r="B32" s="3586" t="s">
        <v>3783</v>
      </c>
      <c r="C32" s="3586" t="s">
        <v>3793</v>
      </c>
      <c r="D32" s="3586" t="s">
        <v>350</v>
      </c>
      <c r="E32" s="5218">
        <v>7.7353500000000004</v>
      </c>
      <c r="F32" s="5218">
        <v>7.7353500000000004</v>
      </c>
      <c r="G32" s="3939">
        <v>5.4145246821410797</v>
      </c>
      <c r="H32" s="5108">
        <v>0</v>
      </c>
      <c r="I32" s="5201">
        <v>0</v>
      </c>
      <c r="J32" s="3939">
        <v>5.4145246821410797</v>
      </c>
      <c r="K32" s="5201">
        <v>5.41</v>
      </c>
    </row>
    <row r="33" spans="1:11" ht="16.5" customHeight="1">
      <c r="A33" s="5426"/>
      <c r="B33" s="3586" t="s">
        <v>3783</v>
      </c>
      <c r="C33" s="3586" t="s">
        <v>3797</v>
      </c>
      <c r="D33" s="3586" t="s">
        <v>3785</v>
      </c>
      <c r="E33" s="5218">
        <v>3.8605299999999998</v>
      </c>
      <c r="F33" s="5218">
        <v>3.8605299999999998</v>
      </c>
      <c r="G33" s="3939">
        <v>4.8148670519332839</v>
      </c>
      <c r="H33" s="5108">
        <v>0</v>
      </c>
      <c r="I33" s="5201">
        <v>0</v>
      </c>
      <c r="J33" s="3939">
        <v>4.8148670519332839</v>
      </c>
      <c r="K33" s="5201">
        <v>4.79</v>
      </c>
    </row>
    <row r="34" spans="1:11" s="5222" customFormat="1" ht="16.5" customHeight="1">
      <c r="A34" s="5426"/>
      <c r="B34" s="5219" t="s">
        <v>3783</v>
      </c>
      <c r="C34" s="5219" t="s">
        <v>3799</v>
      </c>
      <c r="D34" s="5219" t="s">
        <v>3800</v>
      </c>
      <c r="E34" s="5218">
        <v>4.7780699999999995E-2</v>
      </c>
      <c r="F34" s="5218">
        <v>4.3480436999999997E-2</v>
      </c>
      <c r="G34" s="5220">
        <v>5.8599999999999994</v>
      </c>
      <c r="H34" s="5108">
        <v>0.09</v>
      </c>
      <c r="I34" s="5201">
        <v>0.6</v>
      </c>
      <c r="J34" s="5220">
        <v>6.4395604395604389</v>
      </c>
      <c r="K34" s="5221">
        <v>5.26</v>
      </c>
    </row>
    <row r="35" spans="1:11" ht="16.5" customHeight="1">
      <c r="A35" s="5426" t="s">
        <v>3801</v>
      </c>
      <c r="B35" s="3586" t="s">
        <v>3783</v>
      </c>
      <c r="C35" s="3586" t="s">
        <v>3784</v>
      </c>
      <c r="D35" s="3586" t="s">
        <v>3785</v>
      </c>
      <c r="E35" s="5218">
        <v>1.0243721250000002</v>
      </c>
      <c r="F35" s="5218">
        <v>0.96290979750000005</v>
      </c>
      <c r="G35" s="3939">
        <v>4.8651434787431374</v>
      </c>
      <c r="H35" s="5108">
        <v>0.06</v>
      </c>
      <c r="I35" s="5201">
        <v>0.04</v>
      </c>
      <c r="J35" s="3939">
        <v>5.1756845518544017</v>
      </c>
      <c r="K35" s="5201">
        <v>4.79</v>
      </c>
    </row>
    <row r="36" spans="1:11" ht="16.5" customHeight="1">
      <c r="A36" s="5426"/>
      <c r="B36" s="3586" t="s">
        <v>3783</v>
      </c>
      <c r="C36" s="3586" t="s">
        <v>3786</v>
      </c>
      <c r="D36" s="3586" t="s">
        <v>3787</v>
      </c>
      <c r="E36" s="5218">
        <v>0.66779999999999995</v>
      </c>
      <c r="F36" s="5218">
        <v>0.62773199999999996</v>
      </c>
      <c r="G36" s="3939">
        <v>5.503908355795148</v>
      </c>
      <c r="H36" s="5108">
        <v>0.06</v>
      </c>
      <c r="I36" s="5201">
        <v>0.04</v>
      </c>
      <c r="J36" s="3939">
        <v>5.8552216551012215</v>
      </c>
      <c r="K36" s="5201">
        <v>5.41</v>
      </c>
    </row>
    <row r="37" spans="1:11" ht="16.5" customHeight="1">
      <c r="A37" s="5426"/>
      <c r="B37" s="3586" t="s">
        <v>3783</v>
      </c>
      <c r="C37" s="3586" t="s">
        <v>3793</v>
      </c>
      <c r="D37" s="3586" t="s">
        <v>350</v>
      </c>
      <c r="E37" s="5218">
        <v>9.4629700000000003</v>
      </c>
      <c r="F37" s="5218">
        <v>9.4629700000000003</v>
      </c>
      <c r="G37" s="3939">
        <v>5.4138043024547269</v>
      </c>
      <c r="H37" s="5108">
        <v>0</v>
      </c>
      <c r="I37" s="5201">
        <v>0</v>
      </c>
      <c r="J37" s="3939">
        <v>5.4138043024547269</v>
      </c>
      <c r="K37" s="5201">
        <v>5.41</v>
      </c>
    </row>
    <row r="38" spans="1:11" ht="16.5" customHeight="1">
      <c r="A38" s="5426"/>
      <c r="B38" s="3586" t="s">
        <v>3783</v>
      </c>
      <c r="C38" s="3586" t="s">
        <v>3797</v>
      </c>
      <c r="D38" s="3586" t="s">
        <v>3785</v>
      </c>
      <c r="E38" s="5218">
        <v>3.873173</v>
      </c>
      <c r="F38" s="5218">
        <v>3.873173</v>
      </c>
      <c r="G38" s="3939">
        <v>4.8380226419010981</v>
      </c>
      <c r="H38" s="5108">
        <v>0</v>
      </c>
      <c r="I38" s="5201">
        <v>0</v>
      </c>
      <c r="J38" s="3939">
        <v>4.8380226419010981</v>
      </c>
      <c r="K38" s="5201">
        <v>4.79</v>
      </c>
    </row>
    <row r="39" spans="1:11" ht="16.5" customHeight="1">
      <c r="A39" s="5426"/>
      <c r="B39" s="3586" t="s">
        <v>3783</v>
      </c>
      <c r="C39" s="3586" t="s">
        <v>3799</v>
      </c>
      <c r="D39" s="3586" t="s">
        <v>3800</v>
      </c>
      <c r="E39" s="5218">
        <v>0.59580224999999998</v>
      </c>
      <c r="F39" s="5218">
        <v>0.54218004750000004</v>
      </c>
      <c r="G39" s="3939">
        <v>5.86</v>
      </c>
      <c r="H39" s="5108">
        <v>0.09</v>
      </c>
      <c r="I39" s="5201">
        <v>0.6</v>
      </c>
      <c r="J39" s="3939">
        <v>6.4395604395604398</v>
      </c>
      <c r="K39" s="5201">
        <v>5.26</v>
      </c>
    </row>
    <row r="40" spans="1:11" ht="16.5" customHeight="1">
      <c r="A40" s="5426" t="s">
        <v>3802</v>
      </c>
      <c r="B40" s="3586" t="s">
        <v>3783</v>
      </c>
      <c r="C40" s="3586" t="s">
        <v>3784</v>
      </c>
      <c r="D40" s="3586" t="s">
        <v>3785</v>
      </c>
      <c r="E40" s="5218">
        <v>0.98926199999999986</v>
      </c>
      <c r="F40" s="5218">
        <v>0.92990627999999975</v>
      </c>
      <c r="G40" s="3939">
        <v>4.8663907640240911</v>
      </c>
      <c r="H40" s="5108">
        <v>0.06</v>
      </c>
      <c r="I40" s="5201">
        <v>0.04</v>
      </c>
      <c r="J40" s="3939">
        <v>5.1770114510894594</v>
      </c>
      <c r="K40" s="5201">
        <v>4.79</v>
      </c>
    </row>
    <row r="41" spans="1:11" ht="16.5" customHeight="1">
      <c r="A41" s="5426"/>
      <c r="B41" s="3586" t="s">
        <v>3783</v>
      </c>
      <c r="C41" s="3586" t="s">
        <v>3786</v>
      </c>
      <c r="D41" s="3586" t="s">
        <v>3787</v>
      </c>
      <c r="E41" s="5218">
        <v>0.66100000000000003</v>
      </c>
      <c r="F41" s="5218">
        <v>0.62134</v>
      </c>
      <c r="G41" s="3939">
        <v>5.5044629349470497</v>
      </c>
      <c r="H41" s="5108">
        <v>0.06</v>
      </c>
      <c r="I41" s="5201">
        <v>0.04</v>
      </c>
      <c r="J41" s="3939">
        <v>5.8558116329223937</v>
      </c>
      <c r="K41" s="5201">
        <v>5.41</v>
      </c>
    </row>
    <row r="42" spans="1:11" ht="16.5" customHeight="1">
      <c r="A42" s="5426"/>
      <c r="B42" s="3586" t="s">
        <v>3783</v>
      </c>
      <c r="C42" s="3586" t="s">
        <v>3793</v>
      </c>
      <c r="D42" s="3586" t="s">
        <v>350</v>
      </c>
      <c r="E42" s="5218">
        <v>7.0962199999999998</v>
      </c>
      <c r="F42" s="5218">
        <v>7.0962199999999998</v>
      </c>
      <c r="G42" s="3939">
        <v>5.4150731234375487</v>
      </c>
      <c r="H42" s="5108">
        <v>0.06</v>
      </c>
      <c r="I42" s="5201">
        <v>0.04</v>
      </c>
      <c r="J42" s="3939">
        <v>5.4150731234375487</v>
      </c>
      <c r="K42" s="5201">
        <v>5.41</v>
      </c>
    </row>
    <row r="43" spans="1:11" ht="16.5" customHeight="1">
      <c r="A43" s="5426"/>
      <c r="B43" s="3586" t="s">
        <v>3783</v>
      </c>
      <c r="C43" s="3586" t="s">
        <v>3797</v>
      </c>
      <c r="D43" s="3586" t="s">
        <v>3785</v>
      </c>
      <c r="E43" s="5218">
        <v>2.7027380000000001</v>
      </c>
      <c r="F43" s="5218">
        <v>2.7027380000000001</v>
      </c>
      <c r="G43" s="3939">
        <v>4.8588191012225375</v>
      </c>
      <c r="H43" s="5108">
        <v>0</v>
      </c>
      <c r="I43" s="5201">
        <v>0</v>
      </c>
      <c r="J43" s="3939">
        <v>4.8588191012225375</v>
      </c>
      <c r="K43" s="5201">
        <v>4.79</v>
      </c>
    </row>
    <row r="44" spans="1:11" ht="16.5" customHeight="1">
      <c r="A44" s="5426"/>
      <c r="B44" s="3586" t="s">
        <v>3783</v>
      </c>
      <c r="C44" s="3586" t="s">
        <v>3803</v>
      </c>
      <c r="D44" s="3586" t="s">
        <v>3785</v>
      </c>
      <c r="E44" s="5218">
        <v>1.8275250000000001</v>
      </c>
      <c r="F44" s="5218">
        <v>1.8275250000000001</v>
      </c>
      <c r="G44" s="3939">
        <v>4.79</v>
      </c>
      <c r="H44" s="5108">
        <v>0</v>
      </c>
      <c r="I44" s="5201">
        <v>0</v>
      </c>
      <c r="J44" s="3939">
        <v>4.79</v>
      </c>
      <c r="K44" s="5201">
        <v>4.79</v>
      </c>
    </row>
    <row r="45" spans="1:11" ht="16.5" customHeight="1">
      <c r="A45" s="5426"/>
      <c r="B45" s="3586" t="s">
        <v>3783</v>
      </c>
      <c r="C45" s="3586" t="s">
        <v>3799</v>
      </c>
      <c r="D45" s="3586" t="s">
        <v>3800</v>
      </c>
      <c r="E45" s="5218">
        <v>0.67089390000000004</v>
      </c>
      <c r="F45" s="5218">
        <v>0.61051344900000004</v>
      </c>
      <c r="G45" s="3939">
        <v>5.8599999999999994</v>
      </c>
      <c r="H45" s="5108">
        <v>0.09</v>
      </c>
      <c r="I45" s="5201">
        <v>0.6</v>
      </c>
      <c r="J45" s="3939">
        <v>6.4395604395604389</v>
      </c>
      <c r="K45" s="5201">
        <v>5.26</v>
      </c>
    </row>
    <row r="46" spans="1:11" ht="16.5" customHeight="1">
      <c r="A46" s="5426" t="s">
        <v>3804</v>
      </c>
      <c r="B46" s="3586" t="s">
        <v>3783</v>
      </c>
      <c r="C46" s="3586" t="s">
        <v>3784</v>
      </c>
      <c r="D46" s="3586" t="s">
        <v>3785</v>
      </c>
      <c r="E46" s="5218">
        <v>0.45212000000000002</v>
      </c>
      <c r="F46" s="5218">
        <v>0.4249928</v>
      </c>
      <c r="G46" s="3939">
        <v>4.9029894718216394</v>
      </c>
      <c r="H46" s="5108">
        <v>0.06</v>
      </c>
      <c r="I46" s="5201">
        <v>0.04</v>
      </c>
      <c r="J46" s="3939">
        <v>5.2159462466187652</v>
      </c>
      <c r="K46" s="5201">
        <v>4.79</v>
      </c>
    </row>
    <row r="47" spans="1:11" ht="16.5" customHeight="1">
      <c r="A47" s="5426"/>
      <c r="B47" s="3586" t="s">
        <v>3783</v>
      </c>
      <c r="C47" s="3586" t="s">
        <v>3786</v>
      </c>
      <c r="D47" s="3586" t="s">
        <v>3787</v>
      </c>
      <c r="E47" s="5218">
        <v>0.27739999999999998</v>
      </c>
      <c r="F47" s="5218">
        <v>0.26075599999999999</v>
      </c>
      <c r="G47" s="3939">
        <v>5.5689617880317233</v>
      </c>
      <c r="H47" s="5108">
        <v>0.06</v>
      </c>
      <c r="I47" s="5201">
        <v>0.04</v>
      </c>
      <c r="J47" s="3939">
        <v>5.9244274340763017</v>
      </c>
      <c r="K47" s="5201">
        <v>5.41</v>
      </c>
    </row>
    <row r="48" spans="1:11" ht="16.5" customHeight="1">
      <c r="A48" s="5426"/>
      <c r="B48" s="3586" t="s">
        <v>3783</v>
      </c>
      <c r="C48" s="3586" t="s">
        <v>3793</v>
      </c>
      <c r="D48" s="3586" t="s">
        <v>350</v>
      </c>
      <c r="E48" s="5218">
        <v>7.6939099999999998</v>
      </c>
      <c r="F48" s="5218">
        <v>7.6939099999999998</v>
      </c>
      <c r="G48" s="3939">
        <v>5.4142891065790986</v>
      </c>
      <c r="H48" s="5108">
        <v>0</v>
      </c>
      <c r="I48" s="5201">
        <v>0</v>
      </c>
      <c r="J48" s="3939">
        <v>5.4142891065790986</v>
      </c>
      <c r="K48" s="5201">
        <v>5.41</v>
      </c>
    </row>
    <row r="49" spans="1:11" ht="16.5" customHeight="1">
      <c r="A49" s="5426"/>
      <c r="B49" s="3586" t="s">
        <v>3783</v>
      </c>
      <c r="C49" s="3586" t="s">
        <v>3797</v>
      </c>
      <c r="D49" s="3586" t="s">
        <v>3785</v>
      </c>
      <c r="E49" s="5218">
        <v>1.778964</v>
      </c>
      <c r="F49" s="5218">
        <v>1.778964</v>
      </c>
      <c r="G49" s="3939">
        <v>4.8540822411246101</v>
      </c>
      <c r="H49" s="5108">
        <v>0.06</v>
      </c>
      <c r="I49" s="5201">
        <v>0.04</v>
      </c>
      <c r="J49" s="3939">
        <v>4.8540822411246101</v>
      </c>
      <c r="K49" s="5201">
        <v>4.79</v>
      </c>
    </row>
    <row r="50" spans="1:11" ht="16.5" customHeight="1">
      <c r="A50" s="5426"/>
      <c r="B50" s="3586" t="s">
        <v>3783</v>
      </c>
      <c r="C50" s="3586" t="s">
        <v>3803</v>
      </c>
      <c r="D50" s="3586" t="s">
        <v>3785</v>
      </c>
      <c r="E50" s="5218">
        <v>5.0967000000000002</v>
      </c>
      <c r="F50" s="5218">
        <v>5.0967000000000002</v>
      </c>
      <c r="G50" s="3939">
        <v>4.79</v>
      </c>
      <c r="H50" s="5108">
        <v>0</v>
      </c>
      <c r="I50" s="5201">
        <v>0</v>
      </c>
      <c r="J50" s="3939">
        <v>4.79</v>
      </c>
      <c r="K50" s="5201">
        <v>4.79</v>
      </c>
    </row>
    <row r="51" spans="1:11" ht="16.5" customHeight="1">
      <c r="A51" s="5426"/>
      <c r="B51" s="3586" t="s">
        <v>3783</v>
      </c>
      <c r="C51" s="3586" t="s">
        <v>3799</v>
      </c>
      <c r="D51" s="3586" t="s">
        <v>3800</v>
      </c>
      <c r="E51" s="5218">
        <v>0.63301769999999991</v>
      </c>
      <c r="F51" s="5218">
        <v>0.57604610699999992</v>
      </c>
      <c r="G51" s="3939">
        <v>5.8599999999999994</v>
      </c>
      <c r="H51" s="5108">
        <v>0.09</v>
      </c>
      <c r="I51" s="5201">
        <v>0.6</v>
      </c>
      <c r="J51" s="3939">
        <v>6.4395604395604389</v>
      </c>
      <c r="K51" s="5201">
        <v>5.26</v>
      </c>
    </row>
    <row r="52" spans="1:11" ht="16.5" customHeight="1">
      <c r="A52" s="5426" t="s">
        <v>3805</v>
      </c>
      <c r="B52" s="3586" t="s">
        <v>3783</v>
      </c>
      <c r="C52" s="3586" t="s">
        <v>3784</v>
      </c>
      <c r="D52" s="3586" t="s">
        <v>3785</v>
      </c>
      <c r="E52" s="5218">
        <v>1.2836909999999999</v>
      </c>
      <c r="F52" s="5218">
        <v>1.20666954</v>
      </c>
      <c r="G52" s="3939">
        <v>4.8720664786151806</v>
      </c>
      <c r="H52" s="5108">
        <v>0.06</v>
      </c>
      <c r="I52" s="5201">
        <v>0.04</v>
      </c>
      <c r="J52" s="3939">
        <v>5.183049445335298</v>
      </c>
      <c r="K52" s="5201">
        <v>4.79</v>
      </c>
    </row>
    <row r="53" spans="1:11" ht="16.5" customHeight="1">
      <c r="A53" s="5426"/>
      <c r="B53" s="3586" t="s">
        <v>3783</v>
      </c>
      <c r="C53" s="3586" t="s">
        <v>3786</v>
      </c>
      <c r="D53" s="3586" t="s">
        <v>3787</v>
      </c>
      <c r="E53" s="5218">
        <v>0.69599999999999995</v>
      </c>
      <c r="F53" s="5218">
        <v>0.65424000000000004</v>
      </c>
      <c r="G53" s="3939">
        <v>5.5017241379310349</v>
      </c>
      <c r="H53" s="5108">
        <v>0.06</v>
      </c>
      <c r="I53" s="5201">
        <v>0.04</v>
      </c>
      <c r="J53" s="3939">
        <v>5.8528980190755684</v>
      </c>
      <c r="K53" s="5201">
        <v>5.41</v>
      </c>
    </row>
    <row r="54" spans="1:11" ht="16.5" customHeight="1">
      <c r="A54" s="5426"/>
      <c r="B54" s="3586" t="s">
        <v>3783</v>
      </c>
      <c r="C54" s="3586" t="s">
        <v>3793</v>
      </c>
      <c r="D54" s="3586" t="s">
        <v>350</v>
      </c>
      <c r="E54" s="5218">
        <v>9.5531299999999995</v>
      </c>
      <c r="F54" s="5218">
        <v>9.5531299999999995</v>
      </c>
      <c r="G54" s="3939">
        <v>5.4137683984202036</v>
      </c>
      <c r="H54" s="5108">
        <v>0</v>
      </c>
      <c r="I54" s="5201">
        <v>0</v>
      </c>
      <c r="J54" s="3939">
        <v>5.4137683984202036</v>
      </c>
      <c r="K54" s="5201">
        <v>5.41</v>
      </c>
    </row>
    <row r="55" spans="1:11" ht="16.5" customHeight="1">
      <c r="A55" s="5426"/>
      <c r="B55" s="3586" t="s">
        <v>3783</v>
      </c>
      <c r="C55" s="3586" t="s">
        <v>3797</v>
      </c>
      <c r="D55" s="3586" t="s">
        <v>3785</v>
      </c>
      <c r="E55" s="5218">
        <v>1.1345670000000001</v>
      </c>
      <c r="F55" s="5218">
        <v>1.1345670000000001</v>
      </c>
      <c r="G55" s="3939">
        <v>4.9010555833194509</v>
      </c>
      <c r="H55" s="5108">
        <v>0</v>
      </c>
      <c r="I55" s="5201">
        <v>0</v>
      </c>
      <c r="J55" s="3939">
        <v>4.9010555833194509</v>
      </c>
      <c r="K55" s="5201">
        <v>4.79</v>
      </c>
    </row>
    <row r="56" spans="1:11" ht="16.5" customHeight="1">
      <c r="A56" s="5426"/>
      <c r="B56" s="3586" t="s">
        <v>3783</v>
      </c>
      <c r="C56" s="3586" t="s">
        <v>3803</v>
      </c>
      <c r="D56" s="3586" t="s">
        <v>3785</v>
      </c>
      <c r="E56" s="5218">
        <v>4.7048500000000004</v>
      </c>
      <c r="F56" s="5218">
        <v>4.7048500000000004</v>
      </c>
      <c r="G56" s="3939">
        <v>4.79</v>
      </c>
      <c r="H56" s="5108">
        <v>0</v>
      </c>
      <c r="I56" s="5201">
        <v>0</v>
      </c>
      <c r="J56" s="3939">
        <v>4.79</v>
      </c>
      <c r="K56" s="5201">
        <v>4.79</v>
      </c>
    </row>
    <row r="57" spans="1:11" ht="16.5" customHeight="1">
      <c r="A57" s="5426"/>
      <c r="B57" s="3586" t="s">
        <v>3783</v>
      </c>
      <c r="C57" s="3586" t="s">
        <v>3799</v>
      </c>
      <c r="D57" s="3586" t="s">
        <v>3800</v>
      </c>
      <c r="E57" s="5218">
        <v>0.73452105000000001</v>
      </c>
      <c r="F57" s="5218">
        <v>0.66841415550000016</v>
      </c>
      <c r="G57" s="3939">
        <v>5.8599999999999994</v>
      </c>
      <c r="H57" s="5108">
        <v>0.09</v>
      </c>
      <c r="I57" s="5201">
        <v>0.6</v>
      </c>
      <c r="J57" s="3939">
        <v>6.4395604395604389</v>
      </c>
      <c r="K57" s="5201">
        <v>5.26</v>
      </c>
    </row>
    <row r="58" spans="1:11" s="247" customFormat="1" ht="16.5" customHeight="1">
      <c r="A58" s="4906"/>
      <c r="B58" s="2"/>
      <c r="C58" s="2"/>
      <c r="D58" s="2"/>
      <c r="E58" s="3948">
        <f>SUM(E12:E57)</f>
        <v>105.65350962499996</v>
      </c>
      <c r="F58" s="3948">
        <f>SUM(F12:F57)</f>
        <v>104.65574487949998</v>
      </c>
      <c r="G58" s="2"/>
      <c r="H58" s="4906"/>
      <c r="I58" s="4906"/>
      <c r="J58" s="2"/>
      <c r="K58" s="2"/>
    </row>
    <row r="60" spans="1:11">
      <c r="B60" s="5283" t="s">
        <v>1845</v>
      </c>
    </row>
    <row r="62" spans="1:11" ht="30">
      <c r="A62" s="5541" t="s">
        <v>2245</v>
      </c>
      <c r="B62" s="5541" t="s">
        <v>3771</v>
      </c>
      <c r="C62" s="5541" t="s">
        <v>3772</v>
      </c>
      <c r="D62" s="5541" t="s">
        <v>3773</v>
      </c>
      <c r="E62" s="5541" t="s">
        <v>3832</v>
      </c>
      <c r="F62" s="5541"/>
      <c r="G62" s="4911" t="s">
        <v>3775</v>
      </c>
      <c r="H62" s="4911" t="s">
        <v>3776</v>
      </c>
      <c r="I62" s="4911" t="s">
        <v>3777</v>
      </c>
      <c r="J62" s="4911" t="s">
        <v>3778</v>
      </c>
      <c r="K62" s="4911" t="s">
        <v>3779</v>
      </c>
    </row>
    <row r="63" spans="1:11" ht="30">
      <c r="A63" s="5541"/>
      <c r="B63" s="5541"/>
      <c r="C63" s="5541"/>
      <c r="D63" s="5541"/>
      <c r="E63" s="4911" t="s">
        <v>3780</v>
      </c>
      <c r="F63" s="4911" t="s">
        <v>3781</v>
      </c>
      <c r="G63" s="4911" t="s">
        <v>244</v>
      </c>
      <c r="H63" s="4911" t="s">
        <v>89</v>
      </c>
      <c r="I63" s="4911" t="s">
        <v>244</v>
      </c>
      <c r="J63" s="5284" t="s">
        <v>244</v>
      </c>
      <c r="K63" s="5284" t="s">
        <v>244</v>
      </c>
    </row>
    <row r="64" spans="1:11">
      <c r="A64" s="5543" t="s">
        <v>3833</v>
      </c>
      <c r="B64" s="5207" t="s">
        <v>3783</v>
      </c>
      <c r="C64" s="5207" t="s">
        <v>3834</v>
      </c>
      <c r="D64" s="3427" t="s">
        <v>3800</v>
      </c>
      <c r="E64" s="5280">
        <v>0.65031899999999998</v>
      </c>
      <c r="F64" s="5280">
        <v>0.59179029000000005</v>
      </c>
      <c r="G64" s="3428">
        <v>5.8599999999999994</v>
      </c>
      <c r="H64" s="5281">
        <v>0.09</v>
      </c>
      <c r="I64" s="3428">
        <v>0.6</v>
      </c>
      <c r="J64" s="3428">
        <v>6.4395604395604389</v>
      </c>
      <c r="K64" s="3427">
        <v>5.26</v>
      </c>
    </row>
    <row r="65" spans="1:11">
      <c r="A65" s="5543"/>
      <c r="B65" s="5207" t="s">
        <v>3783</v>
      </c>
      <c r="C65" s="5207" t="s">
        <v>3784</v>
      </c>
      <c r="D65" s="3427" t="s">
        <v>3835</v>
      </c>
      <c r="E65" s="5280">
        <v>1.61629</v>
      </c>
      <c r="F65" s="5280">
        <v>1.615643484</v>
      </c>
      <c r="G65" s="3428">
        <v>5.7510358289663372</v>
      </c>
      <c r="H65" s="5281">
        <v>0.06</v>
      </c>
      <c r="I65" s="3428">
        <v>0.04</v>
      </c>
      <c r="J65" s="3428">
        <v>5.75333716383187</v>
      </c>
      <c r="K65" s="3427">
        <v>5.69</v>
      </c>
    </row>
    <row r="66" spans="1:11">
      <c r="A66" s="5543"/>
      <c r="B66" s="5207" t="s">
        <v>3783</v>
      </c>
      <c r="C66" s="5207" t="s">
        <v>3836</v>
      </c>
      <c r="D66" s="3427" t="s">
        <v>3787</v>
      </c>
      <c r="E66" s="5280">
        <v>0.31590000000000001</v>
      </c>
      <c r="F66" s="5280">
        <v>0.31555251000000001</v>
      </c>
      <c r="G66" s="3428">
        <v>5.8607945552389999</v>
      </c>
      <c r="H66" s="5281">
        <v>0.06</v>
      </c>
      <c r="I66" s="3428">
        <v>0.11</v>
      </c>
      <c r="J66" s="3428">
        <v>5.8672485286204816</v>
      </c>
      <c r="K66" s="3427">
        <v>5.6400000000000006</v>
      </c>
    </row>
    <row r="67" spans="1:11">
      <c r="A67" s="5543"/>
      <c r="B67" s="5207" t="s">
        <v>3783</v>
      </c>
      <c r="C67" s="5207" t="s">
        <v>3837</v>
      </c>
      <c r="D67" s="3427" t="s">
        <v>350</v>
      </c>
      <c r="E67" s="5280">
        <v>8.7428699999999999</v>
      </c>
      <c r="F67" s="5280">
        <v>8.7428699999999999</v>
      </c>
      <c r="G67" s="3428">
        <v>5.6840032620867058</v>
      </c>
      <c r="H67" s="5281">
        <v>0</v>
      </c>
      <c r="I67" s="3428">
        <v>0</v>
      </c>
      <c r="J67" s="3428">
        <v>5.6840032620867058</v>
      </c>
      <c r="K67" s="3427">
        <v>5.6800000000000006</v>
      </c>
    </row>
    <row r="68" spans="1:11">
      <c r="A68" s="5542" t="s">
        <v>3838</v>
      </c>
      <c r="B68" s="5207" t="s">
        <v>3783</v>
      </c>
      <c r="C68" s="5207" t="s">
        <v>3834</v>
      </c>
      <c r="D68" s="3427" t="s">
        <v>3800</v>
      </c>
      <c r="E68" s="5280">
        <v>0.65324519999999997</v>
      </c>
      <c r="F68" s="5280">
        <v>0.59445313199999994</v>
      </c>
      <c r="G68" s="3428">
        <v>5.8599999999999994</v>
      </c>
      <c r="H68" s="5281">
        <v>0.09</v>
      </c>
      <c r="I68" s="3428">
        <v>0.6</v>
      </c>
      <c r="J68" s="3428">
        <v>6.4395604395604389</v>
      </c>
      <c r="K68" s="3427">
        <v>5.26</v>
      </c>
    </row>
    <row r="69" spans="1:11">
      <c r="A69" s="5542"/>
      <c r="B69" s="5207" t="s">
        <v>3783</v>
      </c>
      <c r="C69" s="5207" t="s">
        <v>3784</v>
      </c>
      <c r="D69" s="3427" t="s">
        <v>3835</v>
      </c>
      <c r="E69" s="5280">
        <v>1.1051167499999992</v>
      </c>
      <c r="F69" s="5280">
        <v>1.0388097449999993</v>
      </c>
      <c r="G69" s="3428">
        <v>5.7625757436940486</v>
      </c>
      <c r="H69" s="5281">
        <v>0.06</v>
      </c>
      <c r="I69" s="3428">
        <v>0.04</v>
      </c>
      <c r="J69" s="3428">
        <v>6.1303997273340949</v>
      </c>
      <c r="K69" s="3427">
        <v>5.69</v>
      </c>
    </row>
    <row r="70" spans="1:11">
      <c r="A70" s="5542"/>
      <c r="B70" s="5207" t="s">
        <v>3783</v>
      </c>
      <c r="C70" s="5207" t="s">
        <v>3836</v>
      </c>
      <c r="D70" s="3427" t="s">
        <v>3787</v>
      </c>
      <c r="E70" s="5280">
        <v>9.9099999999999994E-2</v>
      </c>
      <c r="F70" s="5280">
        <v>9.3154000000000001E-2</v>
      </c>
      <c r="G70" s="3428">
        <v>6.113269424823411</v>
      </c>
      <c r="H70" s="5281">
        <v>0.06</v>
      </c>
      <c r="I70" s="3428">
        <v>0.11</v>
      </c>
      <c r="J70" s="3428">
        <v>6.5034781115142666</v>
      </c>
      <c r="K70" s="3427">
        <v>5.6400000000000006</v>
      </c>
    </row>
    <row r="71" spans="1:11">
      <c r="A71" s="5542"/>
      <c r="B71" s="5207" t="s">
        <v>3783</v>
      </c>
      <c r="C71" s="5207" t="s">
        <v>3837</v>
      </c>
      <c r="D71" s="3427" t="s">
        <v>350</v>
      </c>
      <c r="E71" s="5280">
        <v>8.4839000000000002</v>
      </c>
      <c r="F71" s="5280">
        <v>8.4839000000000002</v>
      </c>
      <c r="G71" s="3428">
        <v>5.684243331486698</v>
      </c>
      <c r="H71" s="5281">
        <v>0</v>
      </c>
      <c r="I71" s="3428">
        <v>0</v>
      </c>
      <c r="J71" s="3428">
        <v>5.684243331486698</v>
      </c>
      <c r="K71" s="3427">
        <v>5.6800000000000006</v>
      </c>
    </row>
    <row r="72" spans="1:11">
      <c r="A72" s="5542"/>
      <c r="B72" s="5207" t="s">
        <v>3783</v>
      </c>
      <c r="C72" s="5207" t="s">
        <v>3839</v>
      </c>
      <c r="D72" s="3427" t="s">
        <v>350</v>
      </c>
      <c r="E72" s="5280">
        <v>1.722</v>
      </c>
      <c r="F72" s="5280">
        <v>1.722</v>
      </c>
      <c r="G72" s="3428">
        <v>5.87</v>
      </c>
      <c r="H72" s="5281">
        <v>0</v>
      </c>
      <c r="I72" s="3428">
        <v>0</v>
      </c>
      <c r="J72" s="3428">
        <v>5.87</v>
      </c>
      <c r="K72" s="3427">
        <v>5.87</v>
      </c>
    </row>
    <row r="73" spans="1:11">
      <c r="A73" s="5542" t="s">
        <v>3840</v>
      </c>
      <c r="B73" s="5207" t="s">
        <v>3783</v>
      </c>
      <c r="C73" s="5207" t="s">
        <v>3834</v>
      </c>
      <c r="D73" s="3427" t="s">
        <v>3800</v>
      </c>
      <c r="E73" s="5280">
        <v>0.43920029999999999</v>
      </c>
      <c r="F73" s="5280">
        <v>0.39967227299999997</v>
      </c>
      <c r="G73" s="3428">
        <v>5.86</v>
      </c>
      <c r="H73" s="5281">
        <v>0.09</v>
      </c>
      <c r="I73" s="3428">
        <v>0.6</v>
      </c>
      <c r="J73" s="3428">
        <v>6.4395604395604398</v>
      </c>
      <c r="K73" s="3427">
        <v>5.26</v>
      </c>
    </row>
    <row r="74" spans="1:11">
      <c r="A74" s="5542"/>
      <c r="B74" s="5207" t="s">
        <v>3783</v>
      </c>
      <c r="C74" s="5207" t="s">
        <v>3836</v>
      </c>
      <c r="D74" s="3427" t="s">
        <v>3787</v>
      </c>
      <c r="E74" s="5280">
        <v>0.59509999999999996</v>
      </c>
      <c r="F74" s="5280">
        <v>0.59444538999999996</v>
      </c>
      <c r="G74" s="3428">
        <v>5.75</v>
      </c>
      <c r="H74" s="5281">
        <v>0.06</v>
      </c>
      <c r="I74" s="3428">
        <v>0.11</v>
      </c>
      <c r="J74" s="3428">
        <v>5.756331965161678</v>
      </c>
      <c r="K74" s="3427">
        <v>5.6400000000000006</v>
      </c>
    </row>
    <row r="75" spans="1:11">
      <c r="A75" s="5542"/>
      <c r="B75" s="5207" t="s">
        <v>3783</v>
      </c>
      <c r="C75" s="5207" t="s">
        <v>3837</v>
      </c>
      <c r="D75" s="3427" t="s">
        <v>350</v>
      </c>
      <c r="E75" s="5280">
        <v>8.7597699999999996</v>
      </c>
      <c r="F75" s="5280">
        <v>8.7597699999999996</v>
      </c>
      <c r="G75" s="3428">
        <v>5.6839955386956511</v>
      </c>
      <c r="H75" s="5281">
        <v>0</v>
      </c>
      <c r="I75" s="3428">
        <v>0</v>
      </c>
      <c r="J75" s="3428">
        <v>5.6839955386956511</v>
      </c>
      <c r="K75" s="3427">
        <v>5.6800000000000006</v>
      </c>
    </row>
    <row r="76" spans="1:11">
      <c r="A76" s="5542"/>
      <c r="B76" s="5207" t="s">
        <v>3783</v>
      </c>
      <c r="C76" s="5207" t="s">
        <v>3839</v>
      </c>
      <c r="D76" s="3427" t="s">
        <v>350</v>
      </c>
      <c r="E76" s="5280">
        <v>3.2709999999999999</v>
      </c>
      <c r="F76" s="5280">
        <v>3.2709999999999999</v>
      </c>
      <c r="G76" s="3428">
        <v>5.880700091715072</v>
      </c>
      <c r="H76" s="5281">
        <v>0</v>
      </c>
      <c r="I76" s="3428">
        <v>0</v>
      </c>
      <c r="J76" s="3428">
        <v>5.880700091715072</v>
      </c>
      <c r="K76" s="3427">
        <v>5.87</v>
      </c>
    </row>
    <row r="77" spans="1:11">
      <c r="A77" s="5542"/>
      <c r="B77" s="5207" t="s">
        <v>3783</v>
      </c>
      <c r="C77" s="5207" t="s">
        <v>3841</v>
      </c>
      <c r="D77" s="3427" t="s">
        <v>3835</v>
      </c>
      <c r="E77" s="5280">
        <v>1.8075000000000001</v>
      </c>
      <c r="F77" s="5280">
        <v>1.8075000000000001</v>
      </c>
      <c r="G77" s="3428">
        <v>5.8205006915629323</v>
      </c>
      <c r="H77" s="5281">
        <v>0.06</v>
      </c>
      <c r="I77" s="3428">
        <v>0</v>
      </c>
      <c r="J77" s="3428">
        <v>5.8205006915629323</v>
      </c>
      <c r="K77" s="3427">
        <v>5.69</v>
      </c>
    </row>
    <row r="78" spans="1:11">
      <c r="A78" s="5542" t="s">
        <v>3842</v>
      </c>
      <c r="B78" s="5207" t="s">
        <v>3783</v>
      </c>
      <c r="C78" s="5207" t="s">
        <v>3834</v>
      </c>
      <c r="D78" s="3427" t="s">
        <v>3800</v>
      </c>
      <c r="E78" s="5280">
        <v>0.5283987</v>
      </c>
      <c r="F78" s="5280">
        <v>0.48084281699999998</v>
      </c>
      <c r="G78" s="3428">
        <v>5.8599999999999994</v>
      </c>
      <c r="H78" s="5281">
        <v>0.09</v>
      </c>
      <c r="I78" s="3428">
        <v>0.6</v>
      </c>
      <c r="J78" s="3428">
        <v>6.439560439560438</v>
      </c>
      <c r="K78" s="3427">
        <v>5.26</v>
      </c>
    </row>
    <row r="79" spans="1:11">
      <c r="A79" s="5542"/>
      <c r="B79" s="5207" t="s">
        <v>3783</v>
      </c>
      <c r="C79" s="5207" t="s">
        <v>3836</v>
      </c>
      <c r="D79" s="3427" t="s">
        <v>3787</v>
      </c>
      <c r="E79" s="5280">
        <v>0.50800000000000001</v>
      </c>
      <c r="F79" s="5280">
        <v>0.50744120000000004</v>
      </c>
      <c r="G79" s="3428">
        <v>5.8208661417322833</v>
      </c>
      <c r="H79" s="5281">
        <v>0.06</v>
      </c>
      <c r="I79" s="3428">
        <v>0.11</v>
      </c>
      <c r="J79" s="3428">
        <v>5.8272761454923252</v>
      </c>
      <c r="K79" s="3427">
        <v>5.6400000000000006</v>
      </c>
    </row>
    <row r="80" spans="1:11">
      <c r="A80" s="5542"/>
      <c r="B80" s="5207" t="s">
        <v>3783</v>
      </c>
      <c r="C80" s="5207" t="s">
        <v>3837</v>
      </c>
      <c r="D80" s="3427" t="s">
        <v>350</v>
      </c>
      <c r="E80" s="5280">
        <v>8.8691800000000001</v>
      </c>
      <c r="F80" s="5280">
        <v>8.8691800000000001</v>
      </c>
      <c r="G80" s="3428">
        <v>5.6840589998173447</v>
      </c>
      <c r="H80" s="5281">
        <v>0</v>
      </c>
      <c r="I80" s="3428">
        <v>0</v>
      </c>
      <c r="J80" s="3428">
        <v>5.6840589998173447</v>
      </c>
      <c r="K80" s="3427">
        <v>5.6800000000000006</v>
      </c>
    </row>
    <row r="81" spans="1:11">
      <c r="A81" s="5542"/>
      <c r="B81" s="5207" t="s">
        <v>3783</v>
      </c>
      <c r="C81" s="5207" t="s">
        <v>3839</v>
      </c>
      <c r="D81" s="3427" t="s">
        <v>350</v>
      </c>
      <c r="E81" s="5280">
        <v>2.3559999999999999</v>
      </c>
      <c r="F81" s="5280">
        <v>2.3559999999999999</v>
      </c>
      <c r="G81" s="3428">
        <v>5.8852801358234297</v>
      </c>
      <c r="H81" s="5281">
        <v>0</v>
      </c>
      <c r="I81" s="3428">
        <v>0</v>
      </c>
      <c r="J81" s="3428">
        <v>5.8852801358234297</v>
      </c>
      <c r="K81" s="3427">
        <v>5.87</v>
      </c>
    </row>
    <row r="82" spans="1:11">
      <c r="A82" s="5542"/>
      <c r="B82" s="5207" t="s">
        <v>3783</v>
      </c>
      <c r="C82" s="5207" t="s">
        <v>3841</v>
      </c>
      <c r="D82" s="3427" t="s">
        <v>3835</v>
      </c>
      <c r="E82" s="5280">
        <v>1.8353000000000059</v>
      </c>
      <c r="F82" s="5280">
        <v>1.8332811700000058</v>
      </c>
      <c r="G82" s="3428">
        <v>5.8185255816487764</v>
      </c>
      <c r="H82" s="5281">
        <v>0.06</v>
      </c>
      <c r="I82" s="3428">
        <v>0.11</v>
      </c>
      <c r="J82" s="3428">
        <v>5.8249330079575303</v>
      </c>
      <c r="K82" s="3427">
        <v>5.69</v>
      </c>
    </row>
    <row r="83" spans="1:11">
      <c r="A83" s="5542" t="s">
        <v>3843</v>
      </c>
      <c r="B83" s="5207" t="s">
        <v>352</v>
      </c>
      <c r="C83" s="5207" t="s">
        <v>3844</v>
      </c>
      <c r="D83" s="3427" t="s">
        <v>3845</v>
      </c>
      <c r="E83" s="5280">
        <v>7.8152260000000001E-2</v>
      </c>
      <c r="F83" s="5280">
        <v>7.8152260000000001E-2</v>
      </c>
      <c r="G83" s="3428">
        <v>7.69</v>
      </c>
      <c r="H83" s="5281">
        <v>0.06</v>
      </c>
      <c r="I83" s="3428">
        <v>0</v>
      </c>
      <c r="J83" s="3428">
        <v>7.69</v>
      </c>
      <c r="K83" s="3427">
        <v>7.69</v>
      </c>
    </row>
    <row r="84" spans="1:11">
      <c r="A84" s="5542"/>
      <c r="B84" s="5207" t="s">
        <v>3783</v>
      </c>
      <c r="C84" s="5207" t="s">
        <v>3834</v>
      </c>
      <c r="D84" s="3427" t="s">
        <v>3800</v>
      </c>
      <c r="E84" s="5280">
        <v>0.67930740000000001</v>
      </c>
      <c r="F84" s="5280">
        <v>0.61816973400000008</v>
      </c>
      <c r="G84" s="3428">
        <v>5.86</v>
      </c>
      <c r="H84" s="5281">
        <v>0.09</v>
      </c>
      <c r="I84" s="3428">
        <v>0.6</v>
      </c>
      <c r="J84" s="3428">
        <v>6.4395604395604389</v>
      </c>
      <c r="K84" s="3427">
        <v>5.26</v>
      </c>
    </row>
    <row r="85" spans="1:11">
      <c r="A85" s="5542"/>
      <c r="B85" s="5207" t="s">
        <v>3783</v>
      </c>
      <c r="C85" s="5207" t="s">
        <v>3836</v>
      </c>
      <c r="D85" s="3427" t="s">
        <v>3787</v>
      </c>
      <c r="E85" s="5280">
        <v>0.18129999999999999</v>
      </c>
      <c r="F85" s="5280">
        <v>0.17042199999999999</v>
      </c>
      <c r="G85" s="3428">
        <v>5.9485659128516275</v>
      </c>
      <c r="H85" s="5281">
        <v>0.06</v>
      </c>
      <c r="I85" s="3428">
        <v>0.11</v>
      </c>
      <c r="J85" s="3428">
        <v>6.3282616094166242</v>
      </c>
      <c r="K85" s="3427">
        <v>5.6400000000000006</v>
      </c>
    </row>
    <row r="86" spans="1:11">
      <c r="A86" s="5542"/>
      <c r="B86" s="5207" t="s">
        <v>3783</v>
      </c>
      <c r="C86" s="2074" t="s">
        <v>3837</v>
      </c>
      <c r="D86" s="4907" t="s">
        <v>350</v>
      </c>
      <c r="E86" s="5280">
        <v>9.0236490000000007</v>
      </c>
      <c r="F86" s="5280">
        <v>9.0236490000000007</v>
      </c>
      <c r="G86" s="5282">
        <v>5.6839895168794801</v>
      </c>
      <c r="H86" s="5281">
        <v>0</v>
      </c>
      <c r="I86" s="3428">
        <v>0</v>
      </c>
      <c r="J86" s="5282">
        <v>5.6839895168794801</v>
      </c>
      <c r="K86" s="4907">
        <v>5.6800000000000006</v>
      </c>
    </row>
    <row r="87" spans="1:11">
      <c r="A87" s="5542"/>
      <c r="B87" s="5207" t="s">
        <v>3783</v>
      </c>
      <c r="C87" s="5207" t="s">
        <v>3839</v>
      </c>
      <c r="D87" s="3427" t="s">
        <v>350</v>
      </c>
      <c r="E87" s="5280">
        <v>4.0890000000000004</v>
      </c>
      <c r="F87" s="5280">
        <v>4.0890000000000004</v>
      </c>
      <c r="G87" s="3428">
        <v>5.8788041085840055</v>
      </c>
      <c r="H87" s="5281">
        <v>0</v>
      </c>
      <c r="I87" s="3428">
        <v>0</v>
      </c>
      <c r="J87" s="3428">
        <v>5.8788041085840055</v>
      </c>
      <c r="K87" s="3427">
        <v>5.87</v>
      </c>
    </row>
    <row r="88" spans="1:11">
      <c r="A88" s="5542"/>
      <c r="B88" s="5207" t="s">
        <v>3783</v>
      </c>
      <c r="C88" s="5207" t="s">
        <v>3841</v>
      </c>
      <c r="D88" s="3427" t="s">
        <v>3835</v>
      </c>
      <c r="E88" s="5280">
        <v>2.0857000000000001</v>
      </c>
      <c r="F88" s="5280">
        <v>1.960558</v>
      </c>
      <c r="G88" s="3428">
        <v>5.8172603921944672</v>
      </c>
      <c r="H88" s="5281">
        <v>0.06</v>
      </c>
      <c r="I88" s="3428">
        <v>0.11</v>
      </c>
      <c r="J88" s="3428">
        <v>6.1885748853132627</v>
      </c>
      <c r="K88" s="3427">
        <v>5.69</v>
      </c>
    </row>
    <row r="89" spans="1:11">
      <c r="A89" s="5542" t="s">
        <v>3846</v>
      </c>
      <c r="B89" s="5207" t="s">
        <v>352</v>
      </c>
      <c r="C89" s="5207" t="s">
        <v>3844</v>
      </c>
      <c r="D89" s="3427" t="s">
        <v>3845</v>
      </c>
      <c r="E89" s="5280">
        <v>0.15292143999999999</v>
      </c>
      <c r="F89" s="5280">
        <v>0.15292143999999999</v>
      </c>
      <c r="G89" s="3428">
        <v>7.69</v>
      </c>
      <c r="H89" s="5281">
        <v>0</v>
      </c>
      <c r="I89" s="3428">
        <v>0</v>
      </c>
      <c r="J89" s="3428">
        <v>7.69</v>
      </c>
      <c r="K89" s="3427">
        <v>7.69</v>
      </c>
    </row>
    <row r="90" spans="1:11">
      <c r="A90" s="5542"/>
      <c r="B90" s="5207" t="s">
        <v>352</v>
      </c>
      <c r="C90" s="5207" t="s">
        <v>3847</v>
      </c>
      <c r="D90" s="3427" t="s">
        <v>3845</v>
      </c>
      <c r="E90" s="5280">
        <v>1.3931780000000001E-2</v>
      </c>
      <c r="F90" s="5280">
        <v>1.3931780000000001E-2</v>
      </c>
      <c r="G90" s="3428">
        <v>7.69</v>
      </c>
      <c r="H90" s="5281">
        <v>0</v>
      </c>
      <c r="I90" s="3428">
        <v>0</v>
      </c>
      <c r="J90" s="3428">
        <v>7.69</v>
      </c>
      <c r="K90" s="3427">
        <v>7.69</v>
      </c>
    </row>
    <row r="91" spans="1:11">
      <c r="A91" s="5542"/>
      <c r="B91" s="5207" t="s">
        <v>352</v>
      </c>
      <c r="C91" s="5207" t="s">
        <v>3848</v>
      </c>
      <c r="D91" s="3427" t="s">
        <v>3845</v>
      </c>
      <c r="E91" s="5280">
        <v>6.96555E-3</v>
      </c>
      <c r="F91" s="5280">
        <v>6.96555E-3</v>
      </c>
      <c r="G91" s="3428">
        <v>7.69</v>
      </c>
      <c r="H91" s="5281">
        <v>0</v>
      </c>
      <c r="I91" s="3428">
        <v>0</v>
      </c>
      <c r="J91" s="3428">
        <v>7.69</v>
      </c>
      <c r="K91" s="3427">
        <v>7.69</v>
      </c>
    </row>
    <row r="92" spans="1:11">
      <c r="A92" s="5542"/>
      <c r="B92" s="5207" t="s">
        <v>352</v>
      </c>
      <c r="C92" s="5207" t="s">
        <v>3849</v>
      </c>
      <c r="D92" s="3427" t="s">
        <v>3845</v>
      </c>
      <c r="E92" s="5280">
        <v>6.0322600000000002E-3</v>
      </c>
      <c r="F92" s="5280">
        <v>6.0322600000000002E-3</v>
      </c>
      <c r="G92" s="3428">
        <v>7.69</v>
      </c>
      <c r="H92" s="5281">
        <v>0</v>
      </c>
      <c r="I92" s="3428">
        <v>0</v>
      </c>
      <c r="J92" s="3428">
        <v>7.69</v>
      </c>
      <c r="K92" s="3427">
        <v>7.69</v>
      </c>
    </row>
    <row r="93" spans="1:11">
      <c r="A93" s="5542"/>
      <c r="B93" s="5207" t="s">
        <v>352</v>
      </c>
      <c r="C93" s="5207" t="s">
        <v>3850</v>
      </c>
      <c r="D93" s="3427" t="s">
        <v>3845</v>
      </c>
      <c r="E93" s="5280">
        <v>0.10732759</v>
      </c>
      <c r="F93" s="5280">
        <v>0.10732759</v>
      </c>
      <c r="G93" s="3428">
        <v>7.6899999999999995</v>
      </c>
      <c r="H93" s="5281">
        <v>0</v>
      </c>
      <c r="I93" s="3428">
        <v>0</v>
      </c>
      <c r="J93" s="3428">
        <v>7.6899999999999995</v>
      </c>
      <c r="K93" s="3427">
        <v>7.69</v>
      </c>
    </row>
    <row r="94" spans="1:11">
      <c r="A94" s="5542"/>
      <c r="B94" s="5207" t="s">
        <v>352</v>
      </c>
      <c r="C94" s="5207" t="s">
        <v>3851</v>
      </c>
      <c r="D94" s="3427" t="s">
        <v>3845</v>
      </c>
      <c r="E94" s="5280">
        <v>7.6424600000000002E-3</v>
      </c>
      <c r="F94" s="5280">
        <v>7.6424600000000002E-3</v>
      </c>
      <c r="G94" s="3428">
        <v>7.69</v>
      </c>
      <c r="H94" s="5281">
        <v>0</v>
      </c>
      <c r="I94" s="3428">
        <v>0</v>
      </c>
      <c r="J94" s="3428">
        <v>7.69</v>
      </c>
      <c r="K94" s="3427">
        <v>7.69</v>
      </c>
    </row>
    <row r="95" spans="1:11">
      <c r="A95" s="5542"/>
      <c r="B95" s="5207" t="s">
        <v>3783</v>
      </c>
      <c r="C95" s="5207" t="s">
        <v>3834</v>
      </c>
      <c r="D95" s="3427" t="s">
        <v>3800</v>
      </c>
      <c r="E95" s="5280">
        <v>0.6565183</v>
      </c>
      <c r="F95" s="5280">
        <v>0.59743165300000001</v>
      </c>
      <c r="G95" s="3428">
        <v>5.8599999999999994</v>
      </c>
      <c r="H95" s="5281">
        <v>0.09</v>
      </c>
      <c r="I95" s="3428">
        <v>0.6</v>
      </c>
      <c r="J95" s="3428">
        <v>6.4395604395604389</v>
      </c>
      <c r="K95" s="3427">
        <v>5.26</v>
      </c>
    </row>
    <row r="96" spans="1:11">
      <c r="A96" s="5542"/>
      <c r="B96" s="5207" t="s">
        <v>3783</v>
      </c>
      <c r="C96" s="3586" t="s">
        <v>3836</v>
      </c>
      <c r="D96" s="3427" t="s">
        <v>3787</v>
      </c>
      <c r="E96" s="5280">
        <v>0.3972</v>
      </c>
      <c r="F96" s="5280">
        <v>0.37336799999999998</v>
      </c>
      <c r="G96" s="3428">
        <v>5.8381168177240683</v>
      </c>
      <c r="H96" s="5281">
        <v>0.06</v>
      </c>
      <c r="I96" s="3428">
        <v>0.11</v>
      </c>
      <c r="J96" s="3428">
        <v>6.2107625720468818</v>
      </c>
      <c r="K96" s="3427">
        <v>5.6400000000000006</v>
      </c>
    </row>
    <row r="97" spans="1:11">
      <c r="A97" s="5542"/>
      <c r="B97" s="5207" t="s">
        <v>3783</v>
      </c>
      <c r="C97" s="5207" t="s">
        <v>3837</v>
      </c>
      <c r="D97" s="3427" t="s">
        <v>350</v>
      </c>
      <c r="E97" s="5280">
        <v>8.5437700000000003</v>
      </c>
      <c r="F97" s="5280">
        <v>8.5437700000000003</v>
      </c>
      <c r="G97" s="3428">
        <v>5.6840965522246032</v>
      </c>
      <c r="H97" s="5281">
        <v>0</v>
      </c>
      <c r="I97" s="3428">
        <v>0</v>
      </c>
      <c r="J97" s="3428">
        <v>5.6840965522246032</v>
      </c>
      <c r="K97" s="3427">
        <v>5.6800000000000006</v>
      </c>
    </row>
    <row r="98" spans="1:11">
      <c r="A98" s="5542"/>
      <c r="B98" s="5207" t="s">
        <v>3783</v>
      </c>
      <c r="C98" s="5207" t="s">
        <v>3839</v>
      </c>
      <c r="D98" s="3427" t="s">
        <v>350</v>
      </c>
      <c r="E98" s="5280">
        <v>5.0389999999999997</v>
      </c>
      <c r="F98" s="5280">
        <v>5.0389999999999997</v>
      </c>
      <c r="G98" s="3428">
        <v>5.8769458225838456</v>
      </c>
      <c r="H98" s="5281">
        <v>0</v>
      </c>
      <c r="I98" s="3428">
        <v>0</v>
      </c>
      <c r="J98" s="3428">
        <v>5.8769458225838456</v>
      </c>
      <c r="K98" s="3427">
        <v>5.87</v>
      </c>
    </row>
    <row r="99" spans="1:11">
      <c r="A99" s="5542"/>
      <c r="B99" s="5207" t="s">
        <v>3783</v>
      </c>
      <c r="C99" s="5207" t="s">
        <v>3841</v>
      </c>
      <c r="D99" s="3427" t="s">
        <v>3835</v>
      </c>
      <c r="E99" s="5280">
        <v>1.2033</v>
      </c>
      <c r="F99" s="5280">
        <v>1.1311020000000001</v>
      </c>
      <c r="G99" s="3428">
        <v>5.8124657192720024</v>
      </c>
      <c r="H99" s="5281">
        <v>0.06</v>
      </c>
      <c r="I99" s="3428">
        <v>0.11</v>
      </c>
      <c r="J99" s="3428">
        <v>6.1834741694383002</v>
      </c>
      <c r="K99" s="3427">
        <v>5.69</v>
      </c>
    </row>
    <row r="100" spans="1:11">
      <c r="A100" s="5542" t="s">
        <v>3852</v>
      </c>
      <c r="B100" s="5207" t="s">
        <v>352</v>
      </c>
      <c r="C100" s="5207" t="s">
        <v>3853</v>
      </c>
      <c r="D100" s="3427" t="s">
        <v>3845</v>
      </c>
      <c r="E100" s="5280">
        <v>1.8511599999999999</v>
      </c>
      <c r="F100" s="5280">
        <v>1.8511599999999999</v>
      </c>
      <c r="G100" s="3428">
        <v>8.56</v>
      </c>
      <c r="H100" s="5281">
        <v>0</v>
      </c>
      <c r="I100" s="3428">
        <v>0</v>
      </c>
      <c r="J100" s="3428">
        <v>8.56</v>
      </c>
      <c r="K100" s="3427">
        <v>8.56</v>
      </c>
    </row>
    <row r="101" spans="1:11">
      <c r="A101" s="5542"/>
      <c r="B101" s="5207" t="s">
        <v>352</v>
      </c>
      <c r="C101" s="5207" t="s">
        <v>3844</v>
      </c>
      <c r="D101" s="3427" t="s">
        <v>3845</v>
      </c>
      <c r="E101" s="5280">
        <v>0.15923697000000001</v>
      </c>
      <c r="F101" s="5280">
        <v>0.15923697000000001</v>
      </c>
      <c r="G101" s="3428">
        <v>7.69</v>
      </c>
      <c r="H101" s="5281">
        <v>0</v>
      </c>
      <c r="I101" s="3428">
        <v>0</v>
      </c>
      <c r="J101" s="3428">
        <v>7.69</v>
      </c>
      <c r="K101" s="3427">
        <v>7.69</v>
      </c>
    </row>
    <row r="102" spans="1:11">
      <c r="A102" s="5542"/>
      <c r="B102" s="5207" t="s">
        <v>352</v>
      </c>
      <c r="C102" s="5207" t="s">
        <v>3847</v>
      </c>
      <c r="D102" s="3427" t="s">
        <v>3845</v>
      </c>
      <c r="E102" s="5280">
        <v>0.12403925</v>
      </c>
      <c r="F102" s="5280">
        <v>0.12403925</v>
      </c>
      <c r="G102" s="3428">
        <v>7.69</v>
      </c>
      <c r="H102" s="5281">
        <v>0</v>
      </c>
      <c r="I102" s="3428">
        <v>0</v>
      </c>
      <c r="J102" s="3428">
        <v>7.69</v>
      </c>
      <c r="K102" s="3427">
        <v>7.69</v>
      </c>
    </row>
    <row r="103" spans="1:11">
      <c r="A103" s="5542"/>
      <c r="B103" s="5207" t="s">
        <v>352</v>
      </c>
      <c r="C103" s="5207" t="s">
        <v>3848</v>
      </c>
      <c r="D103" s="3427" t="s">
        <v>3845</v>
      </c>
      <c r="E103" s="5280">
        <v>7.0689320000000014E-2</v>
      </c>
      <c r="F103" s="5280">
        <v>7.0689320000000014E-2</v>
      </c>
      <c r="G103" s="3428">
        <v>7.6899999999999995</v>
      </c>
      <c r="H103" s="5281">
        <v>0</v>
      </c>
      <c r="I103" s="3428">
        <v>0</v>
      </c>
      <c r="J103" s="3428">
        <v>7.6899999999999995</v>
      </c>
      <c r="K103" s="3427">
        <v>7.69</v>
      </c>
    </row>
    <row r="104" spans="1:11">
      <c r="A104" s="5542"/>
      <c r="B104" s="5207" t="s">
        <v>352</v>
      </c>
      <c r="C104" s="5207" t="s">
        <v>3849</v>
      </c>
      <c r="D104" s="3427" t="s">
        <v>3845</v>
      </c>
      <c r="E104" s="5280">
        <v>5.1781339999999995E-2</v>
      </c>
      <c r="F104" s="5280">
        <v>5.1781339999999995E-2</v>
      </c>
      <c r="G104" s="3428">
        <v>7.69</v>
      </c>
      <c r="H104" s="5281">
        <v>0</v>
      </c>
      <c r="I104" s="3428">
        <v>0</v>
      </c>
      <c r="J104" s="3428">
        <v>7.69</v>
      </c>
      <c r="K104" s="3427">
        <v>7.69</v>
      </c>
    </row>
    <row r="105" spans="1:11">
      <c r="A105" s="5542"/>
      <c r="B105" s="5207" t="s">
        <v>352</v>
      </c>
      <c r="C105" s="5207" t="s">
        <v>3850</v>
      </c>
      <c r="D105" s="3427" t="s">
        <v>3845</v>
      </c>
      <c r="E105" s="5280">
        <v>0.44143284999999999</v>
      </c>
      <c r="F105" s="5280">
        <v>0.44143284999999999</v>
      </c>
      <c r="G105" s="3428">
        <v>7.69</v>
      </c>
      <c r="H105" s="5281">
        <v>0</v>
      </c>
      <c r="I105" s="3428">
        <v>0</v>
      </c>
      <c r="J105" s="3428">
        <v>7.69</v>
      </c>
      <c r="K105" s="3427">
        <v>7.69</v>
      </c>
    </row>
    <row r="106" spans="1:11">
      <c r="A106" s="5542"/>
      <c r="B106" s="5207" t="s">
        <v>352</v>
      </c>
      <c r="C106" s="5207" t="s">
        <v>3851</v>
      </c>
      <c r="D106" s="3427" t="s">
        <v>3845</v>
      </c>
      <c r="E106" s="5280">
        <v>7.8804659999999999E-2</v>
      </c>
      <c r="F106" s="5280">
        <v>7.8804659999999999E-2</v>
      </c>
      <c r="G106" s="3428">
        <v>7.6900000000000013</v>
      </c>
      <c r="H106" s="5281">
        <v>0</v>
      </c>
      <c r="I106" s="3428">
        <v>0</v>
      </c>
      <c r="J106" s="3428">
        <v>7.6900000000000013</v>
      </c>
      <c r="K106" s="3427">
        <v>7.69</v>
      </c>
    </row>
    <row r="107" spans="1:11">
      <c r="A107" s="5542"/>
      <c r="B107" s="5207" t="s">
        <v>3783</v>
      </c>
      <c r="C107" s="5207" t="s">
        <v>3834</v>
      </c>
      <c r="D107" s="3427" t="s">
        <v>3800</v>
      </c>
      <c r="E107" s="5280">
        <v>0.69194280000000008</v>
      </c>
      <c r="F107" s="5280">
        <v>0.62966794800000014</v>
      </c>
      <c r="G107" s="3428">
        <v>5.86</v>
      </c>
      <c r="H107" s="5281">
        <v>0.09</v>
      </c>
      <c r="I107" s="3428">
        <v>0.6</v>
      </c>
      <c r="J107" s="3428">
        <v>6.4395604395604389</v>
      </c>
      <c r="K107" s="3427">
        <v>5.26</v>
      </c>
    </row>
    <row r="108" spans="1:11">
      <c r="A108" s="5542"/>
      <c r="B108" s="5207" t="s">
        <v>3783</v>
      </c>
      <c r="C108" s="5207" t="s">
        <v>3836</v>
      </c>
      <c r="D108" s="3427" t="s">
        <v>3787</v>
      </c>
      <c r="E108" s="5280">
        <v>9.8699999999999996E-2</v>
      </c>
      <c r="F108" s="5280">
        <v>9.2777999999999999E-2</v>
      </c>
      <c r="G108" s="3428">
        <v>6.1147416413373863</v>
      </c>
      <c r="H108" s="5281">
        <v>0.06</v>
      </c>
      <c r="I108" s="3428">
        <v>0.11</v>
      </c>
      <c r="J108" s="3428">
        <v>6.5050442992950916</v>
      </c>
      <c r="K108" s="3427">
        <v>5.6400000000000006</v>
      </c>
    </row>
    <row r="109" spans="1:11">
      <c r="A109" s="5542"/>
      <c r="B109" s="5207" t="s">
        <v>3783</v>
      </c>
      <c r="C109" s="5207" t="s">
        <v>3837</v>
      </c>
      <c r="D109" s="3427" t="s">
        <v>350</v>
      </c>
      <c r="E109" s="5280">
        <v>8.5669799999999992</v>
      </c>
      <c r="F109" s="5280">
        <v>8.5669799999999992</v>
      </c>
      <c r="G109" s="3428">
        <v>5.6842021809319032</v>
      </c>
      <c r="H109" s="5281">
        <v>0</v>
      </c>
      <c r="I109" s="3428">
        <v>0</v>
      </c>
      <c r="J109" s="3428">
        <v>5.6842021809319032</v>
      </c>
      <c r="K109" s="3427">
        <v>5.6800000000000006</v>
      </c>
    </row>
    <row r="110" spans="1:11">
      <c r="A110" s="5542"/>
      <c r="B110" s="5207" t="s">
        <v>3783</v>
      </c>
      <c r="C110" s="3586" t="s">
        <v>3839</v>
      </c>
      <c r="D110" s="5201" t="s">
        <v>350</v>
      </c>
      <c r="E110" s="5218">
        <v>5.157</v>
      </c>
      <c r="F110" s="5218">
        <v>5.157</v>
      </c>
      <c r="G110" s="3941">
        <v>5.8769808027923212</v>
      </c>
      <c r="H110" s="5281">
        <v>0</v>
      </c>
      <c r="I110" s="3939">
        <v>0</v>
      </c>
      <c r="J110" s="3941">
        <v>5.8769808027923212</v>
      </c>
      <c r="K110" s="3588">
        <v>5.87</v>
      </c>
    </row>
    <row r="111" spans="1:11">
      <c r="A111" s="5542"/>
      <c r="B111" s="5207" t="s">
        <v>3783</v>
      </c>
      <c r="C111" s="5207" t="s">
        <v>3841</v>
      </c>
      <c r="D111" s="3427" t="s">
        <v>3835</v>
      </c>
      <c r="E111" s="5280">
        <v>3.2684000000000002</v>
      </c>
      <c r="F111" s="5280">
        <v>3.0722960000000001</v>
      </c>
      <c r="G111" s="3439">
        <v>5.8110145637008932</v>
      </c>
      <c r="H111" s="5281">
        <v>0.06</v>
      </c>
      <c r="I111" s="3428">
        <v>0.11</v>
      </c>
      <c r="J111" s="3439">
        <v>6.1819303869158437</v>
      </c>
      <c r="K111" s="5208">
        <v>5.69</v>
      </c>
    </row>
    <row r="112" spans="1:11">
      <c r="A112" s="5542"/>
      <c r="B112" s="5207" t="s">
        <v>3783</v>
      </c>
      <c r="C112" s="5207" t="s">
        <v>3854</v>
      </c>
      <c r="D112" s="3427" t="s">
        <v>350</v>
      </c>
      <c r="E112" s="5280">
        <v>4.8546300000000002</v>
      </c>
      <c r="F112" s="5280">
        <v>4.8546300000000002</v>
      </c>
      <c r="G112" s="3439">
        <v>5.6074156011889684</v>
      </c>
      <c r="H112" s="5281">
        <v>0</v>
      </c>
      <c r="I112" s="3428">
        <v>0</v>
      </c>
      <c r="J112" s="3439">
        <v>5.6074156011889684</v>
      </c>
      <c r="K112" s="5208">
        <v>5.6000000000000005</v>
      </c>
    </row>
    <row r="113" spans="1:11">
      <c r="A113" s="5542" t="s">
        <v>3855</v>
      </c>
      <c r="B113" s="5207" t="s">
        <v>352</v>
      </c>
      <c r="C113" s="5207" t="s">
        <v>3853</v>
      </c>
      <c r="D113" s="3427" t="s">
        <v>3845</v>
      </c>
      <c r="E113" s="5280">
        <v>2.83189</v>
      </c>
      <c r="F113" s="5280">
        <v>2.83189</v>
      </c>
      <c r="G113" s="3439">
        <v>8.56</v>
      </c>
      <c r="H113" s="5281">
        <v>0</v>
      </c>
      <c r="I113" s="3439">
        <v>0</v>
      </c>
      <c r="J113" s="3439">
        <v>8.56</v>
      </c>
      <c r="K113" s="5208">
        <v>8.56</v>
      </c>
    </row>
    <row r="114" spans="1:11">
      <c r="A114" s="5542"/>
      <c r="B114" s="5207" t="s">
        <v>352</v>
      </c>
      <c r="C114" s="5207" t="s">
        <v>3844</v>
      </c>
      <c r="D114" s="3427" t="s">
        <v>3845</v>
      </c>
      <c r="E114" s="5280">
        <v>0.16078265</v>
      </c>
      <c r="F114" s="5280">
        <v>0.16078265</v>
      </c>
      <c r="G114" s="3439">
        <v>7.69</v>
      </c>
      <c r="H114" s="5281">
        <v>0</v>
      </c>
      <c r="I114" s="3439">
        <v>0</v>
      </c>
      <c r="J114" s="3439">
        <v>7.69</v>
      </c>
      <c r="K114" s="5208">
        <v>7.69</v>
      </c>
    </row>
    <row r="115" spans="1:11">
      <c r="A115" s="5542"/>
      <c r="B115" s="5207" t="s">
        <v>352</v>
      </c>
      <c r="C115" s="5207" t="s">
        <v>3847</v>
      </c>
      <c r="D115" s="3427" t="s">
        <v>3845</v>
      </c>
      <c r="E115" s="5280">
        <v>0.124081</v>
      </c>
      <c r="F115" s="5280">
        <v>0.124081</v>
      </c>
      <c r="G115" s="3439">
        <v>7.69</v>
      </c>
      <c r="H115" s="5281">
        <v>0</v>
      </c>
      <c r="I115" s="3439">
        <v>0</v>
      </c>
      <c r="J115" s="3439">
        <v>7.69</v>
      </c>
      <c r="K115" s="5208">
        <v>7.69</v>
      </c>
    </row>
    <row r="116" spans="1:11">
      <c r="A116" s="5542"/>
      <c r="B116" s="5207" t="s">
        <v>352</v>
      </c>
      <c r="C116" s="5207" t="s">
        <v>3848</v>
      </c>
      <c r="D116" s="3427" t="s">
        <v>3845</v>
      </c>
      <c r="E116" s="5280">
        <v>7.1030800000000005E-2</v>
      </c>
      <c r="F116" s="5280">
        <v>7.1030800000000005E-2</v>
      </c>
      <c r="G116" s="3439">
        <v>7.69</v>
      </c>
      <c r="H116" s="5281">
        <v>0</v>
      </c>
      <c r="I116" s="3439">
        <v>0</v>
      </c>
      <c r="J116" s="3439">
        <v>7.69</v>
      </c>
      <c r="K116" s="5208">
        <v>7.69</v>
      </c>
    </row>
    <row r="117" spans="1:11">
      <c r="A117" s="5542"/>
      <c r="B117" s="5207" t="s">
        <v>352</v>
      </c>
      <c r="C117" s="5207" t="s">
        <v>3849</v>
      </c>
      <c r="D117" s="3427" t="s">
        <v>3845</v>
      </c>
      <c r="E117" s="5280">
        <v>6.3006400000000004E-2</v>
      </c>
      <c r="F117" s="5280">
        <v>6.3006400000000004E-2</v>
      </c>
      <c r="G117" s="3439">
        <v>7.69</v>
      </c>
      <c r="H117" s="5281">
        <v>0</v>
      </c>
      <c r="I117" s="3439">
        <v>0</v>
      </c>
      <c r="J117" s="3439">
        <v>7.69</v>
      </c>
      <c r="K117" s="5208">
        <v>7.69</v>
      </c>
    </row>
    <row r="118" spans="1:11">
      <c r="A118" s="5542"/>
      <c r="B118" s="5207" t="s">
        <v>352</v>
      </c>
      <c r="C118" s="5207" t="s">
        <v>3850</v>
      </c>
      <c r="D118" s="3427" t="s">
        <v>3845</v>
      </c>
      <c r="E118" s="5280">
        <v>0.48740802</v>
      </c>
      <c r="F118" s="5280">
        <v>0.48740802</v>
      </c>
      <c r="G118" s="3439">
        <v>7.69</v>
      </c>
      <c r="H118" s="5281">
        <v>0</v>
      </c>
      <c r="I118" s="3439">
        <v>0</v>
      </c>
      <c r="J118" s="3439">
        <v>7.69</v>
      </c>
      <c r="K118" s="5208">
        <v>7.69</v>
      </c>
    </row>
    <row r="119" spans="1:11">
      <c r="A119" s="5542"/>
      <c r="B119" s="5207" t="s">
        <v>352</v>
      </c>
      <c r="C119" s="5207" t="s">
        <v>3851</v>
      </c>
      <c r="D119" s="3427" t="s">
        <v>3845</v>
      </c>
      <c r="E119" s="5280">
        <v>7.8312000000000007E-2</v>
      </c>
      <c r="F119" s="5280">
        <v>7.8312000000000007E-2</v>
      </c>
      <c r="G119" s="3439">
        <v>7.69</v>
      </c>
      <c r="H119" s="5281">
        <v>0</v>
      </c>
      <c r="I119" s="3439">
        <v>0</v>
      </c>
      <c r="J119" s="3439">
        <v>7.69</v>
      </c>
      <c r="K119" s="5208">
        <v>7.69</v>
      </c>
    </row>
    <row r="120" spans="1:11">
      <c r="A120" s="5542"/>
      <c r="B120" s="5207" t="s">
        <v>3783</v>
      </c>
      <c r="C120" s="5207" t="s">
        <v>3834</v>
      </c>
      <c r="D120" s="3427" t="s">
        <v>3800</v>
      </c>
      <c r="E120" s="5280">
        <v>0.68243759999999998</v>
      </c>
      <c r="F120" s="5280">
        <v>0.62101821600000007</v>
      </c>
      <c r="G120" s="3439">
        <v>5.8599999999999994</v>
      </c>
      <c r="H120" s="5281">
        <v>0.09</v>
      </c>
      <c r="I120" s="3439">
        <v>0.6</v>
      </c>
      <c r="J120" s="3439">
        <v>6.4395604395604389</v>
      </c>
      <c r="K120" s="5208">
        <v>5.26</v>
      </c>
    </row>
    <row r="121" spans="1:11">
      <c r="A121" s="5542"/>
      <c r="B121" s="5207" t="s">
        <v>3783</v>
      </c>
      <c r="C121" s="5207" t="s">
        <v>3836</v>
      </c>
      <c r="D121" s="3427" t="s">
        <v>3787</v>
      </c>
      <c r="E121" s="5280">
        <v>0.16869999999999999</v>
      </c>
      <c r="F121" s="5280">
        <v>0.158578</v>
      </c>
      <c r="G121" s="3439">
        <v>5.9574688796680499</v>
      </c>
      <c r="H121" s="5281">
        <v>0.06</v>
      </c>
      <c r="I121" s="3439">
        <v>0.11</v>
      </c>
      <c r="J121" s="3439">
        <v>6.3377328507106911</v>
      </c>
      <c r="K121" s="5208">
        <v>5.6400000000000006</v>
      </c>
    </row>
    <row r="122" spans="1:11">
      <c r="A122" s="5542"/>
      <c r="B122" s="5207" t="s">
        <v>3783</v>
      </c>
      <c r="C122" s="5207" t="s">
        <v>3837</v>
      </c>
      <c r="D122" s="3427" t="s">
        <v>350</v>
      </c>
      <c r="E122" s="5280">
        <v>9.0392799999999998</v>
      </c>
      <c r="F122" s="5280">
        <v>9.0392799999999998</v>
      </c>
      <c r="G122" s="3439">
        <v>5.6838719898044978</v>
      </c>
      <c r="H122" s="5281">
        <v>0</v>
      </c>
      <c r="I122" s="3439">
        <v>0</v>
      </c>
      <c r="J122" s="3439">
        <v>5.6838719898044978</v>
      </c>
      <c r="K122" s="5208">
        <v>5.6800000000000006</v>
      </c>
    </row>
    <row r="123" spans="1:11">
      <c r="A123" s="5542"/>
      <c r="B123" s="5207" t="s">
        <v>3783</v>
      </c>
      <c r="C123" s="5207" t="s">
        <v>3839</v>
      </c>
      <c r="D123" s="3427" t="s">
        <v>350</v>
      </c>
      <c r="E123" s="5280">
        <v>5.27</v>
      </c>
      <c r="F123" s="5280">
        <v>5.27</v>
      </c>
      <c r="G123" s="3439">
        <v>5.8766413662239092</v>
      </c>
      <c r="H123" s="5281">
        <v>0</v>
      </c>
      <c r="I123" s="3439">
        <v>0</v>
      </c>
      <c r="J123" s="3439">
        <v>5.8766413662239092</v>
      </c>
      <c r="K123" s="5208">
        <v>5.87</v>
      </c>
    </row>
    <row r="124" spans="1:11">
      <c r="A124" s="5542"/>
      <c r="B124" s="5207" t="s">
        <v>3783</v>
      </c>
      <c r="C124" s="5207" t="s">
        <v>3841</v>
      </c>
      <c r="D124" s="3427" t="s">
        <v>3835</v>
      </c>
      <c r="E124" s="5280">
        <v>3.2370000000000001</v>
      </c>
      <c r="F124" s="5280">
        <v>3.04278</v>
      </c>
      <c r="G124" s="3439">
        <v>5.8108124806919985</v>
      </c>
      <c r="H124" s="5281">
        <v>0.06</v>
      </c>
      <c r="I124" s="3439">
        <v>0.11</v>
      </c>
      <c r="J124" s="3439">
        <v>6.181715404991488</v>
      </c>
      <c r="K124" s="5208">
        <v>5.69</v>
      </c>
    </row>
    <row r="125" spans="1:11">
      <c r="A125" s="5542" t="s">
        <v>3856</v>
      </c>
      <c r="B125" s="5207" t="s">
        <v>352</v>
      </c>
      <c r="C125" s="5207" t="s">
        <v>3853</v>
      </c>
      <c r="D125" s="3427" t="s">
        <v>3845</v>
      </c>
      <c r="E125" s="5280">
        <v>2.962345</v>
      </c>
      <c r="F125" s="5280">
        <v>2.962345</v>
      </c>
      <c r="G125" s="3439">
        <v>8.56</v>
      </c>
      <c r="H125" s="5281">
        <v>0</v>
      </c>
      <c r="I125" s="3439">
        <v>0</v>
      </c>
      <c r="J125" s="3439">
        <v>8.56</v>
      </c>
      <c r="K125" s="5208">
        <v>8.56</v>
      </c>
    </row>
    <row r="126" spans="1:11">
      <c r="A126" s="5542"/>
      <c r="B126" s="5207" t="s">
        <v>352</v>
      </c>
      <c r="C126" s="5207" t="s">
        <v>3844</v>
      </c>
      <c r="D126" s="3427" t="s">
        <v>3845</v>
      </c>
      <c r="E126" s="5280">
        <v>0.18774535000000001</v>
      </c>
      <c r="F126" s="5280">
        <v>0.18774535000000001</v>
      </c>
      <c r="G126" s="3439">
        <v>7.6899999999999995</v>
      </c>
      <c r="H126" s="5281">
        <v>0</v>
      </c>
      <c r="I126" s="3439">
        <v>0</v>
      </c>
      <c r="J126" s="3439">
        <v>7.6899999999999995</v>
      </c>
      <c r="K126" s="5208">
        <v>7.69</v>
      </c>
    </row>
    <row r="127" spans="1:11">
      <c r="A127" s="5542"/>
      <c r="B127" s="5207" t="s">
        <v>352</v>
      </c>
      <c r="C127" s="5207" t="s">
        <v>3847</v>
      </c>
      <c r="D127" s="3427" t="s">
        <v>3845</v>
      </c>
      <c r="E127" s="5280">
        <v>0.14310002999999999</v>
      </c>
      <c r="F127" s="5280">
        <v>0.14310002999999999</v>
      </c>
      <c r="G127" s="3439">
        <v>7.6899999999999995</v>
      </c>
      <c r="H127" s="5281">
        <v>0</v>
      </c>
      <c r="I127" s="3439">
        <v>0</v>
      </c>
      <c r="J127" s="3439">
        <v>7.6899999999999995</v>
      </c>
      <c r="K127" s="5208">
        <v>7.69</v>
      </c>
    </row>
    <row r="128" spans="1:11">
      <c r="A128" s="5542"/>
      <c r="B128" s="5207" t="s">
        <v>352</v>
      </c>
      <c r="C128" s="5207" t="s">
        <v>3848</v>
      </c>
      <c r="D128" s="3427" t="s">
        <v>3845</v>
      </c>
      <c r="E128" s="5280">
        <v>8.4493740000000012E-2</v>
      </c>
      <c r="F128" s="5280">
        <v>8.4493740000000012E-2</v>
      </c>
      <c r="G128" s="3439">
        <v>7.6900000000000013</v>
      </c>
      <c r="H128" s="5281">
        <v>0</v>
      </c>
      <c r="I128" s="3439">
        <v>0</v>
      </c>
      <c r="J128" s="3439">
        <v>7.6900000000000013</v>
      </c>
      <c r="K128" s="5208">
        <v>7.69</v>
      </c>
    </row>
    <row r="129" spans="1:11">
      <c r="A129" s="5542"/>
      <c r="B129" s="5207" t="s">
        <v>352</v>
      </c>
      <c r="C129" s="5207" t="s">
        <v>3849</v>
      </c>
      <c r="D129" s="3427" t="s">
        <v>3845</v>
      </c>
      <c r="E129" s="5280">
        <v>9.1504920000000003E-2</v>
      </c>
      <c r="F129" s="5280">
        <v>9.1504920000000003E-2</v>
      </c>
      <c r="G129" s="3439">
        <v>7.6900000000000013</v>
      </c>
      <c r="H129" s="5281">
        <v>0</v>
      </c>
      <c r="I129" s="3439">
        <v>0</v>
      </c>
      <c r="J129" s="3439">
        <v>7.6900000000000013</v>
      </c>
      <c r="K129" s="5208">
        <v>7.69</v>
      </c>
    </row>
    <row r="130" spans="1:11">
      <c r="A130" s="5542"/>
      <c r="B130" s="5207" t="s">
        <v>352</v>
      </c>
      <c r="C130" s="5207" t="s">
        <v>3850</v>
      </c>
      <c r="D130" s="3427" t="s">
        <v>3845</v>
      </c>
      <c r="E130" s="5280">
        <v>0.59415276000000006</v>
      </c>
      <c r="F130" s="5280">
        <v>0.59415276000000006</v>
      </c>
      <c r="G130" s="3439">
        <v>7.6900000000000013</v>
      </c>
      <c r="H130" s="5281">
        <v>0</v>
      </c>
      <c r="I130" s="3439">
        <v>0</v>
      </c>
      <c r="J130" s="3439">
        <v>7.6900000000000013</v>
      </c>
      <c r="K130" s="5208">
        <v>7.69</v>
      </c>
    </row>
    <row r="131" spans="1:11">
      <c r="A131" s="5542"/>
      <c r="B131" s="5207" t="s">
        <v>352</v>
      </c>
      <c r="C131" s="5207" t="s">
        <v>3851</v>
      </c>
      <c r="D131" s="3427" t="s">
        <v>3845</v>
      </c>
      <c r="E131" s="5280">
        <v>9.0965600000000008E-2</v>
      </c>
      <c r="F131" s="5280">
        <v>9.0965600000000008E-2</v>
      </c>
      <c r="G131" s="3439">
        <v>7.6899999999999995</v>
      </c>
      <c r="H131" s="5281">
        <v>0</v>
      </c>
      <c r="I131" s="3439">
        <v>0</v>
      </c>
      <c r="J131" s="3439">
        <v>7.6899999999999995</v>
      </c>
      <c r="K131" s="5208">
        <v>7.69</v>
      </c>
    </row>
    <row r="132" spans="1:11">
      <c r="A132" s="5542"/>
      <c r="B132" s="5207" t="s">
        <v>3783</v>
      </c>
      <c r="C132" s="5207" t="s">
        <v>3834</v>
      </c>
      <c r="D132" s="3427" t="s">
        <v>3800</v>
      </c>
      <c r="E132" s="5280">
        <v>0.7105151999999999</v>
      </c>
      <c r="F132" s="5280">
        <v>0.64656883199999993</v>
      </c>
      <c r="G132" s="3439">
        <v>5.86</v>
      </c>
      <c r="H132" s="5281">
        <v>0.09</v>
      </c>
      <c r="I132" s="3439">
        <v>0.6</v>
      </c>
      <c r="J132" s="3439">
        <v>6.4395604395604398</v>
      </c>
      <c r="K132" s="5208">
        <v>5.26</v>
      </c>
    </row>
    <row r="133" spans="1:11">
      <c r="A133" s="5542"/>
      <c r="B133" s="5207" t="s">
        <v>3783</v>
      </c>
      <c r="C133" s="5207" t="s">
        <v>3784</v>
      </c>
      <c r="D133" s="3427" t="s">
        <v>3835</v>
      </c>
      <c r="E133" s="5280">
        <v>0.79505000000000003</v>
      </c>
      <c r="F133" s="5280">
        <v>0.74761971279999995</v>
      </c>
      <c r="G133" s="3439">
        <v>5.8453203068989374</v>
      </c>
      <c r="H133" s="5281">
        <v>0.06</v>
      </c>
      <c r="I133" s="3439">
        <v>0.11</v>
      </c>
      <c r="J133" s="3439">
        <v>6.2161575336139272</v>
      </c>
      <c r="K133" s="5208">
        <v>5.69</v>
      </c>
    </row>
    <row r="134" spans="1:11">
      <c r="A134" s="5542"/>
      <c r="B134" s="5207" t="s">
        <v>3783</v>
      </c>
      <c r="C134" s="5207" t="s">
        <v>3836</v>
      </c>
      <c r="D134" s="3427" t="s">
        <v>3787</v>
      </c>
      <c r="E134" s="5280">
        <v>0.32950000000000002</v>
      </c>
      <c r="F134" s="5280">
        <v>0.30973000000000001</v>
      </c>
      <c r="G134" s="3439">
        <v>5.859256449165402</v>
      </c>
      <c r="H134" s="5281">
        <v>0.06</v>
      </c>
      <c r="I134" s="3439">
        <v>0.11</v>
      </c>
      <c r="J134" s="3439">
        <v>6.2332515416653216</v>
      </c>
      <c r="K134" s="5208">
        <v>5.6400000000000006</v>
      </c>
    </row>
    <row r="135" spans="1:11">
      <c r="A135" s="5542"/>
      <c r="B135" s="5207" t="s">
        <v>3783</v>
      </c>
      <c r="C135" s="5207" t="s">
        <v>3837</v>
      </c>
      <c r="D135" s="3427" t="s">
        <v>350</v>
      </c>
      <c r="E135" s="5280">
        <v>9.1862499999999994</v>
      </c>
      <c r="F135" s="5280">
        <v>9.1862499999999994</v>
      </c>
      <c r="G135" s="3439">
        <v>5.68</v>
      </c>
      <c r="H135" s="5281">
        <v>0</v>
      </c>
      <c r="I135" s="3439">
        <v>0</v>
      </c>
      <c r="J135" s="3439">
        <v>5.68</v>
      </c>
      <c r="K135" s="5208">
        <v>5.6800000000000006</v>
      </c>
    </row>
    <row r="136" spans="1:11">
      <c r="A136" s="5542"/>
      <c r="B136" s="5207" t="s">
        <v>3783</v>
      </c>
      <c r="C136" s="5207" t="s">
        <v>3839</v>
      </c>
      <c r="D136" s="3427" t="s">
        <v>350</v>
      </c>
      <c r="E136" s="5280">
        <v>5.5490000000000004</v>
      </c>
      <c r="F136" s="5280">
        <v>5.5490000000000004</v>
      </c>
      <c r="G136" s="3439">
        <v>5.87</v>
      </c>
      <c r="H136" s="5281">
        <v>0</v>
      </c>
      <c r="I136" s="3439">
        <v>0</v>
      </c>
      <c r="J136" s="3439">
        <v>5.87</v>
      </c>
      <c r="K136" s="5208">
        <v>5.87</v>
      </c>
    </row>
    <row r="137" spans="1:11">
      <c r="A137" s="5542"/>
      <c r="B137" s="5207" t="s">
        <v>3783</v>
      </c>
      <c r="C137" s="5207" t="s">
        <v>3841</v>
      </c>
      <c r="D137" s="3427" t="s">
        <v>3835</v>
      </c>
      <c r="E137" s="5280">
        <v>3.9992000000000001</v>
      </c>
      <c r="F137" s="5280">
        <v>3.7592479999999999</v>
      </c>
      <c r="G137" s="3439">
        <v>5.8</v>
      </c>
      <c r="H137" s="5281">
        <v>0.06</v>
      </c>
      <c r="I137" s="3439">
        <v>0.11</v>
      </c>
      <c r="J137" s="3439">
        <v>6.1702127659574471</v>
      </c>
      <c r="K137" s="5208">
        <v>5.69</v>
      </c>
    </row>
    <row r="138" spans="1:11">
      <c r="A138" s="5542" t="s">
        <v>3857</v>
      </c>
      <c r="B138" s="5207" t="s">
        <v>352</v>
      </c>
      <c r="C138" s="5207" t="s">
        <v>3853</v>
      </c>
      <c r="D138" s="3427" t="s">
        <v>3845</v>
      </c>
      <c r="E138" s="5280">
        <v>2.7144149999999998</v>
      </c>
      <c r="F138" s="5280">
        <v>2.7144149999999998</v>
      </c>
      <c r="G138" s="3439">
        <v>8.56</v>
      </c>
      <c r="H138" s="5281">
        <v>0</v>
      </c>
      <c r="I138" s="3439">
        <v>0</v>
      </c>
      <c r="J138" s="3439">
        <v>8.56</v>
      </c>
      <c r="K138" s="5208">
        <v>8.56</v>
      </c>
    </row>
    <row r="139" spans="1:11">
      <c r="A139" s="5542"/>
      <c r="B139" s="5207" t="s">
        <v>352</v>
      </c>
      <c r="C139" s="5207" t="s">
        <v>3844</v>
      </c>
      <c r="D139" s="3427" t="s">
        <v>3845</v>
      </c>
      <c r="E139" s="5280">
        <v>0.15914848000000001</v>
      </c>
      <c r="F139" s="5280">
        <v>0.15914848000000001</v>
      </c>
      <c r="G139" s="3439">
        <v>7.69</v>
      </c>
      <c r="H139" s="5281">
        <v>0</v>
      </c>
      <c r="I139" s="3439">
        <v>0</v>
      </c>
      <c r="J139" s="3439">
        <v>7.69</v>
      </c>
      <c r="K139" s="5208">
        <v>7.69</v>
      </c>
    </row>
    <row r="140" spans="1:11">
      <c r="A140" s="5542"/>
      <c r="B140" s="5207" t="s">
        <v>352</v>
      </c>
      <c r="C140" s="5207" t="s">
        <v>3847</v>
      </c>
      <c r="D140" s="3427" t="s">
        <v>3845</v>
      </c>
      <c r="E140" s="5280">
        <v>0.12803313999999999</v>
      </c>
      <c r="F140" s="5280">
        <v>0.12803313999999999</v>
      </c>
      <c r="G140" s="3439">
        <v>7.69</v>
      </c>
      <c r="H140" s="5281">
        <v>0</v>
      </c>
      <c r="I140" s="3439">
        <v>0</v>
      </c>
      <c r="J140" s="3439">
        <v>7.69</v>
      </c>
      <c r="K140" s="5208">
        <v>7.69</v>
      </c>
    </row>
    <row r="141" spans="1:11">
      <c r="A141" s="5542"/>
      <c r="B141" s="5207" t="s">
        <v>352</v>
      </c>
      <c r="C141" s="5207" t="s">
        <v>3848</v>
      </c>
      <c r="D141" s="3427" t="s">
        <v>3845</v>
      </c>
      <c r="E141" s="5280">
        <v>7.5670460000000009E-2</v>
      </c>
      <c r="F141" s="5280">
        <v>7.5670460000000009E-2</v>
      </c>
      <c r="G141" s="3439">
        <v>7.69</v>
      </c>
      <c r="H141" s="5281">
        <v>0</v>
      </c>
      <c r="I141" s="3439">
        <v>0</v>
      </c>
      <c r="J141" s="3439">
        <v>7.69</v>
      </c>
      <c r="K141" s="5208">
        <v>7.69</v>
      </c>
    </row>
    <row r="142" spans="1:11">
      <c r="A142" s="5542"/>
      <c r="B142" s="5207" t="s">
        <v>352</v>
      </c>
      <c r="C142" s="5207" t="s">
        <v>3849</v>
      </c>
      <c r="D142" s="3427" t="s">
        <v>3845</v>
      </c>
      <c r="E142" s="5280">
        <v>8.0459729999999993E-2</v>
      </c>
      <c r="F142" s="5280">
        <v>8.0459729999999993E-2</v>
      </c>
      <c r="G142" s="3439">
        <v>7.6899999999999995</v>
      </c>
      <c r="H142" s="5281">
        <v>0</v>
      </c>
      <c r="I142" s="3439">
        <v>0</v>
      </c>
      <c r="J142" s="3439">
        <v>7.6899999999999995</v>
      </c>
      <c r="K142" s="5208">
        <v>7.69</v>
      </c>
    </row>
    <row r="143" spans="1:11">
      <c r="A143" s="5542"/>
      <c r="B143" s="5207" t="s">
        <v>352</v>
      </c>
      <c r="C143" s="5207" t="s">
        <v>3850</v>
      </c>
      <c r="D143" s="3427" t="s">
        <v>3845</v>
      </c>
      <c r="E143" s="5280">
        <v>0.53496140000000003</v>
      </c>
      <c r="F143" s="5280">
        <v>0.53496140000000003</v>
      </c>
      <c r="G143" s="3439">
        <v>7.69</v>
      </c>
      <c r="H143" s="5281">
        <v>0</v>
      </c>
      <c r="I143" s="3439">
        <v>0</v>
      </c>
      <c r="J143" s="3439">
        <v>7.69</v>
      </c>
      <c r="K143" s="5208">
        <v>7.69</v>
      </c>
    </row>
    <row r="144" spans="1:11">
      <c r="A144" s="5542"/>
      <c r="B144" s="5207" t="s">
        <v>352</v>
      </c>
      <c r="C144" s="5207" t="s">
        <v>3858</v>
      </c>
      <c r="D144" s="3427" t="s">
        <v>3845</v>
      </c>
      <c r="E144" s="5280">
        <v>0.13036133</v>
      </c>
      <c r="F144" s="5280">
        <v>0.13036133</v>
      </c>
      <c r="G144" s="3439">
        <v>7.69</v>
      </c>
      <c r="H144" s="5281">
        <v>0</v>
      </c>
      <c r="I144" s="3439">
        <v>0</v>
      </c>
      <c r="J144" s="3439">
        <v>7.69</v>
      </c>
      <c r="K144" s="5208">
        <v>7.69</v>
      </c>
    </row>
    <row r="145" spans="1:11">
      <c r="A145" s="5542"/>
      <c r="B145" s="5207" t="s">
        <v>352</v>
      </c>
      <c r="C145" s="5207" t="s">
        <v>3859</v>
      </c>
      <c r="D145" s="3427" t="s">
        <v>3845</v>
      </c>
      <c r="E145" s="5280">
        <v>0.13316982999999999</v>
      </c>
      <c r="F145" s="5280">
        <v>0.13316982999999999</v>
      </c>
      <c r="G145" s="3439">
        <v>7.69</v>
      </c>
      <c r="H145" s="5281">
        <v>0</v>
      </c>
      <c r="I145" s="3439">
        <v>0</v>
      </c>
      <c r="J145" s="3439">
        <v>7.69</v>
      </c>
      <c r="K145" s="5208">
        <v>7.69</v>
      </c>
    </row>
    <row r="146" spans="1:11">
      <c r="A146" s="5542"/>
      <c r="B146" s="5207" t="s">
        <v>352</v>
      </c>
      <c r="C146" s="5207" t="s">
        <v>3860</v>
      </c>
      <c r="D146" s="3427" t="s">
        <v>3845</v>
      </c>
      <c r="E146" s="5280">
        <v>0.13621237999999999</v>
      </c>
      <c r="F146" s="5280">
        <v>0.13621237999999999</v>
      </c>
      <c r="G146" s="3439">
        <v>7.69</v>
      </c>
      <c r="H146" s="5281">
        <v>0</v>
      </c>
      <c r="I146" s="3439">
        <v>0</v>
      </c>
      <c r="J146" s="3439">
        <v>7.69</v>
      </c>
      <c r="K146" s="5208">
        <v>7.69</v>
      </c>
    </row>
    <row r="147" spans="1:11">
      <c r="A147" s="5542"/>
      <c r="B147" s="5207" t="s">
        <v>352</v>
      </c>
      <c r="C147" s="5207" t="s">
        <v>3851</v>
      </c>
      <c r="D147" s="3427" t="s">
        <v>3845</v>
      </c>
      <c r="E147" s="5280">
        <v>7.9980800000000005E-2</v>
      </c>
      <c r="F147" s="5280">
        <v>7.9980800000000005E-2</v>
      </c>
      <c r="G147" s="3439">
        <v>7.69</v>
      </c>
      <c r="H147" s="5281">
        <v>0</v>
      </c>
      <c r="I147" s="3439">
        <v>0</v>
      </c>
      <c r="J147" s="3439">
        <v>7.69</v>
      </c>
      <c r="K147" s="5208">
        <v>7.69</v>
      </c>
    </row>
    <row r="148" spans="1:11">
      <c r="A148" s="5542"/>
      <c r="B148" s="5207" t="s">
        <v>3783</v>
      </c>
      <c r="C148" s="5207" t="s">
        <v>3834</v>
      </c>
      <c r="D148" s="3427" t="s">
        <v>3800</v>
      </c>
      <c r="E148" s="5280">
        <v>0.68850359999999999</v>
      </c>
      <c r="F148" s="5280">
        <v>0.62653827600000001</v>
      </c>
      <c r="G148" s="3439">
        <v>5.86</v>
      </c>
      <c r="H148" s="5281">
        <v>0.09</v>
      </c>
      <c r="I148" s="3439">
        <v>0.6</v>
      </c>
      <c r="J148" s="3439">
        <v>6.4395604395604398</v>
      </c>
      <c r="K148" s="5208">
        <v>5.26</v>
      </c>
    </row>
    <row r="149" spans="1:11">
      <c r="A149" s="5542"/>
      <c r="B149" s="5207" t="s">
        <v>3783</v>
      </c>
      <c r="C149" s="5207" t="s">
        <v>3784</v>
      </c>
      <c r="D149" s="3427" t="s">
        <v>3835</v>
      </c>
      <c r="E149" s="5280">
        <v>0.65483663000000003</v>
      </c>
      <c r="F149" s="5280">
        <v>0.61554643219999994</v>
      </c>
      <c r="G149" s="3439">
        <v>5.8549755440528735</v>
      </c>
      <c r="H149" s="5281">
        <v>0.06</v>
      </c>
      <c r="I149" s="3439">
        <v>0.11</v>
      </c>
      <c r="J149" s="3439">
        <v>6.2286973872902918</v>
      </c>
      <c r="K149" s="5208">
        <v>5.69</v>
      </c>
    </row>
    <row r="150" spans="1:11">
      <c r="A150" s="5542"/>
      <c r="B150" s="5207" t="s">
        <v>3783</v>
      </c>
      <c r="C150" s="5207" t="s">
        <v>3836</v>
      </c>
      <c r="D150" s="3427" t="s">
        <v>3787</v>
      </c>
      <c r="E150" s="5280">
        <v>0.55100000000000005</v>
      </c>
      <c r="F150" s="5280">
        <v>0.51793999999999996</v>
      </c>
      <c r="G150" s="3439">
        <v>5.8153357531760435</v>
      </c>
      <c r="H150" s="5281">
        <v>0.06</v>
      </c>
      <c r="I150" s="3439">
        <v>0.11</v>
      </c>
      <c r="J150" s="3439">
        <v>6.1865273969957917</v>
      </c>
      <c r="K150" s="5208">
        <v>5.6400000000000006</v>
      </c>
    </row>
    <row r="151" spans="1:11">
      <c r="A151" s="5542"/>
      <c r="B151" s="5207" t="s">
        <v>3783</v>
      </c>
      <c r="C151" s="5207" t="s">
        <v>3837</v>
      </c>
      <c r="D151" s="3427" t="s">
        <v>350</v>
      </c>
      <c r="E151" s="5280">
        <v>5.1247699999999998</v>
      </c>
      <c r="F151" s="5280">
        <v>5.1247699999999998</v>
      </c>
      <c r="G151" s="3439">
        <v>5.6800000000000006</v>
      </c>
      <c r="H151" s="5281">
        <v>0</v>
      </c>
      <c r="I151" s="3439">
        <v>0</v>
      </c>
      <c r="J151" s="3439">
        <v>5.6800000000000006</v>
      </c>
      <c r="K151" s="5208">
        <v>5.6800000000000006</v>
      </c>
    </row>
    <row r="152" spans="1:11">
      <c r="A152" s="5542"/>
      <c r="B152" s="5207" t="s">
        <v>3783</v>
      </c>
      <c r="C152" s="5207" t="s">
        <v>3839</v>
      </c>
      <c r="D152" s="3427" t="s">
        <v>350</v>
      </c>
      <c r="E152" s="5280">
        <v>6.7850000000000001</v>
      </c>
      <c r="F152" s="5280">
        <v>6.7850000000000001</v>
      </c>
      <c r="G152" s="3439">
        <v>5.87</v>
      </c>
      <c r="H152" s="5281">
        <v>0</v>
      </c>
      <c r="I152" s="3439">
        <v>0</v>
      </c>
      <c r="J152" s="3439">
        <v>5.87</v>
      </c>
      <c r="K152" s="5208">
        <v>5.87</v>
      </c>
    </row>
    <row r="153" spans="1:11">
      <c r="A153" s="5542"/>
      <c r="B153" s="5207" t="s">
        <v>3783</v>
      </c>
      <c r="C153" s="5207" t="s">
        <v>3841</v>
      </c>
      <c r="D153" s="3427" t="s">
        <v>3835</v>
      </c>
      <c r="E153" s="5280">
        <v>4.5787000000000004</v>
      </c>
      <c r="F153" s="5280">
        <v>4.3039779999999999</v>
      </c>
      <c r="G153" s="3439">
        <v>5.8</v>
      </c>
      <c r="H153" s="5281">
        <v>0.06</v>
      </c>
      <c r="I153" s="3439">
        <v>0.11</v>
      </c>
      <c r="J153" s="3439">
        <v>6.1702127659574471</v>
      </c>
      <c r="K153" s="5208">
        <v>5.69</v>
      </c>
    </row>
    <row r="154" spans="1:11">
      <c r="A154" s="5542" t="s">
        <v>3861</v>
      </c>
      <c r="B154" s="5207" t="s">
        <v>352</v>
      </c>
      <c r="C154" s="5207" t="s">
        <v>3853</v>
      </c>
      <c r="D154" s="3427" t="s">
        <v>3845</v>
      </c>
      <c r="E154" s="5280">
        <v>2.9481799999999998</v>
      </c>
      <c r="F154" s="5280">
        <v>2.9481799999999998</v>
      </c>
      <c r="G154" s="3439">
        <v>8.56</v>
      </c>
      <c r="H154" s="5281">
        <v>0</v>
      </c>
      <c r="I154" s="3439">
        <v>0</v>
      </c>
      <c r="J154" s="3439">
        <v>8.56</v>
      </c>
      <c r="K154" s="5208">
        <v>8.56</v>
      </c>
    </row>
    <row r="155" spans="1:11">
      <c r="A155" s="5542"/>
      <c r="B155" s="5207" t="s">
        <v>352</v>
      </c>
      <c r="C155" s="5207" t="s">
        <v>3844</v>
      </c>
      <c r="D155" s="3427" t="s">
        <v>3845</v>
      </c>
      <c r="E155" s="5280">
        <v>0.16217197</v>
      </c>
      <c r="F155" s="5280">
        <v>0.16217197</v>
      </c>
      <c r="G155" s="3439">
        <v>7.6899999999999995</v>
      </c>
      <c r="H155" s="5281">
        <v>0</v>
      </c>
      <c r="I155" s="3439">
        <v>0</v>
      </c>
      <c r="J155" s="3439">
        <v>7.6899999999999995</v>
      </c>
      <c r="K155" s="5208">
        <v>7.69</v>
      </c>
    </row>
    <row r="156" spans="1:11">
      <c r="A156" s="5542"/>
      <c r="B156" s="5207" t="s">
        <v>352</v>
      </c>
      <c r="C156" s="5207" t="s">
        <v>3847</v>
      </c>
      <c r="D156" s="3427" t="s">
        <v>3845</v>
      </c>
      <c r="E156" s="5280">
        <v>0.13125624999999999</v>
      </c>
      <c r="F156" s="5280">
        <v>0.13125624999999999</v>
      </c>
      <c r="G156" s="3439">
        <v>7.69</v>
      </c>
      <c r="H156" s="5281">
        <v>0</v>
      </c>
      <c r="I156" s="3439">
        <v>0</v>
      </c>
      <c r="J156" s="3439">
        <v>7.69</v>
      </c>
      <c r="K156" s="5208">
        <v>7.69</v>
      </c>
    </row>
    <row r="157" spans="1:11">
      <c r="A157" s="5542"/>
      <c r="B157" s="5207" t="s">
        <v>352</v>
      </c>
      <c r="C157" s="5207" t="s">
        <v>3848</v>
      </c>
      <c r="D157" s="3427" t="s">
        <v>3845</v>
      </c>
      <c r="E157" s="5280">
        <v>7.4911309999999995E-2</v>
      </c>
      <c r="F157" s="5280">
        <v>7.4911309999999995E-2</v>
      </c>
      <c r="G157" s="3439">
        <v>7.69</v>
      </c>
      <c r="H157" s="5281">
        <v>0</v>
      </c>
      <c r="I157" s="3439">
        <v>0</v>
      </c>
      <c r="J157" s="3439">
        <v>7.69</v>
      </c>
      <c r="K157" s="5208">
        <v>7.69</v>
      </c>
    </row>
    <row r="158" spans="1:11">
      <c r="A158" s="5542"/>
      <c r="B158" s="5207" t="s">
        <v>352</v>
      </c>
      <c r="C158" s="5207" t="s">
        <v>3849</v>
      </c>
      <c r="D158" s="3427" t="s">
        <v>3845</v>
      </c>
      <c r="E158" s="5280">
        <v>7.7698920000000005E-2</v>
      </c>
      <c r="F158" s="5280">
        <v>7.7698920000000005E-2</v>
      </c>
      <c r="G158" s="3439">
        <v>7.6900000000000013</v>
      </c>
      <c r="H158" s="5281">
        <v>0</v>
      </c>
      <c r="I158" s="3439">
        <v>0</v>
      </c>
      <c r="J158" s="3439">
        <v>7.6900000000000013</v>
      </c>
      <c r="K158" s="5208">
        <v>7.69</v>
      </c>
    </row>
    <row r="159" spans="1:11">
      <c r="A159" s="5542"/>
      <c r="B159" s="5207" t="s">
        <v>352</v>
      </c>
      <c r="C159" s="5207" t="s">
        <v>3850</v>
      </c>
      <c r="D159" s="3427" t="s">
        <v>3845</v>
      </c>
      <c r="E159" s="5280">
        <v>0.53261298999999995</v>
      </c>
      <c r="F159" s="5280">
        <v>0.53261298999999995</v>
      </c>
      <c r="G159" s="3439">
        <v>7.69</v>
      </c>
      <c r="H159" s="5281">
        <v>0</v>
      </c>
      <c r="I159" s="3439">
        <v>0</v>
      </c>
      <c r="J159" s="3439">
        <v>7.69</v>
      </c>
      <c r="K159" s="5208">
        <v>7.69</v>
      </c>
    </row>
    <row r="160" spans="1:11">
      <c r="A160" s="5542"/>
      <c r="B160" s="5207" t="s">
        <v>352</v>
      </c>
      <c r="C160" s="5207" t="s">
        <v>3858</v>
      </c>
      <c r="D160" s="3427" t="s">
        <v>3845</v>
      </c>
      <c r="E160" s="5280">
        <v>0.13475608</v>
      </c>
      <c r="F160" s="5280">
        <v>0.13475608</v>
      </c>
      <c r="G160" s="3439">
        <v>7.69</v>
      </c>
      <c r="H160" s="5281">
        <v>0</v>
      </c>
      <c r="I160" s="3439">
        <v>0</v>
      </c>
      <c r="J160" s="3439">
        <v>7.69</v>
      </c>
      <c r="K160" s="5208">
        <v>7.69</v>
      </c>
    </row>
    <row r="161" spans="1:11">
      <c r="A161" s="5542"/>
      <c r="B161" s="5207" t="s">
        <v>352</v>
      </c>
      <c r="C161" s="5207" t="s">
        <v>3859</v>
      </c>
      <c r="D161" s="3427" t="s">
        <v>3845</v>
      </c>
      <c r="E161" s="5280">
        <v>0.13591776999999999</v>
      </c>
      <c r="F161" s="5280">
        <v>0.13591776999999999</v>
      </c>
      <c r="G161" s="3439">
        <v>7.69</v>
      </c>
      <c r="H161" s="5281">
        <v>0</v>
      </c>
      <c r="I161" s="3439">
        <v>0</v>
      </c>
      <c r="J161" s="3439">
        <v>7.69</v>
      </c>
      <c r="K161" s="5208">
        <v>7.69</v>
      </c>
    </row>
    <row r="162" spans="1:11">
      <c r="A162" s="5542"/>
      <c r="B162" s="5207" t="s">
        <v>352</v>
      </c>
      <c r="C162" s="5207" t="s">
        <v>3860</v>
      </c>
      <c r="D162" s="3427" t="s">
        <v>3845</v>
      </c>
      <c r="E162" s="5280">
        <v>0.13847348999999998</v>
      </c>
      <c r="F162" s="5280">
        <v>0.13847348999999998</v>
      </c>
      <c r="G162" s="3439">
        <v>7.6900000000000013</v>
      </c>
      <c r="H162" s="5281">
        <v>0</v>
      </c>
      <c r="I162" s="3439">
        <v>0</v>
      </c>
      <c r="J162" s="3439">
        <v>7.6900000000000013</v>
      </c>
      <c r="K162" s="5208">
        <v>7.69</v>
      </c>
    </row>
    <row r="163" spans="1:11">
      <c r="A163" s="5542"/>
      <c r="B163" s="5207" t="s">
        <v>352</v>
      </c>
      <c r="C163" s="5207" t="s">
        <v>3851</v>
      </c>
      <c r="D163" s="3427" t="s">
        <v>3845</v>
      </c>
      <c r="E163" s="5280">
        <v>8.2176119999999991E-2</v>
      </c>
      <c r="F163" s="5280">
        <v>8.2176119999999991E-2</v>
      </c>
      <c r="G163" s="3439">
        <v>7.69</v>
      </c>
      <c r="H163" s="5281">
        <v>0</v>
      </c>
      <c r="I163" s="3439">
        <v>0</v>
      </c>
      <c r="J163" s="3439">
        <v>7.69</v>
      </c>
      <c r="K163" s="5208">
        <v>7.69</v>
      </c>
    </row>
    <row r="164" spans="1:11">
      <c r="A164" s="5542"/>
      <c r="B164" s="5207" t="s">
        <v>3783</v>
      </c>
      <c r="C164" s="5207" t="s">
        <v>3834</v>
      </c>
      <c r="D164" s="3427" t="s">
        <v>3800</v>
      </c>
      <c r="E164" s="5280">
        <v>0.60800280000000007</v>
      </c>
      <c r="F164" s="5280">
        <v>0.5532825480000001</v>
      </c>
      <c r="G164" s="3439">
        <v>5.86</v>
      </c>
      <c r="H164" s="5281">
        <v>0.09</v>
      </c>
      <c r="I164" s="3439">
        <v>0.6</v>
      </c>
      <c r="J164" s="3439">
        <v>6.4395604395604389</v>
      </c>
      <c r="K164" s="5208">
        <v>5.26</v>
      </c>
    </row>
    <row r="165" spans="1:11">
      <c r="A165" s="5542"/>
      <c r="B165" s="5207" t="s">
        <v>3783</v>
      </c>
      <c r="C165" s="5207" t="s">
        <v>3784</v>
      </c>
      <c r="D165" s="3427" t="s">
        <v>3835</v>
      </c>
      <c r="E165" s="5280">
        <v>0.84005099999999955</v>
      </c>
      <c r="F165" s="5280">
        <v>0.78964793999999949</v>
      </c>
      <c r="G165" s="3439">
        <v>5.8392833292264408</v>
      </c>
      <c r="H165" s="5281">
        <v>0.06</v>
      </c>
      <c r="I165" s="3439">
        <v>0.11</v>
      </c>
      <c r="J165" s="3439">
        <v>6.2120035417302564</v>
      </c>
      <c r="K165" s="5208">
        <v>5.69</v>
      </c>
    </row>
    <row r="166" spans="1:11">
      <c r="A166" s="5542"/>
      <c r="B166" s="5207" t="s">
        <v>3783</v>
      </c>
      <c r="C166" s="5207" t="s">
        <v>3836</v>
      </c>
      <c r="D166" s="3427" t="s">
        <v>3787</v>
      </c>
      <c r="E166" s="5280">
        <v>0.51029999999999998</v>
      </c>
      <c r="F166" s="5280">
        <v>0.479682</v>
      </c>
      <c r="G166" s="3439">
        <v>5.81466784244562</v>
      </c>
      <c r="H166" s="5281">
        <v>0.06</v>
      </c>
      <c r="I166" s="3439">
        <v>0.11</v>
      </c>
      <c r="J166" s="3439">
        <v>6.1858168536655533</v>
      </c>
      <c r="K166" s="5208">
        <v>5.6400000000000006</v>
      </c>
    </row>
    <row r="167" spans="1:11">
      <c r="A167" s="5542"/>
      <c r="B167" s="5207" t="s">
        <v>3783</v>
      </c>
      <c r="C167" s="5207" t="s">
        <v>3837</v>
      </c>
      <c r="D167" s="3427" t="s">
        <v>350</v>
      </c>
      <c r="E167" s="5280">
        <v>8.2612319999999997</v>
      </c>
      <c r="F167" s="5280">
        <v>8.2612319999999997</v>
      </c>
      <c r="G167" s="3439">
        <v>5.6839945615859726</v>
      </c>
      <c r="H167" s="5281">
        <v>0</v>
      </c>
      <c r="I167" s="3439">
        <v>0</v>
      </c>
      <c r="J167" s="3439">
        <v>5.6839945615859726</v>
      </c>
      <c r="K167" s="5208">
        <v>5.6800000000000006</v>
      </c>
    </row>
    <row r="168" spans="1:11">
      <c r="A168" s="5542"/>
      <c r="B168" s="5207" t="s">
        <v>3783</v>
      </c>
      <c r="C168" s="5207" t="s">
        <v>3839</v>
      </c>
      <c r="D168" s="3427" t="s">
        <v>350</v>
      </c>
      <c r="E168" s="5280">
        <v>5.694</v>
      </c>
      <c r="F168" s="5280">
        <v>5.694</v>
      </c>
      <c r="G168" s="3439">
        <v>5.8757955742887251</v>
      </c>
      <c r="H168" s="5281">
        <v>0</v>
      </c>
      <c r="I168" s="3439">
        <v>0</v>
      </c>
      <c r="J168" s="3439">
        <v>5.8757955742887251</v>
      </c>
      <c r="K168" s="5208">
        <v>5.87</v>
      </c>
    </row>
    <row r="169" spans="1:11">
      <c r="A169" s="5542"/>
      <c r="B169" s="5207" t="s">
        <v>3783</v>
      </c>
      <c r="C169" s="5207" t="s">
        <v>3841</v>
      </c>
      <c r="D169" s="3427" t="s">
        <v>3835</v>
      </c>
      <c r="E169" s="5280">
        <v>3.3489</v>
      </c>
      <c r="F169" s="5280">
        <v>3.1479659999999998</v>
      </c>
      <c r="G169" s="3439">
        <v>5.8098539819045056</v>
      </c>
      <c r="H169" s="5281">
        <v>0.06</v>
      </c>
      <c r="I169" s="3439">
        <v>0.11</v>
      </c>
      <c r="J169" s="3439">
        <v>6.1806957254303256</v>
      </c>
      <c r="K169" s="5208">
        <v>5.69</v>
      </c>
    </row>
    <row r="170" spans="1:11">
      <c r="A170" s="5542" t="s">
        <v>3862</v>
      </c>
      <c r="B170" s="5207" t="s">
        <v>352</v>
      </c>
      <c r="C170" s="5207" t="s">
        <v>3853</v>
      </c>
      <c r="D170" s="3427" t="s">
        <v>3845</v>
      </c>
      <c r="E170" s="5280">
        <v>3.3503699999999998</v>
      </c>
      <c r="F170" s="5280">
        <v>3.3503699999999998</v>
      </c>
      <c r="G170" s="3439">
        <v>8.56</v>
      </c>
      <c r="H170" s="5281">
        <v>0</v>
      </c>
      <c r="I170" s="3439">
        <v>0</v>
      </c>
      <c r="J170" s="3439">
        <v>8.56</v>
      </c>
      <c r="K170" s="5208">
        <v>8.56</v>
      </c>
    </row>
    <row r="171" spans="1:11">
      <c r="A171" s="5542"/>
      <c r="B171" s="5207" t="s">
        <v>352</v>
      </c>
      <c r="C171" s="5207" t="s">
        <v>3844</v>
      </c>
      <c r="D171" s="3427" t="s">
        <v>3845</v>
      </c>
      <c r="E171" s="5280">
        <v>0.17431966000000002</v>
      </c>
      <c r="F171" s="5280">
        <v>0.17431966000000002</v>
      </c>
      <c r="G171" s="3439">
        <v>7.69</v>
      </c>
      <c r="H171" s="5281">
        <v>0</v>
      </c>
      <c r="I171" s="3439">
        <v>0</v>
      </c>
      <c r="J171" s="3439">
        <v>7.69</v>
      </c>
      <c r="K171" s="5208">
        <v>7.69</v>
      </c>
    </row>
    <row r="172" spans="1:11">
      <c r="A172" s="5542"/>
      <c r="B172" s="5207" t="s">
        <v>352</v>
      </c>
      <c r="C172" s="5207" t="s">
        <v>3847</v>
      </c>
      <c r="D172" s="3427" t="s">
        <v>3845</v>
      </c>
      <c r="E172" s="5280">
        <v>0.13573436</v>
      </c>
      <c r="F172" s="5280">
        <v>0.13573436</v>
      </c>
      <c r="G172" s="3439">
        <v>7.69</v>
      </c>
      <c r="H172" s="5281">
        <v>0</v>
      </c>
      <c r="I172" s="3439">
        <v>0</v>
      </c>
      <c r="J172" s="3439">
        <v>7.69</v>
      </c>
      <c r="K172" s="5208">
        <v>7.69</v>
      </c>
    </row>
    <row r="173" spans="1:11">
      <c r="A173" s="5542"/>
      <c r="B173" s="5207" t="s">
        <v>352</v>
      </c>
      <c r="C173" s="5207" t="s">
        <v>3848</v>
      </c>
      <c r="D173" s="3427" t="s">
        <v>3845</v>
      </c>
      <c r="E173" s="5280">
        <v>7.9873800000000009E-2</v>
      </c>
      <c r="F173" s="5280">
        <v>7.9873800000000009E-2</v>
      </c>
      <c r="G173" s="3439">
        <v>7.6899999999999995</v>
      </c>
      <c r="H173" s="5281">
        <v>0</v>
      </c>
      <c r="I173" s="3439">
        <v>0</v>
      </c>
      <c r="J173" s="3439">
        <v>7.6899999999999995</v>
      </c>
      <c r="K173" s="5208">
        <v>7.69</v>
      </c>
    </row>
    <row r="174" spans="1:11">
      <c r="A174" s="5542"/>
      <c r="B174" s="5207" t="s">
        <v>352</v>
      </c>
      <c r="C174" s="5207" t="s">
        <v>3849</v>
      </c>
      <c r="D174" s="3427" t="s">
        <v>3845</v>
      </c>
      <c r="E174" s="5280">
        <v>8.4301769999999998E-2</v>
      </c>
      <c r="F174" s="5280">
        <v>8.4301769999999998E-2</v>
      </c>
      <c r="G174" s="3439">
        <v>7.6900000000000013</v>
      </c>
      <c r="H174" s="5281">
        <v>0</v>
      </c>
      <c r="I174" s="3439">
        <v>0</v>
      </c>
      <c r="J174" s="3439">
        <v>7.6900000000000013</v>
      </c>
      <c r="K174" s="5208">
        <v>7.69</v>
      </c>
    </row>
    <row r="175" spans="1:11">
      <c r="A175" s="5542"/>
      <c r="B175" s="5207" t="s">
        <v>352</v>
      </c>
      <c r="C175" s="5207" t="s">
        <v>3850</v>
      </c>
      <c r="D175" s="3427" t="s">
        <v>3845</v>
      </c>
      <c r="E175" s="5280">
        <v>0.54974972</v>
      </c>
      <c r="F175" s="5280">
        <v>0.54974972</v>
      </c>
      <c r="G175" s="3439">
        <v>7.6900000000000013</v>
      </c>
      <c r="H175" s="5281">
        <v>0</v>
      </c>
      <c r="I175" s="3439">
        <v>0</v>
      </c>
      <c r="J175" s="3439">
        <v>7.6900000000000013</v>
      </c>
      <c r="K175" s="5208">
        <v>7.69</v>
      </c>
    </row>
    <row r="176" spans="1:11">
      <c r="A176" s="5542"/>
      <c r="B176" s="5207" t="s">
        <v>352</v>
      </c>
      <c r="C176" s="5207" t="s">
        <v>3858</v>
      </c>
      <c r="D176" s="3427" t="s">
        <v>3845</v>
      </c>
      <c r="E176" s="5280">
        <v>0.14096064000000003</v>
      </c>
      <c r="F176" s="5280">
        <v>0.14096064000000003</v>
      </c>
      <c r="G176" s="3439">
        <v>7.69</v>
      </c>
      <c r="H176" s="5281">
        <v>0</v>
      </c>
      <c r="I176" s="3439">
        <v>0</v>
      </c>
      <c r="J176" s="3439">
        <v>7.69</v>
      </c>
      <c r="K176" s="5208">
        <v>7.69</v>
      </c>
    </row>
    <row r="177" spans="1:12">
      <c r="A177" s="5542"/>
      <c r="B177" s="5207" t="s">
        <v>352</v>
      </c>
      <c r="C177" s="5207" t="s">
        <v>3859</v>
      </c>
      <c r="D177" s="3427" t="s">
        <v>3845</v>
      </c>
      <c r="E177" s="5280">
        <v>0.14271638</v>
      </c>
      <c r="F177" s="5280">
        <v>0.14271638</v>
      </c>
      <c r="G177" s="3439">
        <v>7.6900000000000013</v>
      </c>
      <c r="H177" s="5281">
        <v>0</v>
      </c>
      <c r="I177" s="3439">
        <v>0</v>
      </c>
      <c r="J177" s="3439">
        <v>7.6900000000000013</v>
      </c>
      <c r="K177" s="5208">
        <v>7.69</v>
      </c>
    </row>
    <row r="178" spans="1:12">
      <c r="A178" s="5542"/>
      <c r="B178" s="5207" t="s">
        <v>352</v>
      </c>
      <c r="C178" s="5207" t="s">
        <v>3860</v>
      </c>
      <c r="D178" s="3427" t="s">
        <v>3845</v>
      </c>
      <c r="E178" s="5280">
        <v>0.14597703000000001</v>
      </c>
      <c r="F178" s="5280">
        <v>0.14597703000000001</v>
      </c>
      <c r="G178" s="3439">
        <v>7.69</v>
      </c>
      <c r="H178" s="5281">
        <v>0</v>
      </c>
      <c r="I178" s="3439">
        <v>0</v>
      </c>
      <c r="J178" s="3439">
        <v>7.69</v>
      </c>
      <c r="K178" s="5208">
        <v>7.69</v>
      </c>
    </row>
    <row r="179" spans="1:12">
      <c r="A179" s="5542"/>
      <c r="B179" s="5207" t="s">
        <v>352</v>
      </c>
      <c r="C179" s="5207" t="s">
        <v>3851</v>
      </c>
      <c r="D179" s="3427" t="s">
        <v>3845</v>
      </c>
      <c r="E179" s="5280">
        <v>8.5153300000000001E-2</v>
      </c>
      <c r="F179" s="5280">
        <v>8.5153300000000001E-2</v>
      </c>
      <c r="G179" s="3439">
        <v>7.6900000000000013</v>
      </c>
      <c r="H179" s="5281">
        <v>0</v>
      </c>
      <c r="I179" s="3439">
        <v>0</v>
      </c>
      <c r="J179" s="3439">
        <v>7.6900000000000013</v>
      </c>
      <c r="K179" s="5208">
        <v>7.69</v>
      </c>
    </row>
    <row r="180" spans="1:12">
      <c r="A180" s="5542"/>
      <c r="B180" s="5207" t="s">
        <v>3783</v>
      </c>
      <c r="C180" s="5207" t="s">
        <v>3834</v>
      </c>
      <c r="D180" s="3427" t="s">
        <v>3800</v>
      </c>
      <c r="E180" s="5280">
        <v>0.72761519999999991</v>
      </c>
      <c r="F180" s="5280">
        <v>0.66212983199999997</v>
      </c>
      <c r="G180" s="3439">
        <v>5.86</v>
      </c>
      <c r="H180" s="5281">
        <v>0.09</v>
      </c>
      <c r="I180" s="3439">
        <v>0.9</v>
      </c>
      <c r="J180" s="3439">
        <v>6.4395604395604398</v>
      </c>
      <c r="K180" s="5208">
        <v>5.26</v>
      </c>
    </row>
    <row r="181" spans="1:12">
      <c r="A181" s="5542"/>
      <c r="B181" s="5207" t="s">
        <v>3783</v>
      </c>
      <c r="C181" s="5207" t="s">
        <v>3784</v>
      </c>
      <c r="D181" s="3427" t="s">
        <v>3835</v>
      </c>
      <c r="E181" s="5280">
        <v>1.7416833799999998</v>
      </c>
      <c r="F181" s="5280">
        <v>1.6371823771999998</v>
      </c>
      <c r="G181" s="3439">
        <v>5.820669559469529</v>
      </c>
      <c r="H181" s="5281">
        <v>0.06</v>
      </c>
      <c r="I181" s="3439">
        <v>0.11</v>
      </c>
      <c r="J181" s="3439">
        <v>6.1922016590101379</v>
      </c>
      <c r="K181" s="5208">
        <v>5.69</v>
      </c>
    </row>
    <row r="182" spans="1:12">
      <c r="A182" s="5542"/>
      <c r="B182" s="5207" t="s">
        <v>3783</v>
      </c>
      <c r="C182" s="5207" t="s">
        <v>3836</v>
      </c>
      <c r="D182" s="3427" t="s">
        <v>3787</v>
      </c>
      <c r="E182" s="5280">
        <v>0.1176</v>
      </c>
      <c r="F182" s="5280">
        <v>0.110544</v>
      </c>
      <c r="G182" s="3439">
        <v>5.8605442176870746</v>
      </c>
      <c r="H182" s="5281">
        <v>0.06</v>
      </c>
      <c r="I182" s="3439">
        <v>0.11</v>
      </c>
      <c r="J182" s="3439">
        <v>6.2346215081777387</v>
      </c>
      <c r="K182" s="5208">
        <v>5.6400000000000006</v>
      </c>
    </row>
    <row r="183" spans="1:12">
      <c r="A183" s="5542"/>
      <c r="B183" s="5207" t="s">
        <v>3783</v>
      </c>
      <c r="C183" s="5207" t="s">
        <v>3837</v>
      </c>
      <c r="D183" s="3427" t="s">
        <v>350</v>
      </c>
      <c r="E183" s="5280">
        <v>9.0927600000000002</v>
      </c>
      <c r="F183" s="5280">
        <v>9.0927600000000002</v>
      </c>
      <c r="G183" s="3439">
        <v>5.6839591939081195</v>
      </c>
      <c r="H183" s="5281">
        <v>0</v>
      </c>
      <c r="I183" s="3439">
        <v>0</v>
      </c>
      <c r="J183" s="3439">
        <v>5.6839591939081195</v>
      </c>
      <c r="K183" s="5208">
        <v>5.6800000000000006</v>
      </c>
    </row>
    <row r="184" spans="1:12">
      <c r="A184" s="5542"/>
      <c r="B184" s="5207" t="s">
        <v>3783</v>
      </c>
      <c r="C184" s="5207" t="s">
        <v>3839</v>
      </c>
      <c r="D184" s="3427" t="s">
        <v>350</v>
      </c>
      <c r="E184" s="5280">
        <v>4.7560000000000002</v>
      </c>
      <c r="F184" s="5280">
        <v>4.7560000000000002</v>
      </c>
      <c r="G184" s="3439">
        <v>5.8775693860386884</v>
      </c>
      <c r="H184" s="5281">
        <v>0</v>
      </c>
      <c r="I184" s="3439">
        <v>0</v>
      </c>
      <c r="J184" s="3439">
        <v>5.8775693860386884</v>
      </c>
      <c r="K184" s="5208">
        <v>5.87</v>
      </c>
    </row>
    <row r="185" spans="1:12">
      <c r="A185" s="5542"/>
      <c r="B185" s="5207" t="s">
        <v>3783</v>
      </c>
      <c r="C185" s="5207" t="s">
        <v>3841</v>
      </c>
      <c r="D185" s="3427" t="s">
        <v>3835</v>
      </c>
      <c r="E185" s="5280">
        <v>1.544</v>
      </c>
      <c r="F185" s="5280">
        <v>1.45136</v>
      </c>
      <c r="G185" s="3439">
        <v>5.8233160621761657</v>
      </c>
      <c r="H185" s="5281">
        <v>0.06</v>
      </c>
      <c r="I185" s="3439">
        <v>0.11</v>
      </c>
      <c r="J185" s="3439">
        <v>6.1950170874214532</v>
      </c>
      <c r="K185" s="5208">
        <v>5.69</v>
      </c>
    </row>
    <row r="186" spans="1:12">
      <c r="A186" s="115"/>
      <c r="B186" s="2"/>
      <c r="C186" s="2"/>
      <c r="D186" s="4906"/>
      <c r="E186" s="3438">
        <f>SUM(E64:E185)</f>
        <v>226.08713497000002</v>
      </c>
      <c r="F186" s="3438">
        <f>SUM(F64:F185)</f>
        <v>223.53742062220002</v>
      </c>
      <c r="G186" s="2"/>
      <c r="H186" s="2"/>
      <c r="I186" s="2"/>
      <c r="J186" s="2"/>
      <c r="K186" s="2"/>
    </row>
    <row r="188" spans="1:12">
      <c r="B188" s="5283" t="s">
        <v>2442</v>
      </c>
    </row>
    <row r="190" spans="1:12" ht="57">
      <c r="B190" s="5287" t="s">
        <v>3771</v>
      </c>
      <c r="C190" s="5287" t="s">
        <v>3863</v>
      </c>
      <c r="D190" s="5287" t="s">
        <v>3864</v>
      </c>
      <c r="E190" s="5287" t="s">
        <v>3865</v>
      </c>
      <c r="F190" s="5287" t="s">
        <v>3899</v>
      </c>
      <c r="G190" s="5287" t="s">
        <v>3866</v>
      </c>
      <c r="H190" s="5287" t="s">
        <v>3867</v>
      </c>
      <c r="I190" s="5287" t="s">
        <v>3868</v>
      </c>
      <c r="J190" s="5287" t="s">
        <v>3898</v>
      </c>
      <c r="K190" s="5287" t="s">
        <v>3869</v>
      </c>
      <c r="L190" s="5287" t="s">
        <v>3870</v>
      </c>
    </row>
    <row r="191" spans="1:12">
      <c r="B191" s="5288"/>
      <c r="C191" s="5288"/>
      <c r="D191" s="5288"/>
      <c r="E191" s="5289" t="s">
        <v>83</v>
      </c>
      <c r="F191" s="5289" t="s">
        <v>83</v>
      </c>
      <c r="G191" s="5289" t="s">
        <v>151</v>
      </c>
      <c r="H191" s="5290" t="s">
        <v>3871</v>
      </c>
      <c r="I191" s="5289" t="s">
        <v>89</v>
      </c>
      <c r="J191" s="5289" t="s">
        <v>3871</v>
      </c>
      <c r="K191" s="5289" t="s">
        <v>3871</v>
      </c>
      <c r="L191" s="5289" t="s">
        <v>3871</v>
      </c>
    </row>
    <row r="192" spans="1:12" ht="28.5">
      <c r="B192" s="5288" t="s">
        <v>352</v>
      </c>
      <c r="C192" s="5291" t="s">
        <v>3872</v>
      </c>
      <c r="D192" s="5292" t="s">
        <v>3845</v>
      </c>
      <c r="E192" s="5293">
        <v>34.284469999999999</v>
      </c>
      <c r="F192" s="5293">
        <v>34.284469999999999</v>
      </c>
      <c r="G192" s="5286">
        <v>28.97475743</v>
      </c>
      <c r="H192" s="5294">
        <f>G192/E192*10</f>
        <v>8.4512776280339175</v>
      </c>
      <c r="I192" s="5295">
        <v>0</v>
      </c>
      <c r="J192" s="5295">
        <v>0</v>
      </c>
      <c r="K192" s="5295">
        <f>G192/F192*10</f>
        <v>8.4512776280339175</v>
      </c>
      <c r="L192" s="5295" t="s">
        <v>3873</v>
      </c>
    </row>
    <row r="193" spans="2:12">
      <c r="B193" s="5288" t="s">
        <v>352</v>
      </c>
      <c r="C193" s="5296" t="s">
        <v>3874</v>
      </c>
      <c r="D193" s="5292" t="s">
        <v>3845</v>
      </c>
      <c r="E193" s="5293">
        <v>0.94532717000000011</v>
      </c>
      <c r="F193" s="5293">
        <v>0.94532717000000011</v>
      </c>
      <c r="G193" s="5286">
        <v>0.72695659372999999</v>
      </c>
      <c r="H193" s="5294">
        <f t="shared" ref="H193:H213" si="0">G193/E193*10</f>
        <v>7.6899999999999995</v>
      </c>
      <c r="I193" s="5295">
        <v>0</v>
      </c>
      <c r="J193" s="5295">
        <v>0</v>
      </c>
      <c r="K193" s="5295">
        <f t="shared" ref="K193:K213" si="1">G193/F193*10</f>
        <v>7.6899999999999995</v>
      </c>
      <c r="L193" s="5295">
        <v>7.69</v>
      </c>
    </row>
    <row r="194" spans="2:12">
      <c r="B194" s="5288" t="s">
        <v>352</v>
      </c>
      <c r="C194" s="5296" t="s">
        <v>3875</v>
      </c>
      <c r="D194" s="5292" t="s">
        <v>3845</v>
      </c>
      <c r="E194" s="5293">
        <v>1.57070569</v>
      </c>
      <c r="F194" s="5293">
        <v>1.57070569</v>
      </c>
      <c r="G194" s="5286">
        <v>1.20787267561</v>
      </c>
      <c r="H194" s="5294">
        <f t="shared" si="0"/>
        <v>7.69</v>
      </c>
      <c r="I194" s="5295">
        <v>0</v>
      </c>
      <c r="J194" s="5295">
        <v>0</v>
      </c>
      <c r="K194" s="5295">
        <f t="shared" si="1"/>
        <v>7.69</v>
      </c>
      <c r="L194" s="5295">
        <v>7.69</v>
      </c>
    </row>
    <row r="195" spans="2:12">
      <c r="B195" s="5288" t="s">
        <v>352</v>
      </c>
      <c r="C195" s="5296" t="s">
        <v>3876</v>
      </c>
      <c r="D195" s="5292" t="s">
        <v>3845</v>
      </c>
      <c r="E195" s="5293">
        <v>1.5692125700000001</v>
      </c>
      <c r="F195" s="5293">
        <v>1.5692125700000001</v>
      </c>
      <c r="G195" s="5286">
        <v>1.2067244663300001</v>
      </c>
      <c r="H195" s="5294">
        <f t="shared" si="0"/>
        <v>7.69</v>
      </c>
      <c r="I195" s="5295">
        <v>0</v>
      </c>
      <c r="J195" s="5295">
        <v>0</v>
      </c>
      <c r="K195" s="5295">
        <f t="shared" si="1"/>
        <v>7.69</v>
      </c>
      <c r="L195" s="5295">
        <v>7.69</v>
      </c>
    </row>
    <row r="196" spans="2:12">
      <c r="B196" s="5288" t="s">
        <v>352</v>
      </c>
      <c r="C196" s="5296" t="s">
        <v>3877</v>
      </c>
      <c r="D196" s="5292" t="s">
        <v>3845</v>
      </c>
      <c r="E196" s="5293">
        <v>1.6166268599999998</v>
      </c>
      <c r="F196" s="5293">
        <v>1.6166268599999998</v>
      </c>
      <c r="G196" s="5286">
        <v>1.24318605534</v>
      </c>
      <c r="H196" s="5294">
        <f t="shared" si="0"/>
        <v>7.6900000000000013</v>
      </c>
      <c r="I196" s="5295">
        <v>0</v>
      </c>
      <c r="J196" s="5295">
        <v>0</v>
      </c>
      <c r="K196" s="5295">
        <f t="shared" si="1"/>
        <v>7.6900000000000013</v>
      </c>
      <c r="L196" s="5295">
        <v>7.69</v>
      </c>
    </row>
    <row r="197" spans="2:12">
      <c r="B197" s="5288" t="s">
        <v>352</v>
      </c>
      <c r="C197" s="5296" t="s">
        <v>3878</v>
      </c>
      <c r="D197" s="5292" t="s">
        <v>3845</v>
      </c>
      <c r="E197" s="5293">
        <v>6.0616359099999988</v>
      </c>
      <c r="F197" s="5293">
        <v>6.0616359099999988</v>
      </c>
      <c r="G197" s="5286">
        <v>4.6613980147900005</v>
      </c>
      <c r="H197" s="5294">
        <f t="shared" si="0"/>
        <v>7.6900000000000022</v>
      </c>
      <c r="I197" s="5295">
        <v>0</v>
      </c>
      <c r="J197" s="5295">
        <v>0</v>
      </c>
      <c r="K197" s="5295">
        <f t="shared" si="1"/>
        <v>7.6900000000000022</v>
      </c>
      <c r="L197" s="5295">
        <v>7.69</v>
      </c>
    </row>
    <row r="198" spans="2:12">
      <c r="B198" s="5288" t="s">
        <v>352</v>
      </c>
      <c r="C198" s="5296" t="s">
        <v>3879</v>
      </c>
      <c r="D198" s="5292" t="s">
        <v>3845</v>
      </c>
      <c r="E198" s="5293">
        <v>1.5197862200000003</v>
      </c>
      <c r="F198" s="5293">
        <v>1.5197862200000003</v>
      </c>
      <c r="G198" s="5286">
        <v>1.1687156031800001</v>
      </c>
      <c r="H198" s="5294">
        <f t="shared" si="0"/>
        <v>7.6899999999999995</v>
      </c>
      <c r="I198" s="5295">
        <v>0</v>
      </c>
      <c r="J198" s="5295">
        <v>0</v>
      </c>
      <c r="K198" s="5295">
        <f t="shared" si="1"/>
        <v>7.6899999999999995</v>
      </c>
      <c r="L198" s="5295">
        <v>7.69</v>
      </c>
    </row>
    <row r="199" spans="2:12">
      <c r="B199" s="5288" t="s">
        <v>352</v>
      </c>
      <c r="C199" s="5296" t="s">
        <v>3880</v>
      </c>
      <c r="D199" s="5292" t="s">
        <v>3845</v>
      </c>
      <c r="E199" s="5293">
        <v>0.89305619999999997</v>
      </c>
      <c r="F199" s="5293">
        <v>0.89305619999999997</v>
      </c>
      <c r="G199" s="5286">
        <v>0.68676021780000007</v>
      </c>
      <c r="H199" s="5294">
        <f t="shared" si="0"/>
        <v>7.6900000000000013</v>
      </c>
      <c r="I199" s="5295">
        <v>0</v>
      </c>
      <c r="J199" s="5295">
        <v>0</v>
      </c>
      <c r="K199" s="5295">
        <f t="shared" si="1"/>
        <v>7.6900000000000013</v>
      </c>
      <c r="L199" s="5295">
        <v>7.69</v>
      </c>
    </row>
    <row r="200" spans="2:12">
      <c r="B200" s="5288" t="s">
        <v>352</v>
      </c>
      <c r="C200" s="5296" t="s">
        <v>3881</v>
      </c>
      <c r="D200" s="5292" t="s">
        <v>3845</v>
      </c>
      <c r="E200" s="5293">
        <v>1.75189547</v>
      </c>
      <c r="F200" s="5293">
        <v>1.75189547</v>
      </c>
      <c r="G200" s="5286">
        <v>1.34720761643</v>
      </c>
      <c r="H200" s="5294">
        <f t="shared" si="0"/>
        <v>7.69</v>
      </c>
      <c r="I200" s="5295">
        <v>0</v>
      </c>
      <c r="J200" s="5295">
        <v>0</v>
      </c>
      <c r="K200" s="5295">
        <f t="shared" si="1"/>
        <v>7.69</v>
      </c>
      <c r="L200" s="5295">
        <v>7.69</v>
      </c>
    </row>
    <row r="201" spans="2:12">
      <c r="B201" s="5288" t="s">
        <v>352</v>
      </c>
      <c r="C201" s="5296" t="s">
        <v>3882</v>
      </c>
      <c r="D201" s="5292" t="s">
        <v>3845</v>
      </c>
      <c r="E201" s="5293">
        <v>0.94222058000000009</v>
      </c>
      <c r="F201" s="5293">
        <v>0.94222058000000009</v>
      </c>
      <c r="G201" s="5286">
        <v>0.72456762601999991</v>
      </c>
      <c r="H201" s="5294">
        <f t="shared" si="0"/>
        <v>7.6899999999999977</v>
      </c>
      <c r="I201" s="5295">
        <v>0</v>
      </c>
      <c r="J201" s="5295">
        <v>0</v>
      </c>
      <c r="K201" s="5295">
        <f t="shared" si="1"/>
        <v>7.6899999999999977</v>
      </c>
      <c r="L201" s="5295">
        <v>7.69</v>
      </c>
    </row>
    <row r="202" spans="2:12">
      <c r="B202" s="5288" t="s">
        <v>352</v>
      </c>
      <c r="C202" s="5296" t="s">
        <v>3883</v>
      </c>
      <c r="D202" s="5292" t="s">
        <v>3845</v>
      </c>
      <c r="E202" s="5293">
        <v>0.9264428400000001</v>
      </c>
      <c r="F202" s="5293">
        <v>0.9264428400000001</v>
      </c>
      <c r="G202" s="5286">
        <v>0.71243454396000006</v>
      </c>
      <c r="H202" s="5294">
        <f t="shared" si="0"/>
        <v>7.69</v>
      </c>
      <c r="I202" s="5295">
        <v>0</v>
      </c>
      <c r="J202" s="5295">
        <v>0</v>
      </c>
      <c r="K202" s="5295">
        <f t="shared" si="1"/>
        <v>7.69</v>
      </c>
      <c r="L202" s="5295">
        <v>7.69</v>
      </c>
    </row>
    <row r="203" spans="2:12">
      <c r="B203" s="5288" t="s">
        <v>352</v>
      </c>
      <c r="C203" s="5296" t="s">
        <v>3884</v>
      </c>
      <c r="D203" s="5292" t="s">
        <v>3845</v>
      </c>
      <c r="E203" s="5293">
        <v>0.94491778000000004</v>
      </c>
      <c r="F203" s="5293">
        <v>0.94491778000000004</v>
      </c>
      <c r="G203" s="5286">
        <v>0.72664177282000009</v>
      </c>
      <c r="H203" s="5294">
        <f t="shared" si="0"/>
        <v>7.69</v>
      </c>
      <c r="I203" s="5295">
        <v>0</v>
      </c>
      <c r="J203" s="5295">
        <v>0</v>
      </c>
      <c r="K203" s="5295">
        <f t="shared" si="1"/>
        <v>7.69</v>
      </c>
      <c r="L203" s="5295">
        <v>7.69</v>
      </c>
    </row>
    <row r="204" spans="2:12">
      <c r="B204" s="5297" t="s">
        <v>3885</v>
      </c>
      <c r="C204" s="5297"/>
      <c r="D204" s="5289"/>
      <c r="E204" s="5298">
        <f>SUM(E192:E203)</f>
        <v>53.026297289999981</v>
      </c>
      <c r="F204" s="5298">
        <f t="shared" ref="F204:G204" si="2">SUM(F192:F203)</f>
        <v>53.026297289999981</v>
      </c>
      <c r="G204" s="5298">
        <f t="shared" si="2"/>
        <v>43.38722261601</v>
      </c>
      <c r="H204" s="5299"/>
      <c r="I204" s="5299"/>
      <c r="J204" s="5299"/>
      <c r="K204" s="5299"/>
      <c r="L204" s="5299"/>
    </row>
    <row r="205" spans="2:12">
      <c r="B205" s="5288" t="s">
        <v>3783</v>
      </c>
      <c r="C205" s="5285" t="s">
        <v>3886</v>
      </c>
      <c r="D205" s="5292" t="s">
        <v>3887</v>
      </c>
      <c r="E205" s="5293">
        <v>2.0998999999999999</v>
      </c>
      <c r="F205" s="5293">
        <v>1.9739059999999999</v>
      </c>
      <c r="G205" s="5286">
        <v>1.4235857000000001</v>
      </c>
      <c r="H205" s="5294">
        <f>G205/E205*10</f>
        <v>6.7793023477308445</v>
      </c>
      <c r="I205" s="5295">
        <v>0.06</v>
      </c>
      <c r="J205" s="5295">
        <v>0.11</v>
      </c>
      <c r="K205" s="5295">
        <f t="shared" si="1"/>
        <v>7.2120237741817492</v>
      </c>
      <c r="L205" s="5295">
        <v>6.32</v>
      </c>
    </row>
    <row r="206" spans="2:12">
      <c r="B206" s="5288" t="s">
        <v>3783</v>
      </c>
      <c r="C206" s="5285" t="s">
        <v>3888</v>
      </c>
      <c r="D206" s="5292" t="s">
        <v>350</v>
      </c>
      <c r="E206" s="5293">
        <v>98.682029999999997</v>
      </c>
      <c r="F206" s="5293">
        <v>98.682029999999997</v>
      </c>
      <c r="G206" s="5286">
        <v>62.874271</v>
      </c>
      <c r="H206" s="5294">
        <f t="shared" si="0"/>
        <v>6.3714002437931203</v>
      </c>
      <c r="I206" s="5295">
        <v>0</v>
      </c>
      <c r="J206" s="5295">
        <v>0</v>
      </c>
      <c r="K206" s="5295">
        <f t="shared" si="1"/>
        <v>6.3714002437931203</v>
      </c>
      <c r="L206" s="5295">
        <v>6.32</v>
      </c>
    </row>
    <row r="207" spans="2:12" ht="28.5">
      <c r="B207" s="5288" t="s">
        <v>3783</v>
      </c>
      <c r="C207" s="5285" t="s">
        <v>3889</v>
      </c>
      <c r="D207" s="5292" t="s">
        <v>350</v>
      </c>
      <c r="E207" s="5293">
        <v>70.131219999999999</v>
      </c>
      <c r="F207" s="5293">
        <v>70.131219999999999</v>
      </c>
      <c r="G207" s="5286">
        <v>45.914186660000006</v>
      </c>
      <c r="H207" s="5294">
        <f t="shared" si="0"/>
        <v>6.5468968969882466</v>
      </c>
      <c r="I207" s="5295">
        <v>0</v>
      </c>
      <c r="J207" s="5295">
        <v>0</v>
      </c>
      <c r="K207" s="5295">
        <f t="shared" si="1"/>
        <v>6.5468968969882466</v>
      </c>
      <c r="L207" s="5295">
        <v>6.53</v>
      </c>
    </row>
    <row r="208" spans="2:12">
      <c r="B208" s="5288" t="s">
        <v>3783</v>
      </c>
      <c r="C208" s="5285" t="s">
        <v>3890</v>
      </c>
      <c r="D208" s="5292" t="s">
        <v>350</v>
      </c>
      <c r="E208" s="5293">
        <v>16.926749999999998</v>
      </c>
      <c r="F208" s="5293">
        <v>16.926749999999998</v>
      </c>
      <c r="G208" s="5286">
        <v>10.642322249999999</v>
      </c>
      <c r="H208" s="5294">
        <f t="shared" si="0"/>
        <v>6.2872803402897777</v>
      </c>
      <c r="I208" s="5295">
        <v>0</v>
      </c>
      <c r="J208" s="5295">
        <v>0</v>
      </c>
      <c r="K208" s="5295">
        <f t="shared" si="1"/>
        <v>6.2872803402897777</v>
      </c>
      <c r="L208" s="5295">
        <v>6.27</v>
      </c>
    </row>
    <row r="209" spans="2:12">
      <c r="B209" s="5288" t="s">
        <v>3783</v>
      </c>
      <c r="C209" s="5285" t="s">
        <v>3891</v>
      </c>
      <c r="D209" s="5292" t="s">
        <v>350</v>
      </c>
      <c r="E209" s="5293">
        <v>8.7120010000000008</v>
      </c>
      <c r="F209" s="5293">
        <v>8.7120010000000008</v>
      </c>
      <c r="G209" s="5286">
        <v>5.7760566629999994</v>
      </c>
      <c r="H209" s="5294">
        <f t="shared" si="0"/>
        <v>6.629999999999999</v>
      </c>
      <c r="I209" s="5295">
        <v>0</v>
      </c>
      <c r="J209" s="5295">
        <v>0</v>
      </c>
      <c r="K209" s="5295">
        <f t="shared" si="1"/>
        <v>6.629999999999999</v>
      </c>
      <c r="L209" s="5295">
        <v>6.63</v>
      </c>
    </row>
    <row r="210" spans="2:12">
      <c r="B210" s="5288" t="s">
        <v>3783</v>
      </c>
      <c r="C210" s="5285" t="s">
        <v>3892</v>
      </c>
      <c r="D210" s="5292" t="s">
        <v>3893</v>
      </c>
      <c r="E210" s="5293">
        <v>10.09837505</v>
      </c>
      <c r="F210" s="5293">
        <v>9.4924725469999984</v>
      </c>
      <c r="G210" s="5286">
        <v>6.3307140983999988</v>
      </c>
      <c r="H210" s="5294">
        <f t="shared" si="0"/>
        <v>6.2690423628106373</v>
      </c>
      <c r="I210" s="5295">
        <v>0.06</v>
      </c>
      <c r="J210" s="5295">
        <v>0.11</v>
      </c>
      <c r="K210" s="5295">
        <f t="shared" si="1"/>
        <v>6.6691940029900412</v>
      </c>
      <c r="L210" s="5295">
        <v>6.07</v>
      </c>
    </row>
    <row r="211" spans="2:12">
      <c r="B211" s="5288" t="s">
        <v>3783</v>
      </c>
      <c r="C211" s="5285" t="s">
        <v>3894</v>
      </c>
      <c r="D211" s="5292" t="s">
        <v>3893</v>
      </c>
      <c r="E211" s="5293">
        <v>30.4209</v>
      </c>
      <c r="F211" s="5293">
        <v>28.595645999999999</v>
      </c>
      <c r="G211" s="5286">
        <v>18.895104400000001</v>
      </c>
      <c r="H211" s="5294">
        <f t="shared" si="0"/>
        <v>6.2112246514731648</v>
      </c>
      <c r="I211" s="5295">
        <v>0.06</v>
      </c>
      <c r="J211" s="5295">
        <v>0.11</v>
      </c>
      <c r="K211" s="5295">
        <f t="shared" si="1"/>
        <v>6.6076857994395377</v>
      </c>
      <c r="L211" s="5295">
        <v>6.07</v>
      </c>
    </row>
    <row r="212" spans="2:12" ht="28.5">
      <c r="B212" s="5288" t="s">
        <v>3783</v>
      </c>
      <c r="C212" s="5285" t="s">
        <v>3895</v>
      </c>
      <c r="D212" s="5292" t="s">
        <v>351</v>
      </c>
      <c r="E212" s="5293">
        <v>0.86386209999999997</v>
      </c>
      <c r="F212" s="5293">
        <v>0.78611451099999996</v>
      </c>
      <c r="G212" s="5286">
        <v>0.48894594859999996</v>
      </c>
      <c r="H212" s="5294">
        <f t="shared" si="0"/>
        <v>5.6599999999999993</v>
      </c>
      <c r="I212" s="5295">
        <v>0.09</v>
      </c>
      <c r="J212" s="5295">
        <v>0.6</v>
      </c>
      <c r="K212" s="5295">
        <f t="shared" si="1"/>
        <v>6.2197802197802199</v>
      </c>
      <c r="L212" s="5295">
        <v>5.0599999999999996</v>
      </c>
    </row>
    <row r="213" spans="2:12" ht="28.5">
      <c r="B213" s="5288" t="s">
        <v>3900</v>
      </c>
      <c r="C213" s="5285" t="s">
        <v>3834</v>
      </c>
      <c r="D213" s="5292" t="s">
        <v>3800</v>
      </c>
      <c r="E213" s="5293">
        <v>8.0391436699999996</v>
      </c>
      <c r="F213" s="5293">
        <v>7.3156207397000008</v>
      </c>
      <c r="G213" s="5286">
        <v>4.7109381906200003</v>
      </c>
      <c r="H213" s="5294">
        <f t="shared" si="0"/>
        <v>5.8600000000000012</v>
      </c>
      <c r="I213" s="5295">
        <v>0.09</v>
      </c>
      <c r="J213" s="5295">
        <v>0.6</v>
      </c>
      <c r="K213" s="5295">
        <f t="shared" si="1"/>
        <v>6.4395604395604389</v>
      </c>
      <c r="L213" s="5295">
        <v>5.26</v>
      </c>
    </row>
    <row r="214" spans="2:12">
      <c r="B214" s="5297" t="s">
        <v>3896</v>
      </c>
      <c r="C214" s="5289"/>
      <c r="D214" s="5289"/>
      <c r="E214" s="5298">
        <f>SUM(E205:E213)</f>
        <v>245.97418181999996</v>
      </c>
      <c r="F214" s="5298">
        <f t="shared" ref="F214:G214" si="3">SUM(F205:F213)</f>
        <v>242.61576079769998</v>
      </c>
      <c r="G214" s="5298">
        <f t="shared" si="3"/>
        <v>157.05612491062001</v>
      </c>
      <c r="H214" s="5299"/>
      <c r="I214" s="5299"/>
      <c r="J214" s="5299"/>
      <c r="K214" s="5299"/>
      <c r="L214" s="5299"/>
    </row>
    <row r="215" spans="2:12">
      <c r="B215" s="5297" t="s">
        <v>3897</v>
      </c>
      <c r="C215" s="5289"/>
      <c r="D215" s="5289"/>
      <c r="E215" s="5300">
        <f>SUM(E192:E213)</f>
        <v>352.02677639999996</v>
      </c>
      <c r="F215" s="5300">
        <f t="shared" ref="F215:G215" si="4">SUM(F192:F213)</f>
        <v>348.66835537769992</v>
      </c>
      <c r="G215" s="5300">
        <f t="shared" si="4"/>
        <v>243.83057014264</v>
      </c>
      <c r="H215" s="5299"/>
      <c r="I215" s="5299"/>
      <c r="J215" s="5299"/>
      <c r="K215" s="5299"/>
      <c r="L215" s="5299"/>
    </row>
  </sheetData>
  <mergeCells count="37">
    <mergeCell ref="A170:A185"/>
    <mergeCell ref="A64:A67"/>
    <mergeCell ref="A68:A72"/>
    <mergeCell ref="A73:A77"/>
    <mergeCell ref="A78:A82"/>
    <mergeCell ref="A83:A88"/>
    <mergeCell ref="A89:A99"/>
    <mergeCell ref="A100:A112"/>
    <mergeCell ref="A113:A124"/>
    <mergeCell ref="A125:A137"/>
    <mergeCell ref="A138:A153"/>
    <mergeCell ref="A154:A169"/>
    <mergeCell ref="A35:A39"/>
    <mergeCell ref="A40:A45"/>
    <mergeCell ref="A46:A51"/>
    <mergeCell ref="A52:A57"/>
    <mergeCell ref="A14:A15"/>
    <mergeCell ref="A17:A20"/>
    <mergeCell ref="A21:A24"/>
    <mergeCell ref="A27:A29"/>
    <mergeCell ref="A30:A34"/>
    <mergeCell ref="A62:A63"/>
    <mergeCell ref="B62:B63"/>
    <mergeCell ref="C62:C63"/>
    <mergeCell ref="D62:D63"/>
    <mergeCell ref="E62:F62"/>
    <mergeCell ref="A12:A13"/>
    <mergeCell ref="A25:A26"/>
    <mergeCell ref="A10:A11"/>
    <mergeCell ref="B10:B11"/>
    <mergeCell ref="B2:J2"/>
    <mergeCell ref="B3:J3"/>
    <mergeCell ref="B5:J5"/>
    <mergeCell ref="B6:J6"/>
    <mergeCell ref="C10:C11"/>
    <mergeCell ref="D10:D11"/>
    <mergeCell ref="E10:F10"/>
  </mergeCells>
  <printOptions horizontalCentered="1"/>
  <pageMargins left="0.89" right="0.21" top="0.69" bottom="0.48" header="0.31496062992126" footer="0.31496062992126"/>
  <pageSetup scale="55" orientation="portrait" r:id="rId1"/>
  <rowBreaks count="1" manualBreakCount="1">
    <brk id="124" max="10" man="1"/>
  </rowBreaks>
</worksheet>
</file>

<file path=xl/worksheets/sheet33.xml><?xml version="1.0" encoding="utf-8"?>
<worksheet xmlns="http://schemas.openxmlformats.org/spreadsheetml/2006/main" xmlns:r="http://schemas.openxmlformats.org/officeDocument/2006/relationships">
  <dimension ref="A1:S72"/>
  <sheetViews>
    <sheetView showGridLines="0" view="pageBreakPreview" topLeftCell="A49" zoomScale="70" zoomScaleNormal="70" zoomScaleSheetLayoutView="70" workbookViewId="0">
      <selection activeCell="A53" sqref="A53:XFD72"/>
    </sheetView>
  </sheetViews>
  <sheetFormatPr defaultRowHeight="15"/>
  <cols>
    <col min="1" max="1" width="10.42578125" style="5226" customWidth="1"/>
    <col min="2" max="6" width="12" style="5226" customWidth="1"/>
    <col min="7" max="7" width="13.42578125" style="5226" customWidth="1"/>
    <col min="8" max="16" width="12" style="5226" customWidth="1"/>
    <col min="17" max="17" width="14.85546875" style="5226" customWidth="1"/>
    <col min="18" max="16384" width="9.140625" style="5226"/>
  </cols>
  <sheetData>
    <row r="1" spans="1:19" s="4861" customFormat="1">
      <c r="A1" s="5534" t="s">
        <v>3824</v>
      </c>
      <c r="B1" s="5534"/>
      <c r="C1" s="5534"/>
      <c r="D1" s="5534"/>
      <c r="E1" s="5534"/>
      <c r="F1" s="5534"/>
      <c r="G1" s="5534"/>
      <c r="H1" s="5534"/>
      <c r="I1" s="5534"/>
      <c r="J1" s="5534"/>
      <c r="K1" s="5534"/>
      <c r="L1" s="5534"/>
      <c r="M1" s="5534"/>
      <c r="N1" s="5534"/>
      <c r="O1" s="5534"/>
      <c r="P1" s="5534"/>
    </row>
    <row r="2" spans="1:19" s="4861" customFormat="1">
      <c r="A2" s="5536" t="s">
        <v>3918</v>
      </c>
      <c r="B2" s="5536"/>
      <c r="C2" s="5536"/>
      <c r="D2" s="5536"/>
      <c r="E2" s="5536"/>
      <c r="F2" s="5536"/>
      <c r="G2" s="5536"/>
      <c r="H2" s="5536"/>
      <c r="I2" s="5536"/>
      <c r="J2" s="5536"/>
      <c r="K2" s="5536"/>
      <c r="L2" s="5536"/>
      <c r="M2" s="5536"/>
      <c r="N2" s="5536"/>
      <c r="O2" s="5536"/>
      <c r="P2" s="5536"/>
    </row>
    <row r="3" spans="1:19" s="4861" customFormat="1">
      <c r="A3" s="5537" t="s">
        <v>3823</v>
      </c>
      <c r="B3" s="5537"/>
      <c r="C3" s="5537"/>
      <c r="D3" s="5537"/>
      <c r="E3" s="5537"/>
      <c r="F3" s="5537"/>
      <c r="G3" s="5537"/>
      <c r="H3" s="5537"/>
      <c r="I3" s="5537"/>
      <c r="J3" s="5537"/>
      <c r="K3" s="5537"/>
      <c r="L3" s="5537"/>
      <c r="M3" s="5537"/>
      <c r="N3" s="5537"/>
      <c r="O3" s="5537"/>
      <c r="P3" s="5537"/>
    </row>
    <row r="4" spans="1:19" s="4861" customFormat="1" hidden="1">
      <c r="A4" s="5204"/>
      <c r="B4" s="5204"/>
      <c r="C4" s="5204"/>
      <c r="D4" s="5204"/>
      <c r="E4" s="5204"/>
      <c r="F4" s="5204"/>
      <c r="G4" s="5204"/>
      <c r="H4" s="5204"/>
      <c r="I4" s="5204"/>
      <c r="J4" s="5225"/>
      <c r="K4" s="5225"/>
      <c r="L4" s="5225"/>
      <c r="M4" s="5225"/>
      <c r="N4" s="5225"/>
      <c r="O4" s="5225"/>
      <c r="P4" s="5225"/>
    </row>
    <row r="5" spans="1:19" s="4861" customFormat="1">
      <c r="B5" s="5204" t="s">
        <v>82</v>
      </c>
      <c r="C5" s="5204"/>
      <c r="D5" s="5204"/>
      <c r="E5" s="5204"/>
      <c r="F5" s="5204"/>
      <c r="G5" s="5204"/>
      <c r="H5" s="5204"/>
      <c r="I5" s="5204"/>
      <c r="J5" s="5225"/>
      <c r="K5" s="5225"/>
      <c r="L5" s="5225"/>
      <c r="M5" s="5225"/>
      <c r="N5" s="5225"/>
      <c r="O5" s="5225"/>
      <c r="P5" s="5225"/>
    </row>
    <row r="6" spans="1:19">
      <c r="B6" s="5227"/>
      <c r="C6" s="5227"/>
      <c r="D6" s="5227"/>
      <c r="E6" s="5227"/>
      <c r="F6" s="5227"/>
      <c r="G6" s="5227"/>
      <c r="H6" s="5227"/>
      <c r="I6" s="5227"/>
      <c r="J6" s="5227"/>
      <c r="K6" s="5227"/>
      <c r="L6" s="5227"/>
      <c r="M6" s="5227"/>
      <c r="N6" s="5227"/>
      <c r="O6" s="5227"/>
      <c r="P6" s="5227"/>
    </row>
    <row r="7" spans="1:19">
      <c r="A7" s="5554" t="s">
        <v>3806</v>
      </c>
      <c r="B7" s="5555"/>
      <c r="C7" s="5555"/>
      <c r="D7" s="5555"/>
      <c r="E7" s="5555"/>
      <c r="F7" s="5555"/>
      <c r="G7" s="5556"/>
      <c r="H7" s="5554" t="s">
        <v>3807</v>
      </c>
      <c r="I7" s="5555"/>
      <c r="J7" s="5555"/>
      <c r="K7" s="5555"/>
      <c r="L7" s="5555"/>
      <c r="M7" s="5555"/>
      <c r="N7" s="5555"/>
      <c r="O7" s="5555"/>
      <c r="P7" s="5556"/>
    </row>
    <row r="8" spans="1:19">
      <c r="A8" s="5548" t="s">
        <v>84</v>
      </c>
      <c r="B8" s="5557" t="s">
        <v>2245</v>
      </c>
      <c r="C8" s="5560" t="s">
        <v>3808</v>
      </c>
      <c r="D8" s="5544" t="s">
        <v>3809</v>
      </c>
      <c r="E8" s="5544" t="s">
        <v>3810</v>
      </c>
      <c r="F8" s="5551" t="s">
        <v>3811</v>
      </c>
      <c r="G8" s="5548" t="s">
        <v>3812</v>
      </c>
      <c r="H8" s="5531" t="s">
        <v>3813</v>
      </c>
      <c r="I8" s="5531" t="s">
        <v>3814</v>
      </c>
      <c r="J8" s="5544" t="s">
        <v>3809</v>
      </c>
      <c r="K8" s="5544" t="s">
        <v>3815</v>
      </c>
      <c r="L8" s="5544" t="s">
        <v>3810</v>
      </c>
      <c r="M8" s="5544" t="s">
        <v>3816</v>
      </c>
      <c r="N8" s="5531" t="s">
        <v>3817</v>
      </c>
      <c r="O8" s="5531" t="s">
        <v>3818</v>
      </c>
      <c r="P8" s="5548" t="s">
        <v>3819</v>
      </c>
    </row>
    <row r="9" spans="1:19">
      <c r="A9" s="5549"/>
      <c r="B9" s="5558"/>
      <c r="C9" s="5561"/>
      <c r="D9" s="5545"/>
      <c r="E9" s="5545"/>
      <c r="F9" s="5552"/>
      <c r="G9" s="5549"/>
      <c r="H9" s="5547"/>
      <c r="I9" s="5547"/>
      <c r="J9" s="5545"/>
      <c r="K9" s="5545"/>
      <c r="L9" s="5545"/>
      <c r="M9" s="5545"/>
      <c r="N9" s="5547"/>
      <c r="O9" s="5547"/>
      <c r="P9" s="5549"/>
    </row>
    <row r="10" spans="1:19">
      <c r="A10" s="5549"/>
      <c r="B10" s="5558"/>
      <c r="C10" s="5562"/>
      <c r="D10" s="5546"/>
      <c r="E10" s="5546"/>
      <c r="F10" s="5553"/>
      <c r="G10" s="5550"/>
      <c r="H10" s="5532"/>
      <c r="I10" s="5532"/>
      <c r="J10" s="5546"/>
      <c r="K10" s="5546"/>
      <c r="L10" s="5546"/>
      <c r="M10" s="5546"/>
      <c r="N10" s="5532"/>
      <c r="O10" s="5532"/>
      <c r="P10" s="5550"/>
    </row>
    <row r="11" spans="1:19">
      <c r="A11" s="5550"/>
      <c r="B11" s="5559"/>
      <c r="C11" s="5224" t="s">
        <v>3820</v>
      </c>
      <c r="D11" s="5224" t="s">
        <v>3820</v>
      </c>
      <c r="E11" s="5224" t="s">
        <v>3820</v>
      </c>
      <c r="F11" s="5224" t="s">
        <v>3820</v>
      </c>
      <c r="G11" s="5224" t="s">
        <v>3820</v>
      </c>
      <c r="H11" s="5203" t="s">
        <v>3724</v>
      </c>
      <c r="I11" s="5203" t="s">
        <v>3821</v>
      </c>
      <c r="J11" s="5203" t="s">
        <v>3724</v>
      </c>
      <c r="K11" s="5203" t="s">
        <v>3821</v>
      </c>
      <c r="L11" s="5203" t="s">
        <v>3724</v>
      </c>
      <c r="M11" s="5203" t="s">
        <v>3821</v>
      </c>
      <c r="N11" s="5203" t="s">
        <v>3724</v>
      </c>
      <c r="O11" s="5203" t="s">
        <v>3821</v>
      </c>
      <c r="P11" s="5203" t="s">
        <v>3724</v>
      </c>
    </row>
    <row r="12" spans="1:19" ht="16.5">
      <c r="A12" s="5248">
        <v>1</v>
      </c>
      <c r="B12" s="5223">
        <v>41000</v>
      </c>
      <c r="C12" s="5228">
        <v>0</v>
      </c>
      <c r="D12" s="5229">
        <v>8.6138825000000008</v>
      </c>
      <c r="E12" s="5229">
        <v>0.9090824999999999</v>
      </c>
      <c r="F12" s="5230">
        <v>0</v>
      </c>
      <c r="G12" s="5232">
        <f t="shared" ref="G12:G23" si="0">C12+D12+E12+F12</f>
        <v>9.522965000000001</v>
      </c>
      <c r="H12" s="5228">
        <v>0</v>
      </c>
      <c r="I12" s="5228">
        <v>0</v>
      </c>
      <c r="J12" s="5229">
        <v>2.8304707790000001</v>
      </c>
      <c r="K12" s="5229">
        <f>J12/D12*10</f>
        <v>3.2859407810589474</v>
      </c>
      <c r="L12" s="5229">
        <v>0.266545647</v>
      </c>
      <c r="M12" s="5229">
        <f>L12/E12*10</f>
        <v>2.9320292382704545</v>
      </c>
      <c r="N12" s="5230">
        <v>0</v>
      </c>
      <c r="O12" s="5231">
        <v>0</v>
      </c>
      <c r="P12" s="5232">
        <f>H12+J12+L12+N12</f>
        <v>3.0970164260000002</v>
      </c>
      <c r="R12" s="5233"/>
      <c r="S12" s="5233"/>
    </row>
    <row r="13" spans="1:19" ht="16.5">
      <c r="A13" s="5248">
        <v>2</v>
      </c>
      <c r="B13" s="5223">
        <v>41030</v>
      </c>
      <c r="C13" s="5228">
        <v>8.0731000000000002</v>
      </c>
      <c r="D13" s="5229">
        <v>12.837114999999999</v>
      </c>
      <c r="E13" s="5229">
        <v>2.0620724999999998</v>
      </c>
      <c r="F13" s="5230">
        <v>0</v>
      </c>
      <c r="G13" s="5232">
        <f t="shared" si="0"/>
        <v>22.9722875</v>
      </c>
      <c r="H13" s="5228">
        <v>3.6842839999999999</v>
      </c>
      <c r="I13" s="5228">
        <f t="shared" ref="I13:I24" si="1">H13/C13*10</f>
        <v>4.5636546060373337</v>
      </c>
      <c r="J13" s="5229">
        <v>4.4504736449999998</v>
      </c>
      <c r="K13" s="5229">
        <f t="shared" ref="K13:K24" si="2">J13/D13*10</f>
        <v>3.4668799375872226</v>
      </c>
      <c r="L13" s="5229">
        <v>0.746808527</v>
      </c>
      <c r="M13" s="5229">
        <f t="shared" ref="M13:M24" si="3">L13/E13*10</f>
        <v>3.6216404951814258</v>
      </c>
      <c r="N13" s="5230">
        <v>0</v>
      </c>
      <c r="O13" s="5231">
        <v>0</v>
      </c>
      <c r="P13" s="5232">
        <f t="shared" ref="P13:P22" si="4">H13+J13+L13+N13</f>
        <v>8.8815661720000012</v>
      </c>
      <c r="R13" s="5233"/>
      <c r="S13" s="5233"/>
    </row>
    <row r="14" spans="1:19" ht="16.5">
      <c r="A14" s="5248">
        <v>3</v>
      </c>
      <c r="B14" s="5223">
        <v>41061</v>
      </c>
      <c r="C14" s="5228">
        <v>4.8137599999999994</v>
      </c>
      <c r="D14" s="5229">
        <v>3.5397125000000007</v>
      </c>
      <c r="E14" s="5229">
        <v>2.4636639999999996</v>
      </c>
      <c r="F14" s="5230">
        <v>0</v>
      </c>
      <c r="G14" s="5232">
        <f t="shared" si="0"/>
        <v>10.8171365</v>
      </c>
      <c r="H14" s="5228">
        <v>2.1968279999999996</v>
      </c>
      <c r="I14" s="5228">
        <f t="shared" si="1"/>
        <v>4.5636425580003985</v>
      </c>
      <c r="J14" s="5229">
        <f>1.251534096+0.0005</f>
        <v>1.252034096</v>
      </c>
      <c r="K14" s="5229">
        <f t="shared" si="2"/>
        <v>3.5371067452512026</v>
      </c>
      <c r="L14" s="5229">
        <f>0.84860192+0.0005</f>
        <v>0.84910191999999995</v>
      </c>
      <c r="M14" s="5229">
        <f t="shared" si="3"/>
        <v>3.4465004968209954</v>
      </c>
      <c r="N14" s="5230">
        <v>0</v>
      </c>
      <c r="O14" s="5231">
        <v>0</v>
      </c>
      <c r="P14" s="5232">
        <f t="shared" si="4"/>
        <v>4.2979640159999999</v>
      </c>
      <c r="R14" s="5233"/>
      <c r="S14" s="5233"/>
    </row>
    <row r="15" spans="1:19" ht="16.5">
      <c r="A15" s="5248">
        <v>4</v>
      </c>
      <c r="B15" s="5223">
        <v>41091</v>
      </c>
      <c r="C15" s="5228">
        <v>0</v>
      </c>
      <c r="D15" s="5229">
        <v>1.4359925</v>
      </c>
      <c r="E15" s="5229">
        <v>6.5159999999999996E-2</v>
      </c>
      <c r="F15" s="5230">
        <v>4.2152500000000002</v>
      </c>
      <c r="G15" s="5232">
        <f t="shared" si="0"/>
        <v>5.7164025000000001</v>
      </c>
      <c r="H15" s="5228">
        <v>0</v>
      </c>
      <c r="I15" s="5228">
        <v>0</v>
      </c>
      <c r="J15" s="5229">
        <f>0.529016384+0.0005</f>
        <v>0.5295163839999999</v>
      </c>
      <c r="K15" s="5229">
        <f t="shared" si="2"/>
        <v>3.6874592590142354</v>
      </c>
      <c r="L15" s="5229">
        <f>0.033850967+0.0005</f>
        <v>3.4350967000000003E-2</v>
      </c>
      <c r="M15" s="5229">
        <f t="shared" si="3"/>
        <v>5.2717874462860657</v>
      </c>
      <c r="N15" s="5230">
        <v>1.9761774000000001</v>
      </c>
      <c r="O15" s="5231">
        <f t="shared" ref="O15:O24" si="5">N15/F15*10</f>
        <v>4.6881617934879305</v>
      </c>
      <c r="P15" s="5232">
        <f t="shared" si="4"/>
        <v>2.5400447509999999</v>
      </c>
      <c r="R15" s="5233"/>
      <c r="S15" s="5233"/>
    </row>
    <row r="16" spans="1:19" ht="16.5">
      <c r="A16" s="5248">
        <v>5</v>
      </c>
      <c r="B16" s="5223">
        <v>41122</v>
      </c>
      <c r="C16" s="5228">
        <v>0</v>
      </c>
      <c r="D16" s="5229">
        <v>2.7545300000000004</v>
      </c>
      <c r="E16" s="5229">
        <v>1.0487025000000001</v>
      </c>
      <c r="F16" s="5230">
        <v>0</v>
      </c>
      <c r="G16" s="5232">
        <f t="shared" si="0"/>
        <v>3.8032325000000005</v>
      </c>
      <c r="H16" s="5228">
        <v>0</v>
      </c>
      <c r="I16" s="5228">
        <v>0</v>
      </c>
      <c r="J16" s="5229">
        <f>0.776044035+0.0005</f>
        <v>0.77654403499999991</v>
      </c>
      <c r="K16" s="5229">
        <f t="shared" si="2"/>
        <v>2.8191525777537358</v>
      </c>
      <c r="L16" s="5229">
        <f>0.332302947+0.0005</f>
        <v>0.33280294700000002</v>
      </c>
      <c r="M16" s="5229">
        <f t="shared" si="3"/>
        <v>3.1734733825846702</v>
      </c>
      <c r="N16" s="5230">
        <v>0</v>
      </c>
      <c r="O16" s="5231">
        <v>0</v>
      </c>
      <c r="P16" s="5232">
        <f t="shared" si="4"/>
        <v>1.1093469819999999</v>
      </c>
      <c r="R16" s="5233"/>
      <c r="S16" s="5233"/>
    </row>
    <row r="17" spans="1:19" ht="16.5">
      <c r="A17" s="5248">
        <v>6</v>
      </c>
      <c r="B17" s="5223">
        <v>41153</v>
      </c>
      <c r="C17" s="5228">
        <v>0</v>
      </c>
      <c r="D17" s="5229">
        <v>4.7930824999999997</v>
      </c>
      <c r="E17" s="5229">
        <v>0.18744</v>
      </c>
      <c r="F17" s="5230">
        <v>0.17499999999999999</v>
      </c>
      <c r="G17" s="5232">
        <f t="shared" si="0"/>
        <v>5.1555224999999991</v>
      </c>
      <c r="H17" s="5228">
        <v>0</v>
      </c>
      <c r="I17" s="5228">
        <v>0</v>
      </c>
      <c r="J17" s="5229">
        <v>1.0629023830000002</v>
      </c>
      <c r="K17" s="5229">
        <f t="shared" si="2"/>
        <v>2.2175758147288311</v>
      </c>
      <c r="L17" s="5229">
        <v>5.4911530999999993E-2</v>
      </c>
      <c r="M17" s="5229">
        <f t="shared" si="3"/>
        <v>2.9295524434485696</v>
      </c>
      <c r="N17" s="5230">
        <v>7.0875599999999997E-2</v>
      </c>
      <c r="O17" s="5231">
        <f t="shared" si="5"/>
        <v>4.0500342857142861</v>
      </c>
      <c r="P17" s="5232">
        <f t="shared" si="4"/>
        <v>1.188689514</v>
      </c>
      <c r="R17" s="5233"/>
      <c r="S17" s="5233"/>
    </row>
    <row r="18" spans="1:19" ht="16.5">
      <c r="A18" s="5248">
        <v>7</v>
      </c>
      <c r="B18" s="5223">
        <v>41183</v>
      </c>
      <c r="C18" s="5228">
        <v>0</v>
      </c>
      <c r="D18" s="5229">
        <v>14.432194499999998</v>
      </c>
      <c r="E18" s="5229">
        <v>1.047782</v>
      </c>
      <c r="F18" s="5230">
        <v>1.5335270000000001</v>
      </c>
      <c r="G18" s="5232">
        <f t="shared" si="0"/>
        <v>17.013503499999999</v>
      </c>
      <c r="H18" s="5228">
        <v>0</v>
      </c>
      <c r="I18" s="5228">
        <v>0</v>
      </c>
      <c r="J18" s="5229">
        <v>5.7775631890000003</v>
      </c>
      <c r="K18" s="5229">
        <f t="shared" si="2"/>
        <v>4.0032464841019157</v>
      </c>
      <c r="L18" s="5229">
        <v>0.444685516</v>
      </c>
      <c r="M18" s="5229">
        <f t="shared" si="3"/>
        <v>4.2440652349439105</v>
      </c>
      <c r="N18" s="5230">
        <v>0.62089879999999997</v>
      </c>
      <c r="O18" s="5231">
        <f t="shared" si="5"/>
        <v>4.0488286153422788</v>
      </c>
      <c r="P18" s="5232">
        <f t="shared" si="4"/>
        <v>6.8431475050000001</v>
      </c>
      <c r="R18" s="5233"/>
      <c r="S18" s="5233"/>
    </row>
    <row r="19" spans="1:19" ht="16.5">
      <c r="A19" s="5248">
        <v>8</v>
      </c>
      <c r="B19" s="5223">
        <v>41214</v>
      </c>
      <c r="C19" s="5228">
        <v>0</v>
      </c>
      <c r="D19" s="5229">
        <v>2.5381999999999998</v>
      </c>
      <c r="E19" s="5229">
        <v>0.35847500000000004</v>
      </c>
      <c r="F19" s="5230">
        <v>1.2355</v>
      </c>
      <c r="G19" s="5232">
        <f t="shared" si="0"/>
        <v>4.1321750000000002</v>
      </c>
      <c r="H19" s="5228">
        <v>0</v>
      </c>
      <c r="I19" s="5228">
        <v>0</v>
      </c>
      <c r="J19" s="5229">
        <v>0.95285678900000004</v>
      </c>
      <c r="K19" s="5229">
        <f t="shared" si="2"/>
        <v>3.754065042155859</v>
      </c>
      <c r="L19" s="5229">
        <v>0.118104575</v>
      </c>
      <c r="M19" s="5229">
        <f t="shared" si="3"/>
        <v>3.2946390961712808</v>
      </c>
      <c r="N19" s="5230">
        <v>0.53161530000000001</v>
      </c>
      <c r="O19" s="5231">
        <f t="shared" si="5"/>
        <v>4.302835289356536</v>
      </c>
      <c r="P19" s="5232">
        <f t="shared" si="4"/>
        <v>1.6025766639999999</v>
      </c>
      <c r="R19" s="5233"/>
      <c r="S19" s="5233"/>
    </row>
    <row r="20" spans="1:19" ht="16.5">
      <c r="A20" s="5248">
        <v>9</v>
      </c>
      <c r="B20" s="5223">
        <v>41244</v>
      </c>
      <c r="C20" s="5228">
        <v>0</v>
      </c>
      <c r="D20" s="5229">
        <v>7.2264999999999996E-2</v>
      </c>
      <c r="E20" s="5229">
        <v>0.44015541874999869</v>
      </c>
      <c r="F20" s="5230">
        <v>0</v>
      </c>
      <c r="G20" s="5232">
        <f t="shared" si="0"/>
        <v>0.51242041874999866</v>
      </c>
      <c r="H20" s="5228">
        <v>0</v>
      </c>
      <c r="I20" s="5228">
        <v>0</v>
      </c>
      <c r="J20" s="5229">
        <v>2.7774708999999998E-2</v>
      </c>
      <c r="K20" s="5229">
        <f t="shared" si="2"/>
        <v>3.8434524320210341</v>
      </c>
      <c r="L20" s="5229">
        <v>0.14787814699999999</v>
      </c>
      <c r="M20" s="5229">
        <f t="shared" si="3"/>
        <v>3.3596802561231769</v>
      </c>
      <c r="N20" s="5230">
        <v>0</v>
      </c>
      <c r="O20" s="5231">
        <v>0</v>
      </c>
      <c r="P20" s="5232">
        <f t="shared" si="4"/>
        <v>0.175652856</v>
      </c>
      <c r="R20" s="5233"/>
      <c r="S20" s="5233"/>
    </row>
    <row r="21" spans="1:19" ht="16.5">
      <c r="A21" s="5248">
        <v>10</v>
      </c>
      <c r="B21" s="5223">
        <v>41275</v>
      </c>
      <c r="C21" s="5228">
        <v>0</v>
      </c>
      <c r="D21" s="5229">
        <v>0</v>
      </c>
      <c r="E21" s="5229">
        <v>0</v>
      </c>
      <c r="F21" s="5230">
        <v>0</v>
      </c>
      <c r="G21" s="5232">
        <f t="shared" si="0"/>
        <v>0</v>
      </c>
      <c r="H21" s="5228">
        <v>0</v>
      </c>
      <c r="I21" s="5228">
        <v>0</v>
      </c>
      <c r="J21" s="5229">
        <v>0</v>
      </c>
      <c r="K21" s="5229">
        <v>0</v>
      </c>
      <c r="L21" s="5229">
        <v>0</v>
      </c>
      <c r="M21" s="5229">
        <v>0</v>
      </c>
      <c r="N21" s="5230">
        <v>0</v>
      </c>
      <c r="O21" s="5231">
        <v>0</v>
      </c>
      <c r="P21" s="5232">
        <f t="shared" si="4"/>
        <v>0</v>
      </c>
      <c r="R21" s="5233"/>
      <c r="S21" s="5233"/>
    </row>
    <row r="22" spans="1:19" ht="16.5">
      <c r="A22" s="5248">
        <v>11</v>
      </c>
      <c r="B22" s="5223">
        <v>41306</v>
      </c>
      <c r="C22" s="5228">
        <v>0</v>
      </c>
      <c r="D22" s="5229">
        <v>0.81389999999999996</v>
      </c>
      <c r="E22" s="5229">
        <v>1.0151749999999999</v>
      </c>
      <c r="F22" s="5230">
        <v>0</v>
      </c>
      <c r="G22" s="5232">
        <f t="shared" si="0"/>
        <v>1.829075</v>
      </c>
      <c r="H22" s="5228">
        <v>0</v>
      </c>
      <c r="I22" s="5228">
        <v>0</v>
      </c>
      <c r="J22" s="5229">
        <v>0.23380801200000001</v>
      </c>
      <c r="K22" s="5229">
        <f t="shared" si="2"/>
        <v>2.8726872097309251</v>
      </c>
      <c r="L22" s="5229">
        <v>0.29580234299999997</v>
      </c>
      <c r="M22" s="5229">
        <f t="shared" si="3"/>
        <v>2.9138064176127267</v>
      </c>
      <c r="N22" s="5230">
        <v>0</v>
      </c>
      <c r="O22" s="5231">
        <v>0</v>
      </c>
      <c r="P22" s="5232">
        <f t="shared" si="4"/>
        <v>0.52961035499999998</v>
      </c>
      <c r="R22" s="5233"/>
      <c r="S22" s="5233"/>
    </row>
    <row r="23" spans="1:19" ht="16.5">
      <c r="A23" s="5248">
        <v>12</v>
      </c>
      <c r="B23" s="5223">
        <v>41334</v>
      </c>
      <c r="C23" s="5228">
        <v>0</v>
      </c>
      <c r="D23" s="5229">
        <v>1.3823400000000001</v>
      </c>
      <c r="E23" s="5229">
        <v>0.73777999999999999</v>
      </c>
      <c r="F23" s="5262">
        <f>730500/1000000</f>
        <v>0.73050000000000004</v>
      </c>
      <c r="G23" s="5232">
        <f t="shared" si="0"/>
        <v>2.8506200000000002</v>
      </c>
      <c r="H23" s="5228">
        <v>0</v>
      </c>
      <c r="I23" s="5228">
        <v>0</v>
      </c>
      <c r="J23" s="5229">
        <v>0.44542990356000001</v>
      </c>
      <c r="K23" s="5229">
        <f t="shared" si="2"/>
        <v>3.2222890429272102</v>
      </c>
      <c r="L23" s="5229">
        <v>0.21630148300000002</v>
      </c>
      <c r="M23" s="5229">
        <f t="shared" si="3"/>
        <v>2.9317883786494621</v>
      </c>
      <c r="N23" s="5262"/>
      <c r="O23" s="5231">
        <f t="shared" si="5"/>
        <v>0</v>
      </c>
      <c r="P23" s="5232">
        <f>H23+J23+L23</f>
        <v>0.66173138656000008</v>
      </c>
      <c r="R23" s="5233"/>
      <c r="S23" s="5233"/>
    </row>
    <row r="24" spans="1:19">
      <c r="A24" s="5253">
        <v>13</v>
      </c>
      <c r="B24" s="5263" t="s">
        <v>47</v>
      </c>
      <c r="C24" s="5264">
        <f>SUM(C12:C23)</f>
        <v>12.886859999999999</v>
      </c>
      <c r="D24" s="5265">
        <f>SUM(D12:D23)</f>
        <v>53.213214499999999</v>
      </c>
      <c r="E24" s="5265">
        <f>SUM(E12:E23)</f>
        <v>10.335488918749997</v>
      </c>
      <c r="F24" s="5266">
        <f t="shared" ref="F24:P24" si="6">SUM(F12:F23)</f>
        <v>7.8897770000000005</v>
      </c>
      <c r="G24" s="5266">
        <f t="shared" si="6"/>
        <v>84.325340418750002</v>
      </c>
      <c r="H24" s="5265">
        <f t="shared" si="6"/>
        <v>5.8811119999999999</v>
      </c>
      <c r="I24" s="5234">
        <f t="shared" si="1"/>
        <v>4.5636501056114529</v>
      </c>
      <c r="J24" s="5265">
        <f t="shared" si="6"/>
        <v>18.339373924560004</v>
      </c>
      <c r="K24" s="5235">
        <f t="shared" si="2"/>
        <v>3.4463946778783687</v>
      </c>
      <c r="L24" s="5265">
        <f t="shared" si="6"/>
        <v>3.5072936029999999</v>
      </c>
      <c r="M24" s="5229">
        <f t="shared" si="3"/>
        <v>3.3934472094854531</v>
      </c>
      <c r="N24" s="5266">
        <f>SUM(N12:N22)</f>
        <v>3.1995670999999999</v>
      </c>
      <c r="O24" s="5236">
        <f t="shared" si="5"/>
        <v>4.0553327426111023</v>
      </c>
      <c r="P24" s="5266">
        <f t="shared" si="6"/>
        <v>30.927346627559999</v>
      </c>
      <c r="R24" s="5233"/>
      <c r="S24" s="5233"/>
    </row>
    <row r="25" spans="1:19">
      <c r="A25" s="5253">
        <v>14</v>
      </c>
      <c r="B25" s="5267" t="s">
        <v>47</v>
      </c>
      <c r="C25" s="5573">
        <f>SUM(C24:E24)</f>
        <v>76.435563418750007</v>
      </c>
      <c r="D25" s="5573"/>
      <c r="E25" s="5573"/>
      <c r="F25" s="5264">
        <f>F24</f>
        <v>7.8897770000000005</v>
      </c>
      <c r="G25" s="5264">
        <f>C25+F25</f>
        <v>84.325340418750002</v>
      </c>
      <c r="H25" s="5574">
        <f>H24+J24+L24</f>
        <v>27.727779527560003</v>
      </c>
      <c r="I25" s="5575"/>
      <c r="J25" s="5575"/>
      <c r="K25" s="5575"/>
      <c r="L25" s="5575"/>
      <c r="M25" s="5576"/>
      <c r="N25" s="5264">
        <f>N24</f>
        <v>3.1995670999999999</v>
      </c>
      <c r="O25" s="5264"/>
      <c r="P25" s="5264">
        <f>H25+N25</f>
        <v>30.927346627560002</v>
      </c>
    </row>
    <row r="26" spans="1:19">
      <c r="A26" s="5253">
        <v>15</v>
      </c>
      <c r="B26" s="5564" t="s">
        <v>3822</v>
      </c>
      <c r="C26" s="5565"/>
      <c r="D26" s="5565"/>
      <c r="E26" s="5565"/>
      <c r="F26" s="5565"/>
      <c r="G26" s="5565"/>
      <c r="H26" s="5566">
        <v>5.9670015000000003</v>
      </c>
      <c r="I26" s="5566"/>
      <c r="J26" s="5566"/>
      <c r="K26" s="5566"/>
      <c r="L26" s="5566"/>
      <c r="M26" s="5566"/>
      <c r="N26" s="5268"/>
      <c r="O26" s="5269"/>
      <c r="P26" s="5270">
        <f>H26</f>
        <v>5.9670015000000003</v>
      </c>
    </row>
    <row r="27" spans="1:19">
      <c r="A27" s="5253">
        <v>16</v>
      </c>
      <c r="B27" s="5567" t="s">
        <v>47</v>
      </c>
      <c r="C27" s="5568"/>
      <c r="D27" s="5568"/>
      <c r="E27" s="5568"/>
      <c r="F27" s="5568"/>
      <c r="G27" s="5569"/>
      <c r="H27" s="5570">
        <f>H25+H26</f>
        <v>33.694781027560005</v>
      </c>
      <c r="I27" s="5571"/>
      <c r="J27" s="5571"/>
      <c r="K27" s="5571"/>
      <c r="L27" s="5571"/>
      <c r="M27" s="5572"/>
      <c r="N27" s="5270">
        <f>N25</f>
        <v>3.1995670999999999</v>
      </c>
      <c r="O27" s="5269"/>
      <c r="P27" s="5270">
        <f>P25+P26</f>
        <v>36.894348127560001</v>
      </c>
    </row>
    <row r="28" spans="1:19">
      <c r="B28" s="6"/>
      <c r="C28" s="5237"/>
      <c r="D28" s="5238"/>
      <c r="E28" s="5238"/>
      <c r="F28" s="5239"/>
      <c r="G28" s="5239"/>
      <c r="H28" s="5238"/>
      <c r="I28" s="5238"/>
      <c r="J28" s="5238"/>
      <c r="K28" s="5238"/>
      <c r="L28" s="5238"/>
      <c r="M28" s="5238"/>
      <c r="N28" s="5239"/>
      <c r="O28" s="5239"/>
      <c r="P28" s="5239"/>
    </row>
    <row r="29" spans="1:19">
      <c r="B29" s="5204" t="s">
        <v>1845</v>
      </c>
    </row>
    <row r="30" spans="1:19" hidden="1"/>
    <row r="31" spans="1:19" ht="15.75" customHeight="1">
      <c r="A31" s="5539" t="s">
        <v>3806</v>
      </c>
      <c r="B31" s="5563"/>
      <c r="C31" s="5563"/>
      <c r="D31" s="5563"/>
      <c r="E31" s="5563"/>
      <c r="F31" s="5563"/>
      <c r="G31" s="5540"/>
      <c r="H31" s="5539" t="s">
        <v>3807</v>
      </c>
      <c r="I31" s="5563"/>
      <c r="J31" s="5563"/>
      <c r="K31" s="5563"/>
      <c r="L31" s="5563"/>
      <c r="M31" s="5563"/>
      <c r="N31" s="5563"/>
      <c r="O31" s="5563"/>
      <c r="P31" s="5540"/>
    </row>
    <row r="32" spans="1:19">
      <c r="A32" s="5548" t="s">
        <v>84</v>
      </c>
      <c r="B32" s="5557" t="s">
        <v>2245</v>
      </c>
      <c r="C32" s="5560" t="s">
        <v>3808</v>
      </c>
      <c r="D32" s="5544" t="s">
        <v>3809</v>
      </c>
      <c r="E32" s="5544" t="s">
        <v>3810</v>
      </c>
      <c r="F32" s="5551" t="s">
        <v>3811</v>
      </c>
      <c r="G32" s="5548" t="s">
        <v>3812</v>
      </c>
      <c r="H32" s="5531" t="s">
        <v>3813</v>
      </c>
      <c r="I32" s="5531" t="s">
        <v>3814</v>
      </c>
      <c r="J32" s="5544" t="s">
        <v>3809</v>
      </c>
      <c r="K32" s="5544" t="s">
        <v>3815</v>
      </c>
      <c r="L32" s="5544" t="s">
        <v>3810</v>
      </c>
      <c r="M32" s="5544" t="s">
        <v>3816</v>
      </c>
      <c r="N32" s="5531" t="s">
        <v>3817</v>
      </c>
      <c r="O32" s="5531" t="s">
        <v>3818</v>
      </c>
      <c r="P32" s="5548" t="s">
        <v>3819</v>
      </c>
    </row>
    <row r="33" spans="1:16">
      <c r="A33" s="5549"/>
      <c r="B33" s="5558"/>
      <c r="C33" s="5561"/>
      <c r="D33" s="5545"/>
      <c r="E33" s="5545"/>
      <c r="F33" s="5552"/>
      <c r="G33" s="5549"/>
      <c r="H33" s="5547"/>
      <c r="I33" s="5547"/>
      <c r="J33" s="5545"/>
      <c r="K33" s="5545"/>
      <c r="L33" s="5545"/>
      <c r="M33" s="5545"/>
      <c r="N33" s="5547"/>
      <c r="O33" s="5547"/>
      <c r="P33" s="5549"/>
    </row>
    <row r="34" spans="1:16">
      <c r="A34" s="5549"/>
      <c r="B34" s="5558"/>
      <c r="C34" s="5562"/>
      <c r="D34" s="5546"/>
      <c r="E34" s="5546"/>
      <c r="F34" s="5553"/>
      <c r="G34" s="5550"/>
      <c r="H34" s="5532"/>
      <c r="I34" s="5532"/>
      <c r="J34" s="5546"/>
      <c r="K34" s="5546"/>
      <c r="L34" s="5546"/>
      <c r="M34" s="5546"/>
      <c r="N34" s="5532"/>
      <c r="O34" s="5532"/>
      <c r="P34" s="5550"/>
    </row>
    <row r="35" spans="1:16">
      <c r="A35" s="5550"/>
      <c r="B35" s="5559"/>
      <c r="C35" s="5224" t="s">
        <v>3820</v>
      </c>
      <c r="D35" s="5224" t="s">
        <v>3820</v>
      </c>
      <c r="E35" s="5224" t="s">
        <v>3820</v>
      </c>
      <c r="F35" s="5224" t="s">
        <v>3820</v>
      </c>
      <c r="G35" s="5224" t="s">
        <v>3820</v>
      </c>
      <c r="H35" s="5203" t="s">
        <v>3724</v>
      </c>
      <c r="I35" s="5203" t="s">
        <v>3821</v>
      </c>
      <c r="J35" s="5203" t="s">
        <v>3724</v>
      </c>
      <c r="K35" s="5203" t="s">
        <v>3821</v>
      </c>
      <c r="L35" s="5203" t="s">
        <v>3724</v>
      </c>
      <c r="M35" s="5203" t="s">
        <v>3821</v>
      </c>
      <c r="N35" s="5203" t="s">
        <v>3724</v>
      </c>
      <c r="O35" s="5203" t="s">
        <v>3821</v>
      </c>
      <c r="P35" s="5203" t="s">
        <v>3724</v>
      </c>
    </row>
    <row r="36" spans="1:16">
      <c r="A36" s="5248">
        <v>1</v>
      </c>
      <c r="B36" s="5249">
        <v>41365</v>
      </c>
      <c r="C36" s="5244">
        <f>3422000/10^6</f>
        <v>3.4220000000000002</v>
      </c>
      <c r="D36" s="5250">
        <f>659.76*1000/10^6</f>
        <v>0.65976000000000001</v>
      </c>
      <c r="E36" s="5250">
        <f>247.17*1000/10^6</f>
        <v>0.24717</v>
      </c>
      <c r="F36" s="5244">
        <f t="shared" ref="F36:F37" si="7">0/10^6</f>
        <v>0</v>
      </c>
      <c r="G36" s="5243">
        <f t="shared" ref="G36:G47" si="8">C36+D36+E36+F36</f>
        <v>4.3289299999999997</v>
      </c>
      <c r="H36" s="5250">
        <f>12815280/10^7</f>
        <v>1.281528</v>
      </c>
      <c r="I36" s="5240">
        <f t="shared" ref="I36:I48" si="9">H36/C36*10</f>
        <v>3.7449678550555228</v>
      </c>
      <c r="J36" s="5250">
        <f>1888297.72/10^7+5000/10^7</f>
        <v>0.18932977200000001</v>
      </c>
      <c r="K36" s="5241">
        <f>J36/D36*10</f>
        <v>2.8696764277919247</v>
      </c>
      <c r="L36" s="5251">
        <f>695059.81/10^7+5000/10^7</f>
        <v>7.0005981000000009E-2</v>
      </c>
      <c r="M36" s="5241">
        <f>L36/E36*10</f>
        <v>2.8323008860298584</v>
      </c>
      <c r="N36" s="5244">
        <f>0/10^7</f>
        <v>0</v>
      </c>
      <c r="O36" s="5242">
        <v>0</v>
      </c>
      <c r="P36" s="5243">
        <f>H36+J36+L36+N36</f>
        <v>1.540863753</v>
      </c>
    </row>
    <row r="37" spans="1:16">
      <c r="A37" s="5248">
        <v>2</v>
      </c>
      <c r="B37" s="5249">
        <v>41395</v>
      </c>
      <c r="C37" s="5244">
        <f>6663250/10^6</f>
        <v>6.6632499999999997</v>
      </c>
      <c r="D37" s="5250">
        <f>350.66*1000/10^6</f>
        <v>0.35066000000000003</v>
      </c>
      <c r="E37" s="5250">
        <f>44.07*1000/10^6</f>
        <v>4.4069999999999998E-2</v>
      </c>
      <c r="F37" s="5244">
        <f t="shared" si="7"/>
        <v>0</v>
      </c>
      <c r="G37" s="5243">
        <f t="shared" si="8"/>
        <v>7.0579799999999997</v>
      </c>
      <c r="H37" s="5250">
        <f>24950555/10^7</f>
        <v>2.4950554999999999</v>
      </c>
      <c r="I37" s="5240">
        <f t="shared" si="9"/>
        <v>3.7445023074325592</v>
      </c>
      <c r="J37" s="5250">
        <f>1060645.41/10^7+5000/10^7</f>
        <v>0.106564541</v>
      </c>
      <c r="K37" s="5241">
        <f t="shared" ref="K37:K48" si="10">J37/D37*10</f>
        <v>3.0389705412650425</v>
      </c>
      <c r="L37" s="5251">
        <f>138530.39/10^7+5000/10^7</f>
        <v>1.4353039000000001E-2</v>
      </c>
      <c r="M37" s="5241">
        <f t="shared" ref="M37:M48" si="11">L37/E37*10</f>
        <v>3.2568729294304521</v>
      </c>
      <c r="N37" s="5244">
        <f>0/10^7</f>
        <v>0</v>
      </c>
      <c r="O37" s="5242">
        <v>0</v>
      </c>
      <c r="P37" s="5243">
        <f t="shared" ref="P37:P46" si="12">H37+J37+L37+N37</f>
        <v>2.6159730799999998</v>
      </c>
    </row>
    <row r="38" spans="1:16">
      <c r="A38" s="5248">
        <v>3</v>
      </c>
      <c r="B38" s="5249">
        <v>41426</v>
      </c>
      <c r="C38" s="5244">
        <f>4157500/10^6</f>
        <v>4.1574999999999998</v>
      </c>
      <c r="D38" s="5250">
        <f>2462.19*1000/10^6</f>
        <v>2.4621900000000001</v>
      </c>
      <c r="E38" s="5250">
        <f>0/10^6</f>
        <v>0</v>
      </c>
      <c r="F38" s="5250">
        <f>850000/10^6</f>
        <v>0.85</v>
      </c>
      <c r="G38" s="5243">
        <f t="shared" si="8"/>
        <v>7.4696899999999999</v>
      </c>
      <c r="H38" s="5250">
        <f>15567050/10^7</f>
        <v>1.556705</v>
      </c>
      <c r="I38" s="5240">
        <f t="shared" si="9"/>
        <v>3.7443295249549009</v>
      </c>
      <c r="J38" s="5250">
        <f>6709696.43/10^7+5000/10^7</f>
        <v>0.67146964299999989</v>
      </c>
      <c r="K38" s="5241">
        <f t="shared" si="10"/>
        <v>2.7271235891624928</v>
      </c>
      <c r="L38" s="5251">
        <f>0/10^7+5000/10^7</f>
        <v>5.0000000000000001E-4</v>
      </c>
      <c r="M38" s="5241">
        <v>0</v>
      </c>
      <c r="N38" s="5250">
        <f>3718968/10^7</f>
        <v>0.37189680000000003</v>
      </c>
      <c r="O38" s="5242">
        <v>0</v>
      </c>
      <c r="P38" s="5243">
        <f t="shared" si="12"/>
        <v>2.6005714430000002</v>
      </c>
    </row>
    <row r="39" spans="1:16">
      <c r="A39" s="5248">
        <v>4</v>
      </c>
      <c r="B39" s="5249">
        <v>41456</v>
      </c>
      <c r="C39" s="5244">
        <f>0/10^6</f>
        <v>0</v>
      </c>
      <c r="D39" s="5250">
        <f>7100.27*1000/10^6</f>
        <v>7.1002700000000001</v>
      </c>
      <c r="E39" s="5250">
        <f>58.83*1000/10^6</f>
        <v>5.883E-2</v>
      </c>
      <c r="F39" s="5250">
        <f>76250/10^6</f>
        <v>7.6249999999999998E-2</v>
      </c>
      <c r="G39" s="5243">
        <f t="shared" si="8"/>
        <v>7.2353500000000004</v>
      </c>
      <c r="H39" s="5244">
        <f>0/10^7</f>
        <v>0</v>
      </c>
      <c r="I39" s="5240">
        <v>0</v>
      </c>
      <c r="J39" s="5244">
        <f>17308716.16/10^7+5000/10^7</f>
        <v>1.7313716159999999</v>
      </c>
      <c r="K39" s="5241">
        <f t="shared" si="10"/>
        <v>2.4384588417060193</v>
      </c>
      <c r="L39" s="5244">
        <f>133800.01/10^7+5000/10^7</f>
        <v>1.3880001000000001E-2</v>
      </c>
      <c r="M39" s="5241">
        <f t="shared" si="11"/>
        <v>2.3593406425293222</v>
      </c>
      <c r="N39" s="5250">
        <f>347208/10^7</f>
        <v>3.4720800000000003E-2</v>
      </c>
      <c r="O39" s="5242">
        <f t="shared" ref="O39:O48" si="13">N39/F39*10</f>
        <v>4.5535475409836064</v>
      </c>
      <c r="P39" s="5243">
        <f t="shared" si="12"/>
        <v>1.779972417</v>
      </c>
    </row>
    <row r="40" spans="1:16">
      <c r="A40" s="5248">
        <v>5</v>
      </c>
      <c r="B40" s="5249">
        <v>41487</v>
      </c>
      <c r="C40" s="5244">
        <f t="shared" ref="C40:C42" si="14">0/10^6</f>
        <v>0</v>
      </c>
      <c r="D40" s="5250">
        <f>33398.64*1000/10^6</f>
        <v>33.39864</v>
      </c>
      <c r="E40" s="5250">
        <f>1537.96*1000/10^6</f>
        <v>1.53796</v>
      </c>
      <c r="F40" s="5250">
        <f>229500/10^6</f>
        <v>0.22950000000000001</v>
      </c>
      <c r="G40" s="5243">
        <f t="shared" si="8"/>
        <v>35.1661</v>
      </c>
      <c r="H40" s="5244">
        <f t="shared" ref="H40:H42" si="15">0/10^7</f>
        <v>0</v>
      </c>
      <c r="I40" s="5240">
        <v>0</v>
      </c>
      <c r="J40" s="5244">
        <f>68104476.02/10^7+5000/10^7</f>
        <v>6.8109476019999997</v>
      </c>
      <c r="K40" s="5241">
        <f t="shared" si="10"/>
        <v>2.0392889057758041</v>
      </c>
      <c r="L40" s="5244">
        <f>3499875.67/10^7+5000/10^7</f>
        <v>0.350487567</v>
      </c>
      <c r="M40" s="5241">
        <f t="shared" si="11"/>
        <v>2.2789121108481365</v>
      </c>
      <c r="N40" s="5250">
        <f>1154033/10^7</f>
        <v>0.1154033</v>
      </c>
      <c r="O40" s="5242">
        <v>0</v>
      </c>
      <c r="P40" s="5243">
        <f t="shared" si="12"/>
        <v>7.2768384689999994</v>
      </c>
    </row>
    <row r="41" spans="1:16">
      <c r="A41" s="5248">
        <v>6</v>
      </c>
      <c r="B41" s="5249">
        <v>41518</v>
      </c>
      <c r="C41" s="5244">
        <f t="shared" si="14"/>
        <v>0</v>
      </c>
      <c r="D41" s="5250">
        <f>29683.05*1000/10^6</f>
        <v>29.683050000000001</v>
      </c>
      <c r="E41" s="5250">
        <f>3135.76*1000/10^6</f>
        <v>3.1357599999999999</v>
      </c>
      <c r="F41" s="5250">
        <f>1388750/10^6</f>
        <v>1.3887499999999999</v>
      </c>
      <c r="G41" s="5243">
        <f t="shared" si="8"/>
        <v>34.207560000000001</v>
      </c>
      <c r="H41" s="5244">
        <f t="shared" si="15"/>
        <v>0</v>
      </c>
      <c r="I41" s="5240">
        <v>0</v>
      </c>
      <c r="J41" s="5244">
        <f>92301825.85/10^7+5000/10^7</f>
        <v>9.2306825850000003</v>
      </c>
      <c r="K41" s="5241">
        <f t="shared" si="10"/>
        <v>3.1097486899088871</v>
      </c>
      <c r="L41" s="5244">
        <f>9225553.27/10^7+5000/10^7</f>
        <v>0.92305532699999993</v>
      </c>
      <c r="M41" s="5241">
        <f t="shared" si="11"/>
        <v>2.943641499987244</v>
      </c>
      <c r="N41" s="5250">
        <f>6055098/10^7</f>
        <v>0.60550979999999999</v>
      </c>
      <c r="O41" s="5242">
        <f t="shared" si="13"/>
        <v>4.3601065706570656</v>
      </c>
      <c r="P41" s="5243">
        <f t="shared" si="12"/>
        <v>10.759247712000001</v>
      </c>
    </row>
    <row r="42" spans="1:16">
      <c r="A42" s="5248">
        <v>7</v>
      </c>
      <c r="B42" s="5249">
        <v>41548</v>
      </c>
      <c r="C42" s="5244">
        <f t="shared" si="14"/>
        <v>0</v>
      </c>
      <c r="D42" s="5250">
        <f>31484.62*1000/10^6</f>
        <v>31.48462</v>
      </c>
      <c r="E42" s="5250">
        <f>4384.32*1000/10^6</f>
        <v>4.3843199999999998</v>
      </c>
      <c r="F42" s="5244">
        <f>452500/10^6</f>
        <v>0.45250000000000001</v>
      </c>
      <c r="G42" s="5243">
        <f t="shared" si="8"/>
        <v>36.321440000000003</v>
      </c>
      <c r="H42" s="5244">
        <f t="shared" si="15"/>
        <v>0</v>
      </c>
      <c r="I42" s="5240">
        <v>0</v>
      </c>
      <c r="J42" s="5244">
        <f>88404771.99/10^7+5000/10^7</f>
        <v>8.8409771989999992</v>
      </c>
      <c r="K42" s="5241">
        <f t="shared" si="10"/>
        <v>2.8080304602691726</v>
      </c>
      <c r="L42" s="5244">
        <f>12205103.23/10^7+5000/10^7</f>
        <v>1.221010323</v>
      </c>
      <c r="M42" s="5241">
        <f t="shared" si="11"/>
        <v>2.7849480033391725</v>
      </c>
      <c r="N42" s="5244">
        <f>1968091/10^7</f>
        <v>0.19680909999999999</v>
      </c>
      <c r="O42" s="5242">
        <f t="shared" si="13"/>
        <v>4.3493723756906073</v>
      </c>
      <c r="P42" s="5243">
        <f t="shared" si="12"/>
        <v>10.258796621999998</v>
      </c>
    </row>
    <row r="43" spans="1:16">
      <c r="A43" s="5248">
        <v>8</v>
      </c>
      <c r="B43" s="5249">
        <v>41579</v>
      </c>
      <c r="C43" s="5244">
        <f>34657601/10^6</f>
        <v>34.657601</v>
      </c>
      <c r="D43" s="5250">
        <f>1782.31*1000/10^6</f>
        <v>1.7823100000000001</v>
      </c>
      <c r="E43" s="5244">
        <f t="shared" ref="E43:F47" si="16">0/10^6</f>
        <v>0</v>
      </c>
      <c r="F43" s="5244">
        <f>247500/10^6</f>
        <v>0.2475</v>
      </c>
      <c r="G43" s="5243">
        <f t="shared" si="8"/>
        <v>36.687411000000004</v>
      </c>
      <c r="H43" s="5250">
        <f>113984475/10^7</f>
        <v>11.3984475</v>
      </c>
      <c r="I43" s="5240">
        <f t="shared" si="9"/>
        <v>3.2888737740387741</v>
      </c>
      <c r="J43" s="5250">
        <f>4220480.78/10^7+5000/10^7</f>
        <v>0.42254807800000005</v>
      </c>
      <c r="K43" s="5241">
        <f t="shared" si="10"/>
        <v>2.3707889087756899</v>
      </c>
      <c r="L43" s="5244">
        <f>0/10^7</f>
        <v>0</v>
      </c>
      <c r="M43" s="5241">
        <v>0</v>
      </c>
      <c r="N43" s="5244">
        <f>1015110/10^7</f>
        <v>0.101511</v>
      </c>
      <c r="O43" s="5242">
        <f t="shared" si="13"/>
        <v>4.1014545454545459</v>
      </c>
      <c r="P43" s="5243">
        <f t="shared" si="12"/>
        <v>11.922506578</v>
      </c>
    </row>
    <row r="44" spans="1:16">
      <c r="A44" s="5248">
        <v>9</v>
      </c>
      <c r="B44" s="5249">
        <v>41609</v>
      </c>
      <c r="C44" s="5244">
        <f>22938825/10^6</f>
        <v>22.938825000000001</v>
      </c>
      <c r="D44" s="5250">
        <f>0/10^6</f>
        <v>0</v>
      </c>
      <c r="E44" s="5244">
        <f t="shared" si="16"/>
        <v>0</v>
      </c>
      <c r="F44" s="5244">
        <f t="shared" si="16"/>
        <v>0</v>
      </c>
      <c r="G44" s="5243">
        <f t="shared" si="8"/>
        <v>22.938825000000001</v>
      </c>
      <c r="H44" s="5250">
        <f>77105452/10^7</f>
        <v>7.7105452000000003</v>
      </c>
      <c r="I44" s="5240">
        <f t="shared" si="9"/>
        <v>3.3613514205718911</v>
      </c>
      <c r="J44" s="5244">
        <f>0/10^7+5000/10^7</f>
        <v>5.0000000000000001E-4</v>
      </c>
      <c r="K44" s="5241">
        <v>0</v>
      </c>
      <c r="L44" s="5244">
        <f t="shared" ref="L44:L47" si="17">0/10^7</f>
        <v>0</v>
      </c>
      <c r="M44" s="5241">
        <v>0</v>
      </c>
      <c r="N44" s="5244">
        <f>0/10^7</f>
        <v>0</v>
      </c>
      <c r="O44" s="5242">
        <v>0</v>
      </c>
      <c r="P44" s="5243">
        <f t="shared" si="12"/>
        <v>7.7110452</v>
      </c>
    </row>
    <row r="45" spans="1:16">
      <c r="A45" s="5248">
        <v>10</v>
      </c>
      <c r="B45" s="5249">
        <v>41640</v>
      </c>
      <c r="C45" s="5244">
        <f>0/10^6</f>
        <v>0</v>
      </c>
      <c r="D45" s="5250">
        <f>6523.14*1000/10^6</f>
        <v>6.5231399999999997</v>
      </c>
      <c r="E45" s="5244">
        <f t="shared" si="16"/>
        <v>0</v>
      </c>
      <c r="F45" s="5244">
        <f>513750/10^6</f>
        <v>0.51375000000000004</v>
      </c>
      <c r="G45" s="5243">
        <f t="shared" si="8"/>
        <v>7.0368899999999996</v>
      </c>
      <c r="H45" s="5244">
        <f>0/10^7</f>
        <v>0</v>
      </c>
      <c r="I45" s="5240">
        <v>0</v>
      </c>
      <c r="J45" s="5244">
        <f>24555642.93/10^7+5000/10^7</f>
        <v>2.4560642930000003</v>
      </c>
      <c r="K45" s="5241">
        <f t="shared" si="10"/>
        <v>3.7651564936518307</v>
      </c>
      <c r="L45" s="5244">
        <f t="shared" si="17"/>
        <v>0</v>
      </c>
      <c r="M45" s="5241">
        <v>0</v>
      </c>
      <c r="N45" s="5244">
        <f>1987050/10^7</f>
        <v>0.19870499999999999</v>
      </c>
      <c r="O45" s="5242">
        <v>0</v>
      </c>
      <c r="P45" s="5243">
        <f t="shared" si="12"/>
        <v>2.6547692930000002</v>
      </c>
    </row>
    <row r="46" spans="1:16">
      <c r="A46" s="5248">
        <v>11</v>
      </c>
      <c r="B46" s="5249">
        <v>41671</v>
      </c>
      <c r="C46" s="5244">
        <f>20636070/10^6</f>
        <v>20.63607</v>
      </c>
      <c r="D46" s="5250">
        <f>2442.76*1000/10^6</f>
        <v>2.4427599999999998</v>
      </c>
      <c r="E46" s="5244">
        <f t="shared" si="16"/>
        <v>0</v>
      </c>
      <c r="F46" s="5244">
        <v>0.67849999999999999</v>
      </c>
      <c r="G46" s="5243">
        <f t="shared" si="8"/>
        <v>23.75733</v>
      </c>
      <c r="H46" s="5252">
        <f>73104688/10^7</f>
        <v>7.3104687999999998</v>
      </c>
      <c r="I46" s="5240">
        <f t="shared" si="9"/>
        <v>3.5425683281748901</v>
      </c>
      <c r="J46" s="5252">
        <f>9746963.56/10^7+5000/10^7</f>
        <v>0.97519635599999999</v>
      </c>
      <c r="K46" s="5241">
        <f t="shared" si="10"/>
        <v>3.9921906204457258</v>
      </c>
      <c r="L46" s="5244">
        <f t="shared" si="17"/>
        <v>0</v>
      </c>
      <c r="M46" s="5241">
        <v>0</v>
      </c>
      <c r="N46" s="5244">
        <v>0.28955330000000001</v>
      </c>
      <c r="O46" s="5242">
        <v>0</v>
      </c>
      <c r="P46" s="5243">
        <f t="shared" si="12"/>
        <v>8.575218456</v>
      </c>
    </row>
    <row r="47" spans="1:16">
      <c r="A47" s="5253">
        <v>12</v>
      </c>
      <c r="B47" s="5254">
        <v>41699</v>
      </c>
      <c r="C47" s="5255">
        <f>28638630/10^6</f>
        <v>28.638629999999999</v>
      </c>
      <c r="D47" s="5256">
        <f>8081.16*1000/10^6</f>
        <v>8.0811600000000006</v>
      </c>
      <c r="E47" s="5255">
        <f t="shared" si="16"/>
        <v>0</v>
      </c>
      <c r="F47" s="5255">
        <v>0.51449999999999996</v>
      </c>
      <c r="G47" s="5243">
        <f t="shared" si="8"/>
        <v>37.234290000000001</v>
      </c>
      <c r="H47" s="5257">
        <f>101771137/10^7</f>
        <v>10.1771137</v>
      </c>
      <c r="I47" s="5240">
        <f t="shared" si="9"/>
        <v>3.5536314760866707</v>
      </c>
      <c r="J47" s="5257">
        <f>26334923.78/10^7+5000/10^7</f>
        <v>2.6339923780000003</v>
      </c>
      <c r="K47" s="5241">
        <f t="shared" si="10"/>
        <v>3.2594236198763542</v>
      </c>
      <c r="L47" s="5255">
        <f t="shared" si="17"/>
        <v>0</v>
      </c>
      <c r="M47" s="5241">
        <v>0</v>
      </c>
      <c r="N47" s="5244">
        <v>0.22473029999999999</v>
      </c>
      <c r="O47" s="5242">
        <v>0</v>
      </c>
      <c r="P47" s="5243">
        <f>H47+J47+L47</f>
        <v>12.811106078</v>
      </c>
    </row>
    <row r="48" spans="1:16">
      <c r="A48" s="5253">
        <v>13</v>
      </c>
      <c r="B48" s="5258" t="s">
        <v>47</v>
      </c>
      <c r="C48" s="5259">
        <f>SUM(C36:C47)</f>
        <v>121.113876</v>
      </c>
      <c r="D48" s="5260">
        <f>SUM(D36:D47)</f>
        <v>123.96856000000001</v>
      </c>
      <c r="E48" s="5260">
        <f>SUM(E36:E47)</f>
        <v>9.4081100000000006</v>
      </c>
      <c r="F48" s="5260">
        <f t="shared" ref="F48:P48" si="18">SUM(F36:F47)</f>
        <v>4.9512499999999999</v>
      </c>
      <c r="G48" s="5260">
        <f t="shared" si="18"/>
        <v>259.44179600000001</v>
      </c>
      <c r="H48" s="5260">
        <f t="shared" si="18"/>
        <v>41.929863699999999</v>
      </c>
      <c r="I48" s="5245">
        <f t="shared" si="9"/>
        <v>3.4620198019259165</v>
      </c>
      <c r="J48" s="5260">
        <f t="shared" si="18"/>
        <v>34.069644062999998</v>
      </c>
      <c r="K48" s="5246">
        <f t="shared" si="10"/>
        <v>2.7482487546035861</v>
      </c>
      <c r="L48" s="5260">
        <f t="shared" si="18"/>
        <v>2.5932922380000001</v>
      </c>
      <c r="M48" s="5246">
        <f t="shared" si="11"/>
        <v>2.756443364288895</v>
      </c>
      <c r="N48" s="5260">
        <f>SUM(N36:N47)</f>
        <v>2.1388393999999997</v>
      </c>
      <c r="O48" s="5243">
        <f t="shared" si="13"/>
        <v>4.3197968189851039</v>
      </c>
      <c r="P48" s="5260">
        <f t="shared" si="18"/>
        <v>80.506909100999991</v>
      </c>
    </row>
    <row r="49" spans="1:16">
      <c r="A49" s="5253">
        <v>14</v>
      </c>
      <c r="B49" s="5260" t="s">
        <v>47</v>
      </c>
      <c r="C49" s="5577">
        <f>C48+D48+E48</f>
        <v>254.49054600000002</v>
      </c>
      <c r="D49" s="5578"/>
      <c r="E49" s="5579"/>
      <c r="F49" s="5260">
        <f>F48</f>
        <v>4.9512499999999999</v>
      </c>
      <c r="G49" s="5260">
        <f>C49+F49</f>
        <v>259.44179600000001</v>
      </c>
      <c r="H49" s="5580">
        <f>H48+J48+L48</f>
        <v>78.592800001000001</v>
      </c>
      <c r="I49" s="5581"/>
      <c r="J49" s="5581"/>
      <c r="K49" s="5581"/>
      <c r="L49" s="5581"/>
      <c r="M49" s="5582"/>
      <c r="N49" s="5260">
        <f>N48</f>
        <v>2.1388393999999997</v>
      </c>
      <c r="O49" s="5247"/>
      <c r="P49" s="5260">
        <f>H49+N49</f>
        <v>80.731639400999995</v>
      </c>
    </row>
    <row r="50" spans="1:16">
      <c r="A50" s="5253">
        <v>15</v>
      </c>
      <c r="B50" s="5584" t="s">
        <v>3825</v>
      </c>
      <c r="C50" s="5585"/>
      <c r="D50" s="5585"/>
      <c r="E50" s="5585"/>
      <c r="F50" s="5585"/>
      <c r="G50" s="5585"/>
      <c r="H50" s="5586"/>
      <c r="I50" s="5587"/>
      <c r="J50" s="5587"/>
      <c r="K50" s="5587"/>
      <c r="L50" s="5587"/>
      <c r="M50" s="5587"/>
      <c r="N50" s="5260">
        <v>0.30574200000000001</v>
      </c>
      <c r="O50" s="5247"/>
      <c r="P50" s="5260">
        <f>N50</f>
        <v>0.30574200000000001</v>
      </c>
    </row>
    <row r="51" spans="1:16">
      <c r="A51" s="5253">
        <v>16</v>
      </c>
      <c r="B51" s="5588" t="s">
        <v>3826</v>
      </c>
      <c r="C51" s="5589"/>
      <c r="D51" s="5589"/>
      <c r="E51" s="5589"/>
      <c r="F51" s="5589"/>
      <c r="G51" s="5590"/>
      <c r="I51" s="5310"/>
      <c r="J51" s="5310"/>
      <c r="K51" s="5310"/>
      <c r="L51" s="5310"/>
      <c r="M51" s="5311"/>
      <c r="N51" s="5309">
        <f>0.59025023-(N46+N47)</f>
        <v>7.5966630000000035E-2</v>
      </c>
      <c r="O51" s="5261"/>
      <c r="P51" s="5259">
        <f>N51</f>
        <v>7.5966630000000035E-2</v>
      </c>
    </row>
    <row r="52" spans="1:16">
      <c r="A52" s="5253">
        <v>17</v>
      </c>
      <c r="B52" s="5591" t="s">
        <v>47</v>
      </c>
      <c r="C52" s="5591"/>
      <c r="D52" s="5591"/>
      <c r="E52" s="5591"/>
      <c r="F52" s="5591"/>
      <c r="G52" s="5591"/>
      <c r="H52" s="5592">
        <f>H49+N51</f>
        <v>78.668766630999997</v>
      </c>
      <c r="I52" s="5592"/>
      <c r="J52" s="5592"/>
      <c r="K52" s="5592"/>
      <c r="L52" s="5592"/>
      <c r="M52" s="5592"/>
      <c r="N52" s="5259">
        <f>N49+N50+N51</f>
        <v>2.5205480299999996</v>
      </c>
      <c r="O52" s="5261"/>
      <c r="P52" s="5259">
        <f>P49+P50+P51</f>
        <v>81.113348030999987</v>
      </c>
    </row>
    <row r="53" spans="1:16" hidden="1"/>
    <row r="54" spans="1:16" hidden="1">
      <c r="B54" s="5204" t="s">
        <v>2442</v>
      </c>
    </row>
    <row r="55" spans="1:16" hidden="1"/>
    <row r="56" spans="1:16" hidden="1">
      <c r="A56" s="5593" t="s">
        <v>2245</v>
      </c>
      <c r="B56" s="5583" t="s">
        <v>3827</v>
      </c>
      <c r="C56" s="5583"/>
      <c r="D56" s="5583"/>
      <c r="E56" s="5583" t="s">
        <v>3828</v>
      </c>
      <c r="F56" s="5583"/>
      <c r="G56" s="5583"/>
      <c r="H56" s="5583" t="s">
        <v>3829</v>
      </c>
      <c r="I56" s="5583"/>
      <c r="J56" s="5583"/>
      <c r="K56" s="5583" t="s">
        <v>3725</v>
      </c>
      <c r="L56" s="5583"/>
      <c r="M56" s="5583"/>
      <c r="N56" s="5583" t="s">
        <v>47</v>
      </c>
      <c r="O56" s="5583"/>
      <c r="P56" s="5583"/>
    </row>
    <row r="57" spans="1:16" ht="30" hidden="1">
      <c r="A57" s="5594"/>
      <c r="B57" s="5273" t="s">
        <v>3820</v>
      </c>
      <c r="C57" s="5273" t="s">
        <v>3830</v>
      </c>
      <c r="D57" s="5272" t="s">
        <v>3831</v>
      </c>
      <c r="E57" s="5273" t="s">
        <v>3820</v>
      </c>
      <c r="F57" s="5273" t="s">
        <v>3830</v>
      </c>
      <c r="G57" s="5272" t="s">
        <v>3831</v>
      </c>
      <c r="H57" s="5273" t="s">
        <v>3820</v>
      </c>
      <c r="I57" s="5273" t="s">
        <v>3830</v>
      </c>
      <c r="J57" s="5272" t="s">
        <v>3831</v>
      </c>
      <c r="K57" s="5273" t="s">
        <v>3820</v>
      </c>
      <c r="L57" s="5273" t="s">
        <v>3830</v>
      </c>
      <c r="M57" s="5272" t="s">
        <v>3831</v>
      </c>
      <c r="N57" s="5273" t="s">
        <v>3820</v>
      </c>
      <c r="O57" s="5273" t="s">
        <v>3830</v>
      </c>
      <c r="P57" s="5272" t="s">
        <v>3831</v>
      </c>
    </row>
    <row r="58" spans="1:16" hidden="1">
      <c r="A58" s="5274">
        <v>41730</v>
      </c>
      <c r="B58" s="5271">
        <v>119.06995000000002</v>
      </c>
      <c r="C58" s="5271">
        <v>41.309933050000019</v>
      </c>
      <c r="D58" s="5271">
        <v>3.4693835892263341</v>
      </c>
      <c r="E58" s="5271">
        <v>7.2980000000000003E-2</v>
      </c>
      <c r="F58" s="5271">
        <v>2.5995148999999999E-2</v>
      </c>
      <c r="G58" s="5271">
        <v>3.5619551932036169</v>
      </c>
      <c r="H58" s="5271">
        <v>0</v>
      </c>
      <c r="I58" s="5271">
        <v>0</v>
      </c>
      <c r="J58" s="5271">
        <v>0</v>
      </c>
      <c r="K58" s="5277">
        <v>0.67174999999999996</v>
      </c>
      <c r="L58" s="5277">
        <v>0.65445450000000005</v>
      </c>
      <c r="M58" s="5271">
        <v>9.7425307033866773</v>
      </c>
      <c r="N58" s="5271">
        <v>119.81468000000002</v>
      </c>
      <c r="O58" s="5271">
        <v>41.990382699000023</v>
      </c>
      <c r="P58" s="5271">
        <v>3.5046108455992213</v>
      </c>
    </row>
    <row r="59" spans="1:16" hidden="1">
      <c r="A59" s="5274">
        <v>41760</v>
      </c>
      <c r="B59" s="5271">
        <v>117.35737500000006</v>
      </c>
      <c r="C59" s="5271">
        <v>39.394389845000013</v>
      </c>
      <c r="D59" s="5271">
        <v>3.356788599353044</v>
      </c>
      <c r="E59" s="5271">
        <v>2.1590674999999999</v>
      </c>
      <c r="F59" s="5271">
        <v>0.81572787200000008</v>
      </c>
      <c r="G59" s="5271">
        <v>3.7781490018260206</v>
      </c>
      <c r="H59" s="5271">
        <v>7.7760750000000003E-2</v>
      </c>
      <c r="I59" s="5271">
        <v>3.2101621000000004E-2</v>
      </c>
      <c r="J59" s="5271">
        <v>4.1282550644123166</v>
      </c>
      <c r="K59" s="5277">
        <v>2.59375</v>
      </c>
      <c r="L59" s="5277">
        <v>1.13608361</v>
      </c>
      <c r="M59" s="5271">
        <v>4.3800813879518072</v>
      </c>
      <c r="N59" s="5271">
        <v>122.18795325000006</v>
      </c>
      <c r="O59" s="5271">
        <v>41.37830294800002</v>
      </c>
      <c r="P59" s="5271">
        <v>3.3864470144072896</v>
      </c>
    </row>
    <row r="60" spans="1:16" hidden="1">
      <c r="A60" s="5274">
        <v>41791</v>
      </c>
      <c r="B60" s="5271">
        <v>118.22944</v>
      </c>
      <c r="C60" s="5271">
        <v>39.230243205000001</v>
      </c>
      <c r="D60" s="5271">
        <v>3.3181450580329228</v>
      </c>
      <c r="E60" s="5271">
        <v>6.3721200000000024</v>
      </c>
      <c r="F60" s="5271">
        <v>2.2715402849999999</v>
      </c>
      <c r="G60" s="5271">
        <v>3.5648109028078552</v>
      </c>
      <c r="H60" s="5271">
        <v>0</v>
      </c>
      <c r="I60" s="5271">
        <v>0</v>
      </c>
      <c r="J60" s="5271">
        <v>0</v>
      </c>
      <c r="K60" s="5277">
        <v>2.1305000000000001</v>
      </c>
      <c r="L60" s="5277">
        <v>1.25502</v>
      </c>
      <c r="M60" s="5271">
        <v>5.890729875616052</v>
      </c>
      <c r="N60" s="5271">
        <v>126.73206</v>
      </c>
      <c r="O60" s="5271">
        <v>42.756803490000003</v>
      </c>
      <c r="P60" s="5271">
        <v>3.3737953513893801</v>
      </c>
    </row>
    <row r="61" spans="1:16" hidden="1">
      <c r="A61" s="5274">
        <v>41821</v>
      </c>
      <c r="B61" s="5271">
        <v>52.244999999999997</v>
      </c>
      <c r="C61" s="5271">
        <v>15.660825000000001</v>
      </c>
      <c r="D61" s="5271">
        <v>2.9975739305196676</v>
      </c>
      <c r="E61" s="5271">
        <v>29.385197500000007</v>
      </c>
      <c r="F61" s="5271">
        <v>10.68874303222</v>
      </c>
      <c r="G61" s="5271">
        <v>3.6374582924685113</v>
      </c>
      <c r="H61" s="5271">
        <v>0</v>
      </c>
      <c r="I61" s="5271">
        <v>0</v>
      </c>
      <c r="J61" s="5271">
        <v>0</v>
      </c>
      <c r="K61" s="5278">
        <v>7.5010000000000003</v>
      </c>
      <c r="L61" s="5278">
        <v>4.0751622999999997</v>
      </c>
      <c r="M61" s="5271">
        <v>5.4328253566191167</v>
      </c>
      <c r="N61" s="5271">
        <v>89.131197500000013</v>
      </c>
      <c r="O61" s="5271">
        <v>30.424730332219998</v>
      </c>
      <c r="P61" s="5271">
        <v>3.4134771197503539</v>
      </c>
    </row>
    <row r="62" spans="1:16" hidden="1">
      <c r="A62" s="5274">
        <v>41852</v>
      </c>
      <c r="B62" s="5271">
        <v>42.183</v>
      </c>
      <c r="C62" s="5271">
        <v>12.608790000000001</v>
      </c>
      <c r="D62" s="5271">
        <v>2.9890690562548894</v>
      </c>
      <c r="E62" s="5271">
        <v>7.6934024999999977</v>
      </c>
      <c r="F62" s="5271">
        <v>2.7954132485000001</v>
      </c>
      <c r="G62" s="5271">
        <v>3.6335200823042872</v>
      </c>
      <c r="H62" s="5271">
        <v>1.7590000000000001E-2</v>
      </c>
      <c r="I62" s="5271">
        <v>6.8954089999999999E-3</v>
      </c>
      <c r="J62" s="5271">
        <v>3.9200733371233651</v>
      </c>
      <c r="K62" s="5278">
        <v>7.7967500000000003</v>
      </c>
      <c r="L62" s="5278">
        <v>4.2648636</v>
      </c>
      <c r="M62" s="5271">
        <v>5.4700530349183953</v>
      </c>
      <c r="N62" s="5271">
        <v>57.690742499999999</v>
      </c>
      <c r="O62" s="5271">
        <v>19.6759622575</v>
      </c>
      <c r="P62" s="5271">
        <v>3.4105926540120368</v>
      </c>
    </row>
    <row r="63" spans="1:16" hidden="1">
      <c r="A63" s="5274">
        <v>41883</v>
      </c>
      <c r="B63" s="5271">
        <v>45.203425000000003</v>
      </c>
      <c r="C63" s="5271">
        <v>14.533959695000002</v>
      </c>
      <c r="D63" s="5271">
        <v>3.2152341763926078</v>
      </c>
      <c r="E63" s="5271">
        <v>7.9470324999999979</v>
      </c>
      <c r="F63" s="5271">
        <v>2.9986582315000003</v>
      </c>
      <c r="G63" s="5271">
        <v>3.7733056099871254</v>
      </c>
      <c r="H63" s="5271">
        <v>0</v>
      </c>
      <c r="I63" s="5271">
        <v>0</v>
      </c>
      <c r="J63" s="5271">
        <v>0</v>
      </c>
      <c r="K63" s="5279"/>
      <c r="L63" s="5279"/>
      <c r="M63" s="5275" t="s">
        <v>560</v>
      </c>
      <c r="N63" s="5271">
        <v>53.150457500000002</v>
      </c>
      <c r="O63" s="5271">
        <v>17.532617926500002</v>
      </c>
      <c r="P63" s="5271">
        <v>3.2986767661407246</v>
      </c>
    </row>
    <row r="64" spans="1:16" hidden="1">
      <c r="A64" s="5274">
        <v>41913</v>
      </c>
      <c r="B64" s="5271">
        <v>87.012833000000001</v>
      </c>
      <c r="C64" s="5271">
        <v>27.901070340000004</v>
      </c>
      <c r="D64" s="5271">
        <v>3.2065465952591161</v>
      </c>
      <c r="E64" s="5271">
        <v>0.87602499999999983</v>
      </c>
      <c r="F64" s="5271">
        <v>0.31137260299999997</v>
      </c>
      <c r="G64" s="5271">
        <v>3.5543803316115414</v>
      </c>
      <c r="H64" s="5271">
        <v>0</v>
      </c>
      <c r="I64" s="5271">
        <v>0</v>
      </c>
      <c r="J64" s="5271">
        <v>0</v>
      </c>
      <c r="K64" s="5279"/>
      <c r="L64" s="5279"/>
      <c r="M64" s="5275" t="s">
        <v>560</v>
      </c>
      <c r="N64" s="5271">
        <v>87.888857999999999</v>
      </c>
      <c r="O64" s="5271">
        <v>28.212442943000003</v>
      </c>
      <c r="P64" s="5271">
        <v>3.210013599562302</v>
      </c>
    </row>
    <row r="65" spans="1:16" hidden="1">
      <c r="A65" s="5274">
        <v>41944</v>
      </c>
      <c r="B65" s="5271">
        <v>51.788890000000002</v>
      </c>
      <c r="C65" s="5271">
        <v>16.595655659999998</v>
      </c>
      <c r="D65" s="5271">
        <v>3.2044818222595617</v>
      </c>
      <c r="E65" s="5271">
        <v>1.4825425000000001</v>
      </c>
      <c r="F65" s="5271">
        <v>0.48791241299999999</v>
      </c>
      <c r="G65" s="5271">
        <v>3.2910517776050261</v>
      </c>
      <c r="H65" s="5271">
        <v>0</v>
      </c>
      <c r="I65" s="5271">
        <v>0</v>
      </c>
      <c r="J65" s="5271">
        <v>0</v>
      </c>
      <c r="K65" s="5279"/>
      <c r="L65" s="5279"/>
      <c r="M65" s="5275" t="s">
        <v>560</v>
      </c>
      <c r="N65" s="5271">
        <v>53.271432500000003</v>
      </c>
      <c r="O65" s="5271">
        <v>17.083568072999999</v>
      </c>
      <c r="P65" s="5271">
        <v>3.206891061733697</v>
      </c>
    </row>
    <row r="66" spans="1:16" hidden="1">
      <c r="A66" s="5274">
        <v>41974</v>
      </c>
      <c r="B66" s="5271">
        <v>25.658149999999999</v>
      </c>
      <c r="C66" s="5271">
        <v>8.2307906000000006</v>
      </c>
      <c r="D66" s="5271">
        <v>3.2078659607181348</v>
      </c>
      <c r="E66" s="5271">
        <v>1.2534775</v>
      </c>
      <c r="F66" s="5271">
        <v>0.42443624099999999</v>
      </c>
      <c r="G66" s="5271">
        <v>3.3860698815894179</v>
      </c>
      <c r="H66" s="5271">
        <v>0</v>
      </c>
      <c r="I66" s="5271">
        <v>0</v>
      </c>
      <c r="J66" s="5271">
        <v>0</v>
      </c>
      <c r="K66" s="5279"/>
      <c r="L66" s="5279"/>
      <c r="M66" s="5275" t="s">
        <v>560</v>
      </c>
      <c r="N66" s="5271">
        <v>26.911627499999998</v>
      </c>
      <c r="O66" s="5271">
        <v>8.6552268410000011</v>
      </c>
      <c r="P66" s="5271">
        <v>3.2161662615908315</v>
      </c>
    </row>
    <row r="67" spans="1:16" hidden="1">
      <c r="A67" s="5274">
        <v>42005</v>
      </c>
      <c r="B67" s="5271">
        <v>60.738537999999998</v>
      </c>
      <c r="C67" s="5271">
        <v>21.547599300000002</v>
      </c>
      <c r="D67" s="5271">
        <v>3.5475992688529976</v>
      </c>
      <c r="E67" s="5271">
        <v>0.43031999999999998</v>
      </c>
      <c r="F67" s="5271">
        <v>0.118650186</v>
      </c>
      <c r="G67" s="5271">
        <v>2.7572547406581149</v>
      </c>
      <c r="H67" s="5271">
        <v>0</v>
      </c>
      <c r="I67" s="5271">
        <v>0</v>
      </c>
      <c r="J67" s="5271">
        <v>0</v>
      </c>
      <c r="K67" s="5279"/>
      <c r="L67" s="5279"/>
      <c r="M67" s="5275"/>
      <c r="N67" s="5271">
        <v>61.168858</v>
      </c>
      <c r="O67" s="5271">
        <v>21.666249486000002</v>
      </c>
      <c r="P67" s="5271">
        <v>3.5420392327742984</v>
      </c>
    </row>
    <row r="68" spans="1:16" hidden="1">
      <c r="A68" s="5274">
        <v>42036</v>
      </c>
      <c r="B68" s="5271">
        <v>23.201370000000001</v>
      </c>
      <c r="C68" s="5271">
        <v>7.4757738799999993</v>
      </c>
      <c r="D68" s="5271">
        <v>3.22212605548724</v>
      </c>
      <c r="E68" s="5271">
        <v>7.3870275000000003</v>
      </c>
      <c r="F68" s="5271">
        <v>2.3949292010000005</v>
      </c>
      <c r="G68" s="5271">
        <v>3.2420742998452363</v>
      </c>
      <c r="H68" s="5271">
        <v>0</v>
      </c>
      <c r="I68" s="5271">
        <v>0</v>
      </c>
      <c r="J68" s="5271">
        <v>0</v>
      </c>
      <c r="K68" s="5279"/>
      <c r="L68" s="5279"/>
      <c r="M68" s="5275"/>
      <c r="N68" s="5271">
        <v>30.588397499999999</v>
      </c>
      <c r="O68" s="5271">
        <v>9.8707030810000003</v>
      </c>
      <c r="P68" s="5271">
        <v>3.2269435105255191</v>
      </c>
    </row>
    <row r="69" spans="1:16" hidden="1">
      <c r="A69" s="5274">
        <v>42064</v>
      </c>
      <c r="B69" s="5271">
        <v>30.991099999999999</v>
      </c>
      <c r="C69" s="5271">
        <v>10.011047</v>
      </c>
      <c r="D69" s="5271">
        <v>3.2302974079655127</v>
      </c>
      <c r="E69" s="5271">
        <v>0</v>
      </c>
      <c r="F69" s="5271">
        <v>0</v>
      </c>
      <c r="G69" s="5271" t="e">
        <v>#DIV/0!</v>
      </c>
      <c r="H69" s="5271">
        <v>0</v>
      </c>
      <c r="I69" s="5271">
        <v>0</v>
      </c>
      <c r="J69" s="5271">
        <v>0</v>
      </c>
      <c r="K69" s="5279"/>
      <c r="L69" s="5279"/>
      <c r="M69" s="5275"/>
      <c r="N69" s="5271">
        <v>30.991099999999999</v>
      </c>
      <c r="O69" s="5271">
        <v>10.011047</v>
      </c>
      <c r="P69" s="5271">
        <v>3.2302974079655127</v>
      </c>
    </row>
    <row r="70" spans="1:16" hidden="1">
      <c r="A70" s="5276" t="s">
        <v>47</v>
      </c>
      <c r="B70" s="5271">
        <v>773.67907099999991</v>
      </c>
      <c r="C70" s="5271">
        <v>254.50007757500003</v>
      </c>
      <c r="D70" s="5271">
        <v>3.2894786367434263</v>
      </c>
      <c r="E70" s="5271">
        <v>65.059192500000009</v>
      </c>
      <c r="F70" s="5271">
        <v>23.333378462220001</v>
      </c>
      <c r="G70" s="5271">
        <v>3.5864844867571937</v>
      </c>
      <c r="H70" s="5271">
        <v>9.5350750000000012E-2</v>
      </c>
      <c r="I70" s="5271">
        <v>3.8997030000000002E-2</v>
      </c>
      <c r="J70" s="5271">
        <v>4.0898503682456608</v>
      </c>
      <c r="K70" s="5271">
        <v>20.693750000000001</v>
      </c>
      <c r="L70" s="5271">
        <v>11.385584009999999</v>
      </c>
      <c r="M70" s="5271">
        <v>5.5019433452129256</v>
      </c>
      <c r="N70" s="5271">
        <v>859.52736425000012</v>
      </c>
      <c r="O70" s="5271">
        <v>289.25803707722008</v>
      </c>
      <c r="P70" s="5271">
        <v>3.3653150453170118</v>
      </c>
    </row>
    <row r="71" spans="1:16" hidden="1"/>
    <row r="72" spans="1:16" hidden="1"/>
  </sheetData>
  <mergeCells count="58">
    <mergeCell ref="A56:A57"/>
    <mergeCell ref="B56:D56"/>
    <mergeCell ref="E56:G56"/>
    <mergeCell ref="H56:J56"/>
    <mergeCell ref="K56:M56"/>
    <mergeCell ref="N56:P56"/>
    <mergeCell ref="B50:G50"/>
    <mergeCell ref="H50:M50"/>
    <mergeCell ref="B51:G51"/>
    <mergeCell ref="B52:G52"/>
    <mergeCell ref="H52:M52"/>
    <mergeCell ref="C49:E49"/>
    <mergeCell ref="H49:M49"/>
    <mergeCell ref="G32:G34"/>
    <mergeCell ref="H32:H34"/>
    <mergeCell ref="I32:I34"/>
    <mergeCell ref="J32:J34"/>
    <mergeCell ref="K32:K34"/>
    <mergeCell ref="L32:L34"/>
    <mergeCell ref="B26:G26"/>
    <mergeCell ref="H26:M26"/>
    <mergeCell ref="B27:G27"/>
    <mergeCell ref="H27:M27"/>
    <mergeCell ref="C25:E25"/>
    <mergeCell ref="H25:M25"/>
    <mergeCell ref="A31:G31"/>
    <mergeCell ref="H31:P31"/>
    <mergeCell ref="A32:A35"/>
    <mergeCell ref="B32:B35"/>
    <mergeCell ref="C32:C34"/>
    <mergeCell ref="D32:D34"/>
    <mergeCell ref="E32:E34"/>
    <mergeCell ref="F32:F34"/>
    <mergeCell ref="M32:M34"/>
    <mergeCell ref="N32:N34"/>
    <mergeCell ref="O32:O34"/>
    <mergeCell ref="P32:P34"/>
    <mergeCell ref="A2:P2"/>
    <mergeCell ref="A3:P3"/>
    <mergeCell ref="C8:C10"/>
    <mergeCell ref="D8:D10"/>
    <mergeCell ref="E8:E10"/>
    <mergeCell ref="A1:P1"/>
    <mergeCell ref="L8:L10"/>
    <mergeCell ref="M8:M10"/>
    <mergeCell ref="N8:N10"/>
    <mergeCell ref="O8:O10"/>
    <mergeCell ref="P8:P10"/>
    <mergeCell ref="F8:F10"/>
    <mergeCell ref="G8:G10"/>
    <mergeCell ref="H8:H10"/>
    <mergeCell ref="I8:I10"/>
    <mergeCell ref="J8:J10"/>
    <mergeCell ref="K8:K10"/>
    <mergeCell ref="A7:G7"/>
    <mergeCell ref="H7:P7"/>
    <mergeCell ref="A8:A11"/>
    <mergeCell ref="B8:B11"/>
  </mergeCells>
  <printOptions horizontalCentered="1"/>
  <pageMargins left="0.2" right="0.70866141732283505" top="0.9" bottom="0.17" header="0.31496062992126" footer="0.16"/>
  <pageSetup paperSize="9" scale="67" orientation="landscape" verticalDpi="300" r:id="rId1"/>
</worksheet>
</file>

<file path=xl/worksheets/sheet34.xml><?xml version="1.0" encoding="utf-8"?>
<worksheet xmlns="http://schemas.openxmlformats.org/spreadsheetml/2006/main" xmlns:r="http://schemas.openxmlformats.org/officeDocument/2006/relationships">
  <sheetPr codeName="Sheet32"/>
  <dimension ref="A2:K37"/>
  <sheetViews>
    <sheetView showGridLines="0" view="pageBreakPreview" zoomScale="70" zoomScaleNormal="75" zoomScaleSheetLayoutView="70" workbookViewId="0">
      <selection activeCell="T15" sqref="T15"/>
    </sheetView>
  </sheetViews>
  <sheetFormatPr defaultRowHeight="15.75"/>
  <cols>
    <col min="1" max="1" width="8.140625" style="441" customWidth="1"/>
    <col min="2" max="2" width="30" style="441" customWidth="1"/>
    <col min="3" max="3" width="30" style="441" hidden="1" customWidth="1"/>
    <col min="4" max="4" width="16.5703125" style="441" customWidth="1"/>
    <col min="5" max="5" width="21.85546875" style="441" customWidth="1"/>
    <col min="6" max="6" width="17" style="441" customWidth="1"/>
    <col min="7" max="7" width="18.5703125" style="441" customWidth="1"/>
    <col min="8" max="8" width="18.85546875" style="441" hidden="1" customWidth="1"/>
    <col min="9" max="9" width="14.7109375" style="441" hidden="1" customWidth="1"/>
    <col min="10" max="10" width="19.28515625" style="441" hidden="1" customWidth="1"/>
    <col min="11" max="11" width="17.7109375" style="441" hidden="1" customWidth="1"/>
    <col min="12" max="12" width="0" style="441" hidden="1" customWidth="1"/>
    <col min="13" max="253" width="9.140625" style="441"/>
    <col min="254" max="254" width="4.140625" style="441" customWidth="1"/>
    <col min="255" max="255" width="30" style="441" customWidth="1"/>
    <col min="256" max="259" width="16.5703125" style="441" customWidth="1"/>
    <col min="260" max="260" width="15.28515625" style="441" customWidth="1"/>
    <col min="261" max="261" width="21" style="441" customWidth="1"/>
    <col min="262" max="262" width="11.85546875" style="441" customWidth="1"/>
    <col min="263" max="264" width="11.5703125" style="441" customWidth="1"/>
    <col min="265" max="509" width="9.140625" style="441"/>
    <col min="510" max="510" width="4.140625" style="441" customWidth="1"/>
    <col min="511" max="511" width="30" style="441" customWidth="1"/>
    <col min="512" max="515" width="16.5703125" style="441" customWidth="1"/>
    <col min="516" max="516" width="15.28515625" style="441" customWidth="1"/>
    <col min="517" max="517" width="21" style="441" customWidth="1"/>
    <col min="518" max="518" width="11.85546875" style="441" customWidth="1"/>
    <col min="519" max="520" width="11.5703125" style="441" customWidth="1"/>
    <col min="521" max="765" width="9.140625" style="441"/>
    <col min="766" max="766" width="4.140625" style="441" customWidth="1"/>
    <col min="767" max="767" width="30" style="441" customWidth="1"/>
    <col min="768" max="771" width="16.5703125" style="441" customWidth="1"/>
    <col min="772" max="772" width="15.28515625" style="441" customWidth="1"/>
    <col min="773" max="773" width="21" style="441" customWidth="1"/>
    <col min="774" max="774" width="11.85546875" style="441" customWidth="1"/>
    <col min="775" max="776" width="11.5703125" style="441" customWidth="1"/>
    <col min="777" max="1021" width="9.140625" style="441"/>
    <col min="1022" max="1022" width="4.140625" style="441" customWidth="1"/>
    <col min="1023" max="1023" width="30" style="441" customWidth="1"/>
    <col min="1024" max="1027" width="16.5703125" style="441" customWidth="1"/>
    <col min="1028" max="1028" width="15.28515625" style="441" customWidth="1"/>
    <col min="1029" max="1029" width="21" style="441" customWidth="1"/>
    <col min="1030" max="1030" width="11.85546875" style="441" customWidth="1"/>
    <col min="1031" max="1032" width="11.5703125" style="441" customWidth="1"/>
    <col min="1033" max="1277" width="9.140625" style="441"/>
    <col min="1278" max="1278" width="4.140625" style="441" customWidth="1"/>
    <col min="1279" max="1279" width="30" style="441" customWidth="1"/>
    <col min="1280" max="1283" width="16.5703125" style="441" customWidth="1"/>
    <col min="1284" max="1284" width="15.28515625" style="441" customWidth="1"/>
    <col min="1285" max="1285" width="21" style="441" customWidth="1"/>
    <col min="1286" max="1286" width="11.85546875" style="441" customWidth="1"/>
    <col min="1287" max="1288" width="11.5703125" style="441" customWidth="1"/>
    <col min="1289" max="1533" width="9.140625" style="441"/>
    <col min="1534" max="1534" width="4.140625" style="441" customWidth="1"/>
    <col min="1535" max="1535" width="30" style="441" customWidth="1"/>
    <col min="1536" max="1539" width="16.5703125" style="441" customWidth="1"/>
    <col min="1540" max="1540" width="15.28515625" style="441" customWidth="1"/>
    <col min="1541" max="1541" width="21" style="441" customWidth="1"/>
    <col min="1542" max="1542" width="11.85546875" style="441" customWidth="1"/>
    <col min="1543" max="1544" width="11.5703125" style="441" customWidth="1"/>
    <col min="1545" max="1789" width="9.140625" style="441"/>
    <col min="1790" max="1790" width="4.140625" style="441" customWidth="1"/>
    <col min="1791" max="1791" width="30" style="441" customWidth="1"/>
    <col min="1792" max="1795" width="16.5703125" style="441" customWidth="1"/>
    <col min="1796" max="1796" width="15.28515625" style="441" customWidth="1"/>
    <col min="1797" max="1797" width="21" style="441" customWidth="1"/>
    <col min="1798" max="1798" width="11.85546875" style="441" customWidth="1"/>
    <col min="1799" max="1800" width="11.5703125" style="441" customWidth="1"/>
    <col min="1801" max="2045" width="9.140625" style="441"/>
    <col min="2046" max="2046" width="4.140625" style="441" customWidth="1"/>
    <col min="2047" max="2047" width="30" style="441" customWidth="1"/>
    <col min="2048" max="2051" width="16.5703125" style="441" customWidth="1"/>
    <col min="2052" max="2052" width="15.28515625" style="441" customWidth="1"/>
    <col min="2053" max="2053" width="21" style="441" customWidth="1"/>
    <col min="2054" max="2054" width="11.85546875" style="441" customWidth="1"/>
    <col min="2055" max="2056" width="11.5703125" style="441" customWidth="1"/>
    <col min="2057" max="2301" width="9.140625" style="441"/>
    <col min="2302" max="2302" width="4.140625" style="441" customWidth="1"/>
    <col min="2303" max="2303" width="30" style="441" customWidth="1"/>
    <col min="2304" max="2307" width="16.5703125" style="441" customWidth="1"/>
    <col min="2308" max="2308" width="15.28515625" style="441" customWidth="1"/>
    <col min="2309" max="2309" width="21" style="441" customWidth="1"/>
    <col min="2310" max="2310" width="11.85546875" style="441" customWidth="1"/>
    <col min="2311" max="2312" width="11.5703125" style="441" customWidth="1"/>
    <col min="2313" max="2557" width="9.140625" style="441"/>
    <col min="2558" max="2558" width="4.140625" style="441" customWidth="1"/>
    <col min="2559" max="2559" width="30" style="441" customWidth="1"/>
    <col min="2560" max="2563" width="16.5703125" style="441" customWidth="1"/>
    <col min="2564" max="2564" width="15.28515625" style="441" customWidth="1"/>
    <col min="2565" max="2565" width="21" style="441" customWidth="1"/>
    <col min="2566" max="2566" width="11.85546875" style="441" customWidth="1"/>
    <col min="2567" max="2568" width="11.5703125" style="441" customWidth="1"/>
    <col min="2569" max="2813" width="9.140625" style="441"/>
    <col min="2814" max="2814" width="4.140625" style="441" customWidth="1"/>
    <col min="2815" max="2815" width="30" style="441" customWidth="1"/>
    <col min="2816" max="2819" width="16.5703125" style="441" customWidth="1"/>
    <col min="2820" max="2820" width="15.28515625" style="441" customWidth="1"/>
    <col min="2821" max="2821" width="21" style="441" customWidth="1"/>
    <col min="2822" max="2822" width="11.85546875" style="441" customWidth="1"/>
    <col min="2823" max="2824" width="11.5703125" style="441" customWidth="1"/>
    <col min="2825" max="3069" width="9.140625" style="441"/>
    <col min="3070" max="3070" width="4.140625" style="441" customWidth="1"/>
    <col min="3071" max="3071" width="30" style="441" customWidth="1"/>
    <col min="3072" max="3075" width="16.5703125" style="441" customWidth="1"/>
    <col min="3076" max="3076" width="15.28515625" style="441" customWidth="1"/>
    <col min="3077" max="3077" width="21" style="441" customWidth="1"/>
    <col min="3078" max="3078" width="11.85546875" style="441" customWidth="1"/>
    <col min="3079" max="3080" width="11.5703125" style="441" customWidth="1"/>
    <col min="3081" max="3325" width="9.140625" style="441"/>
    <col min="3326" max="3326" width="4.140625" style="441" customWidth="1"/>
    <col min="3327" max="3327" width="30" style="441" customWidth="1"/>
    <col min="3328" max="3331" width="16.5703125" style="441" customWidth="1"/>
    <col min="3332" max="3332" width="15.28515625" style="441" customWidth="1"/>
    <col min="3333" max="3333" width="21" style="441" customWidth="1"/>
    <col min="3334" max="3334" width="11.85546875" style="441" customWidth="1"/>
    <col min="3335" max="3336" width="11.5703125" style="441" customWidth="1"/>
    <col min="3337" max="3581" width="9.140625" style="441"/>
    <col min="3582" max="3582" width="4.140625" style="441" customWidth="1"/>
    <col min="3583" max="3583" width="30" style="441" customWidth="1"/>
    <col min="3584" max="3587" width="16.5703125" style="441" customWidth="1"/>
    <col min="3588" max="3588" width="15.28515625" style="441" customWidth="1"/>
    <col min="3589" max="3589" width="21" style="441" customWidth="1"/>
    <col min="3590" max="3590" width="11.85546875" style="441" customWidth="1"/>
    <col min="3591" max="3592" width="11.5703125" style="441" customWidth="1"/>
    <col min="3593" max="3837" width="9.140625" style="441"/>
    <col min="3838" max="3838" width="4.140625" style="441" customWidth="1"/>
    <col min="3839" max="3839" width="30" style="441" customWidth="1"/>
    <col min="3840" max="3843" width="16.5703125" style="441" customWidth="1"/>
    <col min="3844" max="3844" width="15.28515625" style="441" customWidth="1"/>
    <col min="3845" max="3845" width="21" style="441" customWidth="1"/>
    <col min="3846" max="3846" width="11.85546875" style="441" customWidth="1"/>
    <col min="3847" max="3848" width="11.5703125" style="441" customWidth="1"/>
    <col min="3849" max="4093" width="9.140625" style="441"/>
    <col min="4094" max="4094" width="4.140625" style="441" customWidth="1"/>
    <col min="4095" max="4095" width="30" style="441" customWidth="1"/>
    <col min="4096" max="4099" width="16.5703125" style="441" customWidth="1"/>
    <col min="4100" max="4100" width="15.28515625" style="441" customWidth="1"/>
    <col min="4101" max="4101" width="21" style="441" customWidth="1"/>
    <col min="4102" max="4102" width="11.85546875" style="441" customWidth="1"/>
    <col min="4103" max="4104" width="11.5703125" style="441" customWidth="1"/>
    <col min="4105" max="4349" width="9.140625" style="441"/>
    <col min="4350" max="4350" width="4.140625" style="441" customWidth="1"/>
    <col min="4351" max="4351" width="30" style="441" customWidth="1"/>
    <col min="4352" max="4355" width="16.5703125" style="441" customWidth="1"/>
    <col min="4356" max="4356" width="15.28515625" style="441" customWidth="1"/>
    <col min="4357" max="4357" width="21" style="441" customWidth="1"/>
    <col min="4358" max="4358" width="11.85546875" style="441" customWidth="1"/>
    <col min="4359" max="4360" width="11.5703125" style="441" customWidth="1"/>
    <col min="4361" max="4605" width="9.140625" style="441"/>
    <col min="4606" max="4606" width="4.140625" style="441" customWidth="1"/>
    <col min="4607" max="4607" width="30" style="441" customWidth="1"/>
    <col min="4608" max="4611" width="16.5703125" style="441" customWidth="1"/>
    <col min="4612" max="4612" width="15.28515625" style="441" customWidth="1"/>
    <col min="4613" max="4613" width="21" style="441" customWidth="1"/>
    <col min="4614" max="4614" width="11.85546875" style="441" customWidth="1"/>
    <col min="4615" max="4616" width="11.5703125" style="441" customWidth="1"/>
    <col min="4617" max="4861" width="9.140625" style="441"/>
    <col min="4862" max="4862" width="4.140625" style="441" customWidth="1"/>
    <col min="4863" max="4863" width="30" style="441" customWidth="1"/>
    <col min="4864" max="4867" width="16.5703125" style="441" customWidth="1"/>
    <col min="4868" max="4868" width="15.28515625" style="441" customWidth="1"/>
    <col min="4869" max="4869" width="21" style="441" customWidth="1"/>
    <col min="4870" max="4870" width="11.85546875" style="441" customWidth="1"/>
    <col min="4871" max="4872" width="11.5703125" style="441" customWidth="1"/>
    <col min="4873" max="5117" width="9.140625" style="441"/>
    <col min="5118" max="5118" width="4.140625" style="441" customWidth="1"/>
    <col min="5119" max="5119" width="30" style="441" customWidth="1"/>
    <col min="5120" max="5123" width="16.5703125" style="441" customWidth="1"/>
    <col min="5124" max="5124" width="15.28515625" style="441" customWidth="1"/>
    <col min="5125" max="5125" width="21" style="441" customWidth="1"/>
    <col min="5126" max="5126" width="11.85546875" style="441" customWidth="1"/>
    <col min="5127" max="5128" width="11.5703125" style="441" customWidth="1"/>
    <col min="5129" max="5373" width="9.140625" style="441"/>
    <col min="5374" max="5374" width="4.140625" style="441" customWidth="1"/>
    <col min="5375" max="5375" width="30" style="441" customWidth="1"/>
    <col min="5376" max="5379" width="16.5703125" style="441" customWidth="1"/>
    <col min="5380" max="5380" width="15.28515625" style="441" customWidth="1"/>
    <col min="5381" max="5381" width="21" style="441" customWidth="1"/>
    <col min="5382" max="5382" width="11.85546875" style="441" customWidth="1"/>
    <col min="5383" max="5384" width="11.5703125" style="441" customWidth="1"/>
    <col min="5385" max="5629" width="9.140625" style="441"/>
    <col min="5630" max="5630" width="4.140625" style="441" customWidth="1"/>
    <col min="5631" max="5631" width="30" style="441" customWidth="1"/>
    <col min="5632" max="5635" width="16.5703125" style="441" customWidth="1"/>
    <col min="5636" max="5636" width="15.28515625" style="441" customWidth="1"/>
    <col min="5637" max="5637" width="21" style="441" customWidth="1"/>
    <col min="5638" max="5638" width="11.85546875" style="441" customWidth="1"/>
    <col min="5639" max="5640" width="11.5703125" style="441" customWidth="1"/>
    <col min="5641" max="5885" width="9.140625" style="441"/>
    <col min="5886" max="5886" width="4.140625" style="441" customWidth="1"/>
    <col min="5887" max="5887" width="30" style="441" customWidth="1"/>
    <col min="5888" max="5891" width="16.5703125" style="441" customWidth="1"/>
    <col min="5892" max="5892" width="15.28515625" style="441" customWidth="1"/>
    <col min="5893" max="5893" width="21" style="441" customWidth="1"/>
    <col min="5894" max="5894" width="11.85546875" style="441" customWidth="1"/>
    <col min="5895" max="5896" width="11.5703125" style="441" customWidth="1"/>
    <col min="5897" max="6141" width="9.140625" style="441"/>
    <col min="6142" max="6142" width="4.140625" style="441" customWidth="1"/>
    <col min="6143" max="6143" width="30" style="441" customWidth="1"/>
    <col min="6144" max="6147" width="16.5703125" style="441" customWidth="1"/>
    <col min="6148" max="6148" width="15.28515625" style="441" customWidth="1"/>
    <col min="6149" max="6149" width="21" style="441" customWidth="1"/>
    <col min="6150" max="6150" width="11.85546875" style="441" customWidth="1"/>
    <col min="6151" max="6152" width="11.5703125" style="441" customWidth="1"/>
    <col min="6153" max="6397" width="9.140625" style="441"/>
    <col min="6398" max="6398" width="4.140625" style="441" customWidth="1"/>
    <col min="6399" max="6399" width="30" style="441" customWidth="1"/>
    <col min="6400" max="6403" width="16.5703125" style="441" customWidth="1"/>
    <col min="6404" max="6404" width="15.28515625" style="441" customWidth="1"/>
    <col min="6405" max="6405" width="21" style="441" customWidth="1"/>
    <col min="6406" max="6406" width="11.85546875" style="441" customWidth="1"/>
    <col min="6407" max="6408" width="11.5703125" style="441" customWidth="1"/>
    <col min="6409" max="6653" width="9.140625" style="441"/>
    <col min="6654" max="6654" width="4.140625" style="441" customWidth="1"/>
    <col min="6655" max="6655" width="30" style="441" customWidth="1"/>
    <col min="6656" max="6659" width="16.5703125" style="441" customWidth="1"/>
    <col min="6660" max="6660" width="15.28515625" style="441" customWidth="1"/>
    <col min="6661" max="6661" width="21" style="441" customWidth="1"/>
    <col min="6662" max="6662" width="11.85546875" style="441" customWidth="1"/>
    <col min="6663" max="6664" width="11.5703125" style="441" customWidth="1"/>
    <col min="6665" max="6909" width="9.140625" style="441"/>
    <col min="6910" max="6910" width="4.140625" style="441" customWidth="1"/>
    <col min="6911" max="6911" width="30" style="441" customWidth="1"/>
    <col min="6912" max="6915" width="16.5703125" style="441" customWidth="1"/>
    <col min="6916" max="6916" width="15.28515625" style="441" customWidth="1"/>
    <col min="6917" max="6917" width="21" style="441" customWidth="1"/>
    <col min="6918" max="6918" width="11.85546875" style="441" customWidth="1"/>
    <col min="6919" max="6920" width="11.5703125" style="441" customWidth="1"/>
    <col min="6921" max="7165" width="9.140625" style="441"/>
    <col min="7166" max="7166" width="4.140625" style="441" customWidth="1"/>
    <col min="7167" max="7167" width="30" style="441" customWidth="1"/>
    <col min="7168" max="7171" width="16.5703125" style="441" customWidth="1"/>
    <col min="7172" max="7172" width="15.28515625" style="441" customWidth="1"/>
    <col min="7173" max="7173" width="21" style="441" customWidth="1"/>
    <col min="7174" max="7174" width="11.85546875" style="441" customWidth="1"/>
    <col min="7175" max="7176" width="11.5703125" style="441" customWidth="1"/>
    <col min="7177" max="7421" width="9.140625" style="441"/>
    <col min="7422" max="7422" width="4.140625" style="441" customWidth="1"/>
    <col min="7423" max="7423" width="30" style="441" customWidth="1"/>
    <col min="7424" max="7427" width="16.5703125" style="441" customWidth="1"/>
    <col min="7428" max="7428" width="15.28515625" style="441" customWidth="1"/>
    <col min="7429" max="7429" width="21" style="441" customWidth="1"/>
    <col min="7430" max="7430" width="11.85546875" style="441" customWidth="1"/>
    <col min="7431" max="7432" width="11.5703125" style="441" customWidth="1"/>
    <col min="7433" max="7677" width="9.140625" style="441"/>
    <col min="7678" max="7678" width="4.140625" style="441" customWidth="1"/>
    <col min="7679" max="7679" width="30" style="441" customWidth="1"/>
    <col min="7680" max="7683" width="16.5703125" style="441" customWidth="1"/>
    <col min="7684" max="7684" width="15.28515625" style="441" customWidth="1"/>
    <col min="7685" max="7685" width="21" style="441" customWidth="1"/>
    <col min="7686" max="7686" width="11.85546875" style="441" customWidth="1"/>
    <col min="7687" max="7688" width="11.5703125" style="441" customWidth="1"/>
    <col min="7689" max="7933" width="9.140625" style="441"/>
    <col min="7934" max="7934" width="4.140625" style="441" customWidth="1"/>
    <col min="7935" max="7935" width="30" style="441" customWidth="1"/>
    <col min="7936" max="7939" width="16.5703125" style="441" customWidth="1"/>
    <col min="7940" max="7940" width="15.28515625" style="441" customWidth="1"/>
    <col min="7941" max="7941" width="21" style="441" customWidth="1"/>
    <col min="7942" max="7942" width="11.85546875" style="441" customWidth="1"/>
    <col min="7943" max="7944" width="11.5703125" style="441" customWidth="1"/>
    <col min="7945" max="8189" width="9.140625" style="441"/>
    <col min="8190" max="8190" width="4.140625" style="441" customWidth="1"/>
    <col min="8191" max="8191" width="30" style="441" customWidth="1"/>
    <col min="8192" max="8195" width="16.5703125" style="441" customWidth="1"/>
    <col min="8196" max="8196" width="15.28515625" style="441" customWidth="1"/>
    <col min="8197" max="8197" width="21" style="441" customWidth="1"/>
    <col min="8198" max="8198" width="11.85546875" style="441" customWidth="1"/>
    <col min="8199" max="8200" width="11.5703125" style="441" customWidth="1"/>
    <col min="8201" max="8445" width="9.140625" style="441"/>
    <col min="8446" max="8446" width="4.140625" style="441" customWidth="1"/>
    <col min="8447" max="8447" width="30" style="441" customWidth="1"/>
    <col min="8448" max="8451" width="16.5703125" style="441" customWidth="1"/>
    <col min="8452" max="8452" width="15.28515625" style="441" customWidth="1"/>
    <col min="8453" max="8453" width="21" style="441" customWidth="1"/>
    <col min="8454" max="8454" width="11.85546875" style="441" customWidth="1"/>
    <col min="8455" max="8456" width="11.5703125" style="441" customWidth="1"/>
    <col min="8457" max="8701" width="9.140625" style="441"/>
    <col min="8702" max="8702" width="4.140625" style="441" customWidth="1"/>
    <col min="8703" max="8703" width="30" style="441" customWidth="1"/>
    <col min="8704" max="8707" width="16.5703125" style="441" customWidth="1"/>
    <col min="8708" max="8708" width="15.28515625" style="441" customWidth="1"/>
    <col min="8709" max="8709" width="21" style="441" customWidth="1"/>
    <col min="8710" max="8710" width="11.85546875" style="441" customWidth="1"/>
    <col min="8711" max="8712" width="11.5703125" style="441" customWidth="1"/>
    <col min="8713" max="8957" width="9.140625" style="441"/>
    <col min="8958" max="8958" width="4.140625" style="441" customWidth="1"/>
    <col min="8959" max="8959" width="30" style="441" customWidth="1"/>
    <col min="8960" max="8963" width="16.5703125" style="441" customWidth="1"/>
    <col min="8964" max="8964" width="15.28515625" style="441" customWidth="1"/>
    <col min="8965" max="8965" width="21" style="441" customWidth="1"/>
    <col min="8966" max="8966" width="11.85546875" style="441" customWidth="1"/>
    <col min="8967" max="8968" width="11.5703125" style="441" customWidth="1"/>
    <col min="8969" max="9213" width="9.140625" style="441"/>
    <col min="9214" max="9214" width="4.140625" style="441" customWidth="1"/>
    <col min="9215" max="9215" width="30" style="441" customWidth="1"/>
    <col min="9216" max="9219" width="16.5703125" style="441" customWidth="1"/>
    <col min="9220" max="9220" width="15.28515625" style="441" customWidth="1"/>
    <col min="9221" max="9221" width="21" style="441" customWidth="1"/>
    <col min="9222" max="9222" width="11.85546875" style="441" customWidth="1"/>
    <col min="9223" max="9224" width="11.5703125" style="441" customWidth="1"/>
    <col min="9225" max="9469" width="9.140625" style="441"/>
    <col min="9470" max="9470" width="4.140625" style="441" customWidth="1"/>
    <col min="9471" max="9471" width="30" style="441" customWidth="1"/>
    <col min="9472" max="9475" width="16.5703125" style="441" customWidth="1"/>
    <col min="9476" max="9476" width="15.28515625" style="441" customWidth="1"/>
    <col min="9477" max="9477" width="21" style="441" customWidth="1"/>
    <col min="9478" max="9478" width="11.85546875" style="441" customWidth="1"/>
    <col min="9479" max="9480" width="11.5703125" style="441" customWidth="1"/>
    <col min="9481" max="9725" width="9.140625" style="441"/>
    <col min="9726" max="9726" width="4.140625" style="441" customWidth="1"/>
    <col min="9727" max="9727" width="30" style="441" customWidth="1"/>
    <col min="9728" max="9731" width="16.5703125" style="441" customWidth="1"/>
    <col min="9732" max="9732" width="15.28515625" style="441" customWidth="1"/>
    <col min="9733" max="9733" width="21" style="441" customWidth="1"/>
    <col min="9734" max="9734" width="11.85546875" style="441" customWidth="1"/>
    <col min="9735" max="9736" width="11.5703125" style="441" customWidth="1"/>
    <col min="9737" max="9981" width="9.140625" style="441"/>
    <col min="9982" max="9982" width="4.140625" style="441" customWidth="1"/>
    <col min="9983" max="9983" width="30" style="441" customWidth="1"/>
    <col min="9984" max="9987" width="16.5703125" style="441" customWidth="1"/>
    <col min="9988" max="9988" width="15.28515625" style="441" customWidth="1"/>
    <col min="9989" max="9989" width="21" style="441" customWidth="1"/>
    <col min="9990" max="9990" width="11.85546875" style="441" customWidth="1"/>
    <col min="9991" max="9992" width="11.5703125" style="441" customWidth="1"/>
    <col min="9993" max="10237" width="9.140625" style="441"/>
    <col min="10238" max="10238" width="4.140625" style="441" customWidth="1"/>
    <col min="10239" max="10239" width="30" style="441" customWidth="1"/>
    <col min="10240" max="10243" width="16.5703125" style="441" customWidth="1"/>
    <col min="10244" max="10244" width="15.28515625" style="441" customWidth="1"/>
    <col min="10245" max="10245" width="21" style="441" customWidth="1"/>
    <col min="10246" max="10246" width="11.85546875" style="441" customWidth="1"/>
    <col min="10247" max="10248" width="11.5703125" style="441" customWidth="1"/>
    <col min="10249" max="10493" width="9.140625" style="441"/>
    <col min="10494" max="10494" width="4.140625" style="441" customWidth="1"/>
    <col min="10495" max="10495" width="30" style="441" customWidth="1"/>
    <col min="10496" max="10499" width="16.5703125" style="441" customWidth="1"/>
    <col min="10500" max="10500" width="15.28515625" style="441" customWidth="1"/>
    <col min="10501" max="10501" width="21" style="441" customWidth="1"/>
    <col min="10502" max="10502" width="11.85546875" style="441" customWidth="1"/>
    <col min="10503" max="10504" width="11.5703125" style="441" customWidth="1"/>
    <col min="10505" max="10749" width="9.140625" style="441"/>
    <col min="10750" max="10750" width="4.140625" style="441" customWidth="1"/>
    <col min="10751" max="10751" width="30" style="441" customWidth="1"/>
    <col min="10752" max="10755" width="16.5703125" style="441" customWidth="1"/>
    <col min="10756" max="10756" width="15.28515625" style="441" customWidth="1"/>
    <col min="10757" max="10757" width="21" style="441" customWidth="1"/>
    <col min="10758" max="10758" width="11.85546875" style="441" customWidth="1"/>
    <col min="10759" max="10760" width="11.5703125" style="441" customWidth="1"/>
    <col min="10761" max="11005" width="9.140625" style="441"/>
    <col min="11006" max="11006" width="4.140625" style="441" customWidth="1"/>
    <col min="11007" max="11007" width="30" style="441" customWidth="1"/>
    <col min="11008" max="11011" width="16.5703125" style="441" customWidth="1"/>
    <col min="11012" max="11012" width="15.28515625" style="441" customWidth="1"/>
    <col min="11013" max="11013" width="21" style="441" customWidth="1"/>
    <col min="11014" max="11014" width="11.85546875" style="441" customWidth="1"/>
    <col min="11015" max="11016" width="11.5703125" style="441" customWidth="1"/>
    <col min="11017" max="11261" width="9.140625" style="441"/>
    <col min="11262" max="11262" width="4.140625" style="441" customWidth="1"/>
    <col min="11263" max="11263" width="30" style="441" customWidth="1"/>
    <col min="11264" max="11267" width="16.5703125" style="441" customWidth="1"/>
    <col min="11268" max="11268" width="15.28515625" style="441" customWidth="1"/>
    <col min="11269" max="11269" width="21" style="441" customWidth="1"/>
    <col min="11270" max="11270" width="11.85546875" style="441" customWidth="1"/>
    <col min="11271" max="11272" width="11.5703125" style="441" customWidth="1"/>
    <col min="11273" max="11517" width="9.140625" style="441"/>
    <col min="11518" max="11518" width="4.140625" style="441" customWidth="1"/>
    <col min="11519" max="11519" width="30" style="441" customWidth="1"/>
    <col min="11520" max="11523" width="16.5703125" style="441" customWidth="1"/>
    <col min="11524" max="11524" width="15.28515625" style="441" customWidth="1"/>
    <col min="11525" max="11525" width="21" style="441" customWidth="1"/>
    <col min="11526" max="11526" width="11.85546875" style="441" customWidth="1"/>
    <col min="11527" max="11528" width="11.5703125" style="441" customWidth="1"/>
    <col min="11529" max="11773" width="9.140625" style="441"/>
    <col min="11774" max="11774" width="4.140625" style="441" customWidth="1"/>
    <col min="11775" max="11775" width="30" style="441" customWidth="1"/>
    <col min="11776" max="11779" width="16.5703125" style="441" customWidth="1"/>
    <col min="11780" max="11780" width="15.28515625" style="441" customWidth="1"/>
    <col min="11781" max="11781" width="21" style="441" customWidth="1"/>
    <col min="11782" max="11782" width="11.85546875" style="441" customWidth="1"/>
    <col min="11783" max="11784" width="11.5703125" style="441" customWidth="1"/>
    <col min="11785" max="12029" width="9.140625" style="441"/>
    <col min="12030" max="12030" width="4.140625" style="441" customWidth="1"/>
    <col min="12031" max="12031" width="30" style="441" customWidth="1"/>
    <col min="12032" max="12035" width="16.5703125" style="441" customWidth="1"/>
    <col min="12036" max="12036" width="15.28515625" style="441" customWidth="1"/>
    <col min="12037" max="12037" width="21" style="441" customWidth="1"/>
    <col min="12038" max="12038" width="11.85546875" style="441" customWidth="1"/>
    <col min="12039" max="12040" width="11.5703125" style="441" customWidth="1"/>
    <col min="12041" max="12285" width="9.140625" style="441"/>
    <col min="12286" max="12286" width="4.140625" style="441" customWidth="1"/>
    <col min="12287" max="12287" width="30" style="441" customWidth="1"/>
    <col min="12288" max="12291" width="16.5703125" style="441" customWidth="1"/>
    <col min="12292" max="12292" width="15.28515625" style="441" customWidth="1"/>
    <col min="12293" max="12293" width="21" style="441" customWidth="1"/>
    <col min="12294" max="12294" width="11.85546875" style="441" customWidth="1"/>
    <col min="12295" max="12296" width="11.5703125" style="441" customWidth="1"/>
    <col min="12297" max="12541" width="9.140625" style="441"/>
    <col min="12542" max="12542" width="4.140625" style="441" customWidth="1"/>
    <col min="12543" max="12543" width="30" style="441" customWidth="1"/>
    <col min="12544" max="12547" width="16.5703125" style="441" customWidth="1"/>
    <col min="12548" max="12548" width="15.28515625" style="441" customWidth="1"/>
    <col min="12549" max="12549" width="21" style="441" customWidth="1"/>
    <col min="12550" max="12550" width="11.85546875" style="441" customWidth="1"/>
    <col min="12551" max="12552" width="11.5703125" style="441" customWidth="1"/>
    <col min="12553" max="12797" width="9.140625" style="441"/>
    <col min="12798" max="12798" width="4.140625" style="441" customWidth="1"/>
    <col min="12799" max="12799" width="30" style="441" customWidth="1"/>
    <col min="12800" max="12803" width="16.5703125" style="441" customWidth="1"/>
    <col min="12804" max="12804" width="15.28515625" style="441" customWidth="1"/>
    <col min="12805" max="12805" width="21" style="441" customWidth="1"/>
    <col min="12806" max="12806" width="11.85546875" style="441" customWidth="1"/>
    <col min="12807" max="12808" width="11.5703125" style="441" customWidth="1"/>
    <col min="12809" max="13053" width="9.140625" style="441"/>
    <col min="13054" max="13054" width="4.140625" style="441" customWidth="1"/>
    <col min="13055" max="13055" width="30" style="441" customWidth="1"/>
    <col min="13056" max="13059" width="16.5703125" style="441" customWidth="1"/>
    <col min="13060" max="13060" width="15.28515625" style="441" customWidth="1"/>
    <col min="13061" max="13061" width="21" style="441" customWidth="1"/>
    <col min="13062" max="13062" width="11.85546875" style="441" customWidth="1"/>
    <col min="13063" max="13064" width="11.5703125" style="441" customWidth="1"/>
    <col min="13065" max="13309" width="9.140625" style="441"/>
    <col min="13310" max="13310" width="4.140625" style="441" customWidth="1"/>
    <col min="13311" max="13311" width="30" style="441" customWidth="1"/>
    <col min="13312" max="13315" width="16.5703125" style="441" customWidth="1"/>
    <col min="13316" max="13316" width="15.28515625" style="441" customWidth="1"/>
    <col min="13317" max="13317" width="21" style="441" customWidth="1"/>
    <col min="13318" max="13318" width="11.85546875" style="441" customWidth="1"/>
    <col min="13319" max="13320" width="11.5703125" style="441" customWidth="1"/>
    <col min="13321" max="13565" width="9.140625" style="441"/>
    <col min="13566" max="13566" width="4.140625" style="441" customWidth="1"/>
    <col min="13567" max="13567" width="30" style="441" customWidth="1"/>
    <col min="13568" max="13571" width="16.5703125" style="441" customWidth="1"/>
    <col min="13572" max="13572" width="15.28515625" style="441" customWidth="1"/>
    <col min="13573" max="13573" width="21" style="441" customWidth="1"/>
    <col min="13574" max="13574" width="11.85546875" style="441" customWidth="1"/>
    <col min="13575" max="13576" width="11.5703125" style="441" customWidth="1"/>
    <col min="13577" max="13821" width="9.140625" style="441"/>
    <col min="13822" max="13822" width="4.140625" style="441" customWidth="1"/>
    <col min="13823" max="13823" width="30" style="441" customWidth="1"/>
    <col min="13824" max="13827" width="16.5703125" style="441" customWidth="1"/>
    <col min="13828" max="13828" width="15.28515625" style="441" customWidth="1"/>
    <col min="13829" max="13829" width="21" style="441" customWidth="1"/>
    <col min="13830" max="13830" width="11.85546875" style="441" customWidth="1"/>
    <col min="13831" max="13832" width="11.5703125" style="441" customWidth="1"/>
    <col min="13833" max="14077" width="9.140625" style="441"/>
    <col min="14078" max="14078" width="4.140625" style="441" customWidth="1"/>
    <col min="14079" max="14079" width="30" style="441" customWidth="1"/>
    <col min="14080" max="14083" width="16.5703125" style="441" customWidth="1"/>
    <col min="14084" max="14084" width="15.28515625" style="441" customWidth="1"/>
    <col min="14085" max="14085" width="21" style="441" customWidth="1"/>
    <col min="14086" max="14086" width="11.85546875" style="441" customWidth="1"/>
    <col min="14087" max="14088" width="11.5703125" style="441" customWidth="1"/>
    <col min="14089" max="14333" width="9.140625" style="441"/>
    <col min="14334" max="14334" width="4.140625" style="441" customWidth="1"/>
    <col min="14335" max="14335" width="30" style="441" customWidth="1"/>
    <col min="14336" max="14339" width="16.5703125" style="441" customWidth="1"/>
    <col min="14340" max="14340" width="15.28515625" style="441" customWidth="1"/>
    <col min="14341" max="14341" width="21" style="441" customWidth="1"/>
    <col min="14342" max="14342" width="11.85546875" style="441" customWidth="1"/>
    <col min="14343" max="14344" width="11.5703125" style="441" customWidth="1"/>
    <col min="14345" max="14589" width="9.140625" style="441"/>
    <col min="14590" max="14590" width="4.140625" style="441" customWidth="1"/>
    <col min="14591" max="14591" width="30" style="441" customWidth="1"/>
    <col min="14592" max="14595" width="16.5703125" style="441" customWidth="1"/>
    <col min="14596" max="14596" width="15.28515625" style="441" customWidth="1"/>
    <col min="14597" max="14597" width="21" style="441" customWidth="1"/>
    <col min="14598" max="14598" width="11.85546875" style="441" customWidth="1"/>
    <col min="14599" max="14600" width="11.5703125" style="441" customWidth="1"/>
    <col min="14601" max="14845" width="9.140625" style="441"/>
    <col min="14846" max="14846" width="4.140625" style="441" customWidth="1"/>
    <col min="14847" max="14847" width="30" style="441" customWidth="1"/>
    <col min="14848" max="14851" width="16.5703125" style="441" customWidth="1"/>
    <col min="14852" max="14852" width="15.28515625" style="441" customWidth="1"/>
    <col min="14853" max="14853" width="21" style="441" customWidth="1"/>
    <col min="14854" max="14854" width="11.85546875" style="441" customWidth="1"/>
    <col min="14855" max="14856" width="11.5703125" style="441" customWidth="1"/>
    <col min="14857" max="15101" width="9.140625" style="441"/>
    <col min="15102" max="15102" width="4.140625" style="441" customWidth="1"/>
    <col min="15103" max="15103" width="30" style="441" customWidth="1"/>
    <col min="15104" max="15107" width="16.5703125" style="441" customWidth="1"/>
    <col min="15108" max="15108" width="15.28515625" style="441" customWidth="1"/>
    <col min="15109" max="15109" width="21" style="441" customWidth="1"/>
    <col min="15110" max="15110" width="11.85546875" style="441" customWidth="1"/>
    <col min="15111" max="15112" width="11.5703125" style="441" customWidth="1"/>
    <col min="15113" max="15357" width="9.140625" style="441"/>
    <col min="15358" max="15358" width="4.140625" style="441" customWidth="1"/>
    <col min="15359" max="15359" width="30" style="441" customWidth="1"/>
    <col min="15360" max="15363" width="16.5703125" style="441" customWidth="1"/>
    <col min="15364" max="15364" width="15.28515625" style="441" customWidth="1"/>
    <col min="15365" max="15365" width="21" style="441" customWidth="1"/>
    <col min="15366" max="15366" width="11.85546875" style="441" customWidth="1"/>
    <col min="15367" max="15368" width="11.5703125" style="441" customWidth="1"/>
    <col min="15369" max="15613" width="9.140625" style="441"/>
    <col min="15614" max="15614" width="4.140625" style="441" customWidth="1"/>
    <col min="15615" max="15615" width="30" style="441" customWidth="1"/>
    <col min="15616" max="15619" width="16.5703125" style="441" customWidth="1"/>
    <col min="15620" max="15620" width="15.28515625" style="441" customWidth="1"/>
    <col min="15621" max="15621" width="21" style="441" customWidth="1"/>
    <col min="15622" max="15622" width="11.85546875" style="441" customWidth="1"/>
    <col min="15623" max="15624" width="11.5703125" style="441" customWidth="1"/>
    <col min="15625" max="15869" width="9.140625" style="441"/>
    <col min="15870" max="15870" width="4.140625" style="441" customWidth="1"/>
    <col min="15871" max="15871" width="30" style="441" customWidth="1"/>
    <col min="15872" max="15875" width="16.5703125" style="441" customWidth="1"/>
    <col min="15876" max="15876" width="15.28515625" style="441" customWidth="1"/>
    <col min="15877" max="15877" width="21" style="441" customWidth="1"/>
    <col min="15878" max="15878" width="11.85546875" style="441" customWidth="1"/>
    <col min="15879" max="15880" width="11.5703125" style="441" customWidth="1"/>
    <col min="15881" max="16125" width="9.140625" style="441"/>
    <col min="16126" max="16126" width="4.140625" style="441" customWidth="1"/>
    <col min="16127" max="16127" width="30" style="441" customWidth="1"/>
    <col min="16128" max="16131" width="16.5703125" style="441" customWidth="1"/>
    <col min="16132" max="16132" width="15.28515625" style="441" customWidth="1"/>
    <col min="16133" max="16133" width="21" style="441" customWidth="1"/>
    <col min="16134" max="16134" width="11.85546875" style="441" customWidth="1"/>
    <col min="16135" max="16136" width="11.5703125" style="441" customWidth="1"/>
    <col min="16137" max="16384" width="9.140625" style="441"/>
  </cols>
  <sheetData>
    <row r="2" spans="1:11">
      <c r="B2" s="447"/>
      <c r="C2" s="447"/>
    </row>
    <row r="3" spans="1:11">
      <c r="B3" s="5600" t="s">
        <v>170</v>
      </c>
      <c r="C3" s="5600"/>
      <c r="D3" s="5600"/>
      <c r="E3" s="5600"/>
      <c r="F3" s="5600"/>
      <c r="G3" s="5600"/>
      <c r="H3" s="5600"/>
      <c r="I3" s="5600"/>
      <c r="J3" s="5600"/>
    </row>
    <row r="4" spans="1:11">
      <c r="B4" s="5600" t="s">
        <v>3915</v>
      </c>
      <c r="C4" s="5600"/>
      <c r="D4" s="5600"/>
      <c r="E4" s="5600"/>
      <c r="F4" s="5600"/>
      <c r="G4" s="5600"/>
      <c r="H4" s="5600"/>
      <c r="I4" s="5600"/>
      <c r="J4" s="5600"/>
    </row>
    <row r="5" spans="1:11">
      <c r="B5" s="5600" t="s">
        <v>3905</v>
      </c>
      <c r="C5" s="5600"/>
      <c r="D5" s="5600"/>
      <c r="E5" s="5600"/>
      <c r="F5" s="5600"/>
      <c r="G5" s="5600"/>
      <c r="H5" s="5600"/>
      <c r="I5" s="5600"/>
      <c r="J5" s="5600"/>
    </row>
    <row r="6" spans="1:11">
      <c r="B6" s="442"/>
      <c r="C6" s="442"/>
      <c r="D6" s="443"/>
      <c r="E6" s="442"/>
      <c r="G6" s="449"/>
    </row>
    <row r="7" spans="1:11">
      <c r="B7" s="447"/>
      <c r="C7" s="447"/>
      <c r="D7" s="448"/>
      <c r="G7" s="449"/>
    </row>
    <row r="8" spans="1:11">
      <c r="B8" s="449"/>
      <c r="C8" s="449"/>
      <c r="D8" s="448"/>
      <c r="G8" s="5359" t="s">
        <v>151</v>
      </c>
    </row>
    <row r="9" spans="1:11">
      <c r="A9" s="5601" t="s">
        <v>1869</v>
      </c>
      <c r="B9" s="5604" t="s">
        <v>81</v>
      </c>
      <c r="C9" s="5604" t="s">
        <v>1897</v>
      </c>
      <c r="D9" s="5607" t="s">
        <v>82</v>
      </c>
      <c r="E9" s="5608"/>
      <c r="F9" s="5607" t="s">
        <v>1845</v>
      </c>
      <c r="G9" s="5611"/>
      <c r="H9" s="5597" t="s">
        <v>2613</v>
      </c>
      <c r="I9" s="5598"/>
      <c r="J9" s="5598"/>
      <c r="K9" s="5599"/>
    </row>
    <row r="10" spans="1:11">
      <c r="A10" s="5602"/>
      <c r="B10" s="5605"/>
      <c r="C10" s="5606"/>
      <c r="D10" s="5609"/>
      <c r="E10" s="5610"/>
      <c r="F10" s="5609"/>
      <c r="G10" s="5610"/>
      <c r="H10" s="5595" t="s">
        <v>2442</v>
      </c>
      <c r="I10" s="5596"/>
      <c r="J10" s="5595" t="s">
        <v>2443</v>
      </c>
      <c r="K10" s="5596"/>
    </row>
    <row r="11" spans="1:11" s="450" customFormat="1" ht="39" customHeight="1">
      <c r="A11" s="5603"/>
      <c r="B11" s="5606"/>
      <c r="C11" s="3140" t="s">
        <v>1043</v>
      </c>
      <c r="D11" s="3120" t="s">
        <v>755</v>
      </c>
      <c r="E11" s="3121" t="s">
        <v>96</v>
      </c>
      <c r="F11" s="3120" t="s">
        <v>755</v>
      </c>
      <c r="G11" s="3121" t="s">
        <v>96</v>
      </c>
      <c r="H11" s="3120" t="s">
        <v>755</v>
      </c>
      <c r="I11" s="3121" t="s">
        <v>3403</v>
      </c>
      <c r="J11" s="3120" t="s">
        <v>755</v>
      </c>
      <c r="K11" s="3121" t="s">
        <v>3403</v>
      </c>
    </row>
    <row r="12" spans="1:11">
      <c r="A12" s="4888">
        <v>1</v>
      </c>
      <c r="B12" s="3122" t="s">
        <v>620</v>
      </c>
      <c r="C12" s="3141">
        <v>127.64</v>
      </c>
      <c r="D12" s="3123">
        <v>193.08</v>
      </c>
      <c r="E12" s="3124">
        <f>'PP FY 2012-13'!G15</f>
        <v>193.20680140000005</v>
      </c>
      <c r="F12" s="3123">
        <v>341.57</v>
      </c>
      <c r="G12" s="3124">
        <f>'PP FY 2013-14 '!G17</f>
        <v>341.52</v>
      </c>
      <c r="H12" s="3124">
        <v>311.38</v>
      </c>
      <c r="I12" s="3124">
        <f>'F2'!V22</f>
        <v>327.48000000000008</v>
      </c>
      <c r="J12" s="3124">
        <v>361.61</v>
      </c>
      <c r="K12" s="3124">
        <f>Assumptions!H89</f>
        <v>372.12</v>
      </c>
    </row>
    <row r="13" spans="1:11">
      <c r="A13" s="4888">
        <f>A12+1</f>
        <v>2</v>
      </c>
      <c r="B13" s="3122" t="s">
        <v>621</v>
      </c>
      <c r="C13" s="3141">
        <v>0.96</v>
      </c>
      <c r="D13" s="3123">
        <v>0.75</v>
      </c>
      <c r="E13" s="3124">
        <f>'PP FY 2012-13'!G16</f>
        <v>0.74599999999999989</v>
      </c>
      <c r="F13" s="3123">
        <v>1.27</v>
      </c>
      <c r="G13" s="3124">
        <f>'PP FY 2013-14 '!G18</f>
        <v>1.2721999999999998</v>
      </c>
      <c r="H13" s="3124">
        <v>1.28</v>
      </c>
      <c r="I13" s="3124">
        <f>Assumptions!G90</f>
        <v>1.6256999999999999</v>
      </c>
      <c r="J13" s="3124">
        <v>1.28</v>
      </c>
      <c r="K13" s="3124">
        <f>Assumptions!H90</f>
        <v>1.6256999999999999</v>
      </c>
    </row>
    <row r="14" spans="1:11" s="453" customFormat="1">
      <c r="A14" s="4888">
        <f>A13+1</f>
        <v>3</v>
      </c>
      <c r="B14" s="3125" t="s">
        <v>47</v>
      </c>
      <c r="C14" s="3126">
        <f>SUM(C12:C13)</f>
        <v>128.6</v>
      </c>
      <c r="D14" s="3126">
        <f>SUM(D12:D13)</f>
        <v>193.83</v>
      </c>
      <c r="E14" s="3126">
        <f>SUM(E12:E13)</f>
        <v>193.95280140000006</v>
      </c>
      <c r="F14" s="3126">
        <f>SUM(F12:F13)</f>
        <v>342.84</v>
      </c>
      <c r="G14" s="3126">
        <f>SUM(G12:G13)</f>
        <v>342.79219999999998</v>
      </c>
      <c r="H14" s="3126">
        <f t="shared" ref="H14:J14" si="0">SUM(H12:H13)</f>
        <v>312.65999999999997</v>
      </c>
      <c r="I14" s="3126">
        <f>SUM(I12:I13)</f>
        <v>329.10570000000007</v>
      </c>
      <c r="J14" s="3126">
        <f t="shared" si="0"/>
        <v>362.89</v>
      </c>
      <c r="K14" s="3126">
        <f>SUM(K12:K13)</f>
        <v>373.7457</v>
      </c>
    </row>
    <row r="15" spans="1:11" s="453" customFormat="1" ht="18.75">
      <c r="A15" s="3127"/>
      <c r="B15" s="3127"/>
      <c r="C15" s="3127"/>
      <c r="D15" s="3128"/>
      <c r="E15" s="3128"/>
      <c r="F15" s="3129"/>
      <c r="G15" s="3129"/>
      <c r="H15" s="455"/>
      <c r="I15" s="456"/>
    </row>
    <row r="16" spans="1:11">
      <c r="A16" s="3130"/>
      <c r="B16" s="3782"/>
      <c r="C16" s="3132"/>
      <c r="D16" s="3133"/>
      <c r="E16" s="3131"/>
      <c r="F16" s="3130"/>
      <c r="G16" s="3130"/>
    </row>
    <row r="17" spans="2:7">
      <c r="B17" s="459"/>
      <c r="C17" s="459"/>
      <c r="D17" s="459"/>
      <c r="E17" s="459"/>
    </row>
    <row r="18" spans="2:7" hidden="1">
      <c r="B18" s="457" t="s">
        <v>602</v>
      </c>
      <c r="C18" s="457"/>
      <c r="D18" s="458"/>
      <c r="E18" s="459"/>
    </row>
    <row r="19" spans="2:7" hidden="1">
      <c r="B19" s="460" t="s">
        <v>623</v>
      </c>
      <c r="C19" s="460"/>
      <c r="D19" s="458"/>
      <c r="E19" s="459"/>
    </row>
    <row r="20" spans="2:7" s="450" customFormat="1" ht="42.75" hidden="1" customHeight="1">
      <c r="B20" s="461" t="s">
        <v>616</v>
      </c>
      <c r="C20" s="3134"/>
      <c r="D20" s="462" t="s">
        <v>617</v>
      </c>
      <c r="E20" s="462" t="s">
        <v>618</v>
      </c>
    </row>
    <row r="21" spans="2:7" s="465" customFormat="1" hidden="1">
      <c r="B21" s="463"/>
      <c r="C21" s="3135"/>
      <c r="D21" s="464" t="s">
        <v>619</v>
      </c>
      <c r="E21" s="464" t="s">
        <v>581</v>
      </c>
    </row>
    <row r="22" spans="2:7" s="449" customFormat="1" hidden="1">
      <c r="B22" s="451"/>
      <c r="C22" s="3136"/>
      <c r="D22" s="466"/>
      <c r="E22" s="467"/>
    </row>
    <row r="23" spans="2:7" hidden="1">
      <c r="B23" s="451" t="s">
        <v>620</v>
      </c>
      <c r="C23" s="3136"/>
      <c r="D23" s="466"/>
      <c r="E23" s="472">
        <v>127.63</v>
      </c>
    </row>
    <row r="24" spans="2:7" hidden="1">
      <c r="B24" s="451" t="s">
        <v>622</v>
      </c>
      <c r="C24" s="3136"/>
      <c r="D24" s="466"/>
      <c r="E24" s="473">
        <v>0.96</v>
      </c>
    </row>
    <row r="25" spans="2:7" s="453" customFormat="1" hidden="1">
      <c r="B25" s="452"/>
      <c r="C25" s="3137"/>
      <c r="D25" s="468"/>
      <c r="E25" s="469"/>
      <c r="F25" s="441"/>
      <c r="G25" s="441"/>
    </row>
    <row r="26" spans="2:7" s="453" customFormat="1" ht="19.5" hidden="1" thickBot="1">
      <c r="B26" s="454" t="s">
        <v>47</v>
      </c>
      <c r="C26" s="3138"/>
      <c r="D26" s="470"/>
      <c r="E26" s="471">
        <f>SUM(E23:E24)</f>
        <v>128.59</v>
      </c>
      <c r="F26" s="455"/>
      <c r="G26" s="455"/>
    </row>
    <row r="27" spans="2:7" hidden="1">
      <c r="B27" s="459"/>
      <c r="C27" s="459"/>
      <c r="D27" s="459"/>
      <c r="E27" s="459"/>
    </row>
    <row r="28" spans="2:7" ht="3.75" hidden="1" customHeight="1">
      <c r="B28" s="459"/>
      <c r="C28" s="459"/>
      <c r="D28" s="459"/>
      <c r="E28" s="459"/>
    </row>
    <row r="29" spans="2:7" hidden="1">
      <c r="B29" s="457" t="s">
        <v>602</v>
      </c>
      <c r="C29" s="457"/>
      <c r="D29" s="458"/>
      <c r="E29" s="459"/>
    </row>
    <row r="30" spans="2:7" hidden="1">
      <c r="B30" s="459" t="s">
        <v>1058</v>
      </c>
      <c r="C30" s="459"/>
      <c r="D30" s="458"/>
      <c r="E30" s="459"/>
    </row>
    <row r="31" spans="2:7" hidden="1">
      <c r="B31" s="460" t="s">
        <v>624</v>
      </c>
      <c r="C31" s="460"/>
      <c r="D31" s="458"/>
      <c r="E31" s="459"/>
    </row>
    <row r="32" spans="2:7" ht="42.75" hidden="1" customHeight="1">
      <c r="B32" s="461" t="s">
        <v>616</v>
      </c>
      <c r="C32" s="3134"/>
      <c r="D32" s="462" t="s">
        <v>617</v>
      </c>
      <c r="E32" s="462" t="s">
        <v>618</v>
      </c>
    </row>
    <row r="33" spans="2:5" hidden="1">
      <c r="B33" s="463"/>
      <c r="C33" s="3135"/>
      <c r="D33" s="464" t="s">
        <v>619</v>
      </c>
      <c r="E33" s="464" t="s">
        <v>581</v>
      </c>
    </row>
    <row r="34" spans="2:5" hidden="1">
      <c r="B34" s="451" t="s">
        <v>620</v>
      </c>
      <c r="C34" s="3136"/>
      <c r="D34" s="466"/>
      <c r="E34" s="467" t="e">
        <f>#REF!-E23</f>
        <v>#REF!</v>
      </c>
    </row>
    <row r="35" spans="2:5" hidden="1">
      <c r="B35" s="451" t="s">
        <v>622</v>
      </c>
      <c r="C35" s="3139"/>
      <c r="D35" s="468"/>
      <c r="E35" s="474" t="e">
        <f>#REF!-E24</f>
        <v>#REF!</v>
      </c>
    </row>
    <row r="36" spans="2:5" ht="16.5" hidden="1" thickBot="1">
      <c r="B36" s="454" t="s">
        <v>47</v>
      </c>
      <c r="C36" s="3138"/>
      <c r="D36" s="470"/>
      <c r="E36" s="471" t="e">
        <f>SUM(E33:E34)</f>
        <v>#REF!</v>
      </c>
    </row>
    <row r="37" spans="2:5" hidden="1">
      <c r="B37" s="459"/>
      <c r="C37" s="459"/>
      <c r="D37" s="459"/>
      <c r="E37" s="459"/>
    </row>
  </sheetData>
  <mergeCells count="11">
    <mergeCell ref="A9:A11"/>
    <mergeCell ref="B9:B11"/>
    <mergeCell ref="C9:C10"/>
    <mergeCell ref="D9:E10"/>
    <mergeCell ref="F9:G10"/>
    <mergeCell ref="H10:I10"/>
    <mergeCell ref="J10:K10"/>
    <mergeCell ref="H9:K9"/>
    <mergeCell ref="B3:J3"/>
    <mergeCell ref="B4:J4"/>
    <mergeCell ref="B5:J5"/>
  </mergeCells>
  <printOptions horizontalCentered="1"/>
  <pageMargins left="0.28000000000000003" right="0.39370078740157499" top="0.95" bottom="0.15748031496063" header="0.16" footer="0.15748031496063"/>
  <pageSetup paperSize="9" scale="110" orientation="landscape" horizontalDpi="300" verticalDpi="300" r:id="rId1"/>
  <headerFooter alignWithMargins="0"/>
</worksheet>
</file>

<file path=xl/worksheets/sheet35.xml><?xml version="1.0" encoding="utf-8"?>
<worksheet xmlns="http://schemas.openxmlformats.org/spreadsheetml/2006/main" xmlns:r="http://schemas.openxmlformats.org/officeDocument/2006/relationships">
  <sheetPr codeName="Sheet23">
    <pageSetUpPr fitToPage="1"/>
  </sheetPr>
  <dimension ref="B1:Q32"/>
  <sheetViews>
    <sheetView view="pageBreakPreview" zoomScale="70" zoomScaleNormal="60" zoomScaleSheetLayoutView="70" workbookViewId="0">
      <pane xSplit="3" ySplit="10" topLeftCell="G11" activePane="bottomRight" state="frozen"/>
      <selection pane="topRight" activeCell="D1" sqref="D1"/>
      <selection pane="bottomLeft" activeCell="A9" sqref="A9"/>
      <selection pane="bottomRight" activeCell="L1" sqref="L1:Q1048576"/>
    </sheetView>
  </sheetViews>
  <sheetFormatPr defaultRowHeight="15.75"/>
  <cols>
    <col min="1" max="1" width="8.7109375" style="790" customWidth="1"/>
    <col min="2" max="2" width="10.42578125" style="790" customWidth="1"/>
    <col min="3" max="3" width="33.140625" style="4287" customWidth="1"/>
    <col min="4" max="4" width="16.7109375" style="790" customWidth="1"/>
    <col min="5" max="5" width="21.5703125" style="790" hidden="1" customWidth="1"/>
    <col min="6" max="7" width="17.28515625" style="790" customWidth="1"/>
    <col min="8" max="8" width="21.42578125" style="790" bestFit="1" customWidth="1"/>
    <col min="9" max="10" width="17.28515625" style="790" customWidth="1"/>
    <col min="11" max="11" width="22.5703125" style="790" bestFit="1" customWidth="1"/>
    <col min="12" max="12" width="16.7109375" style="790" hidden="1" customWidth="1"/>
    <col min="13" max="14" width="16.42578125" style="790" hidden="1" customWidth="1"/>
    <col min="15" max="15" width="17.28515625" style="790" hidden="1" customWidth="1"/>
    <col min="16" max="16" width="19.140625" style="790" hidden="1" customWidth="1"/>
    <col min="17" max="17" width="17.7109375" style="790" hidden="1" customWidth="1"/>
    <col min="18" max="16384" width="9.140625" style="790"/>
  </cols>
  <sheetData>
    <row r="1" spans="2:17">
      <c r="B1" s="4286"/>
    </row>
    <row r="2" spans="2:17">
      <c r="C2" s="790"/>
      <c r="I2" s="791"/>
      <c r="J2" s="791"/>
      <c r="K2" s="791"/>
      <c r="L2" s="791"/>
    </row>
    <row r="3" spans="2:17">
      <c r="B3" s="5612" t="s">
        <v>100</v>
      </c>
      <c r="C3" s="5612"/>
      <c r="D3" s="5612"/>
      <c r="E3" s="5612"/>
      <c r="F3" s="5612"/>
      <c r="G3" s="5612"/>
      <c r="H3" s="5612"/>
      <c r="I3" s="5612"/>
      <c r="J3" s="5612"/>
      <c r="K3" s="5612"/>
      <c r="L3" s="791"/>
      <c r="M3" s="791"/>
      <c r="N3" s="791"/>
      <c r="O3" s="791"/>
      <c r="P3" s="791"/>
      <c r="Q3" s="791"/>
    </row>
    <row r="4" spans="2:17">
      <c r="B4" s="5612" t="s">
        <v>3920</v>
      </c>
      <c r="C4" s="5612"/>
      <c r="D4" s="5612"/>
      <c r="E4" s="5612"/>
      <c r="F4" s="5612"/>
      <c r="G4" s="5612"/>
      <c r="H4" s="5612"/>
      <c r="I4" s="5612"/>
      <c r="J4" s="5612"/>
      <c r="K4" s="5612"/>
      <c r="L4" s="791"/>
      <c r="M4" s="791"/>
      <c r="N4" s="791"/>
      <c r="O4" s="791"/>
      <c r="P4" s="791"/>
      <c r="Q4" s="791"/>
    </row>
    <row r="5" spans="2:17">
      <c r="B5" s="5612" t="s">
        <v>3455</v>
      </c>
      <c r="C5" s="5612"/>
      <c r="D5" s="5612"/>
      <c r="E5" s="5612"/>
      <c r="F5" s="5612"/>
      <c r="G5" s="5612"/>
      <c r="H5" s="5612"/>
      <c r="I5" s="5612"/>
      <c r="J5" s="5612"/>
      <c r="K5" s="5612"/>
      <c r="L5" s="791"/>
      <c r="M5" s="791"/>
      <c r="N5" s="791"/>
      <c r="O5" s="791"/>
      <c r="P5" s="791"/>
      <c r="Q5" s="791"/>
    </row>
    <row r="6" spans="2:17">
      <c r="B6" s="4467"/>
      <c r="C6" s="4467"/>
      <c r="D6" s="4467"/>
      <c r="E6" s="4467"/>
      <c r="F6" s="4467"/>
      <c r="G6" s="4467"/>
      <c r="H6" s="4467"/>
      <c r="I6" s="4467"/>
      <c r="J6" s="4467"/>
      <c r="K6" s="4467"/>
      <c r="L6" s="4467"/>
      <c r="M6" s="4467"/>
      <c r="N6" s="4467"/>
      <c r="O6" s="4467"/>
      <c r="P6" s="4467"/>
      <c r="Q6" s="4467"/>
    </row>
    <row r="7" spans="2:17">
      <c r="B7" s="4467"/>
      <c r="C7" s="4288"/>
      <c r="D7" s="4467"/>
      <c r="E7" s="4467"/>
      <c r="F7" s="4467"/>
      <c r="G7" s="4467"/>
      <c r="I7" s="791"/>
      <c r="J7" s="791"/>
      <c r="K7" s="4881" t="s">
        <v>151</v>
      </c>
      <c r="L7" s="791"/>
    </row>
    <row r="8" spans="2:17">
      <c r="B8" s="5615" t="s">
        <v>101</v>
      </c>
      <c r="C8" s="5615" t="s">
        <v>81</v>
      </c>
      <c r="D8" s="5613" t="s">
        <v>172</v>
      </c>
      <c r="E8" s="5613" t="s">
        <v>1897</v>
      </c>
      <c r="F8" s="5620" t="s">
        <v>82</v>
      </c>
      <c r="G8" s="5621"/>
      <c r="H8" s="5622"/>
      <c r="I8" s="5620" t="s">
        <v>1845</v>
      </c>
      <c r="J8" s="5621"/>
      <c r="K8" s="5622"/>
      <c r="L8" s="5618" t="s">
        <v>2981</v>
      </c>
      <c r="M8" s="5618"/>
      <c r="N8" s="5618"/>
      <c r="O8" s="5618"/>
      <c r="P8" s="5618"/>
      <c r="Q8" s="5618"/>
    </row>
    <row r="9" spans="2:17">
      <c r="B9" s="5616"/>
      <c r="C9" s="5616"/>
      <c r="D9" s="5619"/>
      <c r="E9" s="5614"/>
      <c r="F9" s="5623"/>
      <c r="G9" s="5624"/>
      <c r="H9" s="5625"/>
      <c r="I9" s="5623"/>
      <c r="J9" s="5624"/>
      <c r="K9" s="5625"/>
      <c r="L9" s="5618" t="s">
        <v>2442</v>
      </c>
      <c r="M9" s="5618"/>
      <c r="N9" s="5618"/>
      <c r="O9" s="5618" t="s">
        <v>2443</v>
      </c>
      <c r="P9" s="5618"/>
      <c r="Q9" s="5618"/>
    </row>
    <row r="10" spans="2:17" ht="47.25">
      <c r="B10" s="5617"/>
      <c r="C10" s="5617"/>
      <c r="D10" s="5614"/>
      <c r="E10" s="4473" t="s">
        <v>1043</v>
      </c>
      <c r="F10" s="4472" t="s">
        <v>755</v>
      </c>
      <c r="G10" s="4473" t="s">
        <v>2218</v>
      </c>
      <c r="H10" s="4473" t="s">
        <v>96</v>
      </c>
      <c r="I10" s="4472" t="s">
        <v>755</v>
      </c>
      <c r="J10" s="4473" t="s">
        <v>2218</v>
      </c>
      <c r="K10" s="4473" t="s">
        <v>96</v>
      </c>
      <c r="L10" s="4472" t="s">
        <v>755</v>
      </c>
      <c r="M10" s="4883" t="s">
        <v>2218</v>
      </c>
      <c r="N10" s="4472" t="s">
        <v>3403</v>
      </c>
      <c r="O10" s="4472" t="s">
        <v>755</v>
      </c>
      <c r="P10" s="4883" t="s">
        <v>2218</v>
      </c>
      <c r="Q10" s="4472" t="s">
        <v>3403</v>
      </c>
    </row>
    <row r="11" spans="2:17">
      <c r="B11" s="275">
        <v>1</v>
      </c>
      <c r="C11" s="271" t="s">
        <v>235</v>
      </c>
      <c r="D11" s="276" t="s">
        <v>178</v>
      </c>
      <c r="E11" s="820"/>
      <c r="F11" s="818"/>
      <c r="G11" s="818"/>
      <c r="H11" s="819"/>
      <c r="I11" s="820"/>
      <c r="J11" s="818"/>
      <c r="K11" s="820"/>
      <c r="L11" s="820"/>
      <c r="M11" s="820"/>
      <c r="N11" s="276"/>
      <c r="O11" s="820"/>
      <c r="P11" s="820"/>
      <c r="Q11" s="820"/>
    </row>
    <row r="12" spans="2:17" ht="31.5">
      <c r="B12" s="275">
        <f t="shared" ref="B12:B17" si="0">B11+1</f>
        <v>2</v>
      </c>
      <c r="C12" s="4118" t="s">
        <v>3752</v>
      </c>
      <c r="D12" s="277" t="s">
        <v>757</v>
      </c>
      <c r="E12" s="277">
        <f>F3.3!D28</f>
        <v>220.74999999999994</v>
      </c>
      <c r="F12" s="817"/>
      <c r="G12" s="817"/>
      <c r="H12" s="821">
        <f>F3.3!F28-H16</f>
        <v>194.80000000000007</v>
      </c>
      <c r="I12" s="820"/>
      <c r="J12" s="817"/>
      <c r="K12" s="821">
        <f>F3.3!H28-K16</f>
        <v>244.40000000000009</v>
      </c>
      <c r="L12" s="820"/>
      <c r="M12" s="821"/>
      <c r="N12" s="821">
        <f>F3.3!$M$28-N16</f>
        <v>297.57999999999993</v>
      </c>
      <c r="O12" s="820"/>
      <c r="P12" s="821"/>
      <c r="Q12" s="821">
        <f>F3.3!$N$28-Q16</f>
        <v>330.06</v>
      </c>
    </row>
    <row r="13" spans="2:17">
      <c r="B13" s="275">
        <f t="shared" si="0"/>
        <v>3</v>
      </c>
      <c r="C13" s="4118" t="s">
        <v>237</v>
      </c>
      <c r="D13" s="277" t="s">
        <v>182</v>
      </c>
      <c r="E13" s="277">
        <f>F3.4!D27</f>
        <v>85.09</v>
      </c>
      <c r="F13" s="817"/>
      <c r="G13" s="817"/>
      <c r="H13" s="822">
        <f>F3.4!F27</f>
        <v>95.419999999999987</v>
      </c>
      <c r="I13" s="820"/>
      <c r="J13" s="817"/>
      <c r="K13" s="821">
        <f>F3.4!H27</f>
        <v>100.75000000000001</v>
      </c>
      <c r="L13" s="820"/>
      <c r="M13" s="821"/>
      <c r="N13" s="821">
        <f>F3.4!$I$27</f>
        <v>114.09</v>
      </c>
      <c r="O13" s="820"/>
      <c r="P13" s="821"/>
      <c r="Q13" s="821">
        <f>F3.4!$J$27</f>
        <v>130.57</v>
      </c>
    </row>
    <row r="14" spans="2:17">
      <c r="B14" s="275">
        <f t="shared" si="0"/>
        <v>4</v>
      </c>
      <c r="C14" s="4118" t="s">
        <v>238</v>
      </c>
      <c r="D14" s="277" t="s">
        <v>184</v>
      </c>
      <c r="E14" s="277">
        <f>F3.5!D20</f>
        <v>35.839999999999996</v>
      </c>
      <c r="F14" s="817"/>
      <c r="G14" s="817"/>
      <c r="H14" s="822">
        <f>F3.5!F20</f>
        <v>42.699999999999996</v>
      </c>
      <c r="I14" s="820"/>
      <c r="J14" s="817"/>
      <c r="K14" s="821">
        <f>F3.5!H20</f>
        <v>41.31</v>
      </c>
      <c r="L14" s="820"/>
      <c r="M14" s="821"/>
      <c r="N14" s="821">
        <f>F3.5!$I$20</f>
        <v>52.779999999999994</v>
      </c>
      <c r="O14" s="820"/>
      <c r="P14" s="821"/>
      <c r="Q14" s="821">
        <f>F3.5!$J$20</f>
        <v>49.97</v>
      </c>
    </row>
    <row r="15" spans="2:17" s="791" customFormat="1" ht="31.5">
      <c r="B15" s="275">
        <f t="shared" si="0"/>
        <v>5</v>
      </c>
      <c r="C15" s="3496" t="s">
        <v>239</v>
      </c>
      <c r="D15" s="823"/>
      <c r="E15" s="823">
        <f>SUM(E12:E14)</f>
        <v>341.67999999999989</v>
      </c>
      <c r="F15" s="824">
        <v>348.52</v>
      </c>
      <c r="G15" s="824">
        <f>F3.1!G26</f>
        <v>348.51974163321529</v>
      </c>
      <c r="H15" s="824">
        <f>SUM(H12:H14)</f>
        <v>332.92</v>
      </c>
      <c r="I15" s="825">
        <v>380.11</v>
      </c>
      <c r="J15" s="824">
        <f>F3.1!I26</f>
        <v>364.88860288612284</v>
      </c>
      <c r="K15" s="1918">
        <f>SUM(K12:K14)</f>
        <v>386.46000000000009</v>
      </c>
      <c r="L15" s="825">
        <v>420.05</v>
      </c>
      <c r="M15" s="1918">
        <f>F3.1!$K$26</f>
        <v>389.16573571265383</v>
      </c>
      <c r="N15" s="1918">
        <f>SUM(N12:N14)</f>
        <v>464.44999999999993</v>
      </c>
      <c r="O15" s="825">
        <v>464.26</v>
      </c>
      <c r="P15" s="1918">
        <f>F3.1!$M$26</f>
        <v>419.78860647381612</v>
      </c>
      <c r="Q15" s="1918">
        <f>SUM(Q12:Q14)</f>
        <v>510.6</v>
      </c>
    </row>
    <row r="16" spans="2:17" s="791" customFormat="1">
      <c r="B16" s="275">
        <f t="shared" si="0"/>
        <v>6</v>
      </c>
      <c r="C16" s="4285" t="s">
        <v>688</v>
      </c>
      <c r="D16" s="277"/>
      <c r="E16" s="277"/>
      <c r="F16" s="817">
        <v>58.35</v>
      </c>
      <c r="G16" s="1282">
        <f>F16</f>
        <v>58.35</v>
      </c>
      <c r="H16" s="822">
        <f>F3.3!K28</f>
        <v>57.83</v>
      </c>
      <c r="I16" s="821">
        <v>54.284439999999996</v>
      </c>
      <c r="J16" s="1282">
        <f>I16</f>
        <v>54.284439999999996</v>
      </c>
      <c r="K16" s="821">
        <f>F3.3!L28</f>
        <v>77.699999999999989</v>
      </c>
      <c r="L16" s="821">
        <v>54.284439999999996</v>
      </c>
      <c r="M16" s="1282">
        <f>L16</f>
        <v>54.284439999999996</v>
      </c>
      <c r="N16" s="821">
        <f>F3.3!O28</f>
        <v>49.05</v>
      </c>
      <c r="O16" s="821">
        <v>54.284439999999996</v>
      </c>
      <c r="P16" s="1282">
        <f>O16</f>
        <v>54.284439999999996</v>
      </c>
      <c r="Q16" s="821">
        <f>N16</f>
        <v>49.05</v>
      </c>
    </row>
    <row r="17" spans="2:17" ht="31.5">
      <c r="B17" s="275">
        <f t="shared" si="0"/>
        <v>7</v>
      </c>
      <c r="C17" s="4289" t="s">
        <v>2265</v>
      </c>
      <c r="D17" s="275"/>
      <c r="E17" s="4295"/>
      <c r="F17" s="4295">
        <f>F16+F15</f>
        <v>406.87</v>
      </c>
      <c r="G17" s="4295">
        <f>SUM(G15:G16)</f>
        <v>406.86974163321531</v>
      </c>
      <c r="H17" s="4295">
        <f>SUM(H15:H16)</f>
        <v>390.75</v>
      </c>
      <c r="I17" s="4295">
        <f>SUM(I15:I16)+0.01</f>
        <v>434.40444000000002</v>
      </c>
      <c r="J17" s="4295">
        <f>SUM(J15:J16)</f>
        <v>419.17304288612286</v>
      </c>
      <c r="K17" s="4295">
        <f>SUM(K15:K16)</f>
        <v>464.16000000000008</v>
      </c>
      <c r="L17" s="4295">
        <f>SUM(L15:L16)+0.01</f>
        <v>474.34444000000002</v>
      </c>
      <c r="M17" s="4295">
        <f>SUM(M15:M16)</f>
        <v>443.45017571265385</v>
      </c>
      <c r="N17" s="4295">
        <f>SUM(N15:N16)</f>
        <v>513.49999999999989</v>
      </c>
      <c r="O17" s="4295">
        <f>SUM(O15:O16)+0.01</f>
        <v>518.55444</v>
      </c>
      <c r="P17" s="4295">
        <f>SUM(P15:P16)</f>
        <v>474.07304647381613</v>
      </c>
      <c r="Q17" s="4295">
        <f>SUM(Q15:Q16)</f>
        <v>559.65</v>
      </c>
    </row>
    <row r="19" spans="2:17">
      <c r="C19" s="4286" t="s">
        <v>3434</v>
      </c>
      <c r="K19" s="4290"/>
      <c r="M19" s="4290"/>
      <c r="N19" s="4290"/>
      <c r="P19" s="4290"/>
      <c r="Q19" s="4290"/>
    </row>
    <row r="20" spans="2:17" s="4292" customFormat="1">
      <c r="C20" s="4291"/>
    </row>
    <row r="21" spans="2:17" s="4292" customFormat="1">
      <c r="C21" s="4291"/>
    </row>
    <row r="22" spans="2:17" s="4292" customFormat="1">
      <c r="C22" s="4291"/>
    </row>
    <row r="23" spans="2:17" s="4292" customFormat="1">
      <c r="C23" s="4291"/>
    </row>
    <row r="24" spans="2:17" s="4292" customFormat="1">
      <c r="C24" s="4291"/>
    </row>
    <row r="25" spans="2:17" s="4292" customFormat="1">
      <c r="C25" s="4291"/>
      <c r="H25" s="4293"/>
    </row>
    <row r="26" spans="2:17" s="4292" customFormat="1">
      <c r="C26" s="4291"/>
    </row>
    <row r="27" spans="2:17" s="4292" customFormat="1">
      <c r="C27" s="4291"/>
    </row>
    <row r="28" spans="2:17" s="4292" customFormat="1">
      <c r="C28" s="4291"/>
      <c r="H28" s="4294"/>
    </row>
    <row r="29" spans="2:17" s="4292" customFormat="1">
      <c r="C29" s="4291"/>
      <c r="H29" s="4293"/>
    </row>
    <row r="30" spans="2:17" s="4292" customFormat="1">
      <c r="C30" s="4291"/>
    </row>
    <row r="32" spans="2:17">
      <c r="H32" s="791"/>
    </row>
  </sheetData>
  <mergeCells count="12">
    <mergeCell ref="L9:N9"/>
    <mergeCell ref="O9:Q9"/>
    <mergeCell ref="L8:Q8"/>
    <mergeCell ref="D8:D10"/>
    <mergeCell ref="C8:C10"/>
    <mergeCell ref="F8:H9"/>
    <mergeCell ref="I8:K9"/>
    <mergeCell ref="B3:K3"/>
    <mergeCell ref="B4:K4"/>
    <mergeCell ref="B5:K5"/>
    <mergeCell ref="E8:E9"/>
    <mergeCell ref="B8:B10"/>
  </mergeCells>
  <printOptions horizontalCentered="1"/>
  <pageMargins left="0.26" right="0.2" top="0.89" bottom="0.57999999999999996" header="0.2" footer="0.5"/>
  <pageSetup paperSize="9" scale="82" orientation="landscape" r:id="rId1"/>
  <headerFooter alignWithMargins="0"/>
  <ignoredErrors>
    <ignoredError sqref="L17 G17 I17:J17 O17 G15 J15 I16:J16" formula="1"/>
  </ignoredErrors>
</worksheet>
</file>

<file path=xl/worksheets/sheet36.xml><?xml version="1.0" encoding="utf-8"?>
<worksheet xmlns="http://schemas.openxmlformats.org/spreadsheetml/2006/main" xmlns:r="http://schemas.openxmlformats.org/officeDocument/2006/relationships">
  <sheetPr codeName="Sheet27">
    <pageSetUpPr fitToPage="1"/>
  </sheetPr>
  <dimension ref="B3:V52"/>
  <sheetViews>
    <sheetView showGridLines="0" view="pageBreakPreview" topLeftCell="B1" zoomScale="70" zoomScaleSheetLayoutView="70" workbookViewId="0">
      <pane xSplit="3" ySplit="9" topLeftCell="N10" activePane="bottomRight" state="frozen"/>
      <selection activeCell="B1" sqref="B1"/>
      <selection pane="topRight" activeCell="E1" sqref="E1"/>
      <selection pane="bottomLeft" activeCell="B6" sqref="B6"/>
      <selection pane="bottomRight" activeCell="J1" sqref="J1:V1048576"/>
    </sheetView>
  </sheetViews>
  <sheetFormatPr defaultRowHeight="15.75"/>
  <cols>
    <col min="1" max="1" width="1.28515625" style="254" customWidth="1"/>
    <col min="2" max="2" width="3.7109375" style="254" hidden="1" customWidth="1"/>
    <col min="3" max="3" width="9.140625" style="254"/>
    <col min="4" max="4" width="42.5703125" style="254" customWidth="1"/>
    <col min="5" max="5" width="25.140625" style="254" customWidth="1"/>
    <col min="6" max="6" width="17.5703125" style="254" customWidth="1"/>
    <col min="7" max="9" width="17.85546875" style="254" customWidth="1"/>
    <col min="10" max="13" width="17.85546875" style="254" hidden="1" customWidth="1"/>
    <col min="14" max="14" width="10.28515625" style="254" hidden="1" customWidth="1"/>
    <col min="15" max="15" width="26.85546875" style="254" hidden="1" customWidth="1"/>
    <col min="16" max="16" width="23.42578125" style="254" hidden="1" customWidth="1"/>
    <col min="17" max="17" width="30" style="254" hidden="1" customWidth="1"/>
    <col min="18" max="18" width="24.85546875" style="254" hidden="1" customWidth="1"/>
    <col min="19" max="19" width="28.140625" style="254" hidden="1" customWidth="1"/>
    <col min="20" max="20" width="24.42578125" style="254" hidden="1" customWidth="1"/>
    <col min="21" max="21" width="19.140625" style="254" hidden="1" customWidth="1"/>
    <col min="22" max="22" width="20.7109375" style="254" hidden="1" customWidth="1"/>
    <col min="23" max="16384" width="9.140625" style="254"/>
  </cols>
  <sheetData>
    <row r="3" spans="3:22">
      <c r="C3" s="5396" t="s">
        <v>100</v>
      </c>
      <c r="D3" s="5396"/>
      <c r="E3" s="5396"/>
      <c r="F3" s="5396"/>
      <c r="G3" s="5396"/>
      <c r="H3" s="5396"/>
      <c r="I3" s="5396"/>
      <c r="J3" s="278"/>
      <c r="K3" s="278"/>
      <c r="L3" s="278"/>
      <c r="M3" s="278"/>
    </row>
    <row r="4" spans="3:22">
      <c r="C4" s="5632" t="s">
        <v>3915</v>
      </c>
      <c r="D4" s="5632"/>
      <c r="E4" s="5632"/>
      <c r="F4" s="5632"/>
      <c r="G4" s="5632"/>
      <c r="H4" s="5632"/>
      <c r="I4" s="5632"/>
      <c r="J4" s="5360"/>
      <c r="K4" s="5360"/>
      <c r="L4" s="5360"/>
      <c r="M4" s="5360"/>
    </row>
    <row r="5" spans="3:22">
      <c r="C5" s="5633" t="s">
        <v>3484</v>
      </c>
      <c r="D5" s="5633"/>
      <c r="E5" s="5633"/>
      <c r="F5" s="5633"/>
      <c r="G5" s="5633"/>
      <c r="H5" s="5633"/>
      <c r="I5" s="5633"/>
      <c r="J5" s="5361"/>
      <c r="K5" s="5361"/>
      <c r="L5" s="5361"/>
      <c r="M5" s="5361"/>
    </row>
    <row r="7" spans="3:22">
      <c r="C7" s="5435" t="s">
        <v>101</v>
      </c>
      <c r="D7" s="5435" t="s">
        <v>81</v>
      </c>
      <c r="E7" s="5435" t="s">
        <v>1921</v>
      </c>
      <c r="F7" s="5437" t="s">
        <v>82</v>
      </c>
      <c r="G7" s="5439"/>
      <c r="H7" s="5437" t="s">
        <v>1845</v>
      </c>
      <c r="I7" s="5439"/>
      <c r="J7" s="5629" t="s">
        <v>2981</v>
      </c>
      <c r="K7" s="5631"/>
      <c r="L7" s="5631"/>
      <c r="M7" s="5630"/>
      <c r="O7" s="5635" t="s">
        <v>82</v>
      </c>
      <c r="P7" s="5636"/>
      <c r="Q7" s="5635" t="s">
        <v>1845</v>
      </c>
      <c r="R7" s="5636"/>
      <c r="S7" s="5639" t="s">
        <v>2613</v>
      </c>
      <c r="T7" s="5640"/>
      <c r="U7" s="5640"/>
      <c r="V7" s="5641"/>
    </row>
    <row r="8" spans="3:22">
      <c r="C8" s="5449"/>
      <c r="D8" s="5449"/>
      <c r="E8" s="5449"/>
      <c r="F8" s="5440"/>
      <c r="G8" s="5442"/>
      <c r="H8" s="5440"/>
      <c r="I8" s="5442"/>
      <c r="J8" s="5629" t="s">
        <v>2442</v>
      </c>
      <c r="K8" s="5630"/>
      <c r="L8" s="5629" t="s">
        <v>2443</v>
      </c>
      <c r="M8" s="5630"/>
      <c r="O8" s="5637"/>
      <c r="P8" s="5638"/>
      <c r="Q8" s="5637"/>
      <c r="R8" s="5638"/>
      <c r="S8" s="5634" t="s">
        <v>2442</v>
      </c>
      <c r="T8" s="5634"/>
      <c r="U8" s="5634" t="s">
        <v>2443</v>
      </c>
      <c r="V8" s="5634"/>
    </row>
    <row r="9" spans="3:22" ht="31.5">
      <c r="C9" s="5436"/>
      <c r="D9" s="5436"/>
      <c r="E9" s="5436"/>
      <c r="F9" s="1897" t="s">
        <v>755</v>
      </c>
      <c r="G9" s="1894" t="s">
        <v>2490</v>
      </c>
      <c r="H9" s="1897" t="s">
        <v>755</v>
      </c>
      <c r="I9" s="1894" t="s">
        <v>2491</v>
      </c>
      <c r="J9" s="1897" t="s">
        <v>755</v>
      </c>
      <c r="K9" s="3741" t="s">
        <v>2490</v>
      </c>
      <c r="L9" s="1897" t="s">
        <v>755</v>
      </c>
      <c r="M9" s="3741" t="s">
        <v>2490</v>
      </c>
      <c r="O9" s="3742" t="s">
        <v>1936</v>
      </c>
      <c r="P9" s="3742" t="s">
        <v>96</v>
      </c>
      <c r="Q9" s="3742" t="s">
        <v>1936</v>
      </c>
      <c r="R9" s="3742" t="s">
        <v>96</v>
      </c>
      <c r="S9" s="3742" t="s">
        <v>1936</v>
      </c>
      <c r="T9" s="3742" t="s">
        <v>96</v>
      </c>
      <c r="U9" s="3742" t="s">
        <v>1936</v>
      </c>
      <c r="V9" s="3742" t="s">
        <v>96</v>
      </c>
    </row>
    <row r="10" spans="3:22">
      <c r="C10" s="798">
        <v>1</v>
      </c>
      <c r="D10" s="788" t="s">
        <v>1922</v>
      </c>
      <c r="E10" s="258"/>
      <c r="F10" s="258"/>
      <c r="G10" s="258"/>
      <c r="H10" s="258"/>
      <c r="I10" s="258"/>
      <c r="J10" s="258"/>
      <c r="K10" s="258"/>
      <c r="L10" s="258"/>
      <c r="M10" s="258"/>
      <c r="O10" s="3752" t="s">
        <v>2982</v>
      </c>
      <c r="P10" s="3752" t="s">
        <v>2982</v>
      </c>
      <c r="Q10" s="3752" t="s">
        <v>2982</v>
      </c>
      <c r="R10" s="3752" t="s">
        <v>2982</v>
      </c>
      <c r="S10" s="3752" t="s">
        <v>2982</v>
      </c>
      <c r="T10" s="3752" t="s">
        <v>2982</v>
      </c>
      <c r="U10" s="3752" t="s">
        <v>2982</v>
      </c>
      <c r="V10" s="3752" t="s">
        <v>2982</v>
      </c>
    </row>
    <row r="11" spans="3:22">
      <c r="C11" s="798">
        <f>C10+1</f>
        <v>2</v>
      </c>
      <c r="D11" s="258" t="s">
        <v>1923</v>
      </c>
      <c r="E11" s="258" t="s">
        <v>1924</v>
      </c>
      <c r="F11" s="4065">
        <v>18.13</v>
      </c>
      <c r="G11" s="4065">
        <v>18.13</v>
      </c>
      <c r="H11" s="4065">
        <v>19.170000000000002</v>
      </c>
      <c r="I11" s="4065">
        <v>19.170000000000002</v>
      </c>
      <c r="J11" s="4065">
        <v>20.260000000000002</v>
      </c>
      <c r="K11" s="4065">
        <v>20.260000000000002</v>
      </c>
      <c r="L11" s="4065">
        <v>21.42</v>
      </c>
      <c r="M11" s="4065">
        <v>21.42</v>
      </c>
      <c r="O11" s="1924">
        <f t="shared" ref="O11:V11" si="0">(F11*F16)/1000+(F12*10^5*F17)/10^7</f>
        <v>265.77221250000002</v>
      </c>
      <c r="P11" s="1924">
        <f t="shared" si="0"/>
        <v>265.77194163321531</v>
      </c>
      <c r="Q11" s="1924">
        <f t="shared" si="0"/>
        <v>287.46829389999999</v>
      </c>
      <c r="R11" s="1924">
        <f t="shared" si="0"/>
        <v>276.97962492104034</v>
      </c>
      <c r="S11" s="1924">
        <f t="shared" si="0"/>
        <v>315.29837759999998</v>
      </c>
      <c r="T11" s="1924">
        <f t="shared" si="0"/>
        <v>297.49026183665381</v>
      </c>
      <c r="U11" s="1924">
        <f t="shared" si="0"/>
        <v>346.68887820000003</v>
      </c>
      <c r="V11" s="1924">
        <f t="shared" si="0"/>
        <v>321.82685759781612</v>
      </c>
    </row>
    <row r="12" spans="3:22">
      <c r="C12" s="798">
        <f t="shared" ref="C12:C28" si="1">C11+1</f>
        <v>3</v>
      </c>
      <c r="D12" s="258" t="s">
        <v>1925</v>
      </c>
      <c r="E12" s="258" t="s">
        <v>1926</v>
      </c>
      <c r="F12" s="4065">
        <v>18.170000000000002</v>
      </c>
      <c r="G12" s="4065">
        <v>18.170000000000002</v>
      </c>
      <c r="H12" s="4065">
        <v>18.97</v>
      </c>
      <c r="I12" s="4065">
        <v>18.97</v>
      </c>
      <c r="J12" s="4065">
        <v>20.059999999999999</v>
      </c>
      <c r="K12" s="4065">
        <v>20.059999999999999</v>
      </c>
      <c r="L12" s="4065">
        <v>21.21</v>
      </c>
      <c r="M12" s="4065">
        <v>21.21</v>
      </c>
      <c r="O12" s="842" t="s">
        <v>1937</v>
      </c>
      <c r="P12" s="842" t="s">
        <v>1937</v>
      </c>
      <c r="Q12" s="842" t="s">
        <v>1937</v>
      </c>
      <c r="R12" s="842" t="s">
        <v>1937</v>
      </c>
      <c r="S12" s="842" t="s">
        <v>1937</v>
      </c>
      <c r="T12" s="842" t="s">
        <v>1937</v>
      </c>
      <c r="U12" s="842" t="s">
        <v>1937</v>
      </c>
      <c r="V12" s="842" t="s">
        <v>1937</v>
      </c>
    </row>
    <row r="13" spans="3:22">
      <c r="C13" s="798">
        <f t="shared" si="1"/>
        <v>4</v>
      </c>
      <c r="D13" s="258" t="s">
        <v>1927</v>
      </c>
      <c r="E13" s="258" t="s">
        <v>1928</v>
      </c>
      <c r="F13" s="5051">
        <v>4.4999999999999998E-2</v>
      </c>
      <c r="G13" s="5051">
        <v>4.4999999999999998E-2</v>
      </c>
      <c r="H13" s="5051">
        <v>4.4999999999999998E-2</v>
      </c>
      <c r="I13" s="5051">
        <v>4.4999999999999998E-2</v>
      </c>
      <c r="J13" s="5051">
        <v>4.4999999999999998E-2</v>
      </c>
      <c r="K13" s="5051">
        <v>4.4999999999999998E-2</v>
      </c>
      <c r="L13" s="5051">
        <v>4.4999999999999998E-2</v>
      </c>
      <c r="M13" s="5051">
        <v>4.4999999999999998E-2</v>
      </c>
      <c r="O13" s="1924">
        <f>F13*F18</f>
        <v>82.747799999999998</v>
      </c>
      <c r="P13" s="1924">
        <f>(G13*G18)</f>
        <v>82.747799999999998</v>
      </c>
      <c r="Q13" s="1924">
        <f>(H13*H18)</f>
        <v>92.629800000000003</v>
      </c>
      <c r="R13" s="1924">
        <f>(I13*I18)</f>
        <v>87.908977965082499</v>
      </c>
      <c r="S13" s="1924">
        <f>J13*J18</f>
        <v>104.75415</v>
      </c>
      <c r="T13" s="1924">
        <f>K13*K18</f>
        <v>91.675473875999984</v>
      </c>
      <c r="U13" s="1924">
        <f>L13*L18</f>
        <v>117.57239999999999</v>
      </c>
      <c r="V13" s="1924">
        <f>M13*M18</f>
        <v>97.961748875999987</v>
      </c>
    </row>
    <row r="14" spans="3:22">
      <c r="C14" s="4895"/>
      <c r="D14" s="258"/>
      <c r="E14" s="258"/>
      <c r="F14" s="4065"/>
      <c r="G14" s="4065"/>
      <c r="H14" s="4065"/>
      <c r="I14" s="4065"/>
      <c r="J14" s="4065"/>
      <c r="K14" s="4065"/>
      <c r="L14" s="4065"/>
      <c r="M14" s="4065"/>
      <c r="O14" s="4940"/>
      <c r="P14" s="4940"/>
      <c r="Q14" s="4940"/>
      <c r="R14" s="4940"/>
      <c r="S14" s="4940"/>
      <c r="T14" s="4940"/>
      <c r="U14" s="4940"/>
      <c r="V14" s="4940"/>
    </row>
    <row r="15" spans="3:22">
      <c r="C15" s="798">
        <f>C13+1</f>
        <v>5</v>
      </c>
      <c r="D15" s="788" t="s">
        <v>3661</v>
      </c>
      <c r="E15" s="258"/>
      <c r="F15" s="4065"/>
      <c r="G15" s="4065"/>
      <c r="H15" s="4065"/>
      <c r="I15" s="4065"/>
      <c r="J15" s="4065"/>
      <c r="K15" s="4065"/>
      <c r="L15" s="4065"/>
      <c r="M15" s="4065"/>
    </row>
    <row r="16" spans="3:22">
      <c r="C16" s="798">
        <f t="shared" si="1"/>
        <v>6</v>
      </c>
      <c r="D16" s="258" t="s">
        <v>1929</v>
      </c>
      <c r="E16" s="258" t="s">
        <v>83</v>
      </c>
      <c r="F16" s="4065">
        <f>Assumptions!$E$70</f>
        <v>4392.95</v>
      </c>
      <c r="G16" s="4094">
        <f>Assumptions!$E$71</f>
        <v>4392.9450818099995</v>
      </c>
      <c r="H16" s="4094">
        <f>Assumptions!$F$70</f>
        <v>4758.37</v>
      </c>
      <c r="I16" s="4706">
        <f>Assumptions!$F$71</f>
        <v>4351.5211695899998</v>
      </c>
      <c r="J16" s="4065">
        <v>5216.16</v>
      </c>
      <c r="K16" s="4602">
        <f>Assumptions!$G$71</f>
        <v>4418.8313277799989</v>
      </c>
      <c r="L16" s="4602">
        <v>5734.66</v>
      </c>
      <c r="M16" s="4602">
        <f>Assumptions!$H$71</f>
        <v>4593.6293562891042</v>
      </c>
      <c r="O16" s="612"/>
      <c r="P16" s="612"/>
    </row>
    <row r="17" spans="3:18">
      <c r="C17" s="798">
        <f t="shared" si="1"/>
        <v>7</v>
      </c>
      <c r="D17" s="258" t="s">
        <v>1930</v>
      </c>
      <c r="E17" s="258" t="s">
        <v>1931</v>
      </c>
      <c r="F17" s="4065">
        <v>1024.3699999999999</v>
      </c>
      <c r="G17" s="4065">
        <f>SUM('F14'!D45:E45)/1000</f>
        <v>1024.3689999999999</v>
      </c>
      <c r="H17" s="4065">
        <v>1034.53</v>
      </c>
      <c r="I17" s="4065">
        <f>SUM('F14'!$D$98:$E$98)/1000</f>
        <v>1020.353</v>
      </c>
      <c r="J17" s="4065">
        <v>1044.96</v>
      </c>
      <c r="K17" s="4603">
        <f>Assumptions!$G$72/1000</f>
        <v>1036.7135550141129</v>
      </c>
      <c r="L17" s="4602">
        <v>1055.4100000000001</v>
      </c>
      <c r="M17" s="4603">
        <f>Assumptions!$H$72/1000</f>
        <v>1053.4244072895026</v>
      </c>
      <c r="R17" s="5628"/>
    </row>
    <row r="18" spans="3:18">
      <c r="C18" s="798">
        <f t="shared" si="1"/>
        <v>8</v>
      </c>
      <c r="D18" s="258" t="s">
        <v>1932</v>
      </c>
      <c r="E18" s="258" t="s">
        <v>151</v>
      </c>
      <c r="F18" s="4065">
        <f>Assumptions!$E$21</f>
        <v>1838.84</v>
      </c>
      <c r="G18" s="4707">
        <f>Assumptions!$E$30</f>
        <v>1838.84</v>
      </c>
      <c r="H18" s="4707">
        <f>Assumptions!$F$21</f>
        <v>2058.44</v>
      </c>
      <c r="I18" s="4707">
        <f>Assumptions!$F$30</f>
        <v>1953.5328436684999</v>
      </c>
      <c r="J18" s="4065">
        <v>2327.87</v>
      </c>
      <c r="K18" s="4602">
        <f>Assumptions!G$30</f>
        <v>2037.2327527999998</v>
      </c>
      <c r="L18" s="4602">
        <v>2612.7199999999998</v>
      </c>
      <c r="M18" s="4602">
        <f>Assumptions!H$30</f>
        <v>2176.9277527999998</v>
      </c>
      <c r="R18" s="5628"/>
    </row>
    <row r="19" spans="3:18">
      <c r="C19" s="4895"/>
      <c r="D19" s="258"/>
      <c r="E19" s="258"/>
      <c r="F19" s="4065"/>
      <c r="G19" s="4707"/>
      <c r="H19" s="4707"/>
      <c r="I19" s="4707"/>
      <c r="J19" s="4065"/>
      <c r="K19" s="4602"/>
      <c r="L19" s="4602"/>
      <c r="M19" s="4602"/>
      <c r="R19" s="4892"/>
    </row>
    <row r="20" spans="3:18">
      <c r="C20" s="4895">
        <f>C18+1</f>
        <v>9</v>
      </c>
      <c r="D20" s="788" t="s">
        <v>3662</v>
      </c>
      <c r="E20" s="258"/>
      <c r="F20" s="4065"/>
      <c r="G20" s="4707"/>
      <c r="H20" s="4707"/>
      <c r="I20" s="4707"/>
      <c r="J20" s="4065"/>
      <c r="K20" s="4602"/>
      <c r="L20" s="4602"/>
      <c r="M20" s="4602"/>
      <c r="R20" s="4892"/>
    </row>
    <row r="21" spans="3:18">
      <c r="C21" s="4895">
        <f t="shared" si="1"/>
        <v>10</v>
      </c>
      <c r="D21" s="258" t="s">
        <v>1929</v>
      </c>
      <c r="E21" s="258" t="s">
        <v>151</v>
      </c>
      <c r="F21" s="4065">
        <f>(F11*F16)/1000</f>
        <v>79.644183499999997</v>
      </c>
      <c r="G21" s="4065">
        <f t="shared" ref="G21:M21" si="2">(G11*G16)/1000</f>
        <v>79.644094333215278</v>
      </c>
      <c r="H21" s="4065">
        <f t="shared" si="2"/>
        <v>91.2179529</v>
      </c>
      <c r="I21" s="4065">
        <f t="shared" si="2"/>
        <v>83.418660821040305</v>
      </c>
      <c r="J21" s="4065">
        <f t="shared" si="2"/>
        <v>105.67940160000001</v>
      </c>
      <c r="K21" s="4065">
        <f t="shared" si="2"/>
        <v>89.525522700822776</v>
      </c>
      <c r="L21" s="4065">
        <f t="shared" si="2"/>
        <v>122.83641720000001</v>
      </c>
      <c r="M21" s="4065">
        <f t="shared" si="2"/>
        <v>98.395540811712621</v>
      </c>
      <c r="R21" s="4892"/>
    </row>
    <row r="22" spans="3:18">
      <c r="C22" s="4895">
        <f t="shared" si="1"/>
        <v>11</v>
      </c>
      <c r="D22" s="258" t="s">
        <v>1930</v>
      </c>
      <c r="E22" s="258" t="s">
        <v>151</v>
      </c>
      <c r="F22" s="4065">
        <f>(F12*10^5*F17)/10^7</f>
        <v>186.128029</v>
      </c>
      <c r="G22" s="4065">
        <f t="shared" ref="G22:M22" si="3">(G12*10^5*G17)/10^7</f>
        <v>186.12784730000001</v>
      </c>
      <c r="H22" s="4065">
        <f t="shared" si="3"/>
        <v>196.25034099999999</v>
      </c>
      <c r="I22" s="4065">
        <f t="shared" si="3"/>
        <v>193.56096410000001</v>
      </c>
      <c r="J22" s="4065">
        <f t="shared" si="3"/>
        <v>209.61897599999998</v>
      </c>
      <c r="K22" s="4065">
        <f t="shared" si="3"/>
        <v>207.96473913583102</v>
      </c>
      <c r="L22" s="4065">
        <f t="shared" si="3"/>
        <v>223.85246100000001</v>
      </c>
      <c r="M22" s="4065">
        <f t="shared" si="3"/>
        <v>223.43131678610348</v>
      </c>
      <c r="R22" s="4892"/>
    </row>
    <row r="23" spans="3:18">
      <c r="C23" s="4895">
        <f t="shared" si="1"/>
        <v>12</v>
      </c>
      <c r="D23" s="258" t="s">
        <v>1932</v>
      </c>
      <c r="E23" s="258" t="s">
        <v>151</v>
      </c>
      <c r="F23" s="4065">
        <f>(F13*F18)</f>
        <v>82.747799999999998</v>
      </c>
      <c r="G23" s="4065">
        <f t="shared" ref="G23:M23" si="4">(G13*G18)</f>
        <v>82.747799999999998</v>
      </c>
      <c r="H23" s="4065">
        <f t="shared" si="4"/>
        <v>92.629800000000003</v>
      </c>
      <c r="I23" s="4065">
        <f t="shared" si="4"/>
        <v>87.908977965082499</v>
      </c>
      <c r="J23" s="4065">
        <f t="shared" si="4"/>
        <v>104.75415</v>
      </c>
      <c r="K23" s="4065">
        <f t="shared" si="4"/>
        <v>91.675473875999984</v>
      </c>
      <c r="L23" s="4065">
        <f t="shared" si="4"/>
        <v>117.57239999999999</v>
      </c>
      <c r="M23" s="4065">
        <f t="shared" si="4"/>
        <v>97.961748875999987</v>
      </c>
      <c r="R23" s="4892"/>
    </row>
    <row r="24" spans="3:18">
      <c r="C24" s="4895">
        <f t="shared" si="1"/>
        <v>13</v>
      </c>
      <c r="D24" s="788" t="s">
        <v>1933</v>
      </c>
      <c r="E24" s="258" t="s">
        <v>151</v>
      </c>
      <c r="F24" s="4065">
        <f>SUM(F21:F23)</f>
        <v>348.52001250000001</v>
      </c>
      <c r="G24" s="4065">
        <f t="shared" ref="G24:M24" si="5">SUM(G21:G23)</f>
        <v>348.51974163321529</v>
      </c>
      <c r="H24" s="4065">
        <f t="shared" si="5"/>
        <v>380.09809389999998</v>
      </c>
      <c r="I24" s="4065">
        <f t="shared" si="5"/>
        <v>364.88860288612284</v>
      </c>
      <c r="J24" s="4065">
        <f t="shared" si="5"/>
        <v>420.05252759999996</v>
      </c>
      <c r="K24" s="4065">
        <f t="shared" si="5"/>
        <v>389.16573571265383</v>
      </c>
      <c r="L24" s="4065">
        <f t="shared" si="5"/>
        <v>464.26127819999999</v>
      </c>
      <c r="M24" s="4065">
        <f t="shared" si="5"/>
        <v>419.78860647381612</v>
      </c>
      <c r="P24" s="807"/>
    </row>
    <row r="25" spans="3:18">
      <c r="C25" s="798">
        <f t="shared" si="1"/>
        <v>14</v>
      </c>
      <c r="D25" s="258" t="s">
        <v>1934</v>
      </c>
      <c r="E25" s="258" t="s">
        <v>151</v>
      </c>
      <c r="F25" s="4065">
        <v>0</v>
      </c>
      <c r="G25" s="4065">
        <v>0</v>
      </c>
      <c r="H25" s="4065">
        <v>0</v>
      </c>
      <c r="I25" s="4065">
        <v>0</v>
      </c>
      <c r="J25" s="4065">
        <v>0</v>
      </c>
      <c r="K25" s="4602">
        <v>0</v>
      </c>
      <c r="L25" s="4602">
        <v>0</v>
      </c>
      <c r="M25" s="4602">
        <v>0</v>
      </c>
    </row>
    <row r="26" spans="3:18">
      <c r="C26" s="798">
        <f t="shared" si="1"/>
        <v>15</v>
      </c>
      <c r="D26" s="788" t="s">
        <v>1935</v>
      </c>
      <c r="E26" s="788" t="s">
        <v>151</v>
      </c>
      <c r="F26" s="4262">
        <f>F24-F25</f>
        <v>348.52001250000001</v>
      </c>
      <c r="G26" s="4262">
        <f>G24-G25</f>
        <v>348.51974163321529</v>
      </c>
      <c r="H26" s="4262">
        <f>H24-H25</f>
        <v>380.09809389999998</v>
      </c>
      <c r="I26" s="4262">
        <f>I24-I25</f>
        <v>364.88860288612284</v>
      </c>
      <c r="J26" s="4065">
        <v>420.05</v>
      </c>
      <c r="K26" s="4602">
        <f>K24-K25</f>
        <v>389.16573571265383</v>
      </c>
      <c r="L26" s="4602">
        <v>464.26</v>
      </c>
      <c r="M26" s="4602">
        <f>M24-M25</f>
        <v>419.78860647381612</v>
      </c>
    </row>
    <row r="27" spans="3:18">
      <c r="C27" s="921">
        <f t="shared" si="1"/>
        <v>16</v>
      </c>
      <c r="D27" s="258" t="s">
        <v>2217</v>
      </c>
      <c r="E27" s="258" t="s">
        <v>151</v>
      </c>
      <c r="F27" s="4065">
        <v>58.35</v>
      </c>
      <c r="G27" s="4708">
        <f>F27</f>
        <v>58.35</v>
      </c>
      <c r="H27" s="4708">
        <v>54.28</v>
      </c>
      <c r="I27" s="4708">
        <f>H27</f>
        <v>54.28</v>
      </c>
      <c r="J27" s="4065">
        <v>54.28</v>
      </c>
      <c r="K27" s="4708">
        <f>J27</f>
        <v>54.28</v>
      </c>
      <c r="L27" s="4602">
        <v>54.28</v>
      </c>
      <c r="M27" s="4708">
        <f>L27</f>
        <v>54.28</v>
      </c>
    </row>
    <row r="28" spans="3:18">
      <c r="C28" s="4891">
        <f t="shared" si="1"/>
        <v>17</v>
      </c>
      <c r="D28" s="788" t="s">
        <v>1933</v>
      </c>
      <c r="E28" s="788" t="s">
        <v>151</v>
      </c>
      <c r="F28" s="4262">
        <f>F26+F27</f>
        <v>406.87001250000003</v>
      </c>
      <c r="G28" s="4262">
        <f>G26+G27</f>
        <v>406.86974163321531</v>
      </c>
      <c r="H28" s="4262">
        <f>H26+H27</f>
        <v>434.37809389999995</v>
      </c>
      <c r="I28" s="4262">
        <f>I26+I27</f>
        <v>419.16860288612281</v>
      </c>
      <c r="J28" s="4262">
        <f>J26+J27</f>
        <v>474.33000000000004</v>
      </c>
      <c r="K28" s="4939">
        <f>SUM(K26:K27)</f>
        <v>443.4457357126538</v>
      </c>
      <c r="L28" s="4939">
        <f>SUM(L26:L27)</f>
        <v>518.54</v>
      </c>
      <c r="M28" s="4939">
        <f>SUM(M26:M27)</f>
        <v>474.06860647381609</v>
      </c>
    </row>
    <row r="31" spans="3:18" s="3755" customFormat="1"/>
    <row r="33" spans="2:22">
      <c r="E33" s="5446"/>
      <c r="F33" s="5446"/>
      <c r="G33" s="5446"/>
    </row>
    <row r="35" spans="2:22">
      <c r="B35" s="1503"/>
      <c r="C35" s="1503"/>
      <c r="D35" s="1503"/>
      <c r="E35" s="1503"/>
      <c r="F35" s="1503"/>
      <c r="G35" s="1503"/>
      <c r="H35" s="1503"/>
      <c r="I35" s="1503"/>
      <c r="J35" s="1503"/>
      <c r="K35" s="1503"/>
      <c r="L35" s="1503"/>
      <c r="M35" s="1503"/>
      <c r="N35" s="1503"/>
      <c r="O35" s="1503"/>
      <c r="P35" s="1503"/>
      <c r="Q35" s="1503"/>
      <c r="R35" s="1503"/>
      <c r="S35" s="1503"/>
      <c r="T35" s="1503"/>
      <c r="U35" s="1503"/>
      <c r="V35" s="1503"/>
    </row>
    <row r="36" spans="2:22">
      <c r="B36" s="1503"/>
      <c r="C36" s="5626"/>
      <c r="D36" s="5626"/>
      <c r="E36" s="5626"/>
      <c r="F36" s="5627"/>
      <c r="G36" s="5627"/>
      <c r="H36" s="5627"/>
      <c r="I36" s="5627"/>
      <c r="J36" s="2814"/>
      <c r="K36" s="2814"/>
      <c r="L36" s="2814"/>
      <c r="M36" s="2814"/>
      <c r="N36" s="1503"/>
      <c r="O36" s="5627"/>
      <c r="P36" s="5627"/>
      <c r="Q36" s="5627"/>
      <c r="R36" s="5627"/>
      <c r="S36" s="1503"/>
      <c r="T36" s="1503"/>
      <c r="U36" s="1503"/>
      <c r="V36" s="1503"/>
    </row>
    <row r="37" spans="2:22">
      <c r="B37" s="1503"/>
      <c r="C37" s="5626"/>
      <c r="D37" s="5626"/>
      <c r="E37" s="5626"/>
      <c r="F37" s="1636"/>
      <c r="G37" s="2763"/>
      <c r="H37" s="1636"/>
      <c r="I37" s="2763"/>
      <c r="J37" s="2763"/>
      <c r="K37" s="2763"/>
      <c r="L37" s="2763"/>
      <c r="M37" s="2763"/>
      <c r="N37" s="1503"/>
      <c r="O37" s="3109"/>
      <c r="P37" s="3109"/>
      <c r="Q37" s="3109"/>
      <c r="R37" s="3109"/>
      <c r="S37" s="1503"/>
      <c r="T37" s="1503"/>
      <c r="U37" s="1503"/>
      <c r="V37" s="1503"/>
    </row>
    <row r="38" spans="2:22">
      <c r="B38" s="1503"/>
      <c r="C38" s="1640"/>
      <c r="D38" s="3109"/>
      <c r="E38" s="1503"/>
      <c r="F38" s="1503"/>
      <c r="G38" s="1503"/>
      <c r="H38" s="1503"/>
      <c r="I38" s="1503"/>
      <c r="J38" s="1503"/>
      <c r="K38" s="1503"/>
      <c r="L38" s="1503"/>
      <c r="M38" s="1503"/>
      <c r="N38" s="1503"/>
      <c r="O38" s="3109"/>
      <c r="P38" s="3109"/>
      <c r="Q38" s="3109"/>
      <c r="R38" s="3109"/>
      <c r="S38" s="1503"/>
      <c r="T38" s="1503"/>
      <c r="U38" s="1503"/>
      <c r="V38" s="1503"/>
    </row>
    <row r="39" spans="2:22">
      <c r="B39" s="1503"/>
      <c r="C39" s="1640"/>
      <c r="D39" s="1503"/>
      <c r="E39" s="1503"/>
      <c r="F39" s="1503"/>
      <c r="G39" s="1503"/>
      <c r="H39" s="1503"/>
      <c r="I39" s="1503"/>
      <c r="J39" s="1503"/>
      <c r="K39" s="1503"/>
      <c r="L39" s="1503"/>
      <c r="M39" s="1503"/>
      <c r="N39" s="1503"/>
      <c r="O39" s="3388"/>
      <c r="P39" s="3388"/>
      <c r="Q39" s="3388"/>
      <c r="R39" s="3388"/>
      <c r="S39" s="1503"/>
      <c r="T39" s="1503"/>
      <c r="U39" s="1503"/>
      <c r="V39" s="1503"/>
    </row>
    <row r="40" spans="2:22">
      <c r="B40" s="1503"/>
      <c r="C40" s="1640"/>
      <c r="D40" s="1503"/>
      <c r="E40" s="1503"/>
      <c r="F40" s="1503"/>
      <c r="G40" s="1503"/>
      <c r="H40" s="1503"/>
      <c r="I40" s="1503"/>
      <c r="J40" s="1503"/>
      <c r="K40" s="1503"/>
      <c r="L40" s="1503"/>
      <c r="M40" s="1503"/>
      <c r="N40" s="1503"/>
      <c r="O40" s="1640"/>
      <c r="P40" s="1640"/>
      <c r="Q40" s="1640"/>
      <c r="R40" s="1640"/>
      <c r="S40" s="1503"/>
      <c r="T40" s="1503"/>
      <c r="U40" s="1503"/>
      <c r="V40" s="1503"/>
    </row>
    <row r="41" spans="2:22">
      <c r="B41" s="1503"/>
      <c r="C41" s="1640"/>
      <c r="D41" s="1503"/>
      <c r="E41" s="1503"/>
      <c r="F41" s="3753"/>
      <c r="G41" s="3753"/>
      <c r="H41" s="3753"/>
      <c r="I41" s="3753"/>
      <c r="J41" s="3753"/>
      <c r="K41" s="3753"/>
      <c r="L41" s="3753"/>
      <c r="M41" s="3753"/>
      <c r="N41" s="1503"/>
      <c r="O41" s="3388"/>
      <c r="P41" s="3388"/>
      <c r="Q41" s="3388"/>
      <c r="R41" s="3388"/>
      <c r="S41" s="1503"/>
      <c r="T41" s="1503"/>
      <c r="U41" s="1503"/>
      <c r="V41" s="1503"/>
    </row>
    <row r="42" spans="2:22">
      <c r="B42" s="1503"/>
      <c r="C42" s="1640"/>
      <c r="D42" s="3109"/>
      <c r="E42" s="1503"/>
      <c r="F42" s="1503"/>
      <c r="G42" s="1503"/>
      <c r="H42" s="1503"/>
      <c r="I42" s="1503"/>
      <c r="J42" s="1503"/>
      <c r="K42" s="1503"/>
      <c r="L42" s="1503"/>
      <c r="M42" s="1503"/>
      <c r="N42" s="1503"/>
      <c r="O42" s="1503"/>
      <c r="P42" s="1503"/>
      <c r="Q42" s="1503"/>
      <c r="R42" s="1503"/>
      <c r="S42" s="1503"/>
      <c r="T42" s="1503"/>
      <c r="U42" s="1503"/>
      <c r="V42" s="1503"/>
    </row>
    <row r="43" spans="2:22">
      <c r="B43" s="1503"/>
      <c r="C43" s="1640"/>
      <c r="D43" s="1503"/>
      <c r="E43" s="1503"/>
      <c r="F43" s="1503"/>
      <c r="G43" s="3754"/>
      <c r="H43" s="1503"/>
      <c r="I43" s="3754"/>
      <c r="J43" s="3754"/>
      <c r="K43" s="3754"/>
      <c r="L43" s="3754"/>
      <c r="M43" s="3754"/>
      <c r="N43" s="1503"/>
      <c r="O43" s="1503"/>
      <c r="P43" s="1503"/>
      <c r="Q43" s="1503"/>
      <c r="R43" s="1503"/>
      <c r="S43" s="1503"/>
      <c r="T43" s="1503"/>
      <c r="U43" s="1503"/>
      <c r="V43" s="1503"/>
    </row>
    <row r="44" spans="2:22">
      <c r="B44" s="1503"/>
      <c r="C44" s="1640"/>
      <c r="D44" s="1503"/>
      <c r="E44" s="1503"/>
      <c r="F44" s="1503"/>
      <c r="G44" s="1503"/>
      <c r="H44" s="1503"/>
      <c r="I44" s="1503"/>
      <c r="J44" s="1503"/>
      <c r="K44" s="1503"/>
      <c r="L44" s="1503"/>
      <c r="M44" s="1503"/>
      <c r="N44" s="1503"/>
      <c r="O44" s="1503"/>
      <c r="P44" s="1503"/>
      <c r="Q44" s="1503"/>
      <c r="R44" s="1503"/>
      <c r="S44" s="1503"/>
      <c r="T44" s="1503"/>
      <c r="U44" s="1503"/>
      <c r="V44" s="1503"/>
    </row>
    <row r="45" spans="2:22">
      <c r="B45" s="1503"/>
      <c r="C45" s="1640"/>
      <c r="D45" s="1503"/>
      <c r="E45" s="1503"/>
      <c r="F45" s="1503"/>
      <c r="G45" s="1504"/>
      <c r="H45" s="1503"/>
      <c r="I45" s="1504"/>
      <c r="J45" s="1504"/>
      <c r="K45" s="1504"/>
      <c r="L45" s="1504"/>
      <c r="M45" s="1504"/>
      <c r="N45" s="1503"/>
      <c r="O45" s="1503"/>
      <c r="P45" s="1503"/>
      <c r="Q45" s="1503"/>
      <c r="R45" s="1503"/>
      <c r="S45" s="1503"/>
      <c r="T45" s="1503"/>
      <c r="U45" s="1503"/>
      <c r="V45" s="1503"/>
    </row>
    <row r="46" spans="2:22">
      <c r="B46" s="1503"/>
      <c r="C46" s="1640"/>
      <c r="D46" s="3109"/>
      <c r="E46" s="1503"/>
      <c r="F46" s="1504"/>
      <c r="G46" s="1504"/>
      <c r="H46" s="1504"/>
      <c r="I46" s="1504"/>
      <c r="J46" s="1504"/>
      <c r="K46" s="1504"/>
      <c r="L46" s="1504"/>
      <c r="M46" s="1504"/>
      <c r="N46" s="1503"/>
      <c r="O46" s="1503"/>
      <c r="P46" s="1503"/>
      <c r="Q46" s="1503"/>
      <c r="R46" s="1503"/>
      <c r="S46" s="1503"/>
      <c r="T46" s="1503"/>
      <c r="U46" s="1503"/>
      <c r="V46" s="1503"/>
    </row>
    <row r="47" spans="2:22">
      <c r="B47" s="1503"/>
      <c r="C47" s="1640"/>
      <c r="D47" s="1503"/>
      <c r="E47" s="1503"/>
      <c r="F47" s="1503"/>
      <c r="G47" s="1503"/>
      <c r="H47" s="1503"/>
      <c r="I47" s="1503"/>
      <c r="J47" s="1503"/>
      <c r="K47" s="1503"/>
      <c r="L47" s="1503"/>
      <c r="M47" s="1503"/>
      <c r="N47" s="1503"/>
      <c r="O47" s="1503"/>
      <c r="P47" s="1503"/>
      <c r="Q47" s="1503"/>
      <c r="R47" s="1503"/>
      <c r="S47" s="1503"/>
      <c r="T47" s="1503"/>
      <c r="U47" s="1503"/>
      <c r="V47" s="1503"/>
    </row>
    <row r="48" spans="2:22">
      <c r="B48" s="1503"/>
      <c r="C48" s="1640"/>
      <c r="D48" s="3109"/>
      <c r="E48" s="1503"/>
      <c r="F48" s="1503"/>
      <c r="G48" s="1504"/>
      <c r="H48" s="1503"/>
      <c r="I48" s="1504"/>
      <c r="J48" s="1504"/>
      <c r="K48" s="1504"/>
      <c r="L48" s="1504"/>
      <c r="M48" s="1504"/>
      <c r="N48" s="1503"/>
      <c r="O48" s="1503"/>
      <c r="P48" s="1503"/>
      <c r="Q48" s="1503"/>
      <c r="R48" s="1503"/>
      <c r="S48" s="1503"/>
      <c r="T48" s="1503"/>
      <c r="U48" s="1503"/>
      <c r="V48" s="1503"/>
    </row>
    <row r="49" spans="2:22">
      <c r="B49" s="1503"/>
      <c r="C49" s="1640"/>
      <c r="D49" s="1503"/>
      <c r="E49" s="1503"/>
      <c r="F49" s="1503"/>
      <c r="G49" s="1503"/>
      <c r="H49" s="1503"/>
      <c r="I49" s="1503"/>
      <c r="J49" s="1503"/>
      <c r="K49" s="1503"/>
      <c r="L49" s="1503"/>
      <c r="M49" s="1503"/>
      <c r="N49" s="1503"/>
      <c r="O49" s="1503"/>
      <c r="P49" s="1503"/>
      <c r="Q49" s="1503"/>
      <c r="R49" s="1503"/>
      <c r="S49" s="1503"/>
      <c r="T49" s="1503"/>
      <c r="U49" s="1503"/>
      <c r="V49" s="1503"/>
    </row>
    <row r="50" spans="2:22">
      <c r="B50" s="1503"/>
      <c r="C50" s="2814"/>
      <c r="D50" s="3109"/>
      <c r="E50" s="1503"/>
      <c r="F50" s="1503"/>
      <c r="G50" s="1503"/>
      <c r="H50" s="1503"/>
      <c r="I50" s="1503"/>
      <c r="J50" s="1503"/>
      <c r="K50" s="1503"/>
      <c r="L50" s="1503"/>
      <c r="M50" s="1503"/>
      <c r="N50" s="1503"/>
      <c r="O50" s="1503"/>
      <c r="P50" s="1503"/>
      <c r="Q50" s="1503"/>
      <c r="R50" s="1503"/>
      <c r="S50" s="1503"/>
      <c r="T50" s="1503"/>
      <c r="U50" s="1503"/>
      <c r="V50" s="1503"/>
    </row>
    <row r="51" spans="2:22">
      <c r="B51" s="1503"/>
      <c r="C51" s="1503"/>
      <c r="D51" s="1503"/>
      <c r="E51" s="1503"/>
      <c r="F51" s="1503"/>
      <c r="G51" s="1503"/>
      <c r="H51" s="1503"/>
      <c r="I51" s="1503"/>
      <c r="J51" s="1503"/>
      <c r="K51" s="1503"/>
      <c r="L51" s="1503"/>
      <c r="M51" s="1503"/>
      <c r="N51" s="1503"/>
      <c r="O51" s="1503"/>
      <c r="P51" s="1503"/>
      <c r="Q51" s="1503"/>
      <c r="R51" s="1503"/>
      <c r="S51" s="1503"/>
      <c r="T51" s="1503"/>
      <c r="U51" s="1503"/>
      <c r="V51" s="1503"/>
    </row>
    <row r="52" spans="2:22">
      <c r="B52" s="1503"/>
      <c r="C52" s="1503"/>
      <c r="D52" s="1503"/>
      <c r="E52" s="1503"/>
      <c r="F52" s="1503"/>
      <c r="G52" s="1503"/>
      <c r="H52" s="1503"/>
      <c r="I52" s="1503"/>
      <c r="J52" s="1503"/>
      <c r="K52" s="1503"/>
      <c r="L52" s="1503"/>
      <c r="M52" s="1503"/>
      <c r="N52" s="1503"/>
      <c r="O52" s="1503"/>
      <c r="P52" s="1503"/>
      <c r="Q52" s="1503"/>
      <c r="R52" s="1503"/>
      <c r="S52" s="1503"/>
      <c r="T52" s="1503"/>
      <c r="U52" s="1503"/>
      <c r="V52" s="1503"/>
    </row>
  </sheetData>
  <mergeCells count="25">
    <mergeCell ref="S8:T8"/>
    <mergeCell ref="U8:V8"/>
    <mergeCell ref="O7:P8"/>
    <mergeCell ref="Q7:R8"/>
    <mergeCell ref="S7:V7"/>
    <mergeCell ref="J8:K8"/>
    <mergeCell ref="L8:M8"/>
    <mergeCell ref="H7:I8"/>
    <mergeCell ref="J7:M7"/>
    <mergeCell ref="C3:I3"/>
    <mergeCell ref="C4:I4"/>
    <mergeCell ref="C5:I5"/>
    <mergeCell ref="H36:I36"/>
    <mergeCell ref="O36:P36"/>
    <mergeCell ref="Q36:R36"/>
    <mergeCell ref="E33:G33"/>
    <mergeCell ref="R17:R18"/>
    <mergeCell ref="C36:C37"/>
    <mergeCell ref="D36:D37"/>
    <mergeCell ref="E36:E37"/>
    <mergeCell ref="F36:G36"/>
    <mergeCell ref="F7:G8"/>
    <mergeCell ref="C7:C9"/>
    <mergeCell ref="D7:D9"/>
    <mergeCell ref="E7:E9"/>
  </mergeCells>
  <printOptions horizontalCentered="1"/>
  <pageMargins left="0.2" right="0.3" top="0.91" bottom="0.75" header="0.3" footer="0.3"/>
  <pageSetup paperSize="9" scale="95" orientation="landscape" r:id="rId1"/>
</worksheet>
</file>

<file path=xl/worksheets/sheet37.xml><?xml version="1.0" encoding="utf-8"?>
<worksheet xmlns="http://schemas.openxmlformats.org/spreadsheetml/2006/main" xmlns:r="http://schemas.openxmlformats.org/officeDocument/2006/relationships">
  <dimension ref="B1:M38"/>
  <sheetViews>
    <sheetView showGridLines="0" view="pageBreakPreview" zoomScale="78" zoomScaleSheetLayoutView="78" workbookViewId="0">
      <selection activeCell="J1" sqref="J1:M1048576"/>
    </sheetView>
  </sheetViews>
  <sheetFormatPr defaultRowHeight="12.75"/>
  <cols>
    <col min="1" max="1" width="11.28515625" style="4735" customWidth="1"/>
    <col min="2" max="2" width="7" style="4735" customWidth="1"/>
    <col min="3" max="3" width="37.7109375" style="4735" customWidth="1"/>
    <col min="4" max="5" width="11" style="4735" hidden="1" customWidth="1"/>
    <col min="6" max="6" width="12.85546875" style="4735" hidden="1" customWidth="1"/>
    <col min="7" max="7" width="13.5703125" style="4735" hidden="1" customWidth="1"/>
    <col min="8" max="9" width="13.5703125" style="4735" bestFit="1" customWidth="1"/>
    <col min="10" max="11" width="13.5703125" style="4735" hidden="1" customWidth="1"/>
    <col min="12" max="12" width="23.140625" style="4735" hidden="1" customWidth="1"/>
    <col min="13" max="13" width="64.5703125" style="4735" hidden="1" customWidth="1"/>
    <col min="14" max="16384" width="9.140625" style="4735"/>
  </cols>
  <sheetData>
    <row r="1" spans="2:12" s="4732" customFormat="1">
      <c r="B1" s="4731"/>
    </row>
    <row r="2" spans="2:12" s="4732" customFormat="1">
      <c r="B2" s="5642" t="s">
        <v>170</v>
      </c>
      <c r="C2" s="5642"/>
      <c r="D2" s="5642"/>
      <c r="E2" s="5642"/>
      <c r="F2" s="5642"/>
      <c r="G2" s="5642"/>
      <c r="H2" s="5642"/>
      <c r="I2" s="5642"/>
      <c r="J2" s="5325"/>
      <c r="K2" s="5325"/>
      <c r="L2" s="5325"/>
    </row>
    <row r="3" spans="2:12" s="4732" customFormat="1">
      <c r="B3" s="5642" t="s">
        <v>3016</v>
      </c>
      <c r="C3" s="5642"/>
      <c r="D3" s="5642"/>
      <c r="E3" s="5642"/>
      <c r="F3" s="5642"/>
      <c r="G3" s="5642"/>
      <c r="H3" s="5642"/>
      <c r="I3" s="5642"/>
      <c r="J3" s="5326"/>
      <c r="K3" s="5326"/>
      <c r="L3" s="5326"/>
    </row>
    <row r="4" spans="2:12" s="4733" customFormat="1">
      <c r="B4" s="5643" t="s">
        <v>3915</v>
      </c>
      <c r="C4" s="5643"/>
      <c r="D4" s="5643"/>
      <c r="E4" s="5643"/>
      <c r="F4" s="5643"/>
      <c r="G4" s="5643"/>
      <c r="H4" s="5643"/>
      <c r="I4" s="5643"/>
      <c r="J4" s="5327"/>
      <c r="K4" s="5327"/>
      <c r="L4" s="5327"/>
    </row>
    <row r="5" spans="2:12" s="4733" customFormat="1">
      <c r="B5" s="5643" t="s">
        <v>3522</v>
      </c>
      <c r="C5" s="5643"/>
      <c r="D5" s="5643"/>
      <c r="E5" s="5643"/>
      <c r="F5" s="5643"/>
      <c r="G5" s="5643"/>
      <c r="H5" s="5643"/>
      <c r="I5" s="5643"/>
      <c r="J5" s="5328"/>
      <c r="K5" s="5328"/>
      <c r="L5" s="5328"/>
    </row>
    <row r="7" spans="2:12">
      <c r="B7" s="4734" t="s">
        <v>3482</v>
      </c>
    </row>
    <row r="8" spans="2:12" ht="15" customHeight="1">
      <c r="B8" s="5644" t="s">
        <v>101</v>
      </c>
      <c r="C8" s="5644" t="s">
        <v>81</v>
      </c>
      <c r="D8" s="4754" t="s">
        <v>3478</v>
      </c>
      <c r="E8" s="4754" t="s">
        <v>98</v>
      </c>
      <c r="F8" s="4754" t="s">
        <v>98</v>
      </c>
      <c r="G8" s="4754" t="s">
        <v>3523</v>
      </c>
      <c r="H8" s="5644" t="s">
        <v>82</v>
      </c>
      <c r="I8" s="5644" t="s">
        <v>1845</v>
      </c>
      <c r="J8" s="5644" t="s">
        <v>3907</v>
      </c>
      <c r="K8" s="5644" t="s">
        <v>2443</v>
      </c>
      <c r="L8" s="5644" t="s">
        <v>2577</v>
      </c>
    </row>
    <row r="9" spans="2:12">
      <c r="B9" s="5645"/>
      <c r="C9" s="5645"/>
      <c r="D9" s="4754" t="s">
        <v>3477</v>
      </c>
      <c r="E9" s="4754" t="s">
        <v>3478</v>
      </c>
      <c r="F9" s="4754" t="s">
        <v>3524</v>
      </c>
      <c r="G9" s="4754" t="s">
        <v>3525</v>
      </c>
      <c r="H9" s="5645"/>
      <c r="I9" s="5645"/>
      <c r="J9" s="5645"/>
      <c r="K9" s="5645"/>
      <c r="L9" s="5645"/>
    </row>
    <row r="10" spans="2:12">
      <c r="B10" s="4736"/>
      <c r="C10" s="4737"/>
      <c r="D10" s="4737"/>
      <c r="E10" s="4737"/>
      <c r="F10" s="4737"/>
      <c r="G10" s="4737"/>
      <c r="H10" s="4737"/>
      <c r="I10" s="4737"/>
      <c r="J10" s="4737"/>
      <c r="K10" s="4737"/>
      <c r="L10" s="4737"/>
    </row>
    <row r="11" spans="2:12">
      <c r="B11" s="4736" t="s">
        <v>522</v>
      </c>
      <c r="C11" s="4738" t="s">
        <v>3526</v>
      </c>
      <c r="D11" s="4737"/>
      <c r="E11" s="4737"/>
      <c r="F11" s="4737"/>
      <c r="G11" s="4737"/>
      <c r="H11" s="4737"/>
      <c r="I11" s="4737"/>
      <c r="J11" s="4737"/>
      <c r="K11" s="4737"/>
      <c r="L11" s="4737"/>
    </row>
    <row r="12" spans="2:12">
      <c r="B12" s="4736"/>
      <c r="C12" s="4739" t="s">
        <v>3527</v>
      </c>
      <c r="D12" s="4739"/>
      <c r="E12" s="4739">
        <v>989622</v>
      </c>
      <c r="F12" s="4740">
        <v>997849</v>
      </c>
      <c r="G12" s="4740">
        <v>1001841</v>
      </c>
      <c r="H12" s="4740">
        <v>1024199</v>
      </c>
      <c r="I12" s="4740">
        <v>1020174</v>
      </c>
      <c r="J12" s="4740">
        <f>+J14-J13</f>
        <v>1024747</v>
      </c>
      <c r="K12" s="4740"/>
      <c r="L12" s="4741"/>
    </row>
    <row r="13" spans="2:12">
      <c r="B13" s="4736"/>
      <c r="C13" s="4739" t="s">
        <v>3528</v>
      </c>
      <c r="D13" s="4739"/>
      <c r="E13" s="4739">
        <v>140</v>
      </c>
      <c r="F13" s="4740">
        <v>158</v>
      </c>
      <c r="G13" s="4740">
        <v>154</v>
      </c>
      <c r="H13" s="4740">
        <v>170</v>
      </c>
      <c r="I13" s="4740">
        <v>179</v>
      </c>
      <c r="J13" s="4740">
        <v>179</v>
      </c>
      <c r="K13" s="4740"/>
      <c r="L13" s="4741"/>
    </row>
    <row r="14" spans="2:12" s="4734" customFormat="1">
      <c r="B14" s="4742"/>
      <c r="C14" s="4738" t="s">
        <v>3529</v>
      </c>
      <c r="D14" s="4743">
        <f>SUM(D12:D13)</f>
        <v>0</v>
      </c>
      <c r="E14" s="4744">
        <f>E12+E13</f>
        <v>989762</v>
      </c>
      <c r="F14" s="4744">
        <f>F12+F13</f>
        <v>998007</v>
      </c>
      <c r="G14" s="4740">
        <f>G12+G13</f>
        <v>1001995</v>
      </c>
      <c r="H14" s="4740">
        <f>H12+H13</f>
        <v>1024369</v>
      </c>
      <c r="I14" s="4740">
        <f t="shared" ref="I14" si="0">I12+I13</f>
        <v>1020353</v>
      </c>
      <c r="J14" s="4740">
        <v>1024926</v>
      </c>
      <c r="K14" s="4740"/>
      <c r="L14" s="4741"/>
    </row>
    <row r="15" spans="2:12">
      <c r="B15" s="4736"/>
      <c r="C15" s="4745"/>
      <c r="D15" s="4737"/>
      <c r="E15" s="4737"/>
      <c r="F15" s="4737"/>
      <c r="G15" s="4737"/>
      <c r="H15" s="4737"/>
      <c r="I15" s="4737"/>
      <c r="J15" s="4737"/>
      <c r="K15" s="4737"/>
      <c r="L15" s="4737"/>
    </row>
    <row r="16" spans="2:12">
      <c r="B16" s="4736" t="s">
        <v>523</v>
      </c>
      <c r="C16" s="4738" t="s">
        <v>3530</v>
      </c>
      <c r="D16" s="4737"/>
      <c r="E16" s="4737"/>
      <c r="F16" s="4737"/>
      <c r="G16" s="4737"/>
      <c r="H16" s="4737"/>
      <c r="I16" s="4737"/>
      <c r="J16" s="4737"/>
      <c r="K16" s="4737"/>
      <c r="L16" s="4737"/>
    </row>
    <row r="17" spans="2:12">
      <c r="B17" s="4736"/>
      <c r="C17" s="4745" t="s">
        <v>3531</v>
      </c>
      <c r="D17" s="4737"/>
      <c r="E17" s="4737">
        <v>47</v>
      </c>
      <c r="F17" s="4737">
        <v>52</v>
      </c>
      <c r="G17" s="4737">
        <v>52</v>
      </c>
      <c r="H17" s="4737">
        <v>54</v>
      </c>
      <c r="I17" s="4737">
        <v>56</v>
      </c>
      <c r="J17" s="4737">
        <v>59</v>
      </c>
      <c r="K17" s="4737"/>
      <c r="L17" s="4737"/>
    </row>
    <row r="18" spans="2:12">
      <c r="B18" s="4736"/>
      <c r="C18" s="4745" t="s">
        <v>3532</v>
      </c>
      <c r="D18" s="4739"/>
      <c r="E18" s="4737">
        <v>1627000</v>
      </c>
      <c r="F18" s="4737">
        <v>1700200</v>
      </c>
      <c r="G18" s="4737">
        <f>F18+21200</f>
        <v>1721400</v>
      </c>
      <c r="H18" s="4737">
        <v>2388615</v>
      </c>
      <c r="I18" s="4737">
        <v>2402255</v>
      </c>
      <c r="J18" s="4737">
        <v>2433020</v>
      </c>
      <c r="K18" s="4737"/>
      <c r="L18" s="4737"/>
    </row>
    <row r="19" spans="2:12">
      <c r="B19" s="4736"/>
      <c r="C19" s="4745" t="s">
        <v>3269</v>
      </c>
      <c r="D19" s="4739">
        <f>873*0.8</f>
        <v>698.40000000000009</v>
      </c>
      <c r="E19" s="4737">
        <v>862</v>
      </c>
      <c r="F19" s="4737">
        <v>900</v>
      </c>
      <c r="G19" s="4737">
        <v>894</v>
      </c>
      <c r="H19" s="4737"/>
      <c r="I19" s="4737"/>
      <c r="J19" s="4737"/>
      <c r="K19" s="4737"/>
      <c r="L19" s="4737"/>
    </row>
    <row r="20" spans="2:12">
      <c r="B20" s="4736"/>
      <c r="C20" s="4745"/>
      <c r="D20" s="4739"/>
      <c r="E20" s="4737"/>
      <c r="F20" s="4737"/>
      <c r="G20" s="4737"/>
      <c r="H20" s="4737"/>
      <c r="I20" s="4737"/>
      <c r="J20" s="4737"/>
      <c r="K20" s="4737"/>
      <c r="L20" s="4737"/>
    </row>
    <row r="21" spans="2:12">
      <c r="B21" s="4736" t="s">
        <v>524</v>
      </c>
      <c r="C21" s="4738" t="s">
        <v>3533</v>
      </c>
      <c r="D21" s="4739"/>
      <c r="E21" s="4737"/>
      <c r="F21" s="4737"/>
      <c r="G21" s="4737"/>
      <c r="H21" s="4737"/>
      <c r="I21" s="4737"/>
      <c r="J21" s="4737"/>
      <c r="K21" s="4737"/>
      <c r="L21" s="4737"/>
    </row>
    <row r="22" spans="2:12">
      <c r="B22" s="4736"/>
      <c r="C22" s="4745" t="s">
        <v>3534</v>
      </c>
      <c r="D22" s="4739"/>
      <c r="E22" s="4737">
        <v>7594</v>
      </c>
      <c r="F22" s="4737">
        <v>7769</v>
      </c>
      <c r="G22" s="4737">
        <v>7936</v>
      </c>
      <c r="H22" s="4746">
        <v>8056.7075000000041</v>
      </c>
      <c r="I22" s="4746">
        <v>8163.7645000000057</v>
      </c>
      <c r="J22" s="4737">
        <v>8214</v>
      </c>
      <c r="K22" s="4737"/>
      <c r="L22" s="4741"/>
    </row>
    <row r="23" spans="2:12">
      <c r="B23" s="4736"/>
      <c r="C23" s="4745" t="s">
        <v>3535</v>
      </c>
      <c r="D23" s="4737"/>
      <c r="E23" s="4737">
        <v>1800</v>
      </c>
      <c r="F23" s="4737">
        <v>1834</v>
      </c>
      <c r="G23" s="4737">
        <v>1866</v>
      </c>
      <c r="H23" s="4746">
        <v>1905.5330000000013</v>
      </c>
      <c r="I23" s="4746">
        <v>1933.9310000000012</v>
      </c>
      <c r="J23" s="4737">
        <v>1951</v>
      </c>
      <c r="K23" s="4737"/>
      <c r="L23" s="4741"/>
    </row>
    <row r="24" spans="2:12">
      <c r="B24" s="4736"/>
      <c r="C24" s="4745" t="s">
        <v>3536</v>
      </c>
      <c r="D24" s="4747"/>
      <c r="E24" s="4737">
        <v>401</v>
      </c>
      <c r="F24" s="4737">
        <v>415</v>
      </c>
      <c r="G24" s="4737">
        <v>426</v>
      </c>
      <c r="H24" s="4737">
        <v>441</v>
      </c>
      <c r="I24" s="4737">
        <v>453</v>
      </c>
      <c r="J24" s="4737">
        <v>457</v>
      </c>
      <c r="K24" s="4737"/>
      <c r="L24" s="4741"/>
    </row>
    <row r="25" spans="2:12">
      <c r="B25" s="4736"/>
      <c r="C25" s="4745"/>
      <c r="D25" s="4747"/>
      <c r="E25" s="4737"/>
      <c r="F25" s="4737"/>
      <c r="G25" s="4737"/>
      <c r="H25" s="4737"/>
      <c r="I25" s="4737"/>
      <c r="J25" s="4737"/>
      <c r="K25" s="4737"/>
      <c r="L25" s="4737"/>
    </row>
    <row r="26" spans="2:12">
      <c r="B26" s="4736" t="s">
        <v>525</v>
      </c>
      <c r="C26" s="4738" t="s">
        <v>3537</v>
      </c>
      <c r="D26" s="4747"/>
      <c r="E26" s="4737"/>
      <c r="F26" s="4737"/>
      <c r="G26" s="4737"/>
      <c r="H26" s="4737"/>
      <c r="I26" s="4737"/>
      <c r="J26" s="4737"/>
      <c r="K26" s="4737"/>
      <c r="L26" s="4737"/>
    </row>
    <row r="27" spans="2:12">
      <c r="B27" s="4736"/>
      <c r="C27" s="4745" t="s">
        <v>3538</v>
      </c>
      <c r="D27" s="4748"/>
      <c r="E27" s="4748"/>
      <c r="F27" s="4748"/>
      <c r="G27" s="4749"/>
      <c r="H27" s="4749">
        <v>3771.57544581</v>
      </c>
      <c r="I27" s="4749">
        <f>+I29-I28</f>
        <v>3699.4123855899998</v>
      </c>
      <c r="J27" s="4749">
        <f>+J29-J28</f>
        <v>1990.6966101999997</v>
      </c>
      <c r="K27" s="4749"/>
      <c r="L27" s="4737"/>
    </row>
    <row r="28" spans="2:12">
      <c r="B28" s="4736"/>
      <c r="C28" s="4745" t="s">
        <v>3539</v>
      </c>
      <c r="D28" s="4749"/>
      <c r="E28" s="4749"/>
      <c r="F28" s="3917"/>
      <c r="G28" s="4749"/>
      <c r="H28" s="4749">
        <v>621.36963600000001</v>
      </c>
      <c r="I28" s="4749">
        <v>652.10878400000001</v>
      </c>
      <c r="J28" s="4749">
        <f>358092788/10^6</f>
        <v>358.09278799999998</v>
      </c>
      <c r="K28" s="4749"/>
      <c r="L28" s="4737"/>
    </row>
    <row r="29" spans="2:12" s="4734" customFormat="1">
      <c r="B29" s="4742"/>
      <c r="C29" s="4738" t="s">
        <v>3537</v>
      </c>
      <c r="D29" s="4750"/>
      <c r="E29" s="4750"/>
      <c r="F29" s="4750"/>
      <c r="G29" s="4750"/>
      <c r="H29" s="4750">
        <f>SUM(H27:H28)</f>
        <v>4392.9450818100004</v>
      </c>
      <c r="I29" s="4750">
        <v>4351.5211695899998</v>
      </c>
      <c r="J29" s="4750">
        <v>2348.7893981999996</v>
      </c>
      <c r="K29" s="4750"/>
      <c r="L29" s="4751"/>
    </row>
    <row r="30" spans="2:12">
      <c r="B30" s="4736"/>
      <c r="C30" s="4745"/>
      <c r="D30" s="4737"/>
      <c r="E30" s="4737"/>
      <c r="F30" s="4737"/>
      <c r="G30" s="4737"/>
      <c r="H30" s="4737"/>
      <c r="I30" s="4737"/>
      <c r="J30" s="4737"/>
      <c r="K30" s="4737"/>
      <c r="L30" s="4737"/>
    </row>
    <row r="31" spans="2:12">
      <c r="C31" s="4752"/>
      <c r="D31" s="4752"/>
      <c r="E31" s="4752"/>
      <c r="F31" s="4752"/>
      <c r="G31" s="4752"/>
      <c r="H31" s="4752"/>
      <c r="I31" s="4752"/>
      <c r="J31" s="4752"/>
      <c r="K31" s="4752"/>
      <c r="L31" s="4732"/>
    </row>
    <row r="32" spans="2:12" hidden="1">
      <c r="C32" s="4731" t="s">
        <v>3534</v>
      </c>
      <c r="D32" s="4732"/>
      <c r="E32" s="4732"/>
      <c r="F32" s="4732">
        <f t="shared" ref="F32:K34" si="1">F22-E22</f>
        <v>175</v>
      </c>
      <c r="G32" s="4732">
        <f t="shared" si="1"/>
        <v>167</v>
      </c>
      <c r="H32" s="4753">
        <f>H22-G22</f>
        <v>120.70750000000407</v>
      </c>
      <c r="I32" s="4732">
        <f t="shared" si="1"/>
        <v>107.05700000000161</v>
      </c>
      <c r="J32" s="4732">
        <f t="shared" si="1"/>
        <v>50.235499999994317</v>
      </c>
      <c r="K32" s="4732">
        <f t="shared" si="1"/>
        <v>-8214</v>
      </c>
      <c r="L32" s="4732"/>
    </row>
    <row r="33" spans="3:12" hidden="1">
      <c r="C33" s="4731" t="s">
        <v>3535</v>
      </c>
      <c r="D33" s="4732"/>
      <c r="E33" s="4732"/>
      <c r="F33" s="4732">
        <f t="shared" si="1"/>
        <v>34</v>
      </c>
      <c r="G33" s="4732">
        <f t="shared" si="1"/>
        <v>32</v>
      </c>
      <c r="H33" s="4732">
        <f>H23-G23</f>
        <v>39.533000000001266</v>
      </c>
      <c r="I33" s="4732">
        <f t="shared" si="1"/>
        <v>28.397999999999911</v>
      </c>
      <c r="J33" s="4732">
        <f t="shared" si="1"/>
        <v>17.068999999998823</v>
      </c>
      <c r="K33" s="4732">
        <f t="shared" si="1"/>
        <v>-1951</v>
      </c>
      <c r="L33" s="4732"/>
    </row>
    <row r="34" spans="3:12" hidden="1">
      <c r="C34" s="4731" t="s">
        <v>3540</v>
      </c>
      <c r="D34" s="4732"/>
      <c r="E34" s="4732"/>
      <c r="F34" s="4732">
        <f t="shared" si="1"/>
        <v>14</v>
      </c>
      <c r="G34" s="4732">
        <f t="shared" si="1"/>
        <v>11</v>
      </c>
      <c r="H34" s="4732">
        <f>H24-G24</f>
        <v>15</v>
      </c>
      <c r="I34" s="4732">
        <f t="shared" si="1"/>
        <v>12</v>
      </c>
      <c r="J34" s="4732">
        <f t="shared" si="1"/>
        <v>4</v>
      </c>
      <c r="K34" s="4732">
        <f t="shared" si="1"/>
        <v>-457</v>
      </c>
      <c r="L34" s="4732"/>
    </row>
    <row r="35" spans="3:12">
      <c r="C35" s="4732"/>
      <c r="D35" s="4732"/>
      <c r="E35" s="4732"/>
      <c r="F35" s="4732"/>
      <c r="G35" s="4732"/>
      <c r="H35" s="4732"/>
      <c r="I35" s="4732"/>
      <c r="J35" s="4732"/>
      <c r="K35" s="4732"/>
      <c r="L35" s="4732"/>
    </row>
    <row r="36" spans="3:12">
      <c r="C36" s="4732"/>
      <c r="D36" s="4732"/>
      <c r="E36" s="4732"/>
      <c r="F36" s="4732"/>
      <c r="G36" s="4732"/>
      <c r="H36" s="4732"/>
      <c r="I36" s="4732"/>
      <c r="J36" s="4732"/>
      <c r="K36" s="4732"/>
      <c r="L36" s="4732"/>
    </row>
    <row r="37" spans="3:12">
      <c r="C37" s="4732"/>
      <c r="D37" s="4732"/>
      <c r="E37" s="4732"/>
      <c r="F37" s="4732"/>
      <c r="G37" s="4732"/>
      <c r="H37" s="4732"/>
      <c r="I37" s="4732"/>
      <c r="J37" s="4732"/>
      <c r="K37" s="4732"/>
      <c r="L37" s="4732"/>
    </row>
    <row r="38" spans="3:12">
      <c r="C38" s="4732"/>
      <c r="D38" s="4732"/>
      <c r="E38" s="4732"/>
      <c r="F38" s="4732"/>
      <c r="G38" s="4732"/>
      <c r="H38" s="4732"/>
      <c r="I38" s="4732"/>
      <c r="J38" s="4732"/>
      <c r="K38" s="4732"/>
      <c r="L38" s="4732"/>
    </row>
  </sheetData>
  <mergeCells count="11">
    <mergeCell ref="B2:I2"/>
    <mergeCell ref="B3:I3"/>
    <mergeCell ref="B4:I4"/>
    <mergeCell ref="B5:I5"/>
    <mergeCell ref="L8:L9"/>
    <mergeCell ref="B8:B9"/>
    <mergeCell ref="C8:C9"/>
    <mergeCell ref="H8:H9"/>
    <mergeCell ref="I8:I9"/>
    <mergeCell ref="J8:J9"/>
    <mergeCell ref="K8:K9"/>
  </mergeCells>
  <pageMargins left="0.2" right="0.7" top="0.38" bottom="0.75" header="0.3" footer="0.3"/>
  <pageSetup scale="130" orientation="landscape" r:id="rId1"/>
</worksheet>
</file>

<file path=xl/worksheets/sheet38.xml><?xml version="1.0" encoding="utf-8"?>
<worksheet xmlns="http://schemas.openxmlformats.org/spreadsheetml/2006/main" xmlns:r="http://schemas.openxmlformats.org/officeDocument/2006/relationships">
  <sheetPr codeName="Sheet24"/>
  <dimension ref="B2:P31"/>
  <sheetViews>
    <sheetView showGridLines="0" view="pageBreakPreview" zoomScale="70" zoomScaleSheetLayoutView="70" workbookViewId="0">
      <pane xSplit="3" ySplit="9" topLeftCell="F22" activePane="bottomRight" state="frozen"/>
      <selection pane="topRight" activeCell="D1" sqref="D1"/>
      <selection pane="bottomLeft" activeCell="A8" sqref="A8"/>
      <selection pane="bottomRight" activeCell="M1" sqref="M1:N1048576"/>
    </sheetView>
  </sheetViews>
  <sheetFormatPr defaultRowHeight="15.75"/>
  <cols>
    <col min="1" max="1" width="7" style="254" customWidth="1"/>
    <col min="2" max="2" width="9.140625" style="254"/>
    <col min="3" max="3" width="41.28515625" style="3495" customWidth="1"/>
    <col min="4" max="4" width="18.7109375" style="254" hidden="1" customWidth="1"/>
    <col min="5" max="5" width="11.7109375" style="254" hidden="1" customWidth="1"/>
    <col min="6" max="6" width="20.42578125" style="254" customWidth="1"/>
    <col min="7" max="7" width="15.28515625" style="254" hidden="1" customWidth="1"/>
    <col min="8" max="8" width="17.7109375" style="254" customWidth="1"/>
    <col min="9" max="9" width="20.140625" style="254" hidden="1" customWidth="1"/>
    <col min="10" max="10" width="18.42578125" style="254" hidden="1" customWidth="1"/>
    <col min="11" max="11" width="18.28515625" style="254" hidden="1" customWidth="1"/>
    <col min="12" max="12" width="16.85546875" style="254" hidden="1" customWidth="1"/>
    <col min="13" max="13" width="19.28515625" style="254" hidden="1" customWidth="1"/>
    <col min="14" max="14" width="18.7109375" style="254" hidden="1" customWidth="1"/>
    <col min="15" max="15" width="15.42578125" style="254" hidden="1" customWidth="1"/>
    <col min="16" max="16" width="17.5703125" style="254" hidden="1" customWidth="1"/>
    <col min="17" max="16384" width="9.140625" style="254"/>
  </cols>
  <sheetData>
    <row r="2" spans="2:16">
      <c r="B2" s="5396" t="s">
        <v>100</v>
      </c>
      <c r="C2" s="5396"/>
      <c r="D2" s="5396"/>
      <c r="E2" s="5396"/>
      <c r="F2" s="5396"/>
      <c r="G2" s="5396"/>
      <c r="H2" s="5396"/>
      <c r="I2" s="278"/>
      <c r="J2" s="278"/>
      <c r="K2" s="278"/>
      <c r="L2" s="278"/>
      <c r="M2" s="278"/>
      <c r="N2" s="278"/>
    </row>
    <row r="3" spans="2:16">
      <c r="B3" s="5632" t="s">
        <v>3915</v>
      </c>
      <c r="C3" s="5632"/>
      <c r="D3" s="5632"/>
      <c r="E3" s="5632"/>
      <c r="F3" s="5632"/>
      <c r="G3" s="5632"/>
      <c r="H3" s="5632"/>
      <c r="I3" s="5360"/>
      <c r="J3" s="5360"/>
      <c r="K3" s="5360"/>
      <c r="L3" s="5360"/>
      <c r="M3" s="5360"/>
      <c r="N3" s="5360"/>
    </row>
    <row r="4" spans="2:16">
      <c r="B4" s="5633" t="s">
        <v>3486</v>
      </c>
      <c r="C4" s="5633"/>
      <c r="D4" s="5633"/>
      <c r="E4" s="5633"/>
      <c r="F4" s="5633"/>
      <c r="G4" s="5633"/>
      <c r="H4" s="5633"/>
      <c r="I4" s="5361"/>
      <c r="J4" s="5361"/>
      <c r="K4" s="5361"/>
      <c r="L4" s="5361"/>
      <c r="M4" s="5361"/>
      <c r="N4" s="5361"/>
    </row>
    <row r="5" spans="2:16">
      <c r="B5" s="4469"/>
      <c r="C5" s="4469"/>
      <c r="D5" s="4469"/>
      <c r="E5" s="4469"/>
      <c r="F5" s="4469"/>
      <c r="G5" s="4469"/>
      <c r="H5" s="4469"/>
      <c r="I5" s="4469"/>
      <c r="J5" s="4469"/>
      <c r="K5" s="4469"/>
      <c r="L5" s="4469"/>
      <c r="M5" s="4469"/>
      <c r="N5" s="4469"/>
    </row>
    <row r="6" spans="2:16">
      <c r="B6" s="786"/>
      <c r="C6" s="832"/>
      <c r="D6" s="279"/>
      <c r="E6" s="279"/>
      <c r="G6" s="280"/>
      <c r="H6" s="5362" t="s">
        <v>151</v>
      </c>
      <c r="I6" s="280"/>
    </row>
    <row r="7" spans="2:16" ht="15.75" customHeight="1">
      <c r="B7" s="5652" t="s">
        <v>101</v>
      </c>
      <c r="C7" s="5652" t="s">
        <v>81</v>
      </c>
      <c r="D7" s="5652" t="s">
        <v>1897</v>
      </c>
      <c r="E7" s="5655" t="s">
        <v>82</v>
      </c>
      <c r="F7" s="5656"/>
      <c r="G7" s="5655" t="s">
        <v>1845</v>
      </c>
      <c r="H7" s="5659"/>
      <c r="I7" s="5649" t="s">
        <v>2373</v>
      </c>
      <c r="J7" s="5649" t="s">
        <v>2790</v>
      </c>
      <c r="K7" s="5649" t="s">
        <v>82</v>
      </c>
      <c r="L7" s="5649" t="s">
        <v>1845</v>
      </c>
      <c r="M7" s="5663" t="s">
        <v>2442</v>
      </c>
      <c r="N7" s="5663" t="s">
        <v>2443</v>
      </c>
      <c r="O7" s="5649" t="s">
        <v>2442</v>
      </c>
      <c r="P7" s="5649" t="s">
        <v>2443</v>
      </c>
    </row>
    <row r="8" spans="2:16">
      <c r="B8" s="5653"/>
      <c r="C8" s="5653"/>
      <c r="D8" s="5654"/>
      <c r="E8" s="5657"/>
      <c r="F8" s="5658"/>
      <c r="G8" s="5657"/>
      <c r="H8" s="5658"/>
      <c r="I8" s="5650"/>
      <c r="J8" s="5650"/>
      <c r="K8" s="5651"/>
      <c r="L8" s="5651"/>
      <c r="M8" s="5663"/>
      <c r="N8" s="5663"/>
      <c r="O8" s="5651"/>
      <c r="P8" s="5651"/>
    </row>
    <row r="9" spans="2:16" ht="47.25">
      <c r="B9" s="5654"/>
      <c r="C9" s="5654"/>
      <c r="D9" s="795" t="s">
        <v>1043</v>
      </c>
      <c r="E9" s="795" t="s">
        <v>755</v>
      </c>
      <c r="F9" s="4468" t="s">
        <v>96</v>
      </c>
      <c r="G9" s="795" t="s">
        <v>755</v>
      </c>
      <c r="H9" s="4468" t="s">
        <v>96</v>
      </c>
      <c r="I9" s="5651"/>
      <c r="J9" s="5651"/>
      <c r="K9" s="4244" t="s">
        <v>2440</v>
      </c>
      <c r="L9" s="4244" t="s">
        <v>2440</v>
      </c>
      <c r="M9" s="5052" t="s">
        <v>656</v>
      </c>
      <c r="N9" s="4648" t="s">
        <v>3403</v>
      </c>
      <c r="O9" s="4244" t="s">
        <v>2440</v>
      </c>
      <c r="P9" s="4244" t="s">
        <v>2440</v>
      </c>
    </row>
    <row r="10" spans="2:16">
      <c r="B10" s="782">
        <v>1</v>
      </c>
      <c r="C10" s="836" t="s">
        <v>102</v>
      </c>
      <c r="D10" s="782">
        <v>66.36</v>
      </c>
      <c r="E10" s="5646"/>
      <c r="F10" s="826">
        <v>102.75</v>
      </c>
      <c r="G10" s="5660"/>
      <c r="H10" s="830">
        <v>128.87</v>
      </c>
      <c r="I10" s="4566">
        <f>F10-D10</f>
        <v>36.39</v>
      </c>
      <c r="J10" s="4566">
        <f>H10-F10</f>
        <v>26.120000000000005</v>
      </c>
      <c r="K10" s="4246">
        <f>I10</f>
        <v>36.39</v>
      </c>
      <c r="L10" s="4246">
        <f>J10</f>
        <v>26.120000000000005</v>
      </c>
      <c r="M10" s="4755">
        <v>129.37</v>
      </c>
      <c r="N10" s="4941">
        <v>128</v>
      </c>
      <c r="O10" s="4246">
        <f>M10-H10</f>
        <v>0.5</v>
      </c>
      <c r="P10" s="4246">
        <f>N10-M10</f>
        <v>-1.3700000000000045</v>
      </c>
    </row>
    <row r="11" spans="2:16">
      <c r="B11" s="782">
        <f>B10+1</f>
        <v>2</v>
      </c>
      <c r="C11" s="836" t="s">
        <v>103</v>
      </c>
      <c r="D11" s="782">
        <v>94.41</v>
      </c>
      <c r="E11" s="5647"/>
      <c r="F11" s="826">
        <v>94.23</v>
      </c>
      <c r="G11" s="5661"/>
      <c r="H11" s="830">
        <v>107.36</v>
      </c>
      <c r="I11" s="4566">
        <f t="shared" ref="I11:I26" si="0">F11-D11</f>
        <v>-0.17999999999999261</v>
      </c>
      <c r="J11" s="4566">
        <f t="shared" ref="J11:K27" si="1">H11-F11</f>
        <v>13.129999999999995</v>
      </c>
      <c r="K11" s="4567"/>
      <c r="L11" s="4568">
        <f>J11</f>
        <v>13.129999999999995</v>
      </c>
      <c r="M11" s="4755">
        <v>126.92</v>
      </c>
      <c r="N11" s="4941">
        <v>125.76</v>
      </c>
      <c r="O11" s="4246">
        <f>M11-H11</f>
        <v>19.560000000000002</v>
      </c>
      <c r="P11" s="4246">
        <f t="shared" ref="P11:P17" si="2">N11-M11</f>
        <v>-1.1599999999999966</v>
      </c>
    </row>
    <row r="12" spans="2:16">
      <c r="B12" s="782">
        <f t="shared" ref="B12:B28" si="3">B11+1</f>
        <v>3</v>
      </c>
      <c r="C12" s="836" t="s">
        <v>104</v>
      </c>
      <c r="D12" s="782">
        <v>9.7899999999999991</v>
      </c>
      <c r="E12" s="5647"/>
      <c r="F12" s="826">
        <v>19.53</v>
      </c>
      <c r="G12" s="5661"/>
      <c r="H12" s="830">
        <v>26.27</v>
      </c>
      <c r="I12" s="4566">
        <f t="shared" si="0"/>
        <v>9.740000000000002</v>
      </c>
      <c r="J12" s="4566">
        <f t="shared" si="1"/>
        <v>6.7399999999999984</v>
      </c>
      <c r="K12" s="4246">
        <f>I12</f>
        <v>9.740000000000002</v>
      </c>
      <c r="L12" s="4246">
        <f>J12</f>
        <v>6.7399999999999984</v>
      </c>
      <c r="M12" s="4755">
        <v>28.82</v>
      </c>
      <c r="N12" s="4941">
        <v>30.77</v>
      </c>
      <c r="O12" s="4246">
        <f>M12-H12</f>
        <v>2.5500000000000007</v>
      </c>
      <c r="P12" s="4246">
        <f t="shared" si="2"/>
        <v>1.9499999999999993</v>
      </c>
    </row>
    <row r="13" spans="2:16">
      <c r="B13" s="782">
        <f t="shared" si="3"/>
        <v>4</v>
      </c>
      <c r="C13" s="836" t="s">
        <v>105</v>
      </c>
      <c r="D13" s="782">
        <v>0.43</v>
      </c>
      <c r="E13" s="5647"/>
      <c r="F13" s="826">
        <v>0.62</v>
      </c>
      <c r="G13" s="5661"/>
      <c r="H13" s="830">
        <v>1.1499999999999999</v>
      </c>
      <c r="I13" s="4566">
        <f t="shared" si="0"/>
        <v>0.19</v>
      </c>
      <c r="J13" s="4566">
        <f t="shared" si="1"/>
        <v>0.52999999999999992</v>
      </c>
      <c r="K13" s="4567"/>
      <c r="L13" s="4567"/>
      <c r="M13" s="4755">
        <v>1.1399999999999999</v>
      </c>
      <c r="N13" s="4941">
        <v>1.35</v>
      </c>
      <c r="O13" s="4246"/>
      <c r="P13" s="4246"/>
    </row>
    <row r="14" spans="2:16">
      <c r="B14" s="782">
        <f t="shared" si="3"/>
        <v>5</v>
      </c>
      <c r="C14" s="836" t="s">
        <v>106</v>
      </c>
      <c r="D14" s="782">
        <v>1.52</v>
      </c>
      <c r="E14" s="5647"/>
      <c r="F14" s="826">
        <v>3.18</v>
      </c>
      <c r="G14" s="5661"/>
      <c r="H14" s="830">
        <v>3.63</v>
      </c>
      <c r="I14" s="4566">
        <f t="shared" si="0"/>
        <v>1.6600000000000001</v>
      </c>
      <c r="J14" s="4566">
        <f t="shared" si="1"/>
        <v>0.44999999999999973</v>
      </c>
      <c r="K14" s="4246">
        <f>I14</f>
        <v>1.6600000000000001</v>
      </c>
      <c r="L14" s="4246">
        <f>J14</f>
        <v>0.44999999999999973</v>
      </c>
      <c r="M14" s="4755">
        <v>3.74</v>
      </c>
      <c r="N14" s="4941">
        <v>4.26</v>
      </c>
      <c r="O14" s="4246">
        <f>M14-H14</f>
        <v>0.11000000000000032</v>
      </c>
      <c r="P14" s="4246">
        <f t="shared" si="2"/>
        <v>0.51999999999999957</v>
      </c>
    </row>
    <row r="15" spans="2:16">
      <c r="B15" s="782">
        <f t="shared" si="3"/>
        <v>6</v>
      </c>
      <c r="C15" s="836" t="s">
        <v>107</v>
      </c>
      <c r="D15" s="782">
        <v>2.81</v>
      </c>
      <c r="E15" s="5647"/>
      <c r="F15" s="826">
        <v>2.8000000000000003</v>
      </c>
      <c r="G15" s="5661"/>
      <c r="H15" s="830">
        <v>5.92</v>
      </c>
      <c r="I15" s="4566">
        <f>F15-D15</f>
        <v>-9.9999999999997868E-3</v>
      </c>
      <c r="J15" s="4566">
        <f t="shared" si="1"/>
        <v>3.1199999999999997</v>
      </c>
      <c r="K15" s="4567"/>
      <c r="L15" s="4246">
        <f>J15</f>
        <v>3.1199999999999997</v>
      </c>
      <c r="M15" s="4755">
        <v>7.64</v>
      </c>
      <c r="N15" s="4941">
        <v>6.93</v>
      </c>
      <c r="O15" s="4246">
        <f>M15-H15</f>
        <v>1.7199999999999998</v>
      </c>
      <c r="P15" s="4246">
        <f t="shared" si="2"/>
        <v>-0.71</v>
      </c>
    </row>
    <row r="16" spans="2:16">
      <c r="B16" s="782">
        <f t="shared" si="3"/>
        <v>7</v>
      </c>
      <c r="C16" s="836" t="s">
        <v>108</v>
      </c>
      <c r="D16" s="782">
        <v>3.76</v>
      </c>
      <c r="E16" s="5647"/>
      <c r="F16" s="826">
        <v>4.63</v>
      </c>
      <c r="G16" s="5661"/>
      <c r="H16" s="830">
        <v>4.9800000000000004</v>
      </c>
      <c r="I16" s="4566">
        <f>F16-D16</f>
        <v>0.87000000000000011</v>
      </c>
      <c r="J16" s="4566">
        <f t="shared" si="1"/>
        <v>0.35000000000000053</v>
      </c>
      <c r="K16" s="4246">
        <f>I16</f>
        <v>0.87000000000000011</v>
      </c>
      <c r="L16" s="4246">
        <f>J16</f>
        <v>0.35000000000000053</v>
      </c>
      <c r="M16" s="4755">
        <v>4.8899999999999997</v>
      </c>
      <c r="N16" s="4941">
        <v>5.83</v>
      </c>
      <c r="O16" s="4246">
        <f>M16-H16</f>
        <v>-9.0000000000000746E-2</v>
      </c>
      <c r="P16" s="4246">
        <f t="shared" si="2"/>
        <v>0.94000000000000039</v>
      </c>
    </row>
    <row r="17" spans="2:16">
      <c r="B17" s="782">
        <f t="shared" si="3"/>
        <v>8</v>
      </c>
      <c r="C17" s="836" t="s">
        <v>109</v>
      </c>
      <c r="D17" s="782">
        <v>4.62</v>
      </c>
      <c r="E17" s="5647"/>
      <c r="F17" s="826">
        <v>5.91</v>
      </c>
      <c r="G17" s="5661"/>
      <c r="H17" s="830">
        <v>10.6</v>
      </c>
      <c r="I17" s="4566">
        <f>F17-D17</f>
        <v>1.29</v>
      </c>
      <c r="J17" s="4566">
        <f t="shared" si="1"/>
        <v>4.6899999999999995</v>
      </c>
      <c r="K17" s="4246">
        <f>I17</f>
        <v>1.29</v>
      </c>
      <c r="L17" s="4246">
        <f>J17</f>
        <v>4.6899999999999995</v>
      </c>
      <c r="M17" s="4755">
        <v>6.5</v>
      </c>
      <c r="N17" s="4941">
        <v>12.41</v>
      </c>
      <c r="O17" s="4246">
        <f>M17-H17</f>
        <v>-4.0999999999999996</v>
      </c>
      <c r="P17" s="4246">
        <f t="shared" si="2"/>
        <v>5.91</v>
      </c>
    </row>
    <row r="18" spans="2:16">
      <c r="B18" s="782">
        <f t="shared" si="3"/>
        <v>9</v>
      </c>
      <c r="C18" s="836" t="s">
        <v>110</v>
      </c>
      <c r="D18" s="782">
        <v>4.03</v>
      </c>
      <c r="E18" s="5647"/>
      <c r="F18" s="826">
        <v>0.01</v>
      </c>
      <c r="G18" s="5661"/>
      <c r="H18" s="830">
        <v>0</v>
      </c>
      <c r="I18" s="4566">
        <f>F18-D18</f>
        <v>-4.0200000000000005</v>
      </c>
      <c r="J18" s="4566">
        <f t="shared" si="1"/>
        <v>-0.01</v>
      </c>
      <c r="K18" s="5104"/>
      <c r="L18" s="4567"/>
      <c r="M18" s="4755">
        <v>0</v>
      </c>
      <c r="N18" s="4941">
        <v>0</v>
      </c>
      <c r="O18" s="4246"/>
      <c r="P18" s="4246"/>
    </row>
    <row r="19" spans="2:16">
      <c r="B19" s="782">
        <f t="shared" si="3"/>
        <v>10</v>
      </c>
      <c r="C19" s="836" t="s">
        <v>3664</v>
      </c>
      <c r="D19" s="782">
        <v>8.3699999999999992</v>
      </c>
      <c r="E19" s="5647"/>
      <c r="F19" s="826">
        <v>0.39999999999999997</v>
      </c>
      <c r="G19" s="5661"/>
      <c r="H19" s="830">
        <v>10.97</v>
      </c>
      <c r="I19" s="4566">
        <f t="shared" si="0"/>
        <v>-7.9699999999999989</v>
      </c>
      <c r="J19" s="4566">
        <f>H19-F19</f>
        <v>10.57</v>
      </c>
      <c r="K19" s="4246">
        <f>F19</f>
        <v>0.39999999999999997</v>
      </c>
      <c r="L19" s="4567">
        <f>H19</f>
        <v>10.97</v>
      </c>
      <c r="M19" s="4755">
        <v>24.33</v>
      </c>
      <c r="N19" s="4941">
        <v>36.81</v>
      </c>
      <c r="O19" s="4246">
        <f>M19</f>
        <v>24.33</v>
      </c>
      <c r="P19" s="4246">
        <f>N19</f>
        <v>36.81</v>
      </c>
    </row>
    <row r="20" spans="2:16">
      <c r="B20" s="782">
        <f t="shared" si="3"/>
        <v>11</v>
      </c>
      <c r="C20" s="836" t="s">
        <v>112</v>
      </c>
      <c r="D20" s="782">
        <v>10.98</v>
      </c>
      <c r="E20" s="5647"/>
      <c r="F20" s="826">
        <v>12.73</v>
      </c>
      <c r="G20" s="5661"/>
      <c r="H20" s="5012">
        <v>10.199999999999999</v>
      </c>
      <c r="I20" s="4566">
        <f t="shared" si="0"/>
        <v>1.75</v>
      </c>
      <c r="J20" s="4566">
        <f>H20-F20</f>
        <v>-2.5300000000000011</v>
      </c>
      <c r="K20" s="5104"/>
      <c r="L20" s="4567"/>
      <c r="M20" s="4755">
        <v>9.81</v>
      </c>
      <c r="N20" s="4941">
        <v>11.94</v>
      </c>
      <c r="O20" s="4246"/>
      <c r="P20" s="4246"/>
    </row>
    <row r="21" spans="2:16">
      <c r="B21" s="782">
        <f t="shared" si="3"/>
        <v>12</v>
      </c>
      <c r="C21" s="836" t="s">
        <v>113</v>
      </c>
      <c r="D21" s="782">
        <v>0</v>
      </c>
      <c r="E21" s="5647"/>
      <c r="F21" s="826">
        <v>0</v>
      </c>
      <c r="G21" s="5661"/>
      <c r="H21" s="830">
        <v>0</v>
      </c>
      <c r="I21" s="4566">
        <f t="shared" si="0"/>
        <v>0</v>
      </c>
      <c r="J21" s="4566">
        <f>H21-F21</f>
        <v>0</v>
      </c>
      <c r="K21" s="5104"/>
      <c r="L21" s="4567"/>
      <c r="M21" s="4755">
        <v>0</v>
      </c>
      <c r="N21" s="4941">
        <v>0</v>
      </c>
      <c r="O21" s="4246"/>
      <c r="P21" s="4246"/>
    </row>
    <row r="22" spans="2:16">
      <c r="B22" s="782">
        <f t="shared" si="3"/>
        <v>13</v>
      </c>
      <c r="C22" s="836" t="s">
        <v>114</v>
      </c>
      <c r="D22" s="782">
        <v>0</v>
      </c>
      <c r="E22" s="5647"/>
      <c r="F22" s="826">
        <v>0</v>
      </c>
      <c r="G22" s="5661"/>
      <c r="H22" s="830">
        <v>0</v>
      </c>
      <c r="I22" s="4566">
        <f t="shared" si="0"/>
        <v>0</v>
      </c>
      <c r="J22" s="4566">
        <f>H22-F22</f>
        <v>0</v>
      </c>
      <c r="K22" s="5104"/>
      <c r="L22" s="4567"/>
      <c r="M22" s="4755">
        <v>0</v>
      </c>
      <c r="N22" s="4941">
        <v>0</v>
      </c>
      <c r="O22" s="4246"/>
      <c r="P22" s="4246"/>
    </row>
    <row r="23" spans="2:16">
      <c r="B23" s="782">
        <f t="shared" si="3"/>
        <v>14</v>
      </c>
      <c r="C23" s="836" t="s">
        <v>115</v>
      </c>
      <c r="D23" s="782">
        <v>19.64</v>
      </c>
      <c r="E23" s="5647"/>
      <c r="F23" s="826">
        <v>23.61</v>
      </c>
      <c r="G23" s="5661"/>
      <c r="H23" s="5012">
        <v>28.5</v>
      </c>
      <c r="I23" s="4566">
        <f t="shared" si="0"/>
        <v>3.9699999999999989</v>
      </c>
      <c r="J23" s="4566">
        <f>H23-F23</f>
        <v>4.8900000000000006</v>
      </c>
      <c r="K23" s="4246">
        <f>I23</f>
        <v>3.9699999999999989</v>
      </c>
      <c r="L23" s="4246">
        <f>J23</f>
        <v>4.8900000000000006</v>
      </c>
      <c r="M23" s="4755">
        <v>31.58</v>
      </c>
      <c r="N23" s="4941">
        <v>33.19</v>
      </c>
      <c r="O23" s="4246">
        <f t="shared" ref="O23:O24" si="4">M23-H23</f>
        <v>3.0799999999999983</v>
      </c>
      <c r="P23" s="4246">
        <f t="shared" ref="P23:P24" si="5">N23-M23</f>
        <v>1.6099999999999994</v>
      </c>
    </row>
    <row r="24" spans="2:16">
      <c r="B24" s="782">
        <f t="shared" si="3"/>
        <v>15</v>
      </c>
      <c r="C24" s="836" t="s">
        <v>116</v>
      </c>
      <c r="D24" s="782">
        <v>10.29</v>
      </c>
      <c r="E24" s="5647"/>
      <c r="F24" s="826">
        <v>13.8</v>
      </c>
      <c r="G24" s="5661"/>
      <c r="H24" s="830">
        <v>21.04</v>
      </c>
      <c r="I24" s="4566">
        <f t="shared" si="0"/>
        <v>3.5100000000000016</v>
      </c>
      <c r="J24" s="4566">
        <f t="shared" si="1"/>
        <v>7.2399999999999984</v>
      </c>
      <c r="K24" s="4246">
        <f>I24</f>
        <v>3.5100000000000016</v>
      </c>
      <c r="L24" s="4246">
        <f>J24</f>
        <v>7.2399999999999984</v>
      </c>
      <c r="M24" s="4755">
        <v>22.43</v>
      </c>
      <c r="N24" s="4941">
        <v>23.86</v>
      </c>
      <c r="O24" s="4246">
        <f t="shared" si="4"/>
        <v>1.3900000000000006</v>
      </c>
      <c r="P24" s="4246">
        <f t="shared" si="5"/>
        <v>1.4299999999999997</v>
      </c>
    </row>
    <row r="25" spans="2:16">
      <c r="B25" s="782">
        <f t="shared" si="3"/>
        <v>16</v>
      </c>
      <c r="C25" s="836" t="s">
        <v>117</v>
      </c>
      <c r="D25" s="782">
        <v>2.57</v>
      </c>
      <c r="E25" s="5647"/>
      <c r="F25" s="826">
        <v>0</v>
      </c>
      <c r="G25" s="5661"/>
      <c r="H25" s="4564">
        <v>0</v>
      </c>
      <c r="I25" s="4566">
        <f>F25-D25</f>
        <v>-2.57</v>
      </c>
      <c r="J25" s="4566">
        <f t="shared" si="1"/>
        <v>0</v>
      </c>
      <c r="K25" s="4569"/>
      <c r="L25" s="4567"/>
      <c r="M25" s="4755">
        <v>0</v>
      </c>
      <c r="N25" s="4941">
        <v>0</v>
      </c>
      <c r="O25" s="4246"/>
      <c r="P25" s="4246"/>
    </row>
    <row r="26" spans="2:16">
      <c r="B26" s="782">
        <f t="shared" si="3"/>
        <v>17</v>
      </c>
      <c r="C26" s="837" t="s">
        <v>118</v>
      </c>
      <c r="D26" s="828">
        <f>SUM(D10:D25)</f>
        <v>239.57999999999996</v>
      </c>
      <c r="E26" s="5647"/>
      <c r="F26" s="829">
        <f>SUM(F10:F25)</f>
        <v>284.20000000000005</v>
      </c>
      <c r="G26" s="5661"/>
      <c r="H26" s="5010">
        <f>SUM(H10:H25)</f>
        <v>359.49000000000007</v>
      </c>
      <c r="I26" s="5011">
        <f t="shared" si="0"/>
        <v>44.62000000000009</v>
      </c>
      <c r="J26" s="5011">
        <f t="shared" si="1"/>
        <v>75.29000000000002</v>
      </c>
      <c r="K26" s="5011">
        <f t="shared" si="1"/>
        <v>44.62000000000009</v>
      </c>
      <c r="L26" s="5011">
        <f t="shared" ref="L26:O26" si="6">SUM(L10:L25)</f>
        <v>77.699999999999989</v>
      </c>
      <c r="M26" s="5010">
        <f t="shared" si="6"/>
        <v>397.16999999999996</v>
      </c>
      <c r="N26" s="5010">
        <f>SUM(N10:N25)</f>
        <v>421.11</v>
      </c>
      <c r="O26" s="5011">
        <f t="shared" si="6"/>
        <v>49.05</v>
      </c>
      <c r="P26" s="5011">
        <f t="shared" ref="P26" si="7">SUM(P10:P25)</f>
        <v>45.93</v>
      </c>
    </row>
    <row r="27" spans="2:16" ht="31.5">
      <c r="B27" s="782">
        <f t="shared" si="3"/>
        <v>18</v>
      </c>
      <c r="C27" s="284" t="s">
        <v>3514</v>
      </c>
      <c r="D27" s="782">
        <v>18.829999999999998</v>
      </c>
      <c r="E27" s="5648"/>
      <c r="F27" s="826">
        <v>31.57</v>
      </c>
      <c r="G27" s="5662"/>
      <c r="H27" s="5012">
        <v>37.39</v>
      </c>
      <c r="I27" s="4245">
        <f>F27-D27</f>
        <v>12.740000000000002</v>
      </c>
      <c r="J27" s="4246">
        <f t="shared" si="1"/>
        <v>5.82</v>
      </c>
      <c r="K27" s="4246"/>
      <c r="L27" s="4246"/>
      <c r="M27" s="4996">
        <v>50.54</v>
      </c>
      <c r="N27" s="4996">
        <v>42</v>
      </c>
      <c r="O27" s="4246"/>
      <c r="P27" s="4246"/>
    </row>
    <row r="28" spans="2:16">
      <c r="B28" s="782">
        <f t="shared" si="3"/>
        <v>19</v>
      </c>
      <c r="C28" s="837" t="s">
        <v>121</v>
      </c>
      <c r="D28" s="828">
        <f>D26-D27</f>
        <v>220.74999999999994</v>
      </c>
      <c r="E28" s="829">
        <v>245.54</v>
      </c>
      <c r="F28" s="829">
        <f>F26-F27</f>
        <v>252.63000000000005</v>
      </c>
      <c r="G28" s="797">
        <v>245.74</v>
      </c>
      <c r="H28" s="839">
        <f>H26-H27</f>
        <v>322.10000000000008</v>
      </c>
      <c r="I28" s="4247">
        <f>F28-D28</f>
        <v>31.880000000000109</v>
      </c>
      <c r="J28" s="4248">
        <f>H28-F28</f>
        <v>69.470000000000027</v>
      </c>
      <c r="K28" s="4248">
        <f>SUM(K10:K24)</f>
        <v>57.83</v>
      </c>
      <c r="L28" s="4248">
        <f>SUM(L10:L24)</f>
        <v>77.699999999999989</v>
      </c>
      <c r="M28" s="839">
        <f t="shared" ref="M28:N28" si="8">M26-M27</f>
        <v>346.62999999999994</v>
      </c>
      <c r="N28" s="839">
        <f t="shared" si="8"/>
        <v>379.11</v>
      </c>
      <c r="O28" s="4248">
        <f>SUM(O10:O24)</f>
        <v>49.05</v>
      </c>
      <c r="P28" s="4248">
        <f>SUM(P10:P24)</f>
        <v>45.93</v>
      </c>
    </row>
    <row r="31" spans="2:16">
      <c r="E31" s="264"/>
    </row>
  </sheetData>
  <mergeCells count="18">
    <mergeCell ref="O7:O8"/>
    <mergeCell ref="P7:P8"/>
    <mergeCell ref="J7:J9"/>
    <mergeCell ref="K7:K8"/>
    <mergeCell ref="L7:L8"/>
    <mergeCell ref="M7:M8"/>
    <mergeCell ref="N7:N8"/>
    <mergeCell ref="B2:H2"/>
    <mergeCell ref="B3:H3"/>
    <mergeCell ref="B4:H4"/>
    <mergeCell ref="E10:E27"/>
    <mergeCell ref="I7:I9"/>
    <mergeCell ref="B7:B9"/>
    <mergeCell ref="C7:C9"/>
    <mergeCell ref="D7:D8"/>
    <mergeCell ref="E7:F8"/>
    <mergeCell ref="G7:H8"/>
    <mergeCell ref="G10:G27"/>
  </mergeCells>
  <printOptions horizontalCentered="1"/>
  <pageMargins left="0.55000000000000004" right="0.70866141732283505" top="0.89" bottom="0.42" header="0.31496062992126" footer="0.31496062992126"/>
  <pageSetup paperSize="9" orientation="landscape" r:id="rId1"/>
  <legacyDrawing r:id="rId2"/>
</worksheet>
</file>

<file path=xl/worksheets/sheet39.xml><?xml version="1.0" encoding="utf-8"?>
<worksheet xmlns="http://schemas.openxmlformats.org/spreadsheetml/2006/main" xmlns:r="http://schemas.openxmlformats.org/officeDocument/2006/relationships">
  <sheetPr codeName="Sheet25">
    <pageSetUpPr fitToPage="1"/>
  </sheetPr>
  <dimension ref="B2:K27"/>
  <sheetViews>
    <sheetView showGridLines="0" view="pageBreakPreview" zoomScale="70" zoomScaleSheetLayoutView="70" workbookViewId="0">
      <pane xSplit="3" ySplit="9" topLeftCell="D10" activePane="bottomRight" state="frozen"/>
      <selection pane="topRight" activeCell="E1" sqref="E1"/>
      <selection pane="bottomLeft" activeCell="A8" sqref="A8"/>
      <selection pane="bottomRight" activeCell="I1" sqref="I1:J1048576"/>
    </sheetView>
  </sheetViews>
  <sheetFormatPr defaultRowHeight="15.75"/>
  <cols>
    <col min="1" max="1" width="2" style="838" customWidth="1"/>
    <col min="2" max="2" width="9.140625" style="838"/>
    <col min="3" max="3" width="35.42578125" style="838" customWidth="1"/>
    <col min="4" max="4" width="19.7109375" style="838" hidden="1" customWidth="1"/>
    <col min="5" max="5" width="14.5703125" style="838" hidden="1" customWidth="1"/>
    <col min="6" max="6" width="19" style="838" customWidth="1"/>
    <col min="7" max="7" width="17.85546875" style="838" hidden="1" customWidth="1"/>
    <col min="8" max="8" width="19.28515625" style="838" customWidth="1"/>
    <col min="9" max="10" width="14.42578125" style="838" hidden="1" customWidth="1"/>
    <col min="11" max="16384" width="9.140625" style="838"/>
  </cols>
  <sheetData>
    <row r="2" spans="2:11">
      <c r="B2" s="5443" t="s">
        <v>100</v>
      </c>
      <c r="C2" s="5443"/>
      <c r="D2" s="5443"/>
      <c r="E2" s="5443"/>
      <c r="F2" s="5443"/>
      <c r="G2" s="5443"/>
      <c r="H2" s="5443"/>
      <c r="I2" s="5443"/>
      <c r="J2" s="5443"/>
    </row>
    <row r="3" spans="2:11">
      <c r="B3" s="5633" t="s">
        <v>3915</v>
      </c>
      <c r="C3" s="5633"/>
      <c r="D3" s="5633"/>
      <c r="E3" s="5633"/>
      <c r="F3" s="5633"/>
      <c r="G3" s="5633"/>
      <c r="H3" s="5633"/>
      <c r="I3" s="5633"/>
      <c r="J3" s="5633"/>
    </row>
    <row r="4" spans="2:11">
      <c r="B4" s="5633" t="s">
        <v>3485</v>
      </c>
      <c r="C4" s="5633"/>
      <c r="D4" s="5633"/>
      <c r="E4" s="5633"/>
      <c r="F4" s="5633"/>
      <c r="G4" s="5633"/>
      <c r="H4" s="5633"/>
      <c r="I4" s="5633"/>
      <c r="J4" s="5633"/>
    </row>
    <row r="5" spans="2:11">
      <c r="B5" s="4469"/>
      <c r="C5" s="4469"/>
      <c r="D5" s="4469"/>
      <c r="E5" s="4469"/>
      <c r="F5" s="4469"/>
      <c r="G5" s="4469"/>
      <c r="H5" s="4469"/>
      <c r="I5" s="4469"/>
      <c r="J5" s="4469"/>
    </row>
    <row r="6" spans="2:11">
      <c r="B6" s="831"/>
      <c r="C6" s="832"/>
      <c r="D6" s="832"/>
      <c r="E6" s="832"/>
      <c r="G6" s="832"/>
      <c r="H6" s="5364" t="s">
        <v>151</v>
      </c>
    </row>
    <row r="7" spans="2:11">
      <c r="B7" s="5652" t="s">
        <v>101</v>
      </c>
      <c r="C7" s="5652" t="s">
        <v>81</v>
      </c>
      <c r="D7" s="5652" t="s">
        <v>1897</v>
      </c>
      <c r="E7" s="5655" t="s">
        <v>82</v>
      </c>
      <c r="F7" s="5656"/>
      <c r="G7" s="5655" t="s">
        <v>1845</v>
      </c>
      <c r="H7" s="5659"/>
      <c r="I7" s="5663" t="s">
        <v>2442</v>
      </c>
      <c r="J7" s="5663" t="s">
        <v>2443</v>
      </c>
    </row>
    <row r="8" spans="2:11">
      <c r="B8" s="5654"/>
      <c r="C8" s="5654"/>
      <c r="D8" s="5654"/>
      <c r="E8" s="5657"/>
      <c r="F8" s="5658"/>
      <c r="G8" s="5657"/>
      <c r="H8" s="5658"/>
      <c r="I8" s="5663"/>
      <c r="J8" s="5663"/>
    </row>
    <row r="9" spans="2:11" ht="31.5">
      <c r="B9" s="833"/>
      <c r="C9" s="833"/>
      <c r="D9" s="834" t="s">
        <v>1043</v>
      </c>
      <c r="E9" s="834" t="s">
        <v>755</v>
      </c>
      <c r="F9" s="4468" t="s">
        <v>96</v>
      </c>
      <c r="G9" s="834" t="s">
        <v>755</v>
      </c>
      <c r="H9" s="4468" t="s">
        <v>96</v>
      </c>
      <c r="I9" s="5052" t="s">
        <v>656</v>
      </c>
      <c r="J9" s="4648" t="s">
        <v>3403</v>
      </c>
    </row>
    <row r="10" spans="2:11">
      <c r="B10" s="282">
        <v>1</v>
      </c>
      <c r="C10" s="284" t="s">
        <v>122</v>
      </c>
      <c r="D10" s="4250">
        <v>2.95</v>
      </c>
      <c r="E10" s="5670"/>
      <c r="F10" s="4250">
        <v>1.42</v>
      </c>
      <c r="G10" s="5664"/>
      <c r="H10" s="4252">
        <v>0.36</v>
      </c>
      <c r="I10" s="4065">
        <v>5.5</v>
      </c>
      <c r="J10" s="4065">
        <v>6.5</v>
      </c>
      <c r="K10" s="264"/>
    </row>
    <row r="11" spans="2:11">
      <c r="B11" s="282">
        <f>B10+1</f>
        <v>2</v>
      </c>
      <c r="C11" s="836" t="s">
        <v>123</v>
      </c>
      <c r="D11" s="4253">
        <v>0.45</v>
      </c>
      <c r="E11" s="5671"/>
      <c r="F11" s="4250">
        <v>0.37</v>
      </c>
      <c r="G11" s="5665"/>
      <c r="H11" s="4252">
        <v>0.34</v>
      </c>
      <c r="I11" s="4065">
        <v>0.56999999999999995</v>
      </c>
      <c r="J11" s="4065">
        <v>0.76</v>
      </c>
      <c r="K11" s="264"/>
    </row>
    <row r="12" spans="2:11">
      <c r="B12" s="282">
        <f t="shared" ref="B12:B26" si="0">B11+1</f>
        <v>3</v>
      </c>
      <c r="C12" s="836" t="s">
        <v>124</v>
      </c>
      <c r="D12" s="4253">
        <v>3.4</v>
      </c>
      <c r="E12" s="5671"/>
      <c r="F12" s="4250">
        <v>4.33</v>
      </c>
      <c r="G12" s="5665"/>
      <c r="H12" s="4252">
        <v>4.9400000000000004</v>
      </c>
      <c r="I12" s="4065">
        <v>4.78</v>
      </c>
      <c r="J12" s="4065">
        <v>5.57</v>
      </c>
      <c r="K12" s="264"/>
    </row>
    <row r="13" spans="2:11">
      <c r="B13" s="282">
        <f t="shared" si="0"/>
        <v>4</v>
      </c>
      <c r="C13" s="836" t="s">
        <v>125</v>
      </c>
      <c r="D13" s="4253">
        <v>0.99</v>
      </c>
      <c r="E13" s="5671"/>
      <c r="F13" s="4250">
        <v>1.1099999999999999</v>
      </c>
      <c r="G13" s="5665"/>
      <c r="H13" s="4252">
        <v>1.51</v>
      </c>
      <c r="I13" s="4602">
        <v>1.85</v>
      </c>
      <c r="J13" s="4065">
        <v>0.17</v>
      </c>
      <c r="K13" s="264"/>
    </row>
    <row r="14" spans="2:11">
      <c r="B14" s="282">
        <f t="shared" si="0"/>
        <v>5</v>
      </c>
      <c r="C14" s="836" t="s">
        <v>126</v>
      </c>
      <c r="D14" s="4253">
        <v>0.24</v>
      </c>
      <c r="E14" s="5672"/>
      <c r="F14" s="4250">
        <v>0.55999999999999994</v>
      </c>
      <c r="G14" s="5665"/>
      <c r="H14" s="4252">
        <v>0.1</v>
      </c>
      <c r="I14" s="4602">
        <v>0.39</v>
      </c>
      <c r="J14" s="4065">
        <v>0.65</v>
      </c>
      <c r="K14" s="264"/>
    </row>
    <row r="15" spans="2:11">
      <c r="B15" s="282">
        <f t="shared" si="0"/>
        <v>6</v>
      </c>
      <c r="C15" s="836" t="s">
        <v>127</v>
      </c>
      <c r="D15" s="4254">
        <v>5.21</v>
      </c>
      <c r="E15" s="5667"/>
      <c r="F15" s="4250">
        <v>6.58</v>
      </c>
      <c r="G15" s="5665"/>
      <c r="H15" s="4252">
        <v>7.85</v>
      </c>
      <c r="I15" s="4602">
        <v>7.54</v>
      </c>
      <c r="J15" s="4065">
        <v>8</v>
      </c>
      <c r="K15" s="264"/>
    </row>
    <row r="16" spans="2:11">
      <c r="B16" s="282">
        <f t="shared" si="0"/>
        <v>7</v>
      </c>
      <c r="C16" s="836" t="s">
        <v>128</v>
      </c>
      <c r="D16" s="4253">
        <v>10.34</v>
      </c>
      <c r="E16" s="5668"/>
      <c r="F16" s="4250">
        <v>11.760000000000002</v>
      </c>
      <c r="G16" s="5665"/>
      <c r="H16" s="4252">
        <v>13.72</v>
      </c>
      <c r="I16" s="4602">
        <v>15.02</v>
      </c>
      <c r="J16" s="4065">
        <v>16.13</v>
      </c>
      <c r="K16" s="264"/>
    </row>
    <row r="17" spans="2:11">
      <c r="B17" s="282">
        <f t="shared" si="0"/>
        <v>8</v>
      </c>
      <c r="C17" s="836" t="s">
        <v>129</v>
      </c>
      <c r="D17" s="4253">
        <v>2.3199999999999998</v>
      </c>
      <c r="E17" s="5668"/>
      <c r="F17" s="4250">
        <v>1.9500000000000002</v>
      </c>
      <c r="G17" s="5665"/>
      <c r="H17" s="4252">
        <v>2.14</v>
      </c>
      <c r="I17" s="4602">
        <v>1.67</v>
      </c>
      <c r="J17" s="4065">
        <v>3.11</v>
      </c>
      <c r="K17" s="264"/>
    </row>
    <row r="18" spans="2:11">
      <c r="B18" s="282">
        <f t="shared" si="0"/>
        <v>9</v>
      </c>
      <c r="C18" s="836" t="s">
        <v>130</v>
      </c>
      <c r="D18" s="4253">
        <v>1.59</v>
      </c>
      <c r="E18" s="5668"/>
      <c r="F18" s="4250">
        <v>1.79</v>
      </c>
      <c r="G18" s="5665"/>
      <c r="H18" s="4252">
        <v>1.34</v>
      </c>
      <c r="I18" s="4602">
        <v>0.51</v>
      </c>
      <c r="J18" s="4065">
        <v>2.25</v>
      </c>
      <c r="K18" s="264"/>
    </row>
    <row r="19" spans="2:11">
      <c r="B19" s="282">
        <f t="shared" si="0"/>
        <v>10</v>
      </c>
      <c r="C19" s="284" t="s">
        <v>131</v>
      </c>
      <c r="D19" s="4250">
        <v>2.19</v>
      </c>
      <c r="E19" s="5668"/>
      <c r="F19" s="4250">
        <v>2.5999999999999996</v>
      </c>
      <c r="G19" s="5665"/>
      <c r="H19" s="4252">
        <v>2.13</v>
      </c>
      <c r="I19" s="4602">
        <v>3.52</v>
      </c>
      <c r="J19" s="4065">
        <v>3.25</v>
      </c>
      <c r="K19" s="264"/>
    </row>
    <row r="20" spans="2:11">
      <c r="B20" s="282">
        <f t="shared" si="0"/>
        <v>11</v>
      </c>
      <c r="C20" s="836" t="s">
        <v>132</v>
      </c>
      <c r="D20" s="4253">
        <v>3.46</v>
      </c>
      <c r="E20" s="5668"/>
      <c r="F20" s="4250">
        <v>4.67</v>
      </c>
      <c r="G20" s="5665"/>
      <c r="H20" s="4252">
        <v>5.63</v>
      </c>
      <c r="I20" s="4602">
        <v>6.24</v>
      </c>
      <c r="J20" s="4065">
        <v>6.38</v>
      </c>
      <c r="K20" s="264"/>
    </row>
    <row r="21" spans="2:11">
      <c r="B21" s="282">
        <f t="shared" si="0"/>
        <v>12</v>
      </c>
      <c r="C21" s="836" t="s">
        <v>133</v>
      </c>
      <c r="D21" s="4253">
        <v>0</v>
      </c>
      <c r="E21" s="5668"/>
      <c r="F21" s="4250">
        <v>0</v>
      </c>
      <c r="G21" s="5665"/>
      <c r="H21" s="4252">
        <v>0</v>
      </c>
      <c r="I21" s="4065">
        <v>0</v>
      </c>
      <c r="J21" s="4065">
        <v>0</v>
      </c>
      <c r="K21" s="264"/>
    </row>
    <row r="22" spans="2:11">
      <c r="B22" s="282">
        <f t="shared" si="0"/>
        <v>13</v>
      </c>
      <c r="C22" s="836" t="s">
        <v>134</v>
      </c>
      <c r="D22" s="4253">
        <v>0.27</v>
      </c>
      <c r="E22" s="5668"/>
      <c r="F22" s="4250">
        <v>0.98</v>
      </c>
      <c r="G22" s="5665"/>
      <c r="H22" s="4252">
        <v>1.7</v>
      </c>
      <c r="I22" s="4065">
        <v>0.72</v>
      </c>
      <c r="J22" s="4065">
        <v>0.01</v>
      </c>
      <c r="K22" s="264"/>
    </row>
    <row r="23" spans="2:11">
      <c r="B23" s="282">
        <f t="shared" si="0"/>
        <v>14</v>
      </c>
      <c r="C23" s="836" t="s">
        <v>135</v>
      </c>
      <c r="D23" s="4253">
        <v>8.44</v>
      </c>
      <c r="E23" s="5668"/>
      <c r="F23" s="4251">
        <v>8.0500000000000007</v>
      </c>
      <c r="G23" s="5665"/>
      <c r="H23" s="4252">
        <v>4</v>
      </c>
      <c r="I23" s="4065">
        <v>1.76</v>
      </c>
      <c r="J23" s="4065">
        <v>3.41</v>
      </c>
      <c r="K23" s="264"/>
    </row>
    <row r="24" spans="2:11">
      <c r="B24" s="282">
        <f t="shared" si="0"/>
        <v>15</v>
      </c>
      <c r="C24" s="836" t="s">
        <v>136</v>
      </c>
      <c r="D24" s="4253">
        <v>6.31</v>
      </c>
      <c r="E24" s="5668"/>
      <c r="F24" s="4250">
        <v>7.6499999999999995</v>
      </c>
      <c r="G24" s="5665"/>
      <c r="H24" s="4252">
        <v>7.6</v>
      </c>
      <c r="I24" s="4065">
        <v>8.81</v>
      </c>
      <c r="J24" s="4065">
        <v>10.47</v>
      </c>
      <c r="K24" s="264"/>
    </row>
    <row r="25" spans="2:11">
      <c r="B25" s="282">
        <f t="shared" si="0"/>
        <v>16</v>
      </c>
      <c r="C25" s="837" t="s">
        <v>754</v>
      </c>
      <c r="D25" s="4249">
        <f>SUM(D10:D24)</f>
        <v>48.160000000000004</v>
      </c>
      <c r="E25" s="5668"/>
      <c r="F25" s="4249">
        <f>SUM(F10:F24)</f>
        <v>53.82</v>
      </c>
      <c r="G25" s="5665"/>
      <c r="H25" s="4249">
        <f>SUM(H10:H24)</f>
        <v>53.360000000000014</v>
      </c>
      <c r="I25" s="4249">
        <f>SUM(I10:I24)</f>
        <v>58.88000000000001</v>
      </c>
      <c r="J25" s="4249">
        <f>SUM(J10:J24)</f>
        <v>66.66</v>
      </c>
      <c r="K25" s="264"/>
    </row>
    <row r="26" spans="2:11">
      <c r="B26" s="282">
        <f t="shared" si="0"/>
        <v>17</v>
      </c>
      <c r="C26" s="836" t="s">
        <v>753</v>
      </c>
      <c r="D26" s="4253">
        <v>36.93</v>
      </c>
      <c r="E26" s="5669"/>
      <c r="F26" s="4250">
        <v>41.599999999999994</v>
      </c>
      <c r="G26" s="5666"/>
      <c r="H26" s="4252">
        <v>47.39</v>
      </c>
      <c r="I26" s="4065">
        <v>55.21</v>
      </c>
      <c r="J26" s="4065">
        <v>63.91</v>
      </c>
      <c r="K26" s="264"/>
    </row>
    <row r="27" spans="2:11">
      <c r="B27" s="282">
        <f>B26+1</f>
        <v>18</v>
      </c>
      <c r="C27" s="837" t="s">
        <v>138</v>
      </c>
      <c r="D27" s="4249">
        <f>D25+D26</f>
        <v>85.09</v>
      </c>
      <c r="E27" s="4255"/>
      <c r="F27" s="4249">
        <f>F25+F26</f>
        <v>95.419999999999987</v>
      </c>
      <c r="G27" s="4256"/>
      <c r="H27" s="4249">
        <f>H25+H26</f>
        <v>100.75000000000001</v>
      </c>
      <c r="I27" s="4249">
        <f>I25+I26</f>
        <v>114.09</v>
      </c>
      <c r="J27" s="4249">
        <f>J25+J26</f>
        <v>130.57</v>
      </c>
      <c r="K27" s="264"/>
    </row>
  </sheetData>
  <mergeCells count="13">
    <mergeCell ref="G10:G26"/>
    <mergeCell ref="E15:E26"/>
    <mergeCell ref="E10:E14"/>
    <mergeCell ref="B2:J2"/>
    <mergeCell ref="B3:J3"/>
    <mergeCell ref="B4:J4"/>
    <mergeCell ref="B7:B8"/>
    <mergeCell ref="C7:C8"/>
    <mergeCell ref="D7:D8"/>
    <mergeCell ref="E7:F8"/>
    <mergeCell ref="G7:H8"/>
    <mergeCell ref="I7:I8"/>
    <mergeCell ref="J7:J8"/>
  </mergeCells>
  <pageMargins left="2.29" right="0.24" top="0.93" bottom="0.75" header="0.3" footer="0.3"/>
  <pageSetup paperSize="9" orientation="landscape" r:id="rId1"/>
  <legacyDrawing r:id="rId2"/>
</worksheet>
</file>

<file path=xl/worksheets/sheet4.xml><?xml version="1.0" encoding="utf-8"?>
<worksheet xmlns="http://schemas.openxmlformats.org/spreadsheetml/2006/main" xmlns:r="http://schemas.openxmlformats.org/officeDocument/2006/relationships">
  <sheetPr codeName="Sheet4"/>
  <dimension ref="B1:M56"/>
  <sheetViews>
    <sheetView topLeftCell="A34" workbookViewId="0">
      <selection activeCell="G57" sqref="G57"/>
    </sheetView>
  </sheetViews>
  <sheetFormatPr defaultRowHeight="15"/>
  <cols>
    <col min="6" max="6" width="10.42578125" customWidth="1"/>
    <col min="7" max="7" width="16" customWidth="1"/>
    <col min="10" max="10" width="13.5703125" customWidth="1"/>
    <col min="11" max="11" width="18.85546875" customWidth="1"/>
    <col min="12" max="12" width="13" customWidth="1"/>
    <col min="13" max="13" width="22" customWidth="1"/>
  </cols>
  <sheetData>
    <row r="1" spans="2:13" ht="15.75" thickBot="1"/>
    <row r="2" spans="2:13">
      <c r="B2" s="5402" t="s">
        <v>64</v>
      </c>
      <c r="C2" s="5403"/>
      <c r="D2" s="5403"/>
      <c r="E2" s="5403"/>
      <c r="F2" s="5404"/>
    </row>
    <row r="3" spans="2:13" ht="51" customHeight="1">
      <c r="B3" s="7" t="s">
        <v>1</v>
      </c>
      <c r="C3" s="7" t="s">
        <v>2</v>
      </c>
      <c r="D3" s="7" t="s">
        <v>62</v>
      </c>
      <c r="E3" s="7"/>
      <c r="F3" s="7" t="s">
        <v>4</v>
      </c>
      <c r="G3" s="7" t="s">
        <v>5</v>
      </c>
      <c r="H3" s="7" t="s">
        <v>6</v>
      </c>
      <c r="I3" s="7" t="s">
        <v>7</v>
      </c>
      <c r="J3" s="7" t="s">
        <v>8</v>
      </c>
      <c r="K3" s="7" t="s">
        <v>9</v>
      </c>
      <c r="L3" s="7" t="s">
        <v>65</v>
      </c>
      <c r="M3" s="8" t="s">
        <v>11</v>
      </c>
    </row>
    <row r="4" spans="2:13">
      <c r="B4" s="1"/>
      <c r="C4" s="1"/>
      <c r="D4" s="1" t="s">
        <v>12</v>
      </c>
      <c r="E4" s="1" t="s">
        <v>13</v>
      </c>
      <c r="F4" s="1"/>
      <c r="G4" s="1"/>
      <c r="H4" s="1"/>
      <c r="I4" s="1"/>
      <c r="J4" s="1"/>
      <c r="K4" s="1"/>
      <c r="L4" s="1"/>
      <c r="M4" s="1"/>
    </row>
    <row r="5" spans="2:13">
      <c r="B5" s="1" t="s">
        <v>14</v>
      </c>
      <c r="C5" s="1" t="s">
        <v>15</v>
      </c>
      <c r="D5" s="1"/>
      <c r="E5" s="1"/>
      <c r="F5" s="1">
        <v>45745</v>
      </c>
      <c r="G5" s="1">
        <v>18298</v>
      </c>
      <c r="H5" s="1">
        <v>1737.9</v>
      </c>
      <c r="I5" s="1">
        <v>0</v>
      </c>
      <c r="J5" s="1">
        <v>20035.900000000001</v>
      </c>
      <c r="K5" s="1">
        <v>0.43799103727183303</v>
      </c>
      <c r="L5" s="1">
        <v>4117.05</v>
      </c>
      <c r="M5" s="1">
        <v>9.0000000000000011E-2</v>
      </c>
    </row>
    <row r="6" spans="2:13">
      <c r="B6" s="1" t="s">
        <v>16</v>
      </c>
      <c r="C6" s="1" t="s">
        <v>17</v>
      </c>
      <c r="D6" s="1"/>
      <c r="E6" s="1"/>
      <c r="F6" s="1">
        <v>57810413</v>
      </c>
      <c r="G6" s="1">
        <v>89606140.150000006</v>
      </c>
      <c r="H6" s="5399">
        <v>43085525.119999997</v>
      </c>
      <c r="I6" s="1">
        <v>0</v>
      </c>
      <c r="J6" s="5399">
        <v>669847852.56999993</v>
      </c>
      <c r="K6" s="1">
        <v>3.9578360250486058</v>
      </c>
      <c r="L6" s="1">
        <v>18498968.039999999</v>
      </c>
      <c r="M6" s="1">
        <v>0.31999370148073497</v>
      </c>
    </row>
    <row r="7" spans="2:13">
      <c r="B7" s="1"/>
      <c r="C7" s="1" t="s">
        <v>18</v>
      </c>
      <c r="D7" s="1"/>
      <c r="E7" s="1"/>
      <c r="F7" s="1">
        <v>54692978</v>
      </c>
      <c r="G7" s="1">
        <v>180486827.39999998</v>
      </c>
      <c r="H7" s="5400"/>
      <c r="I7" s="1">
        <v>0</v>
      </c>
      <c r="J7" s="5400"/>
      <c r="K7" s="1"/>
      <c r="L7" s="1">
        <v>37736185.560000002</v>
      </c>
      <c r="M7" s="1">
        <v>0.68996399428094779</v>
      </c>
    </row>
    <row r="8" spans="2:13">
      <c r="B8" s="1"/>
      <c r="C8" s="1" t="s">
        <v>19</v>
      </c>
      <c r="D8" s="1"/>
      <c r="E8" s="1"/>
      <c r="F8" s="1">
        <v>19453515</v>
      </c>
      <c r="G8" s="1">
        <v>103103629.5</v>
      </c>
      <c r="H8" s="5400"/>
      <c r="I8" s="1">
        <v>0</v>
      </c>
      <c r="J8" s="5400"/>
      <c r="K8" s="1"/>
      <c r="L8" s="1">
        <v>21007734.48</v>
      </c>
      <c r="M8" s="1">
        <v>1.0798940181247452</v>
      </c>
    </row>
    <row r="9" spans="2:13">
      <c r="B9" s="1"/>
      <c r="C9" s="1" t="s">
        <v>20</v>
      </c>
      <c r="D9" s="1"/>
      <c r="E9" s="1"/>
      <c r="F9" s="1">
        <v>37289078</v>
      </c>
      <c r="G9" s="1">
        <v>253565730.40000001</v>
      </c>
      <c r="H9" s="5401"/>
      <c r="I9" s="1">
        <v>0</v>
      </c>
      <c r="J9" s="5401"/>
      <c r="K9" s="1"/>
      <c r="L9" s="1">
        <v>50702289.200000003</v>
      </c>
      <c r="M9" s="1">
        <v>1.359708845576713</v>
      </c>
    </row>
    <row r="10" spans="2:13">
      <c r="B10" s="1" t="s">
        <v>21</v>
      </c>
      <c r="C10" s="1" t="s">
        <v>22</v>
      </c>
      <c r="D10" s="1"/>
      <c r="E10" s="1"/>
      <c r="F10" s="1">
        <v>36553864</v>
      </c>
      <c r="G10" s="1">
        <v>146215456</v>
      </c>
      <c r="H10" s="5399">
        <v>50612513.390000001</v>
      </c>
      <c r="I10" s="1"/>
      <c r="J10" s="5399">
        <v>538544588.99000001</v>
      </c>
      <c r="K10" s="1">
        <v>6.30617344681679</v>
      </c>
      <c r="L10" s="1">
        <v>33628806.049999997</v>
      </c>
      <c r="M10" s="1">
        <v>0.91997951434080938</v>
      </c>
    </row>
    <row r="11" spans="2:13">
      <c r="B11" s="1"/>
      <c r="C11" s="1" t="s">
        <v>19</v>
      </c>
      <c r="D11" s="1"/>
      <c r="E11" s="1"/>
      <c r="F11" s="1">
        <v>11776403</v>
      </c>
      <c r="G11" s="1">
        <v>70658418</v>
      </c>
      <c r="H11" s="5400"/>
      <c r="I11" s="1"/>
      <c r="J11" s="5400"/>
      <c r="K11" s="1"/>
      <c r="L11" s="1">
        <v>14720262.370000001</v>
      </c>
      <c r="M11" s="1">
        <v>1.2499795030791661</v>
      </c>
    </row>
    <row r="12" spans="2:13">
      <c r="B12" s="1"/>
      <c r="C12" s="1" t="s">
        <v>23</v>
      </c>
      <c r="D12" s="1"/>
      <c r="E12" s="1"/>
      <c r="F12" s="1">
        <v>15240868</v>
      </c>
      <c r="G12" s="1">
        <v>105161989.2</v>
      </c>
      <c r="H12" s="5400"/>
      <c r="I12" s="1"/>
      <c r="J12" s="5400"/>
      <c r="K12" s="1"/>
      <c r="L12" s="1">
        <v>21488280.32</v>
      </c>
      <c r="M12" s="1">
        <v>1.4099118449159196</v>
      </c>
    </row>
    <row r="13" spans="2:13">
      <c r="B13" s="1"/>
      <c r="C13" s="1" t="s">
        <v>24</v>
      </c>
      <c r="D13" s="1"/>
      <c r="E13" s="1"/>
      <c r="F13" s="1">
        <v>21828449</v>
      </c>
      <c r="G13" s="1">
        <v>165896212.40000001</v>
      </c>
      <c r="H13" s="5400"/>
      <c r="I13" s="1"/>
      <c r="J13" s="5400"/>
      <c r="K13" s="1"/>
      <c r="L13" s="1">
        <v>32959351.350000001</v>
      </c>
      <c r="M13" s="1">
        <v>1.5099263969693861</v>
      </c>
    </row>
    <row r="14" spans="2:13">
      <c r="B14" s="1"/>
      <c r="C14" s="1" t="s">
        <v>25</v>
      </c>
      <c r="D14" s="1"/>
      <c r="E14" s="1"/>
      <c r="F14" s="1">
        <v>0</v>
      </c>
      <c r="G14" s="1">
        <v>0</v>
      </c>
      <c r="H14" s="5400"/>
      <c r="I14" s="1">
        <v>0</v>
      </c>
      <c r="J14" s="5400"/>
      <c r="K14" s="1"/>
      <c r="L14" s="1"/>
      <c r="M14" s="1"/>
    </row>
    <row r="15" spans="2:13">
      <c r="B15" s="1"/>
      <c r="C15" s="1" t="s">
        <v>26</v>
      </c>
      <c r="D15" s="1"/>
      <c r="E15" s="1"/>
      <c r="F15" s="1">
        <v>0</v>
      </c>
      <c r="G15" s="1">
        <v>0</v>
      </c>
      <c r="H15" s="5401"/>
      <c r="I15" s="1">
        <v>0</v>
      </c>
      <c r="J15" s="5401"/>
      <c r="K15" s="1"/>
      <c r="L15" s="1"/>
      <c r="M15" s="1"/>
    </row>
    <row r="16" spans="2:13">
      <c r="B16" s="1" t="s">
        <v>27</v>
      </c>
      <c r="C16" s="1" t="s">
        <v>28</v>
      </c>
      <c r="D16" s="1"/>
      <c r="E16" s="1"/>
      <c r="F16" s="1">
        <v>24063066</v>
      </c>
      <c r="G16" s="1">
        <v>175660381.79999998</v>
      </c>
      <c r="H16" s="1">
        <v>17645397.760000002</v>
      </c>
      <c r="I16" s="1">
        <v>0</v>
      </c>
      <c r="J16" s="1">
        <v>193305779.55999997</v>
      </c>
      <c r="K16" s="1">
        <v>8.0332979828921207</v>
      </c>
      <c r="L16" s="1">
        <v>36814945.68</v>
      </c>
      <c r="M16" s="1">
        <v>1.5299357812508181</v>
      </c>
    </row>
    <row r="17" spans="2:13">
      <c r="B17" s="1" t="s">
        <v>29</v>
      </c>
      <c r="C17" s="1" t="s">
        <v>28</v>
      </c>
      <c r="D17" s="1"/>
      <c r="E17" s="1"/>
      <c r="F17" s="1">
        <v>49262500</v>
      </c>
      <c r="G17" s="1">
        <v>371931875</v>
      </c>
      <c r="H17" s="1">
        <v>29090924.09</v>
      </c>
      <c r="I17" s="1">
        <v>0</v>
      </c>
      <c r="J17" s="1">
        <v>401022799.08999997</v>
      </c>
      <c r="K17" s="1">
        <v>8.1405287813245355</v>
      </c>
      <c r="L17" s="1">
        <v>77807194.799999997</v>
      </c>
      <c r="M17" s="1">
        <v>1.5794406455214411</v>
      </c>
    </row>
    <row r="18" spans="2:13">
      <c r="B18" s="1" t="s">
        <v>30</v>
      </c>
      <c r="C18" s="1" t="s">
        <v>22</v>
      </c>
      <c r="D18" s="1"/>
      <c r="E18" s="1"/>
      <c r="F18" s="1">
        <v>1348594</v>
      </c>
      <c r="G18" s="1">
        <v>4989797.8</v>
      </c>
      <c r="H18" s="5399">
        <v>2515163.27</v>
      </c>
      <c r="I18" s="1"/>
      <c r="J18" s="5399">
        <v>25586558.27</v>
      </c>
      <c r="K18" s="1">
        <v>5.9170288750074</v>
      </c>
      <c r="L18" s="1">
        <v>1159810.02</v>
      </c>
      <c r="M18" s="1">
        <v>0.86001422221958579</v>
      </c>
    </row>
    <row r="19" spans="2:13">
      <c r="B19" s="1"/>
      <c r="C19" s="1" t="s">
        <v>19</v>
      </c>
      <c r="D19" s="1"/>
      <c r="E19" s="1"/>
      <c r="F19" s="1">
        <v>602404</v>
      </c>
      <c r="G19" s="1">
        <v>3313222</v>
      </c>
      <c r="H19" s="5400"/>
      <c r="I19" s="1"/>
      <c r="J19" s="5400"/>
      <c r="K19" s="1"/>
      <c r="L19" s="1">
        <v>686757.12</v>
      </c>
      <c r="M19" s="1">
        <v>1.1400274898573051</v>
      </c>
    </row>
    <row r="20" spans="2:13">
      <c r="B20" s="1"/>
      <c r="C20" s="1" t="s">
        <v>23</v>
      </c>
      <c r="D20" s="1"/>
      <c r="E20" s="1"/>
      <c r="F20" s="1">
        <v>933936</v>
      </c>
      <c r="G20" s="1">
        <v>5556919.2000000002</v>
      </c>
      <c r="H20" s="5400"/>
      <c r="I20" s="1"/>
      <c r="J20" s="5400"/>
      <c r="K20" s="1"/>
      <c r="L20" s="1">
        <v>1148786.8799999999</v>
      </c>
      <c r="M20" s="1">
        <v>1.2300488256154596</v>
      </c>
    </row>
    <row r="21" spans="2:13">
      <c r="B21" s="1"/>
      <c r="C21" s="1" t="s">
        <v>24</v>
      </c>
      <c r="D21" s="1"/>
      <c r="E21" s="1"/>
      <c r="F21" s="1">
        <v>1439290</v>
      </c>
      <c r="G21" s="1">
        <v>9211456</v>
      </c>
      <c r="H21" s="5400"/>
      <c r="I21" s="1"/>
      <c r="J21" s="5400"/>
      <c r="K21" s="1"/>
      <c r="L21" s="1">
        <v>1857048.7</v>
      </c>
      <c r="M21" s="1">
        <v>1.2902533193449548</v>
      </c>
    </row>
    <row r="22" spans="2:13">
      <c r="B22" s="1"/>
      <c r="C22" s="1" t="s">
        <v>25</v>
      </c>
      <c r="D22" s="1"/>
      <c r="E22" s="1"/>
      <c r="F22" s="1">
        <v>0</v>
      </c>
      <c r="G22" s="1">
        <v>0</v>
      </c>
      <c r="H22" s="5400"/>
      <c r="I22" s="1">
        <v>0</v>
      </c>
      <c r="J22" s="5400"/>
      <c r="K22" s="1"/>
      <c r="L22" s="1"/>
      <c r="M22" s="1"/>
    </row>
    <row r="23" spans="2:13">
      <c r="B23" s="1"/>
      <c r="C23" s="1" t="s">
        <v>26</v>
      </c>
      <c r="D23" s="1"/>
      <c r="E23" s="1"/>
      <c r="F23" s="1">
        <v>0</v>
      </c>
      <c r="G23" s="1">
        <v>0</v>
      </c>
      <c r="H23" s="5401"/>
      <c r="I23" s="1">
        <v>0</v>
      </c>
      <c r="J23" s="5401"/>
      <c r="K23" s="1"/>
      <c r="L23" s="1"/>
      <c r="M23" s="1"/>
    </row>
    <row r="24" spans="2:13">
      <c r="B24" s="1" t="s">
        <v>31</v>
      </c>
      <c r="C24" s="1" t="s">
        <v>28</v>
      </c>
      <c r="D24" s="1"/>
      <c r="E24" s="1"/>
      <c r="F24" s="1">
        <v>4475061</v>
      </c>
      <c r="G24" s="1">
        <v>24165329.400000002</v>
      </c>
      <c r="H24" s="1">
        <v>3953581.92</v>
      </c>
      <c r="I24" s="1">
        <v>0</v>
      </c>
      <c r="J24" s="1">
        <v>28118911.32</v>
      </c>
      <c r="K24" s="1">
        <v>6.2834699504654798</v>
      </c>
      <c r="L24" s="1">
        <v>5414823.8099999996</v>
      </c>
      <c r="M24" s="1">
        <v>1.21</v>
      </c>
    </row>
    <row r="25" spans="2:13">
      <c r="B25" s="1" t="s">
        <v>32</v>
      </c>
      <c r="C25" s="1" t="s">
        <v>28</v>
      </c>
      <c r="D25" s="1"/>
      <c r="E25" s="1"/>
      <c r="F25" s="1">
        <v>4190857</v>
      </c>
      <c r="G25" s="1">
        <v>22211542.099999998</v>
      </c>
      <c r="H25" s="1">
        <v>2097799.0499999998</v>
      </c>
      <c r="I25" s="1">
        <v>0</v>
      </c>
      <c r="J25" s="1">
        <v>24309341.149999999</v>
      </c>
      <c r="K25" s="1">
        <v>5.8005656480285532</v>
      </c>
      <c r="L25" s="1">
        <v>4737982.01</v>
      </c>
      <c r="M25" s="1">
        <v>1.1305520589225544</v>
      </c>
    </row>
    <row r="26" spans="2:13">
      <c r="B26" s="1" t="s">
        <v>33</v>
      </c>
      <c r="C26" s="1" t="s">
        <v>28</v>
      </c>
      <c r="D26" s="1"/>
      <c r="E26" s="1"/>
      <c r="F26" s="1">
        <v>349516</v>
      </c>
      <c r="G26" s="1">
        <v>3984482.4</v>
      </c>
      <c r="H26" s="1">
        <v>1207290</v>
      </c>
      <c r="I26" s="1">
        <v>0</v>
      </c>
      <c r="J26" s="1">
        <v>5191772.4000000004</v>
      </c>
      <c r="K26" s="1">
        <v>14.8541766328294</v>
      </c>
      <c r="L26" s="1">
        <v>862295.39</v>
      </c>
      <c r="M26" s="1">
        <v>2.4671127788141316</v>
      </c>
    </row>
    <row r="27" spans="2:13">
      <c r="B27" s="1" t="s">
        <v>34</v>
      </c>
      <c r="C27" s="1" t="s">
        <v>28</v>
      </c>
      <c r="D27" s="1"/>
      <c r="E27" s="1"/>
      <c r="F27" s="1">
        <v>2074643.91</v>
      </c>
      <c r="G27" s="1">
        <v>10995612.722999999</v>
      </c>
      <c r="H27" s="1">
        <v>1321773.3700000001</v>
      </c>
      <c r="I27" s="1">
        <v>0</v>
      </c>
      <c r="J27" s="1">
        <v>12317386.092999998</v>
      </c>
      <c r="K27" s="1">
        <v>5.9371085484255461</v>
      </c>
      <c r="L27" s="1">
        <v>2302854.7400000002</v>
      </c>
      <c r="M27" s="1">
        <v>1.1099999999517991</v>
      </c>
    </row>
    <row r="28" spans="2:13">
      <c r="B28" s="1" t="s">
        <v>35</v>
      </c>
      <c r="C28" s="1" t="s">
        <v>28</v>
      </c>
      <c r="D28" s="1"/>
      <c r="E28" s="1"/>
      <c r="F28" s="1">
        <v>330318</v>
      </c>
      <c r="G28" s="1">
        <v>1750685.4</v>
      </c>
      <c r="H28" s="1">
        <v>161275.78</v>
      </c>
      <c r="I28" s="1">
        <v>0</v>
      </c>
      <c r="J28" s="1">
        <v>1911961.18</v>
      </c>
      <c r="K28" s="1">
        <v>5.7882439951804017</v>
      </c>
      <c r="L28" s="1">
        <v>366652.98</v>
      </c>
      <c r="M28" s="1">
        <v>1.1099999999999999</v>
      </c>
    </row>
    <row r="29" spans="2:13">
      <c r="B29" s="1" t="s">
        <v>36</v>
      </c>
      <c r="C29" s="1" t="s">
        <v>28</v>
      </c>
      <c r="D29" s="1"/>
      <c r="E29" s="1"/>
      <c r="F29" s="1">
        <v>3616</v>
      </c>
      <c r="G29" s="1">
        <v>10305.6</v>
      </c>
      <c r="H29" s="1">
        <v>2100</v>
      </c>
      <c r="I29" s="1">
        <v>0</v>
      </c>
      <c r="J29" s="1">
        <v>12405.6</v>
      </c>
      <c r="K29" s="1">
        <v>3.4307522123893808</v>
      </c>
      <c r="L29" s="1">
        <v>2200.62</v>
      </c>
      <c r="M29" s="1">
        <v>0.6085785398230088</v>
      </c>
    </row>
    <row r="30" spans="2:13">
      <c r="B30" s="1" t="s">
        <v>37</v>
      </c>
      <c r="C30" s="1" t="s">
        <v>28</v>
      </c>
      <c r="D30" s="1"/>
      <c r="E30" s="1"/>
      <c r="F30" s="1">
        <v>3220913</v>
      </c>
      <c r="G30" s="1">
        <v>28182988.75</v>
      </c>
      <c r="H30" s="1">
        <v>1427041.94</v>
      </c>
      <c r="I30" s="1">
        <v>0</v>
      </c>
      <c r="J30" s="1">
        <v>29610030.690000001</v>
      </c>
      <c r="K30" s="1">
        <v>9.1930551026991427</v>
      </c>
      <c r="L30" s="1">
        <v>5922055.3799999999</v>
      </c>
      <c r="M30" s="1">
        <v>1.8386263087515868</v>
      </c>
    </row>
    <row r="31" spans="2:13">
      <c r="B31" s="1" t="s">
        <v>38</v>
      </c>
      <c r="C31" s="1" t="s">
        <v>28</v>
      </c>
      <c r="D31" s="1"/>
      <c r="E31" s="1"/>
      <c r="F31" s="1">
        <v>100024</v>
      </c>
      <c r="G31" s="1">
        <v>265063.59999999998</v>
      </c>
      <c r="H31" s="1">
        <v>2100</v>
      </c>
      <c r="I31" s="1">
        <v>0</v>
      </c>
      <c r="J31" s="1">
        <v>267163.59999999998</v>
      </c>
      <c r="K31" s="1">
        <v>2.6709949612093093</v>
      </c>
      <c r="L31" s="1">
        <v>53012.72</v>
      </c>
      <c r="M31" s="1">
        <v>0.53</v>
      </c>
    </row>
    <row r="32" spans="2:13">
      <c r="B32" s="1" t="s">
        <v>39</v>
      </c>
      <c r="C32" s="1" t="s">
        <v>28</v>
      </c>
      <c r="D32" s="1"/>
      <c r="E32" s="1"/>
      <c r="F32" s="1">
        <v>0</v>
      </c>
      <c r="G32" s="1">
        <v>0</v>
      </c>
      <c r="H32" s="1">
        <v>0</v>
      </c>
      <c r="I32" s="1">
        <v>0</v>
      </c>
      <c r="J32" s="1">
        <v>0</v>
      </c>
      <c r="K32" s="1" t="e">
        <v>#DIV/0!</v>
      </c>
      <c r="L32" s="1"/>
      <c r="M32" s="1"/>
    </row>
    <row r="33" spans="2:13">
      <c r="B33" s="1" t="s">
        <v>40</v>
      </c>
      <c r="C33" s="1" t="s">
        <v>28</v>
      </c>
      <c r="D33" s="1"/>
      <c r="E33" s="1"/>
      <c r="F33" s="1">
        <v>0</v>
      </c>
      <c r="G33" s="1">
        <v>0</v>
      </c>
      <c r="H33" s="1">
        <v>0</v>
      </c>
      <c r="I33" s="1">
        <v>0</v>
      </c>
      <c r="J33" s="1">
        <v>0</v>
      </c>
      <c r="K33" s="1" t="e">
        <v>#DIV/0!</v>
      </c>
      <c r="L33" s="1"/>
      <c r="M33" s="1"/>
    </row>
    <row r="34" spans="2:13">
      <c r="B34" s="1" t="s">
        <v>41</v>
      </c>
      <c r="C34" s="1" t="s">
        <v>28</v>
      </c>
      <c r="D34" s="1"/>
      <c r="E34" s="1"/>
      <c r="F34" s="1">
        <v>13949195</v>
      </c>
      <c r="G34" s="1">
        <v>70443434.75</v>
      </c>
      <c r="H34" s="1">
        <v>6216268.4900000002</v>
      </c>
      <c r="I34" s="1">
        <v>0</v>
      </c>
      <c r="J34" s="1">
        <v>76659703.239999995</v>
      </c>
      <c r="K34" s="1">
        <v>5.4956363603777847</v>
      </c>
      <c r="L34" s="1">
        <v>14925638.65</v>
      </c>
      <c r="M34" s="1">
        <v>1.07</v>
      </c>
    </row>
    <row r="35" spans="2:13">
      <c r="B35" s="1" t="s">
        <v>42</v>
      </c>
      <c r="C35" s="1" t="s">
        <v>28</v>
      </c>
      <c r="D35" s="1"/>
      <c r="E35" s="1"/>
      <c r="F35" s="1">
        <v>35739528</v>
      </c>
      <c r="G35" s="1">
        <v>191206474.79999998</v>
      </c>
      <c r="H35" s="1">
        <v>14740257.449999999</v>
      </c>
      <c r="I35" s="1">
        <v>0</v>
      </c>
      <c r="J35" s="1">
        <v>205946732.24999997</v>
      </c>
      <c r="K35" s="1">
        <v>5.7624357056422228</v>
      </c>
      <c r="L35" s="1">
        <v>39670876.079999998</v>
      </c>
      <c r="M35" s="1">
        <v>1.1099999999999999</v>
      </c>
    </row>
    <row r="36" spans="2:13">
      <c r="B36" s="1" t="s">
        <v>43</v>
      </c>
      <c r="C36" s="1" t="s">
        <v>28</v>
      </c>
      <c r="D36" s="1"/>
      <c r="E36" s="1"/>
      <c r="F36" s="1">
        <v>2792995</v>
      </c>
      <c r="G36" s="1">
        <v>8378985</v>
      </c>
      <c r="H36" s="1">
        <v>1005878.25</v>
      </c>
      <c r="I36" s="1">
        <v>0</v>
      </c>
      <c r="J36" s="1">
        <v>9384863.25</v>
      </c>
      <c r="K36" s="1">
        <v>3.3601432333391217</v>
      </c>
      <c r="L36" s="1">
        <v>1815446.75</v>
      </c>
      <c r="M36" s="1">
        <v>0.65</v>
      </c>
    </row>
    <row r="37" spans="2:13">
      <c r="B37" s="1" t="s">
        <v>44</v>
      </c>
      <c r="C37" s="1" t="s">
        <v>28</v>
      </c>
      <c r="D37" s="1"/>
      <c r="E37" s="1"/>
      <c r="F37" s="1">
        <v>352935</v>
      </c>
      <c r="G37" s="1">
        <v>2894066.9999999995</v>
      </c>
      <c r="H37" s="1">
        <v>600</v>
      </c>
      <c r="I37" s="1">
        <v>0</v>
      </c>
      <c r="J37" s="1">
        <v>2894666.9999999995</v>
      </c>
      <c r="K37" s="1">
        <v>8.2017000297505191</v>
      </c>
      <c r="L37" s="1">
        <v>571754.69999999995</v>
      </c>
      <c r="M37" s="1">
        <v>1.6199999999999999</v>
      </c>
    </row>
    <row r="38" spans="2:13">
      <c r="B38" s="1" t="s">
        <v>45</v>
      </c>
      <c r="C38" s="1" t="s">
        <v>28</v>
      </c>
      <c r="D38" s="1"/>
      <c r="E38" s="1"/>
      <c r="F38" s="1">
        <v>0</v>
      </c>
      <c r="G38" s="1">
        <v>0</v>
      </c>
      <c r="H38" s="1">
        <v>0</v>
      </c>
      <c r="I38" s="1">
        <v>0</v>
      </c>
      <c r="J38" s="1">
        <v>0</v>
      </c>
      <c r="K38" s="1" t="e">
        <v>#DIV/0!</v>
      </c>
      <c r="L38" s="1"/>
      <c r="M38" s="1"/>
    </row>
    <row r="39" spans="2:13">
      <c r="B39" s="1" t="s">
        <v>46</v>
      </c>
      <c r="C39" s="1"/>
      <c r="D39" s="1"/>
      <c r="E39" s="1"/>
      <c r="F39" s="1"/>
      <c r="G39" s="1">
        <v>-25583817.260000002</v>
      </c>
      <c r="H39" s="1">
        <v>525343.80000000005</v>
      </c>
      <c r="I39" s="1">
        <v>0</v>
      </c>
      <c r="J39" s="1">
        <v>-25058473.460000001</v>
      </c>
      <c r="K39" s="1"/>
      <c r="L39" s="1">
        <v>-1388031.42</v>
      </c>
      <c r="M39" s="1"/>
    </row>
    <row r="40" spans="2:13">
      <c r="B40" s="1" t="s">
        <v>47</v>
      </c>
      <c r="C40" s="1"/>
      <c r="D40" s="1"/>
      <c r="E40" s="1"/>
      <c r="F40" s="1">
        <v>399920704.91000003</v>
      </c>
      <c r="G40" s="1">
        <v>2024281507.1129999</v>
      </c>
      <c r="H40" s="1">
        <v>175612571.58000001</v>
      </c>
      <c r="I40" s="1">
        <v>0</v>
      </c>
      <c r="J40" s="1">
        <v>2199894078.6929998</v>
      </c>
      <c r="K40" s="1">
        <v>5.5008256678985248</v>
      </c>
      <c r="L40" s="1">
        <v>425478100.02999991</v>
      </c>
      <c r="M40" s="1">
        <v>1.0639061564110601</v>
      </c>
    </row>
    <row r="41" spans="2:13">
      <c r="B41" s="1"/>
      <c r="C41" s="1"/>
      <c r="D41" s="1"/>
      <c r="E41" s="1"/>
      <c r="F41" s="1"/>
      <c r="G41" s="1"/>
      <c r="H41" s="1"/>
      <c r="I41" s="1" t="s">
        <v>48</v>
      </c>
      <c r="J41" s="1">
        <v>10403916.9</v>
      </c>
      <c r="K41" s="1"/>
      <c r="L41" s="1"/>
      <c r="M41" s="1"/>
    </row>
    <row r="42" spans="2:13">
      <c r="B42" s="1"/>
      <c r="C42" s="1"/>
      <c r="D42" s="1"/>
      <c r="E42" s="1"/>
      <c r="F42" s="1"/>
      <c r="G42" s="1"/>
      <c r="H42" s="1"/>
      <c r="I42" s="1" t="s">
        <v>49</v>
      </c>
      <c r="J42" s="1">
        <v>425530022.79000002</v>
      </c>
      <c r="K42" s="1"/>
      <c r="L42" s="1">
        <v>-51922.760000109673</v>
      </c>
      <c r="M42" s="1"/>
    </row>
    <row r="43" spans="2:13">
      <c r="B43" s="1"/>
      <c r="C43" s="1"/>
      <c r="D43" s="1"/>
      <c r="E43" s="1"/>
      <c r="F43" s="1"/>
      <c r="G43" s="1"/>
      <c r="H43" s="1"/>
      <c r="I43" s="1" t="s">
        <v>50</v>
      </c>
      <c r="J43" s="1">
        <v>-493119.69</v>
      </c>
      <c r="K43" s="1"/>
      <c r="L43" s="1"/>
      <c r="M43" s="1"/>
    </row>
    <row r="44" spans="2:13">
      <c r="B44" s="1"/>
      <c r="C44" s="1"/>
      <c r="D44" s="1"/>
      <c r="E44" s="1"/>
      <c r="F44" s="1"/>
      <c r="G44" s="1"/>
      <c r="H44" s="1"/>
      <c r="I44" s="1" t="s">
        <v>51</v>
      </c>
      <c r="J44" s="1">
        <v>14285124.59</v>
      </c>
      <c r="K44" s="1"/>
      <c r="L44" s="1"/>
      <c r="M44" s="1"/>
    </row>
    <row r="45" spans="2:13">
      <c r="B45" s="1"/>
      <c r="C45" s="1"/>
      <c r="D45" s="1"/>
      <c r="E45" s="1"/>
      <c r="F45" s="1"/>
      <c r="G45" s="1"/>
      <c r="H45" s="1"/>
      <c r="I45" s="1" t="s">
        <v>52</v>
      </c>
      <c r="J45" s="1">
        <v>7533528.9199999999</v>
      </c>
      <c r="K45" s="1"/>
      <c r="L45" s="1"/>
      <c r="M45" s="1"/>
    </row>
    <row r="46" spans="2:13">
      <c r="B46" s="1"/>
      <c r="C46" s="1"/>
      <c r="D46" s="1"/>
      <c r="E46" s="1"/>
      <c r="F46" s="1"/>
      <c r="G46" s="1"/>
      <c r="H46" s="1"/>
      <c r="I46" s="1" t="s">
        <v>47</v>
      </c>
      <c r="J46" s="1">
        <v>2657153552.2030001</v>
      </c>
      <c r="K46" s="1"/>
      <c r="L46" s="1"/>
      <c r="M46" s="1"/>
    </row>
    <row r="47" spans="2:13">
      <c r="B47" s="1"/>
      <c r="C47" s="1"/>
      <c r="D47" s="1"/>
      <c r="E47" s="1"/>
      <c r="F47" s="1"/>
      <c r="G47" s="1"/>
      <c r="H47" s="1"/>
      <c r="I47" s="1" t="s">
        <v>53</v>
      </c>
      <c r="J47" s="1">
        <v>-6284699.3600000003</v>
      </c>
      <c r="K47" s="1"/>
      <c r="L47" s="1"/>
      <c r="M47" s="1"/>
    </row>
    <row r="48" spans="2:13">
      <c r="B48" s="1"/>
      <c r="C48" s="1"/>
      <c r="D48" s="1"/>
      <c r="E48" s="1"/>
      <c r="F48" s="1"/>
      <c r="G48" s="1"/>
      <c r="H48" s="1"/>
      <c r="I48" s="1" t="s">
        <v>54</v>
      </c>
      <c r="J48" s="1">
        <v>-46269257.899999999</v>
      </c>
      <c r="K48" s="1"/>
      <c r="L48" s="1"/>
      <c r="M48" s="1"/>
    </row>
    <row r="49" spans="2:13">
      <c r="B49" s="1"/>
      <c r="C49" s="1"/>
      <c r="D49" s="1"/>
      <c r="E49" s="1"/>
      <c r="F49" s="1"/>
      <c r="G49" s="1"/>
      <c r="H49" s="1"/>
      <c r="I49" s="1" t="s">
        <v>55</v>
      </c>
      <c r="J49" s="1">
        <v>-294961.91999999998</v>
      </c>
      <c r="K49" s="1"/>
      <c r="L49" s="1"/>
      <c r="M49" s="1"/>
    </row>
    <row r="50" spans="2:13">
      <c r="B50" s="1"/>
      <c r="C50" s="1"/>
      <c r="D50" s="1"/>
      <c r="E50" s="1"/>
      <c r="F50" s="1"/>
      <c r="G50" s="1"/>
      <c r="H50" s="1"/>
      <c r="I50" s="1" t="s">
        <v>56</v>
      </c>
      <c r="J50" s="1">
        <v>0</v>
      </c>
      <c r="K50" s="1"/>
      <c r="L50" s="1"/>
      <c r="M50" s="1"/>
    </row>
    <row r="51" spans="2:13">
      <c r="B51" s="1"/>
      <c r="C51" s="1"/>
      <c r="D51" s="1"/>
      <c r="E51" s="1"/>
      <c r="F51" s="1"/>
      <c r="G51" s="1"/>
      <c r="H51" s="1"/>
      <c r="I51" s="1" t="s">
        <v>57</v>
      </c>
      <c r="J51" s="1">
        <v>2604304633.0229998</v>
      </c>
      <c r="K51" s="1"/>
      <c r="L51" s="1"/>
      <c r="M51" s="1"/>
    </row>
    <row r="52" spans="2:13">
      <c r="B52" s="1"/>
      <c r="C52" s="1"/>
      <c r="D52" s="1"/>
      <c r="E52" s="1"/>
      <c r="F52" s="1"/>
      <c r="G52" s="1"/>
      <c r="H52" s="1"/>
      <c r="I52" s="1" t="s">
        <v>58</v>
      </c>
      <c r="J52" s="1">
        <v>6.6442010118005221</v>
      </c>
      <c r="K52" s="1"/>
      <c r="L52" s="1"/>
      <c r="M52" s="1"/>
    </row>
    <row r="53" spans="2:13">
      <c r="B53" s="1"/>
      <c r="C53" s="1"/>
      <c r="D53" s="1"/>
      <c r="E53" s="1"/>
      <c r="F53" s="1"/>
      <c r="G53" s="1"/>
      <c r="H53" s="1"/>
      <c r="I53" s="1" t="s">
        <v>59</v>
      </c>
      <c r="J53" s="1">
        <v>40339462.560000002</v>
      </c>
      <c r="K53" s="1"/>
      <c r="L53" s="1"/>
      <c r="M53" s="1"/>
    </row>
    <row r="54" spans="2:13">
      <c r="B54" s="1"/>
      <c r="C54" s="1"/>
      <c r="D54" s="1"/>
      <c r="E54" s="1"/>
      <c r="F54" s="1"/>
      <c r="G54" s="1"/>
      <c r="H54" s="1"/>
      <c r="I54" s="1" t="s">
        <v>60</v>
      </c>
      <c r="J54" s="1">
        <v>2697493014.763</v>
      </c>
      <c r="K54" s="1"/>
      <c r="L54" s="1"/>
      <c r="M54" s="1"/>
    </row>
    <row r="55" spans="2:13">
      <c r="B55" s="1"/>
      <c r="C55" s="1"/>
      <c r="D55" s="1"/>
      <c r="E55" s="1"/>
      <c r="F55" s="1"/>
      <c r="G55" s="1"/>
      <c r="H55" s="1"/>
      <c r="I55" s="1" t="s">
        <v>58</v>
      </c>
      <c r="J55" s="1"/>
      <c r="K55" s="1"/>
      <c r="L55" s="1"/>
      <c r="M55" s="1"/>
    </row>
    <row r="56" spans="2:13">
      <c r="B56" s="1"/>
      <c r="C56" s="1"/>
      <c r="D56" s="1"/>
      <c r="E56" s="1"/>
      <c r="F56" s="1"/>
      <c r="G56" s="1"/>
      <c r="H56" s="1"/>
      <c r="I56" s="1"/>
      <c r="J56" s="1">
        <v>6.7450696641726919</v>
      </c>
      <c r="K56" s="1"/>
      <c r="L56" s="1"/>
      <c r="M56" s="1"/>
    </row>
  </sheetData>
  <mergeCells count="7">
    <mergeCell ref="H18:H23"/>
    <mergeCell ref="J18:J23"/>
    <mergeCell ref="B2:F2"/>
    <mergeCell ref="H6:H9"/>
    <mergeCell ref="J6:J9"/>
    <mergeCell ref="H10:H15"/>
    <mergeCell ref="J10:J15"/>
  </mergeCell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26"/>
  <dimension ref="A2:K28"/>
  <sheetViews>
    <sheetView showGridLines="0" view="pageBreakPreview" zoomScale="70" zoomScaleNormal="70" zoomScaleSheetLayoutView="70" workbookViewId="0">
      <pane xSplit="3" ySplit="9" topLeftCell="D10" activePane="bottomRight" state="frozen"/>
      <selection pane="topRight" activeCell="D1" sqref="D1"/>
      <selection pane="bottomLeft" activeCell="A9" sqref="A9"/>
      <selection pane="bottomRight" activeCell="I1" sqref="I1:J1048576"/>
    </sheetView>
  </sheetViews>
  <sheetFormatPr defaultRowHeight="15.75"/>
  <cols>
    <col min="1" max="1" width="2.140625" style="254" hidden="1" customWidth="1"/>
    <col min="2" max="2" width="6.85546875" style="254" bestFit="1" customWidth="1"/>
    <col min="3" max="3" width="33.42578125" style="254" customWidth="1"/>
    <col min="4" max="4" width="18.5703125" style="254" hidden="1" customWidth="1"/>
    <col min="5" max="5" width="13.28515625" style="254" hidden="1" customWidth="1"/>
    <col min="6" max="6" width="19" style="254" customWidth="1"/>
    <col min="7" max="7" width="18.7109375" style="254" hidden="1" customWidth="1"/>
    <col min="8" max="8" width="16.85546875" style="254" customWidth="1"/>
    <col min="9" max="10" width="15.7109375" style="254" hidden="1" customWidth="1"/>
    <col min="11" max="11" width="0" style="254" hidden="1" customWidth="1"/>
    <col min="12" max="16384" width="9.140625" style="254"/>
  </cols>
  <sheetData>
    <row r="2" spans="2:11">
      <c r="B2" s="5396" t="s">
        <v>100</v>
      </c>
      <c r="C2" s="5396"/>
      <c r="D2" s="5396"/>
      <c r="E2" s="5396"/>
      <c r="F2" s="5396"/>
      <c r="G2" s="5396"/>
      <c r="H2" s="5396"/>
      <c r="I2" s="278"/>
      <c r="J2" s="278"/>
    </row>
    <row r="3" spans="2:11">
      <c r="B3" s="5632" t="s">
        <v>3915</v>
      </c>
      <c r="C3" s="5632"/>
      <c r="D3" s="5632"/>
      <c r="E3" s="5632"/>
      <c r="F3" s="5632"/>
      <c r="G3" s="5632"/>
      <c r="H3" s="5632"/>
      <c r="I3" s="5360"/>
      <c r="J3" s="5360"/>
    </row>
    <row r="4" spans="2:11">
      <c r="B4" s="5633" t="s">
        <v>3487</v>
      </c>
      <c r="C4" s="5633"/>
      <c r="D4" s="5633"/>
      <c r="E4" s="5633"/>
      <c r="F4" s="5633"/>
      <c r="G4" s="5633"/>
      <c r="H4" s="5633"/>
      <c r="I4" s="5361"/>
      <c r="J4" s="5361"/>
    </row>
    <row r="5" spans="2:11">
      <c r="B5" s="4469"/>
      <c r="C5" s="4469"/>
      <c r="D5" s="4469"/>
      <c r="E5" s="4469"/>
      <c r="F5" s="4469"/>
      <c r="G5" s="4469"/>
      <c r="H5" s="4469"/>
    </row>
    <row r="6" spans="2:11">
      <c r="B6" s="786"/>
      <c r="C6" s="279"/>
      <c r="D6" s="279"/>
      <c r="E6" s="279"/>
      <c r="H6" s="5363" t="s">
        <v>973</v>
      </c>
    </row>
    <row r="7" spans="2:11">
      <c r="B7" s="5652" t="s">
        <v>101</v>
      </c>
      <c r="C7" s="5652" t="s">
        <v>81</v>
      </c>
      <c r="D7" s="5652" t="s">
        <v>1897</v>
      </c>
      <c r="E7" s="5655" t="s">
        <v>82</v>
      </c>
      <c r="F7" s="5656"/>
      <c r="G7" s="5655" t="s">
        <v>1845</v>
      </c>
      <c r="H7" s="5659"/>
      <c r="I7" s="5663" t="s">
        <v>2442</v>
      </c>
      <c r="J7" s="5663" t="s">
        <v>2443</v>
      </c>
    </row>
    <row r="8" spans="2:11">
      <c r="B8" s="5653"/>
      <c r="C8" s="5653"/>
      <c r="D8" s="5654"/>
      <c r="E8" s="5657"/>
      <c r="F8" s="5658"/>
      <c r="G8" s="5657"/>
      <c r="H8" s="5658"/>
      <c r="I8" s="5663"/>
      <c r="J8" s="5663"/>
    </row>
    <row r="9" spans="2:11" ht="31.5">
      <c r="B9" s="5654"/>
      <c r="C9" s="5654"/>
      <c r="D9" s="787" t="s">
        <v>1043</v>
      </c>
      <c r="E9" s="795" t="s">
        <v>755</v>
      </c>
      <c r="F9" s="4468" t="s">
        <v>96</v>
      </c>
      <c r="G9" s="795" t="s">
        <v>755</v>
      </c>
      <c r="H9" s="4468" t="s">
        <v>96</v>
      </c>
      <c r="I9" s="5052" t="s">
        <v>656</v>
      </c>
      <c r="J9" s="4648" t="s">
        <v>3403</v>
      </c>
    </row>
    <row r="10" spans="2:11" ht="31.5">
      <c r="B10" s="282">
        <v>1</v>
      </c>
      <c r="C10" s="284" t="s">
        <v>139</v>
      </c>
      <c r="D10" s="4250">
        <v>4.95</v>
      </c>
      <c r="E10" s="4257"/>
      <c r="F10" s="4250">
        <v>6.54</v>
      </c>
      <c r="G10" s="4065"/>
      <c r="H10" s="4065">
        <v>8.6199999999999992</v>
      </c>
      <c r="I10" s="4065">
        <v>7.94</v>
      </c>
      <c r="J10" s="4065">
        <v>5.9</v>
      </c>
      <c r="K10" s="799">
        <f t="shared" ref="K10:K20" si="0">(J10-I10)/I10%</f>
        <v>-25.692695214105793</v>
      </c>
    </row>
    <row r="11" spans="2:11">
      <c r="B11" s="282">
        <f>B10+1</f>
        <v>2</v>
      </c>
      <c r="C11" s="284" t="s">
        <v>140</v>
      </c>
      <c r="D11" s="4250">
        <v>0.06</v>
      </c>
      <c r="E11" s="4258"/>
      <c r="F11" s="4250">
        <v>0.18</v>
      </c>
      <c r="G11" s="4065"/>
      <c r="H11" s="4065">
        <v>0.09</v>
      </c>
      <c r="I11" s="4065">
        <v>0.13</v>
      </c>
      <c r="J11" s="4065">
        <v>0.95</v>
      </c>
      <c r="K11" s="799">
        <f t="shared" si="0"/>
        <v>630.76923076923072</v>
      </c>
    </row>
    <row r="12" spans="2:11">
      <c r="B12" s="282">
        <f t="shared" ref="B12:B20" si="1">B11+1</f>
        <v>3</v>
      </c>
      <c r="C12" s="284" t="s">
        <v>141</v>
      </c>
      <c r="D12" s="4250">
        <v>0.03</v>
      </c>
      <c r="E12" s="4258"/>
      <c r="F12" s="4250">
        <v>0.01</v>
      </c>
      <c r="G12" s="4065"/>
      <c r="H12" s="4065">
        <v>0.02</v>
      </c>
      <c r="I12" s="4065">
        <v>0.03</v>
      </c>
      <c r="J12" s="4065">
        <v>0.04</v>
      </c>
      <c r="K12" s="799">
        <f t="shared" si="0"/>
        <v>33.333333333333343</v>
      </c>
    </row>
    <row r="13" spans="2:11">
      <c r="B13" s="282">
        <f t="shared" si="1"/>
        <v>4</v>
      </c>
      <c r="C13" s="284" t="s">
        <v>142</v>
      </c>
      <c r="D13" s="4250">
        <v>0.16</v>
      </c>
      <c r="E13" s="4258"/>
      <c r="F13" s="4250">
        <v>0.12000000000000001</v>
      </c>
      <c r="G13" s="4065"/>
      <c r="H13" s="4065">
        <v>0.12</v>
      </c>
      <c r="I13" s="4065">
        <v>0.11</v>
      </c>
      <c r="J13" s="4065">
        <v>0.01</v>
      </c>
      <c r="K13" s="799">
        <f t="shared" si="0"/>
        <v>-90.909090909090907</v>
      </c>
    </row>
    <row r="14" spans="2:11">
      <c r="B14" s="282">
        <f t="shared" si="1"/>
        <v>5</v>
      </c>
      <c r="C14" s="284" t="s">
        <v>143</v>
      </c>
      <c r="D14" s="4250">
        <v>8.09</v>
      </c>
      <c r="E14" s="4258"/>
      <c r="F14" s="4250">
        <v>4.78</v>
      </c>
      <c r="G14" s="4065"/>
      <c r="H14" s="4065">
        <v>7.59</v>
      </c>
      <c r="I14" s="4065">
        <v>7.3</v>
      </c>
      <c r="J14" s="4065">
        <v>10.35</v>
      </c>
      <c r="K14" s="799">
        <f t="shared" si="0"/>
        <v>41.780821917808218</v>
      </c>
    </row>
    <row r="15" spans="2:11">
      <c r="B15" s="282">
        <f t="shared" si="1"/>
        <v>6</v>
      </c>
      <c r="C15" s="284" t="s">
        <v>144</v>
      </c>
      <c r="D15" s="4250">
        <v>14.2</v>
      </c>
      <c r="E15" s="4258"/>
      <c r="F15" s="4250">
        <v>12.06</v>
      </c>
      <c r="G15" s="4065"/>
      <c r="H15" s="4065">
        <v>9.58</v>
      </c>
      <c r="I15" s="4065">
        <v>12.04</v>
      </c>
      <c r="J15" s="4065">
        <v>11</v>
      </c>
      <c r="K15" s="799">
        <f t="shared" si="0"/>
        <v>-8.6378737541528174</v>
      </c>
    </row>
    <row r="16" spans="2:11">
      <c r="B16" s="282">
        <f t="shared" si="1"/>
        <v>7</v>
      </c>
      <c r="C16" s="284" t="s">
        <v>145</v>
      </c>
      <c r="D16" s="4250">
        <v>2.5499999999999998</v>
      </c>
      <c r="E16" s="4258"/>
      <c r="F16" s="4250">
        <v>3.4699999999999998</v>
      </c>
      <c r="G16" s="4065"/>
      <c r="H16" s="4065">
        <v>3.2</v>
      </c>
      <c r="I16" s="4065">
        <v>3.25</v>
      </c>
      <c r="J16" s="4065">
        <v>5.77</v>
      </c>
      <c r="K16" s="799">
        <f t="shared" si="0"/>
        <v>77.538461538461519</v>
      </c>
    </row>
    <row r="17" spans="2:11">
      <c r="B17" s="282">
        <f t="shared" si="1"/>
        <v>8</v>
      </c>
      <c r="C17" s="284" t="s">
        <v>146</v>
      </c>
      <c r="D17" s="4250">
        <v>0.09</v>
      </c>
      <c r="E17" s="4258"/>
      <c r="F17" s="4250">
        <v>7.0000000000000007E-2</v>
      </c>
      <c r="G17" s="4065"/>
      <c r="H17" s="4065">
        <v>7.0000000000000007E-2</v>
      </c>
      <c r="I17" s="4065">
        <v>0.05</v>
      </c>
      <c r="J17" s="4065">
        <v>0.1</v>
      </c>
      <c r="K17" s="799">
        <f t="shared" si="0"/>
        <v>100</v>
      </c>
    </row>
    <row r="18" spans="2:11">
      <c r="B18" s="282">
        <f t="shared" si="1"/>
        <v>9</v>
      </c>
      <c r="C18" s="284" t="s">
        <v>147</v>
      </c>
      <c r="D18" s="4250">
        <v>5.71</v>
      </c>
      <c r="E18" s="4258"/>
      <c r="F18" s="4250">
        <v>12.399999999999999</v>
      </c>
      <c r="G18" s="4065"/>
      <c r="H18" s="4065">
        <v>7.32</v>
      </c>
      <c r="I18" s="4065">
        <v>16.13</v>
      </c>
      <c r="J18" s="4065">
        <v>11</v>
      </c>
      <c r="K18" s="799"/>
    </row>
    <row r="19" spans="2:11">
      <c r="B19" s="282">
        <f t="shared" si="1"/>
        <v>10</v>
      </c>
      <c r="C19" s="284" t="s">
        <v>148</v>
      </c>
      <c r="D19" s="4250"/>
      <c r="E19" s="4259"/>
      <c r="F19" s="4250">
        <v>3.0700000000000003</v>
      </c>
      <c r="G19" s="4065"/>
      <c r="H19" s="4065">
        <v>4.7</v>
      </c>
      <c r="I19" s="4065">
        <v>5.8</v>
      </c>
      <c r="J19" s="4065">
        <v>4.8499999999999996</v>
      </c>
      <c r="K19" s="799">
        <f t="shared" si="0"/>
        <v>-16.379310344827591</v>
      </c>
    </row>
    <row r="20" spans="2:11">
      <c r="B20" s="282">
        <f t="shared" si="1"/>
        <v>11</v>
      </c>
      <c r="C20" s="285" t="s">
        <v>3561</v>
      </c>
      <c r="D20" s="4260">
        <f>SUM(D10:D18)</f>
        <v>35.839999999999996</v>
      </c>
      <c r="E20" s="4255">
        <v>31.88</v>
      </c>
      <c r="F20" s="4261">
        <f>SUM(F10:F19)</f>
        <v>42.699999999999996</v>
      </c>
      <c r="G20" s="4262">
        <v>41.55</v>
      </c>
      <c r="H20" s="4262">
        <f>SUM(H10:H19)</f>
        <v>41.31</v>
      </c>
      <c r="I20" s="4262">
        <f>SUM(I10:I19)</f>
        <v>52.779999999999994</v>
      </c>
      <c r="J20" s="4262">
        <f t="shared" ref="J20" si="2">SUM(J10:J19)</f>
        <v>49.97</v>
      </c>
      <c r="K20" s="799">
        <f t="shared" si="0"/>
        <v>-5.3239863584691083</v>
      </c>
    </row>
    <row r="21" spans="2:11">
      <c r="K21" s="264"/>
    </row>
    <row r="22" spans="2:11">
      <c r="K22" s="264"/>
    </row>
    <row r="23" spans="2:11">
      <c r="K23" s="264"/>
    </row>
    <row r="24" spans="2:11">
      <c r="K24" s="264"/>
    </row>
    <row r="25" spans="2:11">
      <c r="K25" s="264"/>
    </row>
    <row r="26" spans="2:11">
      <c r="K26" s="264"/>
    </row>
    <row r="27" spans="2:11">
      <c r="K27" s="264"/>
    </row>
    <row r="28" spans="2:11">
      <c r="K28" s="264"/>
    </row>
  </sheetData>
  <mergeCells count="10">
    <mergeCell ref="B2:H2"/>
    <mergeCell ref="B3:H3"/>
    <mergeCell ref="B4:H4"/>
    <mergeCell ref="I7:I8"/>
    <mergeCell ref="J7:J8"/>
    <mergeCell ref="B7:B9"/>
    <mergeCell ref="C7:C9"/>
    <mergeCell ref="D7:D8"/>
    <mergeCell ref="E7:F8"/>
    <mergeCell ref="G7:H8"/>
  </mergeCells>
  <printOptions horizontalCentered="1"/>
  <pageMargins left="0.71" right="0.70866141732283505" top="0.9" bottom="0.74803149606299202" header="0.31496062992126" footer="0.31496062992126"/>
  <pageSetup paperSize="9" orientation="landscape" r:id="rId1"/>
  <legacyDrawing r:id="rId2"/>
</worksheet>
</file>

<file path=xl/worksheets/sheet41.xml><?xml version="1.0" encoding="utf-8"?>
<worksheet xmlns="http://schemas.openxmlformats.org/spreadsheetml/2006/main" xmlns:r="http://schemas.openxmlformats.org/officeDocument/2006/relationships">
  <sheetPr codeName="Sheet30">
    <pageSetUpPr fitToPage="1"/>
  </sheetPr>
  <dimension ref="A1:X259"/>
  <sheetViews>
    <sheetView showGridLines="0" view="pageBreakPreview" zoomScale="50" zoomScaleNormal="50" zoomScaleSheetLayoutView="50" workbookViewId="0">
      <selection activeCell="A105" sqref="A105:XFD259"/>
    </sheetView>
  </sheetViews>
  <sheetFormatPr defaultRowHeight="15.75"/>
  <cols>
    <col min="1" max="1" width="1.5703125" style="67" customWidth="1"/>
    <col min="2" max="2" width="20.42578125" style="67" customWidth="1"/>
    <col min="3" max="3" width="66.85546875" style="67" customWidth="1"/>
    <col min="4" max="4" width="18.140625" style="67" customWidth="1"/>
    <col min="5" max="7" width="17.140625" style="67" customWidth="1"/>
    <col min="8" max="10" width="17" style="67" customWidth="1"/>
    <col min="11" max="13" width="17.5703125" style="67" customWidth="1"/>
    <col min="14" max="14" width="19.85546875" style="67" customWidth="1"/>
    <col min="15" max="15" width="12.85546875" style="67" customWidth="1"/>
    <col min="16" max="16" width="12" style="67" customWidth="1"/>
    <col min="17" max="17" width="9.5703125" style="67" customWidth="1"/>
    <col min="18" max="19" width="9.140625" style="67"/>
    <col min="20" max="20" width="0" style="67" hidden="1" customWidth="1"/>
    <col min="21" max="256" width="9.140625" style="67"/>
    <col min="257" max="257" width="1.5703125" style="67" customWidth="1"/>
    <col min="258" max="258" width="17.42578125" style="67" customWidth="1"/>
    <col min="259" max="259" width="66.85546875" style="67" customWidth="1"/>
    <col min="260" max="260" width="13.28515625" style="67" customWidth="1"/>
    <col min="261" max="261" width="11.42578125" style="67" customWidth="1"/>
    <col min="262" max="262" width="10.42578125" style="67" customWidth="1"/>
    <col min="263" max="263" width="11.140625" style="67" customWidth="1"/>
    <col min="264" max="264" width="14.85546875" style="67" customWidth="1"/>
    <col min="265" max="265" width="14.140625" style="67" customWidth="1"/>
    <col min="266" max="266" width="13.42578125" style="67" customWidth="1"/>
    <col min="267" max="267" width="15.42578125" style="67" customWidth="1"/>
    <col min="268" max="268" width="15.140625" style="67" customWidth="1"/>
    <col min="269" max="269" width="12.140625" style="67" customWidth="1"/>
    <col min="270" max="270" width="14" style="67" customWidth="1"/>
    <col min="271" max="271" width="11" style="67" customWidth="1"/>
    <col min="272" max="272" width="12" style="67" customWidth="1"/>
    <col min="273" max="273" width="9.5703125" style="67" customWidth="1"/>
    <col min="274" max="275" width="9.140625" style="67"/>
    <col min="276" max="276" width="0" style="67" hidden="1" customWidth="1"/>
    <col min="277" max="512" width="9.140625" style="67"/>
    <col min="513" max="513" width="1.5703125" style="67" customWidth="1"/>
    <col min="514" max="514" width="17.42578125" style="67" customWidth="1"/>
    <col min="515" max="515" width="66.85546875" style="67" customWidth="1"/>
    <col min="516" max="516" width="13.28515625" style="67" customWidth="1"/>
    <col min="517" max="517" width="11.42578125" style="67" customWidth="1"/>
    <col min="518" max="518" width="10.42578125" style="67" customWidth="1"/>
    <col min="519" max="519" width="11.140625" style="67" customWidth="1"/>
    <col min="520" max="520" width="14.85546875" style="67" customWidth="1"/>
    <col min="521" max="521" width="14.140625" style="67" customWidth="1"/>
    <col min="522" max="522" width="13.42578125" style="67" customWidth="1"/>
    <col min="523" max="523" width="15.42578125" style="67" customWidth="1"/>
    <col min="524" max="524" width="15.140625" style="67" customWidth="1"/>
    <col min="525" max="525" width="12.140625" style="67" customWidth="1"/>
    <col min="526" max="526" width="14" style="67" customWidth="1"/>
    <col min="527" max="527" width="11" style="67" customWidth="1"/>
    <col min="528" max="528" width="12" style="67" customWidth="1"/>
    <col min="529" max="529" width="9.5703125" style="67" customWidth="1"/>
    <col min="530" max="531" width="9.140625" style="67"/>
    <col min="532" max="532" width="0" style="67" hidden="1" customWidth="1"/>
    <col min="533" max="768" width="9.140625" style="67"/>
    <col min="769" max="769" width="1.5703125" style="67" customWidth="1"/>
    <col min="770" max="770" width="17.42578125" style="67" customWidth="1"/>
    <col min="771" max="771" width="66.85546875" style="67" customWidth="1"/>
    <col min="772" max="772" width="13.28515625" style="67" customWidth="1"/>
    <col min="773" max="773" width="11.42578125" style="67" customWidth="1"/>
    <col min="774" max="774" width="10.42578125" style="67" customWidth="1"/>
    <col min="775" max="775" width="11.140625" style="67" customWidth="1"/>
    <col min="776" max="776" width="14.85546875" style="67" customWidth="1"/>
    <col min="777" max="777" width="14.140625" style="67" customWidth="1"/>
    <col min="778" max="778" width="13.42578125" style="67" customWidth="1"/>
    <col min="779" max="779" width="15.42578125" style="67" customWidth="1"/>
    <col min="780" max="780" width="15.140625" style="67" customWidth="1"/>
    <col min="781" max="781" width="12.140625" style="67" customWidth="1"/>
    <col min="782" max="782" width="14" style="67" customWidth="1"/>
    <col min="783" max="783" width="11" style="67" customWidth="1"/>
    <col min="784" max="784" width="12" style="67" customWidth="1"/>
    <col min="785" max="785" width="9.5703125" style="67" customWidth="1"/>
    <col min="786" max="787" width="9.140625" style="67"/>
    <col min="788" max="788" width="0" style="67" hidden="1" customWidth="1"/>
    <col min="789" max="1024" width="9.140625" style="67"/>
    <col min="1025" max="1025" width="1.5703125" style="67" customWidth="1"/>
    <col min="1026" max="1026" width="17.42578125" style="67" customWidth="1"/>
    <col min="1027" max="1027" width="66.85546875" style="67" customWidth="1"/>
    <col min="1028" max="1028" width="13.28515625" style="67" customWidth="1"/>
    <col min="1029" max="1029" width="11.42578125" style="67" customWidth="1"/>
    <col min="1030" max="1030" width="10.42578125" style="67" customWidth="1"/>
    <col min="1031" max="1031" width="11.140625" style="67" customWidth="1"/>
    <col min="1032" max="1032" width="14.85546875" style="67" customWidth="1"/>
    <col min="1033" max="1033" width="14.140625" style="67" customWidth="1"/>
    <col min="1034" max="1034" width="13.42578125" style="67" customWidth="1"/>
    <col min="1035" max="1035" width="15.42578125" style="67" customWidth="1"/>
    <col min="1036" max="1036" width="15.140625" style="67" customWidth="1"/>
    <col min="1037" max="1037" width="12.140625" style="67" customWidth="1"/>
    <col min="1038" max="1038" width="14" style="67" customWidth="1"/>
    <col min="1039" max="1039" width="11" style="67" customWidth="1"/>
    <col min="1040" max="1040" width="12" style="67" customWidth="1"/>
    <col min="1041" max="1041" width="9.5703125" style="67" customWidth="1"/>
    <col min="1042" max="1043" width="9.140625" style="67"/>
    <col min="1044" max="1044" width="0" style="67" hidden="1" customWidth="1"/>
    <col min="1045" max="1280" width="9.140625" style="67"/>
    <col min="1281" max="1281" width="1.5703125" style="67" customWidth="1"/>
    <col min="1282" max="1282" width="17.42578125" style="67" customWidth="1"/>
    <col min="1283" max="1283" width="66.85546875" style="67" customWidth="1"/>
    <col min="1284" max="1284" width="13.28515625" style="67" customWidth="1"/>
    <col min="1285" max="1285" width="11.42578125" style="67" customWidth="1"/>
    <col min="1286" max="1286" width="10.42578125" style="67" customWidth="1"/>
    <col min="1287" max="1287" width="11.140625" style="67" customWidth="1"/>
    <col min="1288" max="1288" width="14.85546875" style="67" customWidth="1"/>
    <col min="1289" max="1289" width="14.140625" style="67" customWidth="1"/>
    <col min="1290" max="1290" width="13.42578125" style="67" customWidth="1"/>
    <col min="1291" max="1291" width="15.42578125" style="67" customWidth="1"/>
    <col min="1292" max="1292" width="15.140625" style="67" customWidth="1"/>
    <col min="1293" max="1293" width="12.140625" style="67" customWidth="1"/>
    <col min="1294" max="1294" width="14" style="67" customWidth="1"/>
    <col min="1295" max="1295" width="11" style="67" customWidth="1"/>
    <col min="1296" max="1296" width="12" style="67" customWidth="1"/>
    <col min="1297" max="1297" width="9.5703125" style="67" customWidth="1"/>
    <col min="1298" max="1299" width="9.140625" style="67"/>
    <col min="1300" max="1300" width="0" style="67" hidden="1" customWidth="1"/>
    <col min="1301" max="1536" width="9.140625" style="67"/>
    <col min="1537" max="1537" width="1.5703125" style="67" customWidth="1"/>
    <col min="1538" max="1538" width="17.42578125" style="67" customWidth="1"/>
    <col min="1539" max="1539" width="66.85546875" style="67" customWidth="1"/>
    <col min="1540" max="1540" width="13.28515625" style="67" customWidth="1"/>
    <col min="1541" max="1541" width="11.42578125" style="67" customWidth="1"/>
    <col min="1542" max="1542" width="10.42578125" style="67" customWidth="1"/>
    <col min="1543" max="1543" width="11.140625" style="67" customWidth="1"/>
    <col min="1544" max="1544" width="14.85546875" style="67" customWidth="1"/>
    <col min="1545" max="1545" width="14.140625" style="67" customWidth="1"/>
    <col min="1546" max="1546" width="13.42578125" style="67" customWidth="1"/>
    <col min="1547" max="1547" width="15.42578125" style="67" customWidth="1"/>
    <col min="1548" max="1548" width="15.140625" style="67" customWidth="1"/>
    <col min="1549" max="1549" width="12.140625" style="67" customWidth="1"/>
    <col min="1550" max="1550" width="14" style="67" customWidth="1"/>
    <col min="1551" max="1551" width="11" style="67" customWidth="1"/>
    <col min="1552" max="1552" width="12" style="67" customWidth="1"/>
    <col min="1553" max="1553" width="9.5703125" style="67" customWidth="1"/>
    <col min="1554" max="1555" width="9.140625" style="67"/>
    <col min="1556" max="1556" width="0" style="67" hidden="1" customWidth="1"/>
    <col min="1557" max="1792" width="9.140625" style="67"/>
    <col min="1793" max="1793" width="1.5703125" style="67" customWidth="1"/>
    <col min="1794" max="1794" width="17.42578125" style="67" customWidth="1"/>
    <col min="1795" max="1795" width="66.85546875" style="67" customWidth="1"/>
    <col min="1796" max="1796" width="13.28515625" style="67" customWidth="1"/>
    <col min="1797" max="1797" width="11.42578125" style="67" customWidth="1"/>
    <col min="1798" max="1798" width="10.42578125" style="67" customWidth="1"/>
    <col min="1799" max="1799" width="11.140625" style="67" customWidth="1"/>
    <col min="1800" max="1800" width="14.85546875" style="67" customWidth="1"/>
    <col min="1801" max="1801" width="14.140625" style="67" customWidth="1"/>
    <col min="1802" max="1802" width="13.42578125" style="67" customWidth="1"/>
    <col min="1803" max="1803" width="15.42578125" style="67" customWidth="1"/>
    <col min="1804" max="1804" width="15.140625" style="67" customWidth="1"/>
    <col min="1805" max="1805" width="12.140625" style="67" customWidth="1"/>
    <col min="1806" max="1806" width="14" style="67" customWidth="1"/>
    <col min="1807" max="1807" width="11" style="67" customWidth="1"/>
    <col min="1808" max="1808" width="12" style="67" customWidth="1"/>
    <col min="1809" max="1809" width="9.5703125" style="67" customWidth="1"/>
    <col min="1810" max="1811" width="9.140625" style="67"/>
    <col min="1812" max="1812" width="0" style="67" hidden="1" customWidth="1"/>
    <col min="1813" max="2048" width="9.140625" style="67"/>
    <col min="2049" max="2049" width="1.5703125" style="67" customWidth="1"/>
    <col min="2050" max="2050" width="17.42578125" style="67" customWidth="1"/>
    <col min="2051" max="2051" width="66.85546875" style="67" customWidth="1"/>
    <col min="2052" max="2052" width="13.28515625" style="67" customWidth="1"/>
    <col min="2053" max="2053" width="11.42578125" style="67" customWidth="1"/>
    <col min="2054" max="2054" width="10.42578125" style="67" customWidth="1"/>
    <col min="2055" max="2055" width="11.140625" style="67" customWidth="1"/>
    <col min="2056" max="2056" width="14.85546875" style="67" customWidth="1"/>
    <col min="2057" max="2057" width="14.140625" style="67" customWidth="1"/>
    <col min="2058" max="2058" width="13.42578125" style="67" customWidth="1"/>
    <col min="2059" max="2059" width="15.42578125" style="67" customWidth="1"/>
    <col min="2060" max="2060" width="15.140625" style="67" customWidth="1"/>
    <col min="2061" max="2061" width="12.140625" style="67" customWidth="1"/>
    <col min="2062" max="2062" width="14" style="67" customWidth="1"/>
    <col min="2063" max="2063" width="11" style="67" customWidth="1"/>
    <col min="2064" max="2064" width="12" style="67" customWidth="1"/>
    <col min="2065" max="2065" width="9.5703125" style="67" customWidth="1"/>
    <col min="2066" max="2067" width="9.140625" style="67"/>
    <col min="2068" max="2068" width="0" style="67" hidden="1" customWidth="1"/>
    <col min="2069" max="2304" width="9.140625" style="67"/>
    <col min="2305" max="2305" width="1.5703125" style="67" customWidth="1"/>
    <col min="2306" max="2306" width="17.42578125" style="67" customWidth="1"/>
    <col min="2307" max="2307" width="66.85546875" style="67" customWidth="1"/>
    <col min="2308" max="2308" width="13.28515625" style="67" customWidth="1"/>
    <col min="2309" max="2309" width="11.42578125" style="67" customWidth="1"/>
    <col min="2310" max="2310" width="10.42578125" style="67" customWidth="1"/>
    <col min="2311" max="2311" width="11.140625" style="67" customWidth="1"/>
    <col min="2312" max="2312" width="14.85546875" style="67" customWidth="1"/>
    <col min="2313" max="2313" width="14.140625" style="67" customWidth="1"/>
    <col min="2314" max="2314" width="13.42578125" style="67" customWidth="1"/>
    <col min="2315" max="2315" width="15.42578125" style="67" customWidth="1"/>
    <col min="2316" max="2316" width="15.140625" style="67" customWidth="1"/>
    <col min="2317" max="2317" width="12.140625" style="67" customWidth="1"/>
    <col min="2318" max="2318" width="14" style="67" customWidth="1"/>
    <col min="2319" max="2319" width="11" style="67" customWidth="1"/>
    <col min="2320" max="2320" width="12" style="67" customWidth="1"/>
    <col min="2321" max="2321" width="9.5703125" style="67" customWidth="1"/>
    <col min="2322" max="2323" width="9.140625" style="67"/>
    <col min="2324" max="2324" width="0" style="67" hidden="1" customWidth="1"/>
    <col min="2325" max="2560" width="9.140625" style="67"/>
    <col min="2561" max="2561" width="1.5703125" style="67" customWidth="1"/>
    <col min="2562" max="2562" width="17.42578125" style="67" customWidth="1"/>
    <col min="2563" max="2563" width="66.85546875" style="67" customWidth="1"/>
    <col min="2564" max="2564" width="13.28515625" style="67" customWidth="1"/>
    <col min="2565" max="2565" width="11.42578125" style="67" customWidth="1"/>
    <col min="2566" max="2566" width="10.42578125" style="67" customWidth="1"/>
    <col min="2567" max="2567" width="11.140625" style="67" customWidth="1"/>
    <col min="2568" max="2568" width="14.85546875" style="67" customWidth="1"/>
    <col min="2569" max="2569" width="14.140625" style="67" customWidth="1"/>
    <col min="2570" max="2570" width="13.42578125" style="67" customWidth="1"/>
    <col min="2571" max="2571" width="15.42578125" style="67" customWidth="1"/>
    <col min="2572" max="2572" width="15.140625" style="67" customWidth="1"/>
    <col min="2573" max="2573" width="12.140625" style="67" customWidth="1"/>
    <col min="2574" max="2574" width="14" style="67" customWidth="1"/>
    <col min="2575" max="2575" width="11" style="67" customWidth="1"/>
    <col min="2576" max="2576" width="12" style="67" customWidth="1"/>
    <col min="2577" max="2577" width="9.5703125" style="67" customWidth="1"/>
    <col min="2578" max="2579" width="9.140625" style="67"/>
    <col min="2580" max="2580" width="0" style="67" hidden="1" customWidth="1"/>
    <col min="2581" max="2816" width="9.140625" style="67"/>
    <col min="2817" max="2817" width="1.5703125" style="67" customWidth="1"/>
    <col min="2818" max="2818" width="17.42578125" style="67" customWidth="1"/>
    <col min="2819" max="2819" width="66.85546875" style="67" customWidth="1"/>
    <col min="2820" max="2820" width="13.28515625" style="67" customWidth="1"/>
    <col min="2821" max="2821" width="11.42578125" style="67" customWidth="1"/>
    <col min="2822" max="2822" width="10.42578125" style="67" customWidth="1"/>
    <col min="2823" max="2823" width="11.140625" style="67" customWidth="1"/>
    <col min="2824" max="2824" width="14.85546875" style="67" customWidth="1"/>
    <col min="2825" max="2825" width="14.140625" style="67" customWidth="1"/>
    <col min="2826" max="2826" width="13.42578125" style="67" customWidth="1"/>
    <col min="2827" max="2827" width="15.42578125" style="67" customWidth="1"/>
    <col min="2828" max="2828" width="15.140625" style="67" customWidth="1"/>
    <col min="2829" max="2829" width="12.140625" style="67" customWidth="1"/>
    <col min="2830" max="2830" width="14" style="67" customWidth="1"/>
    <col min="2831" max="2831" width="11" style="67" customWidth="1"/>
    <col min="2832" max="2832" width="12" style="67" customWidth="1"/>
    <col min="2833" max="2833" width="9.5703125" style="67" customWidth="1"/>
    <col min="2834" max="2835" width="9.140625" style="67"/>
    <col min="2836" max="2836" width="0" style="67" hidden="1" customWidth="1"/>
    <col min="2837" max="3072" width="9.140625" style="67"/>
    <col min="3073" max="3073" width="1.5703125" style="67" customWidth="1"/>
    <col min="3074" max="3074" width="17.42578125" style="67" customWidth="1"/>
    <col min="3075" max="3075" width="66.85546875" style="67" customWidth="1"/>
    <col min="3076" max="3076" width="13.28515625" style="67" customWidth="1"/>
    <col min="3077" max="3077" width="11.42578125" style="67" customWidth="1"/>
    <col min="3078" max="3078" width="10.42578125" style="67" customWidth="1"/>
    <col min="3079" max="3079" width="11.140625" style="67" customWidth="1"/>
    <col min="3080" max="3080" width="14.85546875" style="67" customWidth="1"/>
    <col min="3081" max="3081" width="14.140625" style="67" customWidth="1"/>
    <col min="3082" max="3082" width="13.42578125" style="67" customWidth="1"/>
    <col min="3083" max="3083" width="15.42578125" style="67" customWidth="1"/>
    <col min="3084" max="3084" width="15.140625" style="67" customWidth="1"/>
    <col min="3085" max="3085" width="12.140625" style="67" customWidth="1"/>
    <col min="3086" max="3086" width="14" style="67" customWidth="1"/>
    <col min="3087" max="3087" width="11" style="67" customWidth="1"/>
    <col min="3088" max="3088" width="12" style="67" customWidth="1"/>
    <col min="3089" max="3089" width="9.5703125" style="67" customWidth="1"/>
    <col min="3090" max="3091" width="9.140625" style="67"/>
    <col min="3092" max="3092" width="0" style="67" hidden="1" customWidth="1"/>
    <col min="3093" max="3328" width="9.140625" style="67"/>
    <col min="3329" max="3329" width="1.5703125" style="67" customWidth="1"/>
    <col min="3330" max="3330" width="17.42578125" style="67" customWidth="1"/>
    <col min="3331" max="3331" width="66.85546875" style="67" customWidth="1"/>
    <col min="3332" max="3332" width="13.28515625" style="67" customWidth="1"/>
    <col min="3333" max="3333" width="11.42578125" style="67" customWidth="1"/>
    <col min="3334" max="3334" width="10.42578125" style="67" customWidth="1"/>
    <col min="3335" max="3335" width="11.140625" style="67" customWidth="1"/>
    <col min="3336" max="3336" width="14.85546875" style="67" customWidth="1"/>
    <col min="3337" max="3337" width="14.140625" style="67" customWidth="1"/>
    <col min="3338" max="3338" width="13.42578125" style="67" customWidth="1"/>
    <col min="3339" max="3339" width="15.42578125" style="67" customWidth="1"/>
    <col min="3340" max="3340" width="15.140625" style="67" customWidth="1"/>
    <col min="3341" max="3341" width="12.140625" style="67" customWidth="1"/>
    <col min="3342" max="3342" width="14" style="67" customWidth="1"/>
    <col min="3343" max="3343" width="11" style="67" customWidth="1"/>
    <col min="3344" max="3344" width="12" style="67" customWidth="1"/>
    <col min="3345" max="3345" width="9.5703125" style="67" customWidth="1"/>
    <col min="3346" max="3347" width="9.140625" style="67"/>
    <col min="3348" max="3348" width="0" style="67" hidden="1" customWidth="1"/>
    <col min="3349" max="3584" width="9.140625" style="67"/>
    <col min="3585" max="3585" width="1.5703125" style="67" customWidth="1"/>
    <col min="3586" max="3586" width="17.42578125" style="67" customWidth="1"/>
    <col min="3587" max="3587" width="66.85546875" style="67" customWidth="1"/>
    <col min="3588" max="3588" width="13.28515625" style="67" customWidth="1"/>
    <col min="3589" max="3589" width="11.42578125" style="67" customWidth="1"/>
    <col min="3590" max="3590" width="10.42578125" style="67" customWidth="1"/>
    <col min="3591" max="3591" width="11.140625" style="67" customWidth="1"/>
    <col min="3592" max="3592" width="14.85546875" style="67" customWidth="1"/>
    <col min="3593" max="3593" width="14.140625" style="67" customWidth="1"/>
    <col min="3594" max="3594" width="13.42578125" style="67" customWidth="1"/>
    <col min="3595" max="3595" width="15.42578125" style="67" customWidth="1"/>
    <col min="3596" max="3596" width="15.140625" style="67" customWidth="1"/>
    <col min="3597" max="3597" width="12.140625" style="67" customWidth="1"/>
    <col min="3598" max="3598" width="14" style="67" customWidth="1"/>
    <col min="3599" max="3599" width="11" style="67" customWidth="1"/>
    <col min="3600" max="3600" width="12" style="67" customWidth="1"/>
    <col min="3601" max="3601" width="9.5703125" style="67" customWidth="1"/>
    <col min="3602" max="3603" width="9.140625" style="67"/>
    <col min="3604" max="3604" width="0" style="67" hidden="1" customWidth="1"/>
    <col min="3605" max="3840" width="9.140625" style="67"/>
    <col min="3841" max="3841" width="1.5703125" style="67" customWidth="1"/>
    <col min="3842" max="3842" width="17.42578125" style="67" customWidth="1"/>
    <col min="3843" max="3843" width="66.85546875" style="67" customWidth="1"/>
    <col min="3844" max="3844" width="13.28515625" style="67" customWidth="1"/>
    <col min="3845" max="3845" width="11.42578125" style="67" customWidth="1"/>
    <col min="3846" max="3846" width="10.42578125" style="67" customWidth="1"/>
    <col min="3847" max="3847" width="11.140625" style="67" customWidth="1"/>
    <col min="3848" max="3848" width="14.85546875" style="67" customWidth="1"/>
    <col min="3849" max="3849" width="14.140625" style="67" customWidth="1"/>
    <col min="3850" max="3850" width="13.42578125" style="67" customWidth="1"/>
    <col min="3851" max="3851" width="15.42578125" style="67" customWidth="1"/>
    <col min="3852" max="3852" width="15.140625" style="67" customWidth="1"/>
    <col min="3853" max="3853" width="12.140625" style="67" customWidth="1"/>
    <col min="3854" max="3854" width="14" style="67" customWidth="1"/>
    <col min="3855" max="3855" width="11" style="67" customWidth="1"/>
    <col min="3856" max="3856" width="12" style="67" customWidth="1"/>
    <col min="3857" max="3857" width="9.5703125" style="67" customWidth="1"/>
    <col min="3858" max="3859" width="9.140625" style="67"/>
    <col min="3860" max="3860" width="0" style="67" hidden="1" customWidth="1"/>
    <col min="3861" max="4096" width="9.140625" style="67"/>
    <col min="4097" max="4097" width="1.5703125" style="67" customWidth="1"/>
    <col min="4098" max="4098" width="17.42578125" style="67" customWidth="1"/>
    <col min="4099" max="4099" width="66.85546875" style="67" customWidth="1"/>
    <col min="4100" max="4100" width="13.28515625" style="67" customWidth="1"/>
    <col min="4101" max="4101" width="11.42578125" style="67" customWidth="1"/>
    <col min="4102" max="4102" width="10.42578125" style="67" customWidth="1"/>
    <col min="4103" max="4103" width="11.140625" style="67" customWidth="1"/>
    <col min="4104" max="4104" width="14.85546875" style="67" customWidth="1"/>
    <col min="4105" max="4105" width="14.140625" style="67" customWidth="1"/>
    <col min="4106" max="4106" width="13.42578125" style="67" customWidth="1"/>
    <col min="4107" max="4107" width="15.42578125" style="67" customWidth="1"/>
    <col min="4108" max="4108" width="15.140625" style="67" customWidth="1"/>
    <col min="4109" max="4109" width="12.140625" style="67" customWidth="1"/>
    <col min="4110" max="4110" width="14" style="67" customWidth="1"/>
    <col min="4111" max="4111" width="11" style="67" customWidth="1"/>
    <col min="4112" max="4112" width="12" style="67" customWidth="1"/>
    <col min="4113" max="4113" width="9.5703125" style="67" customWidth="1"/>
    <col min="4114" max="4115" width="9.140625" style="67"/>
    <col min="4116" max="4116" width="0" style="67" hidden="1" customWidth="1"/>
    <col min="4117" max="4352" width="9.140625" style="67"/>
    <col min="4353" max="4353" width="1.5703125" style="67" customWidth="1"/>
    <col min="4354" max="4354" width="17.42578125" style="67" customWidth="1"/>
    <col min="4355" max="4355" width="66.85546875" style="67" customWidth="1"/>
    <col min="4356" max="4356" width="13.28515625" style="67" customWidth="1"/>
    <col min="4357" max="4357" width="11.42578125" style="67" customWidth="1"/>
    <col min="4358" max="4358" width="10.42578125" style="67" customWidth="1"/>
    <col min="4359" max="4359" width="11.140625" style="67" customWidth="1"/>
    <col min="4360" max="4360" width="14.85546875" style="67" customWidth="1"/>
    <col min="4361" max="4361" width="14.140625" style="67" customWidth="1"/>
    <col min="4362" max="4362" width="13.42578125" style="67" customWidth="1"/>
    <col min="4363" max="4363" width="15.42578125" style="67" customWidth="1"/>
    <col min="4364" max="4364" width="15.140625" style="67" customWidth="1"/>
    <col min="4365" max="4365" width="12.140625" style="67" customWidth="1"/>
    <col min="4366" max="4366" width="14" style="67" customWidth="1"/>
    <col min="4367" max="4367" width="11" style="67" customWidth="1"/>
    <col min="4368" max="4368" width="12" style="67" customWidth="1"/>
    <col min="4369" max="4369" width="9.5703125" style="67" customWidth="1"/>
    <col min="4370" max="4371" width="9.140625" style="67"/>
    <col min="4372" max="4372" width="0" style="67" hidden="1" customWidth="1"/>
    <col min="4373" max="4608" width="9.140625" style="67"/>
    <col min="4609" max="4609" width="1.5703125" style="67" customWidth="1"/>
    <col min="4610" max="4610" width="17.42578125" style="67" customWidth="1"/>
    <col min="4611" max="4611" width="66.85546875" style="67" customWidth="1"/>
    <col min="4612" max="4612" width="13.28515625" style="67" customWidth="1"/>
    <col min="4613" max="4613" width="11.42578125" style="67" customWidth="1"/>
    <col min="4614" max="4614" width="10.42578125" style="67" customWidth="1"/>
    <col min="4615" max="4615" width="11.140625" style="67" customWidth="1"/>
    <col min="4616" max="4616" width="14.85546875" style="67" customWidth="1"/>
    <col min="4617" max="4617" width="14.140625" style="67" customWidth="1"/>
    <col min="4618" max="4618" width="13.42578125" style="67" customWidth="1"/>
    <col min="4619" max="4619" width="15.42578125" style="67" customWidth="1"/>
    <col min="4620" max="4620" width="15.140625" style="67" customWidth="1"/>
    <col min="4621" max="4621" width="12.140625" style="67" customWidth="1"/>
    <col min="4622" max="4622" width="14" style="67" customWidth="1"/>
    <col min="4623" max="4623" width="11" style="67" customWidth="1"/>
    <col min="4624" max="4624" width="12" style="67" customWidth="1"/>
    <col min="4625" max="4625" width="9.5703125" style="67" customWidth="1"/>
    <col min="4626" max="4627" width="9.140625" style="67"/>
    <col min="4628" max="4628" width="0" style="67" hidden="1" customWidth="1"/>
    <col min="4629" max="4864" width="9.140625" style="67"/>
    <col min="4865" max="4865" width="1.5703125" style="67" customWidth="1"/>
    <col min="4866" max="4866" width="17.42578125" style="67" customWidth="1"/>
    <col min="4867" max="4867" width="66.85546875" style="67" customWidth="1"/>
    <col min="4868" max="4868" width="13.28515625" style="67" customWidth="1"/>
    <col min="4869" max="4869" width="11.42578125" style="67" customWidth="1"/>
    <col min="4870" max="4870" width="10.42578125" style="67" customWidth="1"/>
    <col min="4871" max="4871" width="11.140625" style="67" customWidth="1"/>
    <col min="4872" max="4872" width="14.85546875" style="67" customWidth="1"/>
    <col min="4873" max="4873" width="14.140625" style="67" customWidth="1"/>
    <col min="4874" max="4874" width="13.42578125" style="67" customWidth="1"/>
    <col min="4875" max="4875" width="15.42578125" style="67" customWidth="1"/>
    <col min="4876" max="4876" width="15.140625" style="67" customWidth="1"/>
    <col min="4877" max="4877" width="12.140625" style="67" customWidth="1"/>
    <col min="4878" max="4878" width="14" style="67" customWidth="1"/>
    <col min="4879" max="4879" width="11" style="67" customWidth="1"/>
    <col min="4880" max="4880" width="12" style="67" customWidth="1"/>
    <col min="4881" max="4881" width="9.5703125" style="67" customWidth="1"/>
    <col min="4882" max="4883" width="9.140625" style="67"/>
    <col min="4884" max="4884" width="0" style="67" hidden="1" customWidth="1"/>
    <col min="4885" max="5120" width="9.140625" style="67"/>
    <col min="5121" max="5121" width="1.5703125" style="67" customWidth="1"/>
    <col min="5122" max="5122" width="17.42578125" style="67" customWidth="1"/>
    <col min="5123" max="5123" width="66.85546875" style="67" customWidth="1"/>
    <col min="5124" max="5124" width="13.28515625" style="67" customWidth="1"/>
    <col min="5125" max="5125" width="11.42578125" style="67" customWidth="1"/>
    <col min="5126" max="5126" width="10.42578125" style="67" customWidth="1"/>
    <col min="5127" max="5127" width="11.140625" style="67" customWidth="1"/>
    <col min="5128" max="5128" width="14.85546875" style="67" customWidth="1"/>
    <col min="5129" max="5129" width="14.140625" style="67" customWidth="1"/>
    <col min="5130" max="5130" width="13.42578125" style="67" customWidth="1"/>
    <col min="5131" max="5131" width="15.42578125" style="67" customWidth="1"/>
    <col min="5132" max="5132" width="15.140625" style="67" customWidth="1"/>
    <col min="5133" max="5133" width="12.140625" style="67" customWidth="1"/>
    <col min="5134" max="5134" width="14" style="67" customWidth="1"/>
    <col min="5135" max="5135" width="11" style="67" customWidth="1"/>
    <col min="5136" max="5136" width="12" style="67" customWidth="1"/>
    <col min="5137" max="5137" width="9.5703125" style="67" customWidth="1"/>
    <col min="5138" max="5139" width="9.140625" style="67"/>
    <col min="5140" max="5140" width="0" style="67" hidden="1" customWidth="1"/>
    <col min="5141" max="5376" width="9.140625" style="67"/>
    <col min="5377" max="5377" width="1.5703125" style="67" customWidth="1"/>
    <col min="5378" max="5378" width="17.42578125" style="67" customWidth="1"/>
    <col min="5379" max="5379" width="66.85546875" style="67" customWidth="1"/>
    <col min="5380" max="5380" width="13.28515625" style="67" customWidth="1"/>
    <col min="5381" max="5381" width="11.42578125" style="67" customWidth="1"/>
    <col min="5382" max="5382" width="10.42578125" style="67" customWidth="1"/>
    <col min="5383" max="5383" width="11.140625" style="67" customWidth="1"/>
    <col min="5384" max="5384" width="14.85546875" style="67" customWidth="1"/>
    <col min="5385" max="5385" width="14.140625" style="67" customWidth="1"/>
    <col min="5386" max="5386" width="13.42578125" style="67" customWidth="1"/>
    <col min="5387" max="5387" width="15.42578125" style="67" customWidth="1"/>
    <col min="5388" max="5388" width="15.140625" style="67" customWidth="1"/>
    <col min="5389" max="5389" width="12.140625" style="67" customWidth="1"/>
    <col min="5390" max="5390" width="14" style="67" customWidth="1"/>
    <col min="5391" max="5391" width="11" style="67" customWidth="1"/>
    <col min="5392" max="5392" width="12" style="67" customWidth="1"/>
    <col min="5393" max="5393" width="9.5703125" style="67" customWidth="1"/>
    <col min="5394" max="5395" width="9.140625" style="67"/>
    <col min="5396" max="5396" width="0" style="67" hidden="1" customWidth="1"/>
    <col min="5397" max="5632" width="9.140625" style="67"/>
    <col min="5633" max="5633" width="1.5703125" style="67" customWidth="1"/>
    <col min="5634" max="5634" width="17.42578125" style="67" customWidth="1"/>
    <col min="5635" max="5635" width="66.85546875" style="67" customWidth="1"/>
    <col min="5636" max="5636" width="13.28515625" style="67" customWidth="1"/>
    <col min="5637" max="5637" width="11.42578125" style="67" customWidth="1"/>
    <col min="5638" max="5638" width="10.42578125" style="67" customWidth="1"/>
    <col min="5639" max="5639" width="11.140625" style="67" customWidth="1"/>
    <col min="5640" max="5640" width="14.85546875" style="67" customWidth="1"/>
    <col min="5641" max="5641" width="14.140625" style="67" customWidth="1"/>
    <col min="5642" max="5642" width="13.42578125" style="67" customWidth="1"/>
    <col min="5643" max="5643" width="15.42578125" style="67" customWidth="1"/>
    <col min="5644" max="5644" width="15.140625" style="67" customWidth="1"/>
    <col min="5645" max="5645" width="12.140625" style="67" customWidth="1"/>
    <col min="5646" max="5646" width="14" style="67" customWidth="1"/>
    <col min="5647" max="5647" width="11" style="67" customWidth="1"/>
    <col min="5648" max="5648" width="12" style="67" customWidth="1"/>
    <col min="5649" max="5649" width="9.5703125" style="67" customWidth="1"/>
    <col min="5650" max="5651" width="9.140625" style="67"/>
    <col min="5652" max="5652" width="0" style="67" hidden="1" customWidth="1"/>
    <col min="5653" max="5888" width="9.140625" style="67"/>
    <col min="5889" max="5889" width="1.5703125" style="67" customWidth="1"/>
    <col min="5890" max="5890" width="17.42578125" style="67" customWidth="1"/>
    <col min="5891" max="5891" width="66.85546875" style="67" customWidth="1"/>
    <col min="5892" max="5892" width="13.28515625" style="67" customWidth="1"/>
    <col min="5893" max="5893" width="11.42578125" style="67" customWidth="1"/>
    <col min="5894" max="5894" width="10.42578125" style="67" customWidth="1"/>
    <col min="5895" max="5895" width="11.140625" style="67" customWidth="1"/>
    <col min="5896" max="5896" width="14.85546875" style="67" customWidth="1"/>
    <col min="5897" max="5897" width="14.140625" style="67" customWidth="1"/>
    <col min="5898" max="5898" width="13.42578125" style="67" customWidth="1"/>
    <col min="5899" max="5899" width="15.42578125" style="67" customWidth="1"/>
    <col min="5900" max="5900" width="15.140625" style="67" customWidth="1"/>
    <col min="5901" max="5901" width="12.140625" style="67" customWidth="1"/>
    <col min="5902" max="5902" width="14" style="67" customWidth="1"/>
    <col min="5903" max="5903" width="11" style="67" customWidth="1"/>
    <col min="5904" max="5904" width="12" style="67" customWidth="1"/>
    <col min="5905" max="5905" width="9.5703125" style="67" customWidth="1"/>
    <col min="5906" max="5907" width="9.140625" style="67"/>
    <col min="5908" max="5908" width="0" style="67" hidden="1" customWidth="1"/>
    <col min="5909" max="6144" width="9.140625" style="67"/>
    <col min="6145" max="6145" width="1.5703125" style="67" customWidth="1"/>
    <col min="6146" max="6146" width="17.42578125" style="67" customWidth="1"/>
    <col min="6147" max="6147" width="66.85546875" style="67" customWidth="1"/>
    <col min="6148" max="6148" width="13.28515625" style="67" customWidth="1"/>
    <col min="6149" max="6149" width="11.42578125" style="67" customWidth="1"/>
    <col min="6150" max="6150" width="10.42578125" style="67" customWidth="1"/>
    <col min="6151" max="6151" width="11.140625" style="67" customWidth="1"/>
    <col min="6152" max="6152" width="14.85546875" style="67" customWidth="1"/>
    <col min="6153" max="6153" width="14.140625" style="67" customWidth="1"/>
    <col min="6154" max="6154" width="13.42578125" style="67" customWidth="1"/>
    <col min="6155" max="6155" width="15.42578125" style="67" customWidth="1"/>
    <col min="6156" max="6156" width="15.140625" style="67" customWidth="1"/>
    <col min="6157" max="6157" width="12.140625" style="67" customWidth="1"/>
    <col min="6158" max="6158" width="14" style="67" customWidth="1"/>
    <col min="6159" max="6159" width="11" style="67" customWidth="1"/>
    <col min="6160" max="6160" width="12" style="67" customWidth="1"/>
    <col min="6161" max="6161" width="9.5703125" style="67" customWidth="1"/>
    <col min="6162" max="6163" width="9.140625" style="67"/>
    <col min="6164" max="6164" width="0" style="67" hidden="1" customWidth="1"/>
    <col min="6165" max="6400" width="9.140625" style="67"/>
    <col min="6401" max="6401" width="1.5703125" style="67" customWidth="1"/>
    <col min="6402" max="6402" width="17.42578125" style="67" customWidth="1"/>
    <col min="6403" max="6403" width="66.85546875" style="67" customWidth="1"/>
    <col min="6404" max="6404" width="13.28515625" style="67" customWidth="1"/>
    <col min="6405" max="6405" width="11.42578125" style="67" customWidth="1"/>
    <col min="6406" max="6406" width="10.42578125" style="67" customWidth="1"/>
    <col min="6407" max="6407" width="11.140625" style="67" customWidth="1"/>
    <col min="6408" max="6408" width="14.85546875" style="67" customWidth="1"/>
    <col min="6409" max="6409" width="14.140625" style="67" customWidth="1"/>
    <col min="6410" max="6410" width="13.42578125" style="67" customWidth="1"/>
    <col min="6411" max="6411" width="15.42578125" style="67" customWidth="1"/>
    <col min="6412" max="6412" width="15.140625" style="67" customWidth="1"/>
    <col min="6413" max="6413" width="12.140625" style="67" customWidth="1"/>
    <col min="6414" max="6414" width="14" style="67" customWidth="1"/>
    <col min="6415" max="6415" width="11" style="67" customWidth="1"/>
    <col min="6416" max="6416" width="12" style="67" customWidth="1"/>
    <col min="6417" max="6417" width="9.5703125" style="67" customWidth="1"/>
    <col min="6418" max="6419" width="9.140625" style="67"/>
    <col min="6420" max="6420" width="0" style="67" hidden="1" customWidth="1"/>
    <col min="6421" max="6656" width="9.140625" style="67"/>
    <col min="6657" max="6657" width="1.5703125" style="67" customWidth="1"/>
    <col min="6658" max="6658" width="17.42578125" style="67" customWidth="1"/>
    <col min="6659" max="6659" width="66.85546875" style="67" customWidth="1"/>
    <col min="6660" max="6660" width="13.28515625" style="67" customWidth="1"/>
    <col min="6661" max="6661" width="11.42578125" style="67" customWidth="1"/>
    <col min="6662" max="6662" width="10.42578125" style="67" customWidth="1"/>
    <col min="6663" max="6663" width="11.140625" style="67" customWidth="1"/>
    <col min="6664" max="6664" width="14.85546875" style="67" customWidth="1"/>
    <col min="6665" max="6665" width="14.140625" style="67" customWidth="1"/>
    <col min="6666" max="6666" width="13.42578125" style="67" customWidth="1"/>
    <col min="6667" max="6667" width="15.42578125" style="67" customWidth="1"/>
    <col min="6668" max="6668" width="15.140625" style="67" customWidth="1"/>
    <col min="6669" max="6669" width="12.140625" style="67" customWidth="1"/>
    <col min="6670" max="6670" width="14" style="67" customWidth="1"/>
    <col min="6671" max="6671" width="11" style="67" customWidth="1"/>
    <col min="6672" max="6672" width="12" style="67" customWidth="1"/>
    <col min="6673" max="6673" width="9.5703125" style="67" customWidth="1"/>
    <col min="6674" max="6675" width="9.140625" style="67"/>
    <col min="6676" max="6676" width="0" style="67" hidden="1" customWidth="1"/>
    <col min="6677" max="6912" width="9.140625" style="67"/>
    <col min="6913" max="6913" width="1.5703125" style="67" customWidth="1"/>
    <col min="6914" max="6914" width="17.42578125" style="67" customWidth="1"/>
    <col min="6915" max="6915" width="66.85546875" style="67" customWidth="1"/>
    <col min="6916" max="6916" width="13.28515625" style="67" customWidth="1"/>
    <col min="6917" max="6917" width="11.42578125" style="67" customWidth="1"/>
    <col min="6918" max="6918" width="10.42578125" style="67" customWidth="1"/>
    <col min="6919" max="6919" width="11.140625" style="67" customWidth="1"/>
    <col min="6920" max="6920" width="14.85546875" style="67" customWidth="1"/>
    <col min="6921" max="6921" width="14.140625" style="67" customWidth="1"/>
    <col min="6922" max="6922" width="13.42578125" style="67" customWidth="1"/>
    <col min="6923" max="6923" width="15.42578125" style="67" customWidth="1"/>
    <col min="6924" max="6924" width="15.140625" style="67" customWidth="1"/>
    <col min="6925" max="6925" width="12.140625" style="67" customWidth="1"/>
    <col min="6926" max="6926" width="14" style="67" customWidth="1"/>
    <col min="6927" max="6927" width="11" style="67" customWidth="1"/>
    <col min="6928" max="6928" width="12" style="67" customWidth="1"/>
    <col min="6929" max="6929" width="9.5703125" style="67" customWidth="1"/>
    <col min="6930" max="6931" width="9.140625" style="67"/>
    <col min="6932" max="6932" width="0" style="67" hidden="1" customWidth="1"/>
    <col min="6933" max="7168" width="9.140625" style="67"/>
    <col min="7169" max="7169" width="1.5703125" style="67" customWidth="1"/>
    <col min="7170" max="7170" width="17.42578125" style="67" customWidth="1"/>
    <col min="7171" max="7171" width="66.85546875" style="67" customWidth="1"/>
    <col min="7172" max="7172" width="13.28515625" style="67" customWidth="1"/>
    <col min="7173" max="7173" width="11.42578125" style="67" customWidth="1"/>
    <col min="7174" max="7174" width="10.42578125" style="67" customWidth="1"/>
    <col min="7175" max="7175" width="11.140625" style="67" customWidth="1"/>
    <col min="7176" max="7176" width="14.85546875" style="67" customWidth="1"/>
    <col min="7177" max="7177" width="14.140625" style="67" customWidth="1"/>
    <col min="7178" max="7178" width="13.42578125" style="67" customWidth="1"/>
    <col min="7179" max="7179" width="15.42578125" style="67" customWidth="1"/>
    <col min="7180" max="7180" width="15.140625" style="67" customWidth="1"/>
    <col min="7181" max="7181" width="12.140625" style="67" customWidth="1"/>
    <col min="7182" max="7182" width="14" style="67" customWidth="1"/>
    <col min="7183" max="7183" width="11" style="67" customWidth="1"/>
    <col min="7184" max="7184" width="12" style="67" customWidth="1"/>
    <col min="7185" max="7185" width="9.5703125" style="67" customWidth="1"/>
    <col min="7186" max="7187" width="9.140625" style="67"/>
    <col min="7188" max="7188" width="0" style="67" hidden="1" customWidth="1"/>
    <col min="7189" max="7424" width="9.140625" style="67"/>
    <col min="7425" max="7425" width="1.5703125" style="67" customWidth="1"/>
    <col min="7426" max="7426" width="17.42578125" style="67" customWidth="1"/>
    <col min="7427" max="7427" width="66.85546875" style="67" customWidth="1"/>
    <col min="7428" max="7428" width="13.28515625" style="67" customWidth="1"/>
    <col min="7429" max="7429" width="11.42578125" style="67" customWidth="1"/>
    <col min="7430" max="7430" width="10.42578125" style="67" customWidth="1"/>
    <col min="7431" max="7431" width="11.140625" style="67" customWidth="1"/>
    <col min="7432" max="7432" width="14.85546875" style="67" customWidth="1"/>
    <col min="7433" max="7433" width="14.140625" style="67" customWidth="1"/>
    <col min="7434" max="7434" width="13.42578125" style="67" customWidth="1"/>
    <col min="7435" max="7435" width="15.42578125" style="67" customWidth="1"/>
    <col min="7436" max="7436" width="15.140625" style="67" customWidth="1"/>
    <col min="7437" max="7437" width="12.140625" style="67" customWidth="1"/>
    <col min="7438" max="7438" width="14" style="67" customWidth="1"/>
    <col min="7439" max="7439" width="11" style="67" customWidth="1"/>
    <col min="7440" max="7440" width="12" style="67" customWidth="1"/>
    <col min="7441" max="7441" width="9.5703125" style="67" customWidth="1"/>
    <col min="7442" max="7443" width="9.140625" style="67"/>
    <col min="7444" max="7444" width="0" style="67" hidden="1" customWidth="1"/>
    <col min="7445" max="7680" width="9.140625" style="67"/>
    <col min="7681" max="7681" width="1.5703125" style="67" customWidth="1"/>
    <col min="7682" max="7682" width="17.42578125" style="67" customWidth="1"/>
    <col min="7683" max="7683" width="66.85546875" style="67" customWidth="1"/>
    <col min="7684" max="7684" width="13.28515625" style="67" customWidth="1"/>
    <col min="7685" max="7685" width="11.42578125" style="67" customWidth="1"/>
    <col min="7686" max="7686" width="10.42578125" style="67" customWidth="1"/>
    <col min="7687" max="7687" width="11.140625" style="67" customWidth="1"/>
    <col min="7688" max="7688" width="14.85546875" style="67" customWidth="1"/>
    <col min="7689" max="7689" width="14.140625" style="67" customWidth="1"/>
    <col min="7690" max="7690" width="13.42578125" style="67" customWidth="1"/>
    <col min="7691" max="7691" width="15.42578125" style="67" customWidth="1"/>
    <col min="7692" max="7692" width="15.140625" style="67" customWidth="1"/>
    <col min="7693" max="7693" width="12.140625" style="67" customWidth="1"/>
    <col min="7694" max="7694" width="14" style="67" customWidth="1"/>
    <col min="7695" max="7695" width="11" style="67" customWidth="1"/>
    <col min="7696" max="7696" width="12" style="67" customWidth="1"/>
    <col min="7697" max="7697" width="9.5703125" style="67" customWidth="1"/>
    <col min="7698" max="7699" width="9.140625" style="67"/>
    <col min="7700" max="7700" width="0" style="67" hidden="1" customWidth="1"/>
    <col min="7701" max="7936" width="9.140625" style="67"/>
    <col min="7937" max="7937" width="1.5703125" style="67" customWidth="1"/>
    <col min="7938" max="7938" width="17.42578125" style="67" customWidth="1"/>
    <col min="7939" max="7939" width="66.85546875" style="67" customWidth="1"/>
    <col min="7940" max="7940" width="13.28515625" style="67" customWidth="1"/>
    <col min="7941" max="7941" width="11.42578125" style="67" customWidth="1"/>
    <col min="7942" max="7942" width="10.42578125" style="67" customWidth="1"/>
    <col min="7943" max="7943" width="11.140625" style="67" customWidth="1"/>
    <col min="7944" max="7944" width="14.85546875" style="67" customWidth="1"/>
    <col min="7945" max="7945" width="14.140625" style="67" customWidth="1"/>
    <col min="7946" max="7946" width="13.42578125" style="67" customWidth="1"/>
    <col min="7947" max="7947" width="15.42578125" style="67" customWidth="1"/>
    <col min="7948" max="7948" width="15.140625" style="67" customWidth="1"/>
    <col min="7949" max="7949" width="12.140625" style="67" customWidth="1"/>
    <col min="7950" max="7950" width="14" style="67" customWidth="1"/>
    <col min="7951" max="7951" width="11" style="67" customWidth="1"/>
    <col min="7952" max="7952" width="12" style="67" customWidth="1"/>
    <col min="7953" max="7953" width="9.5703125" style="67" customWidth="1"/>
    <col min="7954" max="7955" width="9.140625" style="67"/>
    <col min="7956" max="7956" width="0" style="67" hidden="1" customWidth="1"/>
    <col min="7957" max="8192" width="9.140625" style="67"/>
    <col min="8193" max="8193" width="1.5703125" style="67" customWidth="1"/>
    <col min="8194" max="8194" width="17.42578125" style="67" customWidth="1"/>
    <col min="8195" max="8195" width="66.85546875" style="67" customWidth="1"/>
    <col min="8196" max="8196" width="13.28515625" style="67" customWidth="1"/>
    <col min="8197" max="8197" width="11.42578125" style="67" customWidth="1"/>
    <col min="8198" max="8198" width="10.42578125" style="67" customWidth="1"/>
    <col min="8199" max="8199" width="11.140625" style="67" customWidth="1"/>
    <col min="8200" max="8200" width="14.85546875" style="67" customWidth="1"/>
    <col min="8201" max="8201" width="14.140625" style="67" customWidth="1"/>
    <col min="8202" max="8202" width="13.42578125" style="67" customWidth="1"/>
    <col min="8203" max="8203" width="15.42578125" style="67" customWidth="1"/>
    <col min="8204" max="8204" width="15.140625" style="67" customWidth="1"/>
    <col min="8205" max="8205" width="12.140625" style="67" customWidth="1"/>
    <col min="8206" max="8206" width="14" style="67" customWidth="1"/>
    <col min="8207" max="8207" width="11" style="67" customWidth="1"/>
    <col min="8208" max="8208" width="12" style="67" customWidth="1"/>
    <col min="8209" max="8209" width="9.5703125" style="67" customWidth="1"/>
    <col min="8210" max="8211" width="9.140625" style="67"/>
    <col min="8212" max="8212" width="0" style="67" hidden="1" customWidth="1"/>
    <col min="8213" max="8448" width="9.140625" style="67"/>
    <col min="8449" max="8449" width="1.5703125" style="67" customWidth="1"/>
    <col min="8450" max="8450" width="17.42578125" style="67" customWidth="1"/>
    <col min="8451" max="8451" width="66.85546875" style="67" customWidth="1"/>
    <col min="8452" max="8452" width="13.28515625" style="67" customWidth="1"/>
    <col min="8453" max="8453" width="11.42578125" style="67" customWidth="1"/>
    <col min="8454" max="8454" width="10.42578125" style="67" customWidth="1"/>
    <col min="8455" max="8455" width="11.140625" style="67" customWidth="1"/>
    <col min="8456" max="8456" width="14.85546875" style="67" customWidth="1"/>
    <col min="8457" max="8457" width="14.140625" style="67" customWidth="1"/>
    <col min="8458" max="8458" width="13.42578125" style="67" customWidth="1"/>
    <col min="8459" max="8459" width="15.42578125" style="67" customWidth="1"/>
    <col min="8460" max="8460" width="15.140625" style="67" customWidth="1"/>
    <col min="8461" max="8461" width="12.140625" style="67" customWidth="1"/>
    <col min="8462" max="8462" width="14" style="67" customWidth="1"/>
    <col min="8463" max="8463" width="11" style="67" customWidth="1"/>
    <col min="8464" max="8464" width="12" style="67" customWidth="1"/>
    <col min="8465" max="8465" width="9.5703125" style="67" customWidth="1"/>
    <col min="8466" max="8467" width="9.140625" style="67"/>
    <col min="8468" max="8468" width="0" style="67" hidden="1" customWidth="1"/>
    <col min="8469" max="8704" width="9.140625" style="67"/>
    <col min="8705" max="8705" width="1.5703125" style="67" customWidth="1"/>
    <col min="8706" max="8706" width="17.42578125" style="67" customWidth="1"/>
    <col min="8707" max="8707" width="66.85546875" style="67" customWidth="1"/>
    <col min="8708" max="8708" width="13.28515625" style="67" customWidth="1"/>
    <col min="8709" max="8709" width="11.42578125" style="67" customWidth="1"/>
    <col min="8710" max="8710" width="10.42578125" style="67" customWidth="1"/>
    <col min="8711" max="8711" width="11.140625" style="67" customWidth="1"/>
    <col min="8712" max="8712" width="14.85546875" style="67" customWidth="1"/>
    <col min="8713" max="8713" width="14.140625" style="67" customWidth="1"/>
    <col min="8714" max="8714" width="13.42578125" style="67" customWidth="1"/>
    <col min="8715" max="8715" width="15.42578125" style="67" customWidth="1"/>
    <col min="8716" max="8716" width="15.140625" style="67" customWidth="1"/>
    <col min="8717" max="8717" width="12.140625" style="67" customWidth="1"/>
    <col min="8718" max="8718" width="14" style="67" customWidth="1"/>
    <col min="8719" max="8719" width="11" style="67" customWidth="1"/>
    <col min="8720" max="8720" width="12" style="67" customWidth="1"/>
    <col min="8721" max="8721" width="9.5703125" style="67" customWidth="1"/>
    <col min="8722" max="8723" width="9.140625" style="67"/>
    <col min="8724" max="8724" width="0" style="67" hidden="1" customWidth="1"/>
    <col min="8725" max="8960" width="9.140625" style="67"/>
    <col min="8961" max="8961" width="1.5703125" style="67" customWidth="1"/>
    <col min="8962" max="8962" width="17.42578125" style="67" customWidth="1"/>
    <col min="8963" max="8963" width="66.85546875" style="67" customWidth="1"/>
    <col min="8964" max="8964" width="13.28515625" style="67" customWidth="1"/>
    <col min="8965" max="8965" width="11.42578125" style="67" customWidth="1"/>
    <col min="8966" max="8966" width="10.42578125" style="67" customWidth="1"/>
    <col min="8967" max="8967" width="11.140625" style="67" customWidth="1"/>
    <col min="8968" max="8968" width="14.85546875" style="67" customWidth="1"/>
    <col min="8969" max="8969" width="14.140625" style="67" customWidth="1"/>
    <col min="8970" max="8970" width="13.42578125" style="67" customWidth="1"/>
    <col min="8971" max="8971" width="15.42578125" style="67" customWidth="1"/>
    <col min="8972" max="8972" width="15.140625" style="67" customWidth="1"/>
    <col min="8973" max="8973" width="12.140625" style="67" customWidth="1"/>
    <col min="8974" max="8974" width="14" style="67" customWidth="1"/>
    <col min="8975" max="8975" width="11" style="67" customWidth="1"/>
    <col min="8976" max="8976" width="12" style="67" customWidth="1"/>
    <col min="8977" max="8977" width="9.5703125" style="67" customWidth="1"/>
    <col min="8978" max="8979" width="9.140625" style="67"/>
    <col min="8980" max="8980" width="0" style="67" hidden="1" customWidth="1"/>
    <col min="8981" max="9216" width="9.140625" style="67"/>
    <col min="9217" max="9217" width="1.5703125" style="67" customWidth="1"/>
    <col min="9218" max="9218" width="17.42578125" style="67" customWidth="1"/>
    <col min="9219" max="9219" width="66.85546875" style="67" customWidth="1"/>
    <col min="9220" max="9220" width="13.28515625" style="67" customWidth="1"/>
    <col min="9221" max="9221" width="11.42578125" style="67" customWidth="1"/>
    <col min="9222" max="9222" width="10.42578125" style="67" customWidth="1"/>
    <col min="9223" max="9223" width="11.140625" style="67" customWidth="1"/>
    <col min="9224" max="9224" width="14.85546875" style="67" customWidth="1"/>
    <col min="9225" max="9225" width="14.140625" style="67" customWidth="1"/>
    <col min="9226" max="9226" width="13.42578125" style="67" customWidth="1"/>
    <col min="9227" max="9227" width="15.42578125" style="67" customWidth="1"/>
    <col min="9228" max="9228" width="15.140625" style="67" customWidth="1"/>
    <col min="9229" max="9229" width="12.140625" style="67" customWidth="1"/>
    <col min="9230" max="9230" width="14" style="67" customWidth="1"/>
    <col min="9231" max="9231" width="11" style="67" customWidth="1"/>
    <col min="9232" max="9232" width="12" style="67" customWidth="1"/>
    <col min="9233" max="9233" width="9.5703125" style="67" customWidth="1"/>
    <col min="9234" max="9235" width="9.140625" style="67"/>
    <col min="9236" max="9236" width="0" style="67" hidden="1" customWidth="1"/>
    <col min="9237" max="9472" width="9.140625" style="67"/>
    <col min="9473" max="9473" width="1.5703125" style="67" customWidth="1"/>
    <col min="9474" max="9474" width="17.42578125" style="67" customWidth="1"/>
    <col min="9475" max="9475" width="66.85546875" style="67" customWidth="1"/>
    <col min="9476" max="9476" width="13.28515625" style="67" customWidth="1"/>
    <col min="9477" max="9477" width="11.42578125" style="67" customWidth="1"/>
    <col min="9478" max="9478" width="10.42578125" style="67" customWidth="1"/>
    <col min="9479" max="9479" width="11.140625" style="67" customWidth="1"/>
    <col min="9480" max="9480" width="14.85546875" style="67" customWidth="1"/>
    <col min="9481" max="9481" width="14.140625" style="67" customWidth="1"/>
    <col min="9482" max="9482" width="13.42578125" style="67" customWidth="1"/>
    <col min="9483" max="9483" width="15.42578125" style="67" customWidth="1"/>
    <col min="9484" max="9484" width="15.140625" style="67" customWidth="1"/>
    <col min="9485" max="9485" width="12.140625" style="67" customWidth="1"/>
    <col min="9486" max="9486" width="14" style="67" customWidth="1"/>
    <col min="9487" max="9487" width="11" style="67" customWidth="1"/>
    <col min="9488" max="9488" width="12" style="67" customWidth="1"/>
    <col min="9489" max="9489" width="9.5703125" style="67" customWidth="1"/>
    <col min="9490" max="9491" width="9.140625" style="67"/>
    <col min="9492" max="9492" width="0" style="67" hidden="1" customWidth="1"/>
    <col min="9493" max="9728" width="9.140625" style="67"/>
    <col min="9729" max="9729" width="1.5703125" style="67" customWidth="1"/>
    <col min="9730" max="9730" width="17.42578125" style="67" customWidth="1"/>
    <col min="9731" max="9731" width="66.85546875" style="67" customWidth="1"/>
    <col min="9732" max="9732" width="13.28515625" style="67" customWidth="1"/>
    <col min="9733" max="9733" width="11.42578125" style="67" customWidth="1"/>
    <col min="9734" max="9734" width="10.42578125" style="67" customWidth="1"/>
    <col min="9735" max="9735" width="11.140625" style="67" customWidth="1"/>
    <col min="9736" max="9736" width="14.85546875" style="67" customWidth="1"/>
    <col min="9737" max="9737" width="14.140625" style="67" customWidth="1"/>
    <col min="9738" max="9738" width="13.42578125" style="67" customWidth="1"/>
    <col min="9739" max="9739" width="15.42578125" style="67" customWidth="1"/>
    <col min="9740" max="9740" width="15.140625" style="67" customWidth="1"/>
    <col min="9741" max="9741" width="12.140625" style="67" customWidth="1"/>
    <col min="9742" max="9742" width="14" style="67" customWidth="1"/>
    <col min="9743" max="9743" width="11" style="67" customWidth="1"/>
    <col min="9744" max="9744" width="12" style="67" customWidth="1"/>
    <col min="9745" max="9745" width="9.5703125" style="67" customWidth="1"/>
    <col min="9746" max="9747" width="9.140625" style="67"/>
    <col min="9748" max="9748" width="0" style="67" hidden="1" customWidth="1"/>
    <col min="9749" max="9984" width="9.140625" style="67"/>
    <col min="9985" max="9985" width="1.5703125" style="67" customWidth="1"/>
    <col min="9986" max="9986" width="17.42578125" style="67" customWidth="1"/>
    <col min="9987" max="9987" width="66.85546875" style="67" customWidth="1"/>
    <col min="9988" max="9988" width="13.28515625" style="67" customWidth="1"/>
    <col min="9989" max="9989" width="11.42578125" style="67" customWidth="1"/>
    <col min="9990" max="9990" width="10.42578125" style="67" customWidth="1"/>
    <col min="9991" max="9991" width="11.140625" style="67" customWidth="1"/>
    <col min="9992" max="9992" width="14.85546875" style="67" customWidth="1"/>
    <col min="9993" max="9993" width="14.140625" style="67" customWidth="1"/>
    <col min="9994" max="9994" width="13.42578125" style="67" customWidth="1"/>
    <col min="9995" max="9995" width="15.42578125" style="67" customWidth="1"/>
    <col min="9996" max="9996" width="15.140625" style="67" customWidth="1"/>
    <col min="9997" max="9997" width="12.140625" style="67" customWidth="1"/>
    <col min="9998" max="9998" width="14" style="67" customWidth="1"/>
    <col min="9999" max="9999" width="11" style="67" customWidth="1"/>
    <col min="10000" max="10000" width="12" style="67" customWidth="1"/>
    <col min="10001" max="10001" width="9.5703125" style="67" customWidth="1"/>
    <col min="10002" max="10003" width="9.140625" style="67"/>
    <col min="10004" max="10004" width="0" style="67" hidden="1" customWidth="1"/>
    <col min="10005" max="10240" width="9.140625" style="67"/>
    <col min="10241" max="10241" width="1.5703125" style="67" customWidth="1"/>
    <col min="10242" max="10242" width="17.42578125" style="67" customWidth="1"/>
    <col min="10243" max="10243" width="66.85546875" style="67" customWidth="1"/>
    <col min="10244" max="10244" width="13.28515625" style="67" customWidth="1"/>
    <col min="10245" max="10245" width="11.42578125" style="67" customWidth="1"/>
    <col min="10246" max="10246" width="10.42578125" style="67" customWidth="1"/>
    <col min="10247" max="10247" width="11.140625" style="67" customWidth="1"/>
    <col min="10248" max="10248" width="14.85546875" style="67" customWidth="1"/>
    <col min="10249" max="10249" width="14.140625" style="67" customWidth="1"/>
    <col min="10250" max="10250" width="13.42578125" style="67" customWidth="1"/>
    <col min="10251" max="10251" width="15.42578125" style="67" customWidth="1"/>
    <col min="10252" max="10252" width="15.140625" style="67" customWidth="1"/>
    <col min="10253" max="10253" width="12.140625" style="67" customWidth="1"/>
    <col min="10254" max="10254" width="14" style="67" customWidth="1"/>
    <col min="10255" max="10255" width="11" style="67" customWidth="1"/>
    <col min="10256" max="10256" width="12" style="67" customWidth="1"/>
    <col min="10257" max="10257" width="9.5703125" style="67" customWidth="1"/>
    <col min="10258" max="10259" width="9.140625" style="67"/>
    <col min="10260" max="10260" width="0" style="67" hidden="1" customWidth="1"/>
    <col min="10261" max="10496" width="9.140625" style="67"/>
    <col min="10497" max="10497" width="1.5703125" style="67" customWidth="1"/>
    <col min="10498" max="10498" width="17.42578125" style="67" customWidth="1"/>
    <col min="10499" max="10499" width="66.85546875" style="67" customWidth="1"/>
    <col min="10500" max="10500" width="13.28515625" style="67" customWidth="1"/>
    <col min="10501" max="10501" width="11.42578125" style="67" customWidth="1"/>
    <col min="10502" max="10502" width="10.42578125" style="67" customWidth="1"/>
    <col min="10503" max="10503" width="11.140625" style="67" customWidth="1"/>
    <col min="10504" max="10504" width="14.85546875" style="67" customWidth="1"/>
    <col min="10505" max="10505" width="14.140625" style="67" customWidth="1"/>
    <col min="10506" max="10506" width="13.42578125" style="67" customWidth="1"/>
    <col min="10507" max="10507" width="15.42578125" style="67" customWidth="1"/>
    <col min="10508" max="10508" width="15.140625" style="67" customWidth="1"/>
    <col min="10509" max="10509" width="12.140625" style="67" customWidth="1"/>
    <col min="10510" max="10510" width="14" style="67" customWidth="1"/>
    <col min="10511" max="10511" width="11" style="67" customWidth="1"/>
    <col min="10512" max="10512" width="12" style="67" customWidth="1"/>
    <col min="10513" max="10513" width="9.5703125" style="67" customWidth="1"/>
    <col min="10514" max="10515" width="9.140625" style="67"/>
    <col min="10516" max="10516" width="0" style="67" hidden="1" customWidth="1"/>
    <col min="10517" max="10752" width="9.140625" style="67"/>
    <col min="10753" max="10753" width="1.5703125" style="67" customWidth="1"/>
    <col min="10754" max="10754" width="17.42578125" style="67" customWidth="1"/>
    <col min="10755" max="10755" width="66.85546875" style="67" customWidth="1"/>
    <col min="10756" max="10756" width="13.28515625" style="67" customWidth="1"/>
    <col min="10757" max="10757" width="11.42578125" style="67" customWidth="1"/>
    <col min="10758" max="10758" width="10.42578125" style="67" customWidth="1"/>
    <col min="10759" max="10759" width="11.140625" style="67" customWidth="1"/>
    <col min="10760" max="10760" width="14.85546875" style="67" customWidth="1"/>
    <col min="10761" max="10761" width="14.140625" style="67" customWidth="1"/>
    <col min="10762" max="10762" width="13.42578125" style="67" customWidth="1"/>
    <col min="10763" max="10763" width="15.42578125" style="67" customWidth="1"/>
    <col min="10764" max="10764" width="15.140625" style="67" customWidth="1"/>
    <col min="10765" max="10765" width="12.140625" style="67" customWidth="1"/>
    <col min="10766" max="10766" width="14" style="67" customWidth="1"/>
    <col min="10767" max="10767" width="11" style="67" customWidth="1"/>
    <col min="10768" max="10768" width="12" style="67" customWidth="1"/>
    <col min="10769" max="10769" width="9.5703125" style="67" customWidth="1"/>
    <col min="10770" max="10771" width="9.140625" style="67"/>
    <col min="10772" max="10772" width="0" style="67" hidden="1" customWidth="1"/>
    <col min="10773" max="11008" width="9.140625" style="67"/>
    <col min="11009" max="11009" width="1.5703125" style="67" customWidth="1"/>
    <col min="11010" max="11010" width="17.42578125" style="67" customWidth="1"/>
    <col min="11011" max="11011" width="66.85546875" style="67" customWidth="1"/>
    <col min="11012" max="11012" width="13.28515625" style="67" customWidth="1"/>
    <col min="11013" max="11013" width="11.42578125" style="67" customWidth="1"/>
    <col min="11014" max="11014" width="10.42578125" style="67" customWidth="1"/>
    <col min="11015" max="11015" width="11.140625" style="67" customWidth="1"/>
    <col min="11016" max="11016" width="14.85546875" style="67" customWidth="1"/>
    <col min="11017" max="11017" width="14.140625" style="67" customWidth="1"/>
    <col min="11018" max="11018" width="13.42578125" style="67" customWidth="1"/>
    <col min="11019" max="11019" width="15.42578125" style="67" customWidth="1"/>
    <col min="11020" max="11020" width="15.140625" style="67" customWidth="1"/>
    <col min="11021" max="11021" width="12.140625" style="67" customWidth="1"/>
    <col min="11022" max="11022" width="14" style="67" customWidth="1"/>
    <col min="11023" max="11023" width="11" style="67" customWidth="1"/>
    <col min="11024" max="11024" width="12" style="67" customWidth="1"/>
    <col min="11025" max="11025" width="9.5703125" style="67" customWidth="1"/>
    <col min="11026" max="11027" width="9.140625" style="67"/>
    <col min="11028" max="11028" width="0" style="67" hidden="1" customWidth="1"/>
    <col min="11029" max="11264" width="9.140625" style="67"/>
    <col min="11265" max="11265" width="1.5703125" style="67" customWidth="1"/>
    <col min="11266" max="11266" width="17.42578125" style="67" customWidth="1"/>
    <col min="11267" max="11267" width="66.85546875" style="67" customWidth="1"/>
    <col min="11268" max="11268" width="13.28515625" style="67" customWidth="1"/>
    <col min="11269" max="11269" width="11.42578125" style="67" customWidth="1"/>
    <col min="11270" max="11270" width="10.42578125" style="67" customWidth="1"/>
    <col min="11271" max="11271" width="11.140625" style="67" customWidth="1"/>
    <col min="11272" max="11272" width="14.85546875" style="67" customWidth="1"/>
    <col min="11273" max="11273" width="14.140625" style="67" customWidth="1"/>
    <col min="11274" max="11274" width="13.42578125" style="67" customWidth="1"/>
    <col min="11275" max="11275" width="15.42578125" style="67" customWidth="1"/>
    <col min="11276" max="11276" width="15.140625" style="67" customWidth="1"/>
    <col min="11277" max="11277" width="12.140625" style="67" customWidth="1"/>
    <col min="11278" max="11278" width="14" style="67" customWidth="1"/>
    <col min="11279" max="11279" width="11" style="67" customWidth="1"/>
    <col min="11280" max="11280" width="12" style="67" customWidth="1"/>
    <col min="11281" max="11281" width="9.5703125" style="67" customWidth="1"/>
    <col min="11282" max="11283" width="9.140625" style="67"/>
    <col min="11284" max="11284" width="0" style="67" hidden="1" customWidth="1"/>
    <col min="11285" max="11520" width="9.140625" style="67"/>
    <col min="11521" max="11521" width="1.5703125" style="67" customWidth="1"/>
    <col min="11522" max="11522" width="17.42578125" style="67" customWidth="1"/>
    <col min="11523" max="11523" width="66.85546875" style="67" customWidth="1"/>
    <col min="11524" max="11524" width="13.28515625" style="67" customWidth="1"/>
    <col min="11525" max="11525" width="11.42578125" style="67" customWidth="1"/>
    <col min="11526" max="11526" width="10.42578125" style="67" customWidth="1"/>
    <col min="11527" max="11527" width="11.140625" style="67" customWidth="1"/>
    <col min="11528" max="11528" width="14.85546875" style="67" customWidth="1"/>
    <col min="11529" max="11529" width="14.140625" style="67" customWidth="1"/>
    <col min="11530" max="11530" width="13.42578125" style="67" customWidth="1"/>
    <col min="11531" max="11531" width="15.42578125" style="67" customWidth="1"/>
    <col min="11532" max="11532" width="15.140625" style="67" customWidth="1"/>
    <col min="11533" max="11533" width="12.140625" style="67" customWidth="1"/>
    <col min="11534" max="11534" width="14" style="67" customWidth="1"/>
    <col min="11535" max="11535" width="11" style="67" customWidth="1"/>
    <col min="11536" max="11536" width="12" style="67" customWidth="1"/>
    <col min="11537" max="11537" width="9.5703125" style="67" customWidth="1"/>
    <col min="11538" max="11539" width="9.140625" style="67"/>
    <col min="11540" max="11540" width="0" style="67" hidden="1" customWidth="1"/>
    <col min="11541" max="11776" width="9.140625" style="67"/>
    <col min="11777" max="11777" width="1.5703125" style="67" customWidth="1"/>
    <col min="11778" max="11778" width="17.42578125" style="67" customWidth="1"/>
    <col min="11779" max="11779" width="66.85546875" style="67" customWidth="1"/>
    <col min="11780" max="11780" width="13.28515625" style="67" customWidth="1"/>
    <col min="11781" max="11781" width="11.42578125" style="67" customWidth="1"/>
    <col min="11782" max="11782" width="10.42578125" style="67" customWidth="1"/>
    <col min="11783" max="11783" width="11.140625" style="67" customWidth="1"/>
    <col min="11784" max="11784" width="14.85546875" style="67" customWidth="1"/>
    <col min="11785" max="11785" width="14.140625" style="67" customWidth="1"/>
    <col min="11786" max="11786" width="13.42578125" style="67" customWidth="1"/>
    <col min="11787" max="11787" width="15.42578125" style="67" customWidth="1"/>
    <col min="11788" max="11788" width="15.140625" style="67" customWidth="1"/>
    <col min="11789" max="11789" width="12.140625" style="67" customWidth="1"/>
    <col min="11790" max="11790" width="14" style="67" customWidth="1"/>
    <col min="11791" max="11791" width="11" style="67" customWidth="1"/>
    <col min="11792" max="11792" width="12" style="67" customWidth="1"/>
    <col min="11793" max="11793" width="9.5703125" style="67" customWidth="1"/>
    <col min="11794" max="11795" width="9.140625" style="67"/>
    <col min="11796" max="11796" width="0" style="67" hidden="1" customWidth="1"/>
    <col min="11797" max="12032" width="9.140625" style="67"/>
    <col min="12033" max="12033" width="1.5703125" style="67" customWidth="1"/>
    <col min="12034" max="12034" width="17.42578125" style="67" customWidth="1"/>
    <col min="12035" max="12035" width="66.85546875" style="67" customWidth="1"/>
    <col min="12036" max="12036" width="13.28515625" style="67" customWidth="1"/>
    <col min="12037" max="12037" width="11.42578125" style="67" customWidth="1"/>
    <col min="12038" max="12038" width="10.42578125" style="67" customWidth="1"/>
    <col min="12039" max="12039" width="11.140625" style="67" customWidth="1"/>
    <col min="12040" max="12040" width="14.85546875" style="67" customWidth="1"/>
    <col min="12041" max="12041" width="14.140625" style="67" customWidth="1"/>
    <col min="12042" max="12042" width="13.42578125" style="67" customWidth="1"/>
    <col min="12043" max="12043" width="15.42578125" style="67" customWidth="1"/>
    <col min="12044" max="12044" width="15.140625" style="67" customWidth="1"/>
    <col min="12045" max="12045" width="12.140625" style="67" customWidth="1"/>
    <col min="12046" max="12046" width="14" style="67" customWidth="1"/>
    <col min="12047" max="12047" width="11" style="67" customWidth="1"/>
    <col min="12048" max="12048" width="12" style="67" customWidth="1"/>
    <col min="12049" max="12049" width="9.5703125" style="67" customWidth="1"/>
    <col min="12050" max="12051" width="9.140625" style="67"/>
    <col min="12052" max="12052" width="0" style="67" hidden="1" customWidth="1"/>
    <col min="12053" max="12288" width="9.140625" style="67"/>
    <col min="12289" max="12289" width="1.5703125" style="67" customWidth="1"/>
    <col min="12290" max="12290" width="17.42578125" style="67" customWidth="1"/>
    <col min="12291" max="12291" width="66.85546875" style="67" customWidth="1"/>
    <col min="12292" max="12292" width="13.28515625" style="67" customWidth="1"/>
    <col min="12293" max="12293" width="11.42578125" style="67" customWidth="1"/>
    <col min="12294" max="12294" width="10.42578125" style="67" customWidth="1"/>
    <col min="12295" max="12295" width="11.140625" style="67" customWidth="1"/>
    <col min="12296" max="12296" width="14.85546875" style="67" customWidth="1"/>
    <col min="12297" max="12297" width="14.140625" style="67" customWidth="1"/>
    <col min="12298" max="12298" width="13.42578125" style="67" customWidth="1"/>
    <col min="12299" max="12299" width="15.42578125" style="67" customWidth="1"/>
    <col min="12300" max="12300" width="15.140625" style="67" customWidth="1"/>
    <col min="12301" max="12301" width="12.140625" style="67" customWidth="1"/>
    <col min="12302" max="12302" width="14" style="67" customWidth="1"/>
    <col min="12303" max="12303" width="11" style="67" customWidth="1"/>
    <col min="12304" max="12304" width="12" style="67" customWidth="1"/>
    <col min="12305" max="12305" width="9.5703125" style="67" customWidth="1"/>
    <col min="12306" max="12307" width="9.140625" style="67"/>
    <col min="12308" max="12308" width="0" style="67" hidden="1" customWidth="1"/>
    <col min="12309" max="12544" width="9.140625" style="67"/>
    <col min="12545" max="12545" width="1.5703125" style="67" customWidth="1"/>
    <col min="12546" max="12546" width="17.42578125" style="67" customWidth="1"/>
    <col min="12547" max="12547" width="66.85546875" style="67" customWidth="1"/>
    <col min="12548" max="12548" width="13.28515625" style="67" customWidth="1"/>
    <col min="12549" max="12549" width="11.42578125" style="67" customWidth="1"/>
    <col min="12550" max="12550" width="10.42578125" style="67" customWidth="1"/>
    <col min="12551" max="12551" width="11.140625" style="67" customWidth="1"/>
    <col min="12552" max="12552" width="14.85546875" style="67" customWidth="1"/>
    <col min="12553" max="12553" width="14.140625" style="67" customWidth="1"/>
    <col min="12554" max="12554" width="13.42578125" style="67" customWidth="1"/>
    <col min="12555" max="12555" width="15.42578125" style="67" customWidth="1"/>
    <col min="12556" max="12556" width="15.140625" style="67" customWidth="1"/>
    <col min="12557" max="12557" width="12.140625" style="67" customWidth="1"/>
    <col min="12558" max="12558" width="14" style="67" customWidth="1"/>
    <col min="12559" max="12559" width="11" style="67" customWidth="1"/>
    <col min="12560" max="12560" width="12" style="67" customWidth="1"/>
    <col min="12561" max="12561" width="9.5703125" style="67" customWidth="1"/>
    <col min="12562" max="12563" width="9.140625" style="67"/>
    <col min="12564" max="12564" width="0" style="67" hidden="1" customWidth="1"/>
    <col min="12565" max="12800" width="9.140625" style="67"/>
    <col min="12801" max="12801" width="1.5703125" style="67" customWidth="1"/>
    <col min="12802" max="12802" width="17.42578125" style="67" customWidth="1"/>
    <col min="12803" max="12803" width="66.85546875" style="67" customWidth="1"/>
    <col min="12804" max="12804" width="13.28515625" style="67" customWidth="1"/>
    <col min="12805" max="12805" width="11.42578125" style="67" customWidth="1"/>
    <col min="12806" max="12806" width="10.42578125" style="67" customWidth="1"/>
    <col min="12807" max="12807" width="11.140625" style="67" customWidth="1"/>
    <col min="12808" max="12808" width="14.85546875" style="67" customWidth="1"/>
    <col min="12809" max="12809" width="14.140625" style="67" customWidth="1"/>
    <col min="12810" max="12810" width="13.42578125" style="67" customWidth="1"/>
    <col min="12811" max="12811" width="15.42578125" style="67" customWidth="1"/>
    <col min="12812" max="12812" width="15.140625" style="67" customWidth="1"/>
    <col min="12813" max="12813" width="12.140625" style="67" customWidth="1"/>
    <col min="12814" max="12814" width="14" style="67" customWidth="1"/>
    <col min="12815" max="12815" width="11" style="67" customWidth="1"/>
    <col min="12816" max="12816" width="12" style="67" customWidth="1"/>
    <col min="12817" max="12817" width="9.5703125" style="67" customWidth="1"/>
    <col min="12818" max="12819" width="9.140625" style="67"/>
    <col min="12820" max="12820" width="0" style="67" hidden="1" customWidth="1"/>
    <col min="12821" max="13056" width="9.140625" style="67"/>
    <col min="13057" max="13057" width="1.5703125" style="67" customWidth="1"/>
    <col min="13058" max="13058" width="17.42578125" style="67" customWidth="1"/>
    <col min="13059" max="13059" width="66.85546875" style="67" customWidth="1"/>
    <col min="13060" max="13060" width="13.28515625" style="67" customWidth="1"/>
    <col min="13061" max="13061" width="11.42578125" style="67" customWidth="1"/>
    <col min="13062" max="13062" width="10.42578125" style="67" customWidth="1"/>
    <col min="13063" max="13063" width="11.140625" style="67" customWidth="1"/>
    <col min="13064" max="13064" width="14.85546875" style="67" customWidth="1"/>
    <col min="13065" max="13065" width="14.140625" style="67" customWidth="1"/>
    <col min="13066" max="13066" width="13.42578125" style="67" customWidth="1"/>
    <col min="13067" max="13067" width="15.42578125" style="67" customWidth="1"/>
    <col min="13068" max="13068" width="15.140625" style="67" customWidth="1"/>
    <col min="13069" max="13069" width="12.140625" style="67" customWidth="1"/>
    <col min="13070" max="13070" width="14" style="67" customWidth="1"/>
    <col min="13071" max="13071" width="11" style="67" customWidth="1"/>
    <col min="13072" max="13072" width="12" style="67" customWidth="1"/>
    <col min="13073" max="13073" width="9.5703125" style="67" customWidth="1"/>
    <col min="13074" max="13075" width="9.140625" style="67"/>
    <col min="13076" max="13076" width="0" style="67" hidden="1" customWidth="1"/>
    <col min="13077" max="13312" width="9.140625" style="67"/>
    <col min="13313" max="13313" width="1.5703125" style="67" customWidth="1"/>
    <col min="13314" max="13314" width="17.42578125" style="67" customWidth="1"/>
    <col min="13315" max="13315" width="66.85546875" style="67" customWidth="1"/>
    <col min="13316" max="13316" width="13.28515625" style="67" customWidth="1"/>
    <col min="13317" max="13317" width="11.42578125" style="67" customWidth="1"/>
    <col min="13318" max="13318" width="10.42578125" style="67" customWidth="1"/>
    <col min="13319" max="13319" width="11.140625" style="67" customWidth="1"/>
    <col min="13320" max="13320" width="14.85546875" style="67" customWidth="1"/>
    <col min="13321" max="13321" width="14.140625" style="67" customWidth="1"/>
    <col min="13322" max="13322" width="13.42578125" style="67" customWidth="1"/>
    <col min="13323" max="13323" width="15.42578125" style="67" customWidth="1"/>
    <col min="13324" max="13324" width="15.140625" style="67" customWidth="1"/>
    <col min="13325" max="13325" width="12.140625" style="67" customWidth="1"/>
    <col min="13326" max="13326" width="14" style="67" customWidth="1"/>
    <col min="13327" max="13327" width="11" style="67" customWidth="1"/>
    <col min="13328" max="13328" width="12" style="67" customWidth="1"/>
    <col min="13329" max="13329" width="9.5703125" style="67" customWidth="1"/>
    <col min="13330" max="13331" width="9.140625" style="67"/>
    <col min="13332" max="13332" width="0" style="67" hidden="1" customWidth="1"/>
    <col min="13333" max="13568" width="9.140625" style="67"/>
    <col min="13569" max="13569" width="1.5703125" style="67" customWidth="1"/>
    <col min="13570" max="13570" width="17.42578125" style="67" customWidth="1"/>
    <col min="13571" max="13571" width="66.85546875" style="67" customWidth="1"/>
    <col min="13572" max="13572" width="13.28515625" style="67" customWidth="1"/>
    <col min="13573" max="13573" width="11.42578125" style="67" customWidth="1"/>
    <col min="13574" max="13574" width="10.42578125" style="67" customWidth="1"/>
    <col min="13575" max="13575" width="11.140625" style="67" customWidth="1"/>
    <col min="13576" max="13576" width="14.85546875" style="67" customWidth="1"/>
    <col min="13577" max="13577" width="14.140625" style="67" customWidth="1"/>
    <col min="13578" max="13578" width="13.42578125" style="67" customWidth="1"/>
    <col min="13579" max="13579" width="15.42578125" style="67" customWidth="1"/>
    <col min="13580" max="13580" width="15.140625" style="67" customWidth="1"/>
    <col min="13581" max="13581" width="12.140625" style="67" customWidth="1"/>
    <col min="13582" max="13582" width="14" style="67" customWidth="1"/>
    <col min="13583" max="13583" width="11" style="67" customWidth="1"/>
    <col min="13584" max="13584" width="12" style="67" customWidth="1"/>
    <col min="13585" max="13585" width="9.5703125" style="67" customWidth="1"/>
    <col min="13586" max="13587" width="9.140625" style="67"/>
    <col min="13588" max="13588" width="0" style="67" hidden="1" customWidth="1"/>
    <col min="13589" max="13824" width="9.140625" style="67"/>
    <col min="13825" max="13825" width="1.5703125" style="67" customWidth="1"/>
    <col min="13826" max="13826" width="17.42578125" style="67" customWidth="1"/>
    <col min="13827" max="13827" width="66.85546875" style="67" customWidth="1"/>
    <col min="13828" max="13828" width="13.28515625" style="67" customWidth="1"/>
    <col min="13829" max="13829" width="11.42578125" style="67" customWidth="1"/>
    <col min="13830" max="13830" width="10.42578125" style="67" customWidth="1"/>
    <col min="13831" max="13831" width="11.140625" style="67" customWidth="1"/>
    <col min="13832" max="13832" width="14.85546875" style="67" customWidth="1"/>
    <col min="13833" max="13833" width="14.140625" style="67" customWidth="1"/>
    <col min="13834" max="13834" width="13.42578125" style="67" customWidth="1"/>
    <col min="13835" max="13835" width="15.42578125" style="67" customWidth="1"/>
    <col min="13836" max="13836" width="15.140625" style="67" customWidth="1"/>
    <col min="13837" max="13837" width="12.140625" style="67" customWidth="1"/>
    <col min="13838" max="13838" width="14" style="67" customWidth="1"/>
    <col min="13839" max="13839" width="11" style="67" customWidth="1"/>
    <col min="13840" max="13840" width="12" style="67" customWidth="1"/>
    <col min="13841" max="13841" width="9.5703125" style="67" customWidth="1"/>
    <col min="13842" max="13843" width="9.140625" style="67"/>
    <col min="13844" max="13844" width="0" style="67" hidden="1" customWidth="1"/>
    <col min="13845" max="14080" width="9.140625" style="67"/>
    <col min="14081" max="14081" width="1.5703125" style="67" customWidth="1"/>
    <col min="14082" max="14082" width="17.42578125" style="67" customWidth="1"/>
    <col min="14083" max="14083" width="66.85546875" style="67" customWidth="1"/>
    <col min="14084" max="14084" width="13.28515625" style="67" customWidth="1"/>
    <col min="14085" max="14085" width="11.42578125" style="67" customWidth="1"/>
    <col min="14086" max="14086" width="10.42578125" style="67" customWidth="1"/>
    <col min="14087" max="14087" width="11.140625" style="67" customWidth="1"/>
    <col min="14088" max="14088" width="14.85546875" style="67" customWidth="1"/>
    <col min="14089" max="14089" width="14.140625" style="67" customWidth="1"/>
    <col min="14090" max="14090" width="13.42578125" style="67" customWidth="1"/>
    <col min="14091" max="14091" width="15.42578125" style="67" customWidth="1"/>
    <col min="14092" max="14092" width="15.140625" style="67" customWidth="1"/>
    <col min="14093" max="14093" width="12.140625" style="67" customWidth="1"/>
    <col min="14094" max="14094" width="14" style="67" customWidth="1"/>
    <col min="14095" max="14095" width="11" style="67" customWidth="1"/>
    <col min="14096" max="14096" width="12" style="67" customWidth="1"/>
    <col min="14097" max="14097" width="9.5703125" style="67" customWidth="1"/>
    <col min="14098" max="14099" width="9.140625" style="67"/>
    <col min="14100" max="14100" width="0" style="67" hidden="1" customWidth="1"/>
    <col min="14101" max="14336" width="9.140625" style="67"/>
    <col min="14337" max="14337" width="1.5703125" style="67" customWidth="1"/>
    <col min="14338" max="14338" width="17.42578125" style="67" customWidth="1"/>
    <col min="14339" max="14339" width="66.85546875" style="67" customWidth="1"/>
    <col min="14340" max="14340" width="13.28515625" style="67" customWidth="1"/>
    <col min="14341" max="14341" width="11.42578125" style="67" customWidth="1"/>
    <col min="14342" max="14342" width="10.42578125" style="67" customWidth="1"/>
    <col min="14343" max="14343" width="11.140625" style="67" customWidth="1"/>
    <col min="14344" max="14344" width="14.85546875" style="67" customWidth="1"/>
    <col min="14345" max="14345" width="14.140625" style="67" customWidth="1"/>
    <col min="14346" max="14346" width="13.42578125" style="67" customWidth="1"/>
    <col min="14347" max="14347" width="15.42578125" style="67" customWidth="1"/>
    <col min="14348" max="14348" width="15.140625" style="67" customWidth="1"/>
    <col min="14349" max="14349" width="12.140625" style="67" customWidth="1"/>
    <col min="14350" max="14350" width="14" style="67" customWidth="1"/>
    <col min="14351" max="14351" width="11" style="67" customWidth="1"/>
    <col min="14352" max="14352" width="12" style="67" customWidth="1"/>
    <col min="14353" max="14353" width="9.5703125" style="67" customWidth="1"/>
    <col min="14354" max="14355" width="9.140625" style="67"/>
    <col min="14356" max="14356" width="0" style="67" hidden="1" customWidth="1"/>
    <col min="14357" max="14592" width="9.140625" style="67"/>
    <col min="14593" max="14593" width="1.5703125" style="67" customWidth="1"/>
    <col min="14594" max="14594" width="17.42578125" style="67" customWidth="1"/>
    <col min="14595" max="14595" width="66.85546875" style="67" customWidth="1"/>
    <col min="14596" max="14596" width="13.28515625" style="67" customWidth="1"/>
    <col min="14597" max="14597" width="11.42578125" style="67" customWidth="1"/>
    <col min="14598" max="14598" width="10.42578125" style="67" customWidth="1"/>
    <col min="14599" max="14599" width="11.140625" style="67" customWidth="1"/>
    <col min="14600" max="14600" width="14.85546875" style="67" customWidth="1"/>
    <col min="14601" max="14601" width="14.140625" style="67" customWidth="1"/>
    <col min="14602" max="14602" width="13.42578125" style="67" customWidth="1"/>
    <col min="14603" max="14603" width="15.42578125" style="67" customWidth="1"/>
    <col min="14604" max="14604" width="15.140625" style="67" customWidth="1"/>
    <col min="14605" max="14605" width="12.140625" style="67" customWidth="1"/>
    <col min="14606" max="14606" width="14" style="67" customWidth="1"/>
    <col min="14607" max="14607" width="11" style="67" customWidth="1"/>
    <col min="14608" max="14608" width="12" style="67" customWidth="1"/>
    <col min="14609" max="14609" width="9.5703125" style="67" customWidth="1"/>
    <col min="14610" max="14611" width="9.140625" style="67"/>
    <col min="14612" max="14612" width="0" style="67" hidden="1" customWidth="1"/>
    <col min="14613" max="14848" width="9.140625" style="67"/>
    <col min="14849" max="14849" width="1.5703125" style="67" customWidth="1"/>
    <col min="14850" max="14850" width="17.42578125" style="67" customWidth="1"/>
    <col min="14851" max="14851" width="66.85546875" style="67" customWidth="1"/>
    <col min="14852" max="14852" width="13.28515625" style="67" customWidth="1"/>
    <col min="14853" max="14853" width="11.42578125" style="67" customWidth="1"/>
    <col min="14854" max="14854" width="10.42578125" style="67" customWidth="1"/>
    <col min="14855" max="14855" width="11.140625" style="67" customWidth="1"/>
    <col min="14856" max="14856" width="14.85546875" style="67" customWidth="1"/>
    <col min="14857" max="14857" width="14.140625" style="67" customWidth="1"/>
    <col min="14858" max="14858" width="13.42578125" style="67" customWidth="1"/>
    <col min="14859" max="14859" width="15.42578125" style="67" customWidth="1"/>
    <col min="14860" max="14860" width="15.140625" style="67" customWidth="1"/>
    <col min="14861" max="14861" width="12.140625" style="67" customWidth="1"/>
    <col min="14862" max="14862" width="14" style="67" customWidth="1"/>
    <col min="14863" max="14863" width="11" style="67" customWidth="1"/>
    <col min="14864" max="14864" width="12" style="67" customWidth="1"/>
    <col min="14865" max="14865" width="9.5703125" style="67" customWidth="1"/>
    <col min="14866" max="14867" width="9.140625" style="67"/>
    <col min="14868" max="14868" width="0" style="67" hidden="1" customWidth="1"/>
    <col min="14869" max="15104" width="9.140625" style="67"/>
    <col min="15105" max="15105" width="1.5703125" style="67" customWidth="1"/>
    <col min="15106" max="15106" width="17.42578125" style="67" customWidth="1"/>
    <col min="15107" max="15107" width="66.85546875" style="67" customWidth="1"/>
    <col min="15108" max="15108" width="13.28515625" style="67" customWidth="1"/>
    <col min="15109" max="15109" width="11.42578125" style="67" customWidth="1"/>
    <col min="15110" max="15110" width="10.42578125" style="67" customWidth="1"/>
    <col min="15111" max="15111" width="11.140625" style="67" customWidth="1"/>
    <col min="15112" max="15112" width="14.85546875" style="67" customWidth="1"/>
    <col min="15113" max="15113" width="14.140625" style="67" customWidth="1"/>
    <col min="15114" max="15114" width="13.42578125" style="67" customWidth="1"/>
    <col min="15115" max="15115" width="15.42578125" style="67" customWidth="1"/>
    <col min="15116" max="15116" width="15.140625" style="67" customWidth="1"/>
    <col min="15117" max="15117" width="12.140625" style="67" customWidth="1"/>
    <col min="15118" max="15118" width="14" style="67" customWidth="1"/>
    <col min="15119" max="15119" width="11" style="67" customWidth="1"/>
    <col min="15120" max="15120" width="12" style="67" customWidth="1"/>
    <col min="15121" max="15121" width="9.5703125" style="67" customWidth="1"/>
    <col min="15122" max="15123" width="9.140625" style="67"/>
    <col min="15124" max="15124" width="0" style="67" hidden="1" customWidth="1"/>
    <col min="15125" max="15360" width="9.140625" style="67"/>
    <col min="15361" max="15361" width="1.5703125" style="67" customWidth="1"/>
    <col min="15362" max="15362" width="17.42578125" style="67" customWidth="1"/>
    <col min="15363" max="15363" width="66.85546875" style="67" customWidth="1"/>
    <col min="15364" max="15364" width="13.28515625" style="67" customWidth="1"/>
    <col min="15365" max="15365" width="11.42578125" style="67" customWidth="1"/>
    <col min="15366" max="15366" width="10.42578125" style="67" customWidth="1"/>
    <col min="15367" max="15367" width="11.140625" style="67" customWidth="1"/>
    <col min="15368" max="15368" width="14.85546875" style="67" customWidth="1"/>
    <col min="15369" max="15369" width="14.140625" style="67" customWidth="1"/>
    <col min="15370" max="15370" width="13.42578125" style="67" customWidth="1"/>
    <col min="15371" max="15371" width="15.42578125" style="67" customWidth="1"/>
    <col min="15372" max="15372" width="15.140625" style="67" customWidth="1"/>
    <col min="15373" max="15373" width="12.140625" style="67" customWidth="1"/>
    <col min="15374" max="15374" width="14" style="67" customWidth="1"/>
    <col min="15375" max="15375" width="11" style="67" customWidth="1"/>
    <col min="15376" max="15376" width="12" style="67" customWidth="1"/>
    <col min="15377" max="15377" width="9.5703125" style="67" customWidth="1"/>
    <col min="15378" max="15379" width="9.140625" style="67"/>
    <col min="15380" max="15380" width="0" style="67" hidden="1" customWidth="1"/>
    <col min="15381" max="15616" width="9.140625" style="67"/>
    <col min="15617" max="15617" width="1.5703125" style="67" customWidth="1"/>
    <col min="15618" max="15618" width="17.42578125" style="67" customWidth="1"/>
    <col min="15619" max="15619" width="66.85546875" style="67" customWidth="1"/>
    <col min="15620" max="15620" width="13.28515625" style="67" customWidth="1"/>
    <col min="15621" max="15621" width="11.42578125" style="67" customWidth="1"/>
    <col min="15622" max="15622" width="10.42578125" style="67" customWidth="1"/>
    <col min="15623" max="15623" width="11.140625" style="67" customWidth="1"/>
    <col min="15624" max="15624" width="14.85546875" style="67" customWidth="1"/>
    <col min="15625" max="15625" width="14.140625" style="67" customWidth="1"/>
    <col min="15626" max="15626" width="13.42578125" style="67" customWidth="1"/>
    <col min="15627" max="15627" width="15.42578125" style="67" customWidth="1"/>
    <col min="15628" max="15628" width="15.140625" style="67" customWidth="1"/>
    <col min="15629" max="15629" width="12.140625" style="67" customWidth="1"/>
    <col min="15630" max="15630" width="14" style="67" customWidth="1"/>
    <col min="15631" max="15631" width="11" style="67" customWidth="1"/>
    <col min="15632" max="15632" width="12" style="67" customWidth="1"/>
    <col min="15633" max="15633" width="9.5703125" style="67" customWidth="1"/>
    <col min="15634" max="15635" width="9.140625" style="67"/>
    <col min="15636" max="15636" width="0" style="67" hidden="1" customWidth="1"/>
    <col min="15637" max="15872" width="9.140625" style="67"/>
    <col min="15873" max="15873" width="1.5703125" style="67" customWidth="1"/>
    <col min="15874" max="15874" width="17.42578125" style="67" customWidth="1"/>
    <col min="15875" max="15875" width="66.85546875" style="67" customWidth="1"/>
    <col min="15876" max="15876" width="13.28515625" style="67" customWidth="1"/>
    <col min="15877" max="15877" width="11.42578125" style="67" customWidth="1"/>
    <col min="15878" max="15878" width="10.42578125" style="67" customWidth="1"/>
    <col min="15879" max="15879" width="11.140625" style="67" customWidth="1"/>
    <col min="15880" max="15880" width="14.85546875" style="67" customWidth="1"/>
    <col min="15881" max="15881" width="14.140625" style="67" customWidth="1"/>
    <col min="15882" max="15882" width="13.42578125" style="67" customWidth="1"/>
    <col min="15883" max="15883" width="15.42578125" style="67" customWidth="1"/>
    <col min="15884" max="15884" width="15.140625" style="67" customWidth="1"/>
    <col min="15885" max="15885" width="12.140625" style="67" customWidth="1"/>
    <col min="15886" max="15886" width="14" style="67" customWidth="1"/>
    <col min="15887" max="15887" width="11" style="67" customWidth="1"/>
    <col min="15888" max="15888" width="12" style="67" customWidth="1"/>
    <col min="15889" max="15889" width="9.5703125" style="67" customWidth="1"/>
    <col min="15890" max="15891" width="9.140625" style="67"/>
    <col min="15892" max="15892" width="0" style="67" hidden="1" customWidth="1"/>
    <col min="15893" max="16128" width="9.140625" style="67"/>
    <col min="16129" max="16129" width="1.5703125" style="67" customWidth="1"/>
    <col min="16130" max="16130" width="17.42578125" style="67" customWidth="1"/>
    <col min="16131" max="16131" width="66.85546875" style="67" customWidth="1"/>
    <col min="16132" max="16132" width="13.28515625" style="67" customWidth="1"/>
    <col min="16133" max="16133" width="11.42578125" style="67" customWidth="1"/>
    <col min="16134" max="16134" width="10.42578125" style="67" customWidth="1"/>
    <col min="16135" max="16135" width="11.140625" style="67" customWidth="1"/>
    <col min="16136" max="16136" width="14.85546875" style="67" customWidth="1"/>
    <col min="16137" max="16137" width="14.140625" style="67" customWidth="1"/>
    <col min="16138" max="16138" width="13.42578125" style="67" customWidth="1"/>
    <col min="16139" max="16139" width="15.42578125" style="67" customWidth="1"/>
    <col min="16140" max="16140" width="15.140625" style="67" customWidth="1"/>
    <col min="16141" max="16141" width="12.140625" style="67" customWidth="1"/>
    <col min="16142" max="16142" width="14" style="67" customWidth="1"/>
    <col min="16143" max="16143" width="11" style="67" customWidth="1"/>
    <col min="16144" max="16144" width="12" style="67" customWidth="1"/>
    <col min="16145" max="16145" width="9.5703125" style="67" customWidth="1"/>
    <col min="16146" max="16147" width="9.140625" style="67"/>
    <col min="16148" max="16148" width="0" style="67" hidden="1" customWidth="1"/>
    <col min="16149" max="16384" width="9.140625" style="67"/>
  </cols>
  <sheetData>
    <row r="1" spans="1:19">
      <c r="B1" s="68"/>
      <c r="C1" s="68"/>
      <c r="D1" s="68"/>
      <c r="E1" s="68"/>
    </row>
    <row r="2" spans="1:19" ht="18.75">
      <c r="C2" s="69" t="s">
        <v>586</v>
      </c>
      <c r="D2" s="69"/>
      <c r="E2" s="70"/>
      <c r="F2" s="69"/>
      <c r="I2" s="71"/>
      <c r="N2" s="69"/>
      <c r="O2" s="69"/>
      <c r="P2" s="69"/>
      <c r="Q2" s="69"/>
      <c r="R2" s="72"/>
      <c r="S2" s="72"/>
    </row>
    <row r="3" spans="1:19" ht="18.75">
      <c r="B3" s="5686" t="s">
        <v>170</v>
      </c>
      <c r="C3" s="5686"/>
      <c r="D3" s="5686"/>
      <c r="E3" s="5686"/>
      <c r="F3" s="5686"/>
      <c r="G3" s="5686"/>
      <c r="H3" s="5686"/>
      <c r="I3" s="5686"/>
      <c r="J3" s="5686"/>
      <c r="K3" s="5686"/>
      <c r="L3" s="5686"/>
      <c r="M3" s="5686"/>
      <c r="N3" s="5686"/>
      <c r="O3" s="5686"/>
      <c r="P3" s="69"/>
      <c r="Q3" s="69"/>
      <c r="R3" s="72"/>
      <c r="S3" s="72"/>
    </row>
    <row r="4" spans="1:19" ht="18.75">
      <c r="B4" s="5687" t="s">
        <v>3915</v>
      </c>
      <c r="C4" s="5687"/>
      <c r="D4" s="5687"/>
      <c r="E4" s="5687"/>
      <c r="F4" s="5687"/>
      <c r="G4" s="5687"/>
      <c r="H4" s="5687"/>
      <c r="I4" s="5687"/>
      <c r="J4" s="5687"/>
      <c r="K4" s="5687"/>
      <c r="L4" s="5687"/>
      <c r="M4" s="5687"/>
      <c r="N4" s="5687"/>
      <c r="O4" s="5687"/>
      <c r="P4" s="69"/>
      <c r="Q4" s="69"/>
      <c r="R4" s="72"/>
      <c r="S4" s="72"/>
    </row>
    <row r="5" spans="1:19" ht="18.75">
      <c r="B5" s="5686" t="s">
        <v>3501</v>
      </c>
      <c r="C5" s="5686"/>
      <c r="D5" s="5686"/>
      <c r="E5" s="5686"/>
      <c r="F5" s="5686"/>
      <c r="G5" s="5686"/>
      <c r="H5" s="5686"/>
      <c r="I5" s="5686"/>
      <c r="J5" s="5686"/>
      <c r="K5" s="5686"/>
      <c r="L5" s="5686"/>
      <c r="M5" s="5686"/>
      <c r="N5" s="5686"/>
      <c r="O5" s="5686"/>
      <c r="P5" s="69"/>
      <c r="Q5" s="69"/>
      <c r="R5" s="72"/>
      <c r="S5" s="72"/>
    </row>
    <row r="6" spans="1:19" ht="18.75">
      <c r="B6" s="3548"/>
      <c r="C6" s="3548"/>
      <c r="D6" s="3548"/>
      <c r="E6" s="3548"/>
      <c r="F6" s="3549"/>
      <c r="G6" s="3550"/>
      <c r="H6" s="3550"/>
      <c r="I6" s="3548"/>
      <c r="J6" s="3551"/>
      <c r="K6" s="3551"/>
      <c r="L6" s="3552"/>
      <c r="M6" s="3552"/>
      <c r="N6" s="3551"/>
      <c r="O6" s="3551"/>
      <c r="P6" s="69"/>
      <c r="Q6" s="69"/>
      <c r="R6" s="72"/>
      <c r="S6" s="72"/>
    </row>
    <row r="7" spans="1:19" ht="18.75">
      <c r="B7" s="3541" t="s">
        <v>2887</v>
      </c>
      <c r="C7" s="3541"/>
      <c r="D7" s="3541"/>
      <c r="E7" s="3541"/>
      <c r="F7" s="3542"/>
      <c r="G7" s="3543"/>
      <c r="H7" s="3543"/>
      <c r="I7" s="3543"/>
      <c r="J7" s="3543"/>
      <c r="K7" s="3543"/>
      <c r="L7" s="3543"/>
      <c r="M7" s="3544"/>
      <c r="N7" s="3543"/>
      <c r="O7" s="3543"/>
      <c r="P7" s="69"/>
      <c r="Q7" s="69"/>
      <c r="R7" s="72"/>
      <c r="S7" s="72"/>
    </row>
    <row r="8" spans="1:19" ht="18.75">
      <c r="B8" s="3544" t="s">
        <v>96</v>
      </c>
      <c r="C8" s="3544"/>
      <c r="D8" s="3544"/>
      <c r="E8" s="3544"/>
      <c r="F8" s="3542"/>
      <c r="G8" s="3543"/>
      <c r="H8" s="3543"/>
      <c r="I8" s="3543"/>
      <c r="J8" s="3543"/>
      <c r="K8" s="3543"/>
      <c r="L8" s="3543"/>
      <c r="M8" s="3544"/>
      <c r="N8" s="3543"/>
      <c r="O8" s="3545" t="s">
        <v>581</v>
      </c>
      <c r="P8" s="69"/>
      <c r="Q8" s="69"/>
      <c r="R8" s="72"/>
      <c r="S8" s="72"/>
    </row>
    <row r="9" spans="1:19" ht="18.75">
      <c r="A9" s="72"/>
      <c r="B9" s="5673" t="s">
        <v>582</v>
      </c>
      <c r="C9" s="5673" t="s">
        <v>587</v>
      </c>
      <c r="D9" s="5673" t="s">
        <v>588</v>
      </c>
      <c r="E9" s="5673" t="s">
        <v>589</v>
      </c>
      <c r="F9" s="5673" t="s">
        <v>590</v>
      </c>
      <c r="G9" s="5673" t="s">
        <v>591</v>
      </c>
      <c r="H9" s="5673" t="s">
        <v>592</v>
      </c>
      <c r="I9" s="5673"/>
      <c r="J9" s="5673"/>
      <c r="K9" s="4643" t="s">
        <v>241</v>
      </c>
      <c r="L9" s="4643"/>
      <c r="M9" s="4643"/>
      <c r="N9" s="4643"/>
      <c r="O9" s="5673" t="s">
        <v>593</v>
      </c>
      <c r="P9" s="69"/>
      <c r="Q9" s="69"/>
      <c r="R9" s="72"/>
      <c r="S9" s="72"/>
    </row>
    <row r="10" spans="1:19" ht="18.75">
      <c r="A10" s="72"/>
      <c r="B10" s="5673"/>
      <c r="C10" s="5673"/>
      <c r="D10" s="5673"/>
      <c r="E10" s="5673"/>
      <c r="F10" s="5673"/>
      <c r="G10" s="5673"/>
      <c r="H10" s="4642" t="s">
        <v>1900</v>
      </c>
      <c r="I10" s="4642" t="s">
        <v>1901</v>
      </c>
      <c r="J10" s="4642" t="s">
        <v>1902</v>
      </c>
      <c r="K10" s="5673" t="s">
        <v>1903</v>
      </c>
      <c r="L10" s="5673" t="s">
        <v>1904</v>
      </c>
      <c r="M10" s="5673" t="s">
        <v>594</v>
      </c>
      <c r="N10" s="5673" t="s">
        <v>595</v>
      </c>
      <c r="O10" s="5673"/>
      <c r="P10" s="69"/>
      <c r="Q10" s="69"/>
      <c r="R10" s="72"/>
      <c r="S10" s="72"/>
    </row>
    <row r="11" spans="1:19" ht="35.25" customHeight="1">
      <c r="A11" s="74"/>
      <c r="B11" s="5673"/>
      <c r="C11" s="5673"/>
      <c r="D11" s="5673"/>
      <c r="E11" s="5673"/>
      <c r="F11" s="5673"/>
      <c r="G11" s="5673"/>
      <c r="H11" s="4642" t="s">
        <v>1905</v>
      </c>
      <c r="I11" s="4642" t="s">
        <v>1906</v>
      </c>
      <c r="J11" s="4642" t="s">
        <v>1906</v>
      </c>
      <c r="K11" s="5673"/>
      <c r="L11" s="5673"/>
      <c r="M11" s="5673"/>
      <c r="N11" s="5673"/>
      <c r="O11" s="5673"/>
      <c r="P11" s="69"/>
      <c r="Q11" s="69"/>
      <c r="R11" s="72"/>
      <c r="S11" s="72"/>
    </row>
    <row r="12" spans="1:19" ht="18.75">
      <c r="A12" s="66"/>
      <c r="B12" s="3546"/>
      <c r="C12" s="3546"/>
      <c r="D12" s="3546"/>
      <c r="E12" s="3546"/>
      <c r="F12" s="3546"/>
      <c r="G12" s="3546"/>
      <c r="H12" s="3546"/>
      <c r="I12" s="3546"/>
      <c r="J12" s="3546"/>
      <c r="K12" s="3546"/>
      <c r="L12" s="3546"/>
      <c r="M12" s="3546"/>
      <c r="N12" s="3546"/>
      <c r="O12" s="3546"/>
      <c r="P12" s="69"/>
      <c r="Q12" s="69"/>
      <c r="R12" s="72"/>
      <c r="S12" s="72"/>
    </row>
    <row r="13" spans="1:19" ht="18.75">
      <c r="A13" s="66"/>
      <c r="B13" s="4607"/>
      <c r="C13" s="1037" t="s">
        <v>2316</v>
      </c>
      <c r="D13" s="4607"/>
      <c r="E13" s="3546"/>
      <c r="F13" s="3546"/>
      <c r="G13" s="3546"/>
      <c r="H13" s="3546"/>
      <c r="I13" s="3546"/>
      <c r="J13" s="3546"/>
      <c r="K13" s="3546"/>
      <c r="L13" s="3546"/>
      <c r="M13" s="3546"/>
      <c r="N13" s="3546"/>
      <c r="O13" s="3546"/>
      <c r="P13" s="69"/>
      <c r="Q13" s="69"/>
      <c r="R13" s="72"/>
      <c r="S13" s="72"/>
    </row>
    <row r="14" spans="1:19" ht="18.75">
      <c r="A14" s="66"/>
      <c r="B14" s="4607"/>
      <c r="C14" s="4607"/>
      <c r="D14" s="4607"/>
      <c r="E14" s="3546"/>
      <c r="F14" s="3546"/>
      <c r="G14" s="3546"/>
      <c r="H14" s="3546"/>
      <c r="I14" s="3546"/>
      <c r="J14" s="3546"/>
      <c r="K14" s="3546"/>
      <c r="L14" s="3546"/>
      <c r="M14" s="3546"/>
      <c r="N14" s="3546"/>
      <c r="O14" s="3546"/>
      <c r="P14" s="69"/>
      <c r="Q14" s="69"/>
      <c r="R14" s="72"/>
      <c r="S14" s="72"/>
    </row>
    <row r="15" spans="1:19" ht="18.75">
      <c r="A15" s="66"/>
      <c r="B15" s="4607"/>
      <c r="C15" s="4608" t="s">
        <v>596</v>
      </c>
      <c r="D15" s="4607"/>
      <c r="E15" s="3546"/>
      <c r="F15" s="3546"/>
      <c r="G15" s="4609">
        <f>SUM(G16:G22)</f>
        <v>13.039999999999997</v>
      </c>
      <c r="H15" s="3547"/>
      <c r="I15" s="3547"/>
      <c r="J15" s="4609">
        <f>SUM(J16:J22)</f>
        <v>18.079999999999998</v>
      </c>
      <c r="K15" s="4609">
        <f>SUM(K16:K22)</f>
        <v>5.38</v>
      </c>
      <c r="L15" s="3547"/>
      <c r="M15" s="3547"/>
      <c r="N15" s="4609">
        <f>SUM(N16:N22)</f>
        <v>5.38</v>
      </c>
      <c r="O15" s="4609">
        <f>SUM(O16:O22)</f>
        <v>25.739999999999995</v>
      </c>
      <c r="P15" s="69"/>
      <c r="Q15" s="69"/>
      <c r="R15" s="72"/>
      <c r="S15" s="72"/>
    </row>
    <row r="16" spans="1:19">
      <c r="B16" s="4607" t="s">
        <v>564</v>
      </c>
      <c r="C16" s="1038" t="s">
        <v>1907</v>
      </c>
      <c r="D16" s="4558">
        <v>38</v>
      </c>
      <c r="E16" s="1038"/>
      <c r="F16" s="1038"/>
      <c r="G16" s="1038">
        <v>2.4799999999999986</v>
      </c>
      <c r="H16" s="1038"/>
      <c r="I16" s="1038"/>
      <c r="J16" s="4558">
        <v>2.58</v>
      </c>
      <c r="K16" s="4558">
        <v>0.39</v>
      </c>
      <c r="L16" s="1038"/>
      <c r="M16" s="1038"/>
      <c r="N16" s="4558">
        <f t="shared" ref="N16:N22" si="0">SUM(K16:M16)</f>
        <v>0.39</v>
      </c>
      <c r="O16" s="4611">
        <f t="shared" ref="O16:O22" si="1">G16+J16-N16</f>
        <v>4.669999999999999</v>
      </c>
    </row>
    <row r="17" spans="1:22" ht="18.75">
      <c r="A17" s="66"/>
      <c r="B17" s="4607" t="s">
        <v>565</v>
      </c>
      <c r="C17" s="1038" t="s">
        <v>1908</v>
      </c>
      <c r="D17" s="1038">
        <v>14.98</v>
      </c>
      <c r="E17" s="1038"/>
      <c r="F17" s="1038"/>
      <c r="G17" s="1038">
        <v>0</v>
      </c>
      <c r="H17" s="1038"/>
      <c r="I17" s="1038"/>
      <c r="J17" s="4558">
        <v>0</v>
      </c>
      <c r="K17" s="4558">
        <v>0</v>
      </c>
      <c r="L17" s="1038"/>
      <c r="M17" s="1038"/>
      <c r="N17" s="4558">
        <f t="shared" si="0"/>
        <v>0</v>
      </c>
      <c r="O17" s="4611">
        <f t="shared" si="1"/>
        <v>0</v>
      </c>
      <c r="P17" s="69"/>
      <c r="Q17" s="69"/>
      <c r="R17" s="72"/>
      <c r="S17" s="72"/>
    </row>
    <row r="18" spans="1:22">
      <c r="A18" s="66"/>
      <c r="B18" s="4607" t="s">
        <v>567</v>
      </c>
      <c r="C18" s="1038" t="s">
        <v>1907</v>
      </c>
      <c r="D18" s="1038">
        <v>84.77000000000001</v>
      </c>
      <c r="E18" s="1038"/>
      <c r="F18" s="1038"/>
      <c r="G18" s="1038">
        <v>5.4999999999999991</v>
      </c>
      <c r="H18" s="1038"/>
      <c r="I18" s="1038"/>
      <c r="J18" s="4558">
        <v>7.01</v>
      </c>
      <c r="K18" s="4558">
        <v>1.73</v>
      </c>
      <c r="L18" s="1038"/>
      <c r="M18" s="1038"/>
      <c r="N18" s="4558">
        <f t="shared" si="0"/>
        <v>1.73</v>
      </c>
      <c r="O18" s="4611">
        <f t="shared" si="1"/>
        <v>10.779999999999998</v>
      </c>
      <c r="P18" s="75"/>
      <c r="Q18" s="75"/>
      <c r="R18" s="72"/>
      <c r="S18" s="72"/>
    </row>
    <row r="19" spans="1:22">
      <c r="A19" s="66"/>
      <c r="B19" s="4607" t="s">
        <v>568</v>
      </c>
      <c r="C19" s="1038" t="s">
        <v>1907</v>
      </c>
      <c r="D19" s="1038">
        <v>30.070000000000004</v>
      </c>
      <c r="E19" s="1038"/>
      <c r="F19" s="1038"/>
      <c r="G19" s="1038">
        <v>3.0300000000000007</v>
      </c>
      <c r="H19" s="1038"/>
      <c r="I19" s="1038"/>
      <c r="J19" s="4558">
        <v>2.0699999999999998</v>
      </c>
      <c r="K19" s="4558">
        <v>0.82</v>
      </c>
      <c r="L19" s="1038"/>
      <c r="M19" s="1038"/>
      <c r="N19" s="4558">
        <f t="shared" si="0"/>
        <v>0.82</v>
      </c>
      <c r="O19" s="4611">
        <f t="shared" si="1"/>
        <v>4.28</v>
      </c>
      <c r="P19" s="75"/>
      <c r="Q19" s="75"/>
      <c r="R19" s="72"/>
      <c r="S19" s="72"/>
    </row>
    <row r="20" spans="1:22">
      <c r="A20" s="66"/>
      <c r="B20" s="4607" t="s">
        <v>570</v>
      </c>
      <c r="C20" s="1038" t="s">
        <v>1907</v>
      </c>
      <c r="D20" s="1038">
        <v>23.54</v>
      </c>
      <c r="E20" s="1038"/>
      <c r="F20" s="1038"/>
      <c r="G20" s="1038">
        <v>2.0299999999999998</v>
      </c>
      <c r="H20" s="1038"/>
      <c r="I20" s="1038"/>
      <c r="J20" s="4558">
        <v>1.57</v>
      </c>
      <c r="K20" s="4558">
        <v>0.4</v>
      </c>
      <c r="L20" s="1038"/>
      <c r="M20" s="1038"/>
      <c r="N20" s="4558">
        <f t="shared" si="0"/>
        <v>0.4</v>
      </c>
      <c r="O20" s="4611">
        <f t="shared" si="1"/>
        <v>3.1999999999999997</v>
      </c>
      <c r="P20" s="75"/>
      <c r="Q20" s="75"/>
      <c r="R20" s="72"/>
      <c r="S20" s="72"/>
    </row>
    <row r="21" spans="1:22" ht="18.75">
      <c r="A21" s="66"/>
      <c r="B21" s="4607" t="s">
        <v>571</v>
      </c>
      <c r="C21" s="1038" t="s">
        <v>1907</v>
      </c>
      <c r="D21" s="1038">
        <v>30.68</v>
      </c>
      <c r="E21" s="1038"/>
      <c r="F21" s="1038"/>
      <c r="G21" s="3546"/>
      <c r="H21" s="1038"/>
      <c r="I21" s="1038"/>
      <c r="J21" s="4558">
        <v>4.8499999999999996</v>
      </c>
      <c r="K21" s="4558">
        <v>2.04</v>
      </c>
      <c r="L21" s="1038"/>
      <c r="M21" s="1038"/>
      <c r="N21" s="4558">
        <f t="shared" si="0"/>
        <v>2.04</v>
      </c>
      <c r="O21" s="4611">
        <f t="shared" si="1"/>
        <v>2.8099999999999996</v>
      </c>
      <c r="P21" s="75"/>
      <c r="Q21" s="69"/>
      <c r="R21" s="76"/>
      <c r="S21" s="72"/>
    </row>
    <row r="22" spans="1:22">
      <c r="A22" s="66"/>
      <c r="B22" s="4607" t="s">
        <v>2317</v>
      </c>
      <c r="C22" s="1038" t="s">
        <v>2318</v>
      </c>
      <c r="D22" s="4558">
        <v>40</v>
      </c>
      <c r="E22" s="1038"/>
      <c r="F22" s="1038"/>
      <c r="G22" s="4609"/>
      <c r="H22" s="1038"/>
      <c r="I22" s="1038"/>
      <c r="J22" s="1038">
        <v>0</v>
      </c>
      <c r="K22" s="1038">
        <v>0</v>
      </c>
      <c r="L22" s="1038"/>
      <c r="M22" s="1038"/>
      <c r="N22" s="4558">
        <f t="shared" si="0"/>
        <v>0</v>
      </c>
      <c r="O22" s="4611">
        <f t="shared" si="1"/>
        <v>0</v>
      </c>
      <c r="P22" s="75"/>
      <c r="Q22" s="75"/>
      <c r="R22" s="72"/>
      <c r="S22" s="72"/>
    </row>
    <row r="23" spans="1:22">
      <c r="A23" s="66"/>
      <c r="B23" s="4607"/>
      <c r="C23" s="1038"/>
      <c r="D23" s="1038"/>
      <c r="E23" s="1038"/>
      <c r="F23" s="1038"/>
      <c r="G23" s="4611"/>
      <c r="H23" s="1038"/>
      <c r="I23" s="1038"/>
      <c r="J23" s="1038"/>
      <c r="K23" s="1038"/>
      <c r="L23" s="1038"/>
      <c r="M23" s="1038"/>
      <c r="N23" s="1038"/>
      <c r="O23" s="1038"/>
      <c r="P23" s="75"/>
      <c r="Q23" s="77"/>
      <c r="R23" s="77"/>
      <c r="S23" s="77"/>
    </row>
    <row r="24" spans="1:22">
      <c r="A24" s="66"/>
      <c r="B24" s="4607"/>
      <c r="C24" s="4608" t="s">
        <v>597</v>
      </c>
      <c r="D24" s="4607"/>
      <c r="E24" s="3546"/>
      <c r="F24" s="3546"/>
      <c r="G24" s="4609">
        <f>SUM(G25:G30)</f>
        <v>1.1350000000000002</v>
      </c>
      <c r="H24" s="4609"/>
      <c r="I24" s="3547"/>
      <c r="J24" s="4609">
        <f>SUM(J25:J30)</f>
        <v>12.08</v>
      </c>
      <c r="K24" s="4609">
        <f>SUM(K25:K30)</f>
        <v>6.18</v>
      </c>
      <c r="L24" s="3547"/>
      <c r="M24" s="3547"/>
      <c r="N24" s="4609">
        <f>SUM(N25:N30)</f>
        <v>6.18</v>
      </c>
      <c r="O24" s="4609">
        <f>SUM(O25:O30)</f>
        <v>7.0349999999999993</v>
      </c>
      <c r="P24" s="75"/>
      <c r="Q24" s="77"/>
      <c r="R24" s="77"/>
      <c r="S24" s="77"/>
    </row>
    <row r="25" spans="1:22">
      <c r="A25" s="66"/>
      <c r="B25" s="4607" t="s">
        <v>1909</v>
      </c>
      <c r="C25" s="1038" t="s">
        <v>598</v>
      </c>
      <c r="D25" s="1038">
        <v>16.739999999999998</v>
      </c>
      <c r="E25" s="1038"/>
      <c r="F25" s="1038"/>
      <c r="G25" s="4611">
        <v>0</v>
      </c>
      <c r="H25" s="1038"/>
      <c r="I25" s="1038"/>
      <c r="J25" s="4558">
        <v>0</v>
      </c>
      <c r="K25" s="4558">
        <v>0</v>
      </c>
      <c r="L25" s="1038"/>
      <c r="M25" s="1038"/>
      <c r="N25" s="4558">
        <f t="shared" ref="N25:N30" si="2">SUM(K25:M25)</f>
        <v>0</v>
      </c>
      <c r="O25" s="4611">
        <f t="shared" ref="O25:O33" si="3">G25+J25-N25</f>
        <v>0</v>
      </c>
      <c r="P25" s="75"/>
      <c r="Q25" s="77"/>
      <c r="R25" s="77"/>
      <c r="S25" s="77"/>
    </row>
    <row r="26" spans="1:22">
      <c r="A26" s="66"/>
      <c r="B26" s="4607" t="s">
        <v>566</v>
      </c>
      <c r="C26" s="1038" t="s">
        <v>1910</v>
      </c>
      <c r="D26" s="1038">
        <v>14.65</v>
      </c>
      <c r="E26" s="1038"/>
      <c r="F26" s="1038"/>
      <c r="G26" s="4611">
        <v>0</v>
      </c>
      <c r="H26" s="1038"/>
      <c r="I26" s="1038"/>
      <c r="J26" s="4558">
        <v>0</v>
      </c>
      <c r="K26" s="4558">
        <v>0</v>
      </c>
      <c r="L26" s="1038"/>
      <c r="M26" s="1038"/>
      <c r="N26" s="4558">
        <f t="shared" si="2"/>
        <v>0</v>
      </c>
      <c r="O26" s="4611">
        <f t="shared" si="3"/>
        <v>0</v>
      </c>
      <c r="P26" s="75"/>
      <c r="Q26" s="77"/>
      <c r="R26" s="77"/>
      <c r="S26" s="77"/>
    </row>
    <row r="27" spans="1:22">
      <c r="A27" s="66"/>
      <c r="B27" s="4607" t="s">
        <v>569</v>
      </c>
      <c r="C27" s="1038" t="s">
        <v>1910</v>
      </c>
      <c r="D27" s="1038">
        <v>11.76</v>
      </c>
      <c r="E27" s="1038"/>
      <c r="F27" s="1038"/>
      <c r="G27" s="4611">
        <v>3.2000000000000202E-2</v>
      </c>
      <c r="H27" s="1038"/>
      <c r="I27" s="1038"/>
      <c r="J27" s="4558">
        <v>0.13</v>
      </c>
      <c r="K27" s="4558">
        <v>0.16</v>
      </c>
      <c r="L27" s="1038"/>
      <c r="M27" s="1038"/>
      <c r="N27" s="4558">
        <f t="shared" si="2"/>
        <v>0.16</v>
      </c>
      <c r="O27" s="4611">
        <f t="shared" si="3"/>
        <v>2.0000000000001961E-3</v>
      </c>
      <c r="P27" s="75"/>
      <c r="Q27" s="77"/>
      <c r="R27" s="77"/>
      <c r="S27" s="77"/>
    </row>
    <row r="28" spans="1:22">
      <c r="A28" s="66"/>
      <c r="B28" s="4613" t="s">
        <v>572</v>
      </c>
      <c r="C28" s="1040" t="s">
        <v>1910</v>
      </c>
      <c r="D28" s="4614">
        <v>29.27</v>
      </c>
      <c r="E28" s="1040"/>
      <c r="F28" s="1040"/>
      <c r="G28" s="4615">
        <v>1.0229999999999999</v>
      </c>
      <c r="H28" s="1040"/>
      <c r="I28" s="1040"/>
      <c r="J28" s="4563">
        <v>11.12</v>
      </c>
      <c r="K28" s="4563">
        <v>6.02</v>
      </c>
      <c r="L28" s="1040"/>
      <c r="M28" s="1040"/>
      <c r="N28" s="4563">
        <f t="shared" si="2"/>
        <v>6.02</v>
      </c>
      <c r="O28" s="4615">
        <f t="shared" si="3"/>
        <v>6.1229999999999993</v>
      </c>
      <c r="P28" s="75"/>
      <c r="Q28" s="75"/>
      <c r="R28" s="72"/>
      <c r="S28" s="72"/>
    </row>
    <row r="29" spans="1:22">
      <c r="A29" s="66"/>
      <c r="B29" s="4613" t="s">
        <v>573</v>
      </c>
      <c r="C29" s="1040" t="s">
        <v>1910</v>
      </c>
      <c r="D29" s="4616">
        <v>42.6</v>
      </c>
      <c r="E29" s="1040"/>
      <c r="F29" s="1040"/>
      <c r="G29" s="4615">
        <v>0.08</v>
      </c>
      <c r="H29" s="1040"/>
      <c r="I29" s="1040"/>
      <c r="J29" s="4563">
        <v>0.83</v>
      </c>
      <c r="K29" s="4563">
        <v>0</v>
      </c>
      <c r="L29" s="1040"/>
      <c r="M29" s="1040"/>
      <c r="N29" s="4563">
        <f t="shared" si="2"/>
        <v>0</v>
      </c>
      <c r="O29" s="4615">
        <f t="shared" si="3"/>
        <v>0.90999999999999992</v>
      </c>
      <c r="P29" s="75"/>
      <c r="Q29" s="75"/>
      <c r="R29" s="72"/>
      <c r="S29" s="72"/>
    </row>
    <row r="30" spans="1:22">
      <c r="A30" s="66"/>
      <c r="B30" s="4613" t="s">
        <v>574</v>
      </c>
      <c r="C30" s="1040" t="s">
        <v>1910</v>
      </c>
      <c r="D30" s="4614">
        <v>33.950000000000003</v>
      </c>
      <c r="E30" s="1040"/>
      <c r="F30" s="1040"/>
      <c r="G30" s="4615"/>
      <c r="H30" s="1040"/>
      <c r="I30" s="1040"/>
      <c r="J30" s="1040"/>
      <c r="K30" s="4563">
        <v>0</v>
      </c>
      <c r="L30" s="1040"/>
      <c r="M30" s="1040"/>
      <c r="N30" s="4563">
        <f t="shared" si="2"/>
        <v>0</v>
      </c>
      <c r="O30" s="4615">
        <f t="shared" si="3"/>
        <v>0</v>
      </c>
      <c r="P30" s="79"/>
      <c r="Q30" s="79"/>
      <c r="R30" s="80"/>
      <c r="S30" s="80"/>
      <c r="T30" s="81"/>
      <c r="U30" s="81"/>
      <c r="V30" s="78"/>
    </row>
    <row r="31" spans="1:22">
      <c r="A31" s="66"/>
      <c r="B31" s="4613"/>
      <c r="C31" s="1040"/>
      <c r="D31" s="4614"/>
      <c r="E31" s="1040"/>
      <c r="F31" s="1040"/>
      <c r="G31" s="4615"/>
      <c r="H31" s="1040"/>
      <c r="I31" s="1040"/>
      <c r="J31" s="1040"/>
      <c r="K31" s="1040"/>
      <c r="L31" s="1040"/>
      <c r="M31" s="1040"/>
      <c r="N31" s="1040"/>
      <c r="O31" s="4615"/>
      <c r="P31" s="75"/>
      <c r="Q31" s="75"/>
      <c r="V31" s="78"/>
    </row>
    <row r="32" spans="1:22" ht="31.5">
      <c r="A32" s="66"/>
      <c r="B32" s="4613"/>
      <c r="C32" s="1041" t="s">
        <v>599</v>
      </c>
      <c r="D32" s="4613"/>
      <c r="E32" s="3553"/>
      <c r="F32" s="3553"/>
      <c r="G32" s="4620">
        <f>SUM(G33:G34)</f>
        <v>0.01</v>
      </c>
      <c r="H32" s="3554"/>
      <c r="I32" s="3554"/>
      <c r="J32" s="4620">
        <f>SUM(J33:J34)</f>
        <v>25.24</v>
      </c>
      <c r="K32" s="4620">
        <f>SUM(K33:K34)</f>
        <v>25.25</v>
      </c>
      <c r="L32" s="3554"/>
      <c r="M32" s="3554"/>
      <c r="N32" s="4620">
        <f>SUM(N33:N34)</f>
        <v>25.25</v>
      </c>
      <c r="O32" s="4620">
        <f t="shared" si="3"/>
        <v>0</v>
      </c>
      <c r="P32" s="75"/>
      <c r="Q32" s="82"/>
      <c r="R32" s="82"/>
      <c r="S32" s="82"/>
      <c r="T32" s="82"/>
      <c r="U32" s="82"/>
      <c r="V32" s="78"/>
    </row>
    <row r="33" spans="1:24">
      <c r="A33" s="66"/>
      <c r="B33" s="4613" t="s">
        <v>559</v>
      </c>
      <c r="C33" s="1040" t="s">
        <v>1911</v>
      </c>
      <c r="D33" s="1040">
        <v>63.89</v>
      </c>
      <c r="E33" s="1040"/>
      <c r="F33" s="1040"/>
      <c r="G33" s="3558">
        <v>0.01</v>
      </c>
      <c r="H33" s="1040"/>
      <c r="I33" s="1040"/>
      <c r="J33" s="1040">
        <v>25.24</v>
      </c>
      <c r="K33" s="1040">
        <v>25.25</v>
      </c>
      <c r="L33" s="1040"/>
      <c r="M33" s="1040"/>
      <c r="N33" s="1038">
        <f>SUM(K33:M33)</f>
        <v>25.25</v>
      </c>
      <c r="O33" s="4611">
        <f t="shared" si="3"/>
        <v>0</v>
      </c>
      <c r="P33" s="75"/>
      <c r="Q33" s="75"/>
    </row>
    <row r="34" spans="1:24">
      <c r="A34" s="66"/>
      <c r="B34" s="4613" t="s">
        <v>2319</v>
      </c>
      <c r="C34" s="1040" t="s">
        <v>2320</v>
      </c>
      <c r="D34" s="1040">
        <v>48.92</v>
      </c>
      <c r="E34" s="1040"/>
      <c r="F34" s="1040"/>
      <c r="G34" s="3558"/>
      <c r="H34" s="1040"/>
      <c r="I34" s="1040"/>
      <c r="J34" s="1040">
        <v>0</v>
      </c>
      <c r="K34" s="1040">
        <v>0</v>
      </c>
      <c r="L34" s="1040"/>
      <c r="M34" s="1040"/>
      <c r="N34" s="1040"/>
      <c r="O34" s="1040"/>
      <c r="P34" s="75"/>
      <c r="Q34" s="75"/>
      <c r="R34" s="72"/>
      <c r="S34" s="72"/>
    </row>
    <row r="35" spans="1:24">
      <c r="A35" s="66"/>
      <c r="B35" s="4613"/>
      <c r="C35" s="1040"/>
      <c r="D35" s="1040"/>
      <c r="E35" s="1040"/>
      <c r="F35" s="1040"/>
      <c r="G35" s="3558"/>
      <c r="H35" s="1040"/>
      <c r="I35" s="1040"/>
      <c r="J35" s="1040"/>
      <c r="K35" s="1040"/>
      <c r="L35" s="1040"/>
      <c r="M35" s="1040"/>
      <c r="N35" s="1040"/>
      <c r="O35" s="1040"/>
      <c r="P35" s="75"/>
      <c r="Q35" s="75"/>
      <c r="R35" s="72"/>
      <c r="S35" s="72"/>
    </row>
    <row r="36" spans="1:24">
      <c r="A36" s="66"/>
      <c r="B36" s="4613"/>
      <c r="C36" s="1041" t="s">
        <v>600</v>
      </c>
      <c r="D36" s="4613"/>
      <c r="E36" s="3553"/>
      <c r="F36" s="3553"/>
      <c r="G36" s="4620">
        <f>SUM(G37:G37)</f>
        <v>0</v>
      </c>
      <c r="H36" s="3555"/>
      <c r="I36" s="3555"/>
      <c r="J36" s="4620">
        <f>SUM(J37:J37)</f>
        <v>35.770000000000003</v>
      </c>
      <c r="K36" s="4620">
        <f>SUM(K37:K37)</f>
        <v>35.770000000000003</v>
      </c>
      <c r="L36" s="3556"/>
      <c r="M36" s="3556"/>
      <c r="N36" s="4620">
        <f>SUM(N37:N37)</f>
        <v>35.770000000000003</v>
      </c>
      <c r="O36" s="4621">
        <f>G36+J36-N36</f>
        <v>0</v>
      </c>
      <c r="P36" s="75"/>
      <c r="Q36" s="75"/>
      <c r="R36" s="72"/>
      <c r="S36" s="72"/>
    </row>
    <row r="37" spans="1:24">
      <c r="A37" s="66"/>
      <c r="B37" s="4613" t="s">
        <v>562</v>
      </c>
      <c r="C37" s="1040" t="s">
        <v>600</v>
      </c>
      <c r="D37" s="4563">
        <v>60</v>
      </c>
      <c r="E37" s="1040"/>
      <c r="F37" s="1040"/>
      <c r="G37" s="3558">
        <v>0</v>
      </c>
      <c r="H37" s="1040"/>
      <c r="I37" s="1040"/>
      <c r="J37" s="1040">
        <v>35.770000000000003</v>
      </c>
      <c r="K37" s="1040">
        <v>35.770000000000003</v>
      </c>
      <c r="L37" s="1040"/>
      <c r="M37" s="1040"/>
      <c r="N37" s="1038">
        <f>SUM(K37:M37)</f>
        <v>35.770000000000003</v>
      </c>
      <c r="O37" s="4611">
        <f t="shared" ref="O37" si="4">G37+J37-N37</f>
        <v>0</v>
      </c>
      <c r="P37" s="75"/>
      <c r="Q37" s="75"/>
      <c r="R37" s="72"/>
      <c r="S37" s="72"/>
    </row>
    <row r="38" spans="1:24" ht="18.75">
      <c r="B38" s="4613"/>
      <c r="C38" s="1040"/>
      <c r="D38" s="4563"/>
      <c r="E38" s="1040"/>
      <c r="F38" s="1040"/>
      <c r="G38" s="3558"/>
      <c r="H38" s="1040"/>
      <c r="I38" s="1040"/>
      <c r="J38" s="1040"/>
      <c r="K38" s="1040"/>
      <c r="L38" s="1040"/>
      <c r="M38" s="1040"/>
      <c r="N38" s="1038"/>
      <c r="O38" s="4611"/>
      <c r="P38" s="69"/>
      <c r="Q38" s="69"/>
      <c r="R38" s="72"/>
      <c r="S38" s="72"/>
      <c r="X38" s="85"/>
    </row>
    <row r="39" spans="1:24">
      <c r="A39" s="66"/>
      <c r="B39" s="4613"/>
      <c r="C39" s="1041" t="s">
        <v>576</v>
      </c>
      <c r="D39" s="1040"/>
      <c r="E39" s="1040"/>
      <c r="F39" s="1040"/>
      <c r="G39" s="4620">
        <f>SUM(G40:G40)</f>
        <v>0</v>
      </c>
      <c r="H39" s="1040"/>
      <c r="I39" s="1040"/>
      <c r="J39" s="4620">
        <f>SUM(J40:J40)</f>
        <v>17.399999999999999</v>
      </c>
      <c r="K39" s="4620">
        <f>SUM(K40:K40)</f>
        <v>17.399999999999999</v>
      </c>
      <c r="L39" s="1041"/>
      <c r="M39" s="1041"/>
      <c r="N39" s="4620">
        <f>SUM(N40:N40)</f>
        <v>17.399999999999999</v>
      </c>
      <c r="O39" s="4621">
        <f>G39+J39-N39</f>
        <v>0</v>
      </c>
      <c r="P39" s="75"/>
      <c r="Q39" s="75"/>
      <c r="R39" s="72"/>
      <c r="S39" s="72"/>
    </row>
    <row r="40" spans="1:24">
      <c r="A40" s="83"/>
      <c r="B40" s="4613" t="s">
        <v>2321</v>
      </c>
      <c r="C40" s="1040" t="s">
        <v>576</v>
      </c>
      <c r="D40" s="1040">
        <v>17.29</v>
      </c>
      <c r="E40" s="1040"/>
      <c r="F40" s="1040"/>
      <c r="G40" s="4621"/>
      <c r="H40" s="1040"/>
      <c r="I40" s="1040"/>
      <c r="J40" s="4563">
        <v>17.399999999999999</v>
      </c>
      <c r="K40" s="4563">
        <v>17.399999999999999</v>
      </c>
      <c r="L40" s="1040"/>
      <c r="M40" s="1040"/>
      <c r="N40" s="1038">
        <f>SUM(K40:M40)</f>
        <v>17.399999999999999</v>
      </c>
      <c r="O40" s="4611">
        <f t="shared" ref="O40" si="5">G40+J40-N40</f>
        <v>0</v>
      </c>
      <c r="P40" s="75"/>
      <c r="Q40" s="75"/>
      <c r="R40" s="72"/>
      <c r="S40" s="72"/>
    </row>
    <row r="41" spans="1:24">
      <c r="B41" s="4613"/>
      <c r="C41" s="1040"/>
      <c r="D41" s="1040"/>
      <c r="E41" s="1040"/>
      <c r="F41" s="1040"/>
      <c r="G41" s="4621"/>
      <c r="H41" s="1040"/>
      <c r="I41" s="1040"/>
      <c r="J41" s="1040"/>
      <c r="K41" s="1040"/>
      <c r="L41" s="1040"/>
      <c r="M41" s="1040"/>
      <c r="N41" s="1040"/>
      <c r="O41" s="3558"/>
      <c r="P41" s="75"/>
      <c r="Q41" s="75"/>
      <c r="R41" s="72"/>
      <c r="S41" s="72"/>
      <c r="X41" s="84"/>
    </row>
    <row r="42" spans="1:24" ht="18.75">
      <c r="B42" s="4613"/>
      <c r="C42" s="1041" t="s">
        <v>601</v>
      </c>
      <c r="D42" s="4613"/>
      <c r="E42" s="3553"/>
      <c r="F42" s="3553"/>
      <c r="G42" s="4620">
        <f>SUM(G43:G45)</f>
        <v>8.07</v>
      </c>
      <c r="H42" s="3553"/>
      <c r="I42" s="3553"/>
      <c r="J42" s="4620">
        <f t="shared" ref="J42:K42" si="6">SUM(J43:J45)</f>
        <v>15.84</v>
      </c>
      <c r="K42" s="4620">
        <f t="shared" si="6"/>
        <v>23.91</v>
      </c>
      <c r="L42" s="3556"/>
      <c r="M42" s="3556"/>
      <c r="N42" s="4620">
        <f t="shared" ref="N42:O42" si="7">SUM(N43:N45)</f>
        <v>23.91</v>
      </c>
      <c r="O42" s="4620">
        <f t="shared" si="7"/>
        <v>0</v>
      </c>
      <c r="P42" s="69"/>
      <c r="Q42" s="69"/>
      <c r="R42" s="72"/>
      <c r="S42" s="72"/>
    </row>
    <row r="43" spans="1:24" ht="18.75">
      <c r="B43" s="4613" t="s">
        <v>578</v>
      </c>
      <c r="C43" s="1040" t="s">
        <v>601</v>
      </c>
      <c r="D43" s="1040">
        <v>25.65</v>
      </c>
      <c r="E43" s="1040"/>
      <c r="F43" s="1040"/>
      <c r="G43" s="1040">
        <v>4.54</v>
      </c>
      <c r="H43" s="1040"/>
      <c r="I43" s="1040"/>
      <c r="J43" s="1040">
        <v>5.38</v>
      </c>
      <c r="K43" s="1040">
        <v>9.92</v>
      </c>
      <c r="L43" s="1040"/>
      <c r="M43" s="1040"/>
      <c r="N43" s="1040">
        <v>9.92</v>
      </c>
      <c r="O43" s="4611">
        <f t="shared" ref="O43:O45" si="8">G43+J43-N43</f>
        <v>0</v>
      </c>
      <c r="P43" s="69"/>
      <c r="Q43" s="69"/>
      <c r="R43" s="72"/>
      <c r="S43" s="72"/>
    </row>
    <row r="44" spans="1:24" ht="18.75">
      <c r="B44" s="4613" t="s">
        <v>577</v>
      </c>
      <c r="C44" s="1040" t="s">
        <v>149</v>
      </c>
      <c r="D44" s="1040">
        <v>51.66</v>
      </c>
      <c r="E44" s="1040"/>
      <c r="F44" s="1040"/>
      <c r="G44" s="1040"/>
      <c r="H44" s="1040"/>
      <c r="I44" s="1040"/>
      <c r="J44" s="1040">
        <v>6.47</v>
      </c>
      <c r="K44" s="1040">
        <v>6.47</v>
      </c>
      <c r="L44" s="1040"/>
      <c r="M44" s="1040"/>
      <c r="N44" s="1040">
        <v>6.47</v>
      </c>
      <c r="O44" s="4611">
        <f t="shared" si="8"/>
        <v>0</v>
      </c>
      <c r="P44" s="69"/>
      <c r="Q44" s="69"/>
    </row>
    <row r="45" spans="1:24" ht="18.75">
      <c r="B45" s="4613" t="s">
        <v>580</v>
      </c>
      <c r="C45" s="1040" t="s">
        <v>579</v>
      </c>
      <c r="D45" s="1040">
        <v>36.11</v>
      </c>
      <c r="E45" s="1040"/>
      <c r="F45" s="1040"/>
      <c r="G45" s="3558">
        <v>3.53</v>
      </c>
      <c r="H45" s="1040"/>
      <c r="I45" s="1040"/>
      <c r="J45" s="1040">
        <v>3.99</v>
      </c>
      <c r="K45" s="1040">
        <v>7.52</v>
      </c>
      <c r="L45" s="1040"/>
      <c r="M45" s="1040"/>
      <c r="N45" s="1040">
        <v>7.52</v>
      </c>
      <c r="O45" s="4611">
        <f t="shared" si="8"/>
        <v>0</v>
      </c>
      <c r="P45" s="69"/>
      <c r="Q45" s="69"/>
    </row>
    <row r="46" spans="1:24" s="83" customFormat="1">
      <c r="B46" s="4613"/>
      <c r="C46" s="1040"/>
      <c r="D46" s="4614"/>
      <c r="E46" s="1040"/>
      <c r="F46" s="1040"/>
      <c r="G46" s="4615"/>
      <c r="H46" s="1040"/>
      <c r="I46" s="1040"/>
      <c r="J46" s="1040"/>
      <c r="K46" s="1040"/>
      <c r="L46" s="1040"/>
      <c r="M46" s="1040"/>
      <c r="N46" s="1040"/>
      <c r="O46" s="4615"/>
      <c r="P46" s="66"/>
      <c r="Q46" s="67"/>
    </row>
    <row r="47" spans="1:24">
      <c r="B47" s="4613"/>
      <c r="C47" s="4623" t="s">
        <v>2315</v>
      </c>
      <c r="D47" s="4624"/>
      <c r="E47" s="3553"/>
      <c r="F47" s="3553"/>
      <c r="G47" s="3557">
        <f>SUM(G48:G52)</f>
        <v>6.4499999999999993</v>
      </c>
      <c r="H47" s="3553"/>
      <c r="I47" s="3553"/>
      <c r="J47" s="3557">
        <f t="shared" ref="J47:K47" si="9">SUM(J48:J52)</f>
        <v>12.840000000000002</v>
      </c>
      <c r="K47" s="3557">
        <f t="shared" si="9"/>
        <v>12.360000000000001</v>
      </c>
      <c r="L47" s="3558"/>
      <c r="M47" s="3558"/>
      <c r="N47" s="3557">
        <f t="shared" ref="N47:O47" si="10">SUM(N48:N52)</f>
        <v>12.360000000000001</v>
      </c>
      <c r="O47" s="3557">
        <f t="shared" si="10"/>
        <v>6.9300000000000006</v>
      </c>
    </row>
    <row r="48" spans="1:24" s="72" customFormat="1">
      <c r="B48" s="4613"/>
      <c r="C48" s="4625" t="s">
        <v>1913</v>
      </c>
      <c r="D48" s="1040"/>
      <c r="E48" s="1040"/>
      <c r="F48" s="1040"/>
      <c r="G48" s="4563">
        <v>6.39</v>
      </c>
      <c r="H48" s="1040"/>
      <c r="I48" s="1040"/>
      <c r="J48" s="1040">
        <v>6.73</v>
      </c>
      <c r="K48" s="1040">
        <v>9.07</v>
      </c>
      <c r="L48" s="1040"/>
      <c r="M48" s="1040"/>
      <c r="N48" s="1040">
        <f>SUM(K48:M48)</f>
        <v>9.07</v>
      </c>
      <c r="O48" s="4563">
        <f>G48+J48-N48</f>
        <v>4.0500000000000007</v>
      </c>
    </row>
    <row r="49" spans="2:15" s="72" customFormat="1">
      <c r="B49" s="4613"/>
      <c r="C49" s="4625" t="s">
        <v>1912</v>
      </c>
      <c r="D49" s="4625">
        <v>10.32</v>
      </c>
      <c r="E49" s="3553"/>
      <c r="F49" s="3553"/>
      <c r="G49" s="3558"/>
      <c r="H49" s="3553"/>
      <c r="I49" s="3553"/>
      <c r="J49" s="1040"/>
      <c r="K49" s="3558"/>
      <c r="L49" s="3558"/>
      <c r="M49" s="3558"/>
      <c r="N49" s="3558">
        <f>SUM(K49:M49)</f>
        <v>0</v>
      </c>
      <c r="O49" s="3558"/>
    </row>
    <row r="50" spans="2:15" s="72" customFormat="1">
      <c r="B50" s="4613"/>
      <c r="C50" s="4626" t="s">
        <v>1914</v>
      </c>
      <c r="D50" s="1040"/>
      <c r="E50" s="1040"/>
      <c r="F50" s="1040"/>
      <c r="G50" s="1040">
        <v>6.0000000000000053E-2</v>
      </c>
      <c r="H50" s="1040"/>
      <c r="I50" s="1040"/>
      <c r="J50" s="1040">
        <v>3.81</v>
      </c>
      <c r="K50" s="1040">
        <v>0.99</v>
      </c>
      <c r="L50" s="1040"/>
      <c r="M50" s="1040"/>
      <c r="N50" s="1040">
        <f>K50</f>
        <v>0.99</v>
      </c>
      <c r="O50" s="1040">
        <f>G50+J50-N50</f>
        <v>2.88</v>
      </c>
    </row>
    <row r="51" spans="2:15" s="74" customFormat="1">
      <c r="B51" s="4613"/>
      <c r="C51" s="4625" t="s">
        <v>1915</v>
      </c>
      <c r="D51" s="1040"/>
      <c r="E51" s="1040"/>
      <c r="F51" s="1040"/>
      <c r="G51" s="1040">
        <v>0</v>
      </c>
      <c r="H51" s="1040"/>
      <c r="I51" s="1040"/>
      <c r="J51" s="1040">
        <v>2.09</v>
      </c>
      <c r="K51" s="1040">
        <v>2.09</v>
      </c>
      <c r="L51" s="1040"/>
      <c r="M51" s="1040"/>
      <c r="N51" s="1040">
        <f>SUM(K51:M51)</f>
        <v>2.09</v>
      </c>
      <c r="O51" s="1040">
        <f>G51+J51-N51</f>
        <v>0</v>
      </c>
    </row>
    <row r="52" spans="2:15" s="74" customFormat="1">
      <c r="B52" s="4613"/>
      <c r="C52" s="4625" t="s">
        <v>1916</v>
      </c>
      <c r="D52" s="4613"/>
      <c r="E52" s="3553"/>
      <c r="F52" s="3553"/>
      <c r="G52" s="3558"/>
      <c r="H52" s="3553"/>
      <c r="I52" s="3553"/>
      <c r="J52" s="3558">
        <v>0.21</v>
      </c>
      <c r="K52" s="3558">
        <v>0.21</v>
      </c>
      <c r="L52" s="3558"/>
      <c r="M52" s="3558"/>
      <c r="N52" s="1040">
        <f>SUM(K52:M52)</f>
        <v>0.21</v>
      </c>
      <c r="O52" s="1040">
        <f>G52+J52-N52</f>
        <v>0</v>
      </c>
    </row>
    <row r="53" spans="2:15" s="74" customFormat="1" ht="18.75">
      <c r="B53" s="4627" t="s">
        <v>47</v>
      </c>
      <c r="C53" s="4627"/>
      <c r="D53" s="4627"/>
      <c r="E53" s="4627"/>
      <c r="F53" s="4628"/>
      <c r="G53" s="4629">
        <f t="shared" ref="G53:O53" si="11">G15+G24+G32+G36+G39+G42+G47</f>
        <v>28.704999999999995</v>
      </c>
      <c r="H53" s="4629">
        <f t="shared" si="11"/>
        <v>0</v>
      </c>
      <c r="I53" s="4629">
        <f t="shared" si="11"/>
        <v>0</v>
      </c>
      <c r="J53" s="4629">
        <f t="shared" si="11"/>
        <v>137.25</v>
      </c>
      <c r="K53" s="3557">
        <f>K15+K24+K32+K36+K39+K42+K47</f>
        <v>126.25000000000001</v>
      </c>
      <c r="L53" s="4629">
        <f t="shared" si="11"/>
        <v>0</v>
      </c>
      <c r="M53" s="4629">
        <f t="shared" si="11"/>
        <v>0</v>
      </c>
      <c r="N53" s="4629">
        <f t="shared" si="11"/>
        <v>126.25000000000001</v>
      </c>
      <c r="O53" s="4629">
        <f t="shared" si="11"/>
        <v>39.704999999999991</v>
      </c>
    </row>
    <row r="54" spans="2:15" s="74" customFormat="1" ht="18.75">
      <c r="B54" s="3548"/>
      <c r="C54" s="3559"/>
      <c r="D54" s="3548"/>
      <c r="E54" s="3548"/>
      <c r="F54" s="3549"/>
      <c r="G54" s="3551"/>
      <c r="H54" s="3551"/>
      <c r="I54" s="3551"/>
      <c r="J54" s="3551"/>
      <c r="K54" s="3551"/>
      <c r="L54" s="3551"/>
      <c r="M54" s="3551"/>
      <c r="N54" s="3551"/>
      <c r="O54" s="3551"/>
    </row>
    <row r="55" spans="2:15" s="74" customFormat="1" ht="18.75">
      <c r="B55" s="3548"/>
      <c r="C55" s="3559"/>
      <c r="D55" s="3548"/>
      <c r="E55" s="3548"/>
      <c r="F55" s="3549"/>
      <c r="G55" s="3551"/>
      <c r="H55" s="3551"/>
      <c r="I55" s="3551"/>
      <c r="J55" s="3551"/>
      <c r="K55" s="3551"/>
      <c r="L55" s="3551"/>
      <c r="M55" s="3551"/>
      <c r="N55" s="3551"/>
      <c r="O55" s="3551"/>
    </row>
    <row r="56" spans="2:15" s="74" customFormat="1">
      <c r="B56" s="3541" t="s">
        <v>2888</v>
      </c>
      <c r="C56" s="3541"/>
      <c r="D56" s="3541"/>
      <c r="E56" s="3541"/>
      <c r="F56" s="3542"/>
      <c r="G56" s="3543"/>
      <c r="H56" s="3543"/>
      <c r="I56" s="3543"/>
      <c r="J56" s="3543"/>
      <c r="K56" s="3543"/>
      <c r="L56" s="3543"/>
      <c r="M56" s="3544"/>
      <c r="N56" s="3543"/>
      <c r="O56" s="3543"/>
    </row>
    <row r="57" spans="2:15" s="74" customFormat="1">
      <c r="B57" s="3544" t="s">
        <v>96</v>
      </c>
      <c r="C57" s="3544"/>
      <c r="D57" s="3544"/>
      <c r="E57" s="3544"/>
      <c r="F57" s="3542"/>
      <c r="G57" s="3543"/>
      <c r="H57" s="3543"/>
      <c r="I57" s="3543"/>
      <c r="J57" s="3543"/>
      <c r="K57" s="3543"/>
      <c r="L57" s="3543"/>
      <c r="M57" s="3544"/>
      <c r="N57" s="3543"/>
      <c r="O57" s="3545" t="s">
        <v>581</v>
      </c>
    </row>
    <row r="58" spans="2:15" s="74" customFormat="1">
      <c r="B58" s="5673" t="s">
        <v>582</v>
      </c>
      <c r="C58" s="5673" t="s">
        <v>587</v>
      </c>
      <c r="D58" s="5673" t="s">
        <v>588</v>
      </c>
      <c r="E58" s="5673" t="s">
        <v>589</v>
      </c>
      <c r="F58" s="5673" t="s">
        <v>590</v>
      </c>
      <c r="G58" s="5673" t="s">
        <v>591</v>
      </c>
      <c r="H58" s="5673" t="s">
        <v>592</v>
      </c>
      <c r="I58" s="5673"/>
      <c r="J58" s="5673"/>
      <c r="K58" s="4643" t="s">
        <v>241</v>
      </c>
      <c r="L58" s="4643"/>
      <c r="M58" s="4643"/>
      <c r="N58" s="4643"/>
      <c r="O58" s="5673" t="s">
        <v>593</v>
      </c>
    </row>
    <row r="59" spans="2:15" s="74" customFormat="1">
      <c r="B59" s="5673"/>
      <c r="C59" s="5673"/>
      <c r="D59" s="5673"/>
      <c r="E59" s="5673"/>
      <c r="F59" s="5673"/>
      <c r="G59" s="5673"/>
      <c r="H59" s="4642" t="s">
        <v>1900</v>
      </c>
      <c r="I59" s="4642" t="s">
        <v>1901</v>
      </c>
      <c r="J59" s="4642" t="s">
        <v>1902</v>
      </c>
      <c r="K59" s="5673" t="s">
        <v>1903</v>
      </c>
      <c r="L59" s="5673" t="s">
        <v>1904</v>
      </c>
      <c r="M59" s="5673" t="s">
        <v>594</v>
      </c>
      <c r="N59" s="5673" t="s">
        <v>595</v>
      </c>
      <c r="O59" s="5673"/>
    </row>
    <row r="60" spans="2:15" s="74" customFormat="1">
      <c r="B60" s="5673"/>
      <c r="C60" s="5673"/>
      <c r="D60" s="5673"/>
      <c r="E60" s="5673"/>
      <c r="F60" s="5673"/>
      <c r="G60" s="5673"/>
      <c r="H60" s="4642" t="s">
        <v>1905</v>
      </c>
      <c r="I60" s="4642" t="s">
        <v>1906</v>
      </c>
      <c r="J60" s="4642" t="s">
        <v>1906</v>
      </c>
      <c r="K60" s="5673"/>
      <c r="L60" s="5673"/>
      <c r="M60" s="5673"/>
      <c r="N60" s="5673"/>
      <c r="O60" s="5673"/>
    </row>
    <row r="61" spans="2:15" s="74" customFormat="1">
      <c r="B61" s="3546"/>
      <c r="C61" s="3546"/>
      <c r="D61" s="3546"/>
      <c r="E61" s="3546"/>
      <c r="F61" s="3546"/>
      <c r="G61" s="3546"/>
      <c r="H61" s="3546"/>
      <c r="I61" s="3546"/>
      <c r="J61" s="3546"/>
      <c r="K61" s="3546"/>
      <c r="L61" s="3546"/>
      <c r="M61" s="3546"/>
      <c r="N61" s="3546"/>
      <c r="O61" s="3546"/>
    </row>
    <row r="62" spans="2:15" s="74" customFormat="1">
      <c r="B62" s="4607"/>
      <c r="C62" s="1037" t="s">
        <v>2316</v>
      </c>
      <c r="D62" s="4607"/>
      <c r="E62" s="3546"/>
      <c r="F62" s="3546"/>
      <c r="G62" s="3546"/>
      <c r="H62" s="3546"/>
      <c r="I62" s="3546"/>
      <c r="J62" s="3546"/>
      <c r="K62" s="3546"/>
      <c r="L62" s="3546"/>
      <c r="M62" s="3546"/>
      <c r="N62" s="3546"/>
      <c r="O62" s="3546"/>
    </row>
    <row r="63" spans="2:15" s="74" customFormat="1">
      <c r="B63" s="4607"/>
      <c r="C63" s="4607"/>
      <c r="D63" s="4607"/>
      <c r="E63" s="3546"/>
      <c r="F63" s="3546"/>
      <c r="G63" s="3546"/>
      <c r="H63" s="3546"/>
      <c r="I63" s="3546"/>
      <c r="J63" s="3546"/>
      <c r="K63" s="3546"/>
      <c r="L63" s="3546"/>
      <c r="M63" s="3546"/>
      <c r="N63" s="3546"/>
      <c r="O63" s="3546"/>
    </row>
    <row r="64" spans="2:15" s="74" customFormat="1">
      <c r="B64" s="4607"/>
      <c r="C64" s="4608" t="s">
        <v>596</v>
      </c>
      <c r="D64" s="4607"/>
      <c r="E64" s="3546"/>
      <c r="F64" s="3546"/>
      <c r="G64" s="4609">
        <f>SUM(G65:G72)</f>
        <v>25.73</v>
      </c>
      <c r="H64" s="3547"/>
      <c r="I64" s="3547"/>
      <c r="J64" s="4609">
        <f>SUM(J65:J72)</f>
        <v>19.648</v>
      </c>
      <c r="K64" s="4609">
        <f>SUM(K65:K72)</f>
        <v>21.691000000000003</v>
      </c>
      <c r="L64" s="3547"/>
      <c r="M64" s="3547"/>
      <c r="N64" s="4609">
        <f>SUM(N65:N72)</f>
        <v>21.691000000000003</v>
      </c>
      <c r="O64" s="4609">
        <f>SUM(O65:O72)</f>
        <v>23.686999999999998</v>
      </c>
    </row>
    <row r="65" spans="2:15" s="74" customFormat="1">
      <c r="B65" s="4607" t="s">
        <v>564</v>
      </c>
      <c r="C65" s="1038" t="s">
        <v>1907</v>
      </c>
      <c r="D65" s="4558">
        <v>38</v>
      </c>
      <c r="E65" s="1038"/>
      <c r="F65" s="1038"/>
      <c r="G65" s="1038">
        <v>4.669999999999999</v>
      </c>
      <c r="H65" s="1038"/>
      <c r="I65" s="1038"/>
      <c r="J65" s="4558">
        <v>0.28999999999999998</v>
      </c>
      <c r="K65" s="4558">
        <v>0.27100000000000002</v>
      </c>
      <c r="L65" s="1038"/>
      <c r="M65" s="1038"/>
      <c r="N65" s="4558">
        <f t="shared" ref="N65:N72" si="12">SUM(K65:M65)</f>
        <v>0.27100000000000002</v>
      </c>
      <c r="O65" s="4611">
        <f t="shared" ref="O65:O72" si="13">G65+J65-N65</f>
        <v>4.6889999999999992</v>
      </c>
    </row>
    <row r="66" spans="2:15" s="74" customFormat="1">
      <c r="B66" s="4607" t="s">
        <v>565</v>
      </c>
      <c r="C66" s="1038" t="s">
        <v>1908</v>
      </c>
      <c r="D66" s="1038">
        <v>14.98</v>
      </c>
      <c r="E66" s="1038"/>
      <c r="F66" s="1038"/>
      <c r="G66" s="1038">
        <v>0</v>
      </c>
      <c r="H66" s="1038"/>
      <c r="I66" s="1038"/>
      <c r="J66" s="4558">
        <v>0.50900000000000001</v>
      </c>
      <c r="K66" s="4558"/>
      <c r="L66" s="1038"/>
      <c r="M66" s="1038"/>
      <c r="N66" s="4558">
        <f t="shared" si="12"/>
        <v>0</v>
      </c>
      <c r="O66" s="4611">
        <f t="shared" si="13"/>
        <v>0.50900000000000001</v>
      </c>
    </row>
    <row r="67" spans="2:15" s="74" customFormat="1">
      <c r="B67" s="4607" t="s">
        <v>567</v>
      </c>
      <c r="C67" s="1038" t="s">
        <v>1907</v>
      </c>
      <c r="D67" s="1038">
        <v>84.77000000000001</v>
      </c>
      <c r="E67" s="1038"/>
      <c r="F67" s="1038"/>
      <c r="G67" s="1038">
        <v>10.78</v>
      </c>
      <c r="H67" s="1038"/>
      <c r="I67" s="1038"/>
      <c r="J67" s="4558">
        <v>10.28</v>
      </c>
      <c r="K67" s="4558">
        <v>15.07</v>
      </c>
      <c r="L67" s="1038"/>
      <c r="M67" s="1038"/>
      <c r="N67" s="4558">
        <f t="shared" si="12"/>
        <v>15.07</v>
      </c>
      <c r="O67" s="4611">
        <f t="shared" si="13"/>
        <v>5.9899999999999984</v>
      </c>
    </row>
    <row r="68" spans="2:15" s="74" customFormat="1">
      <c r="B68" s="4607" t="s">
        <v>568</v>
      </c>
      <c r="C68" s="1038" t="s">
        <v>1907</v>
      </c>
      <c r="D68" s="1038">
        <v>30.070000000000004</v>
      </c>
      <c r="E68" s="1038"/>
      <c r="F68" s="1038"/>
      <c r="G68" s="1038">
        <v>4.28</v>
      </c>
      <c r="H68" s="1038"/>
      <c r="I68" s="1038"/>
      <c r="J68" s="4558">
        <v>0.09</v>
      </c>
      <c r="K68" s="4558">
        <v>8.8999999999999996E-2</v>
      </c>
      <c r="L68" s="1038"/>
      <c r="M68" s="1038"/>
      <c r="N68" s="4558">
        <f t="shared" si="12"/>
        <v>8.8999999999999996E-2</v>
      </c>
      <c r="O68" s="4611">
        <f t="shared" si="13"/>
        <v>4.2809999999999997</v>
      </c>
    </row>
    <row r="69" spans="2:15" s="74" customFormat="1">
      <c r="B69" s="4607" t="s">
        <v>570</v>
      </c>
      <c r="C69" s="1038" t="s">
        <v>1907</v>
      </c>
      <c r="D69" s="1038">
        <v>23.54</v>
      </c>
      <c r="E69" s="1038"/>
      <c r="F69" s="1038"/>
      <c r="G69" s="1038">
        <v>3.19</v>
      </c>
      <c r="H69" s="1038"/>
      <c r="I69" s="1038"/>
      <c r="J69" s="4558">
        <v>3.98</v>
      </c>
      <c r="K69" s="4558">
        <v>1.1399999999999999</v>
      </c>
      <c r="L69" s="1038"/>
      <c r="M69" s="1038"/>
      <c r="N69" s="4558">
        <f t="shared" si="12"/>
        <v>1.1399999999999999</v>
      </c>
      <c r="O69" s="4611">
        <f t="shared" si="13"/>
        <v>6.03</v>
      </c>
    </row>
    <row r="70" spans="2:15" s="74" customFormat="1">
      <c r="B70" s="4607" t="s">
        <v>571</v>
      </c>
      <c r="C70" s="1038" t="s">
        <v>1907</v>
      </c>
      <c r="D70" s="1038">
        <v>30.68</v>
      </c>
      <c r="E70" s="1038"/>
      <c r="F70" s="1038"/>
      <c r="G70" s="4612">
        <v>2.8099999999999996</v>
      </c>
      <c r="H70" s="1038"/>
      <c r="I70" s="1038"/>
      <c r="J70" s="4558">
        <v>3.9489999999999998</v>
      </c>
      <c r="K70" s="4558">
        <v>4.6609999999999996</v>
      </c>
      <c r="L70" s="1038"/>
      <c r="M70" s="1038"/>
      <c r="N70" s="4558">
        <f t="shared" si="12"/>
        <v>4.6609999999999996</v>
      </c>
      <c r="O70" s="4611">
        <f t="shared" si="13"/>
        <v>2.0979999999999999</v>
      </c>
    </row>
    <row r="71" spans="2:15" s="74" customFormat="1">
      <c r="B71" s="4607" t="s">
        <v>2317</v>
      </c>
      <c r="C71" s="1038" t="s">
        <v>2318</v>
      </c>
      <c r="D71" s="4558">
        <v>40</v>
      </c>
      <c r="E71" s="1038"/>
      <c r="F71" s="1038"/>
      <c r="G71" s="4611">
        <v>0</v>
      </c>
      <c r="H71" s="1038"/>
      <c r="I71" s="1038"/>
      <c r="J71" s="1038">
        <v>0.09</v>
      </c>
      <c r="K71" s="1038"/>
      <c r="L71" s="1038"/>
      <c r="M71" s="1038"/>
      <c r="N71" s="4558">
        <f t="shared" si="12"/>
        <v>0</v>
      </c>
      <c r="O71" s="4611">
        <f t="shared" si="13"/>
        <v>0.09</v>
      </c>
    </row>
    <row r="72" spans="2:15" s="74" customFormat="1">
      <c r="B72" s="4607" t="s">
        <v>3280</v>
      </c>
      <c r="C72" s="1038" t="s">
        <v>1907</v>
      </c>
      <c r="D72" s="4558"/>
      <c r="E72" s="1038"/>
      <c r="F72" s="1038"/>
      <c r="G72" s="4611">
        <v>0</v>
      </c>
      <c r="H72" s="1038"/>
      <c r="I72" s="1038"/>
      <c r="J72" s="1038">
        <v>0.46</v>
      </c>
      <c r="K72" s="1038">
        <v>0.46</v>
      </c>
      <c r="L72" s="1038"/>
      <c r="M72" s="1038"/>
      <c r="N72" s="4558">
        <f t="shared" si="12"/>
        <v>0.46</v>
      </c>
      <c r="O72" s="4611">
        <f t="shared" si="13"/>
        <v>0</v>
      </c>
    </row>
    <row r="73" spans="2:15" s="74" customFormat="1">
      <c r="B73" s="4607"/>
      <c r="C73" s="1038"/>
      <c r="D73" s="1038"/>
      <c r="E73" s="1038"/>
      <c r="F73" s="1038"/>
      <c r="G73" s="4611"/>
      <c r="H73" s="1038"/>
      <c r="I73" s="1038"/>
      <c r="J73" s="1038"/>
      <c r="K73" s="1038"/>
      <c r="L73" s="1038"/>
      <c r="M73" s="1038"/>
      <c r="N73" s="1038"/>
      <c r="O73" s="1038"/>
    </row>
    <row r="74" spans="2:15" s="74" customFormat="1">
      <c r="B74" s="4607"/>
      <c r="C74" s="4608" t="s">
        <v>597</v>
      </c>
      <c r="D74" s="4607"/>
      <c r="E74" s="3546"/>
      <c r="F74" s="3546"/>
      <c r="G74" s="4767">
        <f>SUM(G75:G80)</f>
        <v>7.048</v>
      </c>
      <c r="H74" s="4767"/>
      <c r="I74" s="4768"/>
      <c r="J74" s="4767">
        <f>SUM(J75:J80)</f>
        <v>11.558999999999999</v>
      </c>
      <c r="K74" s="4767">
        <f>SUM(K75:K80)</f>
        <v>7.141</v>
      </c>
      <c r="L74" s="4768"/>
      <c r="M74" s="4768"/>
      <c r="N74" s="4767">
        <f>SUM(N75:N80)</f>
        <v>7.141</v>
      </c>
      <c r="O74" s="4767">
        <f>SUM(O75:O80)</f>
        <v>11.466000000000001</v>
      </c>
    </row>
    <row r="75" spans="2:15" s="74" customFormat="1">
      <c r="B75" s="4607" t="s">
        <v>1909</v>
      </c>
      <c r="C75" s="1038" t="s">
        <v>598</v>
      </c>
      <c r="D75" s="1038">
        <v>16.739999999999998</v>
      </c>
      <c r="E75" s="1038"/>
      <c r="F75" s="1038"/>
      <c r="G75" s="4769">
        <v>0</v>
      </c>
      <c r="H75" s="4770"/>
      <c r="I75" s="4770"/>
      <c r="J75" s="4771"/>
      <c r="K75" s="4771"/>
      <c r="L75" s="4770"/>
      <c r="M75" s="4770"/>
      <c r="N75" s="4771">
        <f t="shared" ref="N75:N79" si="14">SUM(K75:M75)</f>
        <v>0</v>
      </c>
      <c r="O75" s="4769">
        <f t="shared" ref="O75:O80" si="15">G75+J75-N75</f>
        <v>0</v>
      </c>
    </row>
    <row r="76" spans="2:15" s="74" customFormat="1">
      <c r="B76" s="4607" t="s">
        <v>566</v>
      </c>
      <c r="C76" s="1038" t="s">
        <v>1910</v>
      </c>
      <c r="D76" s="1038">
        <v>14.65</v>
      </c>
      <c r="E76" s="1038"/>
      <c r="F76" s="1038"/>
      <c r="G76" s="4769">
        <v>0</v>
      </c>
      <c r="H76" s="4770"/>
      <c r="I76" s="4770"/>
      <c r="J76" s="4771"/>
      <c r="K76" s="4771"/>
      <c r="L76" s="4770"/>
      <c r="M76" s="4770"/>
      <c r="N76" s="4771">
        <f t="shared" si="14"/>
        <v>0</v>
      </c>
      <c r="O76" s="4769">
        <f t="shared" si="15"/>
        <v>0</v>
      </c>
    </row>
    <row r="77" spans="2:15" s="74" customFormat="1">
      <c r="B77" s="4607" t="s">
        <v>569</v>
      </c>
      <c r="C77" s="1038" t="s">
        <v>1910</v>
      </c>
      <c r="D77" s="1038">
        <v>11.76</v>
      </c>
      <c r="E77" s="1038"/>
      <c r="F77" s="1038"/>
      <c r="G77" s="4769">
        <v>2.4980018054066022E-16</v>
      </c>
      <c r="H77" s="4770"/>
      <c r="I77" s="4770"/>
      <c r="J77" s="4771"/>
      <c r="K77" s="4771"/>
      <c r="L77" s="4770"/>
      <c r="M77" s="4770"/>
      <c r="N77" s="4771">
        <f t="shared" si="14"/>
        <v>0</v>
      </c>
      <c r="O77" s="4769">
        <f t="shared" si="15"/>
        <v>2.4980018054066022E-16</v>
      </c>
    </row>
    <row r="78" spans="2:15" s="74" customFormat="1">
      <c r="B78" s="4613" t="s">
        <v>572</v>
      </c>
      <c r="C78" s="1040" t="s">
        <v>1910</v>
      </c>
      <c r="D78" s="4614">
        <v>29.27</v>
      </c>
      <c r="E78" s="1040"/>
      <c r="F78" s="1040"/>
      <c r="G78" s="4772">
        <v>6.13</v>
      </c>
      <c r="H78" s="4773"/>
      <c r="I78" s="4773"/>
      <c r="J78" s="4774">
        <v>11.558999999999999</v>
      </c>
      <c r="K78" s="4774">
        <v>6.6609999999999996</v>
      </c>
      <c r="L78" s="4773"/>
      <c r="M78" s="4773"/>
      <c r="N78" s="4774">
        <f t="shared" si="14"/>
        <v>6.6609999999999996</v>
      </c>
      <c r="O78" s="4772">
        <f t="shared" si="15"/>
        <v>11.028</v>
      </c>
    </row>
    <row r="79" spans="2:15" s="74" customFormat="1">
      <c r="B79" s="4613" t="s">
        <v>573</v>
      </c>
      <c r="C79" s="1040" t="s">
        <v>1910</v>
      </c>
      <c r="D79" s="4616">
        <v>42.6</v>
      </c>
      <c r="E79" s="1040"/>
      <c r="F79" s="1040"/>
      <c r="G79" s="4772">
        <v>0.91800000000000004</v>
      </c>
      <c r="H79" s="4773"/>
      <c r="I79" s="4773"/>
      <c r="J79" s="4774"/>
      <c r="K79" s="4774">
        <v>0.48</v>
      </c>
      <c r="L79" s="4773"/>
      <c r="M79" s="4773"/>
      <c r="N79" s="4774">
        <f t="shared" si="14"/>
        <v>0.48</v>
      </c>
      <c r="O79" s="4772">
        <f t="shared" si="15"/>
        <v>0.43800000000000006</v>
      </c>
    </row>
    <row r="80" spans="2:15" s="74" customFormat="1">
      <c r="B80" s="4613"/>
      <c r="C80" s="1040"/>
      <c r="D80" s="4614"/>
      <c r="E80" s="1040"/>
      <c r="F80" s="1040"/>
      <c r="G80" s="4772"/>
      <c r="H80" s="4773"/>
      <c r="I80" s="4773"/>
      <c r="J80" s="4774"/>
      <c r="K80" s="4774"/>
      <c r="L80" s="4773"/>
      <c r="M80" s="4773"/>
      <c r="N80" s="4774"/>
      <c r="O80" s="4772">
        <f t="shared" si="15"/>
        <v>0</v>
      </c>
    </row>
    <row r="81" spans="2:21" s="74" customFormat="1">
      <c r="B81" s="4613"/>
      <c r="C81" s="1040"/>
      <c r="D81" s="4614"/>
      <c r="E81" s="1040"/>
      <c r="F81" s="1040"/>
      <c r="G81" s="4772"/>
      <c r="H81" s="4773"/>
      <c r="I81" s="4773"/>
      <c r="J81" s="4773"/>
      <c r="K81" s="4773"/>
      <c r="L81" s="4773"/>
      <c r="M81" s="4773"/>
      <c r="N81" s="4773"/>
      <c r="O81" s="4772"/>
    </row>
    <row r="82" spans="2:21" s="74" customFormat="1" ht="31.5">
      <c r="B82" s="4613"/>
      <c r="C82" s="1041" t="s">
        <v>599</v>
      </c>
      <c r="D82" s="4613"/>
      <c r="E82" s="3553"/>
      <c r="F82" s="3553"/>
      <c r="G82" s="4775">
        <v>0</v>
      </c>
      <c r="H82" s="4776"/>
      <c r="I82" s="4776"/>
      <c r="J82" s="4775">
        <f>SUM(J83:J84)</f>
        <v>18.079999999999998</v>
      </c>
      <c r="K82" s="4775">
        <f>SUM(K83:K84)</f>
        <v>18.07</v>
      </c>
      <c r="L82" s="4776"/>
      <c r="M82" s="4776"/>
      <c r="N82" s="4775">
        <f>SUM(N83:N84)</f>
        <v>18.07</v>
      </c>
      <c r="O82" s="4775">
        <f t="shared" ref="O82:O83" si="16">G82+J82-N82</f>
        <v>9.9999999999980105E-3</v>
      </c>
    </row>
    <row r="83" spans="2:21" s="74" customFormat="1">
      <c r="B83" s="4613" t="s">
        <v>2322</v>
      </c>
      <c r="C83" s="1040" t="s">
        <v>1911</v>
      </c>
      <c r="D83" s="1040">
        <v>63.89</v>
      </c>
      <c r="E83" s="1040"/>
      <c r="F83" s="1040"/>
      <c r="G83" s="4777">
        <v>0</v>
      </c>
      <c r="H83" s="4773"/>
      <c r="I83" s="4773"/>
      <c r="J83" s="4773">
        <v>18.079999999999998</v>
      </c>
      <c r="K83" s="4773">
        <v>18.07</v>
      </c>
      <c r="L83" s="4773"/>
      <c r="M83" s="4773"/>
      <c r="N83" s="4770">
        <f>SUM(K83:M83)</f>
        <v>18.07</v>
      </c>
      <c r="O83" s="4769">
        <f t="shared" si="16"/>
        <v>9.9999999999980105E-3</v>
      </c>
    </row>
    <row r="84" spans="2:21" s="74" customFormat="1">
      <c r="B84" s="4613" t="s">
        <v>2319</v>
      </c>
      <c r="C84" s="1040" t="s">
        <v>2320</v>
      </c>
      <c r="D84" s="1040">
        <v>48.92</v>
      </c>
      <c r="E84" s="1040"/>
      <c r="F84" s="1040"/>
      <c r="G84" s="4777"/>
      <c r="H84" s="4773"/>
      <c r="I84" s="4773"/>
      <c r="J84" s="4773"/>
      <c r="K84" s="4773"/>
      <c r="L84" s="4773"/>
      <c r="M84" s="4773"/>
      <c r="N84" s="4773"/>
      <c r="O84" s="4773"/>
    </row>
    <row r="85" spans="2:21" s="74" customFormat="1">
      <c r="B85" s="4613"/>
      <c r="C85" s="1040"/>
      <c r="D85" s="1040"/>
      <c r="E85" s="1040"/>
      <c r="F85" s="1040"/>
      <c r="G85" s="4777"/>
      <c r="H85" s="4773"/>
      <c r="I85" s="4773"/>
      <c r="J85" s="4773"/>
      <c r="K85" s="4773"/>
      <c r="L85" s="4773"/>
      <c r="M85" s="4773"/>
      <c r="N85" s="4773"/>
      <c r="O85" s="4773"/>
    </row>
    <row r="86" spans="2:21" s="74" customFormat="1">
      <c r="B86" s="4613"/>
      <c r="C86" s="1041" t="s">
        <v>600</v>
      </c>
      <c r="D86" s="4613"/>
      <c r="E86" s="3553"/>
      <c r="F86" s="3553"/>
      <c r="G86" s="4775">
        <v>0</v>
      </c>
      <c r="H86" s="4778"/>
      <c r="I86" s="4778"/>
      <c r="J86" s="4775">
        <f>SUM(J87:J87)</f>
        <v>29.53</v>
      </c>
      <c r="K86" s="4775">
        <f>SUM(K87:K87)</f>
        <v>29.48</v>
      </c>
      <c r="L86" s="4779"/>
      <c r="M86" s="4779"/>
      <c r="N86" s="4775">
        <f>SUM(N87:N87)</f>
        <v>29.48</v>
      </c>
      <c r="O86" s="4780">
        <f>G86+J86-N86</f>
        <v>5.0000000000000711E-2</v>
      </c>
    </row>
    <row r="87" spans="2:21" s="74" customFormat="1">
      <c r="B87" s="4613" t="s">
        <v>2323</v>
      </c>
      <c r="C87" s="1040" t="s">
        <v>600</v>
      </c>
      <c r="D87" s="4563">
        <v>60</v>
      </c>
      <c r="E87" s="1040"/>
      <c r="F87" s="1040"/>
      <c r="G87" s="4777">
        <v>0</v>
      </c>
      <c r="H87" s="4773"/>
      <c r="I87" s="4773"/>
      <c r="J87" s="4773">
        <v>29.53</v>
      </c>
      <c r="K87" s="4773">
        <v>29.48</v>
      </c>
      <c r="L87" s="4773"/>
      <c r="M87" s="4773"/>
      <c r="N87" s="4770">
        <f>SUM(K87:M87)</f>
        <v>29.48</v>
      </c>
      <c r="O87" s="4769">
        <f t="shared" ref="O87" si="17">G87+J87-N87</f>
        <v>5.0000000000000711E-2</v>
      </c>
    </row>
    <row r="88" spans="2:21" s="74" customFormat="1">
      <c r="B88" s="4613"/>
      <c r="C88" s="1040"/>
      <c r="D88" s="4563"/>
      <c r="E88" s="1040"/>
      <c r="F88" s="1040"/>
      <c r="G88" s="4777"/>
      <c r="H88" s="4773"/>
      <c r="I88" s="4773"/>
      <c r="J88" s="4773"/>
      <c r="K88" s="4773"/>
      <c r="L88" s="4773"/>
      <c r="M88" s="4773"/>
      <c r="N88" s="4770"/>
      <c r="O88" s="4769"/>
      <c r="U88" s="3774"/>
    </row>
    <row r="89" spans="2:21" s="83" customFormat="1">
      <c r="B89" s="4613"/>
      <c r="C89" s="1041" t="s">
        <v>576</v>
      </c>
      <c r="D89" s="1040"/>
      <c r="E89" s="1040"/>
      <c r="F89" s="1040"/>
      <c r="G89" s="4775">
        <v>0</v>
      </c>
      <c r="H89" s="4773"/>
      <c r="I89" s="4773"/>
      <c r="J89" s="4775">
        <f>SUM(J90:J90)</f>
        <v>9.94</v>
      </c>
      <c r="K89" s="4775">
        <f>SUM(K90:K90)</f>
        <v>9.94</v>
      </c>
      <c r="L89" s="4781"/>
      <c r="M89" s="4781"/>
      <c r="N89" s="4775">
        <f>SUM(N90:N90)</f>
        <v>9.94</v>
      </c>
      <c r="O89" s="4780">
        <f>G89+J89-N89</f>
        <v>0</v>
      </c>
      <c r="U89" s="3774"/>
    </row>
    <row r="90" spans="2:21">
      <c r="B90" s="4613" t="s">
        <v>2324</v>
      </c>
      <c r="C90" s="1040" t="s">
        <v>576</v>
      </c>
      <c r="D90" s="1040">
        <v>17.29</v>
      </c>
      <c r="E90" s="1040"/>
      <c r="F90" s="1040"/>
      <c r="G90" s="4780">
        <v>0</v>
      </c>
      <c r="H90" s="4773"/>
      <c r="I90" s="4773"/>
      <c r="J90" s="4774">
        <v>9.94</v>
      </c>
      <c r="K90" s="4774">
        <v>9.94</v>
      </c>
      <c r="L90" s="4773"/>
      <c r="M90" s="4773"/>
      <c r="N90" s="4770">
        <f>SUM(K90:M90)</f>
        <v>9.94</v>
      </c>
      <c r="O90" s="4769">
        <f t="shared" ref="O90" si="18">G90+J90-N90</f>
        <v>0</v>
      </c>
      <c r="U90" s="3774"/>
    </row>
    <row r="91" spans="2:21" s="1276" customFormat="1">
      <c r="B91" s="4613"/>
      <c r="C91" s="1040"/>
      <c r="D91" s="1040"/>
      <c r="E91" s="1040"/>
      <c r="F91" s="1040"/>
      <c r="G91" s="4780"/>
      <c r="H91" s="4773"/>
      <c r="I91" s="4773"/>
      <c r="J91" s="4773"/>
      <c r="K91" s="4773"/>
      <c r="L91" s="4773"/>
      <c r="M91" s="4773"/>
      <c r="N91" s="4773"/>
      <c r="O91" s="4777"/>
      <c r="P91" s="2810"/>
      <c r="U91" s="3774"/>
    </row>
    <row r="92" spans="2:21" s="1276" customFormat="1">
      <c r="B92" s="4613"/>
      <c r="C92" s="1041" t="s">
        <v>601</v>
      </c>
      <c r="D92" s="4613"/>
      <c r="E92" s="3553"/>
      <c r="F92" s="3553"/>
      <c r="G92" s="4775">
        <v>0</v>
      </c>
      <c r="H92" s="4782"/>
      <c r="I92" s="4782"/>
      <c r="J92" s="4775">
        <f t="shared" ref="J92:K92" si="19">SUM(J93:J95)</f>
        <v>11.1</v>
      </c>
      <c r="K92" s="4775">
        <f t="shared" si="19"/>
        <v>6.01</v>
      </c>
      <c r="L92" s="4779"/>
      <c r="M92" s="4779"/>
      <c r="N92" s="4775">
        <f t="shared" ref="N92:O92" si="20">SUM(N93:N95)</f>
        <v>6.01</v>
      </c>
      <c r="O92" s="4775">
        <f t="shared" si="20"/>
        <v>5.09</v>
      </c>
      <c r="P92" s="2810"/>
      <c r="U92" s="3774"/>
    </row>
    <row r="93" spans="2:21" s="1276" customFormat="1">
      <c r="B93" s="4613" t="s">
        <v>578</v>
      </c>
      <c r="C93" s="1040" t="s">
        <v>601</v>
      </c>
      <c r="D93" s="1040">
        <v>25.65</v>
      </c>
      <c r="E93" s="1040"/>
      <c r="F93" s="1040"/>
      <c r="G93" s="4773">
        <v>0</v>
      </c>
      <c r="H93" s="4773"/>
      <c r="I93" s="4773"/>
      <c r="J93" s="4773">
        <v>5.0999999999999996</v>
      </c>
      <c r="K93" s="4773">
        <v>0.01</v>
      </c>
      <c r="L93" s="4773"/>
      <c r="M93" s="4773"/>
      <c r="N93" s="4773">
        <v>0.01</v>
      </c>
      <c r="O93" s="4769">
        <f t="shared" ref="O93:O95" si="21">G93+J93-N93</f>
        <v>5.09</v>
      </c>
      <c r="P93" s="2810"/>
      <c r="U93" s="3774"/>
    </row>
    <row r="94" spans="2:21" s="1276" customFormat="1">
      <c r="B94" s="4613" t="s">
        <v>577</v>
      </c>
      <c r="C94" s="1040" t="s">
        <v>149</v>
      </c>
      <c r="D94" s="1040">
        <v>51.66</v>
      </c>
      <c r="E94" s="1040"/>
      <c r="F94" s="1040"/>
      <c r="G94" s="4773">
        <v>0</v>
      </c>
      <c r="H94" s="4773"/>
      <c r="I94" s="4773"/>
      <c r="J94" s="4774">
        <v>6</v>
      </c>
      <c r="K94" s="4774">
        <v>6</v>
      </c>
      <c r="L94" s="4773"/>
      <c r="M94" s="4773"/>
      <c r="N94" s="4773">
        <v>6</v>
      </c>
      <c r="O94" s="4769">
        <v>0</v>
      </c>
      <c r="U94" s="3774"/>
    </row>
    <row r="95" spans="2:21" s="2812" customFormat="1">
      <c r="B95" s="4613" t="s">
        <v>580</v>
      </c>
      <c r="C95" s="1040" t="s">
        <v>579</v>
      </c>
      <c r="D95" s="1040">
        <v>36.11</v>
      </c>
      <c r="E95" s="1040"/>
      <c r="F95" s="1040"/>
      <c r="G95" s="4777">
        <v>0</v>
      </c>
      <c r="H95" s="4773"/>
      <c r="I95" s="4773"/>
      <c r="J95" s="4773"/>
      <c r="K95" s="4773"/>
      <c r="L95" s="4773"/>
      <c r="M95" s="4773"/>
      <c r="N95" s="4773"/>
      <c r="O95" s="4769">
        <f t="shared" si="21"/>
        <v>0</v>
      </c>
      <c r="U95" s="3774"/>
    </row>
    <row r="96" spans="2:21" s="2812" customFormat="1">
      <c r="B96" s="4613"/>
      <c r="C96" s="1040"/>
      <c r="D96" s="4614"/>
      <c r="E96" s="1040"/>
      <c r="F96" s="1040"/>
      <c r="G96" s="4772"/>
      <c r="H96" s="4773"/>
      <c r="I96" s="4773"/>
      <c r="J96" s="4773"/>
      <c r="K96" s="4773"/>
      <c r="L96" s="4773"/>
      <c r="M96" s="4773"/>
      <c r="N96" s="4773"/>
      <c r="O96" s="4772"/>
      <c r="Q96" s="2813"/>
      <c r="U96" s="3774"/>
    </row>
    <row r="97" spans="2:22" s="1277" customFormat="1">
      <c r="B97" s="4613"/>
      <c r="C97" s="4623" t="s">
        <v>2315</v>
      </c>
      <c r="D97" s="4624"/>
      <c r="E97" s="3553"/>
      <c r="F97" s="3553"/>
      <c r="G97" s="4783">
        <f t="shared" ref="G97" si="22">SUM(G98:G102)</f>
        <v>6.93</v>
      </c>
      <c r="H97" s="4782"/>
      <c r="I97" s="4782"/>
      <c r="J97" s="4783">
        <f t="shared" ref="J97:K97" si="23">SUM(J98:J102)</f>
        <v>8.06</v>
      </c>
      <c r="K97" s="4783">
        <f t="shared" si="23"/>
        <v>7.62</v>
      </c>
      <c r="L97" s="4777"/>
      <c r="M97" s="4777"/>
      <c r="N97" s="4783">
        <f t="shared" ref="N97:O97" si="24">SUM(N98:N102)</f>
        <v>7.62</v>
      </c>
      <c r="O97" s="4783">
        <f t="shared" si="24"/>
        <v>7.37</v>
      </c>
    </row>
    <row r="98" spans="2:22" s="2810" customFormat="1">
      <c r="B98" s="4613"/>
      <c r="C98" s="4625" t="s">
        <v>1913</v>
      </c>
      <c r="D98" s="1040"/>
      <c r="E98" s="1040"/>
      <c r="F98" s="1040"/>
      <c r="G98" s="4774">
        <v>4.05</v>
      </c>
      <c r="H98" s="4773"/>
      <c r="I98" s="4773"/>
      <c r="J98" s="4774">
        <v>3.54</v>
      </c>
      <c r="K98" s="4774">
        <v>4.59</v>
      </c>
      <c r="L98" s="4773"/>
      <c r="M98" s="4773"/>
      <c r="N98" s="4773">
        <f>SUM(K98:M98)</f>
        <v>4.59</v>
      </c>
      <c r="O98" s="4774">
        <f>G98+J98-N98</f>
        <v>3</v>
      </c>
    </row>
    <row r="99" spans="2:22" s="2810" customFormat="1">
      <c r="B99" s="4613"/>
      <c r="C99" s="4625" t="s">
        <v>1912</v>
      </c>
      <c r="D99" s="4625">
        <v>10.32</v>
      </c>
      <c r="E99" s="3553"/>
      <c r="F99" s="3553"/>
      <c r="G99" s="4777"/>
      <c r="H99" s="4782"/>
      <c r="I99" s="4782"/>
      <c r="J99" s="4773"/>
      <c r="K99" s="4777"/>
      <c r="L99" s="4777"/>
      <c r="M99" s="4777"/>
      <c r="N99" s="4777">
        <f>SUM(K99:M99)</f>
        <v>0</v>
      </c>
      <c r="O99" s="4777"/>
    </row>
    <row r="100" spans="2:22" s="2810" customFormat="1">
      <c r="B100" s="4613"/>
      <c r="C100" s="4626" t="s">
        <v>1914</v>
      </c>
      <c r="D100" s="1040"/>
      <c r="E100" s="1040"/>
      <c r="F100" s="1040"/>
      <c r="G100" s="4773">
        <v>2.88</v>
      </c>
      <c r="H100" s="4773"/>
      <c r="I100" s="4773"/>
      <c r="J100" s="4773">
        <f>0.68+1.51</f>
        <v>2.19</v>
      </c>
      <c r="K100" s="4773">
        <v>0.7</v>
      </c>
      <c r="L100" s="4773"/>
      <c r="M100" s="4773"/>
      <c r="N100" s="4773">
        <f>K100</f>
        <v>0.7</v>
      </c>
      <c r="O100" s="4773">
        <f>G100+J100-N100</f>
        <v>4.37</v>
      </c>
    </row>
    <row r="101" spans="2:22" s="1276" customFormat="1">
      <c r="B101" s="4613"/>
      <c r="C101" s="4625" t="s">
        <v>1915</v>
      </c>
      <c r="D101" s="1040"/>
      <c r="E101" s="1040"/>
      <c r="F101" s="1040"/>
      <c r="G101" s="4773">
        <v>0</v>
      </c>
      <c r="H101" s="4773"/>
      <c r="I101" s="4773"/>
      <c r="J101" s="4773">
        <v>2.33</v>
      </c>
      <c r="K101" s="4773">
        <v>2.33</v>
      </c>
      <c r="L101" s="4773"/>
      <c r="M101" s="4773"/>
      <c r="N101" s="4773">
        <f>SUM(K101:M101)</f>
        <v>2.33</v>
      </c>
      <c r="O101" s="4773">
        <f>G101+J101-N101</f>
        <v>0</v>
      </c>
    </row>
    <row r="102" spans="2:22" s="1276" customFormat="1">
      <c r="B102" s="4613"/>
      <c r="C102" s="4625" t="s">
        <v>1916</v>
      </c>
      <c r="D102" s="4613"/>
      <c r="E102" s="3553"/>
      <c r="F102" s="3553"/>
      <c r="G102" s="4777">
        <v>0</v>
      </c>
      <c r="H102" s="4782"/>
      <c r="I102" s="4782"/>
      <c r="J102" s="4777"/>
      <c r="K102" s="4777"/>
      <c r="L102" s="4777"/>
      <c r="M102" s="4777"/>
      <c r="N102" s="4773">
        <f>SUM(K102:M102)</f>
        <v>0</v>
      </c>
      <c r="O102" s="4773">
        <f>G102+J102-N102</f>
        <v>0</v>
      </c>
    </row>
    <row r="103" spans="2:22" s="1276" customFormat="1" ht="18.75">
      <c r="B103" s="4627" t="s">
        <v>47</v>
      </c>
      <c r="C103" s="4627"/>
      <c r="D103" s="4627"/>
      <c r="E103" s="4627"/>
      <c r="F103" s="4628"/>
      <c r="G103" s="4784">
        <f t="shared" ref="G103:O103" si="25">G64+G74+G82+G86+G89+G92+G97</f>
        <v>39.707999999999998</v>
      </c>
      <c r="H103" s="4784">
        <f t="shared" si="25"/>
        <v>0</v>
      </c>
      <c r="I103" s="4784">
        <f t="shared" si="25"/>
        <v>0</v>
      </c>
      <c r="J103" s="4784">
        <f t="shared" si="25"/>
        <v>107.917</v>
      </c>
      <c r="K103" s="4783">
        <f>K64+K74+K82+K86+K89+K92+K97</f>
        <v>99.952000000000012</v>
      </c>
      <c r="L103" s="4784">
        <f t="shared" si="25"/>
        <v>0</v>
      </c>
      <c r="M103" s="4784">
        <f t="shared" si="25"/>
        <v>0</v>
      </c>
      <c r="N103" s="4784">
        <f t="shared" si="25"/>
        <v>99.952000000000012</v>
      </c>
      <c r="O103" s="4784">
        <f t="shared" si="25"/>
        <v>47.672999999999995</v>
      </c>
    </row>
    <row r="104" spans="2:22" s="1276" customFormat="1" ht="18.75">
      <c r="B104" s="3548"/>
      <c r="C104" s="3559" t="str">
        <f ca="1">CELL("filename")</f>
        <v>E:\BEST's 2nd Revised MYT Petition without TDLR\[BEST's True-up Formats - 2nd Revised.xlsx]ARR Summary</v>
      </c>
      <c r="D104" s="3548"/>
      <c r="E104" s="3548"/>
      <c r="F104" s="3549"/>
      <c r="G104" s="3551"/>
      <c r="H104" s="3551"/>
      <c r="I104" s="3551"/>
      <c r="J104" s="3551"/>
      <c r="K104" s="3551"/>
      <c r="L104" s="3551"/>
      <c r="M104" s="3551"/>
      <c r="N104" s="3551"/>
      <c r="O104" s="3551"/>
    </row>
    <row r="105" spans="2:22" s="1276" customFormat="1" hidden="1">
      <c r="B105" s="2763"/>
      <c r="C105" s="2814"/>
      <c r="D105" s="2815"/>
      <c r="E105" s="2816"/>
      <c r="F105" s="2811"/>
      <c r="G105" s="2810"/>
      <c r="H105" s="2810"/>
      <c r="M105" s="2810"/>
    </row>
    <row r="106" spans="2:22" hidden="1"/>
    <row r="107" spans="2:22" s="3543" customFormat="1" hidden="1">
      <c r="B107" s="3541" t="s">
        <v>3415</v>
      </c>
      <c r="C107" s="3541"/>
      <c r="D107" s="3541"/>
      <c r="E107" s="3541"/>
      <c r="F107" s="3541"/>
      <c r="G107" s="3541"/>
      <c r="H107" s="4554"/>
      <c r="O107" s="3544"/>
      <c r="R107" s="4555"/>
      <c r="S107" s="4555">
        <v>23.48</v>
      </c>
      <c r="T107" s="4555"/>
      <c r="U107" s="4555"/>
      <c r="V107" s="4555"/>
    </row>
    <row r="108" spans="2:22" s="3543" customFormat="1" hidden="1">
      <c r="B108" s="3544" t="s">
        <v>3908</v>
      </c>
      <c r="C108" s="3544"/>
      <c r="D108" s="3544"/>
      <c r="E108" s="3544"/>
      <c r="F108" s="4554"/>
      <c r="M108" s="3544"/>
      <c r="O108" s="3545" t="s">
        <v>581</v>
      </c>
      <c r="R108" s="4555"/>
      <c r="S108" s="4555">
        <v>32.83</v>
      </c>
      <c r="T108" s="4555"/>
      <c r="U108" s="4555"/>
      <c r="V108" s="4555"/>
    </row>
    <row r="109" spans="2:22" s="3543" customFormat="1" ht="47.25" hidden="1" customHeight="1">
      <c r="B109" s="5673" t="s">
        <v>582</v>
      </c>
      <c r="C109" s="5673" t="s">
        <v>587</v>
      </c>
      <c r="D109" s="5673" t="s">
        <v>588</v>
      </c>
      <c r="E109" s="5674" t="s">
        <v>589</v>
      </c>
      <c r="F109" s="5674" t="s">
        <v>590</v>
      </c>
      <c r="G109" s="5674" t="s">
        <v>591</v>
      </c>
      <c r="H109" s="4642" t="s">
        <v>592</v>
      </c>
      <c r="I109" s="4642"/>
      <c r="J109" s="4642"/>
      <c r="K109" s="4642" t="s">
        <v>241</v>
      </c>
      <c r="L109" s="5677" t="s">
        <v>1904</v>
      </c>
      <c r="M109" s="5680" t="s">
        <v>594</v>
      </c>
      <c r="N109" s="5683" t="s">
        <v>595</v>
      </c>
      <c r="O109" s="5673" t="s">
        <v>593</v>
      </c>
      <c r="R109" s="4555"/>
      <c r="S109" s="4555">
        <v>10.96</v>
      </c>
      <c r="T109" s="4555"/>
      <c r="U109" s="4555"/>
      <c r="V109" s="4555"/>
    </row>
    <row r="110" spans="2:22" s="3543" customFormat="1" ht="31.5" hidden="1">
      <c r="B110" s="5673"/>
      <c r="C110" s="5673"/>
      <c r="D110" s="5673"/>
      <c r="E110" s="5675"/>
      <c r="F110" s="5675"/>
      <c r="G110" s="5675"/>
      <c r="H110" s="4642" t="s">
        <v>1900</v>
      </c>
      <c r="I110" s="4642" t="s">
        <v>1901</v>
      </c>
      <c r="J110" s="4642" t="s">
        <v>1902</v>
      </c>
      <c r="K110" s="4642" t="s">
        <v>1903</v>
      </c>
      <c r="L110" s="5678"/>
      <c r="M110" s="5681"/>
      <c r="N110" s="5684"/>
      <c r="O110" s="5673"/>
      <c r="R110" s="4555"/>
      <c r="S110" s="4555"/>
      <c r="T110" s="4555"/>
      <c r="U110" s="4555"/>
      <c r="V110" s="4555"/>
    </row>
    <row r="111" spans="2:22" s="3543" customFormat="1" hidden="1">
      <c r="B111" s="5673"/>
      <c r="C111" s="5673"/>
      <c r="D111" s="5673"/>
      <c r="E111" s="5676"/>
      <c r="F111" s="5676"/>
      <c r="G111" s="5676"/>
      <c r="H111" s="4642" t="s">
        <v>1905</v>
      </c>
      <c r="I111" s="4642" t="s">
        <v>1906</v>
      </c>
      <c r="J111" s="4642" t="s">
        <v>1906</v>
      </c>
      <c r="K111" s="4642"/>
      <c r="L111" s="5679"/>
      <c r="M111" s="5682"/>
      <c r="N111" s="5685"/>
      <c r="O111" s="5673"/>
    </row>
    <row r="112" spans="2:22" s="3543" customFormat="1" hidden="1">
      <c r="B112" s="3546"/>
      <c r="C112" s="3546"/>
      <c r="D112" s="3546"/>
      <c r="E112" s="3546"/>
      <c r="F112" s="3546"/>
      <c r="G112" s="3546"/>
      <c r="H112" s="3546"/>
      <c r="I112" s="3546"/>
      <c r="J112" s="3546"/>
      <c r="K112" s="3546"/>
      <c r="L112" s="3546"/>
      <c r="M112" s="3546"/>
      <c r="N112" s="3546"/>
      <c r="O112" s="3546"/>
    </row>
    <row r="113" spans="2:22" s="3543" customFormat="1" hidden="1">
      <c r="B113" s="4607"/>
      <c r="C113" s="1037" t="s">
        <v>2316</v>
      </c>
      <c r="D113" s="4607"/>
      <c r="E113" s="3546"/>
      <c r="F113" s="3546"/>
      <c r="G113" s="3546"/>
      <c r="H113" s="3546"/>
      <c r="I113" s="3546"/>
      <c r="J113" s="3546"/>
      <c r="K113" s="3546"/>
      <c r="L113" s="3546"/>
      <c r="M113" s="3546"/>
      <c r="N113" s="3546"/>
      <c r="O113" s="3546"/>
    </row>
    <row r="114" spans="2:22" s="3543" customFormat="1" hidden="1">
      <c r="B114" s="4607"/>
      <c r="C114" s="4607"/>
      <c r="D114" s="4607"/>
      <c r="E114" s="3546"/>
      <c r="F114" s="3546"/>
      <c r="G114" s="3546"/>
      <c r="H114" s="3546"/>
      <c r="I114" s="3546"/>
      <c r="J114" s="3546"/>
      <c r="K114" s="3546"/>
      <c r="L114" s="3546"/>
      <c r="M114" s="3546"/>
      <c r="N114" s="3546"/>
      <c r="O114" s="3546"/>
      <c r="S114" s="3543" t="s">
        <v>3416</v>
      </c>
      <c r="T114" s="4556">
        <v>40.74</v>
      </c>
    </row>
    <row r="115" spans="2:22" s="3543" customFormat="1" hidden="1">
      <c r="B115" s="4607"/>
      <c r="C115" s="4608" t="s">
        <v>596</v>
      </c>
      <c r="D115" s="4607"/>
      <c r="E115" s="3546"/>
      <c r="F115" s="3546"/>
      <c r="G115" s="4609">
        <v>23.687999999999999</v>
      </c>
      <c r="H115" s="3547"/>
      <c r="I115" s="3547"/>
      <c r="J115" s="4609">
        <f>SUM(J117:J124)</f>
        <v>9.9250000000000007</v>
      </c>
      <c r="K115" s="4609">
        <f>SUM(K117:K124)</f>
        <v>33.614999999999995</v>
      </c>
      <c r="L115" s="3547"/>
      <c r="M115" s="3547"/>
      <c r="N115" s="4609">
        <f>SUM(N117:N124)</f>
        <v>33.614999999999995</v>
      </c>
      <c r="O115" s="4609">
        <f>SUM(O117:O124)</f>
        <v>-2.000000000001112E-3</v>
      </c>
      <c r="S115" s="3543" t="s">
        <v>3417</v>
      </c>
      <c r="T115" s="4556">
        <f>U116+U115</f>
        <v>18.079999999999998</v>
      </c>
      <c r="U115" s="4556">
        <v>15.08</v>
      </c>
      <c r="V115" s="3543" t="s">
        <v>730</v>
      </c>
    </row>
    <row r="116" spans="2:22" s="3543" customFormat="1" hidden="1">
      <c r="B116" s="4607" t="s">
        <v>3418</v>
      </c>
      <c r="C116" s="1038" t="s">
        <v>1907</v>
      </c>
      <c r="D116" s="4610">
        <v>42.09</v>
      </c>
      <c r="E116" s="3546"/>
      <c r="F116" s="3546"/>
      <c r="G116" s="4609"/>
      <c r="H116" s="3547"/>
      <c r="I116" s="3547"/>
      <c r="J116" s="4609"/>
      <c r="K116" s="4609"/>
      <c r="L116" s="3547"/>
      <c r="M116" s="3547"/>
      <c r="N116" s="4609"/>
      <c r="O116" s="4609"/>
      <c r="U116" s="4556">
        <v>3</v>
      </c>
      <c r="V116" s="3543" t="s">
        <v>3419</v>
      </c>
    </row>
    <row r="117" spans="2:22" s="3543" customFormat="1" hidden="1">
      <c r="B117" s="4607" t="s">
        <v>564</v>
      </c>
      <c r="C117" s="1038" t="s">
        <v>1907</v>
      </c>
      <c r="D117" s="4558">
        <v>38</v>
      </c>
      <c r="E117" s="3546"/>
      <c r="F117" s="1038"/>
      <c r="G117" s="4558">
        <v>4.6889999999999992</v>
      </c>
      <c r="H117" s="1038"/>
      <c r="I117" s="1038"/>
      <c r="J117" s="4558">
        <v>0.5</v>
      </c>
      <c r="K117" s="4558">
        <v>5.19</v>
      </c>
      <c r="L117" s="1038"/>
      <c r="M117" s="1038"/>
      <c r="N117" s="4558">
        <f t="shared" ref="N117:N124" si="26">SUM(K117:M117)</f>
        <v>5.19</v>
      </c>
      <c r="O117" s="4611">
        <f t="shared" ref="O117:O123" si="27">G117+J117-N117</f>
        <v>-1.0000000000012221E-3</v>
      </c>
      <c r="S117" s="3543" t="s">
        <v>3420</v>
      </c>
      <c r="T117" s="3543">
        <v>24.05</v>
      </c>
    </row>
    <row r="118" spans="2:22" s="3543" customFormat="1" hidden="1">
      <c r="B118" s="4607" t="s">
        <v>565</v>
      </c>
      <c r="C118" s="1038" t="s">
        <v>1908</v>
      </c>
      <c r="D118" s="1038">
        <v>14.98</v>
      </c>
      <c r="E118" s="3546"/>
      <c r="F118" s="1038"/>
      <c r="G118" s="4558">
        <v>0.50900000000000001</v>
      </c>
      <c r="H118" s="1038"/>
      <c r="I118" s="1038"/>
      <c r="J118" s="4558">
        <v>2.06</v>
      </c>
      <c r="K118" s="4558">
        <v>2.57</v>
      </c>
      <c r="L118" s="1038"/>
      <c r="M118" s="1038"/>
      <c r="N118" s="4558">
        <f t="shared" si="26"/>
        <v>2.57</v>
      </c>
      <c r="O118" s="4611">
        <f t="shared" si="27"/>
        <v>-9.9999999999988987E-4</v>
      </c>
      <c r="S118" s="3543" t="s">
        <v>3421</v>
      </c>
      <c r="T118" s="3543">
        <v>38.71</v>
      </c>
    </row>
    <row r="119" spans="2:22" s="3543" customFormat="1" hidden="1">
      <c r="B119" s="4607" t="s">
        <v>567</v>
      </c>
      <c r="C119" s="1038" t="s">
        <v>1907</v>
      </c>
      <c r="D119" s="1038">
        <v>84.77000000000001</v>
      </c>
      <c r="E119" s="3546"/>
      <c r="F119" s="1038"/>
      <c r="G119" s="4558">
        <v>5.9909999999999997</v>
      </c>
      <c r="H119" s="1038"/>
      <c r="I119" s="1038"/>
      <c r="J119" s="4558">
        <v>1.94</v>
      </c>
      <c r="K119" s="4558">
        <v>7.93</v>
      </c>
      <c r="L119" s="1038"/>
      <c r="M119" s="1038"/>
      <c r="N119" s="4558">
        <f t="shared" si="26"/>
        <v>7.93</v>
      </c>
      <c r="O119" s="4611">
        <f t="shared" si="27"/>
        <v>9.9999999999944578E-4</v>
      </c>
      <c r="S119" s="3543" t="s">
        <v>3422</v>
      </c>
      <c r="T119" s="3543">
        <v>20.89</v>
      </c>
    </row>
    <row r="120" spans="2:22" s="3543" customFormat="1" hidden="1">
      <c r="B120" s="4607" t="s">
        <v>568</v>
      </c>
      <c r="C120" s="1038" t="s">
        <v>1907</v>
      </c>
      <c r="D120" s="1038">
        <v>30.070000000000004</v>
      </c>
      <c r="E120" s="3546"/>
      <c r="F120" s="1038"/>
      <c r="G120" s="4558">
        <v>4.2809999999999997</v>
      </c>
      <c r="H120" s="1038"/>
      <c r="I120" s="1038"/>
      <c r="J120" s="4558">
        <v>1.1000000000000001</v>
      </c>
      <c r="K120" s="4558">
        <v>5.38</v>
      </c>
      <c r="L120" s="1038"/>
      <c r="M120" s="1038"/>
      <c r="N120" s="4558">
        <f t="shared" si="26"/>
        <v>5.38</v>
      </c>
      <c r="O120" s="4611">
        <f t="shared" si="27"/>
        <v>1.000000000000334E-3</v>
      </c>
      <c r="S120" s="3543" t="s">
        <v>3423</v>
      </c>
      <c r="T120" s="3543">
        <v>6.53</v>
      </c>
    </row>
    <row r="121" spans="2:22" s="3543" customFormat="1" hidden="1">
      <c r="B121" s="4607" t="s">
        <v>570</v>
      </c>
      <c r="C121" s="1038" t="s">
        <v>1907</v>
      </c>
      <c r="D121" s="1038">
        <v>23.54</v>
      </c>
      <c r="E121" s="3546"/>
      <c r="F121" s="1038"/>
      <c r="G121" s="4558">
        <v>6.03</v>
      </c>
      <c r="H121" s="1038"/>
      <c r="I121" s="1038"/>
      <c r="J121" s="4558">
        <v>0.995</v>
      </c>
      <c r="K121" s="4558">
        <v>7.0250000000000004</v>
      </c>
      <c r="L121" s="1038"/>
      <c r="M121" s="1038"/>
      <c r="N121" s="4558">
        <f t="shared" si="26"/>
        <v>7.0250000000000004</v>
      </c>
      <c r="O121" s="4611">
        <f t="shared" si="27"/>
        <v>0</v>
      </c>
      <c r="S121" s="3543" t="s">
        <v>3424</v>
      </c>
      <c r="T121" s="3543">
        <v>4.97</v>
      </c>
    </row>
    <row r="122" spans="2:22" s="3543" customFormat="1" hidden="1">
      <c r="B122" s="4607" t="s">
        <v>571</v>
      </c>
      <c r="C122" s="1038" t="s">
        <v>1907</v>
      </c>
      <c r="D122" s="1038">
        <v>30.68</v>
      </c>
      <c r="E122" s="3546"/>
      <c r="F122" s="1038"/>
      <c r="G122" s="4611">
        <v>2.0979999999999999</v>
      </c>
      <c r="H122" s="1038"/>
      <c r="I122" s="1038"/>
      <c r="J122" s="4558">
        <v>2.92</v>
      </c>
      <c r="K122" s="4558">
        <v>5.0199999999999996</v>
      </c>
      <c r="L122" s="1038"/>
      <c r="M122" s="1038"/>
      <c r="N122" s="4558">
        <f t="shared" si="26"/>
        <v>5.0199999999999996</v>
      </c>
      <c r="O122" s="4611">
        <f t="shared" si="27"/>
        <v>-1.9999999999997797E-3</v>
      </c>
      <c r="S122" s="3543" t="s">
        <v>3425</v>
      </c>
      <c r="T122" s="3543">
        <v>9.31</v>
      </c>
    </row>
    <row r="123" spans="2:22" s="3543" customFormat="1" hidden="1">
      <c r="B123" s="4607" t="s">
        <v>2317</v>
      </c>
      <c r="C123" s="1038" t="s">
        <v>3426</v>
      </c>
      <c r="D123" s="4558">
        <v>40</v>
      </c>
      <c r="E123" s="3546"/>
      <c r="F123" s="1038"/>
      <c r="G123" s="4611">
        <v>0.09</v>
      </c>
      <c r="H123" s="1038"/>
      <c r="I123" s="1038"/>
      <c r="J123" s="1038">
        <v>0</v>
      </c>
      <c r="K123" s="1038">
        <v>0.09</v>
      </c>
      <c r="L123" s="1038"/>
      <c r="M123" s="1038"/>
      <c r="N123" s="4558">
        <f t="shared" si="26"/>
        <v>0.09</v>
      </c>
      <c r="O123" s="4611">
        <f t="shared" si="27"/>
        <v>0</v>
      </c>
      <c r="T123" s="4557">
        <f>SUM(T114:T122)</f>
        <v>163.28000000000003</v>
      </c>
    </row>
    <row r="124" spans="2:22" s="3543" customFormat="1" hidden="1">
      <c r="B124" s="4607" t="s">
        <v>3280</v>
      </c>
      <c r="C124" s="1038" t="s">
        <v>1907</v>
      </c>
      <c r="D124" s="1038">
        <v>28.86</v>
      </c>
      <c r="E124" s="3546"/>
      <c r="F124" s="1038"/>
      <c r="G124" s="4611">
        <v>0</v>
      </c>
      <c r="H124" s="4558"/>
      <c r="I124" s="1038"/>
      <c r="J124" s="1038">
        <v>0.41</v>
      </c>
      <c r="K124" s="1038">
        <v>0.41</v>
      </c>
      <c r="L124" s="1038"/>
      <c r="M124" s="1038"/>
      <c r="N124" s="1038">
        <f t="shared" si="26"/>
        <v>0.41</v>
      </c>
      <c r="O124" s="4558">
        <v>0</v>
      </c>
      <c r="T124" s="3543">
        <v>163.28</v>
      </c>
      <c r="U124" s="4556">
        <v>190.7</v>
      </c>
    </row>
    <row r="125" spans="2:22" s="3543" customFormat="1" hidden="1">
      <c r="B125" s="4607"/>
      <c r="C125" s="1038"/>
      <c r="D125" s="1038"/>
      <c r="E125" s="3546"/>
      <c r="F125" s="1038"/>
      <c r="G125" s="4611"/>
      <c r="H125" s="1038"/>
      <c r="I125" s="1038"/>
      <c r="J125" s="1038"/>
      <c r="K125" s="1038"/>
      <c r="L125" s="1038"/>
      <c r="M125" s="1038"/>
      <c r="N125" s="1038"/>
      <c r="O125" s="1038"/>
    </row>
    <row r="126" spans="2:22" s="3543" customFormat="1" hidden="1">
      <c r="B126" s="4607"/>
      <c r="C126" s="4608" t="s">
        <v>597</v>
      </c>
      <c r="D126" s="4607"/>
      <c r="E126" s="3546"/>
      <c r="F126" s="3546"/>
      <c r="G126" s="4609">
        <v>11.466000000000001</v>
      </c>
      <c r="H126" s="4609"/>
      <c r="I126" s="3547"/>
      <c r="J126" s="4609">
        <f>SUM(J127:J134)</f>
        <v>10.76</v>
      </c>
      <c r="K126" s="4609">
        <f>SUM(K127:K134)</f>
        <v>21.990000000000002</v>
      </c>
      <c r="L126" s="3547"/>
      <c r="M126" s="3547"/>
      <c r="N126" s="4609">
        <f>SUM(N127:N134)</f>
        <v>21.990000000000002</v>
      </c>
      <c r="O126" s="4609">
        <f>SUM(O127:O134)</f>
        <v>0.24</v>
      </c>
      <c r="T126" s="4556"/>
    </row>
    <row r="127" spans="2:22" s="3543" customFormat="1" hidden="1">
      <c r="B127" s="4607" t="s">
        <v>1909</v>
      </c>
      <c r="C127" s="1038" t="s">
        <v>598</v>
      </c>
      <c r="D127" s="1038">
        <v>16.739999999999998</v>
      </c>
      <c r="E127" s="3546"/>
      <c r="F127" s="1038"/>
      <c r="G127" s="4611">
        <v>0</v>
      </c>
      <c r="H127" s="1038"/>
      <c r="I127" s="1038"/>
      <c r="J127" s="4558">
        <v>0</v>
      </c>
      <c r="K127" s="4558">
        <v>0</v>
      </c>
      <c r="L127" s="1038"/>
      <c r="M127" s="1038"/>
      <c r="N127" s="4558">
        <f t="shared" ref="N127:N133" si="28">SUM(K127:M127)</f>
        <v>0</v>
      </c>
      <c r="O127" s="4611">
        <f t="shared" ref="O127:O134" si="29">G127+J127-N127</f>
        <v>0</v>
      </c>
    </row>
    <row r="128" spans="2:22" s="3543" customFormat="1" hidden="1">
      <c r="B128" s="4607" t="s">
        <v>566</v>
      </c>
      <c r="C128" s="1038" t="s">
        <v>1910</v>
      </c>
      <c r="D128" s="1038">
        <v>14.65</v>
      </c>
      <c r="E128" s="3546"/>
      <c r="F128" s="1038"/>
      <c r="G128" s="4611">
        <v>0</v>
      </c>
      <c r="H128" s="1038"/>
      <c r="I128" s="1038"/>
      <c r="J128" s="4558">
        <v>1.85</v>
      </c>
      <c r="K128" s="4558">
        <v>1.85</v>
      </c>
      <c r="L128" s="1038"/>
      <c r="M128" s="1038"/>
      <c r="N128" s="4558">
        <f t="shared" si="28"/>
        <v>1.85</v>
      </c>
      <c r="O128" s="4611">
        <f t="shared" si="29"/>
        <v>0</v>
      </c>
    </row>
    <row r="129" spans="2:15" s="3543" customFormat="1" hidden="1">
      <c r="B129" s="4607" t="s">
        <v>3748</v>
      </c>
      <c r="C129" s="1038" t="s">
        <v>1910</v>
      </c>
      <c r="D129" s="1038">
        <v>10.32</v>
      </c>
      <c r="E129" s="3546"/>
      <c r="F129" s="1038"/>
      <c r="G129" s="4611">
        <v>0</v>
      </c>
      <c r="H129" s="1038"/>
      <c r="I129" s="1038"/>
      <c r="J129" s="4558">
        <v>1.73</v>
      </c>
      <c r="K129" s="4558">
        <v>1.73</v>
      </c>
      <c r="L129" s="1038"/>
      <c r="M129" s="1038"/>
      <c r="N129" s="4558">
        <f t="shared" si="28"/>
        <v>1.73</v>
      </c>
      <c r="O129" s="4611">
        <f t="shared" si="29"/>
        <v>0</v>
      </c>
    </row>
    <row r="130" spans="2:15" s="3543" customFormat="1" hidden="1">
      <c r="B130" s="4607" t="s">
        <v>569</v>
      </c>
      <c r="C130" s="1038" t="s">
        <v>1910</v>
      </c>
      <c r="D130" s="1038">
        <v>11.76</v>
      </c>
      <c r="E130" s="3546"/>
      <c r="F130" s="1040"/>
      <c r="G130" s="4611">
        <v>0</v>
      </c>
      <c r="H130" s="1040"/>
      <c r="I130" s="1040"/>
      <c r="J130" s="4558">
        <v>0.44</v>
      </c>
      <c r="K130" s="4558">
        <v>0.44</v>
      </c>
      <c r="L130" s="1040"/>
      <c r="M130" s="1040"/>
      <c r="N130" s="4558">
        <f t="shared" si="28"/>
        <v>0.44</v>
      </c>
      <c r="O130" s="4611">
        <f t="shared" si="29"/>
        <v>0</v>
      </c>
    </row>
    <row r="131" spans="2:15" s="3543" customFormat="1" hidden="1">
      <c r="B131" s="4613" t="s">
        <v>572</v>
      </c>
      <c r="C131" s="1040" t="s">
        <v>1910</v>
      </c>
      <c r="D131" s="4614">
        <v>29.27</v>
      </c>
      <c r="E131" s="3546"/>
      <c r="F131" s="1040"/>
      <c r="G131" s="4615">
        <v>11.03</v>
      </c>
      <c r="H131" s="1040"/>
      <c r="I131" s="1040"/>
      <c r="J131" s="4563">
        <v>4.91</v>
      </c>
      <c r="K131" s="4563">
        <v>15.94</v>
      </c>
      <c r="L131" s="1040"/>
      <c r="M131" s="1040"/>
      <c r="N131" s="4563">
        <f t="shared" si="28"/>
        <v>15.94</v>
      </c>
      <c r="O131" s="4611">
        <f t="shared" si="29"/>
        <v>0</v>
      </c>
    </row>
    <row r="132" spans="2:15" s="3543" customFormat="1" hidden="1">
      <c r="B132" s="4613" t="s">
        <v>573</v>
      </c>
      <c r="C132" s="1040" t="s">
        <v>1910</v>
      </c>
      <c r="D132" s="4616">
        <v>42.6</v>
      </c>
      <c r="E132" s="3546"/>
      <c r="F132" s="1040"/>
      <c r="G132" s="4615">
        <v>0.44</v>
      </c>
      <c r="H132" s="1040"/>
      <c r="I132" s="1040"/>
      <c r="J132" s="4563">
        <v>0.41</v>
      </c>
      <c r="K132" s="4563">
        <v>0.61</v>
      </c>
      <c r="L132" s="1040"/>
      <c r="M132" s="1040"/>
      <c r="N132" s="4563">
        <f>SUM(K132:M132)</f>
        <v>0.61</v>
      </c>
      <c r="O132" s="4611">
        <f t="shared" si="29"/>
        <v>0.24</v>
      </c>
    </row>
    <row r="133" spans="2:15" s="3543" customFormat="1" hidden="1">
      <c r="B133" s="4617" t="s">
        <v>574</v>
      </c>
      <c r="C133" s="4618" t="s">
        <v>1910</v>
      </c>
      <c r="D133" s="4619">
        <v>33.950000000000003</v>
      </c>
      <c r="E133" s="3546"/>
      <c r="F133" s="1040"/>
      <c r="G133" s="4615">
        <v>0</v>
      </c>
      <c r="H133" s="1040"/>
      <c r="I133" s="1040"/>
      <c r="J133" s="4563">
        <v>1.42</v>
      </c>
      <c r="K133" s="4563">
        <v>1.42</v>
      </c>
      <c r="L133" s="1040"/>
      <c r="M133" s="1040"/>
      <c r="N133" s="4563">
        <f t="shared" si="28"/>
        <v>1.42</v>
      </c>
      <c r="O133" s="4611">
        <f t="shared" si="29"/>
        <v>0</v>
      </c>
    </row>
    <row r="134" spans="2:15" s="3543" customFormat="1" hidden="1">
      <c r="B134" s="4617" t="s">
        <v>3432</v>
      </c>
      <c r="C134" s="4618" t="s">
        <v>1910</v>
      </c>
      <c r="D134" s="4619">
        <v>36.630000000000003</v>
      </c>
      <c r="E134" s="3546"/>
      <c r="F134" s="3553"/>
      <c r="G134" s="4615">
        <v>0</v>
      </c>
      <c r="H134" s="3554"/>
      <c r="I134" s="3554"/>
      <c r="J134" s="4563">
        <v>0</v>
      </c>
      <c r="K134" s="1040">
        <v>0</v>
      </c>
      <c r="L134" s="3554"/>
      <c r="M134" s="3554"/>
      <c r="N134" s="4563">
        <f>SUM(K134:M134)</f>
        <v>0</v>
      </c>
      <c r="O134" s="4611">
        <f t="shared" si="29"/>
        <v>0</v>
      </c>
    </row>
    <row r="135" spans="2:15" s="3543" customFormat="1" hidden="1">
      <c r="B135" s="4617"/>
      <c r="C135" s="4618"/>
      <c r="D135" s="4619"/>
      <c r="E135" s="3546"/>
      <c r="F135" s="3553"/>
      <c r="G135" s="4615"/>
      <c r="H135" s="4559"/>
      <c r="I135" s="4559"/>
      <c r="J135" s="4563"/>
      <c r="K135" s="1040"/>
      <c r="L135" s="4559"/>
      <c r="M135" s="4559"/>
      <c r="N135" s="4563"/>
      <c r="O135" s="4611"/>
    </row>
    <row r="136" spans="2:15" s="3543" customFormat="1" ht="31.5" hidden="1">
      <c r="B136" s="4613"/>
      <c r="C136" s="1041" t="s">
        <v>599</v>
      </c>
      <c r="D136" s="4613"/>
      <c r="E136" s="3546"/>
      <c r="F136" s="1040"/>
      <c r="G136" s="4620">
        <f>SUM(G138:G138)</f>
        <v>0.01</v>
      </c>
      <c r="H136" s="1040"/>
      <c r="I136" s="1040"/>
      <c r="J136" s="4620">
        <f>SUM(J138:J138)</f>
        <v>21.47</v>
      </c>
      <c r="K136" s="4620">
        <f>SUM(K138:K138)</f>
        <v>21.48</v>
      </c>
      <c r="L136" s="1040"/>
      <c r="M136" s="1040"/>
      <c r="N136" s="4620">
        <f>SUM(N138:N138)</f>
        <v>21.48</v>
      </c>
      <c r="O136" s="4620">
        <f>SUM(O138:O138)</f>
        <v>0</v>
      </c>
    </row>
    <row r="137" spans="2:15" s="3543" customFormat="1" hidden="1">
      <c r="B137" s="4613" t="s">
        <v>2319</v>
      </c>
      <c r="C137" s="1040" t="s">
        <v>3427</v>
      </c>
      <c r="D137" s="1040">
        <v>48.92</v>
      </c>
      <c r="E137" s="3546"/>
      <c r="F137" s="1040"/>
      <c r="G137" s="4615">
        <v>0</v>
      </c>
      <c r="H137" s="1040"/>
      <c r="I137" s="1040"/>
      <c r="J137" s="4615">
        <v>0</v>
      </c>
      <c r="K137" s="4615">
        <v>0</v>
      </c>
      <c r="L137" s="1040"/>
      <c r="M137" s="1040"/>
      <c r="N137" s="4615">
        <v>0</v>
      </c>
      <c r="O137" s="4615">
        <v>0</v>
      </c>
    </row>
    <row r="138" spans="2:15" s="3543" customFormat="1" hidden="1">
      <c r="B138" s="4617" t="s">
        <v>2322</v>
      </c>
      <c r="C138" s="4618" t="s">
        <v>1911</v>
      </c>
      <c r="D138" s="4644">
        <v>104.86</v>
      </c>
      <c r="E138" s="3546"/>
      <c r="F138" s="1040"/>
      <c r="G138" s="4622">
        <v>0.01</v>
      </c>
      <c r="H138" s="1040"/>
      <c r="I138" s="1040"/>
      <c r="J138" s="4563">
        <v>21.47</v>
      </c>
      <c r="K138" s="4563">
        <v>21.48</v>
      </c>
      <c r="L138" s="1040"/>
      <c r="M138" s="1040"/>
      <c r="N138" s="4558">
        <f>SUM(K138:M138)</f>
        <v>21.48</v>
      </c>
      <c r="O138" s="4611">
        <f t="shared" ref="O138" si="30">G138+J138-N138</f>
        <v>0</v>
      </c>
    </row>
    <row r="139" spans="2:15" s="3543" customFormat="1" hidden="1">
      <c r="B139" s="4617"/>
      <c r="C139" s="4618"/>
      <c r="D139" s="4644"/>
      <c r="E139" s="3546"/>
      <c r="F139" s="3553"/>
      <c r="G139" s="4622"/>
      <c r="H139" s="3555"/>
      <c r="I139" s="3555"/>
      <c r="J139" s="4563"/>
      <c r="K139" s="4563"/>
      <c r="L139" s="3556"/>
      <c r="M139" s="3556"/>
      <c r="N139" s="4558"/>
      <c r="O139" s="4611"/>
    </row>
    <row r="140" spans="2:15" s="3543" customFormat="1" hidden="1">
      <c r="B140" s="4613"/>
      <c r="C140" s="1041" t="s">
        <v>600</v>
      </c>
      <c r="D140" s="4613"/>
      <c r="E140" s="3546"/>
      <c r="F140" s="1040"/>
      <c r="G140" s="4620">
        <f>G141</f>
        <v>0.05</v>
      </c>
      <c r="H140" s="1040"/>
      <c r="I140" s="1040"/>
      <c r="J140" s="4620">
        <f>SUM(J141:J141)</f>
        <v>41.39</v>
      </c>
      <c r="K140" s="4620">
        <f>SUM(K141:K141)</f>
        <v>41.44</v>
      </c>
      <c r="L140" s="1040"/>
      <c r="M140" s="1040"/>
      <c r="N140" s="4620">
        <f>SUM(N141:N141)</f>
        <v>41.44</v>
      </c>
      <c r="O140" s="4621">
        <f>G140+J140-N140</f>
        <v>0</v>
      </c>
    </row>
    <row r="141" spans="2:15" s="3543" customFormat="1" hidden="1">
      <c r="B141" s="4613" t="s">
        <v>2323</v>
      </c>
      <c r="C141" s="1040" t="s">
        <v>600</v>
      </c>
      <c r="D141" s="4563">
        <v>52.77</v>
      </c>
      <c r="E141" s="3546"/>
      <c r="F141" s="1040"/>
      <c r="G141" s="4622">
        <v>0.05</v>
      </c>
      <c r="H141" s="1040"/>
      <c r="I141" s="1040"/>
      <c r="J141" s="1040">
        <v>41.39</v>
      </c>
      <c r="K141" s="1040">
        <v>41.44</v>
      </c>
      <c r="L141" s="1040"/>
      <c r="M141" s="1040"/>
      <c r="N141" s="1038">
        <f>SUM(K141:M141)</f>
        <v>41.44</v>
      </c>
      <c r="O141" s="4611">
        <f t="shared" ref="O141" si="31">G141+J141-N141</f>
        <v>0</v>
      </c>
    </row>
    <row r="142" spans="2:15" s="3543" customFormat="1" hidden="1">
      <c r="B142" s="4613"/>
      <c r="C142" s="1040"/>
      <c r="D142" s="4563"/>
      <c r="E142" s="3546"/>
      <c r="F142" s="1040"/>
      <c r="G142" s="4622"/>
      <c r="H142" s="1040"/>
      <c r="I142" s="1040"/>
      <c r="J142" s="1040"/>
      <c r="K142" s="1040"/>
      <c r="L142" s="1041"/>
      <c r="M142" s="1041"/>
      <c r="N142" s="1038"/>
      <c r="O142" s="4611"/>
    </row>
    <row r="143" spans="2:15" s="3543" customFormat="1" hidden="1">
      <c r="B143" s="4613"/>
      <c r="C143" s="1041" t="s">
        <v>576</v>
      </c>
      <c r="D143" s="1040"/>
      <c r="E143" s="3546"/>
      <c r="F143" s="1040"/>
      <c r="G143" s="4620">
        <v>0</v>
      </c>
      <c r="H143" s="1040"/>
      <c r="I143" s="1040"/>
      <c r="J143" s="4620">
        <f>J144</f>
        <v>12.6</v>
      </c>
      <c r="K143" s="4620">
        <f>K144</f>
        <v>12.6</v>
      </c>
      <c r="L143" s="1040"/>
      <c r="M143" s="1040"/>
      <c r="N143" s="4620">
        <f>SUM(N144:N144)</f>
        <v>12.6</v>
      </c>
      <c r="O143" s="4621">
        <f>G143+J143-N143</f>
        <v>0</v>
      </c>
    </row>
    <row r="144" spans="2:15" s="3543" customFormat="1" hidden="1">
      <c r="B144" s="4613" t="s">
        <v>3428</v>
      </c>
      <c r="C144" s="1040" t="s">
        <v>576</v>
      </c>
      <c r="D144" s="1040">
        <v>20.89</v>
      </c>
      <c r="E144" s="3546"/>
      <c r="F144" s="1040"/>
      <c r="G144" s="4622">
        <v>0</v>
      </c>
      <c r="H144" s="1040"/>
      <c r="I144" s="1040"/>
      <c r="J144" s="4563">
        <v>12.6</v>
      </c>
      <c r="K144" s="4563">
        <v>12.6</v>
      </c>
      <c r="L144" s="1040"/>
      <c r="M144" s="1040"/>
      <c r="N144" s="1038">
        <f>SUM(K144:M144)</f>
        <v>12.6</v>
      </c>
      <c r="O144" s="4611">
        <f t="shared" ref="O144" si="32">G144+J144-N144</f>
        <v>0</v>
      </c>
    </row>
    <row r="145" spans="2:22" s="3543" customFormat="1" hidden="1">
      <c r="B145" s="4613"/>
      <c r="C145" s="1040"/>
      <c r="D145" s="1040"/>
      <c r="E145" s="3546"/>
      <c r="F145" s="3553"/>
      <c r="G145" s="4621"/>
      <c r="H145" s="3553"/>
      <c r="I145" s="3553"/>
      <c r="J145" s="1040"/>
      <c r="K145" s="1040"/>
      <c r="L145" s="3556"/>
      <c r="M145" s="3556"/>
      <c r="N145" s="1040"/>
      <c r="O145" s="3558"/>
    </row>
    <row r="146" spans="2:22" s="3543" customFormat="1" hidden="1">
      <c r="B146" s="4613"/>
      <c r="C146" s="1041" t="s">
        <v>601</v>
      </c>
      <c r="D146" s="4613"/>
      <c r="E146" s="3546"/>
      <c r="F146" s="1040"/>
      <c r="G146" s="4620">
        <v>5.09</v>
      </c>
      <c r="H146" s="1040"/>
      <c r="I146" s="1040"/>
      <c r="J146" s="4620">
        <f>SUM(J147:J149)</f>
        <v>0.37</v>
      </c>
      <c r="K146" s="4620">
        <v>2.52</v>
      </c>
      <c r="L146" s="1040"/>
      <c r="M146" s="1040"/>
      <c r="N146" s="4620">
        <f>K146</f>
        <v>2.52</v>
      </c>
      <c r="O146" s="4620">
        <f t="shared" ref="O146" si="33">SUM(O147:O149)</f>
        <v>2.9450000000000003</v>
      </c>
    </row>
    <row r="147" spans="2:22" s="3543" customFormat="1" hidden="1">
      <c r="B147" s="4613" t="s">
        <v>578</v>
      </c>
      <c r="C147" s="1040" t="s">
        <v>601</v>
      </c>
      <c r="D147" s="1040">
        <v>25.65</v>
      </c>
      <c r="E147" s="3546"/>
      <c r="F147" s="1040"/>
      <c r="G147" s="4563">
        <v>4.16</v>
      </c>
      <c r="H147" s="1040"/>
      <c r="I147" s="1040"/>
      <c r="J147" s="1040">
        <v>0.33</v>
      </c>
      <c r="K147" s="4563">
        <v>2.2850000000000001</v>
      </c>
      <c r="L147" s="1040"/>
      <c r="M147" s="1040"/>
      <c r="N147" s="4563">
        <f>SUM(K147:M147)</f>
        <v>2.2850000000000001</v>
      </c>
      <c r="O147" s="4611">
        <f>G147+J147-N147</f>
        <v>2.2050000000000001</v>
      </c>
    </row>
    <row r="148" spans="2:22" s="3543" customFormat="1" hidden="1">
      <c r="B148" s="4613" t="s">
        <v>577</v>
      </c>
      <c r="C148" s="1040" t="s">
        <v>149</v>
      </c>
      <c r="D148" s="1040">
        <v>51.66</v>
      </c>
      <c r="E148" s="3546"/>
      <c r="F148" s="1040"/>
      <c r="G148" s="4563">
        <v>0</v>
      </c>
      <c r="H148" s="1040"/>
      <c r="I148" s="1040"/>
      <c r="J148" s="4563">
        <v>0</v>
      </c>
      <c r="K148" s="4563">
        <v>0</v>
      </c>
      <c r="L148" s="1040"/>
      <c r="M148" s="1040"/>
      <c r="N148" s="4563">
        <f t="shared" ref="N148:N149" si="34">SUM(K148:M148)</f>
        <v>0</v>
      </c>
      <c r="O148" s="4611">
        <v>0</v>
      </c>
    </row>
    <row r="149" spans="2:22" s="3543" customFormat="1" hidden="1">
      <c r="B149" s="4613" t="s">
        <v>580</v>
      </c>
      <c r="C149" s="1040" t="s">
        <v>579</v>
      </c>
      <c r="D149" s="1040">
        <v>36.11</v>
      </c>
      <c r="E149" s="3546"/>
      <c r="F149" s="1040"/>
      <c r="G149" s="4622">
        <v>0.93</v>
      </c>
      <c r="H149" s="1040"/>
      <c r="I149" s="1040"/>
      <c r="J149" s="1040">
        <v>0.04</v>
      </c>
      <c r="K149" s="1040">
        <v>0.23</v>
      </c>
      <c r="L149" s="1040"/>
      <c r="M149" s="1040"/>
      <c r="N149" s="4563">
        <f t="shared" si="34"/>
        <v>0.23</v>
      </c>
      <c r="O149" s="4611">
        <f t="shared" ref="O149" si="35">G149+J149-N149</f>
        <v>0.7400000000000001</v>
      </c>
    </row>
    <row r="150" spans="2:22" s="3543" customFormat="1" hidden="1">
      <c r="B150" s="4613"/>
      <c r="C150" s="1040"/>
      <c r="D150" s="4614"/>
      <c r="E150" s="3546"/>
      <c r="F150" s="3553"/>
      <c r="G150" s="4615"/>
      <c r="H150" s="3553"/>
      <c r="I150" s="3553"/>
      <c r="J150" s="1040"/>
      <c r="K150" s="1040"/>
      <c r="L150" s="3558"/>
      <c r="M150" s="3558"/>
      <c r="N150" s="1040"/>
      <c r="O150" s="4615"/>
    </row>
    <row r="151" spans="2:22" s="3543" customFormat="1" hidden="1">
      <c r="B151" s="4613"/>
      <c r="C151" s="4623" t="s">
        <v>2315</v>
      </c>
      <c r="D151" s="4624"/>
      <c r="E151" s="3546"/>
      <c r="F151" s="1040"/>
      <c r="G151" s="3557">
        <v>7.37</v>
      </c>
      <c r="H151" s="1040"/>
      <c r="I151" s="1040"/>
      <c r="J151" s="3557">
        <f>SUM(J152:J155)</f>
        <v>13.729999999999999</v>
      </c>
      <c r="K151" s="3557">
        <f>SUM(K152:K155)</f>
        <v>17.529999999999998</v>
      </c>
      <c r="L151" s="1040"/>
      <c r="M151" s="1040"/>
      <c r="N151" s="3557">
        <f>SUM(N152:N155)</f>
        <v>17.529999999999998</v>
      </c>
      <c r="O151" s="3557">
        <f>SUM(O152:O155)</f>
        <v>3.5700000000000003</v>
      </c>
    </row>
    <row r="152" spans="2:22" s="3543" customFormat="1" hidden="1">
      <c r="B152" s="4613"/>
      <c r="C152" s="4625" t="s">
        <v>1913</v>
      </c>
      <c r="D152" s="1040"/>
      <c r="E152" s="3546"/>
      <c r="F152" s="1040"/>
      <c r="G152" s="4563">
        <v>3</v>
      </c>
      <c r="H152" s="1040"/>
      <c r="I152" s="1040"/>
      <c r="J152" s="4563">
        <v>11.01</v>
      </c>
      <c r="K152" s="4563">
        <v>10.44</v>
      </c>
      <c r="L152" s="1040"/>
      <c r="M152" s="1040"/>
      <c r="N152" s="1040">
        <f>SUM(K152:M152)</f>
        <v>10.44</v>
      </c>
      <c r="O152" s="4563">
        <f>G152+J152-N152</f>
        <v>3.5700000000000003</v>
      </c>
    </row>
    <row r="153" spans="2:22" s="3543" customFormat="1" hidden="1">
      <c r="B153" s="4613"/>
      <c r="C153" s="4626" t="s">
        <v>1914</v>
      </c>
      <c r="D153" s="1040"/>
      <c r="E153" s="3546"/>
      <c r="F153" s="1040"/>
      <c r="G153" s="4563">
        <v>4.37</v>
      </c>
      <c r="H153" s="1040"/>
      <c r="I153" s="1040"/>
      <c r="J153" s="1040">
        <v>1.66</v>
      </c>
      <c r="K153" s="4563">
        <f>G153+J153</f>
        <v>6.03</v>
      </c>
      <c r="L153" s="1040"/>
      <c r="M153" s="1040"/>
      <c r="N153" s="1040">
        <f>K153</f>
        <v>6.03</v>
      </c>
      <c r="O153" s="4563">
        <f>G153+J153-N153</f>
        <v>0</v>
      </c>
    </row>
    <row r="154" spans="2:22" s="3543" customFormat="1" hidden="1">
      <c r="B154" s="4613"/>
      <c r="C154" s="4625" t="s">
        <v>1915</v>
      </c>
      <c r="D154" s="1040"/>
      <c r="E154" s="3546"/>
      <c r="F154" s="3553"/>
      <c r="G154" s="4563">
        <v>0</v>
      </c>
      <c r="H154" s="3553"/>
      <c r="I154" s="3553"/>
      <c r="J154" s="1040">
        <v>0.77</v>
      </c>
      <c r="K154" s="1040">
        <v>0.77</v>
      </c>
      <c r="L154" s="3558"/>
      <c r="M154" s="3558"/>
      <c r="N154" s="1040">
        <f>K154</f>
        <v>0.77</v>
      </c>
      <c r="O154" s="4563">
        <f>G154+J154-N154</f>
        <v>0</v>
      </c>
      <c r="T154" s="3543" t="s">
        <v>3429</v>
      </c>
    </row>
    <row r="155" spans="2:22" s="3543" customFormat="1" ht="18.75" hidden="1">
      <c r="B155" s="4613"/>
      <c r="C155" s="4625" t="s">
        <v>1916</v>
      </c>
      <c r="D155" s="4613"/>
      <c r="E155" s="3546"/>
      <c r="F155" s="4628"/>
      <c r="G155" s="4563">
        <v>0</v>
      </c>
      <c r="H155" s="4629"/>
      <c r="I155" s="4629"/>
      <c r="J155" s="3558">
        <v>0.28999999999999998</v>
      </c>
      <c r="K155" s="3558">
        <v>0.28999999999999998</v>
      </c>
      <c r="L155" s="4629"/>
      <c r="M155" s="4629"/>
      <c r="N155" s="1040">
        <f>K155</f>
        <v>0.28999999999999998</v>
      </c>
      <c r="O155" s="4563">
        <f>G155+J155-N155</f>
        <v>0</v>
      </c>
      <c r="T155" s="4556" t="e">
        <f>#REF!+J155</f>
        <v>#REF!</v>
      </c>
      <c r="U155" s="4556"/>
      <c r="V155" s="4556"/>
    </row>
    <row r="156" spans="2:22" s="3543" customFormat="1" hidden="1">
      <c r="B156" s="4627" t="s">
        <v>47</v>
      </c>
      <c r="C156" s="4627"/>
      <c r="D156" s="4627"/>
      <c r="E156" s="3546"/>
      <c r="F156" s="3546"/>
      <c r="G156" s="4629">
        <v>47.68</v>
      </c>
      <c r="H156" s="4629"/>
      <c r="I156" s="4629"/>
      <c r="J156" s="4629">
        <v>110.25</v>
      </c>
      <c r="K156" s="4629">
        <f>K115+K126+K136+K140+K143+K146+K151</f>
        <v>151.17500000000001</v>
      </c>
      <c r="L156" s="4629"/>
      <c r="M156" s="4629"/>
      <c r="N156" s="4629">
        <f>N115+N126+N136+N140+N143+N146+N151</f>
        <v>151.17500000000001</v>
      </c>
      <c r="O156" s="4629">
        <f>G156+J156-K156</f>
        <v>6.7549999999999955</v>
      </c>
    </row>
    <row r="157" spans="2:22" s="3543" customFormat="1" hidden="1">
      <c r="B157" s="3548"/>
      <c r="C157" s="3548"/>
      <c r="D157" s="3548"/>
      <c r="E157" s="3551"/>
    </row>
    <row r="158" spans="2:22" s="3543" customFormat="1" hidden="1"/>
    <row r="159" spans="2:22" s="3543" customFormat="1" hidden="1">
      <c r="B159" s="3541" t="s">
        <v>3430</v>
      </c>
      <c r="C159" s="3541"/>
      <c r="D159" s="3541"/>
      <c r="E159" s="3541"/>
      <c r="F159" s="3541"/>
      <c r="G159" s="3541"/>
      <c r="H159" s="4554"/>
      <c r="O159" s="3544"/>
    </row>
    <row r="160" spans="2:22" s="3543" customFormat="1" hidden="1">
      <c r="B160" s="3544" t="s">
        <v>3431</v>
      </c>
      <c r="C160" s="3544"/>
      <c r="D160" s="3544"/>
      <c r="E160" s="3544"/>
      <c r="F160" s="4554"/>
      <c r="M160" s="3544"/>
      <c r="O160" s="3545" t="s">
        <v>581</v>
      </c>
    </row>
    <row r="161" spans="2:22" s="3543" customFormat="1" ht="47.25" hidden="1" customHeight="1">
      <c r="B161" s="5673" t="s">
        <v>582</v>
      </c>
      <c r="C161" s="5673" t="s">
        <v>587</v>
      </c>
      <c r="D161" s="5673" t="s">
        <v>588</v>
      </c>
      <c r="E161" s="5674" t="s">
        <v>589</v>
      </c>
      <c r="F161" s="5674" t="s">
        <v>590</v>
      </c>
      <c r="G161" s="5674" t="s">
        <v>591</v>
      </c>
      <c r="H161" s="4606" t="s">
        <v>592</v>
      </c>
      <c r="I161" s="4606"/>
      <c r="J161" s="4606"/>
      <c r="K161" s="4606" t="s">
        <v>241</v>
      </c>
      <c r="L161" s="5674" t="s">
        <v>1904</v>
      </c>
      <c r="M161" s="5674" t="s">
        <v>594</v>
      </c>
      <c r="N161" s="5674" t="s">
        <v>595</v>
      </c>
      <c r="O161" s="5673" t="s">
        <v>593</v>
      </c>
    </row>
    <row r="162" spans="2:22" s="3543" customFormat="1" ht="31.5" hidden="1">
      <c r="B162" s="5673"/>
      <c r="C162" s="5673"/>
      <c r="D162" s="5673"/>
      <c r="E162" s="5675"/>
      <c r="F162" s="5675"/>
      <c r="G162" s="5675"/>
      <c r="H162" s="4606" t="s">
        <v>1900</v>
      </c>
      <c r="I162" s="4606" t="s">
        <v>1901</v>
      </c>
      <c r="J162" s="4606" t="s">
        <v>1902</v>
      </c>
      <c r="K162" s="4606" t="s">
        <v>1903</v>
      </c>
      <c r="L162" s="5675"/>
      <c r="M162" s="5675"/>
      <c r="N162" s="5675"/>
      <c r="O162" s="5673"/>
    </row>
    <row r="163" spans="2:22" s="3543" customFormat="1" hidden="1">
      <c r="B163" s="5673"/>
      <c r="C163" s="5673"/>
      <c r="D163" s="5673"/>
      <c r="E163" s="5676"/>
      <c r="F163" s="5676"/>
      <c r="G163" s="5676"/>
      <c r="H163" s="4606" t="s">
        <v>1905</v>
      </c>
      <c r="I163" s="4606" t="s">
        <v>1906</v>
      </c>
      <c r="J163" s="4606" t="s">
        <v>1906</v>
      </c>
      <c r="K163" s="4606"/>
      <c r="L163" s="5676"/>
      <c r="M163" s="5676"/>
      <c r="N163" s="5676"/>
      <c r="O163" s="5673"/>
    </row>
    <row r="164" spans="2:22" s="3543" customFormat="1" hidden="1">
      <c r="B164" s="3546"/>
      <c r="C164" s="3546"/>
      <c r="D164" s="3546"/>
      <c r="E164" s="3546"/>
      <c r="F164" s="3546"/>
      <c r="G164" s="3546"/>
      <c r="H164" s="3546"/>
      <c r="I164" s="3546"/>
      <c r="J164" s="3546"/>
      <c r="K164" s="3546"/>
      <c r="L164" s="3546"/>
      <c r="M164" s="3546"/>
      <c r="N164" s="3546"/>
      <c r="O164" s="3546"/>
    </row>
    <row r="165" spans="2:22" s="3543" customFormat="1" hidden="1">
      <c r="B165" s="4607"/>
      <c r="C165" s="1037" t="s">
        <v>2316</v>
      </c>
      <c r="D165" s="4607"/>
      <c r="E165" s="3546"/>
      <c r="F165" s="3546"/>
      <c r="G165" s="3546"/>
      <c r="H165" s="3546"/>
      <c r="I165" s="3546"/>
      <c r="J165" s="3546"/>
      <c r="K165" s="3546"/>
      <c r="L165" s="3546"/>
      <c r="M165" s="3546"/>
      <c r="N165" s="3546"/>
      <c r="O165" s="3546"/>
    </row>
    <row r="166" spans="2:22" s="3543" customFormat="1" hidden="1">
      <c r="B166" s="4607"/>
      <c r="C166" s="4607"/>
      <c r="D166" s="4607"/>
      <c r="E166" s="3546"/>
      <c r="F166" s="3546"/>
      <c r="G166" s="3546"/>
      <c r="H166" s="3546"/>
      <c r="I166" s="3546"/>
      <c r="J166" s="3546"/>
      <c r="K166" s="3546"/>
      <c r="L166" s="3546"/>
      <c r="M166" s="3546"/>
      <c r="N166" s="3546"/>
      <c r="O166" s="3546"/>
    </row>
    <row r="167" spans="2:22" s="3543" customFormat="1" hidden="1">
      <c r="B167" s="4607"/>
      <c r="C167" s="4608" t="s">
        <v>596</v>
      </c>
      <c r="D167" s="4607"/>
      <c r="E167" s="3546"/>
      <c r="F167" s="3546"/>
      <c r="G167" s="4609">
        <v>9.9999999999944578E-4</v>
      </c>
      <c r="H167" s="3547"/>
      <c r="I167" s="3547"/>
      <c r="J167" s="4609">
        <f>SUM(J169:J176)</f>
        <v>34.53</v>
      </c>
      <c r="K167" s="4609">
        <f>SUM(K169:K176)</f>
        <v>34.53</v>
      </c>
      <c r="L167" s="3547"/>
      <c r="M167" s="3547"/>
      <c r="N167" s="4609">
        <f>SUM(N169:N176)</f>
        <v>34.53</v>
      </c>
      <c r="O167" s="4609">
        <f>SUM(O169:O176)</f>
        <v>0</v>
      </c>
      <c r="S167" s="3543" t="s">
        <v>3416</v>
      </c>
      <c r="T167" s="4561">
        <v>34.53</v>
      </c>
      <c r="U167" s="3543">
        <f>SUM(U165:U166)</f>
        <v>0</v>
      </c>
    </row>
    <row r="168" spans="2:22" s="3543" customFormat="1" hidden="1">
      <c r="B168" s="4607" t="s">
        <v>3418</v>
      </c>
      <c r="C168" s="1038" t="s">
        <v>1907</v>
      </c>
      <c r="D168" s="4610">
        <v>42.09</v>
      </c>
      <c r="E168" s="3546"/>
      <c r="F168" s="3546"/>
      <c r="G168" s="4611">
        <v>0</v>
      </c>
      <c r="H168" s="3547"/>
      <c r="I168" s="3547"/>
      <c r="J168" s="4609"/>
      <c r="K168" s="4609"/>
      <c r="L168" s="3547"/>
      <c r="M168" s="3547"/>
      <c r="N168" s="4609"/>
      <c r="O168" s="4609"/>
      <c r="S168" s="3543" t="s">
        <v>3417</v>
      </c>
      <c r="T168" s="4556">
        <v>39.28</v>
      </c>
      <c r="U168" s="4562">
        <v>43.95</v>
      </c>
      <c r="V168" s="3543">
        <v>39.28</v>
      </c>
    </row>
    <row r="169" spans="2:22" s="3543" customFormat="1" hidden="1">
      <c r="B169" s="4607" t="s">
        <v>564</v>
      </c>
      <c r="C169" s="1038" t="s">
        <v>1907</v>
      </c>
      <c r="D169" s="4558">
        <v>38</v>
      </c>
      <c r="E169" s="1038"/>
      <c r="F169" s="1038"/>
      <c r="G169" s="4611">
        <v>0</v>
      </c>
      <c r="H169" s="1038"/>
      <c r="I169" s="1038"/>
      <c r="J169" s="4558">
        <f>0.88+2.2</f>
        <v>3.08</v>
      </c>
      <c r="K169" s="4558">
        <v>3.08</v>
      </c>
      <c r="L169" s="1038"/>
      <c r="M169" s="1038"/>
      <c r="N169" s="4558">
        <f>SUM(K169:M169)</f>
        <v>3.08</v>
      </c>
      <c r="O169" s="4611">
        <f t="shared" ref="O169:O175" si="36">G169+J169-N169</f>
        <v>0</v>
      </c>
      <c r="T169" s="4556">
        <v>4.67</v>
      </c>
      <c r="U169" s="3543">
        <v>1.44</v>
      </c>
      <c r="V169" s="3543">
        <v>4.67</v>
      </c>
    </row>
    <row r="170" spans="2:22" s="3543" customFormat="1" hidden="1">
      <c r="B170" s="4607" t="s">
        <v>565</v>
      </c>
      <c r="C170" s="1038" t="s">
        <v>1908</v>
      </c>
      <c r="D170" s="1038">
        <v>14.98</v>
      </c>
      <c r="E170" s="1038"/>
      <c r="F170" s="1038"/>
      <c r="G170" s="4611">
        <v>0</v>
      </c>
      <c r="H170" s="1038"/>
      <c r="I170" s="1038"/>
      <c r="J170" s="4558"/>
      <c r="K170" s="4558"/>
      <c r="L170" s="1038"/>
      <c r="M170" s="1038"/>
      <c r="N170" s="4558"/>
      <c r="O170" s="4611">
        <f t="shared" si="36"/>
        <v>0</v>
      </c>
      <c r="S170" s="3543" t="s">
        <v>3420</v>
      </c>
      <c r="T170" s="4562">
        <v>27.28</v>
      </c>
    </row>
    <row r="171" spans="2:22" s="3543" customFormat="1" hidden="1">
      <c r="B171" s="4607" t="s">
        <v>567</v>
      </c>
      <c r="C171" s="1038" t="s">
        <v>1907</v>
      </c>
      <c r="D171" s="1038">
        <v>84.77000000000001</v>
      </c>
      <c r="E171" s="1038"/>
      <c r="F171" s="1038"/>
      <c r="G171" s="4611">
        <v>0</v>
      </c>
      <c r="H171" s="1038"/>
      <c r="I171" s="1038"/>
      <c r="J171" s="4558">
        <f>0.25+0.28+0.4+0.88</f>
        <v>1.81</v>
      </c>
      <c r="K171" s="4558">
        <v>1.81</v>
      </c>
      <c r="L171" s="1038"/>
      <c r="M171" s="1038"/>
      <c r="N171" s="4558">
        <f t="shared" ref="N171:N176" si="37">SUM(K171:M171)</f>
        <v>1.81</v>
      </c>
      <c r="O171" s="4611">
        <f t="shared" si="36"/>
        <v>0</v>
      </c>
      <c r="S171" s="3543" t="s">
        <v>3421</v>
      </c>
      <c r="T171" s="4562">
        <v>38.71</v>
      </c>
    </row>
    <row r="172" spans="2:22" s="3543" customFormat="1" hidden="1">
      <c r="B172" s="4607" t="s">
        <v>568</v>
      </c>
      <c r="C172" s="1038" t="s">
        <v>1907</v>
      </c>
      <c r="D172" s="1038">
        <v>30.070000000000004</v>
      </c>
      <c r="E172" s="1038"/>
      <c r="F172" s="1038"/>
      <c r="G172" s="4611">
        <v>0</v>
      </c>
      <c r="H172" s="1038"/>
      <c r="I172" s="1038"/>
      <c r="J172" s="4558"/>
      <c r="K172" s="4558"/>
      <c r="L172" s="1038"/>
      <c r="M172" s="1038"/>
      <c r="N172" s="4558"/>
      <c r="O172" s="4611">
        <f t="shared" si="36"/>
        <v>0</v>
      </c>
      <c r="S172" s="3543" t="s">
        <v>3422</v>
      </c>
      <c r="T172" s="4562">
        <v>23.03</v>
      </c>
    </row>
    <row r="173" spans="2:22" s="3543" customFormat="1" hidden="1">
      <c r="B173" s="4607" t="s">
        <v>570</v>
      </c>
      <c r="C173" s="1038" t="s">
        <v>1907</v>
      </c>
      <c r="D173" s="1038">
        <v>23.54</v>
      </c>
      <c r="E173" s="1038"/>
      <c r="F173" s="1038"/>
      <c r="G173" s="4611">
        <v>0</v>
      </c>
      <c r="H173" s="1038"/>
      <c r="I173" s="1038"/>
      <c r="J173" s="4558">
        <f>0.25+0.88</f>
        <v>1.1299999999999999</v>
      </c>
      <c r="K173" s="4558">
        <v>1.1299999999999999</v>
      </c>
      <c r="L173" s="1038"/>
      <c r="M173" s="1038"/>
      <c r="N173" s="4558">
        <f t="shared" si="37"/>
        <v>1.1299999999999999</v>
      </c>
      <c r="O173" s="4611">
        <f t="shared" si="36"/>
        <v>0</v>
      </c>
      <c r="S173" s="3543" t="s">
        <v>3423</v>
      </c>
      <c r="T173" s="4562">
        <v>14.02</v>
      </c>
    </row>
    <row r="174" spans="2:22" s="3543" customFormat="1" hidden="1">
      <c r="B174" s="4607" t="s">
        <v>571</v>
      </c>
      <c r="C174" s="1038" t="s">
        <v>1907</v>
      </c>
      <c r="D174" s="1038">
        <v>30.68</v>
      </c>
      <c r="E174" s="1038"/>
      <c r="F174" s="1038"/>
      <c r="G174" s="4611">
        <v>0</v>
      </c>
      <c r="H174" s="1038"/>
      <c r="I174" s="1038"/>
      <c r="J174" s="4558">
        <f>0.8+1.91</f>
        <v>2.71</v>
      </c>
      <c r="K174" s="4558">
        <v>2.71</v>
      </c>
      <c r="L174" s="1038"/>
      <c r="M174" s="1038"/>
      <c r="N174" s="4558">
        <f t="shared" si="37"/>
        <v>2.71</v>
      </c>
      <c r="O174" s="4611">
        <f t="shared" si="36"/>
        <v>0</v>
      </c>
      <c r="S174" s="3543" t="s">
        <v>3424</v>
      </c>
      <c r="T174" s="4562">
        <v>5.47</v>
      </c>
    </row>
    <row r="175" spans="2:22" s="3543" customFormat="1" hidden="1">
      <c r="B175" s="4607" t="s">
        <v>2317</v>
      </c>
      <c r="C175" s="1038" t="s">
        <v>3426</v>
      </c>
      <c r="D175" s="4558">
        <v>40</v>
      </c>
      <c r="E175" s="1038"/>
      <c r="F175" s="1038"/>
      <c r="G175" s="4611">
        <v>0</v>
      </c>
      <c r="H175" s="1038"/>
      <c r="I175" s="1038"/>
      <c r="J175" s="1038">
        <v>1.54</v>
      </c>
      <c r="K175" s="4558">
        <v>1.54</v>
      </c>
      <c r="L175" s="1038"/>
      <c r="M175" s="1038"/>
      <c r="N175" s="4558">
        <f t="shared" si="37"/>
        <v>1.54</v>
      </c>
      <c r="O175" s="4611">
        <f t="shared" si="36"/>
        <v>0</v>
      </c>
      <c r="S175" s="3543" t="s">
        <v>3425</v>
      </c>
      <c r="T175" s="3543">
        <v>3.71</v>
      </c>
    </row>
    <row r="176" spans="2:22" s="3543" customFormat="1" hidden="1">
      <c r="B176" s="4607" t="s">
        <v>3280</v>
      </c>
      <c r="C176" s="1038" t="s">
        <v>1907</v>
      </c>
      <c r="D176" s="1038">
        <v>28.86</v>
      </c>
      <c r="E176" s="1038"/>
      <c r="F176" s="1038"/>
      <c r="G176" s="4611">
        <v>0</v>
      </c>
      <c r="H176" s="1038"/>
      <c r="I176" s="1038"/>
      <c r="J176" s="4558">
        <f>1+19.1+4.16</f>
        <v>24.26</v>
      </c>
      <c r="K176" s="1038">
        <v>24.26</v>
      </c>
      <c r="L176" s="1038"/>
      <c r="M176" s="1038"/>
      <c r="N176" s="4558">
        <f t="shared" si="37"/>
        <v>24.26</v>
      </c>
      <c r="O176" s="4558">
        <v>0</v>
      </c>
      <c r="T176" s="4557">
        <f>SUM(T167:T175)</f>
        <v>190.70000000000002</v>
      </c>
    </row>
    <row r="177" spans="2:19" s="3543" customFormat="1" hidden="1">
      <c r="B177" s="4607"/>
      <c r="C177" s="1038"/>
      <c r="D177" s="1038"/>
      <c r="E177" s="1038"/>
      <c r="F177" s="1038"/>
      <c r="G177" s="4611"/>
      <c r="H177" s="1038"/>
      <c r="I177" s="1038"/>
      <c r="J177" s="1038"/>
      <c r="K177" s="1038"/>
      <c r="L177" s="1038"/>
      <c r="M177" s="1038"/>
      <c r="N177" s="1038"/>
      <c r="O177" s="1038"/>
    </row>
    <row r="178" spans="2:19" s="3543" customFormat="1" hidden="1">
      <c r="B178" s="4607"/>
      <c r="C178" s="4608" t="s">
        <v>597</v>
      </c>
      <c r="D178" s="4607"/>
      <c r="E178" s="3546"/>
      <c r="F178" s="3546"/>
      <c r="G178" s="4609">
        <f>SUM(G179:G185)</f>
        <v>0.24</v>
      </c>
      <c r="H178" s="4609"/>
      <c r="I178" s="3547"/>
      <c r="J178" s="4609">
        <f>SUM(J179:J185)</f>
        <v>37.9</v>
      </c>
      <c r="K178" s="4609">
        <f>SUM(K179:K185)</f>
        <v>38.14</v>
      </c>
      <c r="L178" s="3547"/>
      <c r="M178" s="3547"/>
      <c r="N178" s="4609">
        <f>SUM(N179:N185)</f>
        <v>38.14</v>
      </c>
      <c r="O178" s="4609">
        <f>SUM(O179:O185)</f>
        <v>0</v>
      </c>
      <c r="S178" s="4556">
        <f>J178+S202</f>
        <v>37.9</v>
      </c>
    </row>
    <row r="179" spans="2:19" s="3543" customFormat="1" hidden="1">
      <c r="B179" s="4607" t="s">
        <v>1909</v>
      </c>
      <c r="C179" s="1038" t="s">
        <v>598</v>
      </c>
      <c r="D179" s="1038">
        <v>16.739999999999998</v>
      </c>
      <c r="E179" s="1038"/>
      <c r="F179" s="1038"/>
      <c r="G179" s="4611">
        <v>0</v>
      </c>
      <c r="H179" s="1038"/>
      <c r="I179" s="1038"/>
      <c r="J179" s="4558"/>
      <c r="K179" s="4558"/>
      <c r="L179" s="1038"/>
      <c r="M179" s="1038"/>
      <c r="N179" s="4558"/>
      <c r="O179" s="4611">
        <f t="shared" ref="O179:O187" si="38">G179+J179-N179</f>
        <v>0</v>
      </c>
    </row>
    <row r="180" spans="2:19" s="3543" customFormat="1" hidden="1">
      <c r="B180" s="4607" t="s">
        <v>566</v>
      </c>
      <c r="C180" s="1038" t="s">
        <v>1910</v>
      </c>
      <c r="D180" s="1038">
        <v>14.65</v>
      </c>
      <c r="E180" s="1038"/>
      <c r="F180" s="1038"/>
      <c r="G180" s="4611">
        <v>0</v>
      </c>
      <c r="H180" s="1038"/>
      <c r="I180" s="1038"/>
      <c r="J180" s="4558">
        <f>0.28</f>
        <v>0.28000000000000003</v>
      </c>
      <c r="K180" s="4558">
        <v>0.28000000000000003</v>
      </c>
      <c r="L180" s="1038"/>
      <c r="M180" s="1038"/>
      <c r="N180" s="4558">
        <f t="shared" ref="N180" si="39">SUM(K180:M180)</f>
        <v>0.28000000000000003</v>
      </c>
      <c r="O180" s="4611">
        <f t="shared" si="38"/>
        <v>0</v>
      </c>
    </row>
    <row r="181" spans="2:19" s="3543" customFormat="1" hidden="1">
      <c r="B181" s="4607" t="s">
        <v>569</v>
      </c>
      <c r="C181" s="1038" t="s">
        <v>1910</v>
      </c>
      <c r="D181" s="1038">
        <v>11.76</v>
      </c>
      <c r="E181" s="1038"/>
      <c r="F181" s="1038"/>
      <c r="G181" s="4611">
        <v>0</v>
      </c>
      <c r="H181" s="1038"/>
      <c r="I181" s="1038"/>
      <c r="J181" s="4558"/>
      <c r="K181" s="4558"/>
      <c r="L181" s="1038"/>
      <c r="M181" s="1038"/>
      <c r="N181" s="4558"/>
      <c r="O181" s="4611">
        <f t="shared" si="38"/>
        <v>0</v>
      </c>
    </row>
    <row r="182" spans="2:19" s="3543" customFormat="1" hidden="1">
      <c r="B182" s="4613" t="s">
        <v>572</v>
      </c>
      <c r="C182" s="1040" t="s">
        <v>1910</v>
      </c>
      <c r="D182" s="4614">
        <v>29.27</v>
      </c>
      <c r="E182" s="1040"/>
      <c r="F182" s="1040"/>
      <c r="G182" s="4611">
        <v>0</v>
      </c>
      <c r="H182" s="1040"/>
      <c r="I182" s="1040"/>
      <c r="J182" s="4563">
        <v>0.11</v>
      </c>
      <c r="K182" s="4563">
        <v>0.11</v>
      </c>
      <c r="L182" s="4563"/>
      <c r="M182" s="1040"/>
      <c r="N182" s="4558">
        <f t="shared" ref="N182:N185" si="40">SUM(K182:M182)</f>
        <v>0.11</v>
      </c>
      <c r="O182" s="4615">
        <f t="shared" si="38"/>
        <v>0</v>
      </c>
    </row>
    <row r="183" spans="2:19" s="3543" customFormat="1" hidden="1">
      <c r="B183" s="4613" t="s">
        <v>573</v>
      </c>
      <c r="C183" s="1040" t="s">
        <v>1910</v>
      </c>
      <c r="D183" s="4616">
        <v>42.6</v>
      </c>
      <c r="E183" s="1040"/>
      <c r="F183" s="1040"/>
      <c r="G183" s="4615">
        <v>0.24</v>
      </c>
      <c r="H183" s="1040"/>
      <c r="I183" s="1040"/>
      <c r="J183" s="4563">
        <f>(1.52*2)+(0.11*3)+(0.4*1)+0.28+5.76+1.54-1.38</f>
        <v>9.9699999999999989</v>
      </c>
      <c r="K183" s="4563">
        <f>11.35-1.14</f>
        <v>10.209999999999999</v>
      </c>
      <c r="L183" s="4563"/>
      <c r="M183" s="1040"/>
      <c r="N183" s="4558">
        <f t="shared" si="40"/>
        <v>10.209999999999999</v>
      </c>
      <c r="O183" s="4615">
        <f t="shared" si="38"/>
        <v>0</v>
      </c>
    </row>
    <row r="184" spans="2:19" s="3543" customFormat="1" hidden="1">
      <c r="B184" s="4617" t="s">
        <v>574</v>
      </c>
      <c r="C184" s="4618" t="s">
        <v>1910</v>
      </c>
      <c r="D184" s="4619">
        <v>33.950000000000003</v>
      </c>
      <c r="E184" s="1040"/>
      <c r="F184" s="1040"/>
      <c r="G184" s="4611">
        <v>0</v>
      </c>
      <c r="H184" s="1040"/>
      <c r="I184" s="1040"/>
      <c r="J184" s="4563">
        <f>0.28+0.11+0.44+2.8</f>
        <v>3.63</v>
      </c>
      <c r="K184" s="4563">
        <v>3.63</v>
      </c>
      <c r="L184" s="1040"/>
      <c r="M184" s="1040"/>
      <c r="N184" s="4558">
        <f t="shared" si="40"/>
        <v>3.63</v>
      </c>
      <c r="O184" s="4615">
        <f t="shared" si="38"/>
        <v>0</v>
      </c>
    </row>
    <row r="185" spans="2:19" s="3543" customFormat="1" hidden="1">
      <c r="B185" s="4617" t="s">
        <v>3432</v>
      </c>
      <c r="C185" s="4618" t="s">
        <v>1910</v>
      </c>
      <c r="D185" s="4619">
        <v>36.630000000000003</v>
      </c>
      <c r="E185" s="1040"/>
      <c r="F185" s="1040"/>
      <c r="G185" s="4611">
        <v>0</v>
      </c>
      <c r="H185" s="1040"/>
      <c r="I185" s="1040"/>
      <c r="J185" s="1040">
        <f>0.28+(5*1.52)+(2*0.4)+14.46+0.77</f>
        <v>23.91</v>
      </c>
      <c r="K185" s="1040">
        <f>23.91</f>
        <v>23.91</v>
      </c>
      <c r="L185" s="1040"/>
      <c r="M185" s="1040"/>
      <c r="N185" s="4558">
        <f t="shared" si="40"/>
        <v>23.91</v>
      </c>
      <c r="O185" s="4615">
        <f t="shared" si="38"/>
        <v>0</v>
      </c>
    </row>
    <row r="186" spans="2:19" s="3543" customFormat="1" hidden="1">
      <c r="B186" s="4617"/>
      <c r="C186" s="4618"/>
      <c r="D186" s="4619"/>
      <c r="E186" s="1040"/>
      <c r="F186" s="1040"/>
      <c r="G186" s="4611"/>
      <c r="H186" s="1040"/>
      <c r="I186" s="1040"/>
      <c r="J186" s="1040"/>
      <c r="K186" s="1040"/>
      <c r="L186" s="1040"/>
      <c r="M186" s="1040"/>
      <c r="N186" s="4558"/>
      <c r="O186" s="4615"/>
    </row>
    <row r="187" spans="2:19" s="3543" customFormat="1" ht="31.5" hidden="1">
      <c r="B187" s="4613"/>
      <c r="C187" s="1041" t="s">
        <v>599</v>
      </c>
      <c r="D187" s="4613"/>
      <c r="E187" s="3553"/>
      <c r="F187" s="3553"/>
      <c r="G187" s="4620">
        <v>7.0776717819853729E-16</v>
      </c>
      <c r="H187" s="3554"/>
      <c r="I187" s="3554"/>
      <c r="J187" s="4620">
        <f>SUM(J189:J189)</f>
        <v>27.28</v>
      </c>
      <c r="K187" s="4620">
        <f>SUM(K189:K189)</f>
        <v>27.28</v>
      </c>
      <c r="L187" s="3554"/>
      <c r="M187" s="3554"/>
      <c r="N187" s="4620">
        <f>SUM(N189:N189)</f>
        <v>27.28</v>
      </c>
      <c r="O187" s="4620">
        <f t="shared" si="38"/>
        <v>0</v>
      </c>
    </row>
    <row r="188" spans="2:19" s="3543" customFormat="1" hidden="1">
      <c r="B188" s="4613" t="s">
        <v>2319</v>
      </c>
      <c r="C188" s="1040" t="s">
        <v>3427</v>
      </c>
      <c r="D188" s="1040">
        <v>48.92</v>
      </c>
      <c r="E188" s="3553"/>
      <c r="F188" s="3553"/>
      <c r="G188" s="4611">
        <v>0</v>
      </c>
      <c r="H188" s="4559"/>
      <c r="I188" s="4559"/>
      <c r="J188" s="4615">
        <v>0</v>
      </c>
      <c r="K188" s="4615">
        <v>0</v>
      </c>
      <c r="L188" s="4559"/>
      <c r="M188" s="4559"/>
      <c r="N188" s="4558">
        <f t="shared" ref="N188:N189" si="41">SUM(K188:M188)</f>
        <v>0</v>
      </c>
      <c r="O188" s="4615">
        <v>0</v>
      </c>
    </row>
    <row r="189" spans="2:19" s="3543" customFormat="1" hidden="1">
      <c r="B189" s="4613" t="s">
        <v>2322</v>
      </c>
      <c r="C189" s="1040" t="s">
        <v>1911</v>
      </c>
      <c r="D189" s="4563">
        <v>317.18</v>
      </c>
      <c r="E189" s="1040"/>
      <c r="F189" s="1040"/>
      <c r="G189" s="4611">
        <v>0</v>
      </c>
      <c r="H189" s="1040"/>
      <c r="I189" s="1040"/>
      <c r="J189" s="1040">
        <v>27.28</v>
      </c>
      <c r="K189" s="1040">
        <v>27.28</v>
      </c>
      <c r="L189" s="1040"/>
      <c r="M189" s="1040"/>
      <c r="N189" s="4558">
        <f t="shared" si="41"/>
        <v>27.28</v>
      </c>
      <c r="O189" s="4611">
        <f t="shared" ref="O189" si="42">G189+J189-N189</f>
        <v>0</v>
      </c>
    </row>
    <row r="190" spans="2:19" s="3543" customFormat="1" hidden="1">
      <c r="B190" s="4613"/>
      <c r="C190" s="1040"/>
      <c r="D190" s="1040"/>
      <c r="E190" s="1040"/>
      <c r="F190" s="1040"/>
      <c r="G190" s="3558"/>
      <c r="H190" s="1040"/>
      <c r="I190" s="1040"/>
      <c r="J190" s="1040"/>
      <c r="K190" s="1040"/>
      <c r="L190" s="1040"/>
      <c r="M190" s="1040"/>
      <c r="N190" s="1040"/>
      <c r="O190" s="1040"/>
    </row>
    <row r="191" spans="2:19" s="3543" customFormat="1" hidden="1">
      <c r="B191" s="4613"/>
      <c r="C191" s="1041" t="s">
        <v>600</v>
      </c>
      <c r="D191" s="4613"/>
      <c r="E191" s="3553"/>
      <c r="F191" s="3553"/>
      <c r="G191" s="4620">
        <v>0</v>
      </c>
      <c r="H191" s="3555"/>
      <c r="I191" s="3555"/>
      <c r="J191" s="4620">
        <f>SUM(J192:J192)</f>
        <v>38.71</v>
      </c>
      <c r="K191" s="4620">
        <f>SUM(K192:K192)</f>
        <v>38.71</v>
      </c>
      <c r="L191" s="3556"/>
      <c r="M191" s="3556"/>
      <c r="N191" s="4620">
        <f>SUM(N192:N192)</f>
        <v>38.71</v>
      </c>
      <c r="O191" s="4621">
        <f>G191+J191-N191</f>
        <v>0</v>
      </c>
    </row>
    <row r="192" spans="2:19" s="3543" customFormat="1" hidden="1">
      <c r="B192" s="4613" t="s">
        <v>2323</v>
      </c>
      <c r="C192" s="1040" t="s">
        <v>600</v>
      </c>
      <c r="D192" s="4563">
        <v>153.6</v>
      </c>
      <c r="E192" s="1040"/>
      <c r="F192" s="1040"/>
      <c r="G192" s="4611">
        <v>0</v>
      </c>
      <c r="H192" s="1040"/>
      <c r="I192" s="1040"/>
      <c r="J192" s="1040">
        <v>38.71</v>
      </c>
      <c r="K192" s="1040">
        <v>38.71</v>
      </c>
      <c r="L192" s="1040"/>
      <c r="M192" s="1040"/>
      <c r="N192" s="4558">
        <f t="shared" ref="N192" si="43">SUM(K192:M192)</f>
        <v>38.71</v>
      </c>
      <c r="O192" s="4611">
        <f t="shared" ref="O192" si="44">G192+J192-N192</f>
        <v>0</v>
      </c>
    </row>
    <row r="193" spans="2:22" s="3543" customFormat="1" hidden="1">
      <c r="B193" s="4613"/>
      <c r="C193" s="1040"/>
      <c r="D193" s="4563"/>
      <c r="E193" s="1040"/>
      <c r="F193" s="1040"/>
      <c r="G193" s="3558"/>
      <c r="H193" s="1040"/>
      <c r="I193" s="1040"/>
      <c r="J193" s="1040"/>
      <c r="K193" s="1040"/>
      <c r="L193" s="1040"/>
      <c r="M193" s="1040"/>
      <c r="N193" s="1038"/>
      <c r="O193" s="4611"/>
    </row>
    <row r="194" spans="2:22" s="3543" customFormat="1" hidden="1">
      <c r="B194" s="4613"/>
      <c r="C194" s="1041" t="s">
        <v>576</v>
      </c>
      <c r="D194" s="1040"/>
      <c r="E194" s="1040"/>
      <c r="F194" s="1040"/>
      <c r="G194" s="4620">
        <f>SUM(G195:G195)</f>
        <v>0</v>
      </c>
      <c r="H194" s="1040"/>
      <c r="I194" s="1040"/>
      <c r="J194" s="4620">
        <f>SUM(J195:J195)</f>
        <v>23.03</v>
      </c>
      <c r="K194" s="4620">
        <f>SUM(K195:K195)</f>
        <v>23.03</v>
      </c>
      <c r="L194" s="1041"/>
      <c r="M194" s="1041"/>
      <c r="N194" s="4620">
        <f>SUM(N195:N195)</f>
        <v>23.03</v>
      </c>
      <c r="O194" s="4621">
        <f>G194+J194-N194</f>
        <v>0</v>
      </c>
    </row>
    <row r="195" spans="2:22" s="3543" customFormat="1" hidden="1">
      <c r="B195" s="4613" t="s">
        <v>3433</v>
      </c>
      <c r="C195" s="1040" t="s">
        <v>576</v>
      </c>
      <c r="D195" s="1040">
        <v>23.03</v>
      </c>
      <c r="E195" s="1040"/>
      <c r="F195" s="1040"/>
      <c r="G195" s="4611">
        <v>0</v>
      </c>
      <c r="H195" s="1040"/>
      <c r="I195" s="1040"/>
      <c r="J195" s="4563">
        <v>23.03</v>
      </c>
      <c r="K195" s="4563">
        <v>23.03</v>
      </c>
      <c r="L195" s="1040"/>
      <c r="M195" s="1040"/>
      <c r="N195" s="4558">
        <f t="shared" ref="N195" si="45">SUM(K195:M195)</f>
        <v>23.03</v>
      </c>
      <c r="O195" s="4611">
        <f t="shared" ref="O195" si="46">G195+J195-N195</f>
        <v>0</v>
      </c>
    </row>
    <row r="196" spans="2:22" s="3543" customFormat="1" hidden="1">
      <c r="B196" s="4613"/>
      <c r="C196" s="1040"/>
      <c r="D196" s="1040"/>
      <c r="E196" s="1040"/>
      <c r="F196" s="1040"/>
      <c r="G196" s="4621"/>
      <c r="H196" s="1040"/>
      <c r="I196" s="1040"/>
      <c r="J196" s="1040"/>
      <c r="K196" s="1040"/>
      <c r="L196" s="1040"/>
      <c r="M196" s="1040"/>
      <c r="N196" s="1040"/>
      <c r="O196" s="3558"/>
    </row>
    <row r="197" spans="2:22" s="3543" customFormat="1" hidden="1">
      <c r="B197" s="4613"/>
      <c r="C197" s="1041" t="s">
        <v>601</v>
      </c>
      <c r="D197" s="4613"/>
      <c r="E197" s="3553"/>
      <c r="F197" s="3553"/>
      <c r="G197" s="4620">
        <f t="shared" ref="G197" si="47">SUM(G198:G200)</f>
        <v>2.9450000000000003</v>
      </c>
      <c r="H197" s="3553"/>
      <c r="I197" s="3553"/>
      <c r="J197" s="4620">
        <f t="shared" ref="J197:K197" si="48">SUM(J198:J200)</f>
        <v>14.02</v>
      </c>
      <c r="K197" s="4620">
        <f t="shared" si="48"/>
        <v>14.02</v>
      </c>
      <c r="L197" s="3556"/>
      <c r="M197" s="3556"/>
      <c r="N197" s="4620">
        <f t="shared" ref="N197:O197" si="49">SUM(N198:N200)</f>
        <v>14.02</v>
      </c>
      <c r="O197" s="4620">
        <f t="shared" si="49"/>
        <v>2.9450000000000003</v>
      </c>
    </row>
    <row r="198" spans="2:22" s="3543" customFormat="1" hidden="1">
      <c r="B198" s="4613" t="s">
        <v>578</v>
      </c>
      <c r="C198" s="1040" t="s">
        <v>601</v>
      </c>
      <c r="D198" s="1040">
        <v>25.65</v>
      </c>
      <c r="E198" s="1040"/>
      <c r="F198" s="1040"/>
      <c r="G198" s="4563">
        <v>2.2050000000000001</v>
      </c>
      <c r="H198" s="1040"/>
      <c r="I198" s="1040"/>
      <c r="J198" s="1040">
        <v>10.49</v>
      </c>
      <c r="K198" s="1040">
        <v>10.49</v>
      </c>
      <c r="L198" s="1040"/>
      <c r="M198" s="1040"/>
      <c r="N198" s="4558">
        <f t="shared" ref="N198:N200" si="50">SUM(K198:M198)</f>
        <v>10.49</v>
      </c>
      <c r="O198" s="4611">
        <f>G198+J198-N198</f>
        <v>2.2050000000000001</v>
      </c>
    </row>
    <row r="199" spans="2:22" s="3543" customFormat="1" hidden="1">
      <c r="B199" s="4613" t="s">
        <v>577</v>
      </c>
      <c r="C199" s="1040" t="s">
        <v>149</v>
      </c>
      <c r="D199" s="1040">
        <v>51.66</v>
      </c>
      <c r="E199" s="1040"/>
      <c r="F199" s="1040"/>
      <c r="G199" s="4563">
        <v>0</v>
      </c>
      <c r="H199" s="1040"/>
      <c r="I199" s="1040"/>
      <c r="J199" s="4563">
        <v>2.5299999999999998</v>
      </c>
      <c r="K199" s="4563">
        <v>2.5299999999999998</v>
      </c>
      <c r="L199" s="4563"/>
      <c r="M199" s="1040"/>
      <c r="N199" s="4558">
        <f t="shared" si="50"/>
        <v>2.5299999999999998</v>
      </c>
      <c r="O199" s="4611">
        <v>0</v>
      </c>
    </row>
    <row r="200" spans="2:22" s="3543" customFormat="1" hidden="1">
      <c r="B200" s="4613" t="s">
        <v>580</v>
      </c>
      <c r="C200" s="1040" t="s">
        <v>579</v>
      </c>
      <c r="D200" s="1040">
        <v>36.11</v>
      </c>
      <c r="E200" s="1040"/>
      <c r="F200" s="1040"/>
      <c r="G200" s="4622">
        <v>0.7400000000000001</v>
      </c>
      <c r="H200" s="1040"/>
      <c r="I200" s="1040"/>
      <c r="J200" s="4563">
        <v>1</v>
      </c>
      <c r="K200" s="4563">
        <v>1</v>
      </c>
      <c r="L200" s="4563"/>
      <c r="M200" s="1040"/>
      <c r="N200" s="4558">
        <f t="shared" si="50"/>
        <v>1</v>
      </c>
      <c r="O200" s="4611">
        <f>G200+J200-N200</f>
        <v>0.74000000000000021</v>
      </c>
    </row>
    <row r="201" spans="2:22" s="3543" customFormat="1" hidden="1">
      <c r="B201" s="4613"/>
      <c r="C201" s="1040"/>
      <c r="D201" s="4614"/>
      <c r="E201" s="1040"/>
      <c r="F201" s="1040"/>
      <c r="G201" s="4615"/>
      <c r="H201" s="1040"/>
      <c r="I201" s="1040"/>
      <c r="J201" s="1040"/>
      <c r="K201" s="1040"/>
      <c r="L201" s="1040"/>
      <c r="M201" s="1040"/>
      <c r="N201" s="1040"/>
      <c r="O201" s="4615"/>
    </row>
    <row r="202" spans="2:22" s="3543" customFormat="1" hidden="1">
      <c r="B202" s="4613"/>
      <c r="C202" s="4623" t="s">
        <v>2315</v>
      </c>
      <c r="D202" s="4624"/>
      <c r="E202" s="3553"/>
      <c r="F202" s="3553"/>
      <c r="G202" s="3557">
        <f>SUM(G203:G206)</f>
        <v>3.57</v>
      </c>
      <c r="H202" s="3553"/>
      <c r="I202" s="3553"/>
      <c r="J202" s="3557">
        <f>SUM(J203:J206)</f>
        <v>13.850000000000001</v>
      </c>
      <c r="K202" s="3557">
        <f>SUM(K203:K206)</f>
        <v>13.850000000000001</v>
      </c>
      <c r="L202" s="3558"/>
      <c r="M202" s="3558"/>
      <c r="N202" s="3557">
        <f>SUM(N203:N206)</f>
        <v>13.850000000000001</v>
      </c>
      <c r="O202" s="3557">
        <f>SUM(O203:O206)</f>
        <v>3.5700000000000003</v>
      </c>
      <c r="V202" s="4556"/>
    </row>
    <row r="203" spans="2:22" s="3543" customFormat="1" hidden="1">
      <c r="B203" s="4613"/>
      <c r="C203" s="4625" t="s">
        <v>1913</v>
      </c>
      <c r="D203" s="1040"/>
      <c r="E203" s="1040"/>
      <c r="F203" s="1040"/>
      <c r="G203" s="4563">
        <v>3.57</v>
      </c>
      <c r="H203" s="1040"/>
      <c r="I203" s="1040"/>
      <c r="J203" s="4563">
        <f>1.44+(3+0.75+0.1+0.82)-1.44</f>
        <v>4.67</v>
      </c>
      <c r="K203" s="4563">
        <f>6.11-1.44</f>
        <v>4.67</v>
      </c>
      <c r="L203" s="1040"/>
      <c r="M203" s="1040"/>
      <c r="N203" s="1040">
        <f>SUM(K203:M203)</f>
        <v>4.67</v>
      </c>
      <c r="O203" s="4563">
        <f>G203+J203-N203</f>
        <v>3.5700000000000003</v>
      </c>
    </row>
    <row r="204" spans="2:22" s="3543" customFormat="1" hidden="1">
      <c r="B204" s="4613"/>
      <c r="C204" s="4626" t="s">
        <v>1914</v>
      </c>
      <c r="D204" s="1040"/>
      <c r="E204" s="1040"/>
      <c r="F204" s="1040"/>
      <c r="G204" s="4563">
        <v>0</v>
      </c>
      <c r="H204" s="1040"/>
      <c r="I204" s="1040"/>
      <c r="J204" s="1040">
        <v>5.47</v>
      </c>
      <c r="K204" s="1040">
        <v>5.47</v>
      </c>
      <c r="L204" s="1040"/>
      <c r="M204" s="1040"/>
      <c r="N204" s="1040">
        <f t="shared" ref="N204:N205" si="51">SUM(K204:M204)</f>
        <v>5.47</v>
      </c>
      <c r="O204" s="4563">
        <f t="shared" ref="O204:O205" si="52">G204+J204-N204</f>
        <v>0</v>
      </c>
    </row>
    <row r="205" spans="2:22" s="3543" customFormat="1" hidden="1">
      <c r="B205" s="4613"/>
      <c r="C205" s="4625" t="s">
        <v>1915</v>
      </c>
      <c r="D205" s="1040"/>
      <c r="E205" s="1040"/>
      <c r="F205" s="1040"/>
      <c r="G205" s="4563">
        <v>0</v>
      </c>
      <c r="H205" s="1040"/>
      <c r="I205" s="1040"/>
      <c r="J205" s="1040">
        <v>3.71</v>
      </c>
      <c r="K205" s="1040">
        <v>3.71</v>
      </c>
      <c r="L205" s="1040"/>
      <c r="M205" s="1040"/>
      <c r="N205" s="1040">
        <f t="shared" si="51"/>
        <v>3.71</v>
      </c>
      <c r="O205" s="4563">
        <f t="shared" si="52"/>
        <v>0</v>
      </c>
    </row>
    <row r="206" spans="2:22" s="3543" customFormat="1" hidden="1">
      <c r="B206" s="4613"/>
      <c r="C206" s="4625" t="s">
        <v>1916</v>
      </c>
      <c r="D206" s="4613"/>
      <c r="E206" s="3553"/>
      <c r="F206" s="3553"/>
      <c r="G206" s="4563">
        <v>0</v>
      </c>
      <c r="H206" s="3553"/>
      <c r="I206" s="3553"/>
      <c r="J206" s="3558"/>
      <c r="K206" s="3558"/>
      <c r="L206" s="3558"/>
      <c r="M206" s="3558"/>
      <c r="N206" s="1040"/>
      <c r="O206" s="1040"/>
      <c r="T206" s="3543" t="s">
        <v>3429</v>
      </c>
    </row>
    <row r="207" spans="2:22" s="3543" customFormat="1" ht="18.75" hidden="1">
      <c r="B207" s="4627" t="s">
        <v>47</v>
      </c>
      <c r="C207" s="4627"/>
      <c r="D207" s="4627"/>
      <c r="E207" s="4627"/>
      <c r="F207" s="4628"/>
      <c r="G207" s="4629">
        <f>G167+G178+G187+G191+G194+G197+G202</f>
        <v>6.7560000000000002</v>
      </c>
      <c r="H207" s="4629"/>
      <c r="I207" s="4629"/>
      <c r="J207" s="4629">
        <f>J167+J178+J187+J191+J194+J197+J202</f>
        <v>189.32000000000002</v>
      </c>
      <c r="K207" s="3557">
        <f>K167+K178+K187+K191+K194+K197+K202</f>
        <v>189.56</v>
      </c>
      <c r="L207" s="4629"/>
      <c r="M207" s="4629"/>
      <c r="N207" s="4629">
        <f>N167+N178+N187+N191+N194+N197+N202</f>
        <v>189.56</v>
      </c>
      <c r="O207" s="4629">
        <f>O167+O178+O187+O191+O194+O197+O202</f>
        <v>6.5150000000000006</v>
      </c>
      <c r="T207" s="4556">
        <f>G207+J207</f>
        <v>196.07600000000002</v>
      </c>
      <c r="U207" s="4556"/>
    </row>
    <row r="208" spans="2:22" s="3543" customFormat="1" hidden="1">
      <c r="C208" s="4560" t="str">
        <f ca="1">CELL("filename")</f>
        <v>E:\BEST's 2nd Revised MYT Petition without TDLR\[BEST's True-up Formats - 2nd Revised.xlsx]ARR Summary</v>
      </c>
    </row>
    <row r="209" spans="2:16" s="3543" customFormat="1" hidden="1"/>
    <row r="210" spans="2:16" s="3543" customFormat="1" hidden="1">
      <c r="K210" s="4556"/>
      <c r="L210" s="4556"/>
    </row>
    <row r="211" spans="2:16" hidden="1">
      <c r="B211" s="5673" t="s">
        <v>582</v>
      </c>
      <c r="C211" s="5673" t="s">
        <v>587</v>
      </c>
      <c r="D211" s="5673" t="s">
        <v>588</v>
      </c>
      <c r="E211" s="5673" t="s">
        <v>589</v>
      </c>
      <c r="F211" s="5673" t="s">
        <v>590</v>
      </c>
      <c r="G211" s="5673" t="s">
        <v>591</v>
      </c>
      <c r="H211" s="5673" t="s">
        <v>592</v>
      </c>
      <c r="I211" s="5673"/>
      <c r="J211" s="5673"/>
      <c r="K211" s="5673" t="s">
        <v>241</v>
      </c>
      <c r="L211" s="5673"/>
      <c r="M211" s="5673"/>
      <c r="N211" s="5673"/>
      <c r="O211" s="5673" t="s">
        <v>593</v>
      </c>
    </row>
    <row r="212" spans="2:16" hidden="1">
      <c r="B212" s="5673"/>
      <c r="C212" s="5673"/>
      <c r="D212" s="5673"/>
      <c r="E212" s="5673"/>
      <c r="F212" s="5673"/>
      <c r="G212" s="5673"/>
      <c r="H212" s="5070" t="s">
        <v>1900</v>
      </c>
      <c r="I212" s="5070" t="s">
        <v>1901</v>
      </c>
      <c r="J212" s="5070" t="s">
        <v>1902</v>
      </c>
      <c r="K212" s="5673" t="s">
        <v>1903</v>
      </c>
      <c r="L212" s="5673" t="s">
        <v>1904</v>
      </c>
      <c r="M212" s="5673" t="s">
        <v>594</v>
      </c>
      <c r="N212" s="5673" t="s">
        <v>595</v>
      </c>
      <c r="O212" s="5673"/>
    </row>
    <row r="213" spans="2:16" s="1276" customFormat="1" hidden="1">
      <c r="B213" s="5673"/>
      <c r="C213" s="5673"/>
      <c r="D213" s="5673"/>
      <c r="E213" s="5673"/>
      <c r="F213" s="5673"/>
      <c r="G213" s="5673"/>
      <c r="H213" s="5070" t="s">
        <v>1906</v>
      </c>
      <c r="I213" s="5070" t="s">
        <v>1906</v>
      </c>
      <c r="J213" s="5070" t="s">
        <v>1905</v>
      </c>
      <c r="K213" s="5673"/>
      <c r="L213" s="5673"/>
      <c r="M213" s="5673"/>
      <c r="N213" s="5673"/>
      <c r="O213" s="5673"/>
      <c r="P213" s="2810"/>
    </row>
    <row r="214" spans="2:16" hidden="1">
      <c r="B214" s="3546"/>
      <c r="C214" s="3546"/>
      <c r="D214" s="3546"/>
      <c r="E214" s="3546"/>
      <c r="F214" s="3546"/>
      <c r="G214" s="3546"/>
      <c r="H214" s="3546"/>
      <c r="I214" s="3546"/>
      <c r="J214" s="3546"/>
      <c r="K214" s="3546"/>
      <c r="L214" s="3546"/>
      <c r="M214" s="3546"/>
      <c r="N214" s="3546"/>
      <c r="O214" s="3546"/>
    </row>
    <row r="215" spans="2:16" hidden="1">
      <c r="B215" s="4607"/>
      <c r="C215" s="1037" t="s">
        <v>2316</v>
      </c>
      <c r="D215" s="4607"/>
      <c r="E215" s="3546"/>
      <c r="F215" s="3546"/>
      <c r="G215" s="3546"/>
      <c r="H215" s="3546"/>
      <c r="I215" s="3546"/>
      <c r="J215" s="3546"/>
      <c r="K215" s="3546"/>
      <c r="L215" s="3546"/>
      <c r="M215" s="3546"/>
      <c r="N215" s="3546"/>
      <c r="O215" s="3546"/>
    </row>
    <row r="216" spans="2:16" hidden="1">
      <c r="B216" s="4607"/>
      <c r="C216" s="4607"/>
      <c r="D216" s="4607"/>
      <c r="E216" s="3546"/>
      <c r="F216" s="3546"/>
      <c r="G216" s="3546"/>
      <c r="H216" s="3546"/>
      <c r="I216" s="3546"/>
      <c r="J216" s="3546"/>
      <c r="K216" s="3546"/>
      <c r="L216" s="3546"/>
      <c r="M216" s="3546"/>
      <c r="N216" s="3546"/>
      <c r="O216" s="3546"/>
    </row>
    <row r="217" spans="2:16" hidden="1">
      <c r="B217" s="4607"/>
      <c r="C217" s="4608" t="s">
        <v>596</v>
      </c>
      <c r="D217" s="4607"/>
      <c r="E217" s="3546"/>
      <c r="F217" s="3546"/>
      <c r="G217" s="4609">
        <v>23.687999999999999</v>
      </c>
      <c r="H217" s="3547"/>
      <c r="I217" s="3547"/>
      <c r="J217" s="4609">
        <f>SUM(J219:J226)</f>
        <v>9.9250000000000007</v>
      </c>
      <c r="K217" s="4609">
        <f>SUM(K219:K226)</f>
        <v>33.614999999999995</v>
      </c>
      <c r="L217" s="3547"/>
      <c r="M217" s="3547"/>
      <c r="N217" s="4609">
        <f>SUM(N219:N226)</f>
        <v>33.614999999999995</v>
      </c>
      <c r="O217" s="4609">
        <f>SUM(O219:O226)</f>
        <v>-2.000000000001112E-3</v>
      </c>
    </row>
    <row r="218" spans="2:16" hidden="1">
      <c r="B218" s="4607" t="s">
        <v>3418</v>
      </c>
      <c r="C218" s="1038" t="s">
        <v>1907</v>
      </c>
      <c r="D218" s="4610">
        <v>42.09</v>
      </c>
      <c r="E218" s="3546"/>
      <c r="F218" s="3546"/>
      <c r="G218" s="4609"/>
      <c r="H218" s="3547"/>
      <c r="I218" s="3547"/>
      <c r="J218" s="4609"/>
      <c r="K218" s="4609"/>
      <c r="L218" s="3547"/>
      <c r="M218" s="3547"/>
      <c r="N218" s="4609"/>
      <c r="O218" s="4609"/>
    </row>
    <row r="219" spans="2:16" hidden="1">
      <c r="B219" s="4607" t="s">
        <v>564</v>
      </c>
      <c r="C219" s="1038" t="s">
        <v>1907</v>
      </c>
      <c r="D219" s="4558">
        <v>38</v>
      </c>
      <c r="E219" s="1038"/>
      <c r="F219" s="1038"/>
      <c r="G219" s="4558">
        <v>4.6889999999999992</v>
      </c>
      <c r="H219" s="1038"/>
      <c r="I219" s="1038"/>
      <c r="J219" s="4558">
        <v>0.5</v>
      </c>
      <c r="K219" s="4558">
        <v>5.19</v>
      </c>
      <c r="L219" s="1038"/>
      <c r="M219" s="1038"/>
      <c r="N219" s="4558">
        <f t="shared" ref="N219:N226" si="53">SUM(K219:M219)</f>
        <v>5.19</v>
      </c>
      <c r="O219" s="4611">
        <f t="shared" ref="O219:O225" si="54">G219+J219-N219</f>
        <v>-1.0000000000012221E-3</v>
      </c>
    </row>
    <row r="220" spans="2:16" hidden="1">
      <c r="B220" s="4607" t="s">
        <v>565</v>
      </c>
      <c r="C220" s="1038" t="s">
        <v>1908</v>
      </c>
      <c r="D220" s="1038">
        <v>14.98</v>
      </c>
      <c r="E220" s="1038"/>
      <c r="F220" s="1038"/>
      <c r="G220" s="4558">
        <v>0.50900000000000001</v>
      </c>
      <c r="H220" s="1038"/>
      <c r="I220" s="1038"/>
      <c r="J220" s="4558">
        <v>2.06</v>
      </c>
      <c r="K220" s="4558">
        <v>2.57</v>
      </c>
      <c r="L220" s="1038"/>
      <c r="M220" s="1038"/>
      <c r="N220" s="4558">
        <f t="shared" si="53"/>
        <v>2.57</v>
      </c>
      <c r="O220" s="4611">
        <f t="shared" si="54"/>
        <v>-9.9999999999988987E-4</v>
      </c>
    </row>
    <row r="221" spans="2:16" hidden="1">
      <c r="B221" s="4607" t="s">
        <v>567</v>
      </c>
      <c r="C221" s="1038" t="s">
        <v>1907</v>
      </c>
      <c r="D221" s="1038">
        <v>84.77000000000001</v>
      </c>
      <c r="E221" s="1038"/>
      <c r="F221" s="1038"/>
      <c r="G221" s="4558">
        <v>5.9909999999999997</v>
      </c>
      <c r="H221" s="1038"/>
      <c r="I221" s="1038"/>
      <c r="J221" s="4558">
        <v>1.94</v>
      </c>
      <c r="K221" s="4558">
        <v>7.93</v>
      </c>
      <c r="L221" s="1038"/>
      <c r="M221" s="1038"/>
      <c r="N221" s="4558">
        <f t="shared" si="53"/>
        <v>7.93</v>
      </c>
      <c r="O221" s="4611">
        <f t="shared" si="54"/>
        <v>9.9999999999944578E-4</v>
      </c>
    </row>
    <row r="222" spans="2:16" hidden="1">
      <c r="B222" s="4607" t="s">
        <v>568</v>
      </c>
      <c r="C222" s="1038" t="s">
        <v>1907</v>
      </c>
      <c r="D222" s="1038">
        <v>30.070000000000004</v>
      </c>
      <c r="E222" s="1038"/>
      <c r="F222" s="1038"/>
      <c r="G222" s="4558">
        <v>4.2809999999999997</v>
      </c>
      <c r="H222" s="1038"/>
      <c r="I222" s="1038"/>
      <c r="J222" s="4558">
        <v>1.1000000000000001</v>
      </c>
      <c r="K222" s="4558">
        <v>5.38</v>
      </c>
      <c r="L222" s="1038"/>
      <c r="M222" s="1038"/>
      <c r="N222" s="4558">
        <f t="shared" si="53"/>
        <v>5.38</v>
      </c>
      <c r="O222" s="4611">
        <f t="shared" si="54"/>
        <v>1.000000000000334E-3</v>
      </c>
    </row>
    <row r="223" spans="2:16" hidden="1">
      <c r="B223" s="4607" t="s">
        <v>570</v>
      </c>
      <c r="C223" s="1038" t="s">
        <v>1907</v>
      </c>
      <c r="D223" s="1038">
        <v>23.54</v>
      </c>
      <c r="E223" s="1038"/>
      <c r="F223" s="1038"/>
      <c r="G223" s="4558">
        <v>6.03</v>
      </c>
      <c r="H223" s="1038"/>
      <c r="I223" s="1038"/>
      <c r="J223" s="4558">
        <v>0.995</v>
      </c>
      <c r="K223" s="4558">
        <v>7.0250000000000004</v>
      </c>
      <c r="L223" s="1038"/>
      <c r="M223" s="1038"/>
      <c r="N223" s="4558">
        <f t="shared" si="53"/>
        <v>7.0250000000000004</v>
      </c>
      <c r="O223" s="4611">
        <f t="shared" si="54"/>
        <v>0</v>
      </c>
    </row>
    <row r="224" spans="2:16" hidden="1">
      <c r="B224" s="4607" t="s">
        <v>571</v>
      </c>
      <c r="C224" s="1038" t="s">
        <v>1907</v>
      </c>
      <c r="D224" s="1038">
        <v>30.68</v>
      </c>
      <c r="E224" s="1038"/>
      <c r="F224" s="1038"/>
      <c r="G224" s="4611">
        <v>2.0979999999999999</v>
      </c>
      <c r="H224" s="1038"/>
      <c r="I224" s="1038"/>
      <c r="J224" s="4558">
        <v>2.92</v>
      </c>
      <c r="K224" s="4558">
        <v>5.0199999999999996</v>
      </c>
      <c r="L224" s="1038"/>
      <c r="M224" s="1038"/>
      <c r="N224" s="4558">
        <f t="shared" si="53"/>
        <v>5.0199999999999996</v>
      </c>
      <c r="O224" s="4611">
        <f t="shared" si="54"/>
        <v>-1.9999999999997797E-3</v>
      </c>
    </row>
    <row r="225" spans="2:15" hidden="1">
      <c r="B225" s="4607" t="s">
        <v>2317</v>
      </c>
      <c r="C225" s="1038" t="s">
        <v>3426</v>
      </c>
      <c r="D225" s="4558">
        <v>40</v>
      </c>
      <c r="E225" s="1038"/>
      <c r="F225" s="1038"/>
      <c r="G225" s="4611">
        <v>0.09</v>
      </c>
      <c r="H225" s="1038"/>
      <c r="I225" s="1038"/>
      <c r="J225" s="1038">
        <v>0</v>
      </c>
      <c r="K225" s="1038">
        <v>0.09</v>
      </c>
      <c r="L225" s="1038"/>
      <c r="M225" s="1038"/>
      <c r="N225" s="4558">
        <f t="shared" si="53"/>
        <v>0.09</v>
      </c>
      <c r="O225" s="4611">
        <f t="shared" si="54"/>
        <v>0</v>
      </c>
    </row>
    <row r="226" spans="2:15" hidden="1">
      <c r="B226" s="4607" t="s">
        <v>3280</v>
      </c>
      <c r="C226" s="1038" t="s">
        <v>1907</v>
      </c>
      <c r="D226" s="1038">
        <v>28.86</v>
      </c>
      <c r="E226" s="1038"/>
      <c r="F226" s="1038"/>
      <c r="G226" s="4611">
        <v>0</v>
      </c>
      <c r="H226" s="1038"/>
      <c r="I226" s="1038"/>
      <c r="J226" s="1038">
        <v>0.41</v>
      </c>
      <c r="K226" s="1038">
        <v>0.41</v>
      </c>
      <c r="L226" s="1038"/>
      <c r="M226" s="1038"/>
      <c r="N226" s="1038">
        <f t="shared" si="53"/>
        <v>0.41</v>
      </c>
      <c r="O226" s="4558">
        <v>0</v>
      </c>
    </row>
    <row r="227" spans="2:15" hidden="1">
      <c r="B227" s="4607"/>
      <c r="C227" s="1038"/>
      <c r="D227" s="1038"/>
      <c r="E227" s="1038"/>
      <c r="F227" s="1038"/>
      <c r="G227" s="4611"/>
      <c r="H227" s="1038"/>
      <c r="I227" s="1038"/>
      <c r="J227" s="1038"/>
      <c r="K227" s="1038"/>
      <c r="L227" s="1038"/>
      <c r="M227" s="1038"/>
      <c r="N227" s="1038"/>
      <c r="O227" s="1038"/>
    </row>
    <row r="228" spans="2:15" hidden="1">
      <c r="B228" s="4607"/>
      <c r="C228" s="4608" t="s">
        <v>597</v>
      </c>
      <c r="D228" s="4607"/>
      <c r="E228" s="3546"/>
      <c r="F228" s="3546"/>
      <c r="G228" s="4609">
        <v>11.466000000000001</v>
      </c>
      <c r="H228" s="4609"/>
      <c r="I228" s="3547"/>
      <c r="J228" s="4609">
        <f>SUM(J229:J236)</f>
        <v>10.76</v>
      </c>
      <c r="K228" s="4609">
        <f>SUM(K229:K236)</f>
        <v>21.990000000000002</v>
      </c>
      <c r="L228" s="3547"/>
      <c r="M228" s="3547"/>
      <c r="N228" s="4609">
        <f>SUM(N229:N236)</f>
        <v>21.990000000000002</v>
      </c>
      <c r="O228" s="4609">
        <f>SUM(O229:O236)</f>
        <v>0.24</v>
      </c>
    </row>
    <row r="229" spans="2:15" hidden="1">
      <c r="B229" s="4607" t="s">
        <v>1909</v>
      </c>
      <c r="C229" s="1038" t="s">
        <v>598</v>
      </c>
      <c r="D229" s="1038">
        <v>16.739999999999998</v>
      </c>
      <c r="E229" s="1038"/>
      <c r="F229" s="1038"/>
      <c r="G229" s="4611">
        <v>0</v>
      </c>
      <c r="H229" s="1038"/>
      <c r="I229" s="1038"/>
      <c r="J229" s="4558">
        <v>0</v>
      </c>
      <c r="K229" s="4558">
        <v>0</v>
      </c>
      <c r="L229" s="1038"/>
      <c r="M229" s="1038"/>
      <c r="N229" s="4558">
        <f t="shared" ref="N229:N235" si="55">SUM(K229:M229)</f>
        <v>0</v>
      </c>
      <c r="O229" s="4611">
        <f t="shared" ref="O229:O236" si="56">G229+J229-N229</f>
        <v>0</v>
      </c>
    </row>
    <row r="230" spans="2:15" hidden="1">
      <c r="B230" s="4607" t="s">
        <v>566</v>
      </c>
      <c r="C230" s="1038" t="s">
        <v>1910</v>
      </c>
      <c r="D230" s="1038">
        <v>14.65</v>
      </c>
      <c r="E230" s="1038"/>
      <c r="F230" s="1038"/>
      <c r="G230" s="4611">
        <v>0</v>
      </c>
      <c r="H230" s="1038"/>
      <c r="I230" s="1038"/>
      <c r="J230" s="4558">
        <v>1.85</v>
      </c>
      <c r="K230" s="4558">
        <v>1.85</v>
      </c>
      <c r="L230" s="1038"/>
      <c r="M230" s="1038"/>
      <c r="N230" s="4558">
        <f t="shared" si="55"/>
        <v>1.85</v>
      </c>
      <c r="O230" s="4611">
        <f t="shared" si="56"/>
        <v>0</v>
      </c>
    </row>
    <row r="231" spans="2:15" hidden="1">
      <c r="B231" s="4607" t="s">
        <v>3748</v>
      </c>
      <c r="C231" s="1038" t="s">
        <v>1910</v>
      </c>
      <c r="D231" s="1038">
        <v>10.32</v>
      </c>
      <c r="E231" s="1038"/>
      <c r="F231" s="1038"/>
      <c r="G231" s="4611">
        <v>0</v>
      </c>
      <c r="H231" s="1038"/>
      <c r="I231" s="1038"/>
      <c r="J231" s="4558">
        <v>1.73</v>
      </c>
      <c r="K231" s="4558">
        <v>1.73</v>
      </c>
      <c r="L231" s="1038"/>
      <c r="M231" s="1038"/>
      <c r="N231" s="4558">
        <f t="shared" si="55"/>
        <v>1.73</v>
      </c>
      <c r="O231" s="4611">
        <f t="shared" si="56"/>
        <v>0</v>
      </c>
    </row>
    <row r="232" spans="2:15" hidden="1">
      <c r="B232" s="4607" t="s">
        <v>569</v>
      </c>
      <c r="C232" s="1038" t="s">
        <v>1910</v>
      </c>
      <c r="D232" s="1038">
        <v>11.76</v>
      </c>
      <c r="E232" s="1038"/>
      <c r="F232" s="1038"/>
      <c r="G232" s="4611">
        <v>0</v>
      </c>
      <c r="H232" s="1038"/>
      <c r="I232" s="1038"/>
      <c r="J232" s="4558">
        <v>0.44</v>
      </c>
      <c r="K232" s="4558">
        <v>0.44</v>
      </c>
      <c r="L232" s="1038"/>
      <c r="M232" s="1038"/>
      <c r="N232" s="4558">
        <f t="shared" si="55"/>
        <v>0.44</v>
      </c>
      <c r="O232" s="4611">
        <f t="shared" si="56"/>
        <v>0</v>
      </c>
    </row>
    <row r="233" spans="2:15" hidden="1">
      <c r="B233" s="4613" t="s">
        <v>572</v>
      </c>
      <c r="C233" s="1040" t="s">
        <v>1910</v>
      </c>
      <c r="D233" s="4614">
        <v>29.27</v>
      </c>
      <c r="E233" s="1040"/>
      <c r="F233" s="1040"/>
      <c r="G233" s="4615">
        <v>11.03</v>
      </c>
      <c r="H233" s="1040"/>
      <c r="I233" s="1040"/>
      <c r="J233" s="4563">
        <v>4.91</v>
      </c>
      <c r="K233" s="4563">
        <v>15.94</v>
      </c>
      <c r="L233" s="1040"/>
      <c r="M233" s="1040"/>
      <c r="N233" s="4563">
        <f t="shared" si="55"/>
        <v>15.94</v>
      </c>
      <c r="O233" s="4611">
        <f t="shared" si="56"/>
        <v>0</v>
      </c>
    </row>
    <row r="234" spans="2:15" hidden="1">
      <c r="B234" s="4613" t="s">
        <v>573</v>
      </c>
      <c r="C234" s="1040" t="s">
        <v>1910</v>
      </c>
      <c r="D234" s="4616">
        <v>42.6</v>
      </c>
      <c r="E234" s="1040"/>
      <c r="F234" s="1040"/>
      <c r="G234" s="4615">
        <v>0.44</v>
      </c>
      <c r="H234" s="1040"/>
      <c r="I234" s="1040"/>
      <c r="J234" s="4563">
        <v>0.41</v>
      </c>
      <c r="K234" s="4563">
        <v>0.61</v>
      </c>
      <c r="L234" s="1040"/>
      <c r="M234" s="1040"/>
      <c r="N234" s="4563">
        <f>SUM(K234:M234)</f>
        <v>0.61</v>
      </c>
      <c r="O234" s="4611">
        <f t="shared" si="56"/>
        <v>0.24</v>
      </c>
    </row>
    <row r="235" spans="2:15" hidden="1">
      <c r="B235" s="4617" t="s">
        <v>574</v>
      </c>
      <c r="C235" s="4618" t="s">
        <v>1910</v>
      </c>
      <c r="D235" s="4619">
        <v>33.950000000000003</v>
      </c>
      <c r="E235" s="1040"/>
      <c r="F235" s="1040"/>
      <c r="G235" s="4615">
        <v>0</v>
      </c>
      <c r="H235" s="1040"/>
      <c r="I235" s="1040"/>
      <c r="J235" s="4563">
        <v>1.42</v>
      </c>
      <c r="K235" s="4563">
        <v>1.42</v>
      </c>
      <c r="L235" s="1040"/>
      <c r="M235" s="1040"/>
      <c r="N235" s="4563">
        <f t="shared" si="55"/>
        <v>1.42</v>
      </c>
      <c r="O235" s="4611">
        <f t="shared" si="56"/>
        <v>0</v>
      </c>
    </row>
    <row r="236" spans="2:15" hidden="1">
      <c r="B236" s="4617" t="s">
        <v>3432</v>
      </c>
      <c r="C236" s="4618" t="s">
        <v>1910</v>
      </c>
      <c r="D236" s="4619">
        <v>36.630000000000003</v>
      </c>
      <c r="E236" s="1040"/>
      <c r="F236" s="1040"/>
      <c r="G236" s="4615">
        <v>0</v>
      </c>
      <c r="H236" s="1040"/>
      <c r="I236" s="1040"/>
      <c r="J236" s="4563">
        <v>0</v>
      </c>
      <c r="K236" s="1040">
        <v>0</v>
      </c>
      <c r="L236" s="1040"/>
      <c r="M236" s="1040"/>
      <c r="N236" s="4563">
        <f>SUM(K236:M236)</f>
        <v>0</v>
      </c>
      <c r="O236" s="4611">
        <f t="shared" si="56"/>
        <v>0</v>
      </c>
    </row>
    <row r="237" spans="2:15" hidden="1">
      <c r="B237" s="4617"/>
      <c r="C237" s="4618"/>
      <c r="D237" s="4619"/>
      <c r="E237" s="1040"/>
      <c r="F237" s="1040"/>
      <c r="G237" s="4615"/>
      <c r="H237" s="1040"/>
      <c r="I237" s="1040"/>
      <c r="J237" s="4563"/>
      <c r="K237" s="1040"/>
      <c r="L237" s="1040"/>
      <c r="M237" s="1040"/>
      <c r="N237" s="4563"/>
      <c r="O237" s="4611"/>
    </row>
    <row r="238" spans="2:15" ht="31.5" hidden="1">
      <c r="B238" s="4613"/>
      <c r="C238" s="1041" t="s">
        <v>599</v>
      </c>
      <c r="D238" s="4613"/>
      <c r="E238" s="3553"/>
      <c r="F238" s="3553"/>
      <c r="G238" s="4620">
        <f>SUM(G240:G240)</f>
        <v>0.01</v>
      </c>
      <c r="H238" s="3554"/>
      <c r="I238" s="3554"/>
      <c r="J238" s="4620">
        <f>SUM(J240:J240)</f>
        <v>21.47</v>
      </c>
      <c r="K238" s="4620">
        <f>SUM(K240:K240)</f>
        <v>21.48</v>
      </c>
      <c r="L238" s="3554"/>
      <c r="M238" s="3554"/>
      <c r="N238" s="4620">
        <f>SUM(N240:N240)</f>
        <v>21.48</v>
      </c>
      <c r="O238" s="4620">
        <f>SUM(O240:O240)</f>
        <v>0</v>
      </c>
    </row>
    <row r="239" spans="2:15" hidden="1">
      <c r="B239" s="4613" t="s">
        <v>2319</v>
      </c>
      <c r="C239" s="1040" t="s">
        <v>3427</v>
      </c>
      <c r="D239" s="1040">
        <v>48.92</v>
      </c>
      <c r="E239" s="3553"/>
      <c r="F239" s="3553"/>
      <c r="G239" s="4615">
        <v>0</v>
      </c>
      <c r="H239" s="4559"/>
      <c r="I239" s="4559"/>
      <c r="J239" s="4615">
        <v>0</v>
      </c>
      <c r="K239" s="4615">
        <v>0</v>
      </c>
      <c r="L239" s="4559"/>
      <c r="M239" s="4559"/>
      <c r="N239" s="4615">
        <v>0</v>
      </c>
      <c r="O239" s="4615">
        <v>0</v>
      </c>
    </row>
    <row r="240" spans="2:15" hidden="1">
      <c r="B240" s="4617" t="s">
        <v>2322</v>
      </c>
      <c r="C240" s="4618" t="s">
        <v>1911</v>
      </c>
      <c r="D240" s="4644">
        <v>104.86</v>
      </c>
      <c r="E240" s="1040"/>
      <c r="F240" s="1040"/>
      <c r="G240" s="4622">
        <v>0.01</v>
      </c>
      <c r="H240" s="1040"/>
      <c r="I240" s="1040"/>
      <c r="J240" s="4563">
        <v>21.47</v>
      </c>
      <c r="K240" s="4563">
        <v>21.48</v>
      </c>
      <c r="L240" s="1040"/>
      <c r="M240" s="1040"/>
      <c r="N240" s="4558">
        <f>SUM(K240:M240)</f>
        <v>21.48</v>
      </c>
      <c r="O240" s="4611">
        <f t="shared" ref="O240" si="57">G240+J240-N240</f>
        <v>0</v>
      </c>
    </row>
    <row r="241" spans="2:15" hidden="1">
      <c r="B241" s="4617"/>
      <c r="C241" s="4618"/>
      <c r="D241" s="4644"/>
      <c r="E241" s="1040"/>
      <c r="F241" s="1040"/>
      <c r="G241" s="4622"/>
      <c r="H241" s="1040"/>
      <c r="I241" s="1040"/>
      <c r="J241" s="4563"/>
      <c r="K241" s="4563"/>
      <c r="L241" s="1040"/>
      <c r="M241" s="1040"/>
      <c r="N241" s="4558"/>
      <c r="O241" s="4611"/>
    </row>
    <row r="242" spans="2:15" hidden="1">
      <c r="B242" s="4613"/>
      <c r="C242" s="1041" t="s">
        <v>600</v>
      </c>
      <c r="D242" s="4613"/>
      <c r="E242" s="3553"/>
      <c r="F242" s="3553"/>
      <c r="G242" s="4620">
        <f>G243</f>
        <v>0.05</v>
      </c>
      <c r="H242" s="3555"/>
      <c r="I242" s="3555"/>
      <c r="J242" s="4620">
        <f>SUM(J243:J243)</f>
        <v>41.39</v>
      </c>
      <c r="K242" s="4620">
        <f>SUM(K243:K243)</f>
        <v>41.44</v>
      </c>
      <c r="L242" s="3556"/>
      <c r="M242" s="3556"/>
      <c r="N242" s="4620">
        <f>SUM(N243:N243)</f>
        <v>41.44</v>
      </c>
      <c r="O242" s="4621">
        <f>G242+J242-N242</f>
        <v>0</v>
      </c>
    </row>
    <row r="243" spans="2:15" hidden="1">
      <c r="B243" s="4613" t="s">
        <v>2323</v>
      </c>
      <c r="C243" s="1040" t="s">
        <v>600</v>
      </c>
      <c r="D243" s="4563">
        <v>52.77</v>
      </c>
      <c r="E243" s="1040"/>
      <c r="F243" s="1040"/>
      <c r="G243" s="4622">
        <v>0.05</v>
      </c>
      <c r="H243" s="1040"/>
      <c r="I243" s="1040"/>
      <c r="J243" s="1040">
        <v>41.39</v>
      </c>
      <c r="K243" s="1040">
        <v>41.44</v>
      </c>
      <c r="L243" s="1040"/>
      <c r="M243" s="1040"/>
      <c r="N243" s="1038">
        <f>SUM(K243:M243)</f>
        <v>41.44</v>
      </c>
      <c r="O243" s="4611">
        <f t="shared" ref="O243" si="58">G243+J243-N243</f>
        <v>0</v>
      </c>
    </row>
    <row r="244" spans="2:15" hidden="1">
      <c r="B244" s="4613"/>
      <c r="C244" s="1040"/>
      <c r="D244" s="4563"/>
      <c r="E244" s="1040"/>
      <c r="F244" s="1040"/>
      <c r="G244" s="4622"/>
      <c r="H244" s="1040"/>
      <c r="I244" s="1040"/>
      <c r="J244" s="1040"/>
      <c r="K244" s="1040"/>
      <c r="L244" s="1040"/>
      <c r="M244" s="1040"/>
      <c r="N244" s="1038"/>
      <c r="O244" s="4611"/>
    </row>
    <row r="245" spans="2:15" hidden="1">
      <c r="B245" s="4613"/>
      <c r="C245" s="1041" t="s">
        <v>576</v>
      </c>
      <c r="D245" s="1040"/>
      <c r="E245" s="1040"/>
      <c r="F245" s="1040"/>
      <c r="G245" s="4620">
        <v>0</v>
      </c>
      <c r="H245" s="1040"/>
      <c r="I245" s="1040"/>
      <c r="J245" s="4620">
        <f>J246</f>
        <v>12.6</v>
      </c>
      <c r="K245" s="4620">
        <f>K246</f>
        <v>12.6</v>
      </c>
      <c r="L245" s="1041"/>
      <c r="M245" s="1041"/>
      <c r="N245" s="4620">
        <f>SUM(N246:N246)</f>
        <v>12.6</v>
      </c>
      <c r="O245" s="4621">
        <f>G245+J245-N245</f>
        <v>0</v>
      </c>
    </row>
    <row r="246" spans="2:15" hidden="1">
      <c r="B246" s="4613" t="s">
        <v>3428</v>
      </c>
      <c r="C246" s="1040" t="s">
        <v>576</v>
      </c>
      <c r="D246" s="1040">
        <v>20.89</v>
      </c>
      <c r="E246" s="1040"/>
      <c r="F246" s="1040"/>
      <c r="G246" s="4622">
        <v>0</v>
      </c>
      <c r="H246" s="1040"/>
      <c r="I246" s="1040"/>
      <c r="J246" s="4563">
        <v>12.6</v>
      </c>
      <c r="K246" s="4563">
        <v>12.6</v>
      </c>
      <c r="L246" s="1040"/>
      <c r="M246" s="1040"/>
      <c r="N246" s="1038">
        <f>SUM(K246:M246)</f>
        <v>12.6</v>
      </c>
      <c r="O246" s="4611">
        <f t="shared" ref="O246" si="59">G246+J246-N246</f>
        <v>0</v>
      </c>
    </row>
    <row r="247" spans="2:15" hidden="1">
      <c r="B247" s="4613"/>
      <c r="C247" s="1040"/>
      <c r="D247" s="1040"/>
      <c r="E247" s="1040"/>
      <c r="F247" s="1040"/>
      <c r="G247" s="4621"/>
      <c r="H247" s="1040"/>
      <c r="I247" s="1040"/>
      <c r="J247" s="1040"/>
      <c r="K247" s="1040"/>
      <c r="L247" s="1040"/>
      <c r="M247" s="1040"/>
      <c r="N247" s="1040"/>
      <c r="O247" s="3558"/>
    </row>
    <row r="248" spans="2:15" hidden="1">
      <c r="B248" s="4613"/>
      <c r="C248" s="1041" t="s">
        <v>601</v>
      </c>
      <c r="D248" s="4613"/>
      <c r="E248" s="3553"/>
      <c r="F248" s="3553"/>
      <c r="G248" s="4620">
        <v>5.09</v>
      </c>
      <c r="H248" s="3553"/>
      <c r="I248" s="3553"/>
      <c r="J248" s="4620">
        <f>SUM(J249:J251)</f>
        <v>0.37</v>
      </c>
      <c r="K248" s="4620">
        <f>SUM(K249:K251)</f>
        <v>2.5099999999999998</v>
      </c>
      <c r="L248" s="3556"/>
      <c r="M248" s="3556"/>
      <c r="N248" s="4620">
        <f t="shared" ref="N248:O248" si="60">SUM(N249:N251)</f>
        <v>2.5099999999999998</v>
      </c>
      <c r="O248" s="4620">
        <f t="shared" si="60"/>
        <v>2.9500000000000006</v>
      </c>
    </row>
    <row r="249" spans="2:15" hidden="1">
      <c r="B249" s="4613" t="s">
        <v>578</v>
      </c>
      <c r="C249" s="1040" t="s">
        <v>601</v>
      </c>
      <c r="D249" s="1040">
        <v>25.65</v>
      </c>
      <c r="E249" s="1040"/>
      <c r="F249" s="1040"/>
      <c r="G249" s="4563">
        <v>4.16</v>
      </c>
      <c r="H249" s="1040"/>
      <c r="I249" s="1040"/>
      <c r="J249" s="1040">
        <v>0.33</v>
      </c>
      <c r="K249" s="4563">
        <v>2.2799999999999998</v>
      </c>
      <c r="L249" s="1040"/>
      <c r="M249" s="1040"/>
      <c r="N249" s="4563">
        <f>SUM(K249:M249)</f>
        <v>2.2799999999999998</v>
      </c>
      <c r="O249" s="4611">
        <f t="shared" ref="O249" si="61">G249+J249-N249</f>
        <v>2.2100000000000004</v>
      </c>
    </row>
    <row r="250" spans="2:15" hidden="1">
      <c r="B250" s="4613" t="s">
        <v>577</v>
      </c>
      <c r="C250" s="1040" t="s">
        <v>149</v>
      </c>
      <c r="D250" s="1040">
        <v>51.66</v>
      </c>
      <c r="E250" s="1040"/>
      <c r="F250" s="1040"/>
      <c r="G250" s="4563">
        <v>0</v>
      </c>
      <c r="H250" s="1040"/>
      <c r="I250" s="1040"/>
      <c r="J250" s="4563">
        <v>0</v>
      </c>
      <c r="K250" s="4563">
        <v>0</v>
      </c>
      <c r="L250" s="1040"/>
      <c r="M250" s="1040"/>
      <c r="N250" s="4563">
        <f t="shared" ref="N250:N251" si="62">SUM(K250:M250)</f>
        <v>0</v>
      </c>
      <c r="O250" s="4611">
        <v>0</v>
      </c>
    </row>
    <row r="251" spans="2:15" hidden="1">
      <c r="B251" s="4613" t="s">
        <v>580</v>
      </c>
      <c r="C251" s="1040" t="s">
        <v>579</v>
      </c>
      <c r="D251" s="1040">
        <v>36.11</v>
      </c>
      <c r="E251" s="1040"/>
      <c r="F251" s="1040"/>
      <c r="G251" s="4622">
        <v>0.93</v>
      </c>
      <c r="H251" s="1040"/>
      <c r="I251" s="1040"/>
      <c r="J251" s="1040">
        <v>0.04</v>
      </c>
      <c r="K251" s="1040">
        <v>0.23</v>
      </c>
      <c r="L251" s="1040"/>
      <c r="M251" s="1040"/>
      <c r="N251" s="4563">
        <f t="shared" si="62"/>
        <v>0.23</v>
      </c>
      <c r="O251" s="4611">
        <f t="shared" ref="O251" si="63">G251+J251-N251</f>
        <v>0.7400000000000001</v>
      </c>
    </row>
    <row r="252" spans="2:15" hidden="1">
      <c r="B252" s="4613"/>
      <c r="C252" s="1040"/>
      <c r="D252" s="4614"/>
      <c r="E252" s="1040"/>
      <c r="F252" s="1040"/>
      <c r="G252" s="4615"/>
      <c r="H252" s="1040"/>
      <c r="I252" s="1040"/>
      <c r="J252" s="1040"/>
      <c r="K252" s="1040"/>
      <c r="L252" s="1040"/>
      <c r="M252" s="1040"/>
      <c r="N252" s="1040"/>
      <c r="O252" s="4615"/>
    </row>
    <row r="253" spans="2:15" hidden="1">
      <c r="B253" s="4613"/>
      <c r="C253" s="4623" t="s">
        <v>2315</v>
      </c>
      <c r="D253" s="4624"/>
      <c r="E253" s="3553"/>
      <c r="F253" s="3553"/>
      <c r="G253" s="3557">
        <v>7.37</v>
      </c>
      <c r="H253" s="3553"/>
      <c r="I253" s="3553"/>
      <c r="J253" s="3557">
        <f>SUM(J254:J257)</f>
        <v>13.44</v>
      </c>
      <c r="K253" s="3557">
        <f>SUM(K254:K257)</f>
        <v>17.239999999999998</v>
      </c>
      <c r="L253" s="3558"/>
      <c r="M253" s="3558"/>
      <c r="N253" s="3557">
        <f>SUM(N254:N257)</f>
        <v>17.239999999999998</v>
      </c>
      <c r="O253" s="3557">
        <f>SUM(O254:O257)</f>
        <v>3.5700000000000003</v>
      </c>
    </row>
    <row r="254" spans="2:15" hidden="1">
      <c r="B254" s="4613"/>
      <c r="C254" s="4625" t="s">
        <v>1913</v>
      </c>
      <c r="D254" s="1040"/>
      <c r="E254" s="1040"/>
      <c r="F254" s="1040"/>
      <c r="G254" s="4563">
        <v>3</v>
      </c>
      <c r="H254" s="1040"/>
      <c r="I254" s="1040"/>
      <c r="J254" s="4563">
        <v>11.01</v>
      </c>
      <c r="K254" s="4563">
        <v>10.44</v>
      </c>
      <c r="L254" s="1040"/>
      <c r="M254" s="1040"/>
      <c r="N254" s="1040">
        <f>SUM(K254:M254)</f>
        <v>10.44</v>
      </c>
      <c r="O254" s="4563">
        <f>G254+J254-N254</f>
        <v>3.5700000000000003</v>
      </c>
    </row>
    <row r="255" spans="2:15" hidden="1">
      <c r="B255" s="4613"/>
      <c r="C255" s="4626" t="s">
        <v>1914</v>
      </c>
      <c r="D255" s="1040"/>
      <c r="E255" s="1040"/>
      <c r="F255" s="1040"/>
      <c r="G255" s="4563">
        <v>4.37</v>
      </c>
      <c r="H255" s="1040"/>
      <c r="I255" s="1040"/>
      <c r="J255" s="1040">
        <v>1.66</v>
      </c>
      <c r="K255" s="4563">
        <f>G255+J255</f>
        <v>6.03</v>
      </c>
      <c r="L255" s="1040"/>
      <c r="M255" s="1040"/>
      <c r="N255" s="1040">
        <f>K255</f>
        <v>6.03</v>
      </c>
      <c r="O255" s="4563">
        <f>G255+J255-N255</f>
        <v>0</v>
      </c>
    </row>
    <row r="256" spans="2:15" hidden="1">
      <c r="B256" s="4613"/>
      <c r="C256" s="4625" t="s">
        <v>1915</v>
      </c>
      <c r="D256" s="1040"/>
      <c r="E256" s="1040"/>
      <c r="F256" s="1040"/>
      <c r="G256" s="4563">
        <v>0</v>
      </c>
      <c r="H256" s="1040"/>
      <c r="I256" s="1040"/>
      <c r="J256" s="1040">
        <v>0.77</v>
      </c>
      <c r="K256" s="1040">
        <v>0.77</v>
      </c>
      <c r="L256" s="1040"/>
      <c r="M256" s="1040"/>
      <c r="N256" s="1040">
        <f>K256</f>
        <v>0.77</v>
      </c>
      <c r="O256" s="4563">
        <f>G256+J256-N256</f>
        <v>0</v>
      </c>
    </row>
    <row r="257" spans="2:15" hidden="1">
      <c r="B257" s="4613"/>
      <c r="C257" s="4625" t="s">
        <v>1916</v>
      </c>
      <c r="D257" s="4613"/>
      <c r="E257" s="3553"/>
      <c r="F257" s="3553"/>
      <c r="G257" s="4622"/>
      <c r="H257" s="3553"/>
      <c r="I257" s="3553"/>
      <c r="J257" s="3558"/>
      <c r="K257" s="3558"/>
      <c r="L257" s="3558"/>
      <c r="M257" s="3558"/>
      <c r="N257" s="1040"/>
      <c r="O257" s="1040"/>
    </row>
    <row r="258" spans="2:15" ht="18.75" hidden="1">
      <c r="B258" s="4627" t="s">
        <v>47</v>
      </c>
      <c r="C258" s="4627"/>
      <c r="D258" s="4627"/>
      <c r="E258" s="4627"/>
      <c r="F258" s="4628"/>
      <c r="G258" s="4629">
        <v>47.683999999999983</v>
      </c>
      <c r="H258" s="4629"/>
      <c r="I258" s="4629"/>
      <c r="J258" s="4629">
        <f>J217+J228+J238+J242+J245+J248+J253</f>
        <v>109.955</v>
      </c>
      <c r="K258" s="4629">
        <f>K217+K228+K238+K242+K245+K248+K253</f>
        <v>150.875</v>
      </c>
      <c r="L258" s="4629"/>
      <c r="M258" s="4629"/>
      <c r="N258" s="4629">
        <f>N217+N228+N238+N242+N245+N248+N253</f>
        <v>150.875</v>
      </c>
      <c r="O258" s="4629">
        <f>O217+O228+O238+O242+O245+O248+O253</f>
        <v>6.758</v>
      </c>
    </row>
    <row r="259" spans="2:15" hidden="1"/>
  </sheetData>
  <mergeCells count="60">
    <mergeCell ref="B3:O3"/>
    <mergeCell ref="B4:O4"/>
    <mergeCell ref="B5:O5"/>
    <mergeCell ref="H58:J58"/>
    <mergeCell ref="O58:O60"/>
    <mergeCell ref="K59:K60"/>
    <mergeCell ref="L59:L60"/>
    <mergeCell ref="M59:M60"/>
    <mergeCell ref="N59:N60"/>
    <mergeCell ref="O9:O11"/>
    <mergeCell ref="K10:K11"/>
    <mergeCell ref="L10:L11"/>
    <mergeCell ref="M10:M11"/>
    <mergeCell ref="N10:N11"/>
    <mergeCell ref="B58:B60"/>
    <mergeCell ref="C58:C60"/>
    <mergeCell ref="D58:D60"/>
    <mergeCell ref="E58:E60"/>
    <mergeCell ref="G9:G11"/>
    <mergeCell ref="F58:F60"/>
    <mergeCell ref="G58:G60"/>
    <mergeCell ref="B9:B11"/>
    <mergeCell ref="C9:C11"/>
    <mergeCell ref="D9:D11"/>
    <mergeCell ref="E9:E11"/>
    <mergeCell ref="F9:F11"/>
    <mergeCell ref="F109:F111"/>
    <mergeCell ref="E109:E111"/>
    <mergeCell ref="L161:L163"/>
    <mergeCell ref="H9:J9"/>
    <mergeCell ref="M161:M163"/>
    <mergeCell ref="B161:B163"/>
    <mergeCell ref="C161:C163"/>
    <mergeCell ref="D161:D163"/>
    <mergeCell ref="O109:O111"/>
    <mergeCell ref="B109:B111"/>
    <mergeCell ref="C109:C111"/>
    <mergeCell ref="D109:D111"/>
    <mergeCell ref="E161:E163"/>
    <mergeCell ref="F161:F163"/>
    <mergeCell ref="G161:G163"/>
    <mergeCell ref="N161:N163"/>
    <mergeCell ref="L109:L111"/>
    <mergeCell ref="M109:M111"/>
    <mergeCell ref="N109:N111"/>
    <mergeCell ref="O161:O163"/>
    <mergeCell ref="G109:G111"/>
    <mergeCell ref="B211:B213"/>
    <mergeCell ref="C211:C213"/>
    <mergeCell ref="D211:D213"/>
    <mergeCell ref="G211:G213"/>
    <mergeCell ref="E211:E213"/>
    <mergeCell ref="F211:F213"/>
    <mergeCell ref="M212:M213"/>
    <mergeCell ref="N212:N213"/>
    <mergeCell ref="H211:J211"/>
    <mergeCell ref="K211:N211"/>
    <mergeCell ref="O211:O213"/>
    <mergeCell ref="K212:K213"/>
    <mergeCell ref="L212:L213"/>
  </mergeCells>
  <printOptions horizontalCentered="1"/>
  <pageMargins left="0.2" right="0.15748031496063" top="0.85433070899999997" bottom="0.15748031496063" header="0.15748031496063" footer="0.15748031496063"/>
  <pageSetup paperSize="9" scale="49" orientation="landscape" r:id="rId1"/>
  <headerFooter alignWithMargins="0"/>
  <rowBreaks count="3" manualBreakCount="3">
    <brk id="55" min="1" max="15" man="1"/>
    <brk id="105" min="1" max="15" man="1"/>
    <brk id="158" min="1" max="15" man="1"/>
  </rowBreaks>
  <legacyDrawing r:id="rId2"/>
</worksheet>
</file>

<file path=xl/worksheets/sheet42.xml><?xml version="1.0" encoding="utf-8"?>
<worksheet xmlns="http://schemas.openxmlformats.org/spreadsheetml/2006/main" xmlns:r="http://schemas.openxmlformats.org/officeDocument/2006/relationships">
  <sheetPr codeName="Sheet28">
    <pageSetUpPr fitToPage="1"/>
  </sheetPr>
  <dimension ref="B2:S37"/>
  <sheetViews>
    <sheetView showGridLines="0" view="pageBreakPreview" topLeftCell="B1" zoomScale="70" zoomScaleNormal="70" zoomScaleSheetLayoutView="70" workbookViewId="0">
      <selection activeCell="H1" sqref="H1:K1048576"/>
    </sheetView>
  </sheetViews>
  <sheetFormatPr defaultRowHeight="15.75"/>
  <cols>
    <col min="1" max="1" width="27.85546875" style="261" customWidth="1"/>
    <col min="2" max="2" width="9.140625" style="3822"/>
    <col min="3" max="3" width="24.140625" style="3822" customWidth="1"/>
    <col min="4" max="7" width="19.7109375" style="3822" customWidth="1"/>
    <col min="8" max="8" width="20.7109375" style="261" hidden="1" customWidth="1"/>
    <col min="9" max="9" width="16.28515625" style="261" hidden="1" customWidth="1"/>
    <col min="10" max="10" width="20.5703125" style="261" hidden="1" customWidth="1"/>
    <col min="11" max="11" width="16.7109375" style="261" hidden="1" customWidth="1"/>
    <col min="12" max="16384" width="9.140625" style="261"/>
  </cols>
  <sheetData>
    <row r="2" spans="2:19" s="3527" customFormat="1" ht="15.75" customHeight="1">
      <c r="B2" s="5688" t="s">
        <v>3414</v>
      </c>
      <c r="C2" s="5688"/>
      <c r="D2" s="5688"/>
      <c r="E2" s="5688"/>
      <c r="F2" s="5688"/>
      <c r="G2" s="5688"/>
      <c r="H2" s="5329"/>
      <c r="I2" s="5329"/>
      <c r="J2" s="5329"/>
      <c r="K2" s="5329"/>
      <c r="L2" s="3796"/>
      <c r="M2" s="3796"/>
      <c r="N2" s="3796"/>
      <c r="O2" s="3796"/>
      <c r="P2" s="3796"/>
      <c r="Q2" s="278"/>
      <c r="R2" s="278"/>
      <c r="S2" s="3526"/>
    </row>
    <row r="3" spans="2:19" s="3527" customFormat="1" ht="15.75" customHeight="1">
      <c r="B3" s="5689" t="s">
        <v>3915</v>
      </c>
      <c r="C3" s="5689"/>
      <c r="D3" s="5689"/>
      <c r="E3" s="5689"/>
      <c r="F3" s="5689"/>
      <c r="G3" s="5689"/>
      <c r="H3" s="5330"/>
      <c r="I3" s="5330"/>
      <c r="J3" s="5330"/>
      <c r="K3" s="5330"/>
      <c r="L3" s="3528"/>
      <c r="M3" s="3528"/>
      <c r="N3" s="3528"/>
      <c r="O3" s="3528"/>
      <c r="P3" s="3528"/>
      <c r="Q3" s="3526"/>
      <c r="R3" s="3526"/>
    </row>
    <row r="4" spans="2:19" s="3527" customFormat="1" ht="15.75" customHeight="1">
      <c r="B4" s="5689" t="s">
        <v>3502</v>
      </c>
      <c r="C4" s="5689"/>
      <c r="D4" s="5689"/>
      <c r="E4" s="5689"/>
      <c r="F4" s="5689"/>
      <c r="G4" s="5689"/>
      <c r="H4" s="5330"/>
      <c r="I4" s="5330"/>
      <c r="J4" s="5330"/>
      <c r="K4" s="5330"/>
      <c r="L4" s="3528"/>
      <c r="M4" s="3528"/>
      <c r="N4" s="3528"/>
      <c r="O4" s="3528"/>
      <c r="P4" s="3528"/>
    </row>
    <row r="5" spans="2:19" s="3527" customFormat="1">
      <c r="B5" s="3815"/>
      <c r="C5" s="3815"/>
      <c r="D5" s="3815"/>
      <c r="E5" s="3815"/>
      <c r="F5" s="3815"/>
      <c r="G5" s="3815"/>
      <c r="H5" s="3526"/>
      <c r="I5" s="3526"/>
      <c r="J5" s="3526"/>
      <c r="K5" s="3526"/>
      <c r="L5" s="3528"/>
      <c r="M5" s="3528"/>
      <c r="N5" s="3528"/>
      <c r="O5" s="3528"/>
      <c r="P5" s="3528"/>
    </row>
    <row r="6" spans="2:19" s="3527" customFormat="1">
      <c r="B6" s="3794" t="s">
        <v>2880</v>
      </c>
      <c r="C6" s="3815"/>
      <c r="D6" s="3815"/>
      <c r="E6" s="3815"/>
      <c r="F6" s="3815"/>
      <c r="G6" s="3815"/>
      <c r="H6" s="3526"/>
      <c r="I6" s="3526"/>
      <c r="J6" s="3526"/>
      <c r="K6" s="3526"/>
      <c r="L6" s="3528"/>
      <c r="M6" s="3528"/>
      <c r="N6" s="3528"/>
      <c r="O6" s="3528"/>
      <c r="P6" s="3528"/>
    </row>
    <row r="7" spans="2:19" s="3527" customFormat="1">
      <c r="B7" s="3794"/>
      <c r="C7" s="3815"/>
      <c r="D7" s="3815"/>
      <c r="E7" s="3815"/>
      <c r="F7" s="3815"/>
      <c r="G7" s="3528" t="s">
        <v>151</v>
      </c>
      <c r="H7" s="3526"/>
      <c r="I7" s="3526"/>
      <c r="J7" s="3526"/>
      <c r="L7" s="3528"/>
      <c r="M7" s="3528"/>
      <c r="N7" s="3528"/>
      <c r="O7" s="3528"/>
      <c r="P7" s="3528"/>
    </row>
    <row r="8" spans="2:19">
      <c r="B8" s="5690" t="s">
        <v>101</v>
      </c>
      <c r="C8" s="5690" t="s">
        <v>491</v>
      </c>
      <c r="D8" s="5695" t="s">
        <v>82</v>
      </c>
      <c r="E8" s="5696"/>
      <c r="F8" s="5695" t="s">
        <v>1845</v>
      </c>
      <c r="G8" s="5696"/>
      <c r="H8" s="5447" t="s">
        <v>2981</v>
      </c>
      <c r="I8" s="5447"/>
      <c r="J8" s="5447"/>
      <c r="K8" s="5447"/>
    </row>
    <row r="9" spans="2:19">
      <c r="B9" s="5691"/>
      <c r="C9" s="5691"/>
      <c r="D9" s="5697"/>
      <c r="E9" s="5698"/>
      <c r="F9" s="5697"/>
      <c r="G9" s="5698"/>
      <c r="H9" s="5700" t="s">
        <v>2442</v>
      </c>
      <c r="I9" s="5700"/>
      <c r="J9" s="5700" t="s">
        <v>2443</v>
      </c>
      <c r="K9" s="5700"/>
    </row>
    <row r="10" spans="2:19" ht="34.5" customHeight="1">
      <c r="B10" s="5692"/>
      <c r="C10" s="5692"/>
      <c r="D10" s="1372" t="s">
        <v>755</v>
      </c>
      <c r="E10" s="4470" t="s">
        <v>3298</v>
      </c>
      <c r="F10" s="1372" t="s">
        <v>755</v>
      </c>
      <c r="G10" s="4470" t="s">
        <v>3298</v>
      </c>
      <c r="H10" s="1372" t="s">
        <v>755</v>
      </c>
      <c r="I10" s="4470" t="s">
        <v>3298</v>
      </c>
      <c r="J10" s="1372" t="s">
        <v>755</v>
      </c>
      <c r="K10" s="4470" t="s">
        <v>3298</v>
      </c>
    </row>
    <row r="11" spans="2:19">
      <c r="B11" s="3805">
        <v>1</v>
      </c>
      <c r="C11" s="3529" t="s">
        <v>1932</v>
      </c>
      <c r="D11" s="3524">
        <v>1838.84</v>
      </c>
      <c r="E11" s="3524">
        <f>Assumptions!E$30</f>
        <v>1838.84</v>
      </c>
      <c r="F11" s="3524">
        <f>Assumptions!F21</f>
        <v>2058.44</v>
      </c>
      <c r="G11" s="3524">
        <f>E16</f>
        <v>1953.5328436684999</v>
      </c>
      <c r="H11" s="3524">
        <f>Assumptions!$G$21</f>
        <v>2327.87</v>
      </c>
      <c r="I11" s="3524">
        <f>Assumptions!$G$30</f>
        <v>2037.2327527999998</v>
      </c>
      <c r="J11" s="3524">
        <f>Assumptions!H21</f>
        <v>2612.7199999999998</v>
      </c>
      <c r="K11" s="3524">
        <f>Assumptions!H30</f>
        <v>2176.9277527999998</v>
      </c>
    </row>
    <row r="12" spans="2:19">
      <c r="B12" s="3805">
        <f>B11+1</f>
        <v>2</v>
      </c>
      <c r="C12" s="3529" t="s">
        <v>2821</v>
      </c>
      <c r="D12" s="3524">
        <v>242.65</v>
      </c>
      <c r="E12" s="3524">
        <f>Assumptions!$E6</f>
        <v>126.25000000000001</v>
      </c>
      <c r="F12" s="3524">
        <v>297.27999999999997</v>
      </c>
      <c r="G12" s="3524">
        <f>Assumptions!$F6</f>
        <v>99.952000000000012</v>
      </c>
      <c r="H12" s="3524">
        <v>313.7</v>
      </c>
      <c r="I12" s="3524">
        <f>Assumptions!G6</f>
        <v>151.17500000000001</v>
      </c>
      <c r="J12" s="3524">
        <v>307.95</v>
      </c>
      <c r="K12" s="3524">
        <f>Assumptions!H6</f>
        <v>189.56</v>
      </c>
    </row>
    <row r="13" spans="2:19">
      <c r="B13" s="3805">
        <f>B12+1</f>
        <v>3</v>
      </c>
      <c r="C13" s="3529" t="s">
        <v>717</v>
      </c>
      <c r="D13" s="3524">
        <v>0.83</v>
      </c>
      <c r="E13" s="3524">
        <f>Assumptions!$E7</f>
        <v>0.83</v>
      </c>
      <c r="F13" s="3524"/>
      <c r="G13" s="3524">
        <f>Assumptions!$F7</f>
        <v>1.3140050000000001</v>
      </c>
      <c r="H13" s="3524">
        <v>0</v>
      </c>
      <c r="I13" s="3524">
        <f>Assumptions!G7</f>
        <v>1.35</v>
      </c>
      <c r="J13" s="3524">
        <v>0</v>
      </c>
      <c r="K13" s="3524">
        <f>Assumptions!H7</f>
        <v>0</v>
      </c>
    </row>
    <row r="14" spans="2:19">
      <c r="B14" s="3805">
        <f>B13+1</f>
        <v>4</v>
      </c>
      <c r="C14" s="3529" t="s">
        <v>2812</v>
      </c>
      <c r="D14" s="3524">
        <f>D12+D13</f>
        <v>243.48000000000002</v>
      </c>
      <c r="E14" s="3524">
        <f>E12+E13</f>
        <v>127.08000000000001</v>
      </c>
      <c r="F14" s="3524">
        <f>F12</f>
        <v>297.27999999999997</v>
      </c>
      <c r="G14" s="3524">
        <f>SUM(G12:G13)</f>
        <v>101.26600500000001</v>
      </c>
      <c r="H14" s="3524">
        <v>313.7</v>
      </c>
      <c r="I14" s="3524">
        <f>Assumptions!G8</f>
        <v>152.52500000000001</v>
      </c>
      <c r="J14" s="3524">
        <v>307.95</v>
      </c>
      <c r="K14" s="3524">
        <f>Assumptions!H8</f>
        <v>189.56</v>
      </c>
    </row>
    <row r="15" spans="2:19">
      <c r="B15" s="3805">
        <f>B14+1</f>
        <v>5</v>
      </c>
      <c r="C15" s="3529" t="s">
        <v>2813</v>
      </c>
      <c r="D15" s="3524">
        <v>23.88</v>
      </c>
      <c r="E15" s="3524">
        <f>Assumptions!$E$32</f>
        <v>12.387156331500002</v>
      </c>
      <c r="F15" s="3524">
        <v>27.85</v>
      </c>
      <c r="G15" s="3524">
        <f>Assumptions!$F$32</f>
        <v>15.203106049999999</v>
      </c>
      <c r="H15" s="3524">
        <f>H11+H14-H16</f>
        <v>28.849999999999909</v>
      </c>
      <c r="I15" s="3524">
        <f>Assumptions!G32</f>
        <v>12.83</v>
      </c>
      <c r="J15" s="3524"/>
      <c r="K15" s="3524">
        <f>Assumptions!H32</f>
        <v>15.837579890278143</v>
      </c>
    </row>
    <row r="16" spans="2:19">
      <c r="B16" s="3805">
        <f>B15+1</f>
        <v>6</v>
      </c>
      <c r="C16" s="3529" t="s">
        <v>2814</v>
      </c>
      <c r="D16" s="3524">
        <f>D11+D14-D15</f>
        <v>2058.4399999999996</v>
      </c>
      <c r="E16" s="3524">
        <f>E11+E14-E15</f>
        <v>1953.5328436684999</v>
      </c>
      <c r="F16" s="3524">
        <f>F11+F14-F15</f>
        <v>2327.8700000000003</v>
      </c>
      <c r="G16" s="3524">
        <f>G11+G14-G15</f>
        <v>2039.5957426184998</v>
      </c>
      <c r="H16" s="3524">
        <v>2612.7199999999998</v>
      </c>
      <c r="I16" s="3524">
        <f>I11+I14-I15</f>
        <v>2176.9277527999998</v>
      </c>
      <c r="J16" s="3524">
        <f>J11+J14-J15</f>
        <v>2920.6699999999996</v>
      </c>
      <c r="K16" s="3524">
        <f>K11+K14-K15</f>
        <v>2350.6501729097217</v>
      </c>
    </row>
    <row r="17" spans="2:11">
      <c r="B17" s="3816"/>
      <c r="C17" s="3817"/>
      <c r="D17" s="3816"/>
      <c r="E17" s="3818"/>
      <c r="F17" s="3818"/>
      <c r="G17" s="3818"/>
    </row>
    <row r="18" spans="2:11">
      <c r="B18" s="3794" t="s">
        <v>2881</v>
      </c>
      <c r="C18" s="3817"/>
      <c r="D18" s="3816"/>
      <c r="E18" s="3818"/>
      <c r="F18" s="3818"/>
      <c r="G18" s="3818"/>
      <c r="H18" s="263"/>
      <c r="J18" s="263"/>
    </row>
    <row r="19" spans="2:11">
      <c r="B19" s="3794"/>
      <c r="C19" s="3817"/>
      <c r="D19" s="3816"/>
      <c r="E19" s="3818"/>
      <c r="F19" s="3818"/>
      <c r="G19" s="3818"/>
      <c r="H19" s="263"/>
      <c r="J19" s="263"/>
      <c r="K19" s="3528" t="s">
        <v>151</v>
      </c>
    </row>
    <row r="20" spans="2:11">
      <c r="B20" s="5690" t="s">
        <v>101</v>
      </c>
      <c r="C20" s="5690" t="s">
        <v>491</v>
      </c>
      <c r="D20" s="5695" t="s">
        <v>82</v>
      </c>
      <c r="E20" s="5696"/>
      <c r="F20" s="5695" t="s">
        <v>1845</v>
      </c>
      <c r="G20" s="5696"/>
      <c r="H20" s="5444" t="s">
        <v>2981</v>
      </c>
      <c r="I20" s="5701"/>
      <c r="J20" s="5701"/>
      <c r="K20" s="5445"/>
    </row>
    <row r="21" spans="2:11">
      <c r="B21" s="5691"/>
      <c r="C21" s="5691"/>
      <c r="D21" s="5697"/>
      <c r="E21" s="5698"/>
      <c r="F21" s="5697"/>
      <c r="G21" s="5698"/>
      <c r="H21" s="5700" t="s">
        <v>2442</v>
      </c>
      <c r="I21" s="5700"/>
      <c r="J21" s="5700" t="s">
        <v>2443</v>
      </c>
      <c r="K21" s="5700"/>
    </row>
    <row r="22" spans="2:11" ht="31.5">
      <c r="B22" s="5692"/>
      <c r="C22" s="5692"/>
      <c r="D22" s="1372" t="s">
        <v>755</v>
      </c>
      <c r="E22" s="4470" t="s">
        <v>3298</v>
      </c>
      <c r="F22" s="1372" t="s">
        <v>755</v>
      </c>
      <c r="G22" s="4470" t="s">
        <v>3298</v>
      </c>
      <c r="H22" s="1372" t="s">
        <v>755</v>
      </c>
      <c r="I22" s="4470" t="s">
        <v>3298</v>
      </c>
      <c r="J22" s="1372" t="s">
        <v>755</v>
      </c>
      <c r="K22" s="4470" t="s">
        <v>3298</v>
      </c>
    </row>
    <row r="23" spans="2:11">
      <c r="B23" s="3805">
        <v>1</v>
      </c>
      <c r="C23" s="3529" t="s">
        <v>1932</v>
      </c>
      <c r="D23" s="3524">
        <f>D11</f>
        <v>1838.84</v>
      </c>
      <c r="E23" s="3524">
        <f t="shared" ref="E23:K23" si="0">E11</f>
        <v>1838.84</v>
      </c>
      <c r="F23" s="3524">
        <f t="shared" si="0"/>
        <v>2058.44</v>
      </c>
      <c r="G23" s="3524">
        <f t="shared" si="0"/>
        <v>1953.5328436684999</v>
      </c>
      <c r="H23" s="3524">
        <f t="shared" si="0"/>
        <v>2327.87</v>
      </c>
      <c r="I23" s="3524">
        <f t="shared" si="0"/>
        <v>2037.2327527999998</v>
      </c>
      <c r="J23" s="3524">
        <f t="shared" si="0"/>
        <v>2612.7199999999998</v>
      </c>
      <c r="K23" s="3524">
        <f t="shared" si="0"/>
        <v>2176.9277527999998</v>
      </c>
    </row>
    <row r="24" spans="2:11">
      <c r="B24" s="3805">
        <f>B23+1</f>
        <v>2</v>
      </c>
      <c r="C24" s="3529" t="s">
        <v>2818</v>
      </c>
      <c r="D24" s="3525">
        <f>D25/D23</f>
        <v>5.1353026908268262E-2</v>
      </c>
      <c r="E24" s="3525">
        <f>Assumptions!$E$27</f>
        <v>4.9239301899415791E-2</v>
      </c>
      <c r="F24" s="3525">
        <f>F25/F23</f>
        <v>5.1305843259944424E-2</v>
      </c>
      <c r="G24" s="3525">
        <f>Assumptions!$F$27</f>
        <v>4.9206273372693704E-2</v>
      </c>
      <c r="H24" s="3756">
        <f>H25/H23</f>
        <v>5.126145360350879E-2</v>
      </c>
      <c r="I24" s="3525">
        <f>Assumptions!$G$27</f>
        <v>4.8109377716067915E-2</v>
      </c>
      <c r="J24" s="3756">
        <f>J25/J23</f>
        <v>5.1168896781897795E-2</v>
      </c>
      <c r="K24" s="3525">
        <f>Assumptions!$H$27</f>
        <v>4.8109377716067915E-2</v>
      </c>
    </row>
    <row r="25" spans="2:11">
      <c r="B25" s="3805">
        <f>B24+1</f>
        <v>3</v>
      </c>
      <c r="C25" s="3529" t="s">
        <v>240</v>
      </c>
      <c r="D25" s="3524">
        <v>94.43</v>
      </c>
      <c r="E25" s="3524">
        <f>E23*E24</f>
        <v>90.543197904721723</v>
      </c>
      <c r="F25" s="3524">
        <v>105.61</v>
      </c>
      <c r="G25" s="3524">
        <f>G23*G24</f>
        <v>96.126071148087917</v>
      </c>
      <c r="H25" s="3524">
        <v>119.33</v>
      </c>
      <c r="I25" s="3524">
        <f>I23*I24</f>
        <v>98.01</v>
      </c>
      <c r="J25" s="3524">
        <v>133.69</v>
      </c>
      <c r="K25" s="3524">
        <f>K23*K24</f>
        <v>104.73063952004611</v>
      </c>
    </row>
    <row r="28" spans="2:11" s="3820" customFormat="1">
      <c r="B28" s="3819"/>
      <c r="C28" s="3819"/>
      <c r="D28" s="3819"/>
      <c r="E28" s="3819"/>
      <c r="F28" s="3819"/>
      <c r="G28" s="3819"/>
    </row>
    <row r="30" spans="2:11">
      <c r="B30" s="3821" t="s">
        <v>2627</v>
      </c>
    </row>
    <row r="31" spans="2:11">
      <c r="B31" s="3821"/>
      <c r="K31" s="3528" t="s">
        <v>151</v>
      </c>
    </row>
    <row r="32" spans="2:11">
      <c r="B32" s="5690" t="s">
        <v>101</v>
      </c>
      <c r="C32" s="5690" t="s">
        <v>81</v>
      </c>
      <c r="D32" s="5695" t="s">
        <v>82</v>
      </c>
      <c r="E32" s="5696"/>
      <c r="F32" s="5695" t="s">
        <v>1845</v>
      </c>
      <c r="G32" s="5696"/>
      <c r="H32" s="5693" t="s">
        <v>2981</v>
      </c>
      <c r="I32" s="5699"/>
      <c r="J32" s="5699"/>
      <c r="K32" s="5694"/>
    </row>
    <row r="33" spans="2:11">
      <c r="B33" s="5691"/>
      <c r="C33" s="5691"/>
      <c r="D33" s="5697"/>
      <c r="E33" s="5698"/>
      <c r="F33" s="5697"/>
      <c r="G33" s="5698"/>
      <c r="H33" s="5693" t="s">
        <v>2442</v>
      </c>
      <c r="I33" s="5694"/>
      <c r="J33" s="5693" t="s">
        <v>2443</v>
      </c>
      <c r="K33" s="5694"/>
    </row>
    <row r="34" spans="2:11" ht="31.5">
      <c r="B34" s="5692"/>
      <c r="C34" s="5692"/>
      <c r="D34" s="1372" t="s">
        <v>1936</v>
      </c>
      <c r="E34" s="4649" t="s">
        <v>96</v>
      </c>
      <c r="F34" s="1372" t="s">
        <v>1936</v>
      </c>
      <c r="G34" s="4649" t="s">
        <v>96</v>
      </c>
      <c r="H34" s="1372" t="s">
        <v>1936</v>
      </c>
      <c r="I34" s="4649" t="s">
        <v>3399</v>
      </c>
      <c r="J34" s="1372" t="s">
        <v>1936</v>
      </c>
      <c r="K34" s="4649" t="s">
        <v>3399</v>
      </c>
    </row>
    <row r="35" spans="2:11">
      <c r="B35" s="3805">
        <v>1</v>
      </c>
      <c r="C35" s="3529" t="s">
        <v>1932</v>
      </c>
      <c r="D35" s="3805">
        <v>1838.84</v>
      </c>
      <c r="E35" s="3805">
        <f>Assumptions!E$30</f>
        <v>1838.84</v>
      </c>
      <c r="F35" s="3805">
        <v>2058.44</v>
      </c>
      <c r="G35" s="3524">
        <f>Assumptions!F30</f>
        <v>1953.5328436684999</v>
      </c>
      <c r="H35" s="3524">
        <f>H11</f>
        <v>2327.87</v>
      </c>
      <c r="I35" s="3524">
        <f t="shared" ref="I35:K35" si="1">I11</f>
        <v>2037.2327527999998</v>
      </c>
      <c r="J35" s="3524">
        <f t="shared" si="1"/>
        <v>2612.7199999999998</v>
      </c>
      <c r="K35" s="3524">
        <f t="shared" si="1"/>
        <v>2176.9277527999998</v>
      </c>
    </row>
    <row r="36" spans="2:11">
      <c r="B36" s="3805">
        <f>B35+1</f>
        <v>2</v>
      </c>
      <c r="C36" s="3529" t="s">
        <v>1976</v>
      </c>
      <c r="D36" s="3525">
        <f>Assumptions!$E$80</f>
        <v>2.5000000000000001E-3</v>
      </c>
      <c r="E36" s="3525">
        <f>Assumptions!$E$80</f>
        <v>2.5000000000000001E-3</v>
      </c>
      <c r="F36" s="3525">
        <f>Assumptions!F80</f>
        <v>2.5000000000000001E-3</v>
      </c>
      <c r="G36" s="3525">
        <f>Assumptions!F80</f>
        <v>2.5000000000000001E-3</v>
      </c>
      <c r="H36" s="3525">
        <f>Assumptions!G80</f>
        <v>2.5000000000000001E-3</v>
      </c>
      <c r="I36" s="3756">
        <f>Assumptions!G80</f>
        <v>2.5000000000000001E-3</v>
      </c>
      <c r="J36" s="3756">
        <f>Assumptions!H80</f>
        <v>2.5000000000000001E-3</v>
      </c>
      <c r="K36" s="3756">
        <f>Assumptions!H80</f>
        <v>2.5000000000000001E-3</v>
      </c>
    </row>
    <row r="37" spans="2:11" ht="31.5">
      <c r="B37" s="3805">
        <f>B36+1</f>
        <v>3</v>
      </c>
      <c r="C37" s="3529" t="s">
        <v>1977</v>
      </c>
      <c r="D37" s="3524">
        <f>D36*D35</f>
        <v>4.5971000000000002</v>
      </c>
      <c r="E37" s="3524">
        <f>E35*E36*0+'E2 2012-13'!F33/10^7</f>
        <v>4.6175597000000002</v>
      </c>
      <c r="F37" s="3524">
        <f>F36*F35</f>
        <v>5.1461000000000006</v>
      </c>
      <c r="G37" s="3524">
        <f>G35*G36*0+'E2_2013-14'!F34/10^7</f>
        <v>4.8928959000000001</v>
      </c>
      <c r="H37" s="3524">
        <f>H35*H36</f>
        <v>5.8196750000000002</v>
      </c>
      <c r="I37" s="3524">
        <f t="shared" ref="I37:K37" si="2">I35*I36</f>
        <v>5.0930818819999999</v>
      </c>
      <c r="J37" s="3524">
        <f t="shared" si="2"/>
        <v>6.5317999999999996</v>
      </c>
      <c r="K37" s="3524">
        <f t="shared" si="2"/>
        <v>5.442319382</v>
      </c>
    </row>
  </sheetData>
  <mergeCells count="24">
    <mergeCell ref="H21:I21"/>
    <mergeCell ref="J21:K21"/>
    <mergeCell ref="B20:B22"/>
    <mergeCell ref="C20:C22"/>
    <mergeCell ref="D20:E21"/>
    <mergeCell ref="F20:G21"/>
    <mergeCell ref="H20:K20"/>
    <mergeCell ref="H9:I9"/>
    <mergeCell ref="J9:K9"/>
    <mergeCell ref="B8:B10"/>
    <mergeCell ref="C8:C10"/>
    <mergeCell ref="H8:K8"/>
    <mergeCell ref="D8:E9"/>
    <mergeCell ref="F8:G9"/>
    <mergeCell ref="H33:I33"/>
    <mergeCell ref="J33:K33"/>
    <mergeCell ref="D32:E33"/>
    <mergeCell ref="F32:G33"/>
    <mergeCell ref="H32:K32"/>
    <mergeCell ref="B2:G2"/>
    <mergeCell ref="B3:G3"/>
    <mergeCell ref="B4:G4"/>
    <mergeCell ref="B32:B34"/>
    <mergeCell ref="C32:C34"/>
  </mergeCells>
  <pageMargins left="0.2" right="0.70866141732283505" top="0.9" bottom="0.16" header="0.31496062992126" footer="0.16"/>
  <pageSetup paperSize="9" scale="82" orientation="landscape" horizontalDpi="300" r:id="rId1"/>
  <colBreaks count="1" manualBreakCount="1">
    <brk id="12" max="1048575" man="1"/>
  </colBreaks>
  <legacyDrawing r:id="rId2"/>
</worksheet>
</file>

<file path=xl/worksheets/sheet43.xml><?xml version="1.0" encoding="utf-8"?>
<worksheet xmlns="http://schemas.openxmlformats.org/spreadsheetml/2006/main" xmlns:r="http://schemas.openxmlformats.org/officeDocument/2006/relationships">
  <sheetPr codeName="Sheet51">
    <pageSetUpPr fitToPage="1"/>
  </sheetPr>
  <dimension ref="A1:AG147"/>
  <sheetViews>
    <sheetView showGridLines="0" view="pageBreakPreview" zoomScale="71" zoomScaleSheetLayoutView="71" workbookViewId="0">
      <selection activeCell="A62" sqref="A62:XFD147"/>
    </sheetView>
  </sheetViews>
  <sheetFormatPr defaultRowHeight="15.75"/>
  <cols>
    <col min="1" max="1" width="5.7109375" style="288" customWidth="1"/>
    <col min="2" max="2" width="9.7109375" style="288" customWidth="1"/>
    <col min="3" max="3" width="39.140625" style="288" customWidth="1"/>
    <col min="4" max="4" width="25.42578125" style="288" customWidth="1"/>
    <col min="5" max="5" width="17.28515625" style="288" customWidth="1"/>
    <col min="6" max="6" width="25" style="288" customWidth="1"/>
    <col min="7" max="7" width="18.140625" style="288" customWidth="1"/>
    <col min="8" max="8" width="19.85546875" style="288" customWidth="1"/>
    <col min="9" max="9" width="10.7109375" style="288" customWidth="1"/>
    <col min="10" max="10" width="15.140625" style="288" customWidth="1"/>
    <col min="11" max="12" width="12.85546875" style="288" customWidth="1"/>
    <col min="13" max="13" width="17.42578125" style="288" customWidth="1"/>
    <col min="14" max="14" width="16.28515625" style="288" customWidth="1"/>
    <col min="15" max="15" width="18.85546875" style="288" customWidth="1"/>
    <col min="16" max="16" width="12.7109375" style="288" customWidth="1"/>
    <col min="17" max="17" width="13.5703125" style="288" customWidth="1"/>
    <col min="18" max="18" width="12.42578125" style="288" customWidth="1"/>
    <col min="19" max="19" width="14.28515625" style="288" customWidth="1"/>
    <col min="20" max="20" width="13.5703125" style="288" customWidth="1"/>
    <col min="21" max="21" width="15.5703125" style="288" bestFit="1" customWidth="1"/>
    <col min="22" max="22" width="14.140625" style="288" bestFit="1" customWidth="1"/>
    <col min="23" max="23" width="12" style="288" bestFit="1" customWidth="1"/>
    <col min="24" max="24" width="15.5703125" style="288" bestFit="1" customWidth="1"/>
    <col min="25" max="29" width="9.140625" style="288"/>
    <col min="30" max="30" width="21.140625" style="288" customWidth="1"/>
    <col min="31" max="31" width="15" style="288" customWidth="1"/>
    <col min="32" max="32" width="16.85546875" style="288" customWidth="1"/>
    <col min="33" max="33" width="21.7109375" style="288" customWidth="1"/>
    <col min="34" max="16384" width="9.140625" style="288"/>
  </cols>
  <sheetData>
    <row r="1" spans="1:31">
      <c r="A1" s="288" t="s">
        <v>150</v>
      </c>
      <c r="C1" s="289"/>
      <c r="D1" s="289"/>
      <c r="E1" s="289"/>
      <c r="F1" s="289"/>
      <c r="G1" s="289"/>
      <c r="H1" s="281"/>
      <c r="I1" s="291"/>
      <c r="K1" s="291"/>
      <c r="L1" s="291"/>
      <c r="M1" s="291"/>
      <c r="N1" s="291"/>
      <c r="O1" s="291"/>
      <c r="P1" s="291"/>
    </row>
    <row r="2" spans="1:31" s="253" customFormat="1">
      <c r="B2" s="5443" t="s">
        <v>100</v>
      </c>
      <c r="C2" s="5443"/>
      <c r="D2" s="5443"/>
      <c r="E2" s="5443"/>
      <c r="F2" s="5443"/>
      <c r="G2" s="5443"/>
      <c r="H2" s="5443"/>
      <c r="I2" s="5443"/>
      <c r="J2" s="5443"/>
      <c r="K2" s="5443"/>
      <c r="L2" s="1287"/>
      <c r="M2" s="1287"/>
      <c r="N2" s="1287"/>
      <c r="O2" s="1925"/>
      <c r="P2" s="1287"/>
      <c r="Q2" s="278"/>
      <c r="R2" s="278"/>
      <c r="S2" s="252"/>
    </row>
    <row r="3" spans="1:31" s="253" customFormat="1">
      <c r="B3" s="5381" t="s">
        <v>3915</v>
      </c>
      <c r="C3" s="5381"/>
      <c r="D3" s="5381"/>
      <c r="E3" s="5381"/>
      <c r="F3" s="5381"/>
      <c r="G3" s="5381"/>
      <c r="H3" s="5381"/>
      <c r="I3" s="5381"/>
      <c r="J3" s="5381"/>
      <c r="K3" s="5381"/>
      <c r="L3" s="1284"/>
      <c r="M3" s="1284"/>
      <c r="N3" s="1284"/>
      <c r="O3" s="1922"/>
      <c r="P3" s="1284"/>
      <c r="Q3" s="259"/>
      <c r="R3" s="259"/>
    </row>
    <row r="4" spans="1:31" s="253" customFormat="1">
      <c r="B4" s="5724" t="s">
        <v>3503</v>
      </c>
      <c r="C4" s="5724"/>
      <c r="D4" s="5724"/>
      <c r="E4" s="5724"/>
      <c r="F4" s="5724"/>
      <c r="G4" s="5724"/>
      <c r="H4" s="5724"/>
      <c r="I4" s="5724"/>
      <c r="J4" s="5724"/>
      <c r="K4" s="5724"/>
      <c r="L4" s="1285"/>
      <c r="M4" s="1285"/>
      <c r="N4" s="1285"/>
      <c r="O4" s="1923"/>
      <c r="P4" s="1285"/>
    </row>
    <row r="5" spans="1:31" s="253" customFormat="1">
      <c r="B5" s="1923"/>
      <c r="C5" s="1923"/>
      <c r="D5" s="1923"/>
      <c r="E5" s="1923"/>
      <c r="F5" s="1923"/>
      <c r="G5" s="1923"/>
      <c r="H5" s="1923"/>
      <c r="I5" s="1923"/>
      <c r="J5" s="1923"/>
      <c r="K5" s="1923"/>
      <c r="L5" s="1923"/>
      <c r="M5" s="1923"/>
      <c r="N5" s="1923"/>
      <c r="O5" s="1923"/>
      <c r="P5" s="1923"/>
    </row>
    <row r="6" spans="1:31">
      <c r="B6" s="4522" t="s">
        <v>447</v>
      </c>
      <c r="C6" s="290"/>
      <c r="D6" s="290"/>
      <c r="E6" s="290"/>
      <c r="F6" s="290"/>
      <c r="G6" s="290"/>
      <c r="I6" s="291"/>
      <c r="L6" s="1019"/>
      <c r="M6" s="1019"/>
      <c r="N6" s="1019"/>
      <c r="O6" s="1019"/>
      <c r="P6" s="1019"/>
      <c r="Q6" s="3102" t="s">
        <v>973</v>
      </c>
    </row>
    <row r="7" spans="1:31" ht="15.75" customHeight="1">
      <c r="B7" s="5725" t="s">
        <v>101</v>
      </c>
      <c r="C7" s="5725" t="s">
        <v>81</v>
      </c>
      <c r="D7" s="5726" t="s">
        <v>1897</v>
      </c>
      <c r="E7" s="5727"/>
      <c r="F7" s="5727"/>
      <c r="G7" s="5728"/>
      <c r="H7" s="5704" t="s">
        <v>82</v>
      </c>
      <c r="I7" s="5704"/>
      <c r="J7" s="5704"/>
      <c r="K7" s="5704"/>
      <c r="L7" s="5704"/>
      <c r="M7" s="5705" t="s">
        <v>1845</v>
      </c>
      <c r="N7" s="5706"/>
      <c r="O7" s="5706"/>
      <c r="P7" s="5706"/>
      <c r="Q7" s="5706"/>
      <c r="R7" s="3418"/>
      <c r="S7" s="2952"/>
      <c r="T7" s="2952"/>
      <c r="U7" s="5702"/>
      <c r="V7" s="5702"/>
      <c r="W7" s="5702"/>
      <c r="X7" s="5702"/>
    </row>
    <row r="8" spans="1:31" ht="15.75" customHeight="1">
      <c r="B8" s="5725"/>
      <c r="C8" s="5725"/>
      <c r="D8" s="5704" t="s">
        <v>1043</v>
      </c>
      <c r="E8" s="5729"/>
      <c r="F8" s="5729"/>
      <c r="G8" s="5729"/>
      <c r="H8" s="5704" t="s">
        <v>1043</v>
      </c>
      <c r="I8" s="5704"/>
      <c r="J8" s="5704"/>
      <c r="K8" s="5704"/>
      <c r="L8" s="5704"/>
      <c r="M8" s="5705" t="s">
        <v>1043</v>
      </c>
      <c r="N8" s="5706"/>
      <c r="O8" s="5706"/>
      <c r="P8" s="5706"/>
      <c r="Q8" s="5706"/>
      <c r="R8" s="3418"/>
      <c r="S8" s="2952"/>
      <c r="T8" s="2953"/>
      <c r="U8" s="5702"/>
      <c r="V8" s="5703"/>
      <c r="W8" s="5703"/>
      <c r="X8" s="5703"/>
    </row>
    <row r="9" spans="1:31" s="292" customFormat="1" ht="47.25">
      <c r="B9" s="5725"/>
      <c r="C9" s="5725"/>
      <c r="D9" s="1292" t="s">
        <v>152</v>
      </c>
      <c r="E9" s="1292" t="s">
        <v>153</v>
      </c>
      <c r="F9" s="1292" t="s">
        <v>154</v>
      </c>
      <c r="G9" s="1292" t="s">
        <v>155</v>
      </c>
      <c r="H9" s="2838" t="s">
        <v>152</v>
      </c>
      <c r="I9" s="2838" t="s">
        <v>153</v>
      </c>
      <c r="J9" s="2838" t="s">
        <v>169</v>
      </c>
      <c r="K9" s="2838" t="s">
        <v>717</v>
      </c>
      <c r="L9" s="2838" t="s">
        <v>155</v>
      </c>
      <c r="M9" s="2838" t="s">
        <v>152</v>
      </c>
      <c r="N9" s="2838" t="s">
        <v>153</v>
      </c>
      <c r="O9" s="2838" t="s">
        <v>169</v>
      </c>
      <c r="P9" s="2838" t="s">
        <v>717</v>
      </c>
      <c r="Q9" s="3358" t="s">
        <v>155</v>
      </c>
      <c r="T9" s="2954"/>
      <c r="U9" s="2954"/>
      <c r="V9" s="2954"/>
      <c r="W9" s="2954"/>
      <c r="X9" s="2954"/>
    </row>
    <row r="10" spans="1:31" s="293" customFormat="1">
      <c r="B10" s="294"/>
      <c r="C10" s="294"/>
      <c r="D10" s="294"/>
      <c r="E10" s="294"/>
      <c r="F10" s="294"/>
      <c r="G10" s="294"/>
      <c r="H10" s="295"/>
      <c r="I10" s="295"/>
      <c r="J10" s="295"/>
      <c r="K10" s="295"/>
      <c r="L10" s="294"/>
      <c r="M10" s="294"/>
      <c r="N10" s="294"/>
      <c r="O10" s="294"/>
      <c r="P10" s="294"/>
      <c r="Q10" s="2950"/>
      <c r="R10" s="3421"/>
    </row>
    <row r="11" spans="1:31" s="293" customFormat="1" ht="15.75" customHeight="1">
      <c r="B11" s="296">
        <v>1</v>
      </c>
      <c r="C11" s="1291" t="s">
        <v>156</v>
      </c>
      <c r="D11" s="3089">
        <f>(('E6-2011-12'!C10/2)+('E6-2011-12'!C20))/10^7</f>
        <v>4.3518264000000002</v>
      </c>
      <c r="E11" s="3090">
        <f>(('E6-2011-12'!E10/2)+('E6-2011-12'!E20))/10^7</f>
        <v>0</v>
      </c>
      <c r="F11" s="3091">
        <f>(('E6-2011-12'!F10/2)+('E6-2011-12'!F20))/10^7</f>
        <v>0</v>
      </c>
      <c r="G11" s="1366">
        <f>(('E6-2011-12'!I10/2)+('E6-2011-12'!I20))/10^7</f>
        <v>4.3518264000000002</v>
      </c>
      <c r="H11" s="845">
        <f>(('E6 -2012-13'!S12/2)+('E6 -2012-13'!S23))/10^7</f>
        <v>4.3518264045000006</v>
      </c>
      <c r="I11" s="845">
        <f>(('E6 -2012-13'!X12/2)+('E6 -2012-13'!X23))/10^7</f>
        <v>0</v>
      </c>
      <c r="J11" s="845">
        <f>(('E6 -2012-13'!Z12/2)+('E6 -2012-13'!Z23))/10^7</f>
        <v>0</v>
      </c>
      <c r="K11" s="845">
        <f>(('E6 -2012-13'!AB12/2)+('E6 -2012-13'!AB23))/10^7</f>
        <v>0</v>
      </c>
      <c r="L11" s="843">
        <f>(('E6 -2012-13'!AD12/2)+('E6 -2012-13'!AD23))/10^7</f>
        <v>4.3518264045000006</v>
      </c>
      <c r="M11" s="843">
        <f>(('E6-2013-14'!AD12/2)+('E6-2013-14'!AD23))/10^7</f>
        <v>4.3518264000000002</v>
      </c>
      <c r="N11" s="843">
        <f>(('E6-2013-14'!AG12/2)+('E6-2013-14'!AG23))/10^7</f>
        <v>0</v>
      </c>
      <c r="O11" s="843">
        <f>(('E6-2013-14'!AH12/2)+('E6-2013-14'!AH23))/10^7</f>
        <v>0</v>
      </c>
      <c r="P11" s="3094">
        <f>(('E6-2013-14'!AI12/2)+('E6-2013-14'!AI23))/10^7</f>
        <v>0</v>
      </c>
      <c r="Q11" s="845">
        <f>(('E6-2013-14'!AJ12/2)+('E6-2013-14'!AJ23))/10^7</f>
        <v>4.3518264000000002</v>
      </c>
      <c r="T11" s="1812"/>
      <c r="U11" s="1812"/>
      <c r="V11" s="1812"/>
      <c r="W11" s="1812"/>
      <c r="X11" s="1812"/>
      <c r="AD11" s="1367"/>
      <c r="AE11" s="1368"/>
    </row>
    <row r="12" spans="1:31" s="293" customFormat="1">
      <c r="B12" s="296">
        <f>B11+1</f>
        <v>2</v>
      </c>
      <c r="C12" s="1291" t="s">
        <v>157</v>
      </c>
      <c r="D12" s="3089">
        <f>(('E6-2011-12'!C11/2)+('E6-2011-12'!C21))/10^7</f>
        <v>93.713348300000007</v>
      </c>
      <c r="E12" s="3090">
        <f>(('E6-2011-12'!E11/2)+('E6-2011-12'!E21))/10^7</f>
        <v>3.5334694</v>
      </c>
      <c r="F12" s="3091">
        <f>(('E6-2011-12'!F11/2)+('E6-2011-12'!F21))/10^7</f>
        <v>0</v>
      </c>
      <c r="G12" s="1366">
        <f>(('E6-2011-12'!I11/2)+('E6-2011-12'!I21))/10^7</f>
        <v>97.246817699999994</v>
      </c>
      <c r="H12" s="845">
        <f>(('E6 -2012-13'!S13/2)+('E6 -2012-13'!S24))/10^7</f>
        <v>97.246817730999993</v>
      </c>
      <c r="I12" s="845">
        <f>(('E6 -2012-13'!X13/2)+('E6 -2012-13'!X24))/10^7</f>
        <v>3.9855921230000004</v>
      </c>
      <c r="J12" s="845">
        <f>(('E6 -2012-13'!Z13/2)+('E6 -2012-13'!Z24))/10^7</f>
        <v>0</v>
      </c>
      <c r="K12" s="845">
        <f>(('E6 -2012-13'!AB13/2)+('E6 -2012-13'!AB24))/10^7</f>
        <v>0</v>
      </c>
      <c r="L12" s="843">
        <f>(('E6 -2012-13'!AD13/2)+('E6 -2012-13'!AD24))/10^7</f>
        <v>101.232409854</v>
      </c>
      <c r="M12" s="843">
        <f>(('E6-2013-14'!AD13/2)+('E6-2013-14'!AD24))/10^7</f>
        <v>101.2324098</v>
      </c>
      <c r="N12" s="843">
        <f>(('E6-2013-14'!AG13/2)+('E6-2013-14'!AG24))/10^7</f>
        <v>3.7249536499999998</v>
      </c>
      <c r="O12" s="843">
        <f>(('E6-2013-14'!AH13/2)+('E6-2013-14'!AH24))/10^7</f>
        <v>4.9077349999999999E-2</v>
      </c>
      <c r="P12" s="3094">
        <f>(('E6-2013-14'!AI13/2)+('E6-2013-14'!AI24))/10^7</f>
        <v>0</v>
      </c>
      <c r="Q12" s="845">
        <f>(('E6-2013-14'!AJ13/2)+('E6-2013-14'!AJ24))/10^7</f>
        <v>104.9082861</v>
      </c>
      <c r="T12" s="1812"/>
      <c r="U12" s="1812"/>
      <c r="V12" s="1812"/>
      <c r="W12" s="1812"/>
      <c r="X12" s="1812"/>
      <c r="AD12" s="1367"/>
      <c r="AE12" s="1368"/>
    </row>
    <row r="13" spans="1:31" s="293" customFormat="1">
      <c r="B13" s="296">
        <f t="shared" ref="B13:B22" si="0">B12+1</f>
        <v>3</v>
      </c>
      <c r="C13" s="1291" t="s">
        <v>158</v>
      </c>
      <c r="D13" s="3089">
        <f>(('E6-2011-12'!C13/2)+('E6-2011-12'!C22))/10^7</f>
        <v>809.49695650000001</v>
      </c>
      <c r="E13" s="3090">
        <f>(('E6-2011-12'!E13/2)+('E6-2011-12'!E22))/10^7</f>
        <v>42.292127999999998</v>
      </c>
      <c r="F13" s="3091">
        <f>(('E6-2011-12'!F13/2)+('E6-2011-12'!F22))/10^7</f>
        <v>5.4781772999999996</v>
      </c>
      <c r="G13" s="1366">
        <f>(('E6-2011-12'!I13/2)+('E6-2011-12'!I22))/10^7</f>
        <v>846.31090719999997</v>
      </c>
      <c r="H13" s="845">
        <f>(('E6 -2012-13'!S15/2)+('E6 -2012-13'!S25))/10^7</f>
        <v>846.31090706099997</v>
      </c>
      <c r="I13" s="845">
        <f>(('E6 -2012-13'!X15/2)+('E6 -2012-13'!X25))/10^7</f>
        <v>55.761490884000004</v>
      </c>
      <c r="J13" s="845">
        <f>(('E6 -2012-13'!Z15/2)+('E6 -2012-13'!Z25))/10^7</f>
        <v>3.6113764659999998</v>
      </c>
      <c r="K13" s="845">
        <f>(('E6 -2012-13'!AB15/2)+('E6 -2012-13'!AB25))/10^7</f>
        <v>0</v>
      </c>
      <c r="L13" s="843">
        <f>(('E6 -2012-13'!AD15/2)+('E6 -2012-13'!AD25))/10^7</f>
        <v>898.4610214789999</v>
      </c>
      <c r="M13" s="843">
        <f>(('E6-2013-14'!AD15/2)+('E6-2013-14'!AD25))/10^7</f>
        <v>898.46102159999998</v>
      </c>
      <c r="N13" s="843">
        <f>(('E6-2013-14'!AG15/2)+('E6-2013-14'!AG25))/10^7</f>
        <v>38.115236199999998</v>
      </c>
      <c r="O13" s="843">
        <f>(('E6-2013-14'!AH15/2)+('E6-2013-14'!AH25))/10^7</f>
        <v>3.2248011999999999</v>
      </c>
      <c r="P13" s="3094">
        <f>(('E6-2013-14'!AI15/2)+('E6-2013-14'!AI25))/10^7</f>
        <v>-6.4049674000000003</v>
      </c>
      <c r="Q13" s="845">
        <f>(('E6-2013-14'!AJ15/2)+('E6-2013-14'!AJ25))/10^7</f>
        <v>926.94648919999997</v>
      </c>
      <c r="T13" s="1812"/>
      <c r="U13" s="1812"/>
      <c r="V13" s="1812"/>
      <c r="W13" s="1812"/>
      <c r="X13" s="1812"/>
      <c r="AD13" s="1367"/>
      <c r="AE13" s="1368"/>
    </row>
    <row r="14" spans="1:31" s="293" customFormat="1">
      <c r="B14" s="296">
        <f t="shared" si="0"/>
        <v>4</v>
      </c>
      <c r="C14" s="1291" t="s">
        <v>159</v>
      </c>
      <c r="D14" s="3089">
        <f>'E6-2011-12'!C23/10^7</f>
        <v>541.24285320000001</v>
      </c>
      <c r="E14" s="3090">
        <f>'E6-2011-12'!E23/10^7</f>
        <v>58.426873499999999</v>
      </c>
      <c r="F14" s="3091">
        <f>'E6-2011-12'!F23/10^7</f>
        <v>0.69223310000000005</v>
      </c>
      <c r="G14" s="1366">
        <f>'E6-2011-12'!I23/10^7</f>
        <v>598.9774936</v>
      </c>
      <c r="H14" s="845">
        <f>('E6 -2012-13'!S26)/10^7</f>
        <v>598.97749369400003</v>
      </c>
      <c r="I14" s="845">
        <f>('E6 -2012-13'!X26)/10^7</f>
        <v>46.083150775999997</v>
      </c>
      <c r="J14" s="845">
        <f>('E6 -2012-13'!Z26)/10^7</f>
        <v>0.62006890000000003</v>
      </c>
      <c r="K14" s="3094">
        <f>('E6 -2012-13'!AB26)/10^7</f>
        <v>-0.13500000000000001</v>
      </c>
      <c r="L14" s="843">
        <f>('E6 -2012-13'!AD26)/10^7</f>
        <v>644.30557557000009</v>
      </c>
      <c r="M14" s="843">
        <f>('E6-2013-14'!AD26)/10^7</f>
        <v>644.30557550000003</v>
      </c>
      <c r="N14" s="843">
        <f>('E6-2013-14'!AG26)/10^7</f>
        <v>47.089244100000002</v>
      </c>
      <c r="O14" s="843">
        <f>('E6-2013-14'!AH26)/10^7</f>
        <v>0.56348330000000002</v>
      </c>
      <c r="P14" s="3094">
        <f>('E6-2013-14'!AI26)/10^7</f>
        <v>-4.1750325999999998</v>
      </c>
      <c r="Q14" s="845">
        <f>('E6-2013-14'!AJ26)/10^7</f>
        <v>686.65630369999997</v>
      </c>
      <c r="T14" s="1812"/>
      <c r="U14" s="1812"/>
      <c r="V14" s="1812"/>
      <c r="W14" s="1812"/>
      <c r="X14" s="1812"/>
      <c r="AD14" s="1367"/>
      <c r="AE14" s="1368"/>
    </row>
    <row r="15" spans="1:31" s="293" customFormat="1">
      <c r="B15" s="296">
        <f t="shared" si="0"/>
        <v>5</v>
      </c>
      <c r="C15" s="1291" t="s">
        <v>160</v>
      </c>
      <c r="D15" s="3089">
        <f>'E6-2011-12'!C24/10^7</f>
        <v>187.7378688</v>
      </c>
      <c r="E15" s="3090">
        <f>'E6-2011-12'!E24/10^7</f>
        <v>14.950326799999999</v>
      </c>
      <c r="F15" s="3091">
        <f>'E6-2011-12'!F24/10^7</f>
        <v>10.0438989</v>
      </c>
      <c r="G15" s="1366">
        <f>'E6-2011-12'!I24/10^7</f>
        <v>192.64429670000001</v>
      </c>
      <c r="H15" s="845">
        <f>(('E6 -2012-13'!S27))/10^7</f>
        <v>192.64429667299999</v>
      </c>
      <c r="I15" s="845">
        <f>(('E6 -2012-13'!X27))/10^7</f>
        <v>15.647375974999999</v>
      </c>
      <c r="J15" s="845">
        <f>(('E6 -2012-13'!Z27))/10^7</f>
        <v>6.9869127480000008</v>
      </c>
      <c r="K15" s="3094">
        <f>(('E6 -2012-13'!AB27))/10^7</f>
        <v>-2.25</v>
      </c>
      <c r="L15" s="843">
        <f>(('E6 -2012-13'!AD27))/10^7</f>
        <v>199.05475989999997</v>
      </c>
      <c r="M15" s="843">
        <f>('E6-2013-14'!AD27)/10^7</f>
        <v>199.05475999999999</v>
      </c>
      <c r="N15" s="843">
        <f>('E6-2013-14'!AG27)/10^7</f>
        <v>9.9356823999999992</v>
      </c>
      <c r="O15" s="843">
        <f>('E6-2013-14'!AH27)/10^7</f>
        <v>10.657865899999999</v>
      </c>
      <c r="P15" s="3094">
        <f>('E6-2013-14'!AI27)/10^7</f>
        <v>0</v>
      </c>
      <c r="Q15" s="845">
        <f>('E6-2013-14'!AJ27)/10^7</f>
        <v>198.33257649999999</v>
      </c>
      <c r="T15" s="1812"/>
      <c r="U15" s="1812"/>
      <c r="V15" s="1812"/>
      <c r="W15" s="1812"/>
      <c r="X15" s="1812"/>
      <c r="AD15" s="1369"/>
      <c r="AE15" s="1368"/>
    </row>
    <row r="16" spans="1:31" s="293" customFormat="1">
      <c r="B16" s="296">
        <f t="shared" si="0"/>
        <v>6</v>
      </c>
      <c r="C16" s="1291" t="s">
        <v>161</v>
      </c>
      <c r="D16" s="3089">
        <f>(('E6-2011-12'!C25))/10^7</f>
        <v>42.557238900000002</v>
      </c>
      <c r="E16" s="3090">
        <f>(('E6-2011-12'!E25))/10^7</f>
        <v>1.7688193000000001</v>
      </c>
      <c r="F16" s="3091">
        <f>(('E6-2011-12'!F25))/10^7</f>
        <v>0</v>
      </c>
      <c r="G16" s="1366">
        <f>(('E6-2011-12'!I25))/10^7</f>
        <v>44.326058199999999</v>
      </c>
      <c r="H16" s="845">
        <f>('E6 -2012-13'!S28)/10^7</f>
        <v>44.326058197000002</v>
      </c>
      <c r="I16" s="845">
        <f>('E6 -2012-13'!X28)/10^7</f>
        <v>0.70880847699999994</v>
      </c>
      <c r="J16" s="845">
        <f>('E6 -2012-13'!Z28)/10^7</f>
        <v>0</v>
      </c>
      <c r="K16" s="3094">
        <f>('E6 -2012-13'!AB28)/10^7</f>
        <v>-0.13500000000000001</v>
      </c>
      <c r="L16" s="843">
        <f>('E6 -2012-13'!AD28)/10^7</f>
        <v>44.899866674000002</v>
      </c>
      <c r="M16" s="843">
        <f>('E6-2013-14'!AD28)/10^7</f>
        <v>44.899866699999997</v>
      </c>
      <c r="N16" s="843">
        <f>('E6-2013-14'!AG28)/10^7</f>
        <v>0.55563379999999996</v>
      </c>
      <c r="O16" s="843">
        <f>('E6-2013-14'!AH28)/10^7</f>
        <v>0</v>
      </c>
      <c r="P16" s="3094">
        <f>('E6-2013-14'!AI28)/10^7</f>
        <v>0</v>
      </c>
      <c r="Q16" s="845">
        <f>('E6-2013-14'!AJ28)/10^7</f>
        <v>45.455500499999999</v>
      </c>
      <c r="T16" s="1812"/>
      <c r="U16" s="1812"/>
      <c r="V16" s="1812"/>
      <c r="W16" s="1812"/>
      <c r="X16" s="1812"/>
      <c r="AD16" s="1367"/>
      <c r="AE16" s="1368"/>
    </row>
    <row r="17" spans="2:31" s="291" customFormat="1">
      <c r="B17" s="296">
        <f t="shared" si="0"/>
        <v>7</v>
      </c>
      <c r="C17" s="1291" t="s">
        <v>162</v>
      </c>
      <c r="D17" s="3089">
        <f>'E6-2011-12'!C26/10^7</f>
        <v>4.6575499999999999E-2</v>
      </c>
      <c r="E17" s="3090">
        <f>'E6-2011-12'!E26/10^7</f>
        <v>0</v>
      </c>
      <c r="F17" s="3091">
        <f>'E6-2011-12'!F26/10^7</f>
        <v>0</v>
      </c>
      <c r="G17" s="1366">
        <f>'E6-2011-12'!I26/10^7</f>
        <v>4.6575499999999999E-2</v>
      </c>
      <c r="H17" s="845">
        <f>('E6 -2012-13'!S29)/10^7</f>
        <v>4.6575461999999998E-2</v>
      </c>
      <c r="I17" s="845">
        <f>('E6 -2012-13'!X29)/10^7</f>
        <v>0</v>
      </c>
      <c r="J17" s="845">
        <f>('E6 -2012-13'!Z29)/10^7</f>
        <v>3.2838059999999998E-3</v>
      </c>
      <c r="K17" s="3094">
        <f>('E6 -2012-13'!AB29)/10^7</f>
        <v>0</v>
      </c>
      <c r="L17" s="843">
        <f>('E6 -2012-13'!AD29)/10^7</f>
        <v>4.3291655999999998E-2</v>
      </c>
      <c r="M17" s="843">
        <f>('E6-2013-14'!AD29)/10^7</f>
        <v>4.3291700000000002E-2</v>
      </c>
      <c r="N17" s="843">
        <f>('E6-2013-14'!AG29)/10^7</f>
        <v>0</v>
      </c>
      <c r="O17" s="843">
        <f>('E6-2013-14'!AH29)/10^7</f>
        <v>1.2987999999999999E-3</v>
      </c>
      <c r="P17" s="3094">
        <f>('E6-2013-14'!AI29)/10^7</f>
        <v>0</v>
      </c>
      <c r="Q17" s="843">
        <f>('E6-2013-14'!AJ29)/10^7</f>
        <v>4.19929E-2</v>
      </c>
      <c r="T17" s="1812"/>
      <c r="U17" s="1813"/>
      <c r="V17" s="1812"/>
      <c r="W17" s="1813"/>
      <c r="X17" s="1812"/>
      <c r="AD17" s="1367"/>
      <c r="AE17" s="1368"/>
    </row>
    <row r="18" spans="2:31" s="291" customFormat="1">
      <c r="B18" s="296">
        <f t="shared" si="0"/>
        <v>8</v>
      </c>
      <c r="C18" s="1291" t="s">
        <v>163</v>
      </c>
      <c r="D18" s="3089">
        <f>(('E6-2011-12'!C12/2)+('E6-2011-12'!C27))/10^7</f>
        <v>16.6003978</v>
      </c>
      <c r="E18" s="3090">
        <f>(('E6-2011-12'!E12/2)+('E6-2011-12'!E27))/10^7</f>
        <v>1.1650007</v>
      </c>
      <c r="F18" s="3091">
        <f>(('E6-2011-12'!F12/2)+('E6-2011-12'!F27))/10^7</f>
        <v>0.7521544</v>
      </c>
      <c r="G18" s="1366">
        <f>(('E6-2011-12'!I12/2)+('E6-2011-12'!I27))/10^7</f>
        <v>17.013244100000001</v>
      </c>
      <c r="H18" s="845">
        <f>(('E6 -2012-13'!S14/2)+('E6 -2012-13'!S30))/10^7</f>
        <v>17.013243972999998</v>
      </c>
      <c r="I18" s="845">
        <f>(('E6 -2012-13'!X14/2)+('E6 -2012-13'!X30))/10^7</f>
        <v>0</v>
      </c>
      <c r="J18" s="845">
        <f>(('E6 -2012-13'!Z14/2)+('E6 -2012-13'!Z30))/10^7</f>
        <v>0</v>
      </c>
      <c r="K18" s="3094">
        <f>(('E6 -2012-13'!AB14/2)+('E6 -2012-13'!AB30))/10^7</f>
        <v>0</v>
      </c>
      <c r="L18" s="843">
        <f>(('E6 -2012-13'!AD14/2)+('E6 -2012-13'!AD30))/10^7</f>
        <v>17.013243972999998</v>
      </c>
      <c r="M18" s="843">
        <f>(('E6-2013-14'!AD14/2)+('E6-2013-14'!AD30))/10^7</f>
        <v>17.013244100000001</v>
      </c>
      <c r="N18" s="843">
        <f>(('E6-2013-14'!AG14/2)+('E6-2013-14'!AG30))/10^7</f>
        <v>4.0270300000000002E-2</v>
      </c>
      <c r="O18" s="843">
        <f>(('E6-2013-14'!AH14/2)+('E6-2013-14'!AH30))/10^7</f>
        <v>0.3448389</v>
      </c>
      <c r="P18" s="3094">
        <f>(('E6-2013-14'!AI14/2)+('E6-2013-14'!AI30))/10^7</f>
        <v>0</v>
      </c>
      <c r="Q18" s="843">
        <f>(('E6-2013-14'!AJ14/2)+('E6-2013-14'!AJ30))/10^7</f>
        <v>16.708675499999998</v>
      </c>
      <c r="T18" s="1812"/>
      <c r="U18" s="1813"/>
      <c r="V18" s="1812"/>
      <c r="W18" s="1813"/>
      <c r="X18" s="1812"/>
      <c r="AD18" s="1367"/>
      <c r="AE18" s="1368"/>
    </row>
    <row r="19" spans="2:31" s="291" customFormat="1">
      <c r="B19" s="296">
        <f t="shared" si="0"/>
        <v>9</v>
      </c>
      <c r="C19" s="1291" t="s">
        <v>164</v>
      </c>
      <c r="D19" s="3089">
        <f>(('E6-2011-12'!C15/2)+('E6-2011-12'!C28))/10^7</f>
        <v>18.079572750000001</v>
      </c>
      <c r="E19" s="3090">
        <f>(('E6-2011-12'!E15/2)+('E6-2011-12'!E28))/10^7</f>
        <v>5.4097821000000001</v>
      </c>
      <c r="F19" s="3091">
        <f>(('E6-2011-12'!F15/2)+('E6-2011-12'!F28))/10^7</f>
        <v>0.30169125000000002</v>
      </c>
      <c r="G19" s="1366">
        <f>(('E6-2011-12'!I15/2)+('E6-2011-12'!I28))/10^7</f>
        <v>23.1264398</v>
      </c>
      <c r="H19" s="845">
        <f>(('E6 -2012-13'!S17/2+('E6 -2012-13'!S31))/10^7)</f>
        <v>23.126439655000002</v>
      </c>
      <c r="I19" s="845">
        <f>(('E6 -2012-13'!X17/2+('E6 -2012-13'!X31))/10^7)</f>
        <v>2.7367770999999999</v>
      </c>
      <c r="J19" s="845">
        <f>(('E6 -2012-13'!Z17/2+('E6 -2012-13'!Z31))/10^7)</f>
        <v>0.16967779799999999</v>
      </c>
      <c r="K19" s="3094">
        <f>(('E6 -2012-13'!AB17/2+('E6 -2012-13'!AB31))/10^7)</f>
        <v>0</v>
      </c>
      <c r="L19" s="843">
        <f>(('E6 -2012-13'!AD17/2+('E6 -2012-13'!AD31))/10^7)</f>
        <v>25.693538957000001</v>
      </c>
      <c r="M19" s="843">
        <f>(('E6-2013-14'!AD17/2)+('E6-2013-14'!AD31))/10^7</f>
        <v>25.693539099999999</v>
      </c>
      <c r="N19" s="843">
        <f>(('E6-2013-14'!AG17/2)+('E6-2013-14'!AG31))/10^7</f>
        <v>0.2889062</v>
      </c>
      <c r="O19" s="843">
        <f>(('E6-2013-14'!AH17/2)+('E6-2013-14'!AH31))/10^7</f>
        <v>7.4040250000000002E-2</v>
      </c>
      <c r="P19" s="3094">
        <f>(('E6-2013-14'!AI17/2)+('E6-2013-14'!AI31))/10^7</f>
        <v>0</v>
      </c>
      <c r="Q19" s="843">
        <f>(('E6-2013-14'!AJ17/2)+('E6-2013-14'!AJ31))/10^7</f>
        <v>25.908405049999999</v>
      </c>
      <c r="T19" s="1812"/>
      <c r="U19" s="1813"/>
      <c r="V19" s="1812"/>
      <c r="W19" s="1813"/>
      <c r="X19" s="1812"/>
      <c r="AD19" s="1367"/>
      <c r="AE19" s="1370"/>
    </row>
    <row r="20" spans="2:31">
      <c r="B20" s="296">
        <f t="shared" si="0"/>
        <v>10</v>
      </c>
      <c r="C20" s="1291" t="s">
        <v>165</v>
      </c>
      <c r="D20" s="3089">
        <f>(('E6-2011-12'!C14/2)+('E6-2011-12'!C29))/10^7</f>
        <v>24.521649650000001</v>
      </c>
      <c r="E20" s="3090">
        <f>(('E6-2011-12'!E14/2)+('E6-2011-12'!E29))/10^7</f>
        <v>2.9558311499999999</v>
      </c>
      <c r="F20" s="3091">
        <f>(('E6-2011-12'!F14/2)+('E6-2011-12'!F29))/10^7</f>
        <v>0.28719994999999998</v>
      </c>
      <c r="G20" s="1366">
        <f>(('E6-2011-12'!I14/2)+('E6-2011-12'!I29))/10^7</f>
        <v>27.174138299999999</v>
      </c>
      <c r="H20" s="845">
        <f>(('E6 -2012-13'!S16/2)+('E6 -2012-13'!S32))/10^7</f>
        <v>27.174138349500002</v>
      </c>
      <c r="I20" s="845">
        <f>(('E6 -2012-13'!X16/2)+('E6 -2012-13'!X32))/10^7</f>
        <v>1.3258569745</v>
      </c>
      <c r="J20" s="845">
        <f>(('E6 -2012-13'!Z16/2)+('E6 -2012-13'!Z32))/10^7</f>
        <v>0.99583661349999997</v>
      </c>
      <c r="K20" s="3094">
        <f>(('E6 -2012-13'!AB16/2)+('E6 -2012-13'!AB32))/10^7</f>
        <v>-1.2074115000000001</v>
      </c>
      <c r="L20" s="843">
        <f>(('E6 -2012-13'!AD16/2)+('E6 -2012-13'!AD32))/10^7</f>
        <v>26.296747210500001</v>
      </c>
      <c r="M20" s="843">
        <f>(('E6-2013-14'!AD16/2)+('E6-2013-14'!AD32))/10^7</f>
        <v>26.296747150000002</v>
      </c>
      <c r="N20" s="843">
        <f>(('E6-2013-14'!AG16/2)+('E6-2013-14'!AG32))/10^7</f>
        <v>1.75063075</v>
      </c>
      <c r="O20" s="843">
        <f>(('E6-2013-14'!AH16/2)+('E6-2013-14'!AH32))/10^7</f>
        <v>0.28770034999999999</v>
      </c>
      <c r="P20" s="3094">
        <f>(('E6-2013-14'!AI16/2)+('E6-2013-14'!AI32))/10^7</f>
        <v>0</v>
      </c>
      <c r="Q20" s="843">
        <f>(('E6-2013-14'!AJ16/2)+('E6-2013-14'!AJ32))/10^7</f>
        <v>27.759677549999999</v>
      </c>
      <c r="T20" s="1812"/>
      <c r="U20" s="1813"/>
      <c r="V20" s="1812"/>
      <c r="W20" s="1813"/>
      <c r="X20" s="1812"/>
      <c r="AD20" s="1367"/>
      <c r="AE20" s="1368"/>
    </row>
    <row r="21" spans="2:31">
      <c r="B21" s="296">
        <f>B20+1</f>
        <v>11</v>
      </c>
      <c r="C21" s="298" t="s">
        <v>431</v>
      </c>
      <c r="D21" s="4523"/>
      <c r="E21" s="4523"/>
      <c r="F21" s="4523"/>
      <c r="G21" s="4523"/>
      <c r="H21" s="845">
        <f>'E6 -2012-13'!S18/10^7/2</f>
        <v>0.15791749999999999</v>
      </c>
      <c r="I21" s="845">
        <f>'E6 -2012-13'!X18/10^7</f>
        <v>0</v>
      </c>
      <c r="J21" s="845">
        <f>'E6 -2012-13'!Z18/10^7</f>
        <v>0</v>
      </c>
      <c r="K21" s="3094">
        <f>'E6 -2012-13'!AB18/10^7</f>
        <v>0</v>
      </c>
      <c r="L21" s="846">
        <f>'E6 -2012-13'!AD18/10^7</f>
        <v>0.31583499999999998</v>
      </c>
      <c r="M21" s="846">
        <f>('E6-2013-14'!AD18)/10^7</f>
        <v>0.31583499999999998</v>
      </c>
      <c r="N21" s="846">
        <f>('E6-2013-14'!AG18)/10^7</f>
        <v>1.0203800000000001E-2</v>
      </c>
      <c r="O21" s="846">
        <f>('E6-2013-14'!AH18)/10^7</f>
        <v>0</v>
      </c>
      <c r="P21" s="3094">
        <f>('E6-2013-14'!AI18)/10^7</f>
        <v>0</v>
      </c>
      <c r="Q21" s="843">
        <f>('E6-2013-14'!AJ18)/10^7/2</f>
        <v>0.16301940000000001</v>
      </c>
      <c r="T21" s="1812"/>
      <c r="U21" s="1813"/>
      <c r="V21" s="1813"/>
      <c r="W21" s="1813"/>
      <c r="X21" s="1812"/>
    </row>
    <row r="22" spans="2:31">
      <c r="B22" s="296">
        <f t="shared" si="0"/>
        <v>12</v>
      </c>
      <c r="C22" s="298" t="s">
        <v>428</v>
      </c>
      <c r="D22" s="4523"/>
      <c r="E22" s="4523"/>
      <c r="F22" s="4523"/>
      <c r="G22" s="4523"/>
      <c r="H22" s="844"/>
      <c r="I22" s="845"/>
      <c r="J22" s="844"/>
      <c r="K22" s="3094"/>
      <c r="L22" s="846"/>
      <c r="M22" s="846"/>
      <c r="N22" s="846"/>
      <c r="O22" s="846"/>
      <c r="P22" s="3094"/>
      <c r="Q22" s="3419"/>
      <c r="R22" s="3420"/>
      <c r="T22" s="1812"/>
      <c r="U22" s="1813"/>
      <c r="V22" s="847"/>
      <c r="W22" s="847"/>
      <c r="X22" s="847"/>
    </row>
    <row r="23" spans="2:31" s="280" customFormat="1">
      <c r="B23" s="296">
        <f>B22+1</f>
        <v>13</v>
      </c>
      <c r="C23" s="299" t="s">
        <v>47</v>
      </c>
      <c r="D23" s="3092">
        <f>SUM(D11:D20)</f>
        <v>1738.3482878</v>
      </c>
      <c r="E23" s="3092">
        <f>SUM(E11:E20)</f>
        <v>130.50223094999998</v>
      </c>
      <c r="F23" s="3093">
        <f>SUM(F11:F20)</f>
        <v>17.555354900000001</v>
      </c>
      <c r="G23" s="800">
        <f>SUM(G11:G22)</f>
        <v>1851.2177975000004</v>
      </c>
      <c r="H23" s="839">
        <f>SUM(H11:H22)</f>
        <v>1851.3757147000001</v>
      </c>
      <c r="I23" s="839">
        <f>SUM(I11:I22)</f>
        <v>126.24905230950002</v>
      </c>
      <c r="J23" s="839">
        <f>SUM(J11:J22)</f>
        <v>12.387156331500002</v>
      </c>
      <c r="K23" s="3095">
        <f>SUM(K11:K22)</f>
        <v>-3.7274114999999997</v>
      </c>
      <c r="L23" s="839">
        <f>SUM(L11:L21)</f>
        <v>1961.6681166780002</v>
      </c>
      <c r="M23" s="848">
        <f>SUM(M11:M20,M21)</f>
        <v>1961.6681170500003</v>
      </c>
      <c r="N23" s="848">
        <f>SUM(N11:N20,N21)</f>
        <v>101.5107612</v>
      </c>
      <c r="O23" s="848">
        <f>SUM(O11:O20,O21)</f>
        <v>15.203106049999999</v>
      </c>
      <c r="P23" s="3095">
        <f>SUM(P11:P20,P21)</f>
        <v>-10.58</v>
      </c>
      <c r="Q23" s="839">
        <f>SUM(Q11:Q21)</f>
        <v>2037.2327527999998</v>
      </c>
      <c r="T23" s="1812"/>
      <c r="U23" s="2951"/>
      <c r="V23" s="2951"/>
      <c r="W23" s="2951"/>
      <c r="X23" s="2951"/>
    </row>
    <row r="24" spans="2:31">
      <c r="B24" s="289"/>
      <c r="C24" s="290"/>
      <c r="D24" s="290"/>
      <c r="E24" s="290"/>
      <c r="F24" s="290"/>
      <c r="G24" s="290"/>
      <c r="I24" s="301"/>
      <c r="J24" s="302"/>
      <c r="K24" s="302"/>
      <c r="L24" s="302"/>
      <c r="M24" s="302"/>
      <c r="N24" s="302"/>
      <c r="O24" s="302"/>
      <c r="P24" s="302"/>
      <c r="R24" s="302"/>
      <c r="U24" s="302"/>
    </row>
    <row r="25" spans="2:31">
      <c r="B25" s="289" t="s">
        <v>448</v>
      </c>
      <c r="I25" s="3451"/>
    </row>
    <row r="26" spans="2:31">
      <c r="I26" s="291"/>
      <c r="L26" s="1019"/>
      <c r="M26" s="1019"/>
      <c r="N26" s="1019"/>
      <c r="O26" s="3102" t="s">
        <v>973</v>
      </c>
      <c r="P26" s="1019"/>
    </row>
    <row r="27" spans="2:31" ht="15.75" customHeight="1">
      <c r="B27" s="5725" t="s">
        <v>101</v>
      </c>
      <c r="C27" s="5725" t="s">
        <v>81</v>
      </c>
      <c r="D27" s="5704" t="s">
        <v>1897</v>
      </c>
      <c r="E27" s="5704"/>
      <c r="F27" s="5704"/>
      <c r="G27" s="5704"/>
      <c r="H27" s="5704" t="s">
        <v>82</v>
      </c>
      <c r="I27" s="5704"/>
      <c r="J27" s="5704"/>
      <c r="K27" s="5704"/>
      <c r="L27" s="5705" t="s">
        <v>1845</v>
      </c>
      <c r="M27" s="5706"/>
      <c r="N27" s="5706"/>
      <c r="O27" s="5706"/>
      <c r="P27" s="5707"/>
      <c r="Q27" s="5702"/>
      <c r="R27" s="5702"/>
      <c r="S27" s="5702"/>
      <c r="T27" s="5702"/>
      <c r="U27" s="5702"/>
      <c r="V27" s="5702"/>
      <c r="W27" s="5702"/>
      <c r="X27" s="5702"/>
    </row>
    <row r="28" spans="2:31" ht="15.75" customHeight="1">
      <c r="B28" s="5725"/>
      <c r="C28" s="5725"/>
      <c r="D28" s="5704" t="s">
        <v>1043</v>
      </c>
      <c r="E28" s="5729"/>
      <c r="F28" s="5729"/>
      <c r="G28" s="5729"/>
      <c r="H28" s="5705" t="s">
        <v>1043</v>
      </c>
      <c r="I28" s="5706"/>
      <c r="J28" s="5706"/>
      <c r="K28" s="5708"/>
      <c r="L28" s="5705" t="s">
        <v>1043</v>
      </c>
      <c r="M28" s="5706"/>
      <c r="N28" s="5706"/>
      <c r="O28" s="5706"/>
      <c r="P28" s="5707"/>
      <c r="Q28" s="5702"/>
      <c r="R28" s="5702"/>
      <c r="S28" s="5702"/>
      <c r="T28" s="5702"/>
      <c r="U28" s="5702"/>
      <c r="V28" s="5703"/>
      <c r="W28" s="5703"/>
      <c r="X28" s="5703"/>
    </row>
    <row r="29" spans="2:31" ht="94.5">
      <c r="B29" s="5725"/>
      <c r="C29" s="5725"/>
      <c r="D29" s="1292" t="s">
        <v>166</v>
      </c>
      <c r="E29" s="2838" t="s">
        <v>2690</v>
      </c>
      <c r="F29" s="303" t="s">
        <v>167</v>
      </c>
      <c r="G29" s="1292" t="s">
        <v>168</v>
      </c>
      <c r="H29" s="1292" t="s">
        <v>166</v>
      </c>
      <c r="I29" s="2838" t="s">
        <v>2690</v>
      </c>
      <c r="J29" s="303" t="s">
        <v>167</v>
      </c>
      <c r="K29" s="1292" t="s">
        <v>168</v>
      </c>
      <c r="L29" s="1292" t="s">
        <v>166</v>
      </c>
      <c r="M29" s="2838" t="s">
        <v>2690</v>
      </c>
      <c r="N29" s="303" t="s">
        <v>167</v>
      </c>
      <c r="O29" s="2839" t="s">
        <v>168</v>
      </c>
      <c r="P29" s="2955"/>
      <c r="Q29" s="2954"/>
      <c r="R29" s="2954"/>
      <c r="S29" s="3103"/>
      <c r="T29" s="2954"/>
      <c r="U29" s="2954"/>
      <c r="V29" s="2954"/>
      <c r="W29" s="3103"/>
      <c r="X29" s="2954"/>
    </row>
    <row r="30" spans="2:31">
      <c r="B30" s="296">
        <v>1</v>
      </c>
      <c r="C30" s="1291" t="s">
        <v>156</v>
      </c>
      <c r="D30" s="1617">
        <v>0</v>
      </c>
      <c r="E30" s="1617">
        <v>0</v>
      </c>
      <c r="F30" s="1617">
        <v>0</v>
      </c>
      <c r="G30" s="1617">
        <v>0</v>
      </c>
      <c r="H30" s="843">
        <f>'Accumulated Depreciation '!L10</f>
        <v>0</v>
      </c>
      <c r="I30" s="843">
        <f>'Depreciation 2012-13'!E8/10^7</f>
        <v>0</v>
      </c>
      <c r="J30" s="3115">
        <f>H30+I30-K30</f>
        <v>0</v>
      </c>
      <c r="K30" s="843">
        <v>0</v>
      </c>
      <c r="L30" s="843">
        <f>K30</f>
        <v>0</v>
      </c>
      <c r="M30" s="843">
        <f>'Depreciation 2013-14'!P8/10^7</f>
        <v>0</v>
      </c>
      <c r="N30" s="843">
        <f>'Depreciation 2013-14'!I8/10^7</f>
        <v>0</v>
      </c>
      <c r="O30" s="1899">
        <f>L30+M30-N30</f>
        <v>0</v>
      </c>
      <c r="P30" s="3104"/>
      <c r="R30" s="292"/>
      <c r="S30" s="292"/>
      <c r="T30" s="292"/>
      <c r="U30" s="302"/>
      <c r="V30" s="302"/>
      <c r="W30" s="302"/>
      <c r="X30" s="302"/>
    </row>
    <row r="31" spans="2:31">
      <c r="B31" s="296">
        <f>B30+1</f>
        <v>2</v>
      </c>
      <c r="C31" s="1291" t="s">
        <v>157</v>
      </c>
      <c r="D31" s="1617">
        <v>16.169999999999998</v>
      </c>
      <c r="E31" s="1617">
        <v>1.05</v>
      </c>
      <c r="F31" s="1617">
        <v>0</v>
      </c>
      <c r="G31" s="1617">
        <v>17.22</v>
      </c>
      <c r="H31" s="843">
        <f>'Accumulated Depreciation '!L11</f>
        <v>31.19</v>
      </c>
      <c r="I31" s="843">
        <f>'Depreciation 2012-13'!E9/10^7</f>
        <v>1.9088574149999999</v>
      </c>
      <c r="J31" s="3115">
        <f t="shared" ref="J31:J39" si="1">H31+I31-K31</f>
        <v>-1.2411425850000057</v>
      </c>
      <c r="K31" s="843">
        <f>'Accumulated Depreciation '!M11</f>
        <v>34.340000000000003</v>
      </c>
      <c r="L31" s="843">
        <f t="shared" ref="L31:L41" si="2">K31</f>
        <v>34.340000000000003</v>
      </c>
      <c r="M31" s="843">
        <f>('Depreciation 2013-14'!P10+'Depreciation 2013-14'!P12)/10^7</f>
        <v>2.0413587573600003</v>
      </c>
      <c r="N31" s="843">
        <f>('Depreciation 2013-14'!I10+'Depreciation 2013-14'!I12)/10^7</f>
        <v>0</v>
      </c>
      <c r="O31" s="4441">
        <f t="shared" ref="O31:O42" si="3">L31+M31-N31</f>
        <v>36.381358757360005</v>
      </c>
      <c r="P31" s="3104"/>
      <c r="R31" s="292"/>
      <c r="S31" s="292"/>
      <c r="T31" s="292"/>
      <c r="U31" s="302"/>
      <c r="V31" s="302"/>
      <c r="W31" s="302"/>
      <c r="X31" s="302"/>
    </row>
    <row r="32" spans="2:31">
      <c r="B32" s="296">
        <f t="shared" ref="B32:B50" si="4">B31+1</f>
        <v>3</v>
      </c>
      <c r="C32" s="1291" t="s">
        <v>158</v>
      </c>
      <c r="D32" s="1617">
        <v>270.27</v>
      </c>
      <c r="E32" s="1617">
        <v>31.68</v>
      </c>
      <c r="F32" s="1817">
        <v>-5.48</v>
      </c>
      <c r="G32" s="1617">
        <v>296.46999999999997</v>
      </c>
      <c r="H32" s="843">
        <f>'Accumulated Depreciation '!L15</f>
        <v>310.36</v>
      </c>
      <c r="I32" s="843">
        <f>('Depreciation 2012-13'!E10+'Depreciation 2012-13'!E12+'Depreciation 2012-13'!E14+'Depreciation 2012-13'!E17+'Depreciation 2012-13'!E18+'Depreciation 2012-13'!E20+'Depreciation 2012-13'!E21+'Depreciation 2012-13'!E26+'Depreciation 2012-13'!E29+'Depreciation 2012-13'!E30+'Depreciation 2012-13'!E31)/10^7</f>
        <v>44.88795853693</v>
      </c>
      <c r="J32" s="3115">
        <f t="shared" si="1"/>
        <v>14.38795853693</v>
      </c>
      <c r="K32" s="843">
        <f>'Accumulated Depreciation '!M15</f>
        <v>340.86</v>
      </c>
      <c r="L32" s="843">
        <f t="shared" si="2"/>
        <v>340.86</v>
      </c>
      <c r="M32" s="843">
        <f>('Depreciation 2013-14'!P16+'Depreciation 2013-14'!P32+'Depreciation 2013-14'!P40+'Depreciation 2013-14'!P42+'Depreciation 2013-14'!P44+'Depreciation 2013-14'!P48+'Depreciation 2013-14'!P50)/10^7</f>
        <v>44.788764627059599</v>
      </c>
      <c r="N32" s="843">
        <f>('Depreciation 2013-14'!I16+'Depreciation 2013-14'!I32+'Depreciation 2013-14'!I40+'Depreciation 2013-14'!I42+'Depreciation 2013-14'!I44+'Depreciation 2013-14'!I48+'Depreciation 2013-14'!I50)/10^7</f>
        <v>3.9138375999999999</v>
      </c>
      <c r="O32" s="4441">
        <f t="shared" si="3"/>
        <v>381.7349270270596</v>
      </c>
      <c r="P32" s="3104"/>
      <c r="R32" s="292"/>
      <c r="S32" s="292"/>
      <c r="T32" s="292"/>
      <c r="U32" s="302"/>
      <c r="V32" s="302"/>
      <c r="W32" s="302"/>
      <c r="X32" s="302"/>
    </row>
    <row r="33" spans="2:24">
      <c r="B33" s="296">
        <f t="shared" si="4"/>
        <v>4</v>
      </c>
      <c r="C33" s="1291" t="s">
        <v>159</v>
      </c>
      <c r="D33" s="1617">
        <v>139.42000000000002</v>
      </c>
      <c r="E33" s="1617">
        <v>12.9</v>
      </c>
      <c r="F33" s="1817">
        <v>-0.69</v>
      </c>
      <c r="G33" s="1617">
        <v>151.63000000000002</v>
      </c>
      <c r="H33" s="843">
        <f>'Accumulated Depreciation '!L44</f>
        <v>153.28</v>
      </c>
      <c r="I33" s="843">
        <f>('Depreciation 2012-13'!E13+'Depreciation 2012-13'!E11)/10^7</f>
        <v>26.912754499899997</v>
      </c>
      <c r="J33" s="3115">
        <f t="shared" si="1"/>
        <v>11.902754499899999</v>
      </c>
      <c r="K33" s="843">
        <f>'Accumulated Depreciation '!M44</f>
        <v>168.29</v>
      </c>
      <c r="L33" s="843">
        <f t="shared" si="2"/>
        <v>168.29</v>
      </c>
      <c r="M33" s="843">
        <f>'Depreciation 2013-14'!P30/10^7</f>
        <v>27.53948345337</v>
      </c>
      <c r="N33" s="843">
        <f>'Depreciation 2013-14'!I30/10^7</f>
        <v>0.32776889999999997</v>
      </c>
      <c r="O33" s="4441">
        <f t="shared" si="3"/>
        <v>195.50171455336999</v>
      </c>
      <c r="P33" s="3104"/>
      <c r="R33" s="292"/>
      <c r="S33" s="292"/>
      <c r="T33" s="292"/>
      <c r="U33" s="302"/>
      <c r="V33" s="302"/>
      <c r="W33" s="302"/>
      <c r="X33" s="302"/>
    </row>
    <row r="34" spans="2:24">
      <c r="B34" s="296">
        <f t="shared" si="4"/>
        <v>5</v>
      </c>
      <c r="C34" s="1291" t="s">
        <v>160</v>
      </c>
      <c r="D34" s="1617">
        <v>94.899999999999991</v>
      </c>
      <c r="E34" s="1617">
        <v>9.14</v>
      </c>
      <c r="F34" s="1817">
        <v>-10.039999999999999</v>
      </c>
      <c r="G34" s="1617">
        <v>94</v>
      </c>
      <c r="H34" s="843">
        <f>'Accumulated Depreciation '!L57</f>
        <v>96.43</v>
      </c>
      <c r="I34" s="843">
        <f>'Depreciation 2012-13'!E16/10^7</f>
        <v>16.034738333249997</v>
      </c>
      <c r="J34" s="3115">
        <f t="shared" si="1"/>
        <v>10.394738333250018</v>
      </c>
      <c r="K34" s="843">
        <f>'Accumulated Depreciation '!M57</f>
        <v>102.07</v>
      </c>
      <c r="L34" s="843">
        <f t="shared" si="2"/>
        <v>102.07</v>
      </c>
      <c r="M34" s="843">
        <f>('Depreciation 2013-14'!P36+'Depreciation 2013-14'!P38)/10^7</f>
        <v>14.874639480810002</v>
      </c>
      <c r="N34" s="843">
        <f>('Depreciation 2013-14'!I36+'Depreciation 2013-14'!I38)/10^7</f>
        <v>0</v>
      </c>
      <c r="O34" s="4441">
        <f t="shared" si="3"/>
        <v>116.94463948081</v>
      </c>
      <c r="P34" s="3104"/>
      <c r="R34" s="292"/>
      <c r="S34" s="292"/>
      <c r="T34" s="292"/>
      <c r="U34" s="302"/>
      <c r="V34" s="302"/>
      <c r="W34" s="302"/>
      <c r="X34" s="302"/>
    </row>
    <row r="35" spans="2:24">
      <c r="B35" s="296">
        <f t="shared" si="4"/>
        <v>6</v>
      </c>
      <c r="C35" s="1291" t="s">
        <v>161</v>
      </c>
      <c r="D35" s="1617">
        <v>27.05</v>
      </c>
      <c r="E35" s="1617">
        <v>1.92</v>
      </c>
      <c r="F35" s="1617">
        <v>0</v>
      </c>
      <c r="G35" s="1617">
        <v>28.97</v>
      </c>
      <c r="H35" s="843">
        <f>'Accumulated Depreciation '!L58</f>
        <v>29.07</v>
      </c>
      <c r="I35" s="843">
        <f>'Depreciation 2012-13'!E15/10^7</f>
        <v>1.6645255701600001</v>
      </c>
      <c r="J35" s="3115">
        <f t="shared" si="1"/>
        <v>1.4525570160000001E-2</v>
      </c>
      <c r="K35" s="843">
        <f>'Accumulated Depreciation '!M58</f>
        <v>30.72</v>
      </c>
      <c r="L35" s="843">
        <f t="shared" si="2"/>
        <v>30.72</v>
      </c>
      <c r="M35" s="843">
        <f>'Depreciation 2013-14'!P34/10^7</f>
        <v>1.4147343009599997</v>
      </c>
      <c r="N35" s="843">
        <f>'Depreciation 2013-14'!I34/10^7</f>
        <v>0</v>
      </c>
      <c r="O35" s="4441">
        <f t="shared" si="3"/>
        <v>32.134734300959998</v>
      </c>
      <c r="P35" s="3104"/>
      <c r="R35" s="292"/>
      <c r="S35" s="292"/>
      <c r="T35" s="292"/>
      <c r="U35" s="302"/>
      <c r="V35" s="302"/>
      <c r="W35" s="302"/>
      <c r="X35" s="302"/>
    </row>
    <row r="36" spans="2:24">
      <c r="B36" s="296">
        <f t="shared" si="4"/>
        <v>7</v>
      </c>
      <c r="C36" s="1291" t="s">
        <v>162</v>
      </c>
      <c r="D36" s="1617">
        <v>0.04</v>
      </c>
      <c r="E36" s="1617">
        <v>0</v>
      </c>
      <c r="F36" s="1617">
        <v>0</v>
      </c>
      <c r="G36" s="1617">
        <v>0.04</v>
      </c>
      <c r="H36" s="843">
        <f>'Accumulated Depreciation '!L62</f>
        <v>0.03</v>
      </c>
      <c r="I36" s="843">
        <f>'Depreciation 2012-13'!E32/10^7</f>
        <v>1.2528855E-3</v>
      </c>
      <c r="J36" s="3115">
        <f t="shared" si="1"/>
        <v>1.2528855000000019E-3</v>
      </c>
      <c r="K36" s="843">
        <f>'Accumulated Depreciation '!M62</f>
        <v>0.03</v>
      </c>
      <c r="L36" s="843">
        <f t="shared" si="2"/>
        <v>0.03</v>
      </c>
      <c r="M36" s="843">
        <f>'Depreciation 2013-14'!P52/10^7</f>
        <v>0</v>
      </c>
      <c r="N36" s="843">
        <f>'Depreciation 2013-14'!I52/10^7</f>
        <v>3.2837999999999999E-3</v>
      </c>
      <c r="O36" s="4441">
        <f t="shared" si="3"/>
        <v>2.6716199999999999E-2</v>
      </c>
      <c r="P36" s="3104"/>
      <c r="R36" s="292"/>
      <c r="S36" s="292"/>
      <c r="T36" s="292"/>
      <c r="U36" s="302"/>
      <c r="V36" s="302"/>
      <c r="W36" s="302"/>
      <c r="X36" s="302"/>
    </row>
    <row r="37" spans="2:24">
      <c r="B37" s="296">
        <f t="shared" si="4"/>
        <v>8</v>
      </c>
      <c r="C37" s="1291" t="s">
        <v>163</v>
      </c>
      <c r="D37" s="1617">
        <v>7.18</v>
      </c>
      <c r="E37" s="1617">
        <v>1.1000000000000001</v>
      </c>
      <c r="F37" s="1817">
        <v>-0.66</v>
      </c>
      <c r="G37" s="1617">
        <v>7.62</v>
      </c>
      <c r="H37" s="843">
        <f>'Accumulated Depreciation '!L59</f>
        <v>9.32</v>
      </c>
      <c r="I37" s="843">
        <f>'Depreciation 2012-13'!E22/10^7</f>
        <v>1.0750330237499999</v>
      </c>
      <c r="J37" s="3115">
        <f t="shared" si="1"/>
        <v>-5.4966976249998467E-2</v>
      </c>
      <c r="K37" s="843">
        <f>'Accumulated Depreciation '!M59</f>
        <v>10.45</v>
      </c>
      <c r="L37" s="843">
        <f t="shared" si="2"/>
        <v>10.45</v>
      </c>
      <c r="M37" s="843">
        <f>'Depreciation 2013-14'!P14/10^7</f>
        <v>1.03448995875</v>
      </c>
      <c r="N37" s="843">
        <f>'Depreciation 2013-14'!I14/10^7</f>
        <v>0</v>
      </c>
      <c r="O37" s="4441">
        <f t="shared" si="3"/>
        <v>11.48448995875</v>
      </c>
      <c r="P37" s="3104"/>
      <c r="R37" s="292"/>
      <c r="S37" s="292"/>
      <c r="T37" s="292"/>
      <c r="U37" s="302"/>
      <c r="V37" s="302"/>
      <c r="W37" s="302"/>
      <c r="X37" s="302"/>
    </row>
    <row r="38" spans="2:24">
      <c r="B38" s="296">
        <f t="shared" si="4"/>
        <v>9</v>
      </c>
      <c r="C38" s="1291" t="s">
        <v>164</v>
      </c>
      <c r="D38" s="1617">
        <v>7.88</v>
      </c>
      <c r="E38" s="1617">
        <v>0.78</v>
      </c>
      <c r="F38" s="1817">
        <v>-0.24</v>
      </c>
      <c r="G38" s="1617">
        <v>8.42</v>
      </c>
      <c r="H38" s="843">
        <f>'Accumulated Depreciation '!L61</f>
        <v>8.58</v>
      </c>
      <c r="I38" s="843">
        <f>('Depreciation 2012-13'!E23+'Depreciation 2012-13'!E24)/10^7</f>
        <v>1.1279591823200001</v>
      </c>
      <c r="J38" s="3115">
        <f t="shared" si="1"/>
        <v>0.15795918231999906</v>
      </c>
      <c r="K38" s="843">
        <f>'Accumulated Depreciation '!M61</f>
        <v>9.5500000000000007</v>
      </c>
      <c r="L38" s="843">
        <f t="shared" si="2"/>
        <v>9.5500000000000007</v>
      </c>
      <c r="M38" s="843">
        <f>'Depreciation 2013-14'!P54/10^7</f>
        <v>0</v>
      </c>
      <c r="N38" s="843">
        <f>'Depreciation 2013-14'!I54/10^7</f>
        <v>0.1595164</v>
      </c>
      <c r="O38" s="4441">
        <f t="shared" si="3"/>
        <v>9.3904836000000014</v>
      </c>
      <c r="P38" s="3104"/>
      <c r="R38" s="292"/>
      <c r="S38" s="292"/>
      <c r="T38" s="292"/>
      <c r="U38" s="302"/>
      <c r="V38" s="302"/>
      <c r="W38" s="302"/>
      <c r="X38" s="302"/>
    </row>
    <row r="39" spans="2:24">
      <c r="B39" s="296">
        <f t="shared" si="4"/>
        <v>10</v>
      </c>
      <c r="C39" s="1291" t="s">
        <v>165</v>
      </c>
      <c r="D39" s="1617">
        <v>11.43</v>
      </c>
      <c r="E39" s="1617">
        <v>1.89</v>
      </c>
      <c r="F39" s="1817">
        <v>-0.16</v>
      </c>
      <c r="G39" s="1617">
        <v>13.16</v>
      </c>
      <c r="H39" s="843">
        <f>'Accumulated Depreciation '!L60</f>
        <v>14.85</v>
      </c>
      <c r="I39" s="843">
        <f>('Depreciation 2012-13'!E25+'Depreciation 2012-13'!E27+'Depreciation 2012-13'!E28)/10^7</f>
        <v>0.44152003350999997</v>
      </c>
      <c r="J39" s="3115">
        <f t="shared" si="1"/>
        <v>-6.7084799664899997</v>
      </c>
      <c r="K39" s="843">
        <f>'Accumulated Depreciation '!M60</f>
        <v>22</v>
      </c>
      <c r="L39" s="843">
        <f t="shared" si="2"/>
        <v>22</v>
      </c>
      <c r="M39" s="843">
        <f>('Depreciation 2013-14'!P56+'Depreciation 2013-14'!P28+'Depreciation 2013-14'!P26+'Depreciation 2013-14'!P24+'Depreciation 2013-14'!P22+'Depreciation 2013-14'!P20+'Depreciation 2013-14'!P18)/10^7</f>
        <v>1.9113868457500001</v>
      </c>
      <c r="N39" s="843">
        <f>('Depreciation 2013-14'!I56+'Depreciation 2013-14'!I28+'Depreciation 2013-14'!I26+'Depreciation 2013-14'!I24+'Depreciation 2013-14'!I22+'Depreciation 2013-14'!I20)/10^7</f>
        <v>0.15582560000000001</v>
      </c>
      <c r="O39" s="4441">
        <f t="shared" si="3"/>
        <v>23.755561245750002</v>
      </c>
      <c r="P39" s="3104"/>
      <c r="R39" s="292"/>
      <c r="S39" s="292"/>
      <c r="T39" s="292"/>
      <c r="U39" s="302"/>
      <c r="V39" s="302"/>
      <c r="W39" s="302"/>
      <c r="X39" s="302"/>
    </row>
    <row r="40" spans="2:24">
      <c r="B40" s="296">
        <f t="shared" si="4"/>
        <v>11</v>
      </c>
      <c r="C40" s="1291" t="s">
        <v>606</v>
      </c>
      <c r="D40" s="1617">
        <v>17.3</v>
      </c>
      <c r="E40" s="3096">
        <v>1.04</v>
      </c>
      <c r="F40" s="1817">
        <v>-0.21</v>
      </c>
      <c r="G40" s="1617">
        <v>18.130000000000003</v>
      </c>
      <c r="H40" s="843"/>
      <c r="I40" s="843"/>
      <c r="J40" s="3115"/>
      <c r="K40" s="843"/>
      <c r="L40" s="843"/>
      <c r="M40" s="843"/>
      <c r="N40" s="843"/>
      <c r="O40" s="4441">
        <f t="shared" si="3"/>
        <v>0</v>
      </c>
      <c r="P40" s="3104"/>
      <c r="R40" s="292"/>
      <c r="S40" s="292"/>
      <c r="T40" s="292"/>
      <c r="U40" s="302"/>
      <c r="V40" s="302"/>
      <c r="W40" s="302"/>
      <c r="X40" s="302"/>
    </row>
    <row r="41" spans="2:24">
      <c r="B41" s="296">
        <f t="shared" si="4"/>
        <v>12</v>
      </c>
      <c r="C41" s="298" t="s">
        <v>431</v>
      </c>
      <c r="D41" s="5718"/>
      <c r="E41" s="5719"/>
      <c r="F41" s="5719"/>
      <c r="G41" s="5720"/>
      <c r="H41" s="3097">
        <f>'Accumulated Depreciation '!L63</f>
        <v>0.05</v>
      </c>
      <c r="I41" s="843"/>
      <c r="J41" s="3115"/>
      <c r="K41" s="843">
        <f>'Accumulated Depreciation '!M63</f>
        <v>7.0000000000000007E-2</v>
      </c>
      <c r="L41" s="843">
        <f t="shared" si="2"/>
        <v>7.0000000000000007E-2</v>
      </c>
      <c r="M41" s="843"/>
      <c r="N41" s="1617"/>
      <c r="O41" s="4441">
        <f t="shared" si="3"/>
        <v>7.0000000000000007E-2</v>
      </c>
      <c r="P41" s="3105"/>
      <c r="R41" s="292"/>
      <c r="S41" s="292"/>
      <c r="T41" s="292"/>
      <c r="U41" s="302"/>
      <c r="V41" s="302"/>
      <c r="W41" s="302"/>
      <c r="X41" s="302"/>
    </row>
    <row r="42" spans="2:24">
      <c r="B42" s="296">
        <f t="shared" si="4"/>
        <v>13</v>
      </c>
      <c r="C42" s="853" t="s">
        <v>428</v>
      </c>
      <c r="D42" s="5721"/>
      <c r="E42" s="5722"/>
      <c r="F42" s="5722"/>
      <c r="G42" s="5723"/>
      <c r="H42" s="3098"/>
      <c r="I42" s="843">
        <f>'Depreciation 2012-13'!E19/10^7</f>
        <v>2.2342592100000003</v>
      </c>
      <c r="J42" s="3115"/>
      <c r="K42" s="843"/>
      <c r="L42" s="3098"/>
      <c r="M42" s="3110">
        <f>'Depreciation 2013-14'!P46/10^7</f>
        <v>3.7678562099999993</v>
      </c>
      <c r="N42" s="3111">
        <f>'Depreciation 2013-14'!I46/10^7</f>
        <v>0</v>
      </c>
      <c r="O42" s="4441">
        <f t="shared" si="3"/>
        <v>3.7678562099999993</v>
      </c>
      <c r="P42" s="3105"/>
      <c r="R42" s="292"/>
      <c r="S42" s="292"/>
      <c r="T42" s="292"/>
      <c r="U42" s="302"/>
      <c r="V42" s="302"/>
      <c r="W42" s="302"/>
      <c r="X42" s="302"/>
    </row>
    <row r="43" spans="2:24">
      <c r="B43" s="296">
        <f t="shared" si="4"/>
        <v>14</v>
      </c>
      <c r="C43" s="851" t="s">
        <v>47</v>
      </c>
      <c r="D43" s="855">
        <v>596.69999999999982</v>
      </c>
      <c r="E43" s="855">
        <v>61.5</v>
      </c>
      <c r="F43" s="1816">
        <v>-17.48</v>
      </c>
      <c r="G43" s="855">
        <v>635.65999999999985</v>
      </c>
      <c r="H43" s="855">
        <f>SUM(H30:H41)</f>
        <v>653.16000000000008</v>
      </c>
      <c r="I43" s="855">
        <f>SUM(I30:I42)</f>
        <v>96.288858690319984</v>
      </c>
      <c r="J43" s="3118">
        <v>0</v>
      </c>
      <c r="K43" s="855">
        <f>SUM(K30:K41)</f>
        <v>718.38</v>
      </c>
      <c r="L43" s="855">
        <f>SUM(L30:L41)</f>
        <v>718.38</v>
      </c>
      <c r="M43" s="855">
        <f>SUM(M30:M42)</f>
        <v>97.372713634059622</v>
      </c>
      <c r="N43" s="855">
        <f>SUM(N30:N42)</f>
        <v>4.5602323</v>
      </c>
      <c r="O43" s="2837">
        <f>L43+M43-N43</f>
        <v>811.19248133405961</v>
      </c>
      <c r="P43" s="3106"/>
      <c r="R43" s="292"/>
      <c r="S43" s="292"/>
      <c r="T43" s="292"/>
      <c r="U43" s="302"/>
      <c r="V43" s="302"/>
      <c r="W43" s="302"/>
      <c r="X43" s="302"/>
    </row>
    <row r="44" spans="2:24" ht="31.5">
      <c r="B44" s="296">
        <f t="shared" si="4"/>
        <v>15</v>
      </c>
      <c r="C44" s="1020" t="s">
        <v>2292</v>
      </c>
      <c r="D44" s="3100"/>
      <c r="E44" s="3101"/>
      <c r="F44" s="3101"/>
      <c r="G44" s="3101"/>
      <c r="H44" s="2840"/>
      <c r="I44" s="2840"/>
      <c r="J44" s="2840"/>
      <c r="K44" s="2840"/>
      <c r="L44" s="2840"/>
      <c r="M44" s="848">
        <f>'Depreciation 2013-14'!P60/10^7</f>
        <v>0.84633599999999998</v>
      </c>
      <c r="N44" s="2840"/>
      <c r="O44" s="2841"/>
      <c r="P44" s="3107"/>
      <c r="Q44" s="3107"/>
      <c r="R44" s="292"/>
      <c r="S44" s="292"/>
      <c r="T44" s="292"/>
      <c r="U44" s="302"/>
      <c r="V44" s="302"/>
      <c r="W44" s="302"/>
      <c r="X44" s="302"/>
    </row>
    <row r="45" spans="2:24">
      <c r="B45" s="296">
        <f t="shared" si="4"/>
        <v>16</v>
      </c>
      <c r="C45" s="852" t="s">
        <v>2290</v>
      </c>
      <c r="D45" s="5709"/>
      <c r="E45" s="5710"/>
      <c r="F45" s="5710"/>
      <c r="G45" s="5710"/>
      <c r="H45" s="5711"/>
      <c r="I45" s="848">
        <f>'Depreciation 2012-13'!E37/10^7</f>
        <v>0.50204928575999974</v>
      </c>
      <c r="J45" s="5709"/>
      <c r="K45" s="5710"/>
      <c r="L45" s="5710"/>
      <c r="M45" s="5710"/>
      <c r="N45" s="5710"/>
      <c r="O45" s="5711"/>
      <c r="P45" s="3108"/>
      <c r="Q45" s="3108"/>
      <c r="R45" s="292"/>
      <c r="S45" s="292"/>
      <c r="T45" s="292"/>
      <c r="U45" s="302"/>
      <c r="V45" s="302"/>
      <c r="W45" s="302"/>
      <c r="X45" s="302"/>
    </row>
    <row r="46" spans="2:24">
      <c r="B46" s="296">
        <f t="shared" si="4"/>
        <v>17</v>
      </c>
      <c r="C46" s="852" t="s">
        <v>2291</v>
      </c>
      <c r="D46" s="5712"/>
      <c r="E46" s="5713"/>
      <c r="F46" s="5713"/>
      <c r="G46" s="5713"/>
      <c r="H46" s="5714"/>
      <c r="I46" s="848">
        <f>'Depreciation 2012-13'!E38/10^7</f>
        <v>1.0577576591999998</v>
      </c>
      <c r="J46" s="5712"/>
      <c r="K46" s="5713"/>
      <c r="L46" s="5713"/>
      <c r="M46" s="5713"/>
      <c r="N46" s="5713"/>
      <c r="O46" s="5714"/>
      <c r="P46" s="3108"/>
      <c r="Q46" s="3108"/>
      <c r="R46" s="292"/>
      <c r="S46" s="292"/>
      <c r="T46" s="292"/>
      <c r="U46" s="302"/>
      <c r="V46" s="302"/>
      <c r="W46" s="302"/>
      <c r="X46" s="302"/>
    </row>
    <row r="47" spans="2:24" ht="31.5">
      <c r="B47" s="296">
        <f t="shared" si="4"/>
        <v>18</v>
      </c>
      <c r="C47" s="852" t="s">
        <v>1970</v>
      </c>
      <c r="D47" s="5712"/>
      <c r="E47" s="5713"/>
      <c r="F47" s="5713"/>
      <c r="G47" s="5713"/>
      <c r="H47" s="5714"/>
      <c r="I47" s="848">
        <f>'Depreciation 2012-13'!E43/10^7</f>
        <v>0.44888099999999997</v>
      </c>
      <c r="J47" s="5712"/>
      <c r="K47" s="5713"/>
      <c r="L47" s="5713"/>
      <c r="M47" s="5713"/>
      <c r="N47" s="5713"/>
      <c r="O47" s="5714"/>
      <c r="P47" s="3108"/>
      <c r="Q47" s="3108"/>
      <c r="R47" s="292"/>
      <c r="S47" s="292"/>
      <c r="T47" s="292"/>
      <c r="U47" s="302"/>
      <c r="V47" s="302"/>
      <c r="W47" s="302"/>
      <c r="X47" s="302"/>
    </row>
    <row r="48" spans="2:24" ht="31.5">
      <c r="B48" s="296">
        <f t="shared" si="4"/>
        <v>19</v>
      </c>
      <c r="C48" s="852" t="s">
        <v>1971</v>
      </c>
      <c r="D48" s="5712"/>
      <c r="E48" s="5713"/>
      <c r="F48" s="5713"/>
      <c r="G48" s="5713"/>
      <c r="H48" s="5714"/>
      <c r="I48" s="848">
        <f>'Depreciation 2012-13'!E46/10^7</f>
        <v>1.459595</v>
      </c>
      <c r="J48" s="5712"/>
      <c r="K48" s="5713"/>
      <c r="L48" s="5713"/>
      <c r="M48" s="5713"/>
      <c r="N48" s="5713"/>
      <c r="O48" s="5714"/>
      <c r="P48" s="3108"/>
      <c r="Q48" s="3108"/>
      <c r="R48" s="292"/>
      <c r="S48" s="292"/>
      <c r="T48" s="292"/>
      <c r="U48" s="302"/>
      <c r="V48" s="302"/>
      <c r="W48" s="302"/>
      <c r="X48" s="302"/>
    </row>
    <row r="49" spans="1:26" ht="31.5">
      <c r="B49" s="296">
        <f t="shared" si="4"/>
        <v>20</v>
      </c>
      <c r="C49" s="852" t="s">
        <v>1972</v>
      </c>
      <c r="D49" s="5715"/>
      <c r="E49" s="5716"/>
      <c r="F49" s="5716"/>
      <c r="G49" s="5716"/>
      <c r="H49" s="5717"/>
      <c r="I49" s="848">
        <f>'Depreciation 2012-13'!E49/10^7</f>
        <v>1.660128</v>
      </c>
      <c r="J49" s="5715"/>
      <c r="K49" s="5716"/>
      <c r="L49" s="5716"/>
      <c r="M49" s="5716"/>
      <c r="N49" s="5716"/>
      <c r="O49" s="5717"/>
      <c r="P49" s="3108"/>
      <c r="Q49" s="3108"/>
      <c r="R49" s="292"/>
      <c r="S49" s="292"/>
      <c r="T49" s="292"/>
      <c r="U49" s="302"/>
      <c r="V49" s="302"/>
      <c r="W49" s="302"/>
      <c r="X49" s="302"/>
    </row>
    <row r="50" spans="1:26" ht="18.75" customHeight="1">
      <c r="B50" s="296">
        <f t="shared" si="4"/>
        <v>21</v>
      </c>
      <c r="C50" s="1021" t="s">
        <v>2293</v>
      </c>
      <c r="D50" s="843"/>
      <c r="E50" s="839">
        <v>61.5</v>
      </c>
      <c r="F50" s="1818"/>
      <c r="G50" s="1818"/>
      <c r="H50" s="1818"/>
      <c r="I50" s="848">
        <f>I43-SUM(I45:I49)</f>
        <v>91.160447745359988</v>
      </c>
      <c r="J50" s="4454"/>
      <c r="K50" s="4454"/>
      <c r="L50" s="4455">
        <f>L43</f>
        <v>718.38</v>
      </c>
      <c r="M50" s="839">
        <f>M43-M44</f>
        <v>96.526377634059628</v>
      </c>
      <c r="N50" s="300">
        <f>N43</f>
        <v>4.5602323</v>
      </c>
      <c r="O50" s="300">
        <f>L50+M50-N50</f>
        <v>810.34614533405954</v>
      </c>
      <c r="P50" s="302"/>
      <c r="R50" s="3109"/>
      <c r="V50" s="1811"/>
    </row>
    <row r="51" spans="1:26" ht="18.75" customHeight="1">
      <c r="B51" s="1808"/>
      <c r="C51" s="1809"/>
      <c r="D51" s="302"/>
      <c r="E51" s="302"/>
      <c r="F51" s="302"/>
      <c r="G51" s="302"/>
      <c r="H51" s="302"/>
      <c r="I51" s="1810" t="s">
        <v>2689</v>
      </c>
      <c r="L51" s="302"/>
      <c r="M51" s="301"/>
      <c r="N51" s="302"/>
      <c r="O51" s="302"/>
      <c r="P51" s="302"/>
      <c r="R51" s="255"/>
      <c r="V51" s="1811"/>
    </row>
    <row r="52" spans="1:26" ht="18.75" customHeight="1">
      <c r="B52" s="1808"/>
      <c r="C52" s="4318" t="s">
        <v>3304</v>
      </c>
      <c r="D52" s="302"/>
      <c r="E52" s="302"/>
      <c r="F52" s="302"/>
      <c r="G52" s="302"/>
      <c r="H52" s="302"/>
      <c r="I52" s="1810"/>
      <c r="L52" s="302"/>
      <c r="M52" s="301"/>
      <c r="N52" s="302"/>
      <c r="O52" s="302"/>
      <c r="P52" s="302"/>
      <c r="R52" s="255"/>
      <c r="V52" s="1811"/>
    </row>
    <row r="53" spans="1:26" ht="18.75" customHeight="1">
      <c r="B53" s="1808"/>
      <c r="C53" s="4318"/>
      <c r="D53" s="302"/>
      <c r="E53" s="302"/>
      <c r="F53" s="302"/>
      <c r="G53" s="302"/>
      <c r="H53" s="302"/>
      <c r="I53" s="1810"/>
      <c r="L53" s="302"/>
      <c r="M53" s="301"/>
      <c r="N53" s="302"/>
      <c r="O53" s="302"/>
      <c r="P53" s="302"/>
      <c r="R53" s="255"/>
      <c r="V53" s="1811"/>
    </row>
    <row r="54" spans="1:26" ht="18.75" customHeight="1">
      <c r="B54" s="1808"/>
      <c r="C54" s="4319" t="s">
        <v>81</v>
      </c>
      <c r="D54" s="4320" t="s">
        <v>151</v>
      </c>
      <c r="E54" s="302"/>
      <c r="F54" s="302"/>
      <c r="G54" s="302"/>
      <c r="H54" s="302"/>
      <c r="I54" s="1810"/>
      <c r="L54" s="302"/>
      <c r="M54" s="301"/>
      <c r="N54" s="302"/>
      <c r="O54" s="302"/>
      <c r="P54" s="302"/>
      <c r="R54" s="255"/>
      <c r="V54" s="1811"/>
    </row>
    <row r="55" spans="1:26" ht="18.75" customHeight="1">
      <c r="B55" s="1808"/>
      <c r="C55" s="3447" t="s">
        <v>2867</v>
      </c>
      <c r="D55" s="297">
        <f>H23</f>
        <v>1851.3757147000001</v>
      </c>
      <c r="E55" s="302"/>
      <c r="F55" s="302"/>
      <c r="G55" s="302"/>
      <c r="H55" s="302"/>
      <c r="I55" s="1810"/>
      <c r="L55" s="302"/>
      <c r="M55" s="301"/>
      <c r="N55" s="302"/>
      <c r="O55" s="302"/>
      <c r="P55" s="302"/>
      <c r="R55" s="255"/>
      <c r="V55" s="1811"/>
    </row>
    <row r="56" spans="1:26" ht="18.75" customHeight="1">
      <c r="B56" s="1808"/>
      <c r="C56" s="3447" t="s">
        <v>2866</v>
      </c>
      <c r="D56" s="297">
        <f>I50</f>
        <v>91.160447745359988</v>
      </c>
      <c r="E56" s="302"/>
      <c r="F56" s="302"/>
      <c r="G56" s="302"/>
      <c r="H56" s="302"/>
      <c r="I56" s="1810"/>
      <c r="L56" s="302"/>
      <c r="M56" s="301"/>
      <c r="N56" s="302"/>
      <c r="O56" s="302"/>
      <c r="P56" s="302"/>
      <c r="R56" s="255"/>
      <c r="V56" s="1811"/>
    </row>
    <row r="57" spans="1:26" ht="18.75" customHeight="1">
      <c r="B57" s="1808"/>
      <c r="C57" s="3701" t="s">
        <v>2194</v>
      </c>
      <c r="D57" s="4321">
        <f>D56/D55</f>
        <v>4.9239301899415791E-2</v>
      </c>
      <c r="E57" s="302"/>
      <c r="F57" s="302"/>
      <c r="G57" s="302"/>
      <c r="H57" s="302"/>
      <c r="I57" s="1810"/>
      <c r="L57" s="302"/>
      <c r="M57" s="301"/>
      <c r="N57" s="302"/>
      <c r="O57" s="302"/>
      <c r="P57" s="302"/>
      <c r="R57" s="255"/>
      <c r="V57" s="1811"/>
    </row>
    <row r="58" spans="1:26" ht="18.75" customHeight="1">
      <c r="B58" s="1808"/>
      <c r="C58" s="1809"/>
      <c r="D58" s="302"/>
      <c r="E58" s="302"/>
      <c r="F58" s="302"/>
      <c r="G58" s="302"/>
      <c r="H58" s="302"/>
      <c r="I58" s="1810"/>
      <c r="L58" s="302"/>
      <c r="M58" s="301"/>
      <c r="N58" s="302"/>
      <c r="O58" s="302"/>
      <c r="P58" s="302"/>
      <c r="R58" s="255"/>
      <c r="V58" s="1811"/>
    </row>
    <row r="59" spans="1:26" ht="18.75" customHeight="1">
      <c r="B59" s="1808"/>
      <c r="C59" s="1809"/>
      <c r="D59" s="302"/>
      <c r="E59" s="302"/>
      <c r="F59" s="302"/>
      <c r="G59" s="302"/>
      <c r="H59" s="302"/>
      <c r="I59" s="1810"/>
      <c r="L59" s="302"/>
      <c r="M59" s="301"/>
      <c r="N59" s="302"/>
      <c r="O59" s="302"/>
      <c r="P59" s="302"/>
      <c r="R59" s="255"/>
      <c r="V59" s="1811"/>
    </row>
    <row r="60" spans="1:26" ht="18.75" customHeight="1">
      <c r="B60" s="1808"/>
      <c r="C60" s="1809"/>
      <c r="D60" s="302"/>
      <c r="E60" s="302"/>
      <c r="F60" s="302"/>
      <c r="G60" s="302"/>
      <c r="H60" s="302"/>
      <c r="I60" s="1810"/>
      <c r="L60" s="302"/>
      <c r="M60" s="301"/>
      <c r="N60" s="302"/>
      <c r="O60" s="302"/>
      <c r="P60" s="302"/>
      <c r="R60" s="255"/>
      <c r="V60" s="1811"/>
    </row>
    <row r="61" spans="1:26" ht="18.75" customHeight="1">
      <c r="B61" s="1808"/>
      <c r="C61" s="1809"/>
      <c r="D61" s="302"/>
      <c r="E61" s="302"/>
      <c r="F61" s="302"/>
      <c r="G61" s="302"/>
      <c r="H61" s="302"/>
      <c r="I61" s="1810"/>
      <c r="L61" s="302"/>
      <c r="M61" s="301"/>
      <c r="N61" s="302"/>
      <c r="O61" s="302"/>
      <c r="P61" s="302"/>
      <c r="R61" s="255"/>
      <c r="V61" s="1811"/>
    </row>
    <row r="62" spans="1:26" ht="18.75" hidden="1" customHeight="1">
      <c r="B62" s="1808"/>
      <c r="C62" s="1809"/>
      <c r="D62" s="302"/>
      <c r="E62" s="302"/>
      <c r="F62" s="302"/>
      <c r="G62" s="302"/>
      <c r="H62" s="302"/>
      <c r="I62" s="1810"/>
      <c r="L62" s="302"/>
      <c r="M62" s="301"/>
      <c r="N62" s="302"/>
      <c r="O62" s="302"/>
      <c r="P62" s="302"/>
      <c r="R62" s="255"/>
      <c r="V62" s="1811"/>
    </row>
    <row r="63" spans="1:26" ht="18.75" hidden="1" customHeight="1">
      <c r="A63" s="4310"/>
      <c r="B63" s="4311"/>
      <c r="C63" s="4312"/>
      <c r="D63" s="4313"/>
      <c r="E63" s="4313"/>
      <c r="F63" s="4313"/>
      <c r="G63" s="4313"/>
      <c r="H63" s="4313"/>
      <c r="I63" s="4314"/>
      <c r="J63" s="4310"/>
      <c r="K63" s="4310"/>
      <c r="L63" s="4313"/>
      <c r="M63" s="4315"/>
      <c r="N63" s="4313"/>
      <c r="O63" s="4313"/>
      <c r="P63" s="4313"/>
      <c r="Q63" s="4310"/>
      <c r="R63" s="4316"/>
      <c r="S63" s="4310"/>
      <c r="T63" s="4310"/>
      <c r="U63" s="4310"/>
      <c r="V63" s="4317"/>
      <c r="W63" s="4310"/>
      <c r="X63" s="4310"/>
      <c r="Y63" s="4310"/>
      <c r="Z63" s="4310"/>
    </row>
    <row r="64" spans="1:26" ht="18.75" hidden="1" customHeight="1">
      <c r="B64" s="1808"/>
      <c r="C64" s="1809"/>
      <c r="D64" s="302"/>
      <c r="E64" s="302"/>
      <c r="F64" s="302"/>
      <c r="G64" s="302"/>
      <c r="H64" s="302"/>
      <c r="I64" s="1810"/>
      <c r="L64" s="302"/>
      <c r="M64" s="301"/>
      <c r="N64" s="302"/>
      <c r="O64" s="302"/>
      <c r="P64" s="302"/>
      <c r="R64" s="255"/>
      <c r="V64" s="1811"/>
    </row>
    <row r="65" spans="2:33" ht="18.75" hidden="1" customHeight="1">
      <c r="B65" s="1808"/>
      <c r="C65" s="1809"/>
      <c r="D65" s="302"/>
      <c r="E65" s="302"/>
      <c r="F65" s="302"/>
      <c r="G65" s="302"/>
      <c r="H65" s="302"/>
      <c r="I65" s="1810"/>
      <c r="L65" s="302"/>
      <c r="M65" s="301"/>
      <c r="N65" s="302"/>
      <c r="O65" s="302"/>
      <c r="P65" s="302"/>
      <c r="R65" s="255"/>
      <c r="V65" s="1811"/>
    </row>
    <row r="66" spans="2:33" ht="18.75" hidden="1" customHeight="1">
      <c r="B66" s="1808"/>
      <c r="C66" s="1809"/>
      <c r="D66" s="302"/>
      <c r="E66" s="302"/>
      <c r="F66" s="302"/>
      <c r="G66" s="302"/>
      <c r="H66" s="302"/>
      <c r="I66" s="1810"/>
      <c r="L66" s="302"/>
      <c r="M66" s="301"/>
      <c r="N66" s="302"/>
      <c r="O66" s="302"/>
      <c r="P66" s="302"/>
      <c r="R66" s="255"/>
      <c r="V66" s="1811"/>
    </row>
    <row r="67" spans="2:33" ht="18.75" hidden="1" customHeight="1">
      <c r="B67" s="1808"/>
      <c r="C67" s="1814" t="s">
        <v>2436</v>
      </c>
      <c r="F67" s="3400" t="s">
        <v>973</v>
      </c>
      <c r="G67" s="3401"/>
      <c r="H67" s="302"/>
      <c r="I67" s="1810"/>
      <c r="L67" s="302"/>
      <c r="M67" s="301"/>
      <c r="N67" s="302"/>
      <c r="O67" s="302"/>
      <c r="P67" s="302"/>
      <c r="R67" s="255"/>
      <c r="V67" s="1811"/>
    </row>
    <row r="68" spans="2:33" ht="18.75" hidden="1" customHeight="1">
      <c r="B68" s="1808"/>
      <c r="G68" s="302"/>
      <c r="H68" s="302"/>
      <c r="I68" s="1810"/>
      <c r="L68" s="302"/>
      <c r="M68" s="301"/>
      <c r="N68" s="302"/>
      <c r="O68" s="302"/>
      <c r="P68" s="302"/>
      <c r="R68" s="255"/>
      <c r="V68" s="1811"/>
    </row>
    <row r="69" spans="2:33" ht="18.75" hidden="1" customHeight="1">
      <c r="B69" s="1808"/>
      <c r="C69" s="5730" t="s">
        <v>82</v>
      </c>
      <c r="D69" s="5731"/>
      <c r="G69" s="302"/>
      <c r="H69" s="302"/>
      <c r="I69" s="1810"/>
      <c r="R69" s="255"/>
      <c r="V69" s="1811"/>
    </row>
    <row r="70" spans="2:33" ht="18.75" hidden="1" customHeight="1">
      <c r="B70" s="1819" t="s">
        <v>101</v>
      </c>
      <c r="C70" s="1371" t="s">
        <v>2266</v>
      </c>
      <c r="D70" s="1372" t="s">
        <v>1836</v>
      </c>
      <c r="E70" s="1373" t="s">
        <v>2437</v>
      </c>
      <c r="F70" s="1372" t="s">
        <v>2284</v>
      </c>
      <c r="G70" s="302"/>
      <c r="H70" s="3404"/>
      <c r="I70" s="3357"/>
      <c r="R70" s="255"/>
      <c r="V70" s="1811"/>
    </row>
    <row r="71" spans="2:33" ht="18.75" hidden="1" customHeight="1">
      <c r="B71" s="827">
        <v>1</v>
      </c>
      <c r="C71" s="283" t="s">
        <v>388</v>
      </c>
      <c r="D71" s="1375">
        <v>3.3399999999999999E-2</v>
      </c>
      <c r="E71" s="1374">
        <f>AVERAGE(H11,L11)</f>
        <v>4.3518264045000006</v>
      </c>
      <c r="F71" s="843">
        <f t="shared" ref="F71:F80" si="5">D71*E71</f>
        <v>0.14535100191030001</v>
      </c>
      <c r="G71" s="302"/>
      <c r="H71" s="847"/>
      <c r="J71" s="3402"/>
      <c r="K71" s="3403"/>
      <c r="R71" s="255"/>
      <c r="V71" s="1811"/>
      <c r="AE71" s="1368"/>
      <c r="AF71" s="1812"/>
      <c r="AG71" s="1813"/>
    </row>
    <row r="72" spans="2:33" ht="18.75" hidden="1" customHeight="1">
      <c r="B72" s="296">
        <f>B71+1</f>
        <v>2</v>
      </c>
      <c r="C72" s="283" t="s">
        <v>2285</v>
      </c>
      <c r="D72" s="1375">
        <v>3.3399999999999999E-2</v>
      </c>
      <c r="E72" s="1374">
        <f t="shared" ref="E72:E80" si="6">AVERAGE(H12,L12)</f>
        <v>99.239613792499995</v>
      </c>
      <c r="F72" s="843">
        <f t="shared" si="5"/>
        <v>3.3146031006694998</v>
      </c>
      <c r="G72" s="302"/>
      <c r="H72" s="3404"/>
      <c r="J72" s="3402"/>
      <c r="K72" s="3403"/>
      <c r="R72" s="255"/>
      <c r="V72" s="1811"/>
      <c r="AE72" s="1368"/>
      <c r="AF72" s="1812"/>
      <c r="AG72" s="1813"/>
    </row>
    <row r="73" spans="2:33" ht="18.75" hidden="1" customHeight="1">
      <c r="B73" s="296">
        <f t="shared" ref="B73:B81" si="7">B72+1</f>
        <v>3</v>
      </c>
      <c r="C73" s="283" t="s">
        <v>2286</v>
      </c>
      <c r="D73" s="1375">
        <v>5.28E-2</v>
      </c>
      <c r="E73" s="1374">
        <f t="shared" si="6"/>
        <v>872.38596426999993</v>
      </c>
      <c r="F73" s="843">
        <f t="shared" si="5"/>
        <v>46.061978913455995</v>
      </c>
      <c r="G73" s="302"/>
      <c r="H73" s="3404"/>
      <c r="J73" s="3402"/>
      <c r="K73" s="3403"/>
      <c r="R73" s="255"/>
      <c r="V73" s="1811"/>
      <c r="AE73" s="1368"/>
      <c r="AF73" s="1812"/>
      <c r="AG73" s="1813"/>
    </row>
    <row r="74" spans="2:33" ht="18.75" hidden="1" customHeight="1">
      <c r="B74" s="296">
        <f t="shared" si="7"/>
        <v>4</v>
      </c>
      <c r="C74" s="283" t="s">
        <v>159</v>
      </c>
      <c r="D74" s="1375">
        <v>5.28E-2</v>
      </c>
      <c r="E74" s="1374">
        <f t="shared" si="6"/>
        <v>621.641534632</v>
      </c>
      <c r="F74" s="843">
        <f t="shared" si="5"/>
        <v>32.822673028569596</v>
      </c>
      <c r="G74" s="302"/>
      <c r="H74" s="3404"/>
      <c r="J74" s="3402"/>
      <c r="K74" s="3403"/>
      <c r="R74" s="255"/>
      <c r="V74" s="1811"/>
      <c r="AE74" s="1368"/>
      <c r="AF74" s="1812"/>
      <c r="AG74" s="1813"/>
    </row>
    <row r="75" spans="2:33" ht="18.75" hidden="1" customHeight="1">
      <c r="B75" s="296">
        <f t="shared" si="7"/>
        <v>5</v>
      </c>
      <c r="C75" s="283" t="s">
        <v>2287</v>
      </c>
      <c r="D75" s="1375">
        <v>5.28E-2</v>
      </c>
      <c r="E75" s="1374">
        <f t="shared" si="6"/>
        <v>195.84952828649998</v>
      </c>
      <c r="F75" s="843">
        <f t="shared" si="5"/>
        <v>10.340855093527198</v>
      </c>
      <c r="G75" s="302"/>
      <c r="H75" s="3404"/>
      <c r="J75" s="3402"/>
      <c r="K75" s="3403"/>
      <c r="R75" s="255"/>
      <c r="V75" s="1811"/>
      <c r="AE75" s="1368"/>
      <c r="AF75" s="1812"/>
      <c r="AG75" s="1813"/>
    </row>
    <row r="76" spans="2:33" ht="18.75" hidden="1" customHeight="1">
      <c r="B76" s="296">
        <f t="shared" si="7"/>
        <v>6</v>
      </c>
      <c r="C76" s="283" t="s">
        <v>161</v>
      </c>
      <c r="D76" s="1375">
        <v>5.28E-2</v>
      </c>
      <c r="E76" s="1374">
        <f t="shared" si="6"/>
        <v>44.612962435500002</v>
      </c>
      <c r="F76" s="843">
        <f t="shared" si="5"/>
        <v>2.3555644165944001</v>
      </c>
      <c r="G76" s="302"/>
      <c r="H76" s="3404"/>
      <c r="J76" s="3402"/>
      <c r="K76" s="3403"/>
      <c r="R76" s="255"/>
      <c r="V76" s="1811"/>
      <c r="AE76" s="1368"/>
      <c r="AF76" s="1812"/>
      <c r="AG76" s="1813"/>
    </row>
    <row r="77" spans="2:33" ht="18.75" hidden="1" customHeight="1">
      <c r="B77" s="296">
        <f t="shared" si="7"/>
        <v>7</v>
      </c>
      <c r="C77" s="283" t="s">
        <v>2288</v>
      </c>
      <c r="D77" s="1375">
        <v>6.3299999999999995E-2</v>
      </c>
      <c r="E77" s="1374">
        <f t="shared" si="6"/>
        <v>4.4933558999999998E-2</v>
      </c>
      <c r="F77" s="843">
        <f t="shared" si="5"/>
        <v>2.8442942846999995E-3</v>
      </c>
      <c r="G77" s="302"/>
      <c r="H77" s="3404"/>
      <c r="J77" s="3402"/>
      <c r="K77" s="3403"/>
      <c r="R77" s="255"/>
      <c r="V77" s="1811"/>
      <c r="AE77" s="1368"/>
      <c r="AF77" s="1812"/>
      <c r="AG77" s="1813"/>
    </row>
    <row r="78" spans="2:33" ht="18.75" hidden="1" customHeight="1">
      <c r="B78" s="296">
        <f t="shared" si="7"/>
        <v>8</v>
      </c>
      <c r="C78" s="283" t="s">
        <v>163</v>
      </c>
      <c r="D78" s="1375">
        <v>5.28E-2</v>
      </c>
      <c r="E78" s="1374">
        <f t="shared" si="6"/>
        <v>17.013243972999998</v>
      </c>
      <c r="F78" s="843">
        <f t="shared" si="5"/>
        <v>0.89829928177439988</v>
      </c>
      <c r="G78" s="302"/>
      <c r="H78" s="3404"/>
      <c r="J78" s="3402"/>
      <c r="K78" s="3403"/>
      <c r="R78" s="255"/>
      <c r="V78" s="1811"/>
      <c r="AE78" s="1368"/>
      <c r="AF78" s="1812"/>
      <c r="AG78" s="1813"/>
    </row>
    <row r="79" spans="2:33" ht="18.75" hidden="1" customHeight="1">
      <c r="B79" s="296">
        <f t="shared" si="7"/>
        <v>9</v>
      </c>
      <c r="C79" s="283" t="s">
        <v>164</v>
      </c>
      <c r="D79" s="1375">
        <v>5.28E-2</v>
      </c>
      <c r="E79" s="1374">
        <f t="shared" si="6"/>
        <v>24.409989306</v>
      </c>
      <c r="F79" s="843">
        <f t="shared" si="5"/>
        <v>1.2888474353568</v>
      </c>
      <c r="G79" s="302"/>
      <c r="H79" s="3404"/>
      <c r="J79" s="3402"/>
      <c r="K79" s="3403"/>
      <c r="R79" s="255"/>
      <c r="V79" s="1811"/>
      <c r="AE79" s="1368"/>
      <c r="AF79" s="1812"/>
      <c r="AG79" s="1813"/>
    </row>
    <row r="80" spans="2:33" ht="18.75" hidden="1" customHeight="1">
      <c r="B80" s="296">
        <f t="shared" si="7"/>
        <v>10</v>
      </c>
      <c r="C80" s="283" t="s">
        <v>2289</v>
      </c>
      <c r="D80" s="1375">
        <v>6.3299999999999995E-2</v>
      </c>
      <c r="E80" s="1374">
        <f t="shared" si="6"/>
        <v>26.73544278</v>
      </c>
      <c r="F80" s="843">
        <f t="shared" si="5"/>
        <v>1.6923535279739998</v>
      </c>
      <c r="G80" s="302"/>
      <c r="H80" s="3404"/>
      <c r="J80" s="3402"/>
      <c r="K80" s="3403"/>
      <c r="R80" s="255"/>
      <c r="V80" s="1811"/>
      <c r="AE80" s="1368"/>
      <c r="AF80" s="1812"/>
      <c r="AG80" s="1813"/>
    </row>
    <row r="81" spans="2:33" ht="18.75" hidden="1" customHeight="1">
      <c r="B81" s="296">
        <f t="shared" si="7"/>
        <v>11</v>
      </c>
      <c r="C81" s="283" t="s">
        <v>2283</v>
      </c>
      <c r="D81" s="283"/>
      <c r="E81" s="843"/>
      <c r="F81" s="839">
        <f>SUM(F71:F80)</f>
        <v>98.923370094116905</v>
      </c>
      <c r="G81" s="302"/>
      <c r="H81" s="3404"/>
      <c r="L81" s="302"/>
      <c r="M81" s="301"/>
      <c r="N81" s="302"/>
      <c r="O81" s="302"/>
      <c r="P81" s="302"/>
      <c r="R81" s="255"/>
      <c r="V81" s="1811"/>
      <c r="AE81" s="1368"/>
      <c r="AF81" s="1812"/>
      <c r="AG81" s="1813"/>
    </row>
    <row r="82" spans="2:33" ht="18.75" hidden="1" customHeight="1">
      <c r="B82" s="1808"/>
      <c r="G82" s="302"/>
      <c r="H82" s="302"/>
      <c r="I82" s="1810"/>
      <c r="L82" s="302"/>
      <c r="M82" s="301"/>
      <c r="N82" s="302"/>
      <c r="O82" s="302"/>
      <c r="P82" s="302"/>
      <c r="R82" s="255"/>
      <c r="V82" s="1811"/>
      <c r="AE82" s="1368"/>
      <c r="AF82" s="1812"/>
      <c r="AG82" s="1813"/>
    </row>
    <row r="83" spans="2:33" ht="18.75" hidden="1" customHeight="1">
      <c r="F83" s="274" t="s">
        <v>973</v>
      </c>
      <c r="G83" s="302"/>
      <c r="H83" s="302"/>
      <c r="I83" s="1810"/>
      <c r="L83" s="302"/>
      <c r="M83" s="301"/>
      <c r="N83" s="302"/>
      <c r="O83" s="302"/>
      <c r="P83" s="302"/>
      <c r="R83" s="255"/>
      <c r="V83" s="1811"/>
      <c r="AE83" s="1368"/>
      <c r="AF83" s="1812"/>
      <c r="AG83" s="1813"/>
    </row>
    <row r="84" spans="2:33" ht="18.75" hidden="1" customHeight="1">
      <c r="C84" s="3116" t="s">
        <v>1845</v>
      </c>
      <c r="D84" s="3117"/>
      <c r="E84" s="3117"/>
      <c r="F84" s="3117"/>
      <c r="G84" s="302"/>
      <c r="H84" s="302"/>
      <c r="I84" s="1810"/>
      <c r="L84" s="302"/>
      <c r="M84" s="301"/>
      <c r="N84" s="302"/>
      <c r="O84" s="302"/>
      <c r="P84" s="302"/>
      <c r="R84" s="255"/>
      <c r="V84" s="1811"/>
      <c r="AE84" s="1368"/>
      <c r="AF84" s="1812"/>
      <c r="AG84" s="1813"/>
    </row>
    <row r="85" spans="2:33" ht="18.75" hidden="1" customHeight="1">
      <c r="B85" s="1819" t="s">
        <v>651</v>
      </c>
      <c r="C85" s="1371" t="s">
        <v>2266</v>
      </c>
      <c r="D85" s="1372" t="s">
        <v>1836</v>
      </c>
      <c r="E85" s="1373" t="s">
        <v>2437</v>
      </c>
      <c r="F85" s="1372" t="s">
        <v>2284</v>
      </c>
      <c r="G85" s="302"/>
      <c r="H85" s="302"/>
      <c r="I85" s="1810"/>
      <c r="L85" s="302"/>
      <c r="M85" s="301"/>
      <c r="N85" s="302"/>
      <c r="O85" s="302"/>
      <c r="P85" s="302"/>
      <c r="R85" s="255"/>
      <c r="V85" s="1811"/>
      <c r="AE85" s="1368"/>
      <c r="AF85" s="1812"/>
      <c r="AG85" s="1813"/>
    </row>
    <row r="86" spans="2:33" ht="18.75" hidden="1" customHeight="1">
      <c r="B86" s="296">
        <v>1</v>
      </c>
      <c r="C86" s="283" t="s">
        <v>388</v>
      </c>
      <c r="D86" s="1375">
        <v>3.3399999999999999E-2</v>
      </c>
      <c r="E86" s="1374">
        <f t="shared" ref="E86:E95" si="8">AVERAGE(M11,Q11)</f>
        <v>4.3518264000000002</v>
      </c>
      <c r="F86" s="297">
        <f>E86*D86</f>
        <v>0.14535100176000001</v>
      </c>
      <c r="G86" s="302"/>
      <c r="H86" s="302"/>
      <c r="I86" s="1810"/>
      <c r="L86" s="302"/>
      <c r="M86" s="301"/>
      <c r="N86" s="302"/>
      <c r="O86" s="302"/>
      <c r="P86" s="302"/>
      <c r="R86" s="255"/>
      <c r="V86" s="1811"/>
      <c r="AE86" s="1368"/>
      <c r="AF86" s="1812"/>
      <c r="AG86" s="1813"/>
    </row>
    <row r="87" spans="2:33" ht="18.75" hidden="1" customHeight="1">
      <c r="B87" s="296">
        <f>B86+1</f>
        <v>2</v>
      </c>
      <c r="C87" s="283" t="s">
        <v>2285</v>
      </c>
      <c r="D87" s="1375">
        <v>3.3399999999999999E-2</v>
      </c>
      <c r="E87" s="1374">
        <f t="shared" si="8"/>
        <v>103.07034795</v>
      </c>
      <c r="F87" s="297">
        <f t="shared" ref="F87:F95" si="9">E87*D87</f>
        <v>3.44254962153</v>
      </c>
      <c r="G87" s="302"/>
      <c r="H87" s="302"/>
      <c r="I87" s="1810"/>
      <c r="L87" s="302"/>
      <c r="M87" s="301"/>
      <c r="N87" s="302"/>
      <c r="O87" s="302"/>
      <c r="P87" s="302"/>
      <c r="R87" s="255"/>
      <c r="V87" s="1811"/>
      <c r="AE87" s="1368"/>
      <c r="AF87" s="1812"/>
      <c r="AG87" s="1813"/>
    </row>
    <row r="88" spans="2:33" ht="18.75" hidden="1" customHeight="1">
      <c r="B88" s="296">
        <f t="shared" ref="B88:B96" si="10">B87+1</f>
        <v>3</v>
      </c>
      <c r="C88" s="283" t="s">
        <v>2286</v>
      </c>
      <c r="D88" s="1375">
        <v>5.28E-2</v>
      </c>
      <c r="E88" s="1374">
        <f t="shared" si="8"/>
        <v>912.70375539999998</v>
      </c>
      <c r="F88" s="297">
        <f t="shared" si="9"/>
        <v>48.190758285119998</v>
      </c>
      <c r="G88" s="302"/>
      <c r="H88" s="302"/>
      <c r="I88" s="1810"/>
      <c r="L88" s="302"/>
      <c r="M88" s="301"/>
      <c r="N88" s="302"/>
      <c r="O88" s="302"/>
      <c r="P88" s="302"/>
      <c r="R88" s="255"/>
      <c r="V88" s="1811"/>
      <c r="AE88" s="1368"/>
      <c r="AF88" s="1812"/>
      <c r="AG88" s="1813"/>
    </row>
    <row r="89" spans="2:33" ht="18.75" hidden="1" customHeight="1">
      <c r="B89" s="296">
        <f t="shared" si="10"/>
        <v>4</v>
      </c>
      <c r="C89" s="283" t="s">
        <v>159</v>
      </c>
      <c r="D89" s="1375">
        <v>5.28E-2</v>
      </c>
      <c r="E89" s="1374">
        <f t="shared" si="8"/>
        <v>665.48093960000006</v>
      </c>
      <c r="F89" s="297">
        <f t="shared" si="9"/>
        <v>35.137393610880004</v>
      </c>
      <c r="G89" s="302"/>
      <c r="H89" s="302"/>
      <c r="I89" s="1810"/>
      <c r="L89" s="302"/>
      <c r="M89" s="301"/>
      <c r="N89" s="302"/>
      <c r="O89" s="302"/>
      <c r="P89" s="302"/>
      <c r="R89" s="255"/>
      <c r="V89" s="1811"/>
      <c r="AE89" s="1368"/>
      <c r="AF89" s="1812"/>
      <c r="AG89" s="1813"/>
    </row>
    <row r="90" spans="2:33" ht="18.75" hidden="1" customHeight="1">
      <c r="B90" s="296">
        <f t="shared" si="10"/>
        <v>5</v>
      </c>
      <c r="C90" s="283" t="s">
        <v>2287</v>
      </c>
      <c r="D90" s="1375">
        <v>5.28E-2</v>
      </c>
      <c r="E90" s="1374">
        <f t="shared" si="8"/>
        <v>198.69366824999997</v>
      </c>
      <c r="F90" s="297">
        <f t="shared" si="9"/>
        <v>10.491025683599998</v>
      </c>
      <c r="G90" s="302"/>
      <c r="H90" s="302"/>
      <c r="I90" s="1810"/>
      <c r="L90" s="302"/>
      <c r="M90" s="301"/>
      <c r="N90" s="302"/>
      <c r="O90" s="302"/>
      <c r="P90" s="302"/>
      <c r="R90" s="255"/>
      <c r="V90" s="1811"/>
      <c r="AE90" s="1368"/>
      <c r="AF90" s="1812"/>
      <c r="AG90" s="1813"/>
    </row>
    <row r="91" spans="2:33" ht="18.75" hidden="1" customHeight="1">
      <c r="B91" s="296">
        <f t="shared" si="10"/>
        <v>6</v>
      </c>
      <c r="C91" s="283" t="s">
        <v>161</v>
      </c>
      <c r="D91" s="1375">
        <v>5.28E-2</v>
      </c>
      <c r="E91" s="1374">
        <f t="shared" si="8"/>
        <v>45.177683599999995</v>
      </c>
      <c r="F91" s="297">
        <f t="shared" si="9"/>
        <v>2.3853816940799999</v>
      </c>
      <c r="G91" s="302"/>
      <c r="H91" s="302"/>
      <c r="I91" s="1810"/>
      <c r="L91" s="302"/>
      <c r="M91" s="301"/>
      <c r="N91" s="302"/>
      <c r="O91" s="302"/>
      <c r="P91" s="302"/>
      <c r="R91" s="255"/>
      <c r="V91" s="1811"/>
      <c r="AE91" s="1368"/>
      <c r="AF91" s="1812"/>
      <c r="AG91" s="1813"/>
    </row>
    <row r="92" spans="2:33" ht="18.75" hidden="1" customHeight="1">
      <c r="B92" s="296">
        <f t="shared" si="10"/>
        <v>7</v>
      </c>
      <c r="C92" s="283" t="s">
        <v>2288</v>
      </c>
      <c r="D92" s="1375">
        <v>6.3299999999999995E-2</v>
      </c>
      <c r="E92" s="1374">
        <f t="shared" si="8"/>
        <v>4.2642300000000001E-2</v>
      </c>
      <c r="F92" s="297">
        <f t="shared" si="9"/>
        <v>2.6992575899999999E-3</v>
      </c>
      <c r="G92" s="302"/>
      <c r="H92" s="302"/>
      <c r="I92" s="1810"/>
      <c r="L92" s="302"/>
      <c r="M92" s="301"/>
      <c r="N92" s="302"/>
      <c r="O92" s="302"/>
      <c r="P92" s="302"/>
      <c r="R92" s="255"/>
      <c r="V92" s="1811"/>
      <c r="AE92" s="1368"/>
      <c r="AF92" s="1812"/>
      <c r="AG92" s="1813"/>
    </row>
    <row r="93" spans="2:33" ht="18.75" hidden="1" customHeight="1">
      <c r="B93" s="296">
        <f t="shared" si="10"/>
        <v>8</v>
      </c>
      <c r="C93" s="283" t="s">
        <v>163</v>
      </c>
      <c r="D93" s="1375">
        <v>5.28E-2</v>
      </c>
      <c r="E93" s="1374">
        <f t="shared" si="8"/>
        <v>16.8609598</v>
      </c>
      <c r="F93" s="297">
        <f t="shared" si="9"/>
        <v>0.89025867743999998</v>
      </c>
      <c r="G93" s="302"/>
      <c r="H93" s="302"/>
      <c r="I93" s="1810"/>
      <c r="L93" s="302"/>
      <c r="M93" s="301"/>
      <c r="N93" s="302"/>
      <c r="O93" s="302"/>
      <c r="P93" s="302"/>
      <c r="R93" s="255"/>
      <c r="V93" s="1811"/>
      <c r="AE93" s="1368"/>
      <c r="AF93" s="1812"/>
      <c r="AG93" s="1813"/>
    </row>
    <row r="94" spans="2:33" ht="18.75" hidden="1" customHeight="1">
      <c r="B94" s="296">
        <f t="shared" si="10"/>
        <v>9</v>
      </c>
      <c r="C94" s="283" t="s">
        <v>164</v>
      </c>
      <c r="D94" s="1375">
        <v>5.28E-2</v>
      </c>
      <c r="E94" s="1374">
        <f t="shared" si="8"/>
        <v>25.800972074999997</v>
      </c>
      <c r="F94" s="297">
        <f t="shared" si="9"/>
        <v>1.3622913255599998</v>
      </c>
      <c r="G94" s="302"/>
      <c r="H94" s="302"/>
      <c r="I94" s="1810"/>
      <c r="L94" s="302"/>
      <c r="M94" s="301"/>
      <c r="N94" s="302"/>
      <c r="O94" s="302"/>
      <c r="P94" s="302"/>
      <c r="R94" s="255"/>
      <c r="V94" s="1811"/>
      <c r="AE94" s="1368"/>
      <c r="AF94" s="1812"/>
      <c r="AG94" s="1813"/>
    </row>
    <row r="95" spans="2:33" ht="18.75" hidden="1" customHeight="1">
      <c r="B95" s="296">
        <f t="shared" si="10"/>
        <v>10</v>
      </c>
      <c r="C95" s="283" t="s">
        <v>2289</v>
      </c>
      <c r="D95" s="1375">
        <v>6.3299999999999995E-2</v>
      </c>
      <c r="E95" s="1374">
        <f t="shared" si="8"/>
        <v>27.02821235</v>
      </c>
      <c r="F95" s="297">
        <f t="shared" si="9"/>
        <v>1.7108858417549999</v>
      </c>
      <c r="G95" s="302"/>
      <c r="H95" s="302"/>
      <c r="I95" s="1810"/>
      <c r="L95" s="302"/>
      <c r="M95" s="301"/>
      <c r="N95" s="302"/>
      <c r="O95" s="302"/>
      <c r="P95" s="302"/>
      <c r="R95" s="255"/>
      <c r="V95" s="1811"/>
      <c r="AE95" s="1368"/>
      <c r="AF95" s="1812"/>
      <c r="AG95" s="1813"/>
    </row>
    <row r="96" spans="2:33" ht="18.75" hidden="1" customHeight="1">
      <c r="B96" s="296">
        <f t="shared" si="10"/>
        <v>11</v>
      </c>
      <c r="C96" s="283" t="s">
        <v>2283</v>
      </c>
      <c r="D96" s="1376"/>
      <c r="E96" s="297"/>
      <c r="F96" s="300">
        <f>SUM(F86:F95)</f>
        <v>103.75859499931498</v>
      </c>
      <c r="G96" s="302"/>
      <c r="H96" s="302"/>
      <c r="I96" s="1810"/>
      <c r="L96" s="302"/>
      <c r="M96" s="301"/>
      <c r="N96" s="302"/>
      <c r="O96" s="302"/>
      <c r="P96" s="302"/>
      <c r="R96" s="255"/>
      <c r="V96" s="1811"/>
      <c r="AE96" s="1368"/>
      <c r="AF96" s="1812"/>
      <c r="AG96" s="1813"/>
    </row>
    <row r="97" spans="2:33" ht="18.75" hidden="1" customHeight="1">
      <c r="G97" s="302"/>
      <c r="H97" s="302"/>
      <c r="I97" s="1810"/>
      <c r="L97" s="302"/>
      <c r="M97" s="301"/>
      <c r="N97" s="302"/>
      <c r="O97" s="302"/>
      <c r="P97" s="302"/>
      <c r="R97" s="255"/>
      <c r="V97" s="1811"/>
      <c r="AE97" s="1368"/>
      <c r="AF97" s="1812"/>
      <c r="AG97" s="1813"/>
    </row>
    <row r="98" spans="2:33" ht="12" hidden="1" customHeight="1">
      <c r="B98" s="1808"/>
      <c r="C98" s="1809"/>
      <c r="D98" s="302"/>
      <c r="E98" s="302"/>
      <c r="F98" s="302"/>
      <c r="G98" s="302"/>
      <c r="H98" s="302"/>
      <c r="I98" s="1810"/>
      <c r="L98" s="302"/>
      <c r="M98" s="301"/>
      <c r="N98" s="302"/>
      <c r="O98" s="302"/>
      <c r="P98" s="302"/>
      <c r="R98" s="255"/>
      <c r="V98" s="1811"/>
      <c r="AE98" s="1368"/>
      <c r="AF98" s="1812"/>
      <c r="AG98" s="1813"/>
    </row>
    <row r="99" spans="2:33" ht="18.75" hidden="1" customHeight="1"/>
    <row r="100" spans="2:33" hidden="1">
      <c r="B100" s="1815" t="s">
        <v>446</v>
      </c>
      <c r="C100" s="304"/>
      <c r="D100" s="304"/>
      <c r="E100" s="304"/>
      <c r="F100" s="304"/>
      <c r="G100" s="805"/>
      <c r="I100" s="291"/>
      <c r="K100" s="291"/>
      <c r="L100" s="291"/>
      <c r="M100" s="291"/>
      <c r="N100" s="291"/>
      <c r="O100" s="291"/>
      <c r="P100" s="291"/>
    </row>
    <row r="101" spans="2:33" hidden="1">
      <c r="B101" s="289"/>
      <c r="C101" s="290"/>
      <c r="D101" s="290"/>
      <c r="E101" s="290"/>
      <c r="F101" s="290"/>
      <c r="G101" s="290"/>
      <c r="I101" s="291"/>
      <c r="L101" s="1019"/>
      <c r="M101" s="1019"/>
      <c r="N101" s="1019"/>
      <c r="O101" s="1019"/>
      <c r="P101" s="1019"/>
      <c r="S101" s="274" t="s">
        <v>973</v>
      </c>
    </row>
    <row r="102" spans="2:33" ht="15.75" hidden="1" customHeight="1">
      <c r="B102" s="5725" t="s">
        <v>101</v>
      </c>
      <c r="C102" s="5725" t="s">
        <v>81</v>
      </c>
      <c r="D102" s="5704" t="s">
        <v>1897</v>
      </c>
      <c r="E102" s="5704"/>
      <c r="F102" s="5704"/>
      <c r="G102" s="5704"/>
      <c r="H102" s="5704" t="s">
        <v>82</v>
      </c>
      <c r="I102" s="5704"/>
      <c r="J102" s="5704"/>
      <c r="K102" s="5704"/>
      <c r="L102" s="5705" t="s">
        <v>1845</v>
      </c>
      <c r="M102" s="5706"/>
      <c r="N102" s="5706"/>
      <c r="O102" s="5708"/>
      <c r="P102" s="5704" t="s">
        <v>2442</v>
      </c>
      <c r="Q102" s="5704"/>
      <c r="R102" s="5704"/>
      <c r="S102" s="5704"/>
    </row>
    <row r="103" spans="2:33" ht="15.75" hidden="1" customHeight="1">
      <c r="B103" s="5725"/>
      <c r="C103" s="5725"/>
      <c r="D103" s="5704" t="s">
        <v>1043</v>
      </c>
      <c r="E103" s="5741"/>
      <c r="F103" s="5741"/>
      <c r="G103" s="5741"/>
      <c r="H103" s="5704" t="s">
        <v>1043</v>
      </c>
      <c r="I103" s="5741"/>
      <c r="J103" s="5741"/>
      <c r="K103" s="5741"/>
      <c r="L103" s="5705" t="s">
        <v>755</v>
      </c>
      <c r="M103" s="5706"/>
      <c r="N103" s="5706"/>
      <c r="O103" s="5708"/>
      <c r="P103" s="5704" t="s">
        <v>1043</v>
      </c>
      <c r="Q103" s="5741"/>
      <c r="R103" s="5741"/>
      <c r="S103" s="5741"/>
    </row>
    <row r="104" spans="2:33" ht="63" hidden="1">
      <c r="B104" s="5725"/>
      <c r="C104" s="5725"/>
      <c r="D104" s="1292" t="s">
        <v>152</v>
      </c>
      <c r="E104" s="1292" t="s">
        <v>153</v>
      </c>
      <c r="F104" s="1292" t="s">
        <v>169</v>
      </c>
      <c r="G104" s="1292" t="s">
        <v>155</v>
      </c>
      <c r="H104" s="1292" t="s">
        <v>152</v>
      </c>
      <c r="I104" s="1292" t="s">
        <v>153</v>
      </c>
      <c r="J104" s="1292" t="s">
        <v>169</v>
      </c>
      <c r="K104" s="1292" t="s">
        <v>155</v>
      </c>
      <c r="L104" s="2838" t="s">
        <v>152</v>
      </c>
      <c r="M104" s="2838" t="s">
        <v>153</v>
      </c>
      <c r="N104" s="2838" t="s">
        <v>169</v>
      </c>
      <c r="O104" s="2838" t="s">
        <v>155</v>
      </c>
      <c r="P104" s="1292" t="s">
        <v>152</v>
      </c>
      <c r="Q104" s="1292" t="s">
        <v>153</v>
      </c>
      <c r="R104" s="1292" t="s">
        <v>169</v>
      </c>
      <c r="S104" s="1292" t="s">
        <v>155</v>
      </c>
    </row>
    <row r="105" spans="2:33" hidden="1">
      <c r="B105" s="296">
        <v>1</v>
      </c>
      <c r="C105" s="1291" t="s">
        <v>156</v>
      </c>
      <c r="D105" s="1366">
        <v>2.2999999999999998</v>
      </c>
      <c r="E105" s="1366">
        <v>0.1</v>
      </c>
      <c r="F105" s="3115">
        <v>0</v>
      </c>
      <c r="G105" s="3115">
        <v>1.3499999999999999</v>
      </c>
      <c r="H105" s="3115">
        <f t="shared" ref="H105:J114" si="11">H11-H30</f>
        <v>4.3518264045000006</v>
      </c>
      <c r="I105" s="3115">
        <f t="shared" si="11"/>
        <v>0</v>
      </c>
      <c r="J105" s="3115">
        <f t="shared" si="11"/>
        <v>0</v>
      </c>
      <c r="K105" s="3115">
        <f t="shared" ref="K105:M114" si="12">L11-K30</f>
        <v>4.3518264045000006</v>
      </c>
      <c r="L105" s="3115">
        <f t="shared" si="12"/>
        <v>4.3518264000000002</v>
      </c>
      <c r="M105" s="3115">
        <f t="shared" si="12"/>
        <v>0</v>
      </c>
      <c r="N105" s="3115"/>
      <c r="O105" s="3115" t="e">
        <f>#REF!-O30</f>
        <v>#REF!</v>
      </c>
      <c r="P105" s="3115"/>
      <c r="Q105" s="827"/>
      <c r="R105" s="827"/>
      <c r="S105" s="827"/>
    </row>
    <row r="106" spans="2:33" hidden="1">
      <c r="B106" s="296">
        <f>B105+1</f>
        <v>2</v>
      </c>
      <c r="C106" s="1291" t="s">
        <v>157</v>
      </c>
      <c r="D106" s="1366">
        <v>41.58</v>
      </c>
      <c r="E106" s="1366">
        <v>62.13</v>
      </c>
      <c r="F106" s="3115">
        <v>0</v>
      </c>
      <c r="G106" s="3115">
        <v>72.03</v>
      </c>
      <c r="H106" s="3115">
        <f t="shared" si="11"/>
        <v>66.056817730999995</v>
      </c>
      <c r="I106" s="3115">
        <f t="shared" si="11"/>
        <v>2.0767347080000005</v>
      </c>
      <c r="J106" s="3115">
        <f t="shared" si="11"/>
        <v>1.2411425850000057</v>
      </c>
      <c r="K106" s="3115">
        <f t="shared" si="12"/>
        <v>66.892409853999993</v>
      </c>
      <c r="L106" s="3115">
        <f t="shared" si="12"/>
        <v>66.892409799999996</v>
      </c>
      <c r="M106" s="3115">
        <f t="shared" si="12"/>
        <v>1.6835948926399995</v>
      </c>
      <c r="N106" s="3115"/>
      <c r="O106" s="3115">
        <f t="shared" ref="O106:O114" si="13">Q12-O31</f>
        <v>68.526927342639993</v>
      </c>
      <c r="P106" s="3115"/>
      <c r="Q106" s="827"/>
      <c r="R106" s="827"/>
      <c r="S106" s="827"/>
    </row>
    <row r="107" spans="2:33" hidden="1">
      <c r="B107" s="296">
        <f t="shared" ref="B107:B117" si="14">B106+1</f>
        <v>3</v>
      </c>
      <c r="C107" s="1291" t="s">
        <v>158</v>
      </c>
      <c r="D107" s="1366">
        <v>623.08000000000004</v>
      </c>
      <c r="E107" s="1366">
        <v>41.169999999999995</v>
      </c>
      <c r="F107" s="3115">
        <v>5.48</v>
      </c>
      <c r="G107" s="3115">
        <v>645.87</v>
      </c>
      <c r="H107" s="3115">
        <f t="shared" si="11"/>
        <v>535.95090706099995</v>
      </c>
      <c r="I107" s="3115">
        <f t="shared" si="11"/>
        <v>10.873532347070004</v>
      </c>
      <c r="J107" s="3115">
        <f t="shared" si="11"/>
        <v>-10.776582070930001</v>
      </c>
      <c r="K107" s="3115">
        <f t="shared" si="12"/>
        <v>557.60102147899988</v>
      </c>
      <c r="L107" s="3115">
        <f t="shared" si="12"/>
        <v>557.60102159999997</v>
      </c>
      <c r="M107" s="3115">
        <f t="shared" si="12"/>
        <v>-6.6735284270596011</v>
      </c>
      <c r="N107" s="3115"/>
      <c r="O107" s="3115">
        <f t="shared" si="13"/>
        <v>545.21156217294038</v>
      </c>
      <c r="P107" s="3115"/>
      <c r="Q107" s="827"/>
      <c r="R107" s="827"/>
      <c r="S107" s="827"/>
    </row>
    <row r="108" spans="2:33" hidden="1">
      <c r="B108" s="296">
        <f t="shared" si="14"/>
        <v>4</v>
      </c>
      <c r="C108" s="1291" t="s">
        <v>159</v>
      </c>
      <c r="D108" s="1366">
        <v>436.35999999999996</v>
      </c>
      <c r="E108" s="1366">
        <v>14.95</v>
      </c>
      <c r="F108" s="3115">
        <v>0.69</v>
      </c>
      <c r="G108" s="3115">
        <v>441.47999999999996</v>
      </c>
      <c r="H108" s="3115">
        <f t="shared" si="11"/>
        <v>445.69749369400006</v>
      </c>
      <c r="I108" s="3115">
        <f t="shared" si="11"/>
        <v>19.1703962761</v>
      </c>
      <c r="J108" s="3115">
        <f t="shared" si="11"/>
        <v>-11.282685599899999</v>
      </c>
      <c r="K108" s="3115">
        <f t="shared" si="12"/>
        <v>476.01557557000012</v>
      </c>
      <c r="L108" s="3115">
        <f t="shared" si="12"/>
        <v>476.01557550000007</v>
      </c>
      <c r="M108" s="3115">
        <f t="shared" si="12"/>
        <v>19.549760646630002</v>
      </c>
      <c r="N108" s="3115"/>
      <c r="O108" s="3115">
        <f t="shared" si="13"/>
        <v>491.15458914662997</v>
      </c>
      <c r="P108" s="3115"/>
      <c r="Q108" s="827"/>
      <c r="R108" s="827"/>
      <c r="S108" s="827"/>
    </row>
    <row r="109" spans="2:33" hidden="1">
      <c r="B109" s="296">
        <f t="shared" si="14"/>
        <v>5</v>
      </c>
      <c r="C109" s="1291" t="s">
        <v>160</v>
      </c>
      <c r="D109" s="1366">
        <v>97.35</v>
      </c>
      <c r="E109" s="1366">
        <v>2.71</v>
      </c>
      <c r="F109" s="3115">
        <v>10.039999999999999</v>
      </c>
      <c r="G109" s="3115">
        <v>88.1</v>
      </c>
      <c r="H109" s="3115">
        <f t="shared" si="11"/>
        <v>96.214296672999978</v>
      </c>
      <c r="I109" s="3115">
        <f t="shared" si="11"/>
        <v>-0.3873623582499981</v>
      </c>
      <c r="J109" s="3115">
        <f t="shared" si="11"/>
        <v>-3.4078255852500172</v>
      </c>
      <c r="K109" s="3115">
        <f t="shared" si="12"/>
        <v>96.984759899999972</v>
      </c>
      <c r="L109" s="3115">
        <f t="shared" si="12"/>
        <v>96.984759999999994</v>
      </c>
      <c r="M109" s="3115">
        <f t="shared" si="12"/>
        <v>-4.9389570808100025</v>
      </c>
      <c r="N109" s="3115"/>
      <c r="O109" s="3115">
        <f t="shared" si="13"/>
        <v>81.387937019189991</v>
      </c>
      <c r="P109" s="3115"/>
      <c r="Q109" s="827"/>
      <c r="R109" s="827"/>
      <c r="S109" s="827"/>
    </row>
    <row r="110" spans="2:33" hidden="1">
      <c r="B110" s="296">
        <f t="shared" si="14"/>
        <v>6</v>
      </c>
      <c r="C110" s="1291" t="s">
        <v>161</v>
      </c>
      <c r="D110" s="1366">
        <v>15.619999999999997</v>
      </c>
      <c r="E110" s="1366">
        <v>0</v>
      </c>
      <c r="F110" s="3115">
        <v>0</v>
      </c>
      <c r="G110" s="3115">
        <v>15.619999999999997</v>
      </c>
      <c r="H110" s="3115">
        <f t="shared" si="11"/>
        <v>15.256058197000002</v>
      </c>
      <c r="I110" s="3115">
        <f t="shared" si="11"/>
        <v>-0.9557170931600002</v>
      </c>
      <c r="J110" s="3115">
        <f t="shared" si="11"/>
        <v>-1.4525570160000001E-2</v>
      </c>
      <c r="K110" s="3115">
        <f t="shared" si="12"/>
        <v>14.179866674000003</v>
      </c>
      <c r="L110" s="3115">
        <f t="shared" si="12"/>
        <v>14.179866699999998</v>
      </c>
      <c r="M110" s="3115">
        <f t="shared" si="12"/>
        <v>-0.85910050095999979</v>
      </c>
      <c r="N110" s="3115"/>
      <c r="O110" s="3115">
        <f t="shared" si="13"/>
        <v>13.320766199040001</v>
      </c>
      <c r="P110" s="3115"/>
      <c r="Q110" s="827"/>
      <c r="R110" s="827"/>
      <c r="S110" s="827"/>
    </row>
    <row r="111" spans="2:33" hidden="1">
      <c r="B111" s="296">
        <f t="shared" si="14"/>
        <v>7</v>
      </c>
      <c r="C111" s="1291" t="s">
        <v>162</v>
      </c>
      <c r="D111" s="1366">
        <v>0.01</v>
      </c>
      <c r="E111" s="1366">
        <v>1.02</v>
      </c>
      <c r="F111" s="3115">
        <v>0</v>
      </c>
      <c r="G111" s="3115">
        <v>-7.0000000000000062E-2</v>
      </c>
      <c r="H111" s="3115">
        <f t="shared" si="11"/>
        <v>1.6575461999999999E-2</v>
      </c>
      <c r="I111" s="3115">
        <f t="shared" si="11"/>
        <v>-1.2528855E-3</v>
      </c>
      <c r="J111" s="3115">
        <f t="shared" si="11"/>
        <v>2.0309204999999979E-3</v>
      </c>
      <c r="K111" s="3115">
        <f t="shared" si="12"/>
        <v>1.3291655999999999E-2</v>
      </c>
      <c r="L111" s="3115">
        <f t="shared" si="12"/>
        <v>1.3291700000000004E-2</v>
      </c>
      <c r="M111" s="3115">
        <f t="shared" si="12"/>
        <v>0</v>
      </c>
      <c r="N111" s="3115"/>
      <c r="O111" s="3115">
        <f t="shared" si="13"/>
        <v>1.5276700000000001E-2</v>
      </c>
      <c r="P111" s="3115"/>
      <c r="Q111" s="827"/>
      <c r="R111" s="827"/>
      <c r="S111" s="827"/>
    </row>
    <row r="112" spans="2:33" hidden="1">
      <c r="B112" s="296">
        <f t="shared" si="14"/>
        <v>8</v>
      </c>
      <c r="C112" s="1291" t="s">
        <v>163</v>
      </c>
      <c r="D112" s="1366">
        <v>5.93</v>
      </c>
      <c r="E112" s="1366">
        <v>5.4</v>
      </c>
      <c r="F112" s="3115">
        <v>0.66</v>
      </c>
      <c r="G112" s="3115">
        <v>9.89</v>
      </c>
      <c r="H112" s="3115">
        <f t="shared" si="11"/>
        <v>7.6932439729999977</v>
      </c>
      <c r="I112" s="3115">
        <f t="shared" si="11"/>
        <v>-1.0750330237499999</v>
      </c>
      <c r="J112" s="3115">
        <f t="shared" si="11"/>
        <v>5.4966976249998467E-2</v>
      </c>
      <c r="K112" s="3115">
        <f t="shared" si="12"/>
        <v>6.5632439729999987</v>
      </c>
      <c r="L112" s="3115">
        <f t="shared" si="12"/>
        <v>6.5632441000000021</v>
      </c>
      <c r="M112" s="3115">
        <f t="shared" si="12"/>
        <v>-0.99421965875000007</v>
      </c>
      <c r="N112" s="3115"/>
      <c r="O112" s="3115">
        <f t="shared" si="13"/>
        <v>5.224185541249998</v>
      </c>
      <c r="P112" s="3115"/>
      <c r="Q112" s="827"/>
      <c r="R112" s="827"/>
      <c r="S112" s="827"/>
    </row>
    <row r="113" spans="2:19" hidden="1">
      <c r="B113" s="296">
        <f t="shared" si="14"/>
        <v>9</v>
      </c>
      <c r="C113" s="1291" t="s">
        <v>164</v>
      </c>
      <c r="D113" s="1366">
        <v>10.180000000000001</v>
      </c>
      <c r="E113" s="1366">
        <v>2.36</v>
      </c>
      <c r="F113" s="3115">
        <v>0.24</v>
      </c>
      <c r="G113" s="3115">
        <v>10.41</v>
      </c>
      <c r="H113" s="3115">
        <f t="shared" si="11"/>
        <v>14.546439655000002</v>
      </c>
      <c r="I113" s="3115">
        <f t="shared" si="11"/>
        <v>1.6088179176799997</v>
      </c>
      <c r="J113" s="3115">
        <f t="shared" si="11"/>
        <v>1.1718615680000932E-2</v>
      </c>
      <c r="K113" s="3115">
        <f t="shared" si="12"/>
        <v>16.143538957000001</v>
      </c>
      <c r="L113" s="3115">
        <f t="shared" si="12"/>
        <v>16.143539099999998</v>
      </c>
      <c r="M113" s="3115">
        <f t="shared" si="12"/>
        <v>0.2889062</v>
      </c>
      <c r="N113" s="3115"/>
      <c r="O113" s="3115">
        <f t="shared" si="13"/>
        <v>16.517921449999996</v>
      </c>
      <c r="P113" s="3115"/>
      <c r="Q113" s="827"/>
      <c r="R113" s="827"/>
      <c r="S113" s="827"/>
    </row>
    <row r="114" spans="2:19" hidden="1">
      <c r="B114" s="296">
        <f t="shared" si="14"/>
        <v>10</v>
      </c>
      <c r="C114" s="1291" t="s">
        <v>165</v>
      </c>
      <c r="D114" s="1366">
        <v>11.459999999999999</v>
      </c>
      <c r="E114" s="1366">
        <v>0.66</v>
      </c>
      <c r="F114" s="3115">
        <v>0.16</v>
      </c>
      <c r="G114" s="3115">
        <v>11.959999999999999</v>
      </c>
      <c r="H114" s="3115">
        <f t="shared" si="11"/>
        <v>12.324138349500002</v>
      </c>
      <c r="I114" s="3115">
        <f t="shared" si="11"/>
        <v>0.88433694098999993</v>
      </c>
      <c r="J114" s="3115">
        <f t="shared" si="11"/>
        <v>7.7043165799899995</v>
      </c>
      <c r="K114" s="3115">
        <f t="shared" si="12"/>
        <v>4.2967472105000013</v>
      </c>
      <c r="L114" s="3115">
        <f t="shared" si="12"/>
        <v>4.2967471500000016</v>
      </c>
      <c r="M114" s="3115">
        <f t="shared" si="12"/>
        <v>-0.16075609575000005</v>
      </c>
      <c r="N114" s="3115"/>
      <c r="O114" s="3115">
        <f t="shared" si="13"/>
        <v>4.0041163042499974</v>
      </c>
      <c r="P114" s="3115"/>
      <c r="Q114" s="827"/>
      <c r="R114" s="827"/>
      <c r="S114" s="827"/>
    </row>
    <row r="115" spans="2:19" hidden="1">
      <c r="B115" s="296">
        <f t="shared" si="14"/>
        <v>11</v>
      </c>
      <c r="C115" s="1291" t="s">
        <v>606</v>
      </c>
      <c r="D115" s="1366">
        <v>29.470000000000002</v>
      </c>
      <c r="E115" s="1366">
        <v>0</v>
      </c>
      <c r="F115" s="3115">
        <v>0.21</v>
      </c>
      <c r="G115" s="3115">
        <v>28.220000000000002</v>
      </c>
      <c r="H115" s="3115"/>
      <c r="I115" s="3115"/>
      <c r="J115" s="827"/>
      <c r="K115" s="3115"/>
      <c r="L115" s="3115"/>
      <c r="M115" s="3115"/>
      <c r="N115" s="3115"/>
      <c r="O115" s="3115"/>
      <c r="P115" s="3115"/>
      <c r="Q115" s="827"/>
      <c r="R115" s="827"/>
      <c r="S115" s="827"/>
    </row>
    <row r="116" spans="2:19" hidden="1">
      <c r="B116" s="296">
        <f t="shared" si="14"/>
        <v>12</v>
      </c>
      <c r="C116" s="305" t="s">
        <v>431</v>
      </c>
      <c r="D116" s="1366">
        <v>0</v>
      </c>
      <c r="E116" s="3115">
        <v>0</v>
      </c>
      <c r="F116" s="3115">
        <v>0</v>
      </c>
      <c r="G116" s="3115">
        <v>-1.04</v>
      </c>
      <c r="H116" s="843">
        <f>H21-H40</f>
        <v>0.15791749999999999</v>
      </c>
      <c r="I116" s="3115">
        <f>I21-I40</f>
        <v>0</v>
      </c>
      <c r="J116" s="843">
        <f>J21-I41</f>
        <v>0</v>
      </c>
      <c r="K116" s="3115">
        <f>L21-K40</f>
        <v>0.31583499999999998</v>
      </c>
      <c r="L116" s="3115"/>
      <c r="M116" s="3115"/>
      <c r="N116" s="3115"/>
      <c r="O116" s="3115"/>
      <c r="P116" s="3115"/>
      <c r="Q116" s="827"/>
      <c r="R116" s="827"/>
      <c r="S116" s="827"/>
    </row>
    <row r="117" spans="2:19" hidden="1">
      <c r="B117" s="296">
        <f t="shared" si="14"/>
        <v>13</v>
      </c>
      <c r="C117" s="305" t="s">
        <v>428</v>
      </c>
      <c r="D117" s="1366"/>
      <c r="E117" s="3115"/>
      <c r="F117" s="3115"/>
      <c r="G117" s="3115"/>
      <c r="H117" s="843"/>
      <c r="I117" s="827"/>
      <c r="J117" s="827"/>
      <c r="K117" s="3115"/>
      <c r="L117" s="3115"/>
      <c r="M117" s="3115"/>
      <c r="N117" s="3115"/>
      <c r="O117" s="3115"/>
      <c r="P117" s="3115"/>
      <c r="Q117" s="827"/>
      <c r="R117" s="827"/>
      <c r="S117" s="827"/>
    </row>
    <row r="118" spans="2:19" hidden="1">
      <c r="B118" s="296">
        <f>B116+1</f>
        <v>13</v>
      </c>
      <c r="C118" s="306" t="s">
        <v>47</v>
      </c>
      <c r="D118" s="3118">
        <f t="shared" ref="D118:K118" si="15">SUM(D105:D116)</f>
        <v>1273.3399999999999</v>
      </c>
      <c r="E118" s="3118">
        <f t="shared" si="15"/>
        <v>130.5</v>
      </c>
      <c r="F118" s="3118">
        <f t="shared" si="15"/>
        <v>17.48</v>
      </c>
      <c r="G118" s="3118">
        <f t="shared" si="15"/>
        <v>1323.8200000000002</v>
      </c>
      <c r="H118" s="3118">
        <f t="shared" si="15"/>
        <v>1198.2657147</v>
      </c>
      <c r="I118" s="839">
        <f t="shared" si="15"/>
        <v>32.194452829180008</v>
      </c>
      <c r="J118" s="3118">
        <f t="shared" si="15"/>
        <v>-16.467443148820013</v>
      </c>
      <c r="K118" s="839">
        <f t="shared" si="15"/>
        <v>1243.358116678</v>
      </c>
      <c r="L118" s="839">
        <f>SUM(L105:L114)</f>
        <v>1243.0422820500003</v>
      </c>
      <c r="M118" s="3118">
        <f>SUM(M105:M114)</f>
        <v>7.8956999759403965</v>
      </c>
      <c r="N118" s="827"/>
      <c r="O118" s="839" t="e">
        <f>SUM(O105:O114)</f>
        <v>#REF!</v>
      </c>
      <c r="P118" s="827"/>
      <c r="Q118" s="827"/>
      <c r="R118" s="827"/>
      <c r="S118" s="827"/>
    </row>
    <row r="119" spans="2:19" hidden="1">
      <c r="B119" s="289"/>
      <c r="C119" s="290"/>
      <c r="D119" s="290"/>
      <c r="E119" s="290"/>
      <c r="F119" s="290"/>
      <c r="G119" s="290"/>
      <c r="I119" s="291"/>
      <c r="K119" s="291"/>
      <c r="L119" s="291"/>
      <c r="M119" s="291"/>
      <c r="N119" s="291"/>
      <c r="O119" s="291"/>
      <c r="P119" s="291"/>
    </row>
    <row r="120" spans="2:19" hidden="1">
      <c r="B120" s="289"/>
      <c r="C120" s="290"/>
      <c r="D120" s="290"/>
      <c r="E120" s="290"/>
      <c r="F120" s="290"/>
      <c r="G120" s="290"/>
      <c r="I120" s="291"/>
      <c r="K120" s="291"/>
      <c r="L120" s="291"/>
      <c r="M120" s="291"/>
      <c r="N120" s="291"/>
      <c r="O120" s="291"/>
      <c r="P120" s="291"/>
    </row>
    <row r="121" spans="2:19" hidden="1">
      <c r="B121" s="5735" t="s">
        <v>101</v>
      </c>
      <c r="C121" s="5735" t="s">
        <v>81</v>
      </c>
      <c r="D121" s="5733" t="s">
        <v>82</v>
      </c>
      <c r="E121" s="5734"/>
      <c r="F121" s="5733" t="s">
        <v>1845</v>
      </c>
      <c r="G121" s="5734"/>
    </row>
    <row r="122" spans="2:19" hidden="1">
      <c r="B122" s="5736"/>
      <c r="C122" s="5736"/>
      <c r="D122" s="859" t="s">
        <v>1936</v>
      </c>
      <c r="E122" s="860" t="s">
        <v>1603</v>
      </c>
      <c r="F122" s="859" t="s">
        <v>1936</v>
      </c>
      <c r="G122" s="860" t="s">
        <v>1603</v>
      </c>
    </row>
    <row r="123" spans="2:19" hidden="1">
      <c r="B123" s="827">
        <v>1</v>
      </c>
      <c r="C123" s="835" t="s">
        <v>1932</v>
      </c>
      <c r="D123" s="827">
        <v>1838.84</v>
      </c>
      <c r="E123" s="843">
        <f>H23</f>
        <v>1851.3757147000001</v>
      </c>
      <c r="F123" s="283">
        <v>2058.44</v>
      </c>
      <c r="G123" s="297">
        <f>M23</f>
        <v>1961.6681170500003</v>
      </c>
    </row>
    <row r="124" spans="2:19" hidden="1">
      <c r="B124" s="827">
        <f>B123+1</f>
        <v>2</v>
      </c>
      <c r="C124" s="835" t="s">
        <v>1976</v>
      </c>
      <c r="D124" s="858">
        <f>Assumptions!$E$80</f>
        <v>2.5000000000000001E-3</v>
      </c>
      <c r="E124" s="858">
        <f>Assumptions!$E$80</f>
        <v>2.5000000000000001E-3</v>
      </c>
      <c r="F124" s="909">
        <f>Assumptions!$F$80</f>
        <v>2.5000000000000001E-3</v>
      </c>
      <c r="G124" s="909">
        <f>Assumptions!$F$80</f>
        <v>2.5000000000000001E-3</v>
      </c>
    </row>
    <row r="125" spans="2:19" hidden="1">
      <c r="B125" s="827">
        <f>B124+1</f>
        <v>3</v>
      </c>
      <c r="C125" s="835" t="s">
        <v>1977</v>
      </c>
      <c r="D125" s="843">
        <f>D124*D123</f>
        <v>4.5971000000000002</v>
      </c>
      <c r="E125" s="843">
        <f>E124*E123</f>
        <v>4.6284392867500008</v>
      </c>
      <c r="F125" s="297">
        <f>F124*F123</f>
        <v>5.1461000000000006</v>
      </c>
      <c r="G125" s="297">
        <f>G124*G123</f>
        <v>4.9041702926250013</v>
      </c>
      <c r="H125" s="302"/>
    </row>
    <row r="126" spans="2:19" hidden="1">
      <c r="H126" s="302"/>
    </row>
    <row r="127" spans="2:19" hidden="1"/>
    <row r="128" spans="2:19" s="1893" customFormat="1" hidden="1"/>
    <row r="129" spans="1:17" ht="16.5" hidden="1" thickBot="1"/>
    <row r="130" spans="1:17" ht="16.5" hidden="1" thickBot="1">
      <c r="D130" s="5738" t="s">
        <v>2485</v>
      </c>
      <c r="E130" s="5739"/>
      <c r="F130" s="5739"/>
      <c r="G130" s="5739"/>
      <c r="H130" s="5740"/>
    </row>
    <row r="131" spans="1:17" hidden="1"/>
    <row r="132" spans="1:17" hidden="1">
      <c r="A132" s="5737" t="s">
        <v>702</v>
      </c>
      <c r="B132" s="5737"/>
      <c r="D132" s="283" t="s">
        <v>151</v>
      </c>
    </row>
    <row r="133" spans="1:17" hidden="1">
      <c r="A133" s="1898" t="s">
        <v>101</v>
      </c>
      <c r="B133" s="859" t="s">
        <v>81</v>
      </c>
      <c r="C133" s="859" t="s">
        <v>2442</v>
      </c>
      <c r="D133" s="859" t="s">
        <v>2443</v>
      </c>
    </row>
    <row r="134" spans="1:17" hidden="1">
      <c r="A134" s="283">
        <v>1</v>
      </c>
      <c r="B134" s="835" t="s">
        <v>2122</v>
      </c>
      <c r="C134" s="827">
        <v>279.10000000000002</v>
      </c>
      <c r="D134" s="827">
        <v>300.33999999999997</v>
      </c>
    </row>
    <row r="135" spans="1:17" hidden="1">
      <c r="A135" s="283">
        <f>1+1</f>
        <v>2</v>
      </c>
      <c r="B135" s="835" t="s">
        <v>2487</v>
      </c>
      <c r="C135" s="827">
        <v>313.7</v>
      </c>
      <c r="D135" s="827">
        <v>307.95</v>
      </c>
    </row>
    <row r="136" spans="1:17" hidden="1"/>
    <row r="137" spans="1:17" hidden="1"/>
    <row r="138" spans="1:17" hidden="1"/>
    <row r="139" spans="1:17" hidden="1">
      <c r="A139" s="5735" t="s">
        <v>101</v>
      </c>
      <c r="B139" s="5735" t="s">
        <v>491</v>
      </c>
      <c r="C139" s="5732" t="s">
        <v>1845</v>
      </c>
      <c r="D139" s="5732"/>
      <c r="E139" s="5733" t="s">
        <v>2442</v>
      </c>
      <c r="F139" s="5734"/>
      <c r="G139" s="5732" t="s">
        <v>2443</v>
      </c>
      <c r="H139" s="5732"/>
    </row>
    <row r="140" spans="1:17" hidden="1">
      <c r="A140" s="5736"/>
      <c r="B140" s="5736"/>
      <c r="C140" s="859" t="s">
        <v>1936</v>
      </c>
      <c r="D140" s="859" t="s">
        <v>2492</v>
      </c>
      <c r="E140" s="859" t="s">
        <v>1936</v>
      </c>
      <c r="F140" s="859" t="s">
        <v>2492</v>
      </c>
      <c r="G140" s="859" t="s">
        <v>1936</v>
      </c>
      <c r="H140" s="1928" t="s">
        <v>2492</v>
      </c>
      <c r="M140" s="3143"/>
      <c r="Q140" s="302"/>
    </row>
    <row r="141" spans="1:17" hidden="1">
      <c r="A141" s="827">
        <v>1</v>
      </c>
      <c r="B141" s="827" t="s">
        <v>1932</v>
      </c>
      <c r="C141" s="827">
        <v>2058.44</v>
      </c>
      <c r="D141" s="843">
        <f>M23</f>
        <v>1961.6681170500003</v>
      </c>
      <c r="E141" s="827">
        <v>2327.87</v>
      </c>
      <c r="F141" s="1899">
        <f>D145</f>
        <v>2047.9757722000002</v>
      </c>
      <c r="G141" s="827">
        <v>2612.7199999999998</v>
      </c>
      <c r="H141" s="843">
        <f>F145</f>
        <v>2361.6757722000002</v>
      </c>
      <c r="M141" s="3346"/>
    </row>
    <row r="142" spans="1:17" hidden="1">
      <c r="A142" s="827">
        <f>A141+1</f>
        <v>2</v>
      </c>
      <c r="B142" s="827" t="s">
        <v>2140</v>
      </c>
      <c r="C142" s="827">
        <v>105.61</v>
      </c>
      <c r="D142" s="843">
        <f>N23</f>
        <v>101.5107612</v>
      </c>
      <c r="E142" s="827">
        <v>119.33</v>
      </c>
      <c r="F142" s="1899">
        <f>C135</f>
        <v>313.7</v>
      </c>
      <c r="G142" s="827">
        <v>133.69</v>
      </c>
      <c r="H142" s="843">
        <f>D135</f>
        <v>307.95</v>
      </c>
      <c r="M142" s="3346"/>
    </row>
    <row r="143" spans="1:17" hidden="1">
      <c r="A143" s="827">
        <f>A142+1</f>
        <v>3</v>
      </c>
      <c r="B143" s="827" t="s">
        <v>2488</v>
      </c>
      <c r="C143" s="827">
        <v>15.11</v>
      </c>
      <c r="D143" s="843">
        <f>(('E6 Summury_2013-14'!AH20/2)+('E6 Summury_2013-14'!AH34))/10^7</f>
        <v>15.203106050000001</v>
      </c>
      <c r="E143" s="827"/>
      <c r="F143" s="827"/>
      <c r="G143" s="827"/>
      <c r="H143" s="827"/>
    </row>
    <row r="144" spans="1:17" hidden="1">
      <c r="A144" s="827">
        <f>A143+1</f>
        <v>4</v>
      </c>
      <c r="B144" s="827" t="s">
        <v>2640</v>
      </c>
      <c r="C144" s="3115"/>
      <c r="D144" s="843">
        <f>P23</f>
        <v>-10.58</v>
      </c>
      <c r="E144" s="827"/>
      <c r="F144" s="827"/>
      <c r="G144" s="827"/>
      <c r="H144" s="827"/>
    </row>
    <row r="145" spans="1:8" hidden="1">
      <c r="A145" s="827">
        <f>A144+1</f>
        <v>5</v>
      </c>
      <c r="B145" s="827" t="s">
        <v>2489</v>
      </c>
      <c r="C145" s="827">
        <f t="shared" ref="C145:H145" si="16">C141+C142-C143</f>
        <v>2148.94</v>
      </c>
      <c r="D145" s="843">
        <f t="shared" si="16"/>
        <v>2047.9757722000002</v>
      </c>
      <c r="E145" s="827">
        <f t="shared" si="16"/>
        <v>2447.1999999999998</v>
      </c>
      <c r="F145" s="843">
        <f t="shared" si="16"/>
        <v>2361.6757722000002</v>
      </c>
      <c r="G145" s="827">
        <f t="shared" si="16"/>
        <v>2746.41</v>
      </c>
      <c r="H145" s="843">
        <f t="shared" si="16"/>
        <v>2669.6257722</v>
      </c>
    </row>
    <row r="146" spans="1:8" hidden="1"/>
    <row r="147" spans="1:8" hidden="1"/>
  </sheetData>
  <mergeCells count="50">
    <mergeCell ref="L102:O102"/>
    <mergeCell ref="L103:O103"/>
    <mergeCell ref="P102:S102"/>
    <mergeCell ref="P103:S103"/>
    <mergeCell ref="D103:G103"/>
    <mergeCell ref="H103:K103"/>
    <mergeCell ref="H102:K102"/>
    <mergeCell ref="A132:B132"/>
    <mergeCell ref="D130:H130"/>
    <mergeCell ref="B121:B122"/>
    <mergeCell ref="C121:C122"/>
    <mergeCell ref="D121:E121"/>
    <mergeCell ref="F121:G121"/>
    <mergeCell ref="C139:D139"/>
    <mergeCell ref="E139:F139"/>
    <mergeCell ref="G139:H139"/>
    <mergeCell ref="A139:A140"/>
    <mergeCell ref="B139:B140"/>
    <mergeCell ref="B102:B104"/>
    <mergeCell ref="C102:C104"/>
    <mergeCell ref="B27:B29"/>
    <mergeCell ref="C27:C29"/>
    <mergeCell ref="D27:G27"/>
    <mergeCell ref="D28:G28"/>
    <mergeCell ref="D102:G102"/>
    <mergeCell ref="C69:D69"/>
    <mergeCell ref="D45:H49"/>
    <mergeCell ref="B2:K2"/>
    <mergeCell ref="B4:K4"/>
    <mergeCell ref="B7:B9"/>
    <mergeCell ref="C7:C9"/>
    <mergeCell ref="D7:G7"/>
    <mergeCell ref="D8:G8"/>
    <mergeCell ref="J45:O49"/>
    <mergeCell ref="B3:K3"/>
    <mergeCell ref="M7:Q7"/>
    <mergeCell ref="M8:Q8"/>
    <mergeCell ref="D41:G42"/>
    <mergeCell ref="U28:X28"/>
    <mergeCell ref="H7:L7"/>
    <mergeCell ref="H8:L8"/>
    <mergeCell ref="L27:O27"/>
    <mergeCell ref="L28:O28"/>
    <mergeCell ref="P27:T27"/>
    <mergeCell ref="P28:T28"/>
    <mergeCell ref="U7:X7"/>
    <mergeCell ref="U8:X8"/>
    <mergeCell ref="U27:X27"/>
    <mergeCell ref="H27:K27"/>
    <mergeCell ref="H28:K28"/>
  </mergeCells>
  <printOptions horizontalCentered="1"/>
  <pageMargins left="0.16" right="0.15" top="0.91" bottom="0.27559055118110198" header="0.31496062992126" footer="0.31496062992126"/>
  <pageSetup paperSize="9" scale="47" orientation="landscape" horizontalDpi="300" r:id="rId1"/>
  <rowBreaks count="1" manualBreakCount="1">
    <brk id="58" max="25" man="1"/>
  </rowBreaks>
  <legacyDrawing r:id="rId2"/>
</worksheet>
</file>

<file path=xl/worksheets/sheet44.xml><?xml version="1.0" encoding="utf-8"?>
<worksheet xmlns="http://schemas.openxmlformats.org/spreadsheetml/2006/main" xmlns:r="http://schemas.openxmlformats.org/officeDocument/2006/relationships">
  <sheetPr codeName="Sheet29">
    <pageSetUpPr fitToPage="1"/>
  </sheetPr>
  <dimension ref="A3:S236"/>
  <sheetViews>
    <sheetView showGridLines="0" view="pageBreakPreview" zoomScale="50" zoomScaleNormal="70" zoomScaleSheetLayoutView="50" workbookViewId="0">
      <selection activeCell="M114" sqref="M114:O114"/>
    </sheetView>
  </sheetViews>
  <sheetFormatPr defaultRowHeight="15.75"/>
  <cols>
    <col min="1" max="1" width="6.85546875" style="344" customWidth="1"/>
    <col min="2" max="2" width="8.85546875" style="344" customWidth="1"/>
    <col min="3" max="3" width="56.28515625" style="344" customWidth="1"/>
    <col min="4" max="4" width="29.7109375" style="344" customWidth="1"/>
    <col min="5" max="5" width="23.85546875" style="344" customWidth="1"/>
    <col min="6" max="6" width="29.140625" style="344" bestFit="1" customWidth="1"/>
    <col min="7" max="8" width="20.85546875" style="344" customWidth="1"/>
    <col min="9" max="9" width="27.5703125" style="344" hidden="1" customWidth="1"/>
    <col min="10" max="10" width="24.42578125" style="344" hidden="1" customWidth="1"/>
    <col min="11" max="11" width="27.42578125" style="344" hidden="1" customWidth="1"/>
    <col min="12" max="12" width="22.5703125" style="344" hidden="1" customWidth="1"/>
    <col min="13" max="13" width="23.140625" style="344" hidden="1" customWidth="1"/>
    <col min="14" max="14" width="24" style="344" customWidth="1"/>
    <col min="15" max="15" width="23" style="344" customWidth="1"/>
    <col min="16" max="16" width="14.28515625" style="344" customWidth="1"/>
    <col min="17" max="17" width="17" style="344" customWidth="1"/>
    <col min="18" max="18" width="11" style="344" customWidth="1"/>
    <col min="19" max="252" width="9.140625" style="344"/>
    <col min="253" max="253" width="6.85546875" style="344" customWidth="1"/>
    <col min="254" max="254" width="7" style="344" customWidth="1"/>
    <col min="255" max="255" width="61.140625" style="344" customWidth="1"/>
    <col min="256" max="256" width="13.85546875" style="344" customWidth="1"/>
    <col min="257" max="257" width="20.85546875" style="344" customWidth="1"/>
    <col min="258" max="258" width="16.5703125" style="344" customWidth="1"/>
    <col min="259" max="259" width="18.7109375" style="344" customWidth="1"/>
    <col min="260" max="260" width="22.7109375" style="344" customWidth="1"/>
    <col min="261" max="261" width="23.42578125" style="344" customWidth="1"/>
    <col min="262" max="262" width="22.7109375" style="344" customWidth="1"/>
    <col min="263" max="263" width="30.5703125" style="344" customWidth="1"/>
    <col min="264" max="264" width="15.140625" style="344" customWidth="1"/>
    <col min="265" max="265" width="20.85546875" style="344" customWidth="1"/>
    <col min="266" max="266" width="21.28515625" style="344" customWidth="1"/>
    <col min="267" max="267" width="18" style="344" customWidth="1"/>
    <col min="268" max="268" width="22.5703125" style="344" customWidth="1"/>
    <col min="269" max="270" width="14.85546875" style="344" customWidth="1"/>
    <col min="271" max="508" width="9.140625" style="344"/>
    <col min="509" max="509" width="6.85546875" style="344" customWidth="1"/>
    <col min="510" max="510" width="7" style="344" customWidth="1"/>
    <col min="511" max="511" width="61.140625" style="344" customWidth="1"/>
    <col min="512" max="512" width="13.85546875" style="344" customWidth="1"/>
    <col min="513" max="513" width="20.85546875" style="344" customWidth="1"/>
    <col min="514" max="514" width="16.5703125" style="344" customWidth="1"/>
    <col min="515" max="515" width="18.7109375" style="344" customWidth="1"/>
    <col min="516" max="516" width="22.7109375" style="344" customWidth="1"/>
    <col min="517" max="517" width="23.42578125" style="344" customWidth="1"/>
    <col min="518" max="518" width="22.7109375" style="344" customWidth="1"/>
    <col min="519" max="519" width="30.5703125" style="344" customWidth="1"/>
    <col min="520" max="520" width="15.140625" style="344" customWidth="1"/>
    <col min="521" max="521" width="20.85546875" style="344" customWidth="1"/>
    <col min="522" max="522" width="21.28515625" style="344" customWidth="1"/>
    <col min="523" max="523" width="18" style="344" customWidth="1"/>
    <col min="524" max="524" width="22.5703125" style="344" customWidth="1"/>
    <col min="525" max="526" width="14.85546875" style="344" customWidth="1"/>
    <col min="527" max="764" width="9.140625" style="344"/>
    <col min="765" max="765" width="6.85546875" style="344" customWidth="1"/>
    <col min="766" max="766" width="7" style="344" customWidth="1"/>
    <col min="767" max="767" width="61.140625" style="344" customWidth="1"/>
    <col min="768" max="768" width="13.85546875" style="344" customWidth="1"/>
    <col min="769" max="769" width="20.85546875" style="344" customWidth="1"/>
    <col min="770" max="770" width="16.5703125" style="344" customWidth="1"/>
    <col min="771" max="771" width="18.7109375" style="344" customWidth="1"/>
    <col min="772" max="772" width="22.7109375" style="344" customWidth="1"/>
    <col min="773" max="773" width="23.42578125" style="344" customWidth="1"/>
    <col min="774" max="774" width="22.7109375" style="344" customWidth="1"/>
    <col min="775" max="775" width="30.5703125" style="344" customWidth="1"/>
    <col min="776" max="776" width="15.140625" style="344" customWidth="1"/>
    <col min="777" max="777" width="20.85546875" style="344" customWidth="1"/>
    <col min="778" max="778" width="21.28515625" style="344" customWidth="1"/>
    <col min="779" max="779" width="18" style="344" customWidth="1"/>
    <col min="780" max="780" width="22.5703125" style="344" customWidth="1"/>
    <col min="781" max="782" width="14.85546875" style="344" customWidth="1"/>
    <col min="783" max="1020" width="9.140625" style="344"/>
    <col min="1021" max="1021" width="6.85546875" style="344" customWidth="1"/>
    <col min="1022" max="1022" width="7" style="344" customWidth="1"/>
    <col min="1023" max="1023" width="61.140625" style="344" customWidth="1"/>
    <col min="1024" max="1024" width="13.85546875" style="344" customWidth="1"/>
    <col min="1025" max="1025" width="20.85546875" style="344" customWidth="1"/>
    <col min="1026" max="1026" width="16.5703125" style="344" customWidth="1"/>
    <col min="1027" max="1027" width="18.7109375" style="344" customWidth="1"/>
    <col min="1028" max="1028" width="22.7109375" style="344" customWidth="1"/>
    <col min="1029" max="1029" width="23.42578125" style="344" customWidth="1"/>
    <col min="1030" max="1030" width="22.7109375" style="344" customWidth="1"/>
    <col min="1031" max="1031" width="30.5703125" style="344" customWidth="1"/>
    <col min="1032" max="1032" width="15.140625" style="344" customWidth="1"/>
    <col min="1033" max="1033" width="20.85546875" style="344" customWidth="1"/>
    <col min="1034" max="1034" width="21.28515625" style="344" customWidth="1"/>
    <col min="1035" max="1035" width="18" style="344" customWidth="1"/>
    <col min="1036" max="1036" width="22.5703125" style="344" customWidth="1"/>
    <col min="1037" max="1038" width="14.85546875" style="344" customWidth="1"/>
    <col min="1039" max="1276" width="9.140625" style="344"/>
    <col min="1277" max="1277" width="6.85546875" style="344" customWidth="1"/>
    <col min="1278" max="1278" width="7" style="344" customWidth="1"/>
    <col min="1279" max="1279" width="61.140625" style="344" customWidth="1"/>
    <col min="1280" max="1280" width="13.85546875" style="344" customWidth="1"/>
    <col min="1281" max="1281" width="20.85546875" style="344" customWidth="1"/>
    <col min="1282" max="1282" width="16.5703125" style="344" customWidth="1"/>
    <col min="1283" max="1283" width="18.7109375" style="344" customWidth="1"/>
    <col min="1284" max="1284" width="22.7109375" style="344" customWidth="1"/>
    <col min="1285" max="1285" width="23.42578125" style="344" customWidth="1"/>
    <col min="1286" max="1286" width="22.7109375" style="344" customWidth="1"/>
    <col min="1287" max="1287" width="30.5703125" style="344" customWidth="1"/>
    <col min="1288" max="1288" width="15.140625" style="344" customWidth="1"/>
    <col min="1289" max="1289" width="20.85546875" style="344" customWidth="1"/>
    <col min="1290" max="1290" width="21.28515625" style="344" customWidth="1"/>
    <col min="1291" max="1291" width="18" style="344" customWidth="1"/>
    <col min="1292" max="1292" width="22.5703125" style="344" customWidth="1"/>
    <col min="1293" max="1294" width="14.85546875" style="344" customWidth="1"/>
    <col min="1295" max="1532" width="9.140625" style="344"/>
    <col min="1533" max="1533" width="6.85546875" style="344" customWidth="1"/>
    <col min="1534" max="1534" width="7" style="344" customWidth="1"/>
    <col min="1535" max="1535" width="61.140625" style="344" customWidth="1"/>
    <col min="1536" max="1536" width="13.85546875" style="344" customWidth="1"/>
    <col min="1537" max="1537" width="20.85546875" style="344" customWidth="1"/>
    <col min="1538" max="1538" width="16.5703125" style="344" customWidth="1"/>
    <col min="1539" max="1539" width="18.7109375" style="344" customWidth="1"/>
    <col min="1540" max="1540" width="22.7109375" style="344" customWidth="1"/>
    <col min="1541" max="1541" width="23.42578125" style="344" customWidth="1"/>
    <col min="1542" max="1542" width="22.7109375" style="344" customWidth="1"/>
    <col min="1543" max="1543" width="30.5703125" style="344" customWidth="1"/>
    <col min="1544" max="1544" width="15.140625" style="344" customWidth="1"/>
    <col min="1545" max="1545" width="20.85546875" style="344" customWidth="1"/>
    <col min="1546" max="1546" width="21.28515625" style="344" customWidth="1"/>
    <col min="1547" max="1547" width="18" style="344" customWidth="1"/>
    <col min="1548" max="1548" width="22.5703125" style="344" customWidth="1"/>
    <col min="1549" max="1550" width="14.85546875" style="344" customWidth="1"/>
    <col min="1551" max="1788" width="9.140625" style="344"/>
    <col min="1789" max="1789" width="6.85546875" style="344" customWidth="1"/>
    <col min="1790" max="1790" width="7" style="344" customWidth="1"/>
    <col min="1791" max="1791" width="61.140625" style="344" customWidth="1"/>
    <col min="1792" max="1792" width="13.85546875" style="344" customWidth="1"/>
    <col min="1793" max="1793" width="20.85546875" style="344" customWidth="1"/>
    <col min="1794" max="1794" width="16.5703125" style="344" customWidth="1"/>
    <col min="1795" max="1795" width="18.7109375" style="344" customWidth="1"/>
    <col min="1796" max="1796" width="22.7109375" style="344" customWidth="1"/>
    <col min="1797" max="1797" width="23.42578125" style="344" customWidth="1"/>
    <col min="1798" max="1798" width="22.7109375" style="344" customWidth="1"/>
    <col min="1799" max="1799" width="30.5703125" style="344" customWidth="1"/>
    <col min="1800" max="1800" width="15.140625" style="344" customWidth="1"/>
    <col min="1801" max="1801" width="20.85546875" style="344" customWidth="1"/>
    <col min="1802" max="1802" width="21.28515625" style="344" customWidth="1"/>
    <col min="1803" max="1803" width="18" style="344" customWidth="1"/>
    <col min="1804" max="1804" width="22.5703125" style="344" customWidth="1"/>
    <col min="1805" max="1806" width="14.85546875" style="344" customWidth="1"/>
    <col min="1807" max="2044" width="9.140625" style="344"/>
    <col min="2045" max="2045" width="6.85546875" style="344" customWidth="1"/>
    <col min="2046" max="2046" width="7" style="344" customWidth="1"/>
    <col min="2047" max="2047" width="61.140625" style="344" customWidth="1"/>
    <col min="2048" max="2048" width="13.85546875" style="344" customWidth="1"/>
    <col min="2049" max="2049" width="20.85546875" style="344" customWidth="1"/>
    <col min="2050" max="2050" width="16.5703125" style="344" customWidth="1"/>
    <col min="2051" max="2051" width="18.7109375" style="344" customWidth="1"/>
    <col min="2052" max="2052" width="22.7109375" style="344" customWidth="1"/>
    <col min="2053" max="2053" width="23.42578125" style="344" customWidth="1"/>
    <col min="2054" max="2054" width="22.7109375" style="344" customWidth="1"/>
    <col min="2055" max="2055" width="30.5703125" style="344" customWidth="1"/>
    <col min="2056" max="2056" width="15.140625" style="344" customWidth="1"/>
    <col min="2057" max="2057" width="20.85546875" style="344" customWidth="1"/>
    <col min="2058" max="2058" width="21.28515625" style="344" customWidth="1"/>
    <col min="2059" max="2059" width="18" style="344" customWidth="1"/>
    <col min="2060" max="2060" width="22.5703125" style="344" customWidth="1"/>
    <col min="2061" max="2062" width="14.85546875" style="344" customWidth="1"/>
    <col min="2063" max="2300" width="9.140625" style="344"/>
    <col min="2301" max="2301" width="6.85546875" style="344" customWidth="1"/>
    <col min="2302" max="2302" width="7" style="344" customWidth="1"/>
    <col min="2303" max="2303" width="61.140625" style="344" customWidth="1"/>
    <col min="2304" max="2304" width="13.85546875" style="344" customWidth="1"/>
    <col min="2305" max="2305" width="20.85546875" style="344" customWidth="1"/>
    <col min="2306" max="2306" width="16.5703125" style="344" customWidth="1"/>
    <col min="2307" max="2307" width="18.7109375" style="344" customWidth="1"/>
    <col min="2308" max="2308" width="22.7109375" style="344" customWidth="1"/>
    <col min="2309" max="2309" width="23.42578125" style="344" customWidth="1"/>
    <col min="2310" max="2310" width="22.7109375" style="344" customWidth="1"/>
    <col min="2311" max="2311" width="30.5703125" style="344" customWidth="1"/>
    <col min="2312" max="2312" width="15.140625" style="344" customWidth="1"/>
    <col min="2313" max="2313" width="20.85546875" style="344" customWidth="1"/>
    <col min="2314" max="2314" width="21.28515625" style="344" customWidth="1"/>
    <col min="2315" max="2315" width="18" style="344" customWidth="1"/>
    <col min="2316" max="2316" width="22.5703125" style="344" customWidth="1"/>
    <col min="2317" max="2318" width="14.85546875" style="344" customWidth="1"/>
    <col min="2319" max="2556" width="9.140625" style="344"/>
    <col min="2557" max="2557" width="6.85546875" style="344" customWidth="1"/>
    <col min="2558" max="2558" width="7" style="344" customWidth="1"/>
    <col min="2559" max="2559" width="61.140625" style="344" customWidth="1"/>
    <col min="2560" max="2560" width="13.85546875" style="344" customWidth="1"/>
    <col min="2561" max="2561" width="20.85546875" style="344" customWidth="1"/>
    <col min="2562" max="2562" width="16.5703125" style="344" customWidth="1"/>
    <col min="2563" max="2563" width="18.7109375" style="344" customWidth="1"/>
    <col min="2564" max="2564" width="22.7109375" style="344" customWidth="1"/>
    <col min="2565" max="2565" width="23.42578125" style="344" customWidth="1"/>
    <col min="2566" max="2566" width="22.7109375" style="344" customWidth="1"/>
    <col min="2567" max="2567" width="30.5703125" style="344" customWidth="1"/>
    <col min="2568" max="2568" width="15.140625" style="344" customWidth="1"/>
    <col min="2569" max="2569" width="20.85546875" style="344" customWidth="1"/>
    <col min="2570" max="2570" width="21.28515625" style="344" customWidth="1"/>
    <col min="2571" max="2571" width="18" style="344" customWidth="1"/>
    <col min="2572" max="2572" width="22.5703125" style="344" customWidth="1"/>
    <col min="2573" max="2574" width="14.85546875" style="344" customWidth="1"/>
    <col min="2575" max="2812" width="9.140625" style="344"/>
    <col min="2813" max="2813" width="6.85546875" style="344" customWidth="1"/>
    <col min="2814" max="2814" width="7" style="344" customWidth="1"/>
    <col min="2815" max="2815" width="61.140625" style="344" customWidth="1"/>
    <col min="2816" max="2816" width="13.85546875" style="344" customWidth="1"/>
    <col min="2817" max="2817" width="20.85546875" style="344" customWidth="1"/>
    <col min="2818" max="2818" width="16.5703125" style="344" customWidth="1"/>
    <col min="2819" max="2819" width="18.7109375" style="344" customWidth="1"/>
    <col min="2820" max="2820" width="22.7109375" style="344" customWidth="1"/>
    <col min="2821" max="2821" width="23.42578125" style="344" customWidth="1"/>
    <col min="2822" max="2822" width="22.7109375" style="344" customWidth="1"/>
    <col min="2823" max="2823" width="30.5703125" style="344" customWidth="1"/>
    <col min="2824" max="2824" width="15.140625" style="344" customWidth="1"/>
    <col min="2825" max="2825" width="20.85546875" style="344" customWidth="1"/>
    <col min="2826" max="2826" width="21.28515625" style="344" customWidth="1"/>
    <col min="2827" max="2827" width="18" style="344" customWidth="1"/>
    <col min="2828" max="2828" width="22.5703125" style="344" customWidth="1"/>
    <col min="2829" max="2830" width="14.85546875" style="344" customWidth="1"/>
    <col min="2831" max="3068" width="9.140625" style="344"/>
    <col min="3069" max="3069" width="6.85546875" style="344" customWidth="1"/>
    <col min="3070" max="3070" width="7" style="344" customWidth="1"/>
    <col min="3071" max="3071" width="61.140625" style="344" customWidth="1"/>
    <col min="3072" max="3072" width="13.85546875" style="344" customWidth="1"/>
    <col min="3073" max="3073" width="20.85546875" style="344" customWidth="1"/>
    <col min="3074" max="3074" width="16.5703125" style="344" customWidth="1"/>
    <col min="3075" max="3075" width="18.7109375" style="344" customWidth="1"/>
    <col min="3076" max="3076" width="22.7109375" style="344" customWidth="1"/>
    <col min="3077" max="3077" width="23.42578125" style="344" customWidth="1"/>
    <col min="3078" max="3078" width="22.7109375" style="344" customWidth="1"/>
    <col min="3079" max="3079" width="30.5703125" style="344" customWidth="1"/>
    <col min="3080" max="3080" width="15.140625" style="344" customWidth="1"/>
    <col min="3081" max="3081" width="20.85546875" style="344" customWidth="1"/>
    <col min="3082" max="3082" width="21.28515625" style="344" customWidth="1"/>
    <col min="3083" max="3083" width="18" style="344" customWidth="1"/>
    <col min="3084" max="3084" width="22.5703125" style="344" customWidth="1"/>
    <col min="3085" max="3086" width="14.85546875" style="344" customWidth="1"/>
    <col min="3087" max="3324" width="9.140625" style="344"/>
    <col min="3325" max="3325" width="6.85546875" style="344" customWidth="1"/>
    <col min="3326" max="3326" width="7" style="344" customWidth="1"/>
    <col min="3327" max="3327" width="61.140625" style="344" customWidth="1"/>
    <col min="3328" max="3328" width="13.85546875" style="344" customWidth="1"/>
    <col min="3329" max="3329" width="20.85546875" style="344" customWidth="1"/>
    <col min="3330" max="3330" width="16.5703125" style="344" customWidth="1"/>
    <col min="3331" max="3331" width="18.7109375" style="344" customWidth="1"/>
    <col min="3332" max="3332" width="22.7109375" style="344" customWidth="1"/>
    <col min="3333" max="3333" width="23.42578125" style="344" customWidth="1"/>
    <col min="3334" max="3334" width="22.7109375" style="344" customWidth="1"/>
    <col min="3335" max="3335" width="30.5703125" style="344" customWidth="1"/>
    <col min="3336" max="3336" width="15.140625" style="344" customWidth="1"/>
    <col min="3337" max="3337" width="20.85546875" style="344" customWidth="1"/>
    <col min="3338" max="3338" width="21.28515625" style="344" customWidth="1"/>
    <col min="3339" max="3339" width="18" style="344" customWidth="1"/>
    <col min="3340" max="3340" width="22.5703125" style="344" customWidth="1"/>
    <col min="3341" max="3342" width="14.85546875" style="344" customWidth="1"/>
    <col min="3343" max="3580" width="9.140625" style="344"/>
    <col min="3581" max="3581" width="6.85546875" style="344" customWidth="1"/>
    <col min="3582" max="3582" width="7" style="344" customWidth="1"/>
    <col min="3583" max="3583" width="61.140625" style="344" customWidth="1"/>
    <col min="3584" max="3584" width="13.85546875" style="344" customWidth="1"/>
    <col min="3585" max="3585" width="20.85546875" style="344" customWidth="1"/>
    <col min="3586" max="3586" width="16.5703125" style="344" customWidth="1"/>
    <col min="3587" max="3587" width="18.7109375" style="344" customWidth="1"/>
    <col min="3588" max="3588" width="22.7109375" style="344" customWidth="1"/>
    <col min="3589" max="3589" width="23.42578125" style="344" customWidth="1"/>
    <col min="3590" max="3590" width="22.7109375" style="344" customWidth="1"/>
    <col min="3591" max="3591" width="30.5703125" style="344" customWidth="1"/>
    <col min="3592" max="3592" width="15.140625" style="344" customWidth="1"/>
    <col min="3593" max="3593" width="20.85546875" style="344" customWidth="1"/>
    <col min="3594" max="3594" width="21.28515625" style="344" customWidth="1"/>
    <col min="3595" max="3595" width="18" style="344" customWidth="1"/>
    <col min="3596" max="3596" width="22.5703125" style="344" customWidth="1"/>
    <col min="3597" max="3598" width="14.85546875" style="344" customWidth="1"/>
    <col min="3599" max="3836" width="9.140625" style="344"/>
    <col min="3837" max="3837" width="6.85546875" style="344" customWidth="1"/>
    <col min="3838" max="3838" width="7" style="344" customWidth="1"/>
    <col min="3839" max="3839" width="61.140625" style="344" customWidth="1"/>
    <col min="3840" max="3840" width="13.85546875" style="344" customWidth="1"/>
    <col min="3841" max="3841" width="20.85546875" style="344" customWidth="1"/>
    <col min="3842" max="3842" width="16.5703125" style="344" customWidth="1"/>
    <col min="3843" max="3843" width="18.7109375" style="344" customWidth="1"/>
    <col min="3844" max="3844" width="22.7109375" style="344" customWidth="1"/>
    <col min="3845" max="3845" width="23.42578125" style="344" customWidth="1"/>
    <col min="3846" max="3846" width="22.7109375" style="344" customWidth="1"/>
    <col min="3847" max="3847" width="30.5703125" style="344" customWidth="1"/>
    <col min="3848" max="3848" width="15.140625" style="344" customWidth="1"/>
    <col min="3849" max="3849" width="20.85546875" style="344" customWidth="1"/>
    <col min="3850" max="3850" width="21.28515625" style="344" customWidth="1"/>
    <col min="3851" max="3851" width="18" style="344" customWidth="1"/>
    <col min="3852" max="3852" width="22.5703125" style="344" customWidth="1"/>
    <col min="3853" max="3854" width="14.85546875" style="344" customWidth="1"/>
    <col min="3855" max="4092" width="9.140625" style="344"/>
    <col min="4093" max="4093" width="6.85546875" style="344" customWidth="1"/>
    <col min="4094" max="4094" width="7" style="344" customWidth="1"/>
    <col min="4095" max="4095" width="61.140625" style="344" customWidth="1"/>
    <col min="4096" max="4096" width="13.85546875" style="344" customWidth="1"/>
    <col min="4097" max="4097" width="20.85546875" style="344" customWidth="1"/>
    <col min="4098" max="4098" width="16.5703125" style="344" customWidth="1"/>
    <col min="4099" max="4099" width="18.7109375" style="344" customWidth="1"/>
    <col min="4100" max="4100" width="22.7109375" style="344" customWidth="1"/>
    <col min="4101" max="4101" width="23.42578125" style="344" customWidth="1"/>
    <col min="4102" max="4102" width="22.7109375" style="344" customWidth="1"/>
    <col min="4103" max="4103" width="30.5703125" style="344" customWidth="1"/>
    <col min="4104" max="4104" width="15.140625" style="344" customWidth="1"/>
    <col min="4105" max="4105" width="20.85546875" style="344" customWidth="1"/>
    <col min="4106" max="4106" width="21.28515625" style="344" customWidth="1"/>
    <col min="4107" max="4107" width="18" style="344" customWidth="1"/>
    <col min="4108" max="4108" width="22.5703125" style="344" customWidth="1"/>
    <col min="4109" max="4110" width="14.85546875" style="344" customWidth="1"/>
    <col min="4111" max="4348" width="9.140625" style="344"/>
    <col min="4349" max="4349" width="6.85546875" style="344" customWidth="1"/>
    <col min="4350" max="4350" width="7" style="344" customWidth="1"/>
    <col min="4351" max="4351" width="61.140625" style="344" customWidth="1"/>
    <col min="4352" max="4352" width="13.85546875" style="344" customWidth="1"/>
    <col min="4353" max="4353" width="20.85546875" style="344" customWidth="1"/>
    <col min="4354" max="4354" width="16.5703125" style="344" customWidth="1"/>
    <col min="4355" max="4355" width="18.7109375" style="344" customWidth="1"/>
    <col min="4356" max="4356" width="22.7109375" style="344" customWidth="1"/>
    <col min="4357" max="4357" width="23.42578125" style="344" customWidth="1"/>
    <col min="4358" max="4358" width="22.7109375" style="344" customWidth="1"/>
    <col min="4359" max="4359" width="30.5703125" style="344" customWidth="1"/>
    <col min="4360" max="4360" width="15.140625" style="344" customWidth="1"/>
    <col min="4361" max="4361" width="20.85546875" style="344" customWidth="1"/>
    <col min="4362" max="4362" width="21.28515625" style="344" customWidth="1"/>
    <col min="4363" max="4363" width="18" style="344" customWidth="1"/>
    <col min="4364" max="4364" width="22.5703125" style="344" customWidth="1"/>
    <col min="4365" max="4366" width="14.85546875" style="344" customWidth="1"/>
    <col min="4367" max="4604" width="9.140625" style="344"/>
    <col min="4605" max="4605" width="6.85546875" style="344" customWidth="1"/>
    <col min="4606" max="4606" width="7" style="344" customWidth="1"/>
    <col min="4607" max="4607" width="61.140625" style="344" customWidth="1"/>
    <col min="4608" max="4608" width="13.85546875" style="344" customWidth="1"/>
    <col min="4609" max="4609" width="20.85546875" style="344" customWidth="1"/>
    <col min="4610" max="4610" width="16.5703125" style="344" customWidth="1"/>
    <col min="4611" max="4611" width="18.7109375" style="344" customWidth="1"/>
    <col min="4612" max="4612" width="22.7109375" style="344" customWidth="1"/>
    <col min="4613" max="4613" width="23.42578125" style="344" customWidth="1"/>
    <col min="4614" max="4614" width="22.7109375" style="344" customWidth="1"/>
    <col min="4615" max="4615" width="30.5703125" style="344" customWidth="1"/>
    <col min="4616" max="4616" width="15.140625" style="344" customWidth="1"/>
    <col min="4617" max="4617" width="20.85546875" style="344" customWidth="1"/>
    <col min="4618" max="4618" width="21.28515625" style="344" customWidth="1"/>
    <col min="4619" max="4619" width="18" style="344" customWidth="1"/>
    <col min="4620" max="4620" width="22.5703125" style="344" customWidth="1"/>
    <col min="4621" max="4622" width="14.85546875" style="344" customWidth="1"/>
    <col min="4623" max="4860" width="9.140625" style="344"/>
    <col min="4861" max="4861" width="6.85546875" style="344" customWidth="1"/>
    <col min="4862" max="4862" width="7" style="344" customWidth="1"/>
    <col min="4863" max="4863" width="61.140625" style="344" customWidth="1"/>
    <col min="4864" max="4864" width="13.85546875" style="344" customWidth="1"/>
    <col min="4865" max="4865" width="20.85546875" style="344" customWidth="1"/>
    <col min="4866" max="4866" width="16.5703125" style="344" customWidth="1"/>
    <col min="4867" max="4867" width="18.7109375" style="344" customWidth="1"/>
    <col min="4868" max="4868" width="22.7109375" style="344" customWidth="1"/>
    <col min="4869" max="4869" width="23.42578125" style="344" customWidth="1"/>
    <col min="4870" max="4870" width="22.7109375" style="344" customWidth="1"/>
    <col min="4871" max="4871" width="30.5703125" style="344" customWidth="1"/>
    <col min="4872" max="4872" width="15.140625" style="344" customWidth="1"/>
    <col min="4873" max="4873" width="20.85546875" style="344" customWidth="1"/>
    <col min="4874" max="4874" width="21.28515625" style="344" customWidth="1"/>
    <col min="4875" max="4875" width="18" style="344" customWidth="1"/>
    <col min="4876" max="4876" width="22.5703125" style="344" customWidth="1"/>
    <col min="4877" max="4878" width="14.85546875" style="344" customWidth="1"/>
    <col min="4879" max="5116" width="9.140625" style="344"/>
    <col min="5117" max="5117" width="6.85546875" style="344" customWidth="1"/>
    <col min="5118" max="5118" width="7" style="344" customWidth="1"/>
    <col min="5119" max="5119" width="61.140625" style="344" customWidth="1"/>
    <col min="5120" max="5120" width="13.85546875" style="344" customWidth="1"/>
    <col min="5121" max="5121" width="20.85546875" style="344" customWidth="1"/>
    <col min="5122" max="5122" width="16.5703125" style="344" customWidth="1"/>
    <col min="5123" max="5123" width="18.7109375" style="344" customWidth="1"/>
    <col min="5124" max="5124" width="22.7109375" style="344" customWidth="1"/>
    <col min="5125" max="5125" width="23.42578125" style="344" customWidth="1"/>
    <col min="5126" max="5126" width="22.7109375" style="344" customWidth="1"/>
    <col min="5127" max="5127" width="30.5703125" style="344" customWidth="1"/>
    <col min="5128" max="5128" width="15.140625" style="344" customWidth="1"/>
    <col min="5129" max="5129" width="20.85546875" style="344" customWidth="1"/>
    <col min="5130" max="5130" width="21.28515625" style="344" customWidth="1"/>
    <col min="5131" max="5131" width="18" style="344" customWidth="1"/>
    <col min="5132" max="5132" width="22.5703125" style="344" customWidth="1"/>
    <col min="5133" max="5134" width="14.85546875" style="344" customWidth="1"/>
    <col min="5135" max="5372" width="9.140625" style="344"/>
    <col min="5373" max="5373" width="6.85546875" style="344" customWidth="1"/>
    <col min="5374" max="5374" width="7" style="344" customWidth="1"/>
    <col min="5375" max="5375" width="61.140625" style="344" customWidth="1"/>
    <col min="5376" max="5376" width="13.85546875" style="344" customWidth="1"/>
    <col min="5377" max="5377" width="20.85546875" style="344" customWidth="1"/>
    <col min="5378" max="5378" width="16.5703125" style="344" customWidth="1"/>
    <col min="5379" max="5379" width="18.7109375" style="344" customWidth="1"/>
    <col min="5380" max="5380" width="22.7109375" style="344" customWidth="1"/>
    <col min="5381" max="5381" width="23.42578125" style="344" customWidth="1"/>
    <col min="5382" max="5382" width="22.7109375" style="344" customWidth="1"/>
    <col min="5383" max="5383" width="30.5703125" style="344" customWidth="1"/>
    <col min="5384" max="5384" width="15.140625" style="344" customWidth="1"/>
    <col min="5385" max="5385" width="20.85546875" style="344" customWidth="1"/>
    <col min="5386" max="5386" width="21.28515625" style="344" customWidth="1"/>
    <col min="5387" max="5387" width="18" style="344" customWidth="1"/>
    <col min="5388" max="5388" width="22.5703125" style="344" customWidth="1"/>
    <col min="5389" max="5390" width="14.85546875" style="344" customWidth="1"/>
    <col min="5391" max="5628" width="9.140625" style="344"/>
    <col min="5629" max="5629" width="6.85546875" style="344" customWidth="1"/>
    <col min="5630" max="5630" width="7" style="344" customWidth="1"/>
    <col min="5631" max="5631" width="61.140625" style="344" customWidth="1"/>
    <col min="5632" max="5632" width="13.85546875" style="344" customWidth="1"/>
    <col min="5633" max="5633" width="20.85546875" style="344" customWidth="1"/>
    <col min="5634" max="5634" width="16.5703125" style="344" customWidth="1"/>
    <col min="5635" max="5635" width="18.7109375" style="344" customWidth="1"/>
    <col min="5636" max="5636" width="22.7109375" style="344" customWidth="1"/>
    <col min="5637" max="5637" width="23.42578125" style="344" customWidth="1"/>
    <col min="5638" max="5638" width="22.7109375" style="344" customWidth="1"/>
    <col min="5639" max="5639" width="30.5703125" style="344" customWidth="1"/>
    <col min="5640" max="5640" width="15.140625" style="344" customWidth="1"/>
    <col min="5641" max="5641" width="20.85546875" style="344" customWidth="1"/>
    <col min="5642" max="5642" width="21.28515625" style="344" customWidth="1"/>
    <col min="5643" max="5643" width="18" style="344" customWidth="1"/>
    <col min="5644" max="5644" width="22.5703125" style="344" customWidth="1"/>
    <col min="5645" max="5646" width="14.85546875" style="344" customWidth="1"/>
    <col min="5647" max="5884" width="9.140625" style="344"/>
    <col min="5885" max="5885" width="6.85546875" style="344" customWidth="1"/>
    <col min="5886" max="5886" width="7" style="344" customWidth="1"/>
    <col min="5887" max="5887" width="61.140625" style="344" customWidth="1"/>
    <col min="5888" max="5888" width="13.85546875" style="344" customWidth="1"/>
    <col min="5889" max="5889" width="20.85546875" style="344" customWidth="1"/>
    <col min="5890" max="5890" width="16.5703125" style="344" customWidth="1"/>
    <col min="5891" max="5891" width="18.7109375" style="344" customWidth="1"/>
    <col min="5892" max="5892" width="22.7109375" style="344" customWidth="1"/>
    <col min="5893" max="5893" width="23.42578125" style="344" customWidth="1"/>
    <col min="5894" max="5894" width="22.7109375" style="344" customWidth="1"/>
    <col min="5895" max="5895" width="30.5703125" style="344" customWidth="1"/>
    <col min="5896" max="5896" width="15.140625" style="344" customWidth="1"/>
    <col min="5897" max="5897" width="20.85546875" style="344" customWidth="1"/>
    <col min="5898" max="5898" width="21.28515625" style="344" customWidth="1"/>
    <col min="5899" max="5899" width="18" style="344" customWidth="1"/>
    <col min="5900" max="5900" width="22.5703125" style="344" customWidth="1"/>
    <col min="5901" max="5902" width="14.85546875" style="344" customWidth="1"/>
    <col min="5903" max="6140" width="9.140625" style="344"/>
    <col min="6141" max="6141" width="6.85546875" style="344" customWidth="1"/>
    <col min="6142" max="6142" width="7" style="344" customWidth="1"/>
    <col min="6143" max="6143" width="61.140625" style="344" customWidth="1"/>
    <col min="6144" max="6144" width="13.85546875" style="344" customWidth="1"/>
    <col min="6145" max="6145" width="20.85546875" style="344" customWidth="1"/>
    <col min="6146" max="6146" width="16.5703125" style="344" customWidth="1"/>
    <col min="6147" max="6147" width="18.7109375" style="344" customWidth="1"/>
    <col min="6148" max="6148" width="22.7109375" style="344" customWidth="1"/>
    <col min="6149" max="6149" width="23.42578125" style="344" customWidth="1"/>
    <col min="6150" max="6150" width="22.7109375" style="344" customWidth="1"/>
    <col min="6151" max="6151" width="30.5703125" style="344" customWidth="1"/>
    <col min="6152" max="6152" width="15.140625" style="344" customWidth="1"/>
    <col min="6153" max="6153" width="20.85546875" style="344" customWidth="1"/>
    <col min="6154" max="6154" width="21.28515625" style="344" customWidth="1"/>
    <col min="6155" max="6155" width="18" style="344" customWidth="1"/>
    <col min="6156" max="6156" width="22.5703125" style="344" customWidth="1"/>
    <col min="6157" max="6158" width="14.85546875" style="344" customWidth="1"/>
    <col min="6159" max="6396" width="9.140625" style="344"/>
    <col min="6397" max="6397" width="6.85546875" style="344" customWidth="1"/>
    <col min="6398" max="6398" width="7" style="344" customWidth="1"/>
    <col min="6399" max="6399" width="61.140625" style="344" customWidth="1"/>
    <col min="6400" max="6400" width="13.85546875" style="344" customWidth="1"/>
    <col min="6401" max="6401" width="20.85546875" style="344" customWidth="1"/>
    <col min="6402" max="6402" width="16.5703125" style="344" customWidth="1"/>
    <col min="6403" max="6403" width="18.7109375" style="344" customWidth="1"/>
    <col min="6404" max="6404" width="22.7109375" style="344" customWidth="1"/>
    <col min="6405" max="6405" width="23.42578125" style="344" customWidth="1"/>
    <col min="6406" max="6406" width="22.7109375" style="344" customWidth="1"/>
    <col min="6407" max="6407" width="30.5703125" style="344" customWidth="1"/>
    <col min="6408" max="6408" width="15.140625" style="344" customWidth="1"/>
    <col min="6409" max="6409" width="20.85546875" style="344" customWidth="1"/>
    <col min="6410" max="6410" width="21.28515625" style="344" customWidth="1"/>
    <col min="6411" max="6411" width="18" style="344" customWidth="1"/>
    <col min="6412" max="6412" width="22.5703125" style="344" customWidth="1"/>
    <col min="6413" max="6414" width="14.85546875" style="344" customWidth="1"/>
    <col min="6415" max="6652" width="9.140625" style="344"/>
    <col min="6653" max="6653" width="6.85546875" style="344" customWidth="1"/>
    <col min="6654" max="6654" width="7" style="344" customWidth="1"/>
    <col min="6655" max="6655" width="61.140625" style="344" customWidth="1"/>
    <col min="6656" max="6656" width="13.85546875" style="344" customWidth="1"/>
    <col min="6657" max="6657" width="20.85546875" style="344" customWidth="1"/>
    <col min="6658" max="6658" width="16.5703125" style="344" customWidth="1"/>
    <col min="6659" max="6659" width="18.7109375" style="344" customWidth="1"/>
    <col min="6660" max="6660" width="22.7109375" style="344" customWidth="1"/>
    <col min="6661" max="6661" width="23.42578125" style="344" customWidth="1"/>
    <col min="6662" max="6662" width="22.7109375" style="344" customWidth="1"/>
    <col min="6663" max="6663" width="30.5703125" style="344" customWidth="1"/>
    <col min="6664" max="6664" width="15.140625" style="344" customWidth="1"/>
    <col min="6665" max="6665" width="20.85546875" style="344" customWidth="1"/>
    <col min="6666" max="6666" width="21.28515625" style="344" customWidth="1"/>
    <col min="6667" max="6667" width="18" style="344" customWidth="1"/>
    <col min="6668" max="6668" width="22.5703125" style="344" customWidth="1"/>
    <col min="6669" max="6670" width="14.85546875" style="344" customWidth="1"/>
    <col min="6671" max="6908" width="9.140625" style="344"/>
    <col min="6909" max="6909" width="6.85546875" style="344" customWidth="1"/>
    <col min="6910" max="6910" width="7" style="344" customWidth="1"/>
    <col min="6911" max="6911" width="61.140625" style="344" customWidth="1"/>
    <col min="6912" max="6912" width="13.85546875" style="344" customWidth="1"/>
    <col min="6913" max="6913" width="20.85546875" style="344" customWidth="1"/>
    <col min="6914" max="6914" width="16.5703125" style="344" customWidth="1"/>
    <col min="6915" max="6915" width="18.7109375" style="344" customWidth="1"/>
    <col min="6916" max="6916" width="22.7109375" style="344" customWidth="1"/>
    <col min="6917" max="6917" width="23.42578125" style="344" customWidth="1"/>
    <col min="6918" max="6918" width="22.7109375" style="344" customWidth="1"/>
    <col min="6919" max="6919" width="30.5703125" style="344" customWidth="1"/>
    <col min="6920" max="6920" width="15.140625" style="344" customWidth="1"/>
    <col min="6921" max="6921" width="20.85546875" style="344" customWidth="1"/>
    <col min="6922" max="6922" width="21.28515625" style="344" customWidth="1"/>
    <col min="6923" max="6923" width="18" style="344" customWidth="1"/>
    <col min="6924" max="6924" width="22.5703125" style="344" customWidth="1"/>
    <col min="6925" max="6926" width="14.85546875" style="344" customWidth="1"/>
    <col min="6927" max="7164" width="9.140625" style="344"/>
    <col min="7165" max="7165" width="6.85546875" style="344" customWidth="1"/>
    <col min="7166" max="7166" width="7" style="344" customWidth="1"/>
    <col min="7167" max="7167" width="61.140625" style="344" customWidth="1"/>
    <col min="7168" max="7168" width="13.85546875" style="344" customWidth="1"/>
    <col min="7169" max="7169" width="20.85546875" style="344" customWidth="1"/>
    <col min="7170" max="7170" width="16.5703125" style="344" customWidth="1"/>
    <col min="7171" max="7171" width="18.7109375" style="344" customWidth="1"/>
    <col min="7172" max="7172" width="22.7109375" style="344" customWidth="1"/>
    <col min="7173" max="7173" width="23.42578125" style="344" customWidth="1"/>
    <col min="7174" max="7174" width="22.7109375" style="344" customWidth="1"/>
    <col min="7175" max="7175" width="30.5703125" style="344" customWidth="1"/>
    <col min="7176" max="7176" width="15.140625" style="344" customWidth="1"/>
    <col min="7177" max="7177" width="20.85546875" style="344" customWidth="1"/>
    <col min="7178" max="7178" width="21.28515625" style="344" customWidth="1"/>
    <col min="7179" max="7179" width="18" style="344" customWidth="1"/>
    <col min="7180" max="7180" width="22.5703125" style="344" customWidth="1"/>
    <col min="7181" max="7182" width="14.85546875" style="344" customWidth="1"/>
    <col min="7183" max="7420" width="9.140625" style="344"/>
    <col min="7421" max="7421" width="6.85546875" style="344" customWidth="1"/>
    <col min="7422" max="7422" width="7" style="344" customWidth="1"/>
    <col min="7423" max="7423" width="61.140625" style="344" customWidth="1"/>
    <col min="7424" max="7424" width="13.85546875" style="344" customWidth="1"/>
    <col min="7425" max="7425" width="20.85546875" style="344" customWidth="1"/>
    <col min="7426" max="7426" width="16.5703125" style="344" customWidth="1"/>
    <col min="7427" max="7427" width="18.7109375" style="344" customWidth="1"/>
    <col min="7428" max="7428" width="22.7109375" style="344" customWidth="1"/>
    <col min="7429" max="7429" width="23.42578125" style="344" customWidth="1"/>
    <col min="7430" max="7430" width="22.7109375" style="344" customWidth="1"/>
    <col min="7431" max="7431" width="30.5703125" style="344" customWidth="1"/>
    <col min="7432" max="7432" width="15.140625" style="344" customWidth="1"/>
    <col min="7433" max="7433" width="20.85546875" style="344" customWidth="1"/>
    <col min="7434" max="7434" width="21.28515625" style="344" customWidth="1"/>
    <col min="7435" max="7435" width="18" style="344" customWidth="1"/>
    <col min="7436" max="7436" width="22.5703125" style="344" customWidth="1"/>
    <col min="7437" max="7438" width="14.85546875" style="344" customWidth="1"/>
    <col min="7439" max="7676" width="9.140625" style="344"/>
    <col min="7677" max="7677" width="6.85546875" style="344" customWidth="1"/>
    <col min="7678" max="7678" width="7" style="344" customWidth="1"/>
    <col min="7679" max="7679" width="61.140625" style="344" customWidth="1"/>
    <col min="7680" max="7680" width="13.85546875" style="344" customWidth="1"/>
    <col min="7681" max="7681" width="20.85546875" style="344" customWidth="1"/>
    <col min="7682" max="7682" width="16.5703125" style="344" customWidth="1"/>
    <col min="7683" max="7683" width="18.7109375" style="344" customWidth="1"/>
    <col min="7684" max="7684" width="22.7109375" style="344" customWidth="1"/>
    <col min="7685" max="7685" width="23.42578125" style="344" customWidth="1"/>
    <col min="7686" max="7686" width="22.7109375" style="344" customWidth="1"/>
    <col min="7687" max="7687" width="30.5703125" style="344" customWidth="1"/>
    <col min="7688" max="7688" width="15.140625" style="344" customWidth="1"/>
    <col min="7689" max="7689" width="20.85546875" style="344" customWidth="1"/>
    <col min="7690" max="7690" width="21.28515625" style="344" customWidth="1"/>
    <col min="7691" max="7691" width="18" style="344" customWidth="1"/>
    <col min="7692" max="7692" width="22.5703125" style="344" customWidth="1"/>
    <col min="7693" max="7694" width="14.85546875" style="344" customWidth="1"/>
    <col min="7695" max="7932" width="9.140625" style="344"/>
    <col min="7933" max="7933" width="6.85546875" style="344" customWidth="1"/>
    <col min="7934" max="7934" width="7" style="344" customWidth="1"/>
    <col min="7935" max="7935" width="61.140625" style="344" customWidth="1"/>
    <col min="7936" max="7936" width="13.85546875" style="344" customWidth="1"/>
    <col min="7937" max="7937" width="20.85546875" style="344" customWidth="1"/>
    <col min="7938" max="7938" width="16.5703125" style="344" customWidth="1"/>
    <col min="7939" max="7939" width="18.7109375" style="344" customWidth="1"/>
    <col min="7940" max="7940" width="22.7109375" style="344" customWidth="1"/>
    <col min="7941" max="7941" width="23.42578125" style="344" customWidth="1"/>
    <col min="7942" max="7942" width="22.7109375" style="344" customWidth="1"/>
    <col min="7943" max="7943" width="30.5703125" style="344" customWidth="1"/>
    <col min="7944" max="7944" width="15.140625" style="344" customWidth="1"/>
    <col min="7945" max="7945" width="20.85546875" style="344" customWidth="1"/>
    <col min="7946" max="7946" width="21.28515625" style="344" customWidth="1"/>
    <col min="7947" max="7947" width="18" style="344" customWidth="1"/>
    <col min="7948" max="7948" width="22.5703125" style="344" customWidth="1"/>
    <col min="7949" max="7950" width="14.85546875" style="344" customWidth="1"/>
    <col min="7951" max="8188" width="9.140625" style="344"/>
    <col min="8189" max="8189" width="6.85546875" style="344" customWidth="1"/>
    <col min="8190" max="8190" width="7" style="344" customWidth="1"/>
    <col min="8191" max="8191" width="61.140625" style="344" customWidth="1"/>
    <col min="8192" max="8192" width="13.85546875" style="344" customWidth="1"/>
    <col min="8193" max="8193" width="20.85546875" style="344" customWidth="1"/>
    <col min="8194" max="8194" width="16.5703125" style="344" customWidth="1"/>
    <col min="8195" max="8195" width="18.7109375" style="344" customWidth="1"/>
    <col min="8196" max="8196" width="22.7109375" style="344" customWidth="1"/>
    <col min="8197" max="8197" width="23.42578125" style="344" customWidth="1"/>
    <col min="8198" max="8198" width="22.7109375" style="344" customWidth="1"/>
    <col min="8199" max="8199" width="30.5703125" style="344" customWidth="1"/>
    <col min="8200" max="8200" width="15.140625" style="344" customWidth="1"/>
    <col min="8201" max="8201" width="20.85546875" style="344" customWidth="1"/>
    <col min="8202" max="8202" width="21.28515625" style="344" customWidth="1"/>
    <col min="8203" max="8203" width="18" style="344" customWidth="1"/>
    <col min="8204" max="8204" width="22.5703125" style="344" customWidth="1"/>
    <col min="8205" max="8206" width="14.85546875" style="344" customWidth="1"/>
    <col min="8207" max="8444" width="9.140625" style="344"/>
    <col min="8445" max="8445" width="6.85546875" style="344" customWidth="1"/>
    <col min="8446" max="8446" width="7" style="344" customWidth="1"/>
    <col min="8447" max="8447" width="61.140625" style="344" customWidth="1"/>
    <col min="8448" max="8448" width="13.85546875" style="344" customWidth="1"/>
    <col min="8449" max="8449" width="20.85546875" style="344" customWidth="1"/>
    <col min="8450" max="8450" width="16.5703125" style="344" customWidth="1"/>
    <col min="8451" max="8451" width="18.7109375" style="344" customWidth="1"/>
    <col min="8452" max="8452" width="22.7109375" style="344" customWidth="1"/>
    <col min="8453" max="8453" width="23.42578125" style="344" customWidth="1"/>
    <col min="8454" max="8454" width="22.7109375" style="344" customWidth="1"/>
    <col min="8455" max="8455" width="30.5703125" style="344" customWidth="1"/>
    <col min="8456" max="8456" width="15.140625" style="344" customWidth="1"/>
    <col min="8457" max="8457" width="20.85546875" style="344" customWidth="1"/>
    <col min="8458" max="8458" width="21.28515625" style="344" customWidth="1"/>
    <col min="8459" max="8459" width="18" style="344" customWidth="1"/>
    <col min="8460" max="8460" width="22.5703125" style="344" customWidth="1"/>
    <col min="8461" max="8462" width="14.85546875" style="344" customWidth="1"/>
    <col min="8463" max="8700" width="9.140625" style="344"/>
    <col min="8701" max="8701" width="6.85546875" style="344" customWidth="1"/>
    <col min="8702" max="8702" width="7" style="344" customWidth="1"/>
    <col min="8703" max="8703" width="61.140625" style="344" customWidth="1"/>
    <col min="8704" max="8704" width="13.85546875" style="344" customWidth="1"/>
    <col min="8705" max="8705" width="20.85546875" style="344" customWidth="1"/>
    <col min="8706" max="8706" width="16.5703125" style="344" customWidth="1"/>
    <col min="8707" max="8707" width="18.7109375" style="344" customWidth="1"/>
    <col min="8708" max="8708" width="22.7109375" style="344" customWidth="1"/>
    <col min="8709" max="8709" width="23.42578125" style="344" customWidth="1"/>
    <col min="8710" max="8710" width="22.7109375" style="344" customWidth="1"/>
    <col min="8711" max="8711" width="30.5703125" style="344" customWidth="1"/>
    <col min="8712" max="8712" width="15.140625" style="344" customWidth="1"/>
    <col min="8713" max="8713" width="20.85546875" style="344" customWidth="1"/>
    <col min="8714" max="8714" width="21.28515625" style="344" customWidth="1"/>
    <col min="8715" max="8715" width="18" style="344" customWidth="1"/>
    <col min="8716" max="8716" width="22.5703125" style="344" customWidth="1"/>
    <col min="8717" max="8718" width="14.85546875" style="344" customWidth="1"/>
    <col min="8719" max="8956" width="9.140625" style="344"/>
    <col min="8957" max="8957" width="6.85546875" style="344" customWidth="1"/>
    <col min="8958" max="8958" width="7" style="344" customWidth="1"/>
    <col min="8959" max="8959" width="61.140625" style="344" customWidth="1"/>
    <col min="8960" max="8960" width="13.85546875" style="344" customWidth="1"/>
    <col min="8961" max="8961" width="20.85546875" style="344" customWidth="1"/>
    <col min="8962" max="8962" width="16.5703125" style="344" customWidth="1"/>
    <col min="8963" max="8963" width="18.7109375" style="344" customWidth="1"/>
    <col min="8964" max="8964" width="22.7109375" style="344" customWidth="1"/>
    <col min="8965" max="8965" width="23.42578125" style="344" customWidth="1"/>
    <col min="8966" max="8966" width="22.7109375" style="344" customWidth="1"/>
    <col min="8967" max="8967" width="30.5703125" style="344" customWidth="1"/>
    <col min="8968" max="8968" width="15.140625" style="344" customWidth="1"/>
    <col min="8969" max="8969" width="20.85546875" style="344" customWidth="1"/>
    <col min="8970" max="8970" width="21.28515625" style="344" customWidth="1"/>
    <col min="8971" max="8971" width="18" style="344" customWidth="1"/>
    <col min="8972" max="8972" width="22.5703125" style="344" customWidth="1"/>
    <col min="8973" max="8974" width="14.85546875" style="344" customWidth="1"/>
    <col min="8975" max="9212" width="9.140625" style="344"/>
    <col min="9213" max="9213" width="6.85546875" style="344" customWidth="1"/>
    <col min="9214" max="9214" width="7" style="344" customWidth="1"/>
    <col min="9215" max="9215" width="61.140625" style="344" customWidth="1"/>
    <col min="9216" max="9216" width="13.85546875" style="344" customWidth="1"/>
    <col min="9217" max="9217" width="20.85546875" style="344" customWidth="1"/>
    <col min="9218" max="9218" width="16.5703125" style="344" customWidth="1"/>
    <col min="9219" max="9219" width="18.7109375" style="344" customWidth="1"/>
    <col min="9220" max="9220" width="22.7109375" style="344" customWidth="1"/>
    <col min="9221" max="9221" width="23.42578125" style="344" customWidth="1"/>
    <col min="9222" max="9222" width="22.7109375" style="344" customWidth="1"/>
    <col min="9223" max="9223" width="30.5703125" style="344" customWidth="1"/>
    <col min="9224" max="9224" width="15.140625" style="344" customWidth="1"/>
    <col min="9225" max="9225" width="20.85546875" style="344" customWidth="1"/>
    <col min="9226" max="9226" width="21.28515625" style="344" customWidth="1"/>
    <col min="9227" max="9227" width="18" style="344" customWidth="1"/>
    <col min="9228" max="9228" width="22.5703125" style="344" customWidth="1"/>
    <col min="9229" max="9230" width="14.85546875" style="344" customWidth="1"/>
    <col min="9231" max="9468" width="9.140625" style="344"/>
    <col min="9469" max="9469" width="6.85546875" style="344" customWidth="1"/>
    <col min="9470" max="9470" width="7" style="344" customWidth="1"/>
    <col min="9471" max="9471" width="61.140625" style="344" customWidth="1"/>
    <col min="9472" max="9472" width="13.85546875" style="344" customWidth="1"/>
    <col min="9473" max="9473" width="20.85546875" style="344" customWidth="1"/>
    <col min="9474" max="9474" width="16.5703125" style="344" customWidth="1"/>
    <col min="9475" max="9475" width="18.7109375" style="344" customWidth="1"/>
    <col min="9476" max="9476" width="22.7109375" style="344" customWidth="1"/>
    <col min="9477" max="9477" width="23.42578125" style="344" customWidth="1"/>
    <col min="9478" max="9478" width="22.7109375" style="344" customWidth="1"/>
    <col min="9479" max="9479" width="30.5703125" style="344" customWidth="1"/>
    <col min="9480" max="9480" width="15.140625" style="344" customWidth="1"/>
    <col min="9481" max="9481" width="20.85546875" style="344" customWidth="1"/>
    <col min="9482" max="9482" width="21.28515625" style="344" customWidth="1"/>
    <col min="9483" max="9483" width="18" style="344" customWidth="1"/>
    <col min="9484" max="9484" width="22.5703125" style="344" customWidth="1"/>
    <col min="9485" max="9486" width="14.85546875" style="344" customWidth="1"/>
    <col min="9487" max="9724" width="9.140625" style="344"/>
    <col min="9725" max="9725" width="6.85546875" style="344" customWidth="1"/>
    <col min="9726" max="9726" width="7" style="344" customWidth="1"/>
    <col min="9727" max="9727" width="61.140625" style="344" customWidth="1"/>
    <col min="9728" max="9728" width="13.85546875" style="344" customWidth="1"/>
    <col min="9729" max="9729" width="20.85546875" style="344" customWidth="1"/>
    <col min="9730" max="9730" width="16.5703125" style="344" customWidth="1"/>
    <col min="9731" max="9731" width="18.7109375" style="344" customWidth="1"/>
    <col min="9732" max="9732" width="22.7109375" style="344" customWidth="1"/>
    <col min="9733" max="9733" width="23.42578125" style="344" customWidth="1"/>
    <col min="9734" max="9734" width="22.7109375" style="344" customWidth="1"/>
    <col min="9735" max="9735" width="30.5703125" style="344" customWidth="1"/>
    <col min="9736" max="9736" width="15.140625" style="344" customWidth="1"/>
    <col min="9737" max="9737" width="20.85546875" style="344" customWidth="1"/>
    <col min="9738" max="9738" width="21.28515625" style="344" customWidth="1"/>
    <col min="9739" max="9739" width="18" style="344" customWidth="1"/>
    <col min="9740" max="9740" width="22.5703125" style="344" customWidth="1"/>
    <col min="9741" max="9742" width="14.85546875" style="344" customWidth="1"/>
    <col min="9743" max="9980" width="9.140625" style="344"/>
    <col min="9981" max="9981" width="6.85546875" style="344" customWidth="1"/>
    <col min="9982" max="9982" width="7" style="344" customWidth="1"/>
    <col min="9983" max="9983" width="61.140625" style="344" customWidth="1"/>
    <col min="9984" max="9984" width="13.85546875" style="344" customWidth="1"/>
    <col min="9985" max="9985" width="20.85546875" style="344" customWidth="1"/>
    <col min="9986" max="9986" width="16.5703125" style="344" customWidth="1"/>
    <col min="9987" max="9987" width="18.7109375" style="344" customWidth="1"/>
    <col min="9988" max="9988" width="22.7109375" style="344" customWidth="1"/>
    <col min="9989" max="9989" width="23.42578125" style="344" customWidth="1"/>
    <col min="9990" max="9990" width="22.7109375" style="344" customWidth="1"/>
    <col min="9991" max="9991" width="30.5703125" style="344" customWidth="1"/>
    <col min="9992" max="9992" width="15.140625" style="344" customWidth="1"/>
    <col min="9993" max="9993" width="20.85546875" style="344" customWidth="1"/>
    <col min="9994" max="9994" width="21.28515625" style="344" customWidth="1"/>
    <col min="9995" max="9995" width="18" style="344" customWidth="1"/>
    <col min="9996" max="9996" width="22.5703125" style="344" customWidth="1"/>
    <col min="9997" max="9998" width="14.85546875" style="344" customWidth="1"/>
    <col min="9999" max="10236" width="9.140625" style="344"/>
    <col min="10237" max="10237" width="6.85546875" style="344" customWidth="1"/>
    <col min="10238" max="10238" width="7" style="344" customWidth="1"/>
    <col min="10239" max="10239" width="61.140625" style="344" customWidth="1"/>
    <col min="10240" max="10240" width="13.85546875" style="344" customWidth="1"/>
    <col min="10241" max="10241" width="20.85546875" style="344" customWidth="1"/>
    <col min="10242" max="10242" width="16.5703125" style="344" customWidth="1"/>
    <col min="10243" max="10243" width="18.7109375" style="344" customWidth="1"/>
    <col min="10244" max="10244" width="22.7109375" style="344" customWidth="1"/>
    <col min="10245" max="10245" width="23.42578125" style="344" customWidth="1"/>
    <col min="10246" max="10246" width="22.7109375" style="344" customWidth="1"/>
    <col min="10247" max="10247" width="30.5703125" style="344" customWidth="1"/>
    <col min="10248" max="10248" width="15.140625" style="344" customWidth="1"/>
    <col min="10249" max="10249" width="20.85546875" style="344" customWidth="1"/>
    <col min="10250" max="10250" width="21.28515625" style="344" customWidth="1"/>
    <col min="10251" max="10251" width="18" style="344" customWidth="1"/>
    <col min="10252" max="10252" width="22.5703125" style="344" customWidth="1"/>
    <col min="10253" max="10254" width="14.85546875" style="344" customWidth="1"/>
    <col min="10255" max="10492" width="9.140625" style="344"/>
    <col min="10493" max="10493" width="6.85546875" style="344" customWidth="1"/>
    <col min="10494" max="10494" width="7" style="344" customWidth="1"/>
    <col min="10495" max="10495" width="61.140625" style="344" customWidth="1"/>
    <col min="10496" max="10496" width="13.85546875" style="344" customWidth="1"/>
    <col min="10497" max="10497" width="20.85546875" style="344" customWidth="1"/>
    <col min="10498" max="10498" width="16.5703125" style="344" customWidth="1"/>
    <col min="10499" max="10499" width="18.7109375" style="344" customWidth="1"/>
    <col min="10500" max="10500" width="22.7109375" style="344" customWidth="1"/>
    <col min="10501" max="10501" width="23.42578125" style="344" customWidth="1"/>
    <col min="10502" max="10502" width="22.7109375" style="344" customWidth="1"/>
    <col min="10503" max="10503" width="30.5703125" style="344" customWidth="1"/>
    <col min="10504" max="10504" width="15.140625" style="344" customWidth="1"/>
    <col min="10505" max="10505" width="20.85546875" style="344" customWidth="1"/>
    <col min="10506" max="10506" width="21.28515625" style="344" customWidth="1"/>
    <col min="10507" max="10507" width="18" style="344" customWidth="1"/>
    <col min="10508" max="10508" width="22.5703125" style="344" customWidth="1"/>
    <col min="10509" max="10510" width="14.85546875" style="344" customWidth="1"/>
    <col min="10511" max="10748" width="9.140625" style="344"/>
    <col min="10749" max="10749" width="6.85546875" style="344" customWidth="1"/>
    <col min="10750" max="10750" width="7" style="344" customWidth="1"/>
    <col min="10751" max="10751" width="61.140625" style="344" customWidth="1"/>
    <col min="10752" max="10752" width="13.85546875" style="344" customWidth="1"/>
    <col min="10753" max="10753" width="20.85546875" style="344" customWidth="1"/>
    <col min="10754" max="10754" width="16.5703125" style="344" customWidth="1"/>
    <col min="10755" max="10755" width="18.7109375" style="344" customWidth="1"/>
    <col min="10756" max="10756" width="22.7109375" style="344" customWidth="1"/>
    <col min="10757" max="10757" width="23.42578125" style="344" customWidth="1"/>
    <col min="10758" max="10758" width="22.7109375" style="344" customWidth="1"/>
    <col min="10759" max="10759" width="30.5703125" style="344" customWidth="1"/>
    <col min="10760" max="10760" width="15.140625" style="344" customWidth="1"/>
    <col min="10761" max="10761" width="20.85546875" style="344" customWidth="1"/>
    <col min="10762" max="10762" width="21.28515625" style="344" customWidth="1"/>
    <col min="10763" max="10763" width="18" style="344" customWidth="1"/>
    <col min="10764" max="10764" width="22.5703125" style="344" customWidth="1"/>
    <col min="10765" max="10766" width="14.85546875" style="344" customWidth="1"/>
    <col min="10767" max="11004" width="9.140625" style="344"/>
    <col min="11005" max="11005" width="6.85546875" style="344" customWidth="1"/>
    <col min="11006" max="11006" width="7" style="344" customWidth="1"/>
    <col min="11007" max="11007" width="61.140625" style="344" customWidth="1"/>
    <col min="11008" max="11008" width="13.85546875" style="344" customWidth="1"/>
    <col min="11009" max="11009" width="20.85546875" style="344" customWidth="1"/>
    <col min="11010" max="11010" width="16.5703125" style="344" customWidth="1"/>
    <col min="11011" max="11011" width="18.7109375" style="344" customWidth="1"/>
    <col min="11012" max="11012" width="22.7109375" style="344" customWidth="1"/>
    <col min="11013" max="11013" width="23.42578125" style="344" customWidth="1"/>
    <col min="11014" max="11014" width="22.7109375" style="344" customWidth="1"/>
    <col min="11015" max="11015" width="30.5703125" style="344" customWidth="1"/>
    <col min="11016" max="11016" width="15.140625" style="344" customWidth="1"/>
    <col min="11017" max="11017" width="20.85546875" style="344" customWidth="1"/>
    <col min="11018" max="11018" width="21.28515625" style="344" customWidth="1"/>
    <col min="11019" max="11019" width="18" style="344" customWidth="1"/>
    <col min="11020" max="11020" width="22.5703125" style="344" customWidth="1"/>
    <col min="11021" max="11022" width="14.85546875" style="344" customWidth="1"/>
    <col min="11023" max="11260" width="9.140625" style="344"/>
    <col min="11261" max="11261" width="6.85546875" style="344" customWidth="1"/>
    <col min="11262" max="11262" width="7" style="344" customWidth="1"/>
    <col min="11263" max="11263" width="61.140625" style="344" customWidth="1"/>
    <col min="11264" max="11264" width="13.85546875" style="344" customWidth="1"/>
    <col min="11265" max="11265" width="20.85546875" style="344" customWidth="1"/>
    <col min="11266" max="11266" width="16.5703125" style="344" customWidth="1"/>
    <col min="11267" max="11267" width="18.7109375" style="344" customWidth="1"/>
    <col min="11268" max="11268" width="22.7109375" style="344" customWidth="1"/>
    <col min="11269" max="11269" width="23.42578125" style="344" customWidth="1"/>
    <col min="11270" max="11270" width="22.7109375" style="344" customWidth="1"/>
    <col min="11271" max="11271" width="30.5703125" style="344" customWidth="1"/>
    <col min="11272" max="11272" width="15.140625" style="344" customWidth="1"/>
    <col min="11273" max="11273" width="20.85546875" style="344" customWidth="1"/>
    <col min="11274" max="11274" width="21.28515625" style="344" customWidth="1"/>
    <col min="11275" max="11275" width="18" style="344" customWidth="1"/>
    <col min="11276" max="11276" width="22.5703125" style="344" customWidth="1"/>
    <col min="11277" max="11278" width="14.85546875" style="344" customWidth="1"/>
    <col min="11279" max="11516" width="9.140625" style="344"/>
    <col min="11517" max="11517" width="6.85546875" style="344" customWidth="1"/>
    <col min="11518" max="11518" width="7" style="344" customWidth="1"/>
    <col min="11519" max="11519" width="61.140625" style="344" customWidth="1"/>
    <col min="11520" max="11520" width="13.85546875" style="344" customWidth="1"/>
    <col min="11521" max="11521" width="20.85546875" style="344" customWidth="1"/>
    <col min="11522" max="11522" width="16.5703125" style="344" customWidth="1"/>
    <col min="11523" max="11523" width="18.7109375" style="344" customWidth="1"/>
    <col min="11524" max="11524" width="22.7109375" style="344" customWidth="1"/>
    <col min="11525" max="11525" width="23.42578125" style="344" customWidth="1"/>
    <col min="11526" max="11526" width="22.7109375" style="344" customWidth="1"/>
    <col min="11527" max="11527" width="30.5703125" style="344" customWidth="1"/>
    <col min="11528" max="11528" width="15.140625" style="344" customWidth="1"/>
    <col min="11529" max="11529" width="20.85546875" style="344" customWidth="1"/>
    <col min="11530" max="11530" width="21.28515625" style="344" customWidth="1"/>
    <col min="11531" max="11531" width="18" style="344" customWidth="1"/>
    <col min="11532" max="11532" width="22.5703125" style="344" customWidth="1"/>
    <col min="11533" max="11534" width="14.85546875" style="344" customWidth="1"/>
    <col min="11535" max="11772" width="9.140625" style="344"/>
    <col min="11773" max="11773" width="6.85546875" style="344" customWidth="1"/>
    <col min="11774" max="11774" width="7" style="344" customWidth="1"/>
    <col min="11775" max="11775" width="61.140625" style="344" customWidth="1"/>
    <col min="11776" max="11776" width="13.85546875" style="344" customWidth="1"/>
    <col min="11777" max="11777" width="20.85546875" style="344" customWidth="1"/>
    <col min="11778" max="11778" width="16.5703125" style="344" customWidth="1"/>
    <col min="11779" max="11779" width="18.7109375" style="344" customWidth="1"/>
    <col min="11780" max="11780" width="22.7109375" style="344" customWidth="1"/>
    <col min="11781" max="11781" width="23.42578125" style="344" customWidth="1"/>
    <col min="11782" max="11782" width="22.7109375" style="344" customWidth="1"/>
    <col min="11783" max="11783" width="30.5703125" style="344" customWidth="1"/>
    <col min="11784" max="11784" width="15.140625" style="344" customWidth="1"/>
    <col min="11785" max="11785" width="20.85546875" style="344" customWidth="1"/>
    <col min="11786" max="11786" width="21.28515625" style="344" customWidth="1"/>
    <col min="11787" max="11787" width="18" style="344" customWidth="1"/>
    <col min="11788" max="11788" width="22.5703125" style="344" customWidth="1"/>
    <col min="11789" max="11790" width="14.85546875" style="344" customWidth="1"/>
    <col min="11791" max="12028" width="9.140625" style="344"/>
    <col min="12029" max="12029" width="6.85546875" style="344" customWidth="1"/>
    <col min="12030" max="12030" width="7" style="344" customWidth="1"/>
    <col min="12031" max="12031" width="61.140625" style="344" customWidth="1"/>
    <col min="12032" max="12032" width="13.85546875" style="344" customWidth="1"/>
    <col min="12033" max="12033" width="20.85546875" style="344" customWidth="1"/>
    <col min="12034" max="12034" width="16.5703125" style="344" customWidth="1"/>
    <col min="12035" max="12035" width="18.7109375" style="344" customWidth="1"/>
    <col min="12036" max="12036" width="22.7109375" style="344" customWidth="1"/>
    <col min="12037" max="12037" width="23.42578125" style="344" customWidth="1"/>
    <col min="12038" max="12038" width="22.7109375" style="344" customWidth="1"/>
    <col min="12039" max="12039" width="30.5703125" style="344" customWidth="1"/>
    <col min="12040" max="12040" width="15.140625" style="344" customWidth="1"/>
    <col min="12041" max="12041" width="20.85546875" style="344" customWidth="1"/>
    <col min="12042" max="12042" width="21.28515625" style="344" customWidth="1"/>
    <col min="12043" max="12043" width="18" style="344" customWidth="1"/>
    <col min="12044" max="12044" width="22.5703125" style="344" customWidth="1"/>
    <col min="12045" max="12046" width="14.85546875" style="344" customWidth="1"/>
    <col min="12047" max="12284" width="9.140625" style="344"/>
    <col min="12285" max="12285" width="6.85546875" style="344" customWidth="1"/>
    <col min="12286" max="12286" width="7" style="344" customWidth="1"/>
    <col min="12287" max="12287" width="61.140625" style="344" customWidth="1"/>
    <col min="12288" max="12288" width="13.85546875" style="344" customWidth="1"/>
    <col min="12289" max="12289" width="20.85546875" style="344" customWidth="1"/>
    <col min="12290" max="12290" width="16.5703125" style="344" customWidth="1"/>
    <col min="12291" max="12291" width="18.7109375" style="344" customWidth="1"/>
    <col min="12292" max="12292" width="22.7109375" style="344" customWidth="1"/>
    <col min="12293" max="12293" width="23.42578125" style="344" customWidth="1"/>
    <col min="12294" max="12294" width="22.7109375" style="344" customWidth="1"/>
    <col min="12295" max="12295" width="30.5703125" style="344" customWidth="1"/>
    <col min="12296" max="12296" width="15.140625" style="344" customWidth="1"/>
    <col min="12297" max="12297" width="20.85546875" style="344" customWidth="1"/>
    <col min="12298" max="12298" width="21.28515625" style="344" customWidth="1"/>
    <col min="12299" max="12299" width="18" style="344" customWidth="1"/>
    <col min="12300" max="12300" width="22.5703125" style="344" customWidth="1"/>
    <col min="12301" max="12302" width="14.85546875" style="344" customWidth="1"/>
    <col min="12303" max="12540" width="9.140625" style="344"/>
    <col min="12541" max="12541" width="6.85546875" style="344" customWidth="1"/>
    <col min="12542" max="12542" width="7" style="344" customWidth="1"/>
    <col min="12543" max="12543" width="61.140625" style="344" customWidth="1"/>
    <col min="12544" max="12544" width="13.85546875" style="344" customWidth="1"/>
    <col min="12545" max="12545" width="20.85546875" style="344" customWidth="1"/>
    <col min="12546" max="12546" width="16.5703125" style="344" customWidth="1"/>
    <col min="12547" max="12547" width="18.7109375" style="344" customWidth="1"/>
    <col min="12548" max="12548" width="22.7109375" style="344" customWidth="1"/>
    <col min="12549" max="12549" width="23.42578125" style="344" customWidth="1"/>
    <col min="12550" max="12550" width="22.7109375" style="344" customWidth="1"/>
    <col min="12551" max="12551" width="30.5703125" style="344" customWidth="1"/>
    <col min="12552" max="12552" width="15.140625" style="344" customWidth="1"/>
    <col min="12553" max="12553" width="20.85546875" style="344" customWidth="1"/>
    <col min="12554" max="12554" width="21.28515625" style="344" customWidth="1"/>
    <col min="12555" max="12555" width="18" style="344" customWidth="1"/>
    <col min="12556" max="12556" width="22.5703125" style="344" customWidth="1"/>
    <col min="12557" max="12558" width="14.85546875" style="344" customWidth="1"/>
    <col min="12559" max="12796" width="9.140625" style="344"/>
    <col min="12797" max="12797" width="6.85546875" style="344" customWidth="1"/>
    <col min="12798" max="12798" width="7" style="344" customWidth="1"/>
    <col min="12799" max="12799" width="61.140625" style="344" customWidth="1"/>
    <col min="12800" max="12800" width="13.85546875" style="344" customWidth="1"/>
    <col min="12801" max="12801" width="20.85546875" style="344" customWidth="1"/>
    <col min="12802" max="12802" width="16.5703125" style="344" customWidth="1"/>
    <col min="12803" max="12803" width="18.7109375" style="344" customWidth="1"/>
    <col min="12804" max="12804" width="22.7109375" style="344" customWidth="1"/>
    <col min="12805" max="12805" width="23.42578125" style="344" customWidth="1"/>
    <col min="12806" max="12806" width="22.7109375" style="344" customWidth="1"/>
    <col min="12807" max="12807" width="30.5703125" style="344" customWidth="1"/>
    <col min="12808" max="12808" width="15.140625" style="344" customWidth="1"/>
    <col min="12809" max="12809" width="20.85546875" style="344" customWidth="1"/>
    <col min="12810" max="12810" width="21.28515625" style="344" customWidth="1"/>
    <col min="12811" max="12811" width="18" style="344" customWidth="1"/>
    <col min="12812" max="12812" width="22.5703125" style="344" customWidth="1"/>
    <col min="12813" max="12814" width="14.85546875" style="344" customWidth="1"/>
    <col min="12815" max="13052" width="9.140625" style="344"/>
    <col min="13053" max="13053" width="6.85546875" style="344" customWidth="1"/>
    <col min="13054" max="13054" width="7" style="344" customWidth="1"/>
    <col min="13055" max="13055" width="61.140625" style="344" customWidth="1"/>
    <col min="13056" max="13056" width="13.85546875" style="344" customWidth="1"/>
    <col min="13057" max="13057" width="20.85546875" style="344" customWidth="1"/>
    <col min="13058" max="13058" width="16.5703125" style="344" customWidth="1"/>
    <col min="13059" max="13059" width="18.7109375" style="344" customWidth="1"/>
    <col min="13060" max="13060" width="22.7109375" style="344" customWidth="1"/>
    <col min="13061" max="13061" width="23.42578125" style="344" customWidth="1"/>
    <col min="13062" max="13062" width="22.7109375" style="344" customWidth="1"/>
    <col min="13063" max="13063" width="30.5703125" style="344" customWidth="1"/>
    <col min="13064" max="13064" width="15.140625" style="344" customWidth="1"/>
    <col min="13065" max="13065" width="20.85546875" style="344" customWidth="1"/>
    <col min="13066" max="13066" width="21.28515625" style="344" customWidth="1"/>
    <col min="13067" max="13067" width="18" style="344" customWidth="1"/>
    <col min="13068" max="13068" width="22.5703125" style="344" customWidth="1"/>
    <col min="13069" max="13070" width="14.85546875" style="344" customWidth="1"/>
    <col min="13071" max="13308" width="9.140625" style="344"/>
    <col min="13309" max="13309" width="6.85546875" style="344" customWidth="1"/>
    <col min="13310" max="13310" width="7" style="344" customWidth="1"/>
    <col min="13311" max="13311" width="61.140625" style="344" customWidth="1"/>
    <col min="13312" max="13312" width="13.85546875" style="344" customWidth="1"/>
    <col min="13313" max="13313" width="20.85546875" style="344" customWidth="1"/>
    <col min="13314" max="13314" width="16.5703125" style="344" customWidth="1"/>
    <col min="13315" max="13315" width="18.7109375" style="344" customWidth="1"/>
    <col min="13316" max="13316" width="22.7109375" style="344" customWidth="1"/>
    <col min="13317" max="13317" width="23.42578125" style="344" customWidth="1"/>
    <col min="13318" max="13318" width="22.7109375" style="344" customWidth="1"/>
    <col min="13319" max="13319" width="30.5703125" style="344" customWidth="1"/>
    <col min="13320" max="13320" width="15.140625" style="344" customWidth="1"/>
    <col min="13321" max="13321" width="20.85546875" style="344" customWidth="1"/>
    <col min="13322" max="13322" width="21.28515625" style="344" customWidth="1"/>
    <col min="13323" max="13323" width="18" style="344" customWidth="1"/>
    <col min="13324" max="13324" width="22.5703125" style="344" customWidth="1"/>
    <col min="13325" max="13326" width="14.85546875" style="344" customWidth="1"/>
    <col min="13327" max="13564" width="9.140625" style="344"/>
    <col min="13565" max="13565" width="6.85546875" style="344" customWidth="1"/>
    <col min="13566" max="13566" width="7" style="344" customWidth="1"/>
    <col min="13567" max="13567" width="61.140625" style="344" customWidth="1"/>
    <col min="13568" max="13568" width="13.85546875" style="344" customWidth="1"/>
    <col min="13569" max="13569" width="20.85546875" style="344" customWidth="1"/>
    <col min="13570" max="13570" width="16.5703125" style="344" customWidth="1"/>
    <col min="13571" max="13571" width="18.7109375" style="344" customWidth="1"/>
    <col min="13572" max="13572" width="22.7109375" style="344" customWidth="1"/>
    <col min="13573" max="13573" width="23.42578125" style="344" customWidth="1"/>
    <col min="13574" max="13574" width="22.7109375" style="344" customWidth="1"/>
    <col min="13575" max="13575" width="30.5703125" style="344" customWidth="1"/>
    <col min="13576" max="13576" width="15.140625" style="344" customWidth="1"/>
    <col min="13577" max="13577" width="20.85546875" style="344" customWidth="1"/>
    <col min="13578" max="13578" width="21.28515625" style="344" customWidth="1"/>
    <col min="13579" max="13579" width="18" style="344" customWidth="1"/>
    <col min="13580" max="13580" width="22.5703125" style="344" customWidth="1"/>
    <col min="13581" max="13582" width="14.85546875" style="344" customWidth="1"/>
    <col min="13583" max="13820" width="9.140625" style="344"/>
    <col min="13821" max="13821" width="6.85546875" style="344" customWidth="1"/>
    <col min="13822" max="13822" width="7" style="344" customWidth="1"/>
    <col min="13823" max="13823" width="61.140625" style="344" customWidth="1"/>
    <col min="13824" max="13824" width="13.85546875" style="344" customWidth="1"/>
    <col min="13825" max="13825" width="20.85546875" style="344" customWidth="1"/>
    <col min="13826" max="13826" width="16.5703125" style="344" customWidth="1"/>
    <col min="13827" max="13827" width="18.7109375" style="344" customWidth="1"/>
    <col min="13828" max="13828" width="22.7109375" style="344" customWidth="1"/>
    <col min="13829" max="13829" width="23.42578125" style="344" customWidth="1"/>
    <col min="13830" max="13830" width="22.7109375" style="344" customWidth="1"/>
    <col min="13831" max="13831" width="30.5703125" style="344" customWidth="1"/>
    <col min="13832" max="13832" width="15.140625" style="344" customWidth="1"/>
    <col min="13833" max="13833" width="20.85546875" style="344" customWidth="1"/>
    <col min="13834" max="13834" width="21.28515625" style="344" customWidth="1"/>
    <col min="13835" max="13835" width="18" style="344" customWidth="1"/>
    <col min="13836" max="13836" width="22.5703125" style="344" customWidth="1"/>
    <col min="13837" max="13838" width="14.85546875" style="344" customWidth="1"/>
    <col min="13839" max="14076" width="9.140625" style="344"/>
    <col min="14077" max="14077" width="6.85546875" style="344" customWidth="1"/>
    <col min="14078" max="14078" width="7" style="344" customWidth="1"/>
    <col min="14079" max="14079" width="61.140625" style="344" customWidth="1"/>
    <col min="14080" max="14080" width="13.85546875" style="344" customWidth="1"/>
    <col min="14081" max="14081" width="20.85546875" style="344" customWidth="1"/>
    <col min="14082" max="14082" width="16.5703125" style="344" customWidth="1"/>
    <col min="14083" max="14083" width="18.7109375" style="344" customWidth="1"/>
    <col min="14084" max="14084" width="22.7109375" style="344" customWidth="1"/>
    <col min="14085" max="14085" width="23.42578125" style="344" customWidth="1"/>
    <col min="14086" max="14086" width="22.7109375" style="344" customWidth="1"/>
    <col min="14087" max="14087" width="30.5703125" style="344" customWidth="1"/>
    <col min="14088" max="14088" width="15.140625" style="344" customWidth="1"/>
    <col min="14089" max="14089" width="20.85546875" style="344" customWidth="1"/>
    <col min="14090" max="14090" width="21.28515625" style="344" customWidth="1"/>
    <col min="14091" max="14091" width="18" style="344" customWidth="1"/>
    <col min="14092" max="14092" width="22.5703125" style="344" customWidth="1"/>
    <col min="14093" max="14094" width="14.85546875" style="344" customWidth="1"/>
    <col min="14095" max="14332" width="9.140625" style="344"/>
    <col min="14333" max="14333" width="6.85546875" style="344" customWidth="1"/>
    <col min="14334" max="14334" width="7" style="344" customWidth="1"/>
    <col min="14335" max="14335" width="61.140625" style="344" customWidth="1"/>
    <col min="14336" max="14336" width="13.85546875" style="344" customWidth="1"/>
    <col min="14337" max="14337" width="20.85546875" style="344" customWidth="1"/>
    <col min="14338" max="14338" width="16.5703125" style="344" customWidth="1"/>
    <col min="14339" max="14339" width="18.7109375" style="344" customWidth="1"/>
    <col min="14340" max="14340" width="22.7109375" style="344" customWidth="1"/>
    <col min="14341" max="14341" width="23.42578125" style="344" customWidth="1"/>
    <col min="14342" max="14342" width="22.7109375" style="344" customWidth="1"/>
    <col min="14343" max="14343" width="30.5703125" style="344" customWidth="1"/>
    <col min="14344" max="14344" width="15.140625" style="344" customWidth="1"/>
    <col min="14345" max="14345" width="20.85546875" style="344" customWidth="1"/>
    <col min="14346" max="14346" width="21.28515625" style="344" customWidth="1"/>
    <col min="14347" max="14347" width="18" style="344" customWidth="1"/>
    <col min="14348" max="14348" width="22.5703125" style="344" customWidth="1"/>
    <col min="14349" max="14350" width="14.85546875" style="344" customWidth="1"/>
    <col min="14351" max="14588" width="9.140625" style="344"/>
    <col min="14589" max="14589" width="6.85546875" style="344" customWidth="1"/>
    <col min="14590" max="14590" width="7" style="344" customWidth="1"/>
    <col min="14591" max="14591" width="61.140625" style="344" customWidth="1"/>
    <col min="14592" max="14592" width="13.85546875" style="344" customWidth="1"/>
    <col min="14593" max="14593" width="20.85546875" style="344" customWidth="1"/>
    <col min="14594" max="14594" width="16.5703125" style="344" customWidth="1"/>
    <col min="14595" max="14595" width="18.7109375" style="344" customWidth="1"/>
    <col min="14596" max="14596" width="22.7109375" style="344" customWidth="1"/>
    <col min="14597" max="14597" width="23.42578125" style="344" customWidth="1"/>
    <col min="14598" max="14598" width="22.7109375" style="344" customWidth="1"/>
    <col min="14599" max="14599" width="30.5703125" style="344" customWidth="1"/>
    <col min="14600" max="14600" width="15.140625" style="344" customWidth="1"/>
    <col min="14601" max="14601" width="20.85546875" style="344" customWidth="1"/>
    <col min="14602" max="14602" width="21.28515625" style="344" customWidth="1"/>
    <col min="14603" max="14603" width="18" style="344" customWidth="1"/>
    <col min="14604" max="14604" width="22.5703125" style="344" customWidth="1"/>
    <col min="14605" max="14606" width="14.85546875" style="344" customWidth="1"/>
    <col min="14607" max="14844" width="9.140625" style="344"/>
    <col min="14845" max="14845" width="6.85546875" style="344" customWidth="1"/>
    <col min="14846" max="14846" width="7" style="344" customWidth="1"/>
    <col min="14847" max="14847" width="61.140625" style="344" customWidth="1"/>
    <col min="14848" max="14848" width="13.85546875" style="344" customWidth="1"/>
    <col min="14849" max="14849" width="20.85546875" style="344" customWidth="1"/>
    <col min="14850" max="14850" width="16.5703125" style="344" customWidth="1"/>
    <col min="14851" max="14851" width="18.7109375" style="344" customWidth="1"/>
    <col min="14852" max="14852" width="22.7109375" style="344" customWidth="1"/>
    <col min="14853" max="14853" width="23.42578125" style="344" customWidth="1"/>
    <col min="14854" max="14854" width="22.7109375" style="344" customWidth="1"/>
    <col min="14855" max="14855" width="30.5703125" style="344" customWidth="1"/>
    <col min="14856" max="14856" width="15.140625" style="344" customWidth="1"/>
    <col min="14857" max="14857" width="20.85546875" style="344" customWidth="1"/>
    <col min="14858" max="14858" width="21.28515625" style="344" customWidth="1"/>
    <col min="14859" max="14859" width="18" style="344" customWidth="1"/>
    <col min="14860" max="14860" width="22.5703125" style="344" customWidth="1"/>
    <col min="14861" max="14862" width="14.85546875" style="344" customWidth="1"/>
    <col min="14863" max="15100" width="9.140625" style="344"/>
    <col min="15101" max="15101" width="6.85546875" style="344" customWidth="1"/>
    <col min="15102" max="15102" width="7" style="344" customWidth="1"/>
    <col min="15103" max="15103" width="61.140625" style="344" customWidth="1"/>
    <col min="15104" max="15104" width="13.85546875" style="344" customWidth="1"/>
    <col min="15105" max="15105" width="20.85546875" style="344" customWidth="1"/>
    <col min="15106" max="15106" width="16.5703125" style="344" customWidth="1"/>
    <col min="15107" max="15107" width="18.7109375" style="344" customWidth="1"/>
    <col min="15108" max="15108" width="22.7109375" style="344" customWidth="1"/>
    <col min="15109" max="15109" width="23.42578125" style="344" customWidth="1"/>
    <col min="15110" max="15110" width="22.7109375" style="344" customWidth="1"/>
    <col min="15111" max="15111" width="30.5703125" style="344" customWidth="1"/>
    <col min="15112" max="15112" width="15.140625" style="344" customWidth="1"/>
    <col min="15113" max="15113" width="20.85546875" style="344" customWidth="1"/>
    <col min="15114" max="15114" width="21.28515625" style="344" customWidth="1"/>
    <col min="15115" max="15115" width="18" style="344" customWidth="1"/>
    <col min="15116" max="15116" width="22.5703125" style="344" customWidth="1"/>
    <col min="15117" max="15118" width="14.85546875" style="344" customWidth="1"/>
    <col min="15119" max="15356" width="9.140625" style="344"/>
    <col min="15357" max="15357" width="6.85546875" style="344" customWidth="1"/>
    <col min="15358" max="15358" width="7" style="344" customWidth="1"/>
    <col min="15359" max="15359" width="61.140625" style="344" customWidth="1"/>
    <col min="15360" max="15360" width="13.85546875" style="344" customWidth="1"/>
    <col min="15361" max="15361" width="20.85546875" style="344" customWidth="1"/>
    <col min="15362" max="15362" width="16.5703125" style="344" customWidth="1"/>
    <col min="15363" max="15363" width="18.7109375" style="344" customWidth="1"/>
    <col min="15364" max="15364" width="22.7109375" style="344" customWidth="1"/>
    <col min="15365" max="15365" width="23.42578125" style="344" customWidth="1"/>
    <col min="15366" max="15366" width="22.7109375" style="344" customWidth="1"/>
    <col min="15367" max="15367" width="30.5703125" style="344" customWidth="1"/>
    <col min="15368" max="15368" width="15.140625" style="344" customWidth="1"/>
    <col min="15369" max="15369" width="20.85546875" style="344" customWidth="1"/>
    <col min="15370" max="15370" width="21.28515625" style="344" customWidth="1"/>
    <col min="15371" max="15371" width="18" style="344" customWidth="1"/>
    <col min="15372" max="15372" width="22.5703125" style="344" customWidth="1"/>
    <col min="15373" max="15374" width="14.85546875" style="344" customWidth="1"/>
    <col min="15375" max="15612" width="9.140625" style="344"/>
    <col min="15613" max="15613" width="6.85546875" style="344" customWidth="1"/>
    <col min="15614" max="15614" width="7" style="344" customWidth="1"/>
    <col min="15615" max="15615" width="61.140625" style="344" customWidth="1"/>
    <col min="15616" max="15616" width="13.85546875" style="344" customWidth="1"/>
    <col min="15617" max="15617" width="20.85546875" style="344" customWidth="1"/>
    <col min="15618" max="15618" width="16.5703125" style="344" customWidth="1"/>
    <col min="15619" max="15619" width="18.7109375" style="344" customWidth="1"/>
    <col min="15620" max="15620" width="22.7109375" style="344" customWidth="1"/>
    <col min="15621" max="15621" width="23.42578125" style="344" customWidth="1"/>
    <col min="15622" max="15622" width="22.7109375" style="344" customWidth="1"/>
    <col min="15623" max="15623" width="30.5703125" style="344" customWidth="1"/>
    <col min="15624" max="15624" width="15.140625" style="344" customWidth="1"/>
    <col min="15625" max="15625" width="20.85546875" style="344" customWidth="1"/>
    <col min="15626" max="15626" width="21.28515625" style="344" customWidth="1"/>
    <col min="15627" max="15627" width="18" style="344" customWidth="1"/>
    <col min="15628" max="15628" width="22.5703125" style="344" customWidth="1"/>
    <col min="15629" max="15630" width="14.85546875" style="344" customWidth="1"/>
    <col min="15631" max="15868" width="9.140625" style="344"/>
    <col min="15869" max="15869" width="6.85546875" style="344" customWidth="1"/>
    <col min="15870" max="15870" width="7" style="344" customWidth="1"/>
    <col min="15871" max="15871" width="61.140625" style="344" customWidth="1"/>
    <col min="15872" max="15872" width="13.85546875" style="344" customWidth="1"/>
    <col min="15873" max="15873" width="20.85546875" style="344" customWidth="1"/>
    <col min="15874" max="15874" width="16.5703125" style="344" customWidth="1"/>
    <col min="15875" max="15875" width="18.7109375" style="344" customWidth="1"/>
    <col min="15876" max="15876" width="22.7109375" style="344" customWidth="1"/>
    <col min="15877" max="15877" width="23.42578125" style="344" customWidth="1"/>
    <col min="15878" max="15878" width="22.7109375" style="344" customWidth="1"/>
    <col min="15879" max="15879" width="30.5703125" style="344" customWidth="1"/>
    <col min="15880" max="15880" width="15.140625" style="344" customWidth="1"/>
    <col min="15881" max="15881" width="20.85546875" style="344" customWidth="1"/>
    <col min="15882" max="15882" width="21.28515625" style="344" customWidth="1"/>
    <col min="15883" max="15883" width="18" style="344" customWidth="1"/>
    <col min="15884" max="15884" width="22.5703125" style="344" customWidth="1"/>
    <col min="15885" max="15886" width="14.85546875" style="344" customWidth="1"/>
    <col min="15887" max="16124" width="9.140625" style="344"/>
    <col min="16125" max="16125" width="6.85546875" style="344" customWidth="1"/>
    <col min="16126" max="16126" width="7" style="344" customWidth="1"/>
    <col min="16127" max="16127" width="61.140625" style="344" customWidth="1"/>
    <col min="16128" max="16128" width="13.85546875" style="344" customWidth="1"/>
    <col min="16129" max="16129" width="20.85546875" style="344" customWidth="1"/>
    <col min="16130" max="16130" width="16.5703125" style="344" customWidth="1"/>
    <col min="16131" max="16131" width="18.7109375" style="344" customWidth="1"/>
    <col min="16132" max="16132" width="22.7109375" style="344" customWidth="1"/>
    <col min="16133" max="16133" width="23.42578125" style="344" customWidth="1"/>
    <col min="16134" max="16134" width="22.7109375" style="344" customWidth="1"/>
    <col min="16135" max="16135" width="30.5703125" style="344" customWidth="1"/>
    <col min="16136" max="16136" width="15.140625" style="344" customWidth="1"/>
    <col min="16137" max="16137" width="20.85546875" style="344" customWidth="1"/>
    <col min="16138" max="16138" width="21.28515625" style="344" customWidth="1"/>
    <col min="16139" max="16139" width="18" style="344" customWidth="1"/>
    <col min="16140" max="16140" width="22.5703125" style="344" customWidth="1"/>
    <col min="16141" max="16142" width="14.85546875" style="344" customWidth="1"/>
    <col min="16143" max="16384" width="9.140625" style="344"/>
  </cols>
  <sheetData>
    <row r="3" spans="2:13">
      <c r="B3" s="5443" t="s">
        <v>100</v>
      </c>
      <c r="C3" s="5443"/>
      <c r="D3" s="5443"/>
      <c r="E3" s="5443"/>
      <c r="F3" s="5443"/>
      <c r="G3" s="5443"/>
      <c r="H3" s="5443"/>
      <c r="I3" s="874"/>
      <c r="J3" s="874"/>
      <c r="K3" s="874"/>
      <c r="L3" s="874"/>
      <c r="M3" s="874"/>
    </row>
    <row r="4" spans="2:13">
      <c r="B4" s="5381" t="s">
        <v>3915</v>
      </c>
      <c r="C4" s="5381"/>
      <c r="D4" s="5381"/>
      <c r="E4" s="5381"/>
      <c r="F4" s="5381"/>
      <c r="G4" s="5381"/>
      <c r="H4" s="5381"/>
      <c r="I4" s="259"/>
      <c r="J4" s="259"/>
      <c r="K4" s="259"/>
      <c r="L4" s="259"/>
      <c r="M4" s="259"/>
    </row>
    <row r="5" spans="2:13" s="346" customFormat="1">
      <c r="B5" s="5776" t="s">
        <v>3504</v>
      </c>
      <c r="C5" s="5776"/>
      <c r="D5" s="5776"/>
      <c r="E5" s="5776"/>
      <c r="F5" s="5776"/>
      <c r="G5" s="5776"/>
      <c r="H5" s="5776"/>
      <c r="I5" s="345"/>
      <c r="J5" s="345"/>
      <c r="K5" s="345"/>
      <c r="L5" s="345"/>
      <c r="M5" s="345"/>
    </row>
    <row r="6" spans="2:13" s="346" customFormat="1">
      <c r="B6" s="3530"/>
      <c r="C6" s="3530"/>
      <c r="D6" s="3530"/>
      <c r="E6" s="3530"/>
      <c r="F6" s="3530"/>
      <c r="G6" s="345"/>
      <c r="H6" s="345"/>
      <c r="I6" s="345"/>
      <c r="J6" s="345"/>
    </row>
    <row r="7" spans="2:13" s="346" customFormat="1" hidden="1">
      <c r="B7" s="3530"/>
      <c r="C7" s="3530"/>
      <c r="D7" s="3530"/>
      <c r="E7" s="3530"/>
      <c r="F7" s="3530"/>
      <c r="G7" s="345"/>
      <c r="H7" s="345"/>
      <c r="I7" s="345"/>
      <c r="J7" s="345"/>
    </row>
    <row r="8" spans="2:13" hidden="1">
      <c r="B8" s="347" t="s">
        <v>551</v>
      </c>
      <c r="F8" s="3536" t="s">
        <v>151</v>
      </c>
    </row>
    <row r="9" spans="2:13" ht="16.5" hidden="1" thickBot="1">
      <c r="B9" s="347"/>
      <c r="F9" s="3536"/>
    </row>
    <row r="10" spans="2:13" ht="21.75" hidden="1" customHeight="1">
      <c r="B10" s="5782" t="s">
        <v>101</v>
      </c>
      <c r="C10" s="5754" t="s">
        <v>552</v>
      </c>
      <c r="D10" s="5754" t="s">
        <v>1897</v>
      </c>
      <c r="E10" s="5767" t="s">
        <v>1845</v>
      </c>
      <c r="F10" s="5768"/>
      <c r="G10" s="1334"/>
      <c r="H10" s="5315"/>
      <c r="I10" s="5759"/>
      <c r="J10" s="5759"/>
      <c r="K10" s="1334"/>
    </row>
    <row r="11" spans="2:13" ht="38.25" hidden="1" customHeight="1">
      <c r="B11" s="5783"/>
      <c r="C11" s="5755"/>
      <c r="D11" s="5755"/>
      <c r="E11" s="1961" t="s">
        <v>755</v>
      </c>
      <c r="F11" s="3531" t="s">
        <v>1834</v>
      </c>
      <c r="G11" s="3516"/>
      <c r="H11" s="5315"/>
      <c r="I11" s="5759"/>
      <c r="J11" s="5759"/>
      <c r="K11" s="1335"/>
    </row>
    <row r="12" spans="2:13" hidden="1">
      <c r="B12" s="1031"/>
      <c r="C12" s="361" t="s">
        <v>459</v>
      </c>
      <c r="D12" s="361"/>
      <c r="E12" s="5756"/>
      <c r="F12" s="1397"/>
      <c r="G12" s="136"/>
      <c r="H12" s="136"/>
      <c r="I12" s="1335"/>
      <c r="J12" s="1276"/>
      <c r="K12" s="1274"/>
    </row>
    <row r="13" spans="2:13" hidden="1">
      <c r="B13" s="1025">
        <v>1</v>
      </c>
      <c r="C13" s="4169" t="s">
        <v>461</v>
      </c>
      <c r="D13" s="3514">
        <v>0</v>
      </c>
      <c r="E13" s="5757"/>
      <c r="F13" s="1032">
        <f>'LoanDetails 2012-13'!J16</f>
        <v>0</v>
      </c>
      <c r="G13" s="136"/>
      <c r="H13" s="136"/>
      <c r="I13" s="1335"/>
      <c r="J13" s="1276"/>
      <c r="K13" s="1274"/>
    </row>
    <row r="14" spans="2:13" hidden="1">
      <c r="B14" s="1025">
        <f>B13+1</f>
        <v>2</v>
      </c>
      <c r="C14" s="4169" t="s">
        <v>462</v>
      </c>
      <c r="D14" s="3514">
        <v>0</v>
      </c>
      <c r="E14" s="5757"/>
      <c r="F14" s="1032">
        <f>'LoanDetails 2012-13'!J17</f>
        <v>0</v>
      </c>
      <c r="G14" s="136"/>
      <c r="H14" s="136"/>
      <c r="I14" s="1335"/>
      <c r="J14" s="1276"/>
      <c r="K14" s="1274"/>
    </row>
    <row r="15" spans="2:13" hidden="1">
      <c r="B15" s="1025">
        <f t="shared" ref="B15:B39" si="0">B14+1</f>
        <v>3</v>
      </c>
      <c r="C15" s="4169" t="s">
        <v>463</v>
      </c>
      <c r="D15" s="3514">
        <v>0</v>
      </c>
      <c r="E15" s="5757"/>
      <c r="F15" s="1032">
        <f>'LoanDetails 2012-13'!J18</f>
        <v>0</v>
      </c>
      <c r="G15" s="136"/>
      <c r="H15" s="136"/>
      <c r="I15" s="1335"/>
      <c r="J15" s="1276"/>
      <c r="K15" s="1274"/>
    </row>
    <row r="16" spans="2:13" hidden="1">
      <c r="B16" s="1025">
        <f t="shared" si="0"/>
        <v>4</v>
      </c>
      <c r="C16" s="4169" t="s">
        <v>464</v>
      </c>
      <c r="D16" s="3514">
        <v>0.5</v>
      </c>
      <c r="E16" s="5757"/>
      <c r="F16" s="1032">
        <f>'LoanDetails 2012-13'!J19</f>
        <v>0</v>
      </c>
      <c r="G16" s="136"/>
      <c r="H16" s="136"/>
      <c r="I16" s="1335"/>
      <c r="J16" s="1345"/>
      <c r="K16" s="1274"/>
    </row>
    <row r="17" spans="2:11" hidden="1">
      <c r="B17" s="1025">
        <f t="shared" si="0"/>
        <v>5</v>
      </c>
      <c r="C17" s="350"/>
      <c r="D17" s="3515"/>
      <c r="E17" s="5757"/>
      <c r="F17" s="1032">
        <f>'LoanDetails 2012-13'!J20</f>
        <v>0</v>
      </c>
      <c r="G17" s="136"/>
      <c r="H17" s="136"/>
      <c r="I17" s="1335"/>
      <c r="J17" s="1345"/>
      <c r="K17" s="1274"/>
    </row>
    <row r="18" spans="2:11" hidden="1">
      <c r="B18" s="1025">
        <f t="shared" si="0"/>
        <v>6</v>
      </c>
      <c r="C18" s="350" t="s">
        <v>465</v>
      </c>
      <c r="D18" s="3515"/>
      <c r="E18" s="5757"/>
      <c r="F18" s="1032">
        <f>'LoanDetails 2012-13'!J21</f>
        <v>0</v>
      </c>
      <c r="G18" s="136"/>
      <c r="H18" s="136"/>
      <c r="I18" s="1335"/>
      <c r="J18" s="1345"/>
      <c r="K18" s="1274"/>
    </row>
    <row r="19" spans="2:11" hidden="1">
      <c r="B19" s="1025">
        <f t="shared" si="0"/>
        <v>7</v>
      </c>
      <c r="C19" s="350" t="s">
        <v>466</v>
      </c>
      <c r="D19" s="3515"/>
      <c r="E19" s="5757"/>
      <c r="F19" s="1032">
        <f>'LoanDetails 2012-13'!J22</f>
        <v>0</v>
      </c>
      <c r="G19" s="136"/>
      <c r="H19" s="136"/>
      <c r="I19" s="1335"/>
      <c r="J19" s="1346"/>
      <c r="K19" s="1274"/>
    </row>
    <row r="20" spans="2:11" ht="31.5" hidden="1">
      <c r="B20" s="1025">
        <f t="shared" si="0"/>
        <v>8</v>
      </c>
      <c r="C20" s="352" t="s">
        <v>467</v>
      </c>
      <c r="D20" s="1333"/>
      <c r="E20" s="5757"/>
      <c r="F20" s="1032">
        <f>'LoanDetails 2012-13'!J23</f>
        <v>0</v>
      </c>
      <c r="G20" s="136"/>
      <c r="H20" s="136"/>
      <c r="I20" s="1335"/>
      <c r="J20" s="1345"/>
      <c r="K20" s="1274"/>
    </row>
    <row r="21" spans="2:11" hidden="1">
      <c r="B21" s="1025">
        <f t="shared" si="0"/>
        <v>9</v>
      </c>
      <c r="C21" s="350"/>
      <c r="D21" s="3515"/>
      <c r="E21" s="5757"/>
      <c r="F21" s="1032">
        <f>'LoanDetails 2012-13'!J24</f>
        <v>0</v>
      </c>
      <c r="G21" s="136"/>
      <c r="H21" s="136"/>
      <c r="I21" s="1335"/>
      <c r="J21" s="1345"/>
      <c r="K21" s="1274"/>
    </row>
    <row r="22" spans="2:11" hidden="1">
      <c r="B22" s="1025">
        <f t="shared" si="0"/>
        <v>10</v>
      </c>
      <c r="C22" s="350" t="s">
        <v>468</v>
      </c>
      <c r="D22" s="3514">
        <v>1.7600000000000002</v>
      </c>
      <c r="E22" s="5757"/>
      <c r="F22" s="1029">
        <f>'LoanDetails 2012-13'!J25</f>
        <v>1.44</v>
      </c>
      <c r="G22" s="136"/>
      <c r="H22" s="136"/>
      <c r="I22" s="1335"/>
      <c r="J22" s="1345"/>
      <c r="K22" s="1274"/>
    </row>
    <row r="23" spans="2:11" hidden="1">
      <c r="B23" s="1025">
        <f t="shared" si="0"/>
        <v>11</v>
      </c>
      <c r="C23" s="1342" t="s">
        <v>471</v>
      </c>
      <c r="D23" s="3514">
        <v>0</v>
      </c>
      <c r="E23" s="5757"/>
      <c r="F23" s="1032" t="str">
        <f>'LoanDetails 2012-13'!J26</f>
        <v xml:space="preserve"> </v>
      </c>
      <c r="G23" s="136"/>
      <c r="H23" s="136"/>
      <c r="I23" s="1335"/>
      <c r="J23" s="1345"/>
      <c r="K23" s="1274"/>
    </row>
    <row r="24" spans="2:11" hidden="1">
      <c r="B24" s="1025">
        <f t="shared" si="0"/>
        <v>12</v>
      </c>
      <c r="C24" s="350" t="s">
        <v>469</v>
      </c>
      <c r="D24" s="3512">
        <f>'LoanDetails 2012-13'!H27</f>
        <v>18.989999999999998</v>
      </c>
      <c r="E24" s="5757"/>
      <c r="F24" s="1029">
        <f>'LoanDetails 2012-13'!J27</f>
        <v>18.989999999999998</v>
      </c>
      <c r="G24" s="136"/>
      <c r="H24" s="136"/>
      <c r="I24" s="1335"/>
      <c r="J24" s="1345"/>
      <c r="K24" s="1274"/>
    </row>
    <row r="25" spans="2:11" hidden="1">
      <c r="B25" s="1025">
        <f t="shared" si="0"/>
        <v>13</v>
      </c>
      <c r="C25" s="350" t="s">
        <v>469</v>
      </c>
      <c r="D25" s="3512">
        <f>'LoanDetails 2012-13'!H28</f>
        <v>18.989999999999998</v>
      </c>
      <c r="E25" s="5757"/>
      <c r="F25" s="1029">
        <f>'LoanDetails 2012-13'!J28</f>
        <v>18.989999999999998</v>
      </c>
      <c r="G25" s="136"/>
      <c r="H25" s="136"/>
      <c r="I25" s="1335"/>
      <c r="J25" s="1345"/>
      <c r="K25" s="1274"/>
    </row>
    <row r="26" spans="2:11" hidden="1">
      <c r="B26" s="1025">
        <f t="shared" si="0"/>
        <v>14</v>
      </c>
      <c r="C26" s="1342" t="s">
        <v>1899</v>
      </c>
      <c r="D26" s="3514">
        <v>0</v>
      </c>
      <c r="E26" s="5757"/>
      <c r="F26" s="1032">
        <f>'LoanDetails 2012-13'!J29</f>
        <v>0</v>
      </c>
      <c r="G26" s="136"/>
      <c r="H26" s="136"/>
      <c r="I26" s="1335"/>
      <c r="J26" s="1345"/>
      <c r="K26" s="1274"/>
    </row>
    <row r="27" spans="2:11" hidden="1">
      <c r="B27" s="1025">
        <f t="shared" si="0"/>
        <v>15</v>
      </c>
      <c r="C27" s="350" t="s">
        <v>470</v>
      </c>
      <c r="D27" s="3515"/>
      <c r="E27" s="5757"/>
      <c r="F27" s="1032">
        <f>'LoanDetails 2012-13'!J30</f>
        <v>0</v>
      </c>
      <c r="G27" s="136"/>
      <c r="H27" s="136"/>
      <c r="I27" s="1335"/>
      <c r="J27" s="1345"/>
      <c r="K27" s="1274"/>
    </row>
    <row r="28" spans="2:11" hidden="1">
      <c r="B28" s="1025">
        <f t="shared" si="0"/>
        <v>16</v>
      </c>
      <c r="C28" s="350" t="s">
        <v>472</v>
      </c>
      <c r="D28" s="3514">
        <v>0</v>
      </c>
      <c r="E28" s="5757"/>
      <c r="F28" s="1032">
        <f>'LoanDetails 2012-13'!J31</f>
        <v>0</v>
      </c>
      <c r="G28" s="136"/>
      <c r="H28" s="136"/>
      <c r="I28" s="1335"/>
      <c r="J28" s="1345"/>
      <c r="K28" s="1274"/>
    </row>
    <row r="29" spans="2:11" hidden="1">
      <c r="B29" s="1025">
        <f t="shared" si="0"/>
        <v>17</v>
      </c>
      <c r="C29" s="350" t="s">
        <v>473</v>
      </c>
      <c r="D29" s="3514">
        <v>0</v>
      </c>
      <c r="E29" s="5757"/>
      <c r="F29" s="1032">
        <f>'LoanDetails 2012-13'!J32</f>
        <v>0</v>
      </c>
      <c r="G29" s="136"/>
      <c r="H29" s="136"/>
      <c r="I29" s="1335"/>
      <c r="J29" s="1345"/>
      <c r="K29" s="1274"/>
    </row>
    <row r="30" spans="2:11" hidden="1">
      <c r="B30" s="1025">
        <f t="shared" si="0"/>
        <v>18</v>
      </c>
      <c r="C30" s="350" t="s">
        <v>528</v>
      </c>
      <c r="D30" s="3514">
        <v>0</v>
      </c>
      <c r="E30" s="5757"/>
      <c r="F30" s="1032">
        <f>'LoanDetails 2012-13'!J33</f>
        <v>0</v>
      </c>
      <c r="G30" s="136"/>
      <c r="H30" s="136"/>
      <c r="I30" s="1335"/>
      <c r="J30" s="1345"/>
      <c r="K30" s="1274"/>
    </row>
    <row r="31" spans="2:11" hidden="1">
      <c r="B31" s="1025">
        <f t="shared" si="0"/>
        <v>19</v>
      </c>
      <c r="C31" s="350" t="s">
        <v>529</v>
      </c>
      <c r="D31" s="3514">
        <v>0</v>
      </c>
      <c r="E31" s="5757"/>
      <c r="F31" s="1032">
        <f>'LoanDetails 2012-13'!J34</f>
        <v>0</v>
      </c>
      <c r="G31" s="136"/>
      <c r="H31" s="136"/>
      <c r="I31" s="1335"/>
      <c r="J31" s="1345"/>
      <c r="K31" s="1274"/>
    </row>
    <row r="32" spans="2:11" hidden="1">
      <c r="B32" s="1025">
        <f t="shared" si="0"/>
        <v>20</v>
      </c>
      <c r="C32" s="350" t="s">
        <v>530</v>
      </c>
      <c r="D32" s="3514">
        <v>0</v>
      </c>
      <c r="E32" s="5757"/>
      <c r="F32" s="1032">
        <f>'LoanDetails 2012-13'!J35</f>
        <v>0</v>
      </c>
      <c r="G32" s="136"/>
      <c r="H32" s="136"/>
      <c r="I32" s="1335"/>
      <c r="J32" s="1345"/>
      <c r="K32" s="1274"/>
    </row>
    <row r="33" spans="2:11" hidden="1">
      <c r="B33" s="1025">
        <f t="shared" si="0"/>
        <v>21</v>
      </c>
      <c r="C33" s="350" t="s">
        <v>531</v>
      </c>
      <c r="D33" s="3514">
        <v>0</v>
      </c>
      <c r="E33" s="5757"/>
      <c r="F33" s="1032">
        <f>'LoanDetails 2012-13'!J36</f>
        <v>0</v>
      </c>
      <c r="G33" s="136"/>
      <c r="H33" s="136"/>
      <c r="I33" s="1335"/>
      <c r="J33" s="1345"/>
      <c r="K33" s="1274"/>
    </row>
    <row r="34" spans="2:11" hidden="1">
      <c r="B34" s="1025">
        <f t="shared" si="0"/>
        <v>22</v>
      </c>
      <c r="C34" s="350" t="s">
        <v>532</v>
      </c>
      <c r="D34" s="3515"/>
      <c r="E34" s="5757"/>
      <c r="F34" s="1032">
        <f>'LoanDetails 2012-13'!J37</f>
        <v>0</v>
      </c>
      <c r="G34" s="136"/>
      <c r="H34" s="136"/>
      <c r="I34" s="1335"/>
      <c r="J34" s="1345"/>
      <c r="K34" s="1274"/>
    </row>
    <row r="35" spans="2:11" hidden="1">
      <c r="B35" s="1025">
        <f t="shared" si="0"/>
        <v>23</v>
      </c>
      <c r="C35" s="350" t="s">
        <v>533</v>
      </c>
      <c r="D35" s="3515"/>
      <c r="E35" s="5757"/>
      <c r="F35" s="1032">
        <f>'LoanDetails 2012-13'!J38</f>
        <v>0</v>
      </c>
      <c r="G35" s="136"/>
      <c r="H35" s="136"/>
      <c r="I35" s="1335"/>
      <c r="J35" s="1345"/>
      <c r="K35" s="1274"/>
    </row>
    <row r="36" spans="2:11" hidden="1">
      <c r="B36" s="1025">
        <f t="shared" si="0"/>
        <v>24</v>
      </c>
      <c r="C36" s="350" t="s">
        <v>534</v>
      </c>
      <c r="D36" s="3514">
        <v>115.16</v>
      </c>
      <c r="E36" s="5757"/>
      <c r="F36" s="1029">
        <f>'LoanDetails 2012-13'!J39</f>
        <v>0</v>
      </c>
      <c r="G36" s="136"/>
      <c r="H36" s="136"/>
      <c r="I36" s="1335"/>
      <c r="J36" s="1276"/>
      <c r="K36" s="1274"/>
    </row>
    <row r="37" spans="2:11" hidden="1">
      <c r="B37" s="1025">
        <f t="shared" si="0"/>
        <v>25</v>
      </c>
      <c r="C37" s="350" t="s">
        <v>535</v>
      </c>
      <c r="D37" s="3514">
        <v>26.9</v>
      </c>
      <c r="E37" s="5757"/>
      <c r="F37" s="1029">
        <f>'LoanDetails 2012-13'!J40</f>
        <v>0</v>
      </c>
      <c r="G37" s="136"/>
      <c r="H37" s="136"/>
      <c r="I37" s="1335"/>
      <c r="J37" s="1270"/>
      <c r="K37" s="1274"/>
    </row>
    <row r="38" spans="2:11" hidden="1">
      <c r="B38" s="1025">
        <f t="shared" si="0"/>
        <v>26</v>
      </c>
      <c r="C38" s="350" t="s">
        <v>536</v>
      </c>
      <c r="D38" s="3515"/>
      <c r="E38" s="5757"/>
      <c r="F38" s="1032">
        <f>'LoanDetails 2012-13'!J41</f>
        <v>0</v>
      </c>
      <c r="G38" s="136"/>
      <c r="H38" s="136"/>
      <c r="I38" s="1335"/>
      <c r="J38" s="1347"/>
      <c r="K38" s="1274"/>
    </row>
    <row r="39" spans="2:11" hidden="1">
      <c r="B39" s="1025">
        <f t="shared" si="0"/>
        <v>27</v>
      </c>
      <c r="C39" s="350" t="s">
        <v>537</v>
      </c>
      <c r="D39" s="3515"/>
      <c r="E39" s="5758"/>
      <c r="F39" s="1029">
        <f>'LoanDetails 2012-13'!J42</f>
        <v>67.45</v>
      </c>
      <c r="G39" s="136"/>
      <c r="H39" s="136"/>
      <c r="I39" s="1335"/>
      <c r="J39" s="1347"/>
      <c r="K39" s="1274"/>
    </row>
    <row r="40" spans="2:11" ht="16.5" hidden="1" thickBot="1">
      <c r="B40" s="1033"/>
      <c r="C40" s="1398" t="s">
        <v>485</v>
      </c>
      <c r="D40" s="1399">
        <f>SUM(D13:D39)</f>
        <v>182.29999999999998</v>
      </c>
      <c r="E40" s="1399">
        <v>168.32</v>
      </c>
      <c r="F40" s="1400">
        <f>SUM(F13:F39)</f>
        <v>106.87</v>
      </c>
      <c r="G40" s="136"/>
      <c r="H40" s="136"/>
      <c r="K40" s="344" t="s">
        <v>94</v>
      </c>
    </row>
    <row r="41" spans="2:11" hidden="1"/>
    <row r="42" spans="2:11" hidden="1"/>
    <row r="43" spans="2:11" hidden="1">
      <c r="B43" s="347"/>
    </row>
    <row r="44" spans="2:11" hidden="1">
      <c r="B44" s="355" t="s">
        <v>556</v>
      </c>
      <c r="D44" s="355"/>
      <c r="E44" s="355"/>
    </row>
    <row r="45" spans="2:11" ht="16.5" hidden="1" thickBot="1">
      <c r="C45" s="355"/>
      <c r="D45" s="355"/>
      <c r="E45" s="355"/>
      <c r="F45" s="355"/>
      <c r="G45" s="251" t="s">
        <v>151</v>
      </c>
      <c r="H45" s="355"/>
    </row>
    <row r="46" spans="2:11" hidden="1">
      <c r="B46" s="5778" t="s">
        <v>555</v>
      </c>
      <c r="C46" s="5780" t="s">
        <v>552</v>
      </c>
      <c r="D46" s="5765" t="s">
        <v>1897</v>
      </c>
      <c r="E46" s="3517" t="s">
        <v>82</v>
      </c>
      <c r="F46" s="3517" t="s">
        <v>82</v>
      </c>
      <c r="G46" s="3759" t="s">
        <v>1845</v>
      </c>
      <c r="H46" s="5331"/>
      <c r="I46" s="5763"/>
      <c r="J46" s="5763"/>
      <c r="K46" s="1334"/>
    </row>
    <row r="47" spans="2:11" hidden="1">
      <c r="B47" s="5779"/>
      <c r="C47" s="5781"/>
      <c r="D47" s="5766"/>
      <c r="E47" s="3511" t="s">
        <v>687</v>
      </c>
      <c r="F47" s="1372" t="s">
        <v>758</v>
      </c>
      <c r="G47" s="1372" t="s">
        <v>758</v>
      </c>
      <c r="H47" s="5332"/>
      <c r="I47" s="5763"/>
      <c r="J47" s="5763"/>
      <c r="K47" s="5763"/>
    </row>
    <row r="48" spans="2:11" hidden="1">
      <c r="B48" s="1031"/>
      <c r="C48" s="269"/>
      <c r="D48" s="267"/>
      <c r="E48" s="5752"/>
      <c r="F48" s="142"/>
      <c r="G48" s="1397"/>
      <c r="H48" s="136"/>
      <c r="I48" s="5764"/>
      <c r="J48" s="5764"/>
      <c r="K48" s="5763"/>
    </row>
    <row r="49" spans="2:11" hidden="1">
      <c r="B49" s="1025">
        <v>1</v>
      </c>
      <c r="C49" s="269" t="s">
        <v>461</v>
      </c>
      <c r="D49" s="5760">
        <v>0.06</v>
      </c>
      <c r="E49" s="5752"/>
      <c r="F49" s="3470">
        <f>'Interest Charges_2012-13'!L9</f>
        <v>0</v>
      </c>
      <c r="G49" s="3760">
        <f>'Interest Charges_2012-13'!M9</f>
        <v>0</v>
      </c>
      <c r="H49" s="5333"/>
      <c r="I49" s="1274"/>
      <c r="J49" s="267"/>
      <c r="K49" s="1274"/>
    </row>
    <row r="50" spans="2:11" hidden="1">
      <c r="B50" s="1025">
        <f>B49+1</f>
        <v>2</v>
      </c>
      <c r="C50" s="269" t="s">
        <v>462</v>
      </c>
      <c r="D50" s="5761"/>
      <c r="E50" s="5752"/>
      <c r="F50" s="3470">
        <f>'Interest Charges_2012-13'!L10</f>
        <v>0</v>
      </c>
      <c r="G50" s="3760">
        <f>'Interest Charges_2012-13'!M10</f>
        <v>0</v>
      </c>
      <c r="H50" s="5333"/>
      <c r="I50" s="1335"/>
      <c r="J50" s="267"/>
      <c r="K50" s="5751"/>
    </row>
    <row r="51" spans="2:11" hidden="1">
      <c r="B51" s="1025">
        <f t="shared" ref="B51:B76" si="1">B50+1</f>
        <v>3</v>
      </c>
      <c r="C51" s="269" t="s">
        <v>463</v>
      </c>
      <c r="D51" s="5761"/>
      <c r="E51" s="5752"/>
      <c r="F51" s="3470">
        <f>'Interest Charges_2012-13'!L11</f>
        <v>0</v>
      </c>
      <c r="G51" s="3760">
        <f>'Interest Charges_2012-13'!M11</f>
        <v>0</v>
      </c>
      <c r="H51" s="5333"/>
      <c r="I51" s="1335"/>
      <c r="J51" s="267"/>
      <c r="K51" s="5751"/>
    </row>
    <row r="52" spans="2:11" hidden="1">
      <c r="B52" s="1025">
        <f t="shared" si="1"/>
        <v>4</v>
      </c>
      <c r="C52" s="269" t="s">
        <v>464</v>
      </c>
      <c r="D52" s="5762"/>
      <c r="E52" s="5752"/>
      <c r="F52" s="3470">
        <f>'Interest Charges_2012-13'!L12</f>
        <v>0</v>
      </c>
      <c r="G52" s="3760">
        <f>'Interest Charges_2012-13'!M12</f>
        <v>0</v>
      </c>
      <c r="H52" s="5333"/>
      <c r="I52" s="1335"/>
      <c r="J52" s="267"/>
      <c r="K52" s="5751"/>
    </row>
    <row r="53" spans="2:11" hidden="1">
      <c r="B53" s="1025">
        <f t="shared" si="1"/>
        <v>5</v>
      </c>
      <c r="C53" s="350" t="s">
        <v>465</v>
      </c>
      <c r="D53" s="5753">
        <v>0</v>
      </c>
      <c r="E53" s="5752"/>
      <c r="F53" s="3470">
        <f>'Interest Charges_2012-13'!L13</f>
        <v>0</v>
      </c>
      <c r="G53" s="3760">
        <f>'Interest Charges_2012-13'!M13</f>
        <v>0</v>
      </c>
      <c r="H53" s="5333"/>
      <c r="I53" s="1335"/>
      <c r="J53" s="802"/>
      <c r="K53" s="5751"/>
    </row>
    <row r="54" spans="2:11" hidden="1">
      <c r="B54" s="1025">
        <f t="shared" si="1"/>
        <v>6</v>
      </c>
      <c r="C54" s="350" t="s">
        <v>466</v>
      </c>
      <c r="D54" s="5753"/>
      <c r="E54" s="5752"/>
      <c r="F54" s="3470">
        <f>'Interest Charges_2012-13'!L14</f>
        <v>0</v>
      </c>
      <c r="G54" s="3760">
        <f>'Interest Charges_2012-13'!M14</f>
        <v>0</v>
      </c>
      <c r="H54" s="5333"/>
      <c r="I54" s="1335"/>
      <c r="J54" s="802"/>
      <c r="K54" s="5751"/>
    </row>
    <row r="55" spans="2:11" ht="31.5" hidden="1">
      <c r="B55" s="1025">
        <f t="shared" si="1"/>
        <v>7</v>
      </c>
      <c r="C55" s="352" t="s">
        <v>467</v>
      </c>
      <c r="D55" s="5753"/>
      <c r="E55" s="5752"/>
      <c r="F55" s="3470">
        <f>'Interest Charges_2012-13'!L15</f>
        <v>0</v>
      </c>
      <c r="G55" s="3760">
        <f>'Interest Charges_2012-13'!M15</f>
        <v>0</v>
      </c>
      <c r="H55" s="5333"/>
      <c r="I55" s="1335"/>
      <c r="J55" s="803"/>
      <c r="K55" s="5751"/>
    </row>
    <row r="56" spans="2:11" hidden="1">
      <c r="B56" s="1025">
        <f t="shared" si="1"/>
        <v>8</v>
      </c>
      <c r="C56" s="350" t="s">
        <v>468</v>
      </c>
      <c r="D56" s="3743">
        <v>0.25</v>
      </c>
      <c r="E56" s="5752"/>
      <c r="F56" s="3470">
        <f>'Interest Charges_2012-13'!L16</f>
        <v>0.23</v>
      </c>
      <c r="G56" s="3760">
        <v>0.2</v>
      </c>
      <c r="H56" s="5333"/>
      <c r="I56" s="1335"/>
      <c r="J56" s="802"/>
      <c r="K56" s="5751"/>
    </row>
    <row r="57" spans="2:11" hidden="1">
      <c r="B57" s="1025">
        <f t="shared" si="1"/>
        <v>9</v>
      </c>
      <c r="C57" s="350" t="s">
        <v>469</v>
      </c>
      <c r="D57" s="5753">
        <v>3.11</v>
      </c>
      <c r="E57" s="5752"/>
      <c r="F57" s="3470">
        <f>'Interest Charges_2012-13'!L17</f>
        <v>1.44</v>
      </c>
      <c r="G57" s="3760">
        <v>2.65</v>
      </c>
      <c r="H57" s="5333"/>
      <c r="I57" s="1335"/>
      <c r="J57" s="802"/>
      <c r="K57" s="137"/>
    </row>
    <row r="58" spans="2:11" hidden="1">
      <c r="B58" s="1025">
        <f t="shared" si="1"/>
        <v>10</v>
      </c>
      <c r="C58" s="350" t="s">
        <v>469</v>
      </c>
      <c r="D58" s="5753"/>
      <c r="E58" s="5752"/>
      <c r="F58" s="3470">
        <f>'Interest Charges_2012-13'!L18</f>
        <v>1.44</v>
      </c>
      <c r="G58" s="3760">
        <f>'Interest Charges_2012-13'!M18</f>
        <v>0</v>
      </c>
      <c r="H58" s="5333"/>
      <c r="I58" s="1335"/>
      <c r="J58" s="802"/>
      <c r="K58" s="5751"/>
    </row>
    <row r="59" spans="2:11" hidden="1">
      <c r="B59" s="1025">
        <f t="shared" si="1"/>
        <v>11</v>
      </c>
      <c r="C59" s="350" t="s">
        <v>473</v>
      </c>
      <c r="D59" s="5770">
        <v>6.02</v>
      </c>
      <c r="E59" s="5752"/>
      <c r="F59" s="3470">
        <f>'Interest Charges_2012-13'!L19</f>
        <v>0</v>
      </c>
      <c r="G59" s="3760">
        <f>'Interest Charges_2012-13'!M19</f>
        <v>0</v>
      </c>
      <c r="H59" s="5333"/>
      <c r="I59" s="1335"/>
      <c r="J59" s="802"/>
      <c r="K59" s="5751"/>
    </row>
    <row r="60" spans="2:11" hidden="1">
      <c r="B60" s="1025">
        <f t="shared" si="1"/>
        <v>12</v>
      </c>
      <c r="C60" s="350" t="s">
        <v>474</v>
      </c>
      <c r="D60" s="5770"/>
      <c r="E60" s="5752"/>
      <c r="F60" s="3470">
        <f>'Interest Charges_2012-13'!L20</f>
        <v>0</v>
      </c>
      <c r="G60" s="3760">
        <f>'Interest Charges_2012-13'!M20</f>
        <v>0</v>
      </c>
      <c r="H60" s="5333"/>
      <c r="I60" s="1335"/>
      <c r="J60" s="802"/>
      <c r="K60" s="5751"/>
    </row>
    <row r="61" spans="2:11" hidden="1">
      <c r="B61" s="1025">
        <f t="shared" si="1"/>
        <v>13</v>
      </c>
      <c r="C61" s="350" t="s">
        <v>477</v>
      </c>
      <c r="D61" s="5770"/>
      <c r="E61" s="5752"/>
      <c r="F61" s="3470">
        <f>'Interest Charges_2012-13'!L21</f>
        <v>0</v>
      </c>
      <c r="G61" s="3760">
        <f>'Interest Charges_2012-13'!M21</f>
        <v>0</v>
      </c>
      <c r="H61" s="5333"/>
      <c r="I61" s="1335"/>
      <c r="J61" s="802"/>
      <c r="K61" s="5751"/>
    </row>
    <row r="62" spans="2:11" hidden="1">
      <c r="B62" s="1025">
        <f>B61+1</f>
        <v>14</v>
      </c>
      <c r="C62" s="350" t="s">
        <v>479</v>
      </c>
      <c r="D62" s="5770"/>
      <c r="E62" s="5752"/>
      <c r="F62" s="3470">
        <f>'Interest Charges_2012-13'!L22</f>
        <v>0</v>
      </c>
      <c r="G62" s="3760">
        <f>'Interest Charges_2012-13'!M22</f>
        <v>0</v>
      </c>
      <c r="H62" s="5333"/>
      <c r="I62" s="1336"/>
      <c r="J62" s="1336"/>
      <c r="K62" s="5751"/>
    </row>
    <row r="63" spans="2:11" hidden="1">
      <c r="B63" s="1025">
        <f t="shared" si="1"/>
        <v>15</v>
      </c>
      <c r="C63" s="350" t="s">
        <v>481</v>
      </c>
      <c r="D63" s="5770"/>
      <c r="E63" s="5752"/>
      <c r="F63" s="3470">
        <f>'Interest Charges_2012-13'!L23</f>
        <v>0</v>
      </c>
      <c r="G63" s="3760">
        <f>'Interest Charges_2012-13'!M23</f>
        <v>0</v>
      </c>
      <c r="H63" s="5333"/>
      <c r="I63" s="1336"/>
      <c r="J63" s="1336"/>
      <c r="K63" s="5751"/>
    </row>
    <row r="64" spans="2:11" hidden="1">
      <c r="B64" s="1025">
        <f t="shared" si="1"/>
        <v>16</v>
      </c>
      <c r="C64" s="350" t="s">
        <v>482</v>
      </c>
      <c r="D64" s="5770"/>
      <c r="E64" s="5752"/>
      <c r="F64" s="3470">
        <f>'Interest Charges_2012-13'!L24</f>
        <v>0</v>
      </c>
      <c r="G64" s="3760">
        <f>'Interest Charges_2012-13'!M24</f>
        <v>0</v>
      </c>
      <c r="H64" s="5333"/>
      <c r="I64" s="1336"/>
      <c r="J64" s="802"/>
      <c r="K64" s="5751"/>
    </row>
    <row r="65" spans="1:17" hidden="1">
      <c r="B65" s="1025">
        <f t="shared" si="1"/>
        <v>17</v>
      </c>
      <c r="C65" s="1348" t="s">
        <v>1898</v>
      </c>
      <c r="D65" s="5770"/>
      <c r="E65" s="5752"/>
      <c r="F65" s="3470">
        <f>'Interest Charges_2012-13'!L25</f>
        <v>0</v>
      </c>
      <c r="G65" s="3760">
        <f>'Interest Charges_2012-13'!M25</f>
        <v>0</v>
      </c>
      <c r="H65" s="5333"/>
      <c r="I65" s="1336"/>
      <c r="J65" s="802"/>
      <c r="K65" s="5751"/>
    </row>
    <row r="66" spans="1:17" hidden="1">
      <c r="B66" s="1025">
        <f t="shared" si="1"/>
        <v>18</v>
      </c>
      <c r="C66" s="350" t="s">
        <v>470</v>
      </c>
      <c r="D66" s="5770">
        <v>1.57</v>
      </c>
      <c r="E66" s="5752"/>
      <c r="F66" s="3470">
        <f>'Interest Charges_2012-13'!L26</f>
        <v>0</v>
      </c>
      <c r="G66" s="3760">
        <f>'Interest Charges_2012-13'!M26</f>
        <v>0</v>
      </c>
      <c r="H66" s="5333"/>
      <c r="I66" s="1336"/>
      <c r="J66" s="1336"/>
      <c r="K66" s="5751"/>
    </row>
    <row r="67" spans="1:17" hidden="1">
      <c r="B67" s="1025">
        <f t="shared" si="1"/>
        <v>19</v>
      </c>
      <c r="C67" s="350" t="s">
        <v>475</v>
      </c>
      <c r="D67" s="5770"/>
      <c r="E67" s="5752"/>
      <c r="F67" s="3470">
        <f>'Interest Charges_2012-13'!L27</f>
        <v>0</v>
      </c>
      <c r="G67" s="3760">
        <f>'Interest Charges_2012-13'!M27</f>
        <v>0</v>
      </c>
      <c r="H67" s="5333"/>
      <c r="I67" s="1336"/>
      <c r="J67" s="802"/>
      <c r="K67" s="5751"/>
    </row>
    <row r="68" spans="1:17" hidden="1">
      <c r="B68" s="1025">
        <f t="shared" si="1"/>
        <v>20</v>
      </c>
      <c r="C68" s="350" t="s">
        <v>476</v>
      </c>
      <c r="D68" s="5770"/>
      <c r="E68" s="5752"/>
      <c r="F68" s="3470">
        <f>'Interest Charges_2012-13'!L28</f>
        <v>0</v>
      </c>
      <c r="G68" s="3760">
        <f>'Interest Charges_2012-13'!M28</f>
        <v>0</v>
      </c>
      <c r="H68" s="5333"/>
      <c r="I68" s="1349"/>
      <c r="J68" s="1336"/>
      <c r="K68" s="5751"/>
    </row>
    <row r="69" spans="1:17" hidden="1">
      <c r="B69" s="1025">
        <f t="shared" si="1"/>
        <v>21</v>
      </c>
      <c r="C69" s="350" t="s">
        <v>478</v>
      </c>
      <c r="D69" s="5770"/>
      <c r="E69" s="5752"/>
      <c r="F69" s="3470">
        <f>'Interest Charges_2012-13'!L29</f>
        <v>0</v>
      </c>
      <c r="G69" s="3760">
        <f>'Interest Charges_2012-13'!M29</f>
        <v>0</v>
      </c>
      <c r="H69" s="5333"/>
      <c r="I69" s="802"/>
      <c r="J69" s="802"/>
      <c r="K69" s="5751"/>
    </row>
    <row r="70" spans="1:17" hidden="1">
      <c r="B70" s="1025">
        <f t="shared" si="1"/>
        <v>22</v>
      </c>
      <c r="C70" s="350" t="s">
        <v>480</v>
      </c>
      <c r="D70" s="5770"/>
      <c r="E70" s="5752"/>
      <c r="F70" s="3470">
        <f>'Interest Charges_2012-13'!L30</f>
        <v>0</v>
      </c>
      <c r="G70" s="3760">
        <f>'Interest Charges_2012-13'!M30</f>
        <v>0</v>
      </c>
      <c r="H70" s="5333"/>
      <c r="I70" s="802"/>
      <c r="J70" s="1336"/>
      <c r="K70" s="5751"/>
    </row>
    <row r="71" spans="1:17" hidden="1">
      <c r="B71" s="1025">
        <f t="shared" si="1"/>
        <v>23</v>
      </c>
      <c r="C71" s="350" t="s">
        <v>484</v>
      </c>
      <c r="D71" s="3771"/>
      <c r="E71" s="5752"/>
      <c r="F71" s="3470">
        <f>'Interest Charges_2012-13'!L31</f>
        <v>0</v>
      </c>
      <c r="G71" s="3760">
        <v>3.01</v>
      </c>
      <c r="H71" s="5333"/>
      <c r="I71" s="802"/>
      <c r="J71" s="1336"/>
      <c r="K71" s="5751"/>
    </row>
    <row r="72" spans="1:17" hidden="1">
      <c r="B72" s="1025">
        <f t="shared" si="1"/>
        <v>24</v>
      </c>
      <c r="C72" s="350" t="s">
        <v>483</v>
      </c>
      <c r="D72" s="3771"/>
      <c r="E72" s="5752"/>
      <c r="F72" s="3470">
        <f>'Interest Charges_2012-13'!L32</f>
        <v>2.82</v>
      </c>
      <c r="G72" s="3760">
        <f>'Interest Charges_2012-13'!M32</f>
        <v>0</v>
      </c>
      <c r="H72" s="5333"/>
      <c r="I72" s="802"/>
      <c r="J72" s="802"/>
      <c r="K72" s="1350"/>
    </row>
    <row r="73" spans="1:17" hidden="1">
      <c r="B73" s="1025">
        <f t="shared" si="1"/>
        <v>25</v>
      </c>
      <c r="C73" s="350" t="s">
        <v>484</v>
      </c>
      <c r="D73" s="3771"/>
      <c r="E73" s="5752"/>
      <c r="F73" s="3470">
        <f>'Interest Charges_2012-13'!L33</f>
        <v>2.5</v>
      </c>
      <c r="G73" s="3760">
        <v>0.34</v>
      </c>
      <c r="H73" s="5333"/>
      <c r="I73" s="802"/>
      <c r="J73" s="802"/>
      <c r="K73" s="137"/>
    </row>
    <row r="74" spans="1:17" hidden="1">
      <c r="B74" s="1025">
        <f t="shared" si="1"/>
        <v>26</v>
      </c>
      <c r="C74" s="350" t="s">
        <v>2883</v>
      </c>
      <c r="D74" s="3771"/>
      <c r="E74" s="3405"/>
      <c r="F74" s="3470">
        <v>0</v>
      </c>
      <c r="G74" s="3760">
        <v>1.0900000000000001</v>
      </c>
      <c r="H74" s="5333"/>
      <c r="I74" s="802"/>
      <c r="J74" s="802"/>
      <c r="K74" s="137"/>
    </row>
    <row r="75" spans="1:17" hidden="1">
      <c r="B75" s="1025">
        <f t="shared" si="1"/>
        <v>27</v>
      </c>
      <c r="C75" s="251" t="s">
        <v>485</v>
      </c>
      <c r="D75" s="1293">
        <f>SUM(D49:D70)</f>
        <v>11.01</v>
      </c>
      <c r="E75" s="1293">
        <v>13.64</v>
      </c>
      <c r="F75" s="3761">
        <f>SUM(F49:F74)</f>
        <v>8.43</v>
      </c>
      <c r="G75" s="3762">
        <f>SUM(G49:G74)</f>
        <v>7.2899999999999991</v>
      </c>
      <c r="H75" s="5334"/>
      <c r="I75" s="802"/>
      <c r="J75" s="355"/>
      <c r="K75" s="1350"/>
    </row>
    <row r="76" spans="1:17" ht="16.5" hidden="1" thickBot="1">
      <c r="B76" s="3532">
        <f t="shared" si="1"/>
        <v>28</v>
      </c>
      <c r="C76" s="3533" t="s">
        <v>554</v>
      </c>
      <c r="D76" s="3534">
        <f>SUM(D49:D72)</f>
        <v>11.01</v>
      </c>
      <c r="E76" s="3765">
        <f>E75</f>
        <v>13.64</v>
      </c>
      <c r="F76" s="3763">
        <f>F75</f>
        <v>8.43</v>
      </c>
      <c r="G76" s="3764">
        <f>G75</f>
        <v>7.2899999999999991</v>
      </c>
      <c r="H76" s="5334"/>
      <c r="I76" s="136"/>
      <c r="J76" s="1341"/>
      <c r="K76" s="136"/>
    </row>
    <row r="77" spans="1:17" hidden="1">
      <c r="B77" s="1295"/>
      <c r="C77" s="1349"/>
      <c r="D77" s="1343"/>
      <c r="E77" s="1344"/>
      <c r="F77" s="138"/>
      <c r="G77" s="1274"/>
      <c r="H77" s="1274"/>
      <c r="I77" s="136"/>
      <c r="J77" s="1349"/>
      <c r="K77" s="136"/>
    </row>
    <row r="78" spans="1:17">
      <c r="B78" s="1295"/>
    </row>
    <row r="79" spans="1:17">
      <c r="A79" s="357"/>
      <c r="B79" s="4503" t="s">
        <v>3407</v>
      </c>
      <c r="C79" s="357"/>
      <c r="D79" s="357"/>
      <c r="E79" s="357"/>
      <c r="F79" s="357"/>
      <c r="G79" s="357"/>
      <c r="H79" s="357"/>
      <c r="I79" s="357"/>
      <c r="J79" s="357"/>
      <c r="K79" s="357"/>
      <c r="L79" s="357"/>
      <c r="M79" s="357"/>
    </row>
    <row r="80" spans="1:17">
      <c r="A80" s="357"/>
      <c r="B80" s="3535"/>
      <c r="C80" s="357"/>
      <c r="D80" s="140"/>
      <c r="E80" s="70"/>
      <c r="F80" s="4504"/>
      <c r="G80" s="4505" t="s">
        <v>2190</v>
      </c>
      <c r="H80" s="5335"/>
      <c r="I80" s="67"/>
      <c r="J80" s="139"/>
      <c r="K80" s="139"/>
      <c r="L80" s="357"/>
      <c r="M80" s="357"/>
      <c r="Q80" s="136"/>
    </row>
    <row r="81" spans="1:18">
      <c r="A81" s="357"/>
      <c r="B81" s="5766" t="s">
        <v>101</v>
      </c>
      <c r="C81" s="5766" t="s">
        <v>81</v>
      </c>
      <c r="D81" s="5766" t="s">
        <v>82</v>
      </c>
      <c r="E81" s="5766"/>
      <c r="F81" s="5766" t="s">
        <v>1845</v>
      </c>
      <c r="G81" s="5766"/>
      <c r="H81" s="140"/>
      <c r="I81" s="140"/>
      <c r="J81" s="140"/>
      <c r="K81" s="140"/>
      <c r="L81" s="140"/>
      <c r="M81" s="140"/>
      <c r="N81" s="136"/>
      <c r="O81" s="136"/>
      <c r="P81" s="136"/>
      <c r="Q81" s="136"/>
    </row>
    <row r="82" spans="1:18" ht="38.25" customHeight="1">
      <c r="A82" s="357"/>
      <c r="B82" s="5766"/>
      <c r="C82" s="5766"/>
      <c r="D82" s="5046" t="s">
        <v>755</v>
      </c>
      <c r="E82" s="5046" t="s">
        <v>96</v>
      </c>
      <c r="F82" s="5046" t="s">
        <v>755</v>
      </c>
      <c r="G82" s="5046" t="s">
        <v>96</v>
      </c>
      <c r="H82" s="357"/>
      <c r="I82" s="357"/>
      <c r="J82" s="357"/>
      <c r="K82" s="140"/>
      <c r="L82" s="357"/>
      <c r="M82" s="357"/>
    </row>
    <row r="83" spans="1:18">
      <c r="A83" s="357"/>
      <c r="B83" s="5047">
        <v>1</v>
      </c>
      <c r="C83" s="1035" t="s">
        <v>1985</v>
      </c>
      <c r="D83" s="4479">
        <f>D96</f>
        <v>97.819990000000004</v>
      </c>
      <c r="E83" s="4471">
        <f>'LoanDetails 2012-13'!C45</f>
        <v>102.58</v>
      </c>
      <c r="F83" s="4471">
        <f>F96</f>
        <v>166.75</v>
      </c>
      <c r="G83" s="4479">
        <f>'LoanDetails2013-14'!C11</f>
        <v>106.87</v>
      </c>
      <c r="H83" s="357"/>
      <c r="I83" s="357"/>
      <c r="J83" s="357"/>
      <c r="K83" s="140"/>
      <c r="L83" s="357"/>
      <c r="M83" s="357"/>
    </row>
    <row r="84" spans="1:18">
      <c r="A84" s="357"/>
      <c r="B84" s="5047">
        <f>1+B83</f>
        <v>2</v>
      </c>
      <c r="C84" s="1035" t="s">
        <v>1986</v>
      </c>
      <c r="D84" s="4479">
        <f>D102</f>
        <v>164.939999999999</v>
      </c>
      <c r="E84" s="4471">
        <f>'LoanDetails 2012-13'!I42</f>
        <v>90</v>
      </c>
      <c r="F84" s="4479">
        <f>F102</f>
        <v>202.6</v>
      </c>
      <c r="G84" s="4479">
        <f>'LoanDetails2013-14'!D24</f>
        <v>66</v>
      </c>
      <c r="H84" s="357"/>
      <c r="I84" s="357"/>
      <c r="J84" s="357"/>
      <c r="K84" s="140"/>
      <c r="L84" s="357"/>
      <c r="M84" s="357"/>
    </row>
    <row r="85" spans="1:18">
      <c r="A85" s="357"/>
      <c r="B85" s="5047">
        <f>1+B84</f>
        <v>3</v>
      </c>
      <c r="C85" s="1035" t="s">
        <v>584</v>
      </c>
      <c r="D85" s="4471">
        <f>D103</f>
        <v>94.43</v>
      </c>
      <c r="E85" s="4471">
        <f>SUM('LDetail 2012-13'!G25:G27,'LDetail 2012-13'!G32:G36)</f>
        <v>94.454583299999996</v>
      </c>
      <c r="F85" s="4471">
        <f>F103</f>
        <v>105.61</v>
      </c>
      <c r="G85" s="4471">
        <f>'LoanDetails2013-14'!E11+'LoanDetails2013-14'!E24</f>
        <v>81.11</v>
      </c>
      <c r="H85" s="357"/>
      <c r="I85" s="357"/>
      <c r="J85" s="357"/>
      <c r="K85" s="357"/>
      <c r="L85" s="357"/>
      <c r="M85" s="357"/>
    </row>
    <row r="86" spans="1:18">
      <c r="A86" s="357"/>
      <c r="B86" s="5047">
        <f>1+B85</f>
        <v>4</v>
      </c>
      <c r="C86" s="1035" t="s">
        <v>1987</v>
      </c>
      <c r="D86" s="4471">
        <f>D83+D84-D85</f>
        <v>168.32998999999899</v>
      </c>
      <c r="E86" s="4471">
        <f>E83+E84-E85</f>
        <v>98.125416699999988</v>
      </c>
      <c r="F86" s="4471">
        <f>F83+F84-F85</f>
        <v>263.74</v>
      </c>
      <c r="G86" s="4471">
        <f>G83+G84-G85</f>
        <v>91.76</v>
      </c>
      <c r="H86" s="3788"/>
      <c r="I86" s="3788"/>
      <c r="J86" s="357"/>
      <c r="K86" s="357"/>
      <c r="L86" s="357"/>
      <c r="M86" s="357"/>
    </row>
    <row r="87" spans="1:18">
      <c r="A87" s="357"/>
      <c r="B87" s="5047">
        <f>1+B86</f>
        <v>5</v>
      </c>
      <c r="C87" s="1035" t="s">
        <v>1988</v>
      </c>
      <c r="D87" s="4507">
        <f>D105</f>
        <v>0.10249999999999999</v>
      </c>
      <c r="E87" s="3472">
        <f>E88/AVERAGE(E83,E86)</f>
        <v>8.4003711893840483E-2</v>
      </c>
      <c r="F87" s="4507">
        <f>F105</f>
        <v>0.1075</v>
      </c>
      <c r="G87" s="3472">
        <f>G88/AVERAGE(G83,G86)</f>
        <v>7.3402809243316727E-2</v>
      </c>
      <c r="H87" s="357"/>
      <c r="I87" s="357"/>
      <c r="J87" s="357"/>
      <c r="K87" s="357"/>
      <c r="L87" s="357"/>
      <c r="M87" s="357"/>
    </row>
    <row r="88" spans="1:18">
      <c r="A88" s="357"/>
      <c r="B88" s="4513">
        <f>1+B87</f>
        <v>6</v>
      </c>
      <c r="C88" s="4506" t="s">
        <v>187</v>
      </c>
      <c r="D88" s="1273">
        <f>D106</f>
        <v>13.639674487500001</v>
      </c>
      <c r="E88" s="1273">
        <f>'Interest Charges_2012-13'!L34</f>
        <v>8.43</v>
      </c>
      <c r="F88" s="1273">
        <f>F106</f>
        <v>23.31</v>
      </c>
      <c r="G88" s="4513">
        <f>'LoanDetails2013-14'!G27</f>
        <v>7.29</v>
      </c>
      <c r="H88" s="357"/>
      <c r="I88" s="357"/>
      <c r="J88" s="3788"/>
      <c r="K88" s="4508"/>
      <c r="L88" s="140"/>
      <c r="M88" s="140"/>
      <c r="N88" s="1274"/>
      <c r="O88" s="1274"/>
      <c r="P88" s="1274"/>
      <c r="Q88" s="1274"/>
      <c r="R88" s="1274"/>
    </row>
    <row r="89" spans="1:18">
      <c r="A89" s="357"/>
      <c r="B89" s="5047"/>
      <c r="C89" s="1035"/>
      <c r="D89" s="1035"/>
      <c r="E89" s="1035"/>
      <c r="F89" s="1035"/>
      <c r="G89" s="1035"/>
      <c r="H89" s="357"/>
      <c r="I89" s="357"/>
      <c r="J89" s="357"/>
      <c r="K89" s="357"/>
      <c r="L89" s="140"/>
      <c r="M89" s="140"/>
      <c r="N89" s="1274"/>
      <c r="O89" s="1274"/>
      <c r="P89" s="1274"/>
      <c r="Q89" s="1274"/>
      <c r="R89" s="1274"/>
    </row>
    <row r="90" spans="1:18">
      <c r="A90" s="357"/>
      <c r="B90" s="3535"/>
      <c r="C90" s="357"/>
      <c r="D90" s="357"/>
      <c r="E90" s="357"/>
      <c r="F90" s="357"/>
      <c r="G90" s="357"/>
      <c r="H90" s="357"/>
      <c r="I90" s="357"/>
      <c r="J90" s="357"/>
      <c r="K90" s="357"/>
      <c r="L90" s="3535"/>
      <c r="M90" s="140"/>
      <c r="N90" s="1274"/>
      <c r="O90" s="1274"/>
      <c r="P90" s="1337"/>
      <c r="Q90" s="1274"/>
      <c r="R90" s="1274"/>
    </row>
    <row r="91" spans="1:18">
      <c r="A91" s="357"/>
      <c r="B91" s="5771" t="s">
        <v>3406</v>
      </c>
      <c r="C91" s="5771"/>
      <c r="D91" s="139"/>
      <c r="E91" s="139"/>
      <c r="F91" s="139"/>
      <c r="G91" s="357"/>
      <c r="H91" s="357"/>
      <c r="I91" s="357"/>
      <c r="J91" s="357"/>
      <c r="K91" s="357"/>
      <c r="L91" s="140"/>
      <c r="M91" s="140"/>
      <c r="N91" s="1274"/>
      <c r="O91" s="1338"/>
      <c r="P91" s="1274"/>
      <c r="Q91" s="1274"/>
      <c r="R91" s="1274"/>
    </row>
    <row r="92" spans="1:18">
      <c r="A92" s="357"/>
      <c r="B92" s="357"/>
      <c r="C92" s="357"/>
      <c r="D92" s="357"/>
      <c r="E92" s="357"/>
      <c r="F92" s="357"/>
      <c r="G92" s="357"/>
      <c r="H92" s="357"/>
      <c r="I92" s="357"/>
      <c r="J92" s="140"/>
      <c r="K92" s="140"/>
      <c r="L92" s="4509" t="s">
        <v>151</v>
      </c>
      <c r="M92" s="140"/>
      <c r="N92" s="1274"/>
      <c r="O92" s="1274"/>
      <c r="P92" s="1274"/>
      <c r="Q92" s="1274"/>
      <c r="R92" s="1274"/>
    </row>
    <row r="93" spans="1:18" s="4656" customFormat="1">
      <c r="A93" s="4653"/>
      <c r="B93" s="5744" t="s">
        <v>101</v>
      </c>
      <c r="C93" s="5744" t="s">
        <v>81</v>
      </c>
      <c r="D93" s="5744" t="s">
        <v>82</v>
      </c>
      <c r="E93" s="5744"/>
      <c r="F93" s="5744" t="s">
        <v>1845</v>
      </c>
      <c r="G93" s="5744"/>
      <c r="H93" s="140"/>
      <c r="I93" s="5744" t="s">
        <v>2981</v>
      </c>
      <c r="J93" s="5744"/>
      <c r="K93" s="5744"/>
      <c r="L93" s="5744"/>
      <c r="M93" s="4654"/>
      <c r="N93" s="4655"/>
      <c r="O93" s="4655"/>
      <c r="P93" s="4655"/>
      <c r="Q93" s="4655"/>
      <c r="R93" s="4655"/>
    </row>
    <row r="94" spans="1:18" s="4656" customFormat="1">
      <c r="A94" s="4653"/>
      <c r="B94" s="5744"/>
      <c r="C94" s="5744"/>
      <c r="D94" s="5744"/>
      <c r="E94" s="5744"/>
      <c r="F94" s="5744"/>
      <c r="G94" s="5744"/>
      <c r="H94" s="357"/>
      <c r="I94" s="5744" t="s">
        <v>2442</v>
      </c>
      <c r="J94" s="5744"/>
      <c r="K94" s="5744" t="s">
        <v>2443</v>
      </c>
      <c r="L94" s="5744"/>
      <c r="M94" s="4654"/>
      <c r="N94" s="4655"/>
      <c r="O94" s="4655"/>
      <c r="P94" s="4655"/>
      <c r="Q94" s="4655"/>
      <c r="R94" s="4655"/>
    </row>
    <row r="95" spans="1:18" s="4656" customFormat="1" ht="30.75" customHeight="1">
      <c r="A95" s="4653"/>
      <c r="B95" s="5744"/>
      <c r="C95" s="5744"/>
      <c r="D95" s="4650" t="s">
        <v>755</v>
      </c>
      <c r="E95" s="4650" t="s">
        <v>3297</v>
      </c>
      <c r="F95" s="4650" t="s">
        <v>755</v>
      </c>
      <c r="G95" s="4650" t="s">
        <v>3297</v>
      </c>
      <c r="H95" s="357"/>
      <c r="I95" s="4650" t="s">
        <v>755</v>
      </c>
      <c r="J95" s="4650" t="s">
        <v>3297</v>
      </c>
      <c r="K95" s="4650" t="s">
        <v>755</v>
      </c>
      <c r="L95" s="4650" t="s">
        <v>3297</v>
      </c>
      <c r="M95" s="4654"/>
      <c r="N95" s="4655"/>
      <c r="O95" s="4655"/>
      <c r="P95" s="4655"/>
      <c r="Q95" s="4655"/>
      <c r="R95" s="4655"/>
    </row>
    <row r="96" spans="1:18">
      <c r="A96" s="357"/>
      <c r="B96" s="4513">
        <v>1</v>
      </c>
      <c r="C96" s="4506" t="s">
        <v>1985</v>
      </c>
      <c r="D96" s="1273">
        <v>97.819990000000004</v>
      </c>
      <c r="E96" s="1273">
        <f>D96</f>
        <v>97.819990000000004</v>
      </c>
      <c r="F96" s="1273">
        <f>D104*0+166.75</f>
        <v>166.75</v>
      </c>
      <c r="G96" s="1273">
        <f>E104</f>
        <v>90.373792095278276</v>
      </c>
      <c r="H96" s="357"/>
      <c r="I96" s="1273">
        <v>262.2</v>
      </c>
      <c r="J96" s="1273">
        <f>G104</f>
        <v>59.36592444719038</v>
      </c>
      <c r="K96" s="1273">
        <f>I104*0+355.43</f>
        <v>355.43</v>
      </c>
      <c r="L96" s="1273">
        <f>J104</f>
        <v>61.26342444719036</v>
      </c>
      <c r="M96" s="140"/>
      <c r="N96" s="1274"/>
      <c r="O96" s="1274"/>
      <c r="P96" s="1274"/>
      <c r="Q96" s="1274"/>
      <c r="R96" s="1274"/>
    </row>
    <row r="97" spans="1:18">
      <c r="A97" s="357"/>
      <c r="B97" s="5050">
        <f t="shared" ref="B97:B102" si="2">B96+1</f>
        <v>2</v>
      </c>
      <c r="C97" s="1035" t="s">
        <v>2842</v>
      </c>
      <c r="D97" s="5050">
        <v>243.48</v>
      </c>
      <c r="E97" s="5049">
        <f>Assumptions!E14</f>
        <v>118.71000000000001</v>
      </c>
      <c r="F97" s="5050">
        <v>297.27999999999997</v>
      </c>
      <c r="G97" s="5049">
        <f>Assumptions!F14</f>
        <v>93.026005000000012</v>
      </c>
      <c r="H97" s="357"/>
      <c r="I97" s="5049">
        <v>305.85000000000002</v>
      </c>
      <c r="J97" s="5049">
        <f>Assumptions!G14</f>
        <v>142.72499999999999</v>
      </c>
      <c r="K97" s="4510">
        <v>300.10000000000002</v>
      </c>
      <c r="L97" s="5049">
        <f>Assumptions!H14</f>
        <v>179.76</v>
      </c>
      <c r="M97" s="140"/>
      <c r="N97" s="1274"/>
      <c r="O97" s="1274"/>
      <c r="P97" s="1274"/>
      <c r="Q97" s="1274"/>
      <c r="R97" s="1274"/>
    </row>
    <row r="98" spans="1:18">
      <c r="A98" s="357"/>
      <c r="B98" s="5050">
        <f t="shared" si="2"/>
        <v>3</v>
      </c>
      <c r="C98" s="1035" t="s">
        <v>2841</v>
      </c>
      <c r="D98" s="3824">
        <v>0.7</v>
      </c>
      <c r="E98" s="3824">
        <f>Assumptions!E15</f>
        <v>0.7</v>
      </c>
      <c r="F98" s="3824">
        <v>0.7</v>
      </c>
      <c r="G98" s="3824">
        <f>Assumptions!F15</f>
        <v>0.7</v>
      </c>
      <c r="H98" s="3788"/>
      <c r="I98" s="3824">
        <v>0.7</v>
      </c>
      <c r="J98" s="4511">
        <f>I98</f>
        <v>0.7</v>
      </c>
      <c r="K98" s="3824">
        <v>0.7</v>
      </c>
      <c r="L98" s="4511">
        <f>K98</f>
        <v>0.7</v>
      </c>
      <c r="M98" s="140"/>
      <c r="N98" s="1274"/>
      <c r="O98" s="1274"/>
      <c r="P98" s="1274"/>
      <c r="Q98" s="1274"/>
      <c r="R98" s="1274"/>
    </row>
    <row r="99" spans="1:18">
      <c r="A99" s="357"/>
      <c r="B99" s="5102">
        <f t="shared" si="2"/>
        <v>4</v>
      </c>
      <c r="C99" s="1035" t="s">
        <v>2408</v>
      </c>
      <c r="D99" s="5100">
        <f>D98*D97</f>
        <v>170.43599999999998</v>
      </c>
      <c r="E99" s="5100">
        <f>E98*E97</f>
        <v>83.096999999999994</v>
      </c>
      <c r="F99" s="5100">
        <f t="shared" ref="F99:K99" si="3">F98*F97</f>
        <v>208.09599999999998</v>
      </c>
      <c r="G99" s="5100">
        <f>G98*G97</f>
        <v>65.118203500000007</v>
      </c>
      <c r="H99" s="357"/>
      <c r="I99" s="5100">
        <f>I98*I97</f>
        <v>214.095</v>
      </c>
      <c r="J99" s="5100">
        <f>J98*J97</f>
        <v>99.907499999999985</v>
      </c>
      <c r="K99" s="5100">
        <f t="shared" si="3"/>
        <v>210.07</v>
      </c>
      <c r="L99" s="5100">
        <f>L98*L97</f>
        <v>125.83199999999998</v>
      </c>
      <c r="M99" s="140"/>
      <c r="N99" s="1274"/>
      <c r="O99" s="1274"/>
      <c r="P99" s="1274"/>
      <c r="Q99" s="1274"/>
      <c r="R99" s="1274"/>
    </row>
    <row r="100" spans="1:18">
      <c r="A100" s="357"/>
      <c r="B100" s="5050">
        <f t="shared" si="2"/>
        <v>5</v>
      </c>
      <c r="C100" s="1035" t="s">
        <v>2822</v>
      </c>
      <c r="D100" s="5050">
        <v>23.88</v>
      </c>
      <c r="E100" s="5049">
        <f>Assumptions!E32</f>
        <v>12.387156331500002</v>
      </c>
      <c r="F100" s="5050">
        <v>27.87</v>
      </c>
      <c r="G100" s="5049">
        <f>Assumptions!F32</f>
        <v>15.203106049999999</v>
      </c>
      <c r="H100" s="357"/>
      <c r="I100" s="5049">
        <v>0</v>
      </c>
      <c r="J100" s="5049">
        <f>Assumptions!G32</f>
        <v>12.83</v>
      </c>
      <c r="K100" s="5049">
        <v>0</v>
      </c>
      <c r="L100" s="5049">
        <f>Assumptions!H32</f>
        <v>15.837579890278143</v>
      </c>
      <c r="M100" s="140"/>
      <c r="N100" s="1274"/>
      <c r="O100" s="1274"/>
      <c r="P100" s="1274"/>
      <c r="Q100" s="1274"/>
      <c r="R100" s="1274"/>
    </row>
    <row r="101" spans="1:18">
      <c r="A101" s="357"/>
      <c r="B101" s="5050">
        <f t="shared" si="2"/>
        <v>6</v>
      </c>
      <c r="C101" s="1035" t="s">
        <v>2823</v>
      </c>
      <c r="D101" s="5049">
        <v>5.4959999999999809</v>
      </c>
      <c r="E101" s="5049">
        <f>IF(Assumptions!$E$36/Assumptions!$E$32&gt;0.7,0,Assumptions!$E$32*0.7)*0</f>
        <v>0</v>
      </c>
      <c r="F101" s="5049">
        <v>5.4959999999999809</v>
      </c>
      <c r="G101" s="5049">
        <f>IF(Assumptions!$F$36/Assumptions!$F$32&gt;0.7,0,Assumptions!$F$32*0.7)</f>
        <v>0</v>
      </c>
      <c r="H101" s="357"/>
      <c r="I101" s="5049">
        <v>0</v>
      </c>
      <c r="J101" s="5049">
        <v>0</v>
      </c>
      <c r="K101" s="5049">
        <v>0</v>
      </c>
      <c r="L101" s="5049">
        <v>0</v>
      </c>
      <c r="M101" s="140"/>
      <c r="N101" s="1274"/>
      <c r="O101" s="1274"/>
      <c r="P101" s="1274"/>
      <c r="Q101" s="1274"/>
      <c r="R101" s="1274"/>
    </row>
    <row r="102" spans="1:18">
      <c r="A102" s="357"/>
      <c r="B102" s="4513">
        <f t="shared" si="2"/>
        <v>7</v>
      </c>
      <c r="C102" s="4506" t="s">
        <v>1986</v>
      </c>
      <c r="D102" s="4513">
        <v>164.939999999999</v>
      </c>
      <c r="E102" s="1273">
        <f>E99-E101</f>
        <v>83.096999999999994</v>
      </c>
      <c r="F102" s="1273">
        <v>202.6</v>
      </c>
      <c r="G102" s="5336">
        <f>G99-G101</f>
        <v>65.118203500000007</v>
      </c>
      <c r="H102" s="5343"/>
      <c r="I102" s="5340">
        <v>214.09</v>
      </c>
      <c r="J102" s="1273">
        <f>J99-J101</f>
        <v>99.907499999999985</v>
      </c>
      <c r="K102" s="1273">
        <v>210.07</v>
      </c>
      <c r="L102" s="1273">
        <f>L99-L101</f>
        <v>125.83199999999998</v>
      </c>
      <c r="M102" s="140"/>
      <c r="N102" s="1274"/>
      <c r="O102" s="1274"/>
      <c r="P102" s="1274"/>
      <c r="Q102" s="1274"/>
      <c r="R102" s="1274"/>
    </row>
    <row r="103" spans="1:18">
      <c r="A103" s="357"/>
      <c r="B103" s="4513">
        <f>1+B102</f>
        <v>8</v>
      </c>
      <c r="C103" s="4506" t="s">
        <v>584</v>
      </c>
      <c r="D103" s="1273">
        <f>'F5'!$D$25</f>
        <v>94.43</v>
      </c>
      <c r="E103" s="5212">
        <f>'F5'!$E$25</f>
        <v>90.543197904721723</v>
      </c>
      <c r="F103" s="4513">
        <v>105.61</v>
      </c>
      <c r="G103" s="5337">
        <f>'F5'!$G$25</f>
        <v>96.126071148087917</v>
      </c>
      <c r="H103" s="5344"/>
      <c r="I103" s="5340">
        <v>119.33</v>
      </c>
      <c r="J103" s="1273">
        <f>'F5'!$I$25</f>
        <v>98.01</v>
      </c>
      <c r="K103" s="1273">
        <v>133.69</v>
      </c>
      <c r="L103" s="1273">
        <f>'F5'!$K$25</f>
        <v>104.73063952004611</v>
      </c>
      <c r="M103" s="140"/>
      <c r="N103" s="1274"/>
      <c r="O103" s="1274"/>
      <c r="P103" s="1274"/>
      <c r="Q103" s="1274"/>
      <c r="R103" s="1274"/>
    </row>
    <row r="104" spans="1:18">
      <c r="A104" s="357"/>
      <c r="B104" s="4513">
        <f>1+B103</f>
        <v>9</v>
      </c>
      <c r="C104" s="4506" t="s">
        <v>1987</v>
      </c>
      <c r="D104" s="1273">
        <v>168.32</v>
      </c>
      <c r="E104" s="1273">
        <f>E96+E102-E103</f>
        <v>90.373792095278276</v>
      </c>
      <c r="F104" s="4513">
        <v>265.32</v>
      </c>
      <c r="G104" s="5336">
        <f>G96+G102-G103</f>
        <v>59.36592444719038</v>
      </c>
      <c r="H104" s="5343"/>
      <c r="I104" s="5340">
        <f>($I$96+$I$102-$I$103)*0+360.08</f>
        <v>360.08</v>
      </c>
      <c r="J104" s="1273">
        <f>J96+J102-J103</f>
        <v>61.26342444719036</v>
      </c>
      <c r="K104" s="1273">
        <v>436.46</v>
      </c>
      <c r="L104" s="1273">
        <f>L96+L102-L103</f>
        <v>82.364784927144228</v>
      </c>
      <c r="M104" s="140"/>
      <c r="N104" s="1274"/>
      <c r="O104" s="1274"/>
      <c r="P104" s="1274"/>
      <c r="Q104" s="1274"/>
      <c r="R104" s="1274"/>
    </row>
    <row r="105" spans="1:18">
      <c r="A105" s="357"/>
      <c r="B105" s="5050">
        <f>1+B104</f>
        <v>10</v>
      </c>
      <c r="C105" s="1035" t="s">
        <v>1988</v>
      </c>
      <c r="D105" s="4507">
        <v>0.10249999999999999</v>
      </c>
      <c r="E105" s="4507">
        <f>F120</f>
        <v>0.10579555425563031</v>
      </c>
      <c r="F105" s="4507">
        <v>0.1075</v>
      </c>
      <c r="G105" s="5338">
        <f>F132</f>
        <v>0.10797913157402209</v>
      </c>
      <c r="H105" s="5345"/>
      <c r="I105" s="5341">
        <v>0.1075</v>
      </c>
      <c r="J105" s="4507">
        <f>Assumptions!G40</f>
        <v>8.70460183577276E-2</v>
      </c>
      <c r="K105" s="4507">
        <v>0.1075</v>
      </c>
      <c r="L105" s="4507">
        <f>Assumptions!H40</f>
        <v>9.4520324850169368E-2</v>
      </c>
      <c r="M105" s="140"/>
      <c r="N105" s="1274"/>
      <c r="O105" s="1274"/>
      <c r="P105" s="1274"/>
      <c r="Q105" s="1274"/>
      <c r="R105" s="1274"/>
    </row>
    <row r="106" spans="1:18">
      <c r="A106" s="357"/>
      <c r="B106" s="5050">
        <f>1+B105</f>
        <v>11</v>
      </c>
      <c r="C106" s="1035" t="s">
        <v>187</v>
      </c>
      <c r="D106" s="5049">
        <f>AVERAGE(D96,D104)*D105</f>
        <v>13.639674487500001</v>
      </c>
      <c r="E106" s="5049">
        <f>AVERAGE(E96,E104)*E105</f>
        <v>9.9550327421166394</v>
      </c>
      <c r="F106" s="5049">
        <f>F105*AVERAGE(F96,F104)*0+23.31</f>
        <v>23.31</v>
      </c>
      <c r="G106" s="5339">
        <f>AVERAGE(G96,G104)*G105</f>
        <v>8.0843822771979976</v>
      </c>
      <c r="H106" s="5346"/>
      <c r="I106" s="5342">
        <f>I105*AVERAGE(I96,I104)*0+33.62</f>
        <v>33.619999999999997</v>
      </c>
      <c r="J106" s="5049">
        <f>J105*AVERAGE(J96,J104)</f>
        <v>5.2501522591704965</v>
      </c>
      <c r="K106" s="5049">
        <f>K105*AVERAGE(K96,K104)*0+42.81</f>
        <v>42.81</v>
      </c>
      <c r="L106" s="5049">
        <f>L105*AVERAGE(L96,L104)</f>
        <v>6.7878925038551223</v>
      </c>
      <c r="M106" s="140"/>
      <c r="N106" s="1274"/>
      <c r="O106" s="1274"/>
      <c r="P106" s="1274"/>
      <c r="Q106" s="1274"/>
      <c r="R106" s="1274"/>
    </row>
    <row r="107" spans="1:18">
      <c r="A107" s="357"/>
      <c r="B107" s="357"/>
      <c r="C107" s="357"/>
      <c r="D107" s="357"/>
      <c r="E107" s="357"/>
      <c r="F107" s="357"/>
      <c r="G107" s="357"/>
      <c r="H107" s="357"/>
      <c r="I107" s="357"/>
      <c r="J107" s="140"/>
      <c r="K107" s="140"/>
      <c r="L107" s="3535"/>
      <c r="M107" s="140"/>
      <c r="N107" s="1274"/>
      <c r="O107" s="1274"/>
      <c r="P107" s="1274"/>
      <c r="Q107" s="1274"/>
      <c r="R107" s="1274"/>
    </row>
    <row r="108" spans="1:18">
      <c r="A108" s="357"/>
      <c r="B108" s="357"/>
      <c r="C108" s="357"/>
      <c r="D108" s="357"/>
      <c r="E108" s="357"/>
      <c r="F108" s="3788"/>
      <c r="G108" s="3788"/>
      <c r="H108" s="3788"/>
      <c r="I108" s="3788"/>
      <c r="J108" s="3788"/>
      <c r="K108" s="3788"/>
      <c r="L108" s="3788"/>
      <c r="M108" s="140"/>
      <c r="N108" s="1274"/>
      <c r="O108" s="1274"/>
      <c r="P108" s="1274"/>
      <c r="Q108" s="1274"/>
      <c r="R108" s="1274"/>
    </row>
    <row r="109" spans="1:18" s="357" customFormat="1">
      <c r="F109" s="3788"/>
      <c r="J109" s="140"/>
      <c r="K109" s="140"/>
      <c r="L109" s="3535"/>
      <c r="M109" s="140"/>
      <c r="N109" s="140"/>
      <c r="O109" s="140"/>
      <c r="P109" s="140"/>
      <c r="Q109" s="140"/>
      <c r="R109" s="140"/>
    </row>
    <row r="110" spans="1:18">
      <c r="A110" s="136"/>
      <c r="B110" s="5769" t="s">
        <v>2342</v>
      </c>
      <c r="C110" s="5769"/>
      <c r="D110" s="1272"/>
      <c r="E110" s="136"/>
      <c r="F110" s="353"/>
      <c r="J110" s="1274"/>
      <c r="K110" s="1274"/>
      <c r="L110" s="1335"/>
      <c r="M110" s="1274"/>
      <c r="N110" s="1274"/>
      <c r="O110" s="1274"/>
      <c r="P110" s="1274"/>
      <c r="Q110" s="1274"/>
      <c r="R110" s="1274"/>
    </row>
    <row r="111" spans="1:18">
      <c r="B111" s="1295"/>
      <c r="J111" s="1274"/>
      <c r="K111" s="1274"/>
      <c r="L111" s="1335"/>
      <c r="M111" s="1339"/>
      <c r="N111" s="1335"/>
      <c r="O111" s="1337"/>
      <c r="P111" s="1337"/>
      <c r="Q111" s="1274"/>
      <c r="R111" s="1274"/>
    </row>
    <row r="112" spans="1:18" ht="31.5">
      <c r="B112" s="2831" t="s">
        <v>101</v>
      </c>
      <c r="C112" s="2831" t="s">
        <v>2269</v>
      </c>
      <c r="D112" s="2831" t="s">
        <v>2344</v>
      </c>
      <c r="E112" s="1024" t="s">
        <v>2343</v>
      </c>
      <c r="F112" s="2844" t="s">
        <v>2345</v>
      </c>
      <c r="J112" s="1274"/>
      <c r="K112" s="1274"/>
      <c r="L112" s="1295"/>
      <c r="M112" s="1300"/>
      <c r="N112" s="1295"/>
      <c r="O112" s="1036"/>
      <c r="P112" s="1036"/>
    </row>
    <row r="113" spans="2:16">
      <c r="B113" s="2833">
        <v>1</v>
      </c>
      <c r="C113" s="840">
        <v>0.1065</v>
      </c>
      <c r="D113" s="1351" t="s">
        <v>2379</v>
      </c>
      <c r="E113" s="1028">
        <f>'LoanDetails 2012-13'!C41</f>
        <v>63</v>
      </c>
      <c r="F113" s="1028">
        <f>E113*C113</f>
        <v>6.7095000000000002</v>
      </c>
      <c r="J113" s="1270"/>
      <c r="K113" s="1274"/>
      <c r="L113" s="1295"/>
      <c r="M113" s="1301"/>
      <c r="N113" s="1295"/>
      <c r="O113" s="1036"/>
      <c r="P113" s="1036"/>
    </row>
    <row r="114" spans="2:16">
      <c r="B114" s="2833">
        <f>B113+1</f>
        <v>2</v>
      </c>
      <c r="C114" s="2830" t="s">
        <v>956</v>
      </c>
      <c r="D114" s="1352" t="s">
        <v>2380</v>
      </c>
      <c r="E114" s="1028">
        <f>'LoanDetails 2012-13'!C25</f>
        <v>1.6</v>
      </c>
      <c r="F114" s="1028">
        <f>E114*C114</f>
        <v>0.22799999999999998</v>
      </c>
      <c r="G114" s="5374"/>
      <c r="H114" s="5374"/>
      <c r="J114" s="1274"/>
      <c r="K114" s="1338"/>
      <c r="L114" s="1295"/>
      <c r="M114" s="5772"/>
      <c r="N114" s="5772"/>
      <c r="O114" s="5772"/>
      <c r="P114" s="1302"/>
    </row>
    <row r="115" spans="2:16">
      <c r="B115" s="2833">
        <f>1+B114</f>
        <v>3</v>
      </c>
      <c r="C115" s="5373">
        <v>0.115</v>
      </c>
      <c r="D115" s="1635" t="s">
        <v>2630</v>
      </c>
      <c r="E115" s="1028">
        <v>9.0299999999999994</v>
      </c>
      <c r="F115" s="1028">
        <f>E115*C115</f>
        <v>1.0384499999999999</v>
      </c>
      <c r="G115" s="5375">
        <f>SUMPRODUCT(C115:C118,E115:E118)/SUM(E115:E118)</f>
        <v>0.10308006320779563</v>
      </c>
      <c r="H115" s="5375">
        <f>SUM(F115:F118)/SUM(E115:E118)</f>
        <v>0.10308006320779563</v>
      </c>
      <c r="I115" s="136"/>
      <c r="J115" s="1274"/>
      <c r="K115" s="1338"/>
    </row>
    <row r="116" spans="2:16">
      <c r="B116" s="2833">
        <f>1+B115</f>
        <v>4</v>
      </c>
      <c r="C116" s="4507">
        <v>0.105</v>
      </c>
      <c r="D116" s="1635" t="s">
        <v>2631</v>
      </c>
      <c r="E116" s="2833">
        <v>9.0299999999999994</v>
      </c>
      <c r="F116" s="1028">
        <f t="shared" ref="F116:F118" si="4">E116*C116</f>
        <v>0.94814999999999994</v>
      </c>
      <c r="G116" s="1274"/>
      <c r="H116" s="1274"/>
      <c r="I116" s="136"/>
      <c r="J116" s="1274"/>
      <c r="K116" s="1274"/>
    </row>
    <row r="117" spans="2:16">
      <c r="B117" s="2833">
        <f>B116+1</f>
        <v>5</v>
      </c>
      <c r="C117" s="4507">
        <v>0.105</v>
      </c>
      <c r="D117" s="1635" t="s">
        <v>2632</v>
      </c>
      <c r="E117" s="2833">
        <v>9.0299999999999994</v>
      </c>
      <c r="F117" s="1028">
        <f t="shared" si="4"/>
        <v>0.94814999999999994</v>
      </c>
      <c r="G117" s="1274"/>
      <c r="H117" s="1274"/>
      <c r="I117" s="136"/>
      <c r="J117" s="1274"/>
      <c r="K117" s="1338"/>
    </row>
    <row r="118" spans="2:16">
      <c r="B118" s="2833">
        <f>B117+1</f>
        <v>6</v>
      </c>
      <c r="C118" s="4507">
        <v>0.09</v>
      </c>
      <c r="D118" s="1635" t="s">
        <v>2633</v>
      </c>
      <c r="E118" s="1028">
        <v>10.88</v>
      </c>
      <c r="F118" s="1028">
        <f t="shared" si="4"/>
        <v>0.97920000000000007</v>
      </c>
      <c r="G118" s="1338"/>
      <c r="H118" s="1338"/>
      <c r="I118" s="136"/>
      <c r="J118" s="1274"/>
      <c r="K118" s="1274"/>
    </row>
    <row r="119" spans="2:16">
      <c r="B119" s="2833">
        <f>B118+1</f>
        <v>7</v>
      </c>
      <c r="C119" s="5777" t="s">
        <v>47</v>
      </c>
      <c r="D119" s="5777"/>
      <c r="E119" s="3503">
        <f>SUM(E113:E118)</f>
        <v>102.57</v>
      </c>
      <c r="F119" s="3504">
        <f>SUM(F113:F118)</f>
        <v>10.85145</v>
      </c>
      <c r="G119" s="1274"/>
      <c r="H119" s="1274"/>
      <c r="I119" s="136"/>
    </row>
    <row r="120" spans="2:16">
      <c r="B120" s="2833">
        <f>B119+1</f>
        <v>8</v>
      </c>
      <c r="C120" s="5777" t="s">
        <v>2346</v>
      </c>
      <c r="D120" s="5777"/>
      <c r="E120" s="1028"/>
      <c r="F120" s="3538">
        <f>F119/E119</f>
        <v>0.10579555425563031</v>
      </c>
      <c r="G120" s="1274"/>
      <c r="H120" s="1274"/>
      <c r="I120" s="136"/>
      <c r="J120" s="1349"/>
      <c r="K120" s="136"/>
    </row>
    <row r="121" spans="2:16">
      <c r="B121" s="2832"/>
      <c r="C121" s="2843"/>
      <c r="D121" s="2843"/>
      <c r="E121" s="1036"/>
      <c r="F121" s="1301"/>
      <c r="G121" s="1274"/>
      <c r="H121" s="1274"/>
      <c r="I121" s="136"/>
      <c r="J121" s="1349"/>
      <c r="K121" s="136"/>
    </row>
    <row r="122" spans="2:16">
      <c r="B122" s="5769" t="s">
        <v>2634</v>
      </c>
      <c r="C122" s="5769"/>
      <c r="D122" s="2843"/>
      <c r="E122" s="1036"/>
      <c r="F122" s="1301"/>
      <c r="G122" s="1274"/>
      <c r="H122" s="1274"/>
      <c r="I122" s="136"/>
      <c r="J122" s="1349"/>
      <c r="K122" s="136"/>
    </row>
    <row r="123" spans="2:16">
      <c r="B123" s="2832"/>
      <c r="E123" s="1036"/>
      <c r="F123" s="1274"/>
      <c r="G123" s="1274"/>
      <c r="H123" s="1274"/>
      <c r="I123" s="136"/>
      <c r="J123" s="1349"/>
      <c r="K123" s="136"/>
    </row>
    <row r="124" spans="2:16" ht="31.5">
      <c r="B124" s="2831" t="s">
        <v>101</v>
      </c>
      <c r="C124" s="2831" t="s">
        <v>2269</v>
      </c>
      <c r="D124" s="2831" t="s">
        <v>2344</v>
      </c>
      <c r="E124" s="1024" t="s">
        <v>2343</v>
      </c>
      <c r="F124" s="2844" t="s">
        <v>2345</v>
      </c>
      <c r="G124" s="1274"/>
      <c r="H124" s="1274"/>
      <c r="I124" s="136"/>
      <c r="J124" s="1349"/>
      <c r="K124" s="136"/>
    </row>
    <row r="125" spans="2:16">
      <c r="B125" s="2833">
        <v>1</v>
      </c>
      <c r="C125" s="840">
        <v>0.11</v>
      </c>
      <c r="D125" s="1351" t="s">
        <v>2635</v>
      </c>
      <c r="E125" s="1028">
        <f>'LoanDetails2013-14'!C9</f>
        <v>67.45</v>
      </c>
      <c r="F125" s="1028">
        <f>E125*C125</f>
        <v>7.4195000000000002</v>
      </c>
      <c r="G125" s="1274"/>
      <c r="H125" s="1274"/>
      <c r="I125" s="136"/>
      <c r="J125" s="1349"/>
      <c r="K125" s="136"/>
    </row>
    <row r="126" spans="2:16">
      <c r="B126" s="2833">
        <f>B125+1</f>
        <v>2</v>
      </c>
      <c r="C126" s="2830" t="s">
        <v>956</v>
      </c>
      <c r="D126" s="1352" t="s">
        <v>2380</v>
      </c>
      <c r="E126" s="1028">
        <f>'LoanDetails2013-14'!C7</f>
        <v>1.44</v>
      </c>
      <c r="F126" s="1028">
        <f>E126*C126</f>
        <v>0.20519999999999997</v>
      </c>
      <c r="G126" s="1274"/>
      <c r="H126" s="1274"/>
      <c r="I126" s="136"/>
      <c r="J126" s="1349"/>
      <c r="K126" s="136"/>
    </row>
    <row r="127" spans="2:16">
      <c r="B127" s="2833">
        <f>1+B126</f>
        <v>3</v>
      </c>
      <c r="C127" s="5373">
        <v>0.115</v>
      </c>
      <c r="D127" s="1635" t="s">
        <v>2630</v>
      </c>
      <c r="E127" s="1028">
        <v>9.0299999999999994</v>
      </c>
      <c r="F127" s="1028">
        <f>E127*C127</f>
        <v>1.0384499999999999</v>
      </c>
      <c r="G127" s="5375">
        <f>SUMPRODUCT(C127:C130,E127:E130)/SUM(E127:E130)</f>
        <v>0.10308006320779563</v>
      </c>
      <c r="H127" s="5375">
        <f>SUM(F127:F130)/SUM(E127:E130)</f>
        <v>0.10308006320779563</v>
      </c>
      <c r="I127" s="136"/>
      <c r="J127" s="1349"/>
      <c r="K127" s="136"/>
    </row>
    <row r="128" spans="2:16">
      <c r="B128" s="2833">
        <f>1+B127</f>
        <v>4</v>
      </c>
      <c r="C128" s="4507">
        <v>0.105</v>
      </c>
      <c r="D128" s="1635" t="s">
        <v>2631</v>
      </c>
      <c r="E128" s="2833">
        <v>9.0299999999999994</v>
      </c>
      <c r="F128" s="1028">
        <f t="shared" ref="F128:F130" si="5">E128*C128</f>
        <v>0.94814999999999994</v>
      </c>
      <c r="G128" s="5375"/>
      <c r="H128" s="5375"/>
      <c r="I128" s="136"/>
      <c r="J128" s="1349"/>
      <c r="K128" s="136"/>
    </row>
    <row r="129" spans="2:11">
      <c r="B129" s="2833">
        <f>B128+1</f>
        <v>5</v>
      </c>
      <c r="C129" s="4507">
        <v>0.105</v>
      </c>
      <c r="D129" s="1635" t="s">
        <v>2632</v>
      </c>
      <c r="E129" s="2833">
        <v>9.0299999999999994</v>
      </c>
      <c r="F129" s="1028">
        <f t="shared" si="5"/>
        <v>0.94814999999999994</v>
      </c>
      <c r="G129" s="1338"/>
      <c r="H129" s="1338"/>
      <c r="I129" s="136"/>
      <c r="J129" s="1349"/>
      <c r="K129" s="136"/>
    </row>
    <row r="130" spans="2:11">
      <c r="B130" s="2833">
        <f>B129+1</f>
        <v>6</v>
      </c>
      <c r="C130" s="4507">
        <v>0.09</v>
      </c>
      <c r="D130" s="1635" t="s">
        <v>2633</v>
      </c>
      <c r="E130" s="1028">
        <v>10.88</v>
      </c>
      <c r="F130" s="1028">
        <f t="shared" si="5"/>
        <v>0.97920000000000007</v>
      </c>
      <c r="G130" s="1274"/>
      <c r="H130" s="1274"/>
      <c r="I130" s="136"/>
      <c r="J130" s="136"/>
      <c r="K130" s="136"/>
    </row>
    <row r="131" spans="2:11">
      <c r="B131" s="2833">
        <f>B130+1</f>
        <v>7</v>
      </c>
      <c r="C131" s="5773" t="s">
        <v>47</v>
      </c>
      <c r="D131" s="5774"/>
      <c r="E131" s="3503">
        <f>SUM(E125:E130)</f>
        <v>106.86</v>
      </c>
      <c r="F131" s="3504">
        <f>SUM(F125:F130)</f>
        <v>11.538650000000001</v>
      </c>
      <c r="G131" s="1274"/>
      <c r="H131" s="1274"/>
      <c r="I131" s="136"/>
      <c r="J131" s="1349"/>
      <c r="K131" s="136"/>
    </row>
    <row r="132" spans="2:11">
      <c r="B132" s="2833">
        <f>B131+1</f>
        <v>8</v>
      </c>
      <c r="C132" s="5775" t="s">
        <v>2346</v>
      </c>
      <c r="D132" s="5775"/>
      <c r="E132" s="1028"/>
      <c r="F132" s="3538">
        <f>F131/E131</f>
        <v>0.10797913157402209</v>
      </c>
      <c r="G132" s="1274"/>
      <c r="H132" s="1274"/>
      <c r="I132" s="136"/>
      <c r="J132" s="1349"/>
      <c r="K132" s="136"/>
    </row>
    <row r="133" spans="2:11">
      <c r="B133" s="2832"/>
      <c r="C133" s="2843"/>
      <c r="D133" s="2843"/>
      <c r="E133" s="1036"/>
      <c r="F133" s="1301"/>
      <c r="G133" s="1274"/>
      <c r="H133" s="1274"/>
      <c r="I133" s="136"/>
      <c r="J133" s="1349"/>
      <c r="K133" s="136"/>
    </row>
    <row r="134" spans="2:11" hidden="1">
      <c r="B134" s="5769" t="s">
        <v>3305</v>
      </c>
      <c r="C134" s="5769"/>
      <c r="D134" s="2843"/>
      <c r="E134" s="1036"/>
      <c r="F134" s="1301"/>
      <c r="G134" s="1274"/>
      <c r="H134" s="1274"/>
      <c r="I134" s="136"/>
      <c r="J134" s="1349"/>
      <c r="K134" s="136"/>
    </row>
    <row r="135" spans="2:11" hidden="1">
      <c r="B135" s="4305"/>
      <c r="E135" s="1036"/>
      <c r="F135" s="1274"/>
      <c r="G135" s="1274"/>
      <c r="H135" s="1274"/>
      <c r="I135" s="136"/>
      <c r="J135" s="1349"/>
      <c r="K135" s="136"/>
    </row>
    <row r="136" spans="2:11" ht="31.5" hidden="1">
      <c r="B136" s="4306" t="s">
        <v>101</v>
      </c>
      <c r="C136" s="4306" t="s">
        <v>2269</v>
      </c>
      <c r="D136" s="4306" t="s">
        <v>2344</v>
      </c>
      <c r="E136" s="1024" t="s">
        <v>2343</v>
      </c>
      <c r="F136" s="2844" t="s">
        <v>2345</v>
      </c>
      <c r="G136" s="1274"/>
      <c r="H136" s="1274"/>
      <c r="I136" s="136"/>
      <c r="J136" s="1349"/>
      <c r="K136" s="136"/>
    </row>
    <row r="137" spans="2:11" hidden="1">
      <c r="B137" s="3514">
        <v>1</v>
      </c>
      <c r="C137" s="840">
        <v>0.10249999999999999</v>
      </c>
      <c r="D137" s="1351" t="s">
        <v>2838</v>
      </c>
      <c r="E137" s="1028">
        <v>54.86</v>
      </c>
      <c r="F137" s="1028">
        <f>E137*C137</f>
        <v>5.6231499999999999</v>
      </c>
      <c r="G137" s="1274"/>
      <c r="H137" s="1274"/>
      <c r="I137" s="136"/>
      <c r="J137" s="1349"/>
      <c r="K137" s="136"/>
    </row>
    <row r="138" spans="2:11" hidden="1">
      <c r="B138" s="3514">
        <f>B137+1</f>
        <v>2</v>
      </c>
      <c r="C138" s="4309" t="s">
        <v>956</v>
      </c>
      <c r="D138" s="1352" t="s">
        <v>2380</v>
      </c>
      <c r="E138" s="1028">
        <v>1.28</v>
      </c>
      <c r="F138" s="1028">
        <f>E138*C138</f>
        <v>0.18239999999999998</v>
      </c>
      <c r="G138" s="1274"/>
      <c r="H138" s="1274"/>
      <c r="I138" s="136"/>
      <c r="J138" s="1349"/>
      <c r="K138" s="136"/>
    </row>
    <row r="139" spans="2:11" hidden="1">
      <c r="B139" s="3514">
        <f>1+B138</f>
        <v>3</v>
      </c>
      <c r="C139" s="840">
        <v>0.115</v>
      </c>
      <c r="D139" s="1635" t="s">
        <v>2630</v>
      </c>
      <c r="E139" s="1028">
        <v>5.27</v>
      </c>
      <c r="F139" s="1028">
        <f>E139*C139</f>
        <v>0.60604999999999998</v>
      </c>
      <c r="G139" s="1274">
        <f>SUM(F139:F142)/SUM(E139:E142)</f>
        <v>4.9513888888888885E-2</v>
      </c>
      <c r="H139" s="1274"/>
      <c r="I139" s="136"/>
      <c r="J139" s="1349"/>
      <c r="K139" s="136"/>
    </row>
    <row r="140" spans="2:11" hidden="1">
      <c r="B140" s="3514">
        <f>1+B139</f>
        <v>4</v>
      </c>
      <c r="C140" s="1030">
        <v>0.105</v>
      </c>
      <c r="D140" s="1635" t="s">
        <v>2631</v>
      </c>
      <c r="E140" s="3514">
        <v>19.21</v>
      </c>
      <c r="F140" s="1028">
        <f>C139*E139</f>
        <v>0.60604999999999998</v>
      </c>
      <c r="G140" s="1274"/>
      <c r="H140" s="1274"/>
      <c r="I140" s="136"/>
      <c r="J140" s="1349"/>
      <c r="K140" s="136"/>
    </row>
    <row r="141" spans="2:11" hidden="1">
      <c r="B141" s="3514">
        <f>B140+1</f>
        <v>5</v>
      </c>
      <c r="C141" s="1030">
        <v>0.105</v>
      </c>
      <c r="D141" s="1635" t="s">
        <v>2632</v>
      </c>
      <c r="E141" s="3514">
        <v>0</v>
      </c>
      <c r="F141" s="1028">
        <f>E141*C141</f>
        <v>0</v>
      </c>
      <c r="G141" s="1274"/>
      <c r="H141" s="1274"/>
      <c r="I141" s="136"/>
      <c r="J141" s="1349"/>
      <c r="K141" s="136"/>
    </row>
    <row r="142" spans="2:11" hidden="1">
      <c r="B142" s="3514">
        <f>B141+1</f>
        <v>6</v>
      </c>
      <c r="C142" s="1030">
        <v>0.09</v>
      </c>
      <c r="D142" s="1635" t="s">
        <v>2633</v>
      </c>
      <c r="E142" s="1028">
        <v>0</v>
      </c>
      <c r="F142" s="2845">
        <f>E142*C142</f>
        <v>0</v>
      </c>
      <c r="G142" s="1274"/>
      <c r="H142" s="1274"/>
      <c r="I142" s="136"/>
      <c r="J142" s="1349"/>
      <c r="K142" s="136"/>
    </row>
    <row r="143" spans="2:11" hidden="1">
      <c r="B143" s="3514">
        <f t="shared" ref="B143:B145" si="6">B142+1</f>
        <v>7</v>
      </c>
      <c r="C143" s="1030"/>
      <c r="D143" s="4378"/>
      <c r="E143" s="1028"/>
      <c r="F143" s="2845">
        <f>E143*C143</f>
        <v>0</v>
      </c>
      <c r="G143" s="1274"/>
      <c r="H143" s="1274"/>
      <c r="I143" s="136"/>
      <c r="J143" s="1349"/>
      <c r="K143" s="136"/>
    </row>
    <row r="144" spans="2:11" hidden="1">
      <c r="B144" s="3514">
        <f t="shared" si="6"/>
        <v>8</v>
      </c>
      <c r="C144" s="5773" t="s">
        <v>47</v>
      </c>
      <c r="D144" s="5774"/>
      <c r="E144" s="3503">
        <f>SUM(E137:E143)</f>
        <v>80.62</v>
      </c>
      <c r="F144" s="3504">
        <f>SUM(F137:F143)</f>
        <v>7.0176499999999997</v>
      </c>
      <c r="G144" s="1274"/>
      <c r="H144" s="1274"/>
      <c r="I144" s="136"/>
      <c r="J144" s="1349"/>
      <c r="K144" s="136"/>
    </row>
    <row r="145" spans="2:11" hidden="1">
      <c r="B145" s="3514">
        <f t="shared" si="6"/>
        <v>9</v>
      </c>
      <c r="C145" s="5775" t="s">
        <v>2346</v>
      </c>
      <c r="D145" s="5775"/>
      <c r="E145" s="1028"/>
      <c r="F145" s="3538">
        <f>F144/E144</f>
        <v>8.70460183577276E-2</v>
      </c>
      <c r="G145" s="1274"/>
      <c r="H145" s="1274"/>
      <c r="I145" s="136"/>
      <c r="J145" s="1349"/>
      <c r="K145" s="136"/>
    </row>
    <row r="146" spans="2:11" hidden="1">
      <c r="B146" s="2832"/>
      <c r="C146" s="2843"/>
      <c r="D146" s="2843"/>
      <c r="E146" s="1036"/>
      <c r="F146" s="1301"/>
      <c r="G146" s="1274"/>
      <c r="H146" s="1274"/>
      <c r="I146" s="136"/>
      <c r="J146" s="1349"/>
      <c r="K146" s="136"/>
    </row>
    <row r="147" spans="2:11" hidden="1">
      <c r="B147" s="5769" t="s">
        <v>3750</v>
      </c>
      <c r="C147" s="5769"/>
      <c r="D147" s="2843"/>
      <c r="E147" s="1036"/>
      <c r="F147" s="1301"/>
      <c r="G147" s="1274"/>
      <c r="H147" s="1274"/>
      <c r="I147" s="136"/>
      <c r="J147" s="1349"/>
      <c r="K147" s="136"/>
    </row>
    <row r="148" spans="2:11" hidden="1">
      <c r="B148" s="5093"/>
      <c r="C148" s="5093"/>
      <c r="D148" s="2843"/>
      <c r="E148" s="1036"/>
      <c r="F148" s="1301"/>
      <c r="G148" s="1274"/>
      <c r="H148" s="1274"/>
      <c r="I148" s="136"/>
      <c r="J148" s="1349"/>
      <c r="K148" s="136"/>
    </row>
    <row r="149" spans="2:11" ht="31.5" hidden="1">
      <c r="B149" s="5094" t="s">
        <v>101</v>
      </c>
      <c r="C149" s="5094" t="s">
        <v>2269</v>
      </c>
      <c r="D149" s="5094" t="s">
        <v>2344</v>
      </c>
      <c r="E149" s="1024" t="s">
        <v>2343</v>
      </c>
      <c r="F149" s="2844" t="s">
        <v>2345</v>
      </c>
      <c r="G149" s="1274"/>
      <c r="H149" s="1274"/>
      <c r="I149" s="136"/>
      <c r="J149" s="1349"/>
      <c r="K149" s="136"/>
    </row>
    <row r="150" spans="2:11" hidden="1">
      <c r="B150" s="3514">
        <v>1</v>
      </c>
      <c r="C150" s="840">
        <v>0.10249999999999999</v>
      </c>
      <c r="D150" s="1351" t="s">
        <v>2838</v>
      </c>
      <c r="E150" s="1028">
        <v>0</v>
      </c>
      <c r="F150" s="1028">
        <f>E150*C150</f>
        <v>0</v>
      </c>
      <c r="G150" s="1274"/>
      <c r="H150" s="1274"/>
      <c r="I150" s="136"/>
      <c r="J150" s="1349"/>
      <c r="K150" s="136"/>
    </row>
    <row r="151" spans="2:11" hidden="1">
      <c r="B151" s="3514">
        <f>B150+1</f>
        <v>2</v>
      </c>
      <c r="C151" s="5099" t="s">
        <v>956</v>
      </c>
      <c r="D151" s="1352" t="s">
        <v>2380</v>
      </c>
      <c r="E151" s="1028">
        <v>1.1100000000000001</v>
      </c>
      <c r="F151" s="1028">
        <f>E151*C151</f>
        <v>0.15817500000000001</v>
      </c>
      <c r="G151" s="1274"/>
      <c r="H151" s="1274"/>
      <c r="I151" s="136"/>
      <c r="J151" s="1349"/>
      <c r="K151" s="136"/>
    </row>
    <row r="152" spans="2:11" hidden="1">
      <c r="B152" s="3514">
        <f>1+B151</f>
        <v>3</v>
      </c>
      <c r="C152" s="840">
        <v>0.115</v>
      </c>
      <c r="D152" s="1635" t="s">
        <v>2630</v>
      </c>
      <c r="E152" s="5095">
        <v>4.74</v>
      </c>
      <c r="F152" s="1028">
        <f>E152*C152</f>
        <v>0.54510000000000003</v>
      </c>
      <c r="G152" s="1274"/>
      <c r="H152" s="1274"/>
      <c r="I152" s="136"/>
      <c r="J152" s="1349"/>
      <c r="K152" s="136"/>
    </row>
    <row r="153" spans="2:11" hidden="1">
      <c r="B153" s="3514">
        <f>1+B152</f>
        <v>4</v>
      </c>
      <c r="C153" s="1030">
        <v>0.105</v>
      </c>
      <c r="D153" s="1635" t="s">
        <v>2631</v>
      </c>
      <c r="E153" s="5098">
        <v>17.53</v>
      </c>
      <c r="F153" s="1028">
        <f>C152*E152</f>
        <v>0.54510000000000003</v>
      </c>
      <c r="G153" s="1274"/>
      <c r="H153" s="1274"/>
      <c r="I153" s="136"/>
      <c r="J153" s="1349"/>
      <c r="K153" s="136"/>
    </row>
    <row r="154" spans="2:11" hidden="1">
      <c r="B154" s="3514">
        <f>B153+1</f>
        <v>5</v>
      </c>
      <c r="C154" s="1030">
        <v>0.105</v>
      </c>
      <c r="D154" s="1635" t="s">
        <v>2632</v>
      </c>
      <c r="E154" s="3514">
        <v>0</v>
      </c>
      <c r="F154" s="1028">
        <f>E154*C154</f>
        <v>0</v>
      </c>
      <c r="G154" s="1274"/>
      <c r="H154" s="1274"/>
      <c r="I154" s="136"/>
      <c r="J154" s="1349"/>
      <c r="K154" s="136"/>
    </row>
    <row r="155" spans="2:11" hidden="1">
      <c r="B155" s="3514">
        <f>B154+1</f>
        <v>6</v>
      </c>
      <c r="C155" s="1030">
        <v>0.09</v>
      </c>
      <c r="D155" s="1635" t="s">
        <v>2633</v>
      </c>
      <c r="E155" s="1028">
        <v>0</v>
      </c>
      <c r="F155" s="2845">
        <f>E155*C155</f>
        <v>0</v>
      </c>
      <c r="G155" s="1274"/>
      <c r="H155" s="1274"/>
      <c r="I155" s="136"/>
      <c r="J155" s="1349"/>
      <c r="K155" s="136"/>
    </row>
    <row r="156" spans="2:11" hidden="1">
      <c r="B156" s="3514">
        <f t="shared" ref="B156:B158" si="7">B155+1</f>
        <v>7</v>
      </c>
      <c r="C156" s="1030">
        <v>0.105</v>
      </c>
      <c r="D156" s="4378" t="s">
        <v>3751</v>
      </c>
      <c r="E156" s="1028">
        <v>91.75</v>
      </c>
      <c r="F156" s="2845">
        <f>E156*C156</f>
        <v>9.6337499999999991</v>
      </c>
      <c r="G156" s="1274"/>
      <c r="H156" s="1274"/>
      <c r="I156" s="136"/>
      <c r="J156" s="1349"/>
      <c r="K156" s="136"/>
    </row>
    <row r="157" spans="2:11" hidden="1">
      <c r="B157" s="3514">
        <f t="shared" si="7"/>
        <v>8</v>
      </c>
      <c r="C157" s="5773" t="s">
        <v>47</v>
      </c>
      <c r="D157" s="5774"/>
      <c r="E157" s="3503">
        <f>SUM(E150:E156)</f>
        <v>115.13</v>
      </c>
      <c r="F157" s="3504">
        <f>SUM(F150:F156)</f>
        <v>10.882124999999998</v>
      </c>
      <c r="G157" s="1274"/>
      <c r="H157" s="1274"/>
      <c r="I157" s="136"/>
      <c r="J157" s="1349"/>
      <c r="K157" s="136"/>
    </row>
    <row r="158" spans="2:11" hidden="1">
      <c r="B158" s="3514">
        <f t="shared" si="7"/>
        <v>9</v>
      </c>
      <c r="C158" s="5775" t="s">
        <v>2346</v>
      </c>
      <c r="D158" s="5775"/>
      <c r="E158" s="1028"/>
      <c r="F158" s="3538">
        <f>F157/E157</f>
        <v>9.4520324850169368E-2</v>
      </c>
      <c r="G158" s="1274"/>
      <c r="H158" s="1274"/>
      <c r="I158" s="136"/>
      <c r="J158" s="1349"/>
      <c r="K158" s="136"/>
    </row>
    <row r="159" spans="2:11" hidden="1">
      <c r="B159" s="5074"/>
      <c r="C159" s="2843"/>
      <c r="D159" s="2843"/>
      <c r="E159" s="1036"/>
      <c r="F159" s="1301"/>
      <c r="G159" s="1274"/>
      <c r="H159" s="1274"/>
      <c r="I159" s="136"/>
      <c r="J159" s="1349"/>
      <c r="K159" s="136"/>
    </row>
    <row r="160" spans="2:11" hidden="1">
      <c r="B160" s="5074"/>
      <c r="C160" s="2843"/>
      <c r="D160" s="2843"/>
      <c r="E160" s="1036"/>
      <c r="F160" s="1301"/>
      <c r="G160" s="1274"/>
      <c r="H160" s="1274"/>
      <c r="I160" s="136"/>
      <c r="J160" s="1349"/>
      <c r="K160" s="136"/>
    </row>
    <row r="161" spans="1:19" s="1307" customFormat="1">
      <c r="A161" s="357"/>
      <c r="B161" s="357"/>
      <c r="C161" s="357"/>
      <c r="D161" s="357"/>
      <c r="E161" s="357"/>
      <c r="F161" s="357"/>
      <c r="G161" s="357"/>
      <c r="H161" s="357"/>
      <c r="S161" s="1308"/>
    </row>
    <row r="162" spans="1:19">
      <c r="S162" s="138"/>
    </row>
    <row r="163" spans="1:19">
      <c r="B163" s="5769" t="s">
        <v>2885</v>
      </c>
      <c r="C163" s="5769"/>
    </row>
    <row r="164" spans="1:19">
      <c r="M164" s="3767" t="s">
        <v>151</v>
      </c>
    </row>
    <row r="165" spans="1:19">
      <c r="B165" s="5743" t="s">
        <v>101</v>
      </c>
      <c r="C165" s="5743" t="s">
        <v>81</v>
      </c>
      <c r="D165" s="5743" t="s">
        <v>1897</v>
      </c>
      <c r="E165" s="5744" t="s">
        <v>82</v>
      </c>
      <c r="F165" s="5744"/>
      <c r="G165" s="5747" t="s">
        <v>1845</v>
      </c>
      <c r="H165" s="5748"/>
      <c r="I165" s="5350"/>
      <c r="J165" s="5744" t="s">
        <v>2613</v>
      </c>
      <c r="K165" s="5744"/>
      <c r="L165" s="5744"/>
      <c r="M165" s="5744"/>
    </row>
    <row r="166" spans="1:19">
      <c r="B166" s="5743"/>
      <c r="C166" s="5743"/>
      <c r="D166" s="5743"/>
      <c r="E166" s="5744"/>
      <c r="F166" s="5744"/>
      <c r="G166" s="5749"/>
      <c r="H166" s="5750"/>
      <c r="I166" s="5351"/>
      <c r="J166" s="5744" t="s">
        <v>2442</v>
      </c>
      <c r="K166" s="5744"/>
      <c r="L166" s="5744" t="s">
        <v>2443</v>
      </c>
      <c r="M166" s="5744"/>
    </row>
    <row r="167" spans="1:19">
      <c r="B167" s="5743"/>
      <c r="C167" s="5743"/>
      <c r="D167" s="5744" t="s">
        <v>1043</v>
      </c>
      <c r="E167" s="5744" t="s">
        <v>755</v>
      </c>
      <c r="F167" s="5744" t="s">
        <v>3297</v>
      </c>
      <c r="G167" s="5744" t="s">
        <v>755</v>
      </c>
      <c r="H167" s="5744" t="s">
        <v>3297</v>
      </c>
      <c r="I167" s="5744" t="s">
        <v>3297</v>
      </c>
      <c r="J167" s="5744" t="s">
        <v>755</v>
      </c>
      <c r="K167" s="5744" t="s">
        <v>3297</v>
      </c>
      <c r="L167" s="5744" t="s">
        <v>755</v>
      </c>
      <c r="M167" s="5744" t="s">
        <v>3297</v>
      </c>
    </row>
    <row r="168" spans="1:19">
      <c r="B168" s="5743"/>
      <c r="C168" s="5743"/>
      <c r="D168" s="5744"/>
      <c r="E168" s="5744"/>
      <c r="F168" s="5744"/>
      <c r="G168" s="5744"/>
      <c r="H168" s="5744"/>
      <c r="I168" s="5744"/>
      <c r="J168" s="5744"/>
      <c r="K168" s="5744"/>
      <c r="L168" s="5744"/>
      <c r="M168" s="5744"/>
    </row>
    <row r="169" spans="1:19">
      <c r="B169" s="1340"/>
      <c r="C169" s="1340"/>
      <c r="D169" s="1340"/>
      <c r="E169" s="1340"/>
      <c r="F169" s="1390"/>
      <c r="G169" s="1391"/>
      <c r="H169" s="1391"/>
      <c r="I169" s="1390"/>
      <c r="J169" s="1390"/>
      <c r="K169" s="142"/>
      <c r="L169" s="142"/>
      <c r="M169" s="142"/>
    </row>
    <row r="170" spans="1:19">
      <c r="B170" s="4518">
        <v>1</v>
      </c>
      <c r="C170" s="4514" t="s">
        <v>691</v>
      </c>
      <c r="D170" s="1035"/>
      <c r="E170" s="4515"/>
      <c r="F170" s="1035"/>
      <c r="G170" s="1035"/>
      <c r="H170" s="1035"/>
      <c r="I170" s="1035"/>
      <c r="J170" s="1035"/>
      <c r="K170" s="1035"/>
      <c r="L170" s="1035"/>
      <c r="M170" s="1035"/>
    </row>
    <row r="171" spans="1:19" ht="31.5">
      <c r="B171" s="1393">
        <f>+B170+0.1</f>
        <v>1.1000000000000001</v>
      </c>
      <c r="C171" s="1392" t="s">
        <v>692</v>
      </c>
      <c r="D171" s="4516">
        <v>28.473333333333329</v>
      </c>
      <c r="E171" s="3470">
        <f>(1/12)*'F3'!F17</f>
        <v>33.905833333333334</v>
      </c>
      <c r="F171" s="3470">
        <f>(1/12)*'F3'!H17</f>
        <v>32.5625</v>
      </c>
      <c r="G171" s="3470">
        <v>36.200000000000003</v>
      </c>
      <c r="H171" s="3470">
        <f>(1/12)*'F3'!K17</f>
        <v>38.680000000000007</v>
      </c>
      <c r="J171" s="3470">
        <v>39.53</v>
      </c>
      <c r="K171" s="3470">
        <f>(1/12)*'ARR Summary'!L11</f>
        <v>42.791666666666657</v>
      </c>
      <c r="L171" s="3470">
        <v>43.21</v>
      </c>
      <c r="M171" s="3470">
        <f>'ARR Summary'!N11*1/12</f>
        <v>46.637499999999996</v>
      </c>
    </row>
    <row r="172" spans="1:19" ht="31.5">
      <c r="B172" s="1393">
        <f>+B171+0.1</f>
        <v>1.2000000000000002</v>
      </c>
      <c r="C172" s="475" t="s">
        <v>693</v>
      </c>
      <c r="D172" s="3467">
        <v>1.1499999999999999</v>
      </c>
      <c r="E172" s="3470">
        <v>1.21</v>
      </c>
      <c r="F172" s="3470">
        <f>295034960/10^7/12</f>
        <v>2.4586246666666667</v>
      </c>
      <c r="G172" s="3470">
        <v>1.27</v>
      </c>
      <c r="H172" s="3470">
        <f>'WC FY 2013-14'!D6</f>
        <v>2.29</v>
      </c>
      <c r="J172" s="3470">
        <v>1.33</v>
      </c>
      <c r="K172" s="3470">
        <f>$H172</f>
        <v>2.29</v>
      </c>
      <c r="L172" s="3470">
        <v>1.4</v>
      </c>
      <c r="M172" s="3470">
        <f>$H172</f>
        <v>2.29</v>
      </c>
    </row>
    <row r="173" spans="1:19" ht="31.5">
      <c r="B173" s="1393">
        <f>+B172+0.1</f>
        <v>1.3000000000000003</v>
      </c>
      <c r="C173" s="475" t="s">
        <v>694</v>
      </c>
      <c r="D173" s="3467">
        <v>424.59503178586675</v>
      </c>
      <c r="E173" s="3470">
        <v>647.1</v>
      </c>
      <c r="F173" s="3470">
        <f>'ARR Summary'!F36/6</f>
        <v>601.78765087864326</v>
      </c>
      <c r="G173" s="3470">
        <v>671.26</v>
      </c>
      <c r="H173" s="4519">
        <f>'ARR Summary'!I36/6</f>
        <v>646.08282526895175</v>
      </c>
      <c r="J173" s="3470">
        <v>715.54</v>
      </c>
      <c r="K173" s="3470">
        <f>'ARR Summary'!L36/6</f>
        <v>755.28904036738675</v>
      </c>
      <c r="L173" s="3470">
        <v>726.85</v>
      </c>
      <c r="M173" s="3470">
        <f>'ARR Summary'!N36/6</f>
        <v>838.51540318841228</v>
      </c>
      <c r="R173" s="357"/>
    </row>
    <row r="174" spans="1:19">
      <c r="B174" s="1393"/>
      <c r="C174" s="1394" t="s">
        <v>695</v>
      </c>
      <c r="D174" s="3468"/>
      <c r="E174" s="3469"/>
      <c r="F174" s="3470"/>
      <c r="G174" s="3470"/>
      <c r="H174" s="3470"/>
      <c r="J174" s="4517"/>
      <c r="K174" s="3470"/>
      <c r="L174" s="3470"/>
      <c r="M174" s="3470"/>
      <c r="R174" s="357"/>
    </row>
    <row r="175" spans="1:19">
      <c r="B175" s="1393">
        <v>1.4</v>
      </c>
      <c r="C175" s="1395" t="s">
        <v>696</v>
      </c>
      <c r="D175" s="4471"/>
      <c r="E175" s="3470"/>
      <c r="F175" s="3470"/>
      <c r="G175" s="3470"/>
      <c r="H175" s="3470"/>
      <c r="J175" s="4517"/>
      <c r="K175" s="3470"/>
      <c r="L175" s="3470"/>
      <c r="M175" s="3470"/>
      <c r="R175" s="357"/>
    </row>
    <row r="176" spans="1:19">
      <c r="B176" s="1393" t="s">
        <v>233</v>
      </c>
      <c r="C176" s="1392" t="s">
        <v>697</v>
      </c>
      <c r="D176" s="3467">
        <v>232.7</v>
      </c>
      <c r="E176" s="3469">
        <v>237.94</v>
      </c>
      <c r="F176" s="3469">
        <f>'CurrentLiabilities 2012-13'!J14</f>
        <v>259.76</v>
      </c>
      <c r="G176" s="3470">
        <v>245.08</v>
      </c>
      <c r="H176" s="3470">
        <f>'WC FY 2013-14'!D10</f>
        <v>252.52</v>
      </c>
      <c r="J176" s="3470">
        <v>252.43</v>
      </c>
      <c r="K176" s="5076">
        <v>348.2</v>
      </c>
      <c r="L176" s="3470">
        <v>260</v>
      </c>
      <c r="M176" s="3470">
        <f>K176*(1+Assumptions!H81)</f>
        <v>358.64600000000002</v>
      </c>
      <c r="R176" s="357"/>
      <c r="S176" s="357"/>
    </row>
    <row r="177" spans="2:19">
      <c r="B177" s="1393" t="s">
        <v>234</v>
      </c>
      <c r="C177" s="1392" t="s">
        <v>698</v>
      </c>
      <c r="D177" s="3467">
        <v>0</v>
      </c>
      <c r="E177" s="3469">
        <v>0</v>
      </c>
      <c r="F177" s="3469">
        <v>0</v>
      </c>
      <c r="G177" s="3470">
        <v>0</v>
      </c>
      <c r="H177" s="3469">
        <v>0</v>
      </c>
      <c r="J177" s="3469">
        <v>0</v>
      </c>
      <c r="K177" s="3469">
        <v>0</v>
      </c>
      <c r="L177" s="3469">
        <v>0</v>
      </c>
      <c r="M177" s="3469">
        <v>0</v>
      </c>
      <c r="R177" s="357"/>
      <c r="S177" s="357"/>
    </row>
    <row r="178" spans="2:19">
      <c r="B178" s="1393"/>
      <c r="C178" s="475"/>
      <c r="D178" s="1023" t="s">
        <v>94</v>
      </c>
      <c r="E178" s="3469"/>
      <c r="F178" s="3469"/>
      <c r="G178" s="3470"/>
      <c r="H178" s="3470"/>
      <c r="J178" s="4517"/>
      <c r="K178" s="3470"/>
      <c r="L178" s="3470"/>
      <c r="M178" s="3470"/>
      <c r="R178" s="357"/>
      <c r="S178" s="357"/>
    </row>
    <row r="179" spans="2:19" ht="31.5">
      <c r="B179" s="1393">
        <v>1.5</v>
      </c>
      <c r="C179" s="475" t="s">
        <v>2307</v>
      </c>
      <c r="D179" s="3467">
        <v>59.811287671232868</v>
      </c>
      <c r="E179" s="5347"/>
      <c r="F179" s="5348"/>
      <c r="G179" s="5348"/>
      <c r="H179" s="5349"/>
      <c r="J179" s="3768"/>
      <c r="K179" s="3470"/>
      <c r="L179" s="3470"/>
      <c r="M179" s="3470"/>
      <c r="R179" s="357"/>
      <c r="S179" s="357"/>
    </row>
    <row r="180" spans="2:19" ht="31.5">
      <c r="B180" s="1393"/>
      <c r="C180" s="475" t="s">
        <v>2308</v>
      </c>
      <c r="D180" s="3467" t="s">
        <v>94</v>
      </c>
      <c r="E180" s="3469">
        <v>240.56443999999999</v>
      </c>
      <c r="F180" s="3469">
        <f>'F2'!J30/12</f>
        <v>244.02388052505441</v>
      </c>
      <c r="G180" s="3470">
        <v>248.95</v>
      </c>
      <c r="H180" s="3470">
        <f>'F2'!P30/12</f>
        <v>218.94694533942356</v>
      </c>
      <c r="J180" s="3470">
        <f>'F2'!$S$30/12</f>
        <v>267.47250000000003</v>
      </c>
      <c r="K180" s="3470">
        <f>'F2'!$V$30/12</f>
        <v>233.80562427226371</v>
      </c>
      <c r="L180" s="3470">
        <f>'F2'!$Y$30/12</f>
        <v>287.73083333333335</v>
      </c>
      <c r="M180" s="3470">
        <f>'F2'!$AB$30/12</f>
        <v>243.59826954646951</v>
      </c>
      <c r="R180" s="357"/>
      <c r="S180" s="357"/>
    </row>
    <row r="181" spans="2:19">
      <c r="B181" s="4520"/>
      <c r="C181" s="1396" t="s">
        <v>699</v>
      </c>
      <c r="D181" s="3469">
        <f>(D171+D172+D173)-(D176+D177+D179)</f>
        <v>161.70707744796721</v>
      </c>
      <c r="E181" s="3469">
        <f>(E171+E172+E173)-(E176+E177+E180)</f>
        <v>203.71139333333332</v>
      </c>
      <c r="F181" s="3469">
        <f>(F171+F172+F173)-(F176+F180)</f>
        <v>133.02489502025549</v>
      </c>
      <c r="G181" s="3469">
        <f>(G171+G172+G173)-(G176+G180)</f>
        <v>214.70000000000005</v>
      </c>
      <c r="H181" s="3469">
        <f>(H171+H172+H173)-(H176+H180)</f>
        <v>215.58587992952823</v>
      </c>
      <c r="J181" s="3469">
        <f>(J171+J172+J173)-(J176+J180)</f>
        <v>236.49749999999995</v>
      </c>
      <c r="K181" s="3470">
        <f>SUM(K171:K173)-SUM(K176,K180)</f>
        <v>218.36508276178972</v>
      </c>
      <c r="L181" s="3469">
        <f>(L171+L172+L173)-(L176+L180)</f>
        <v>223.72916666666674</v>
      </c>
      <c r="M181" s="3470">
        <f>(M171+M172+M173)-(M176+M180)</f>
        <v>285.19863364194282</v>
      </c>
      <c r="R181" s="357"/>
      <c r="S181" s="357"/>
    </row>
    <row r="182" spans="2:19">
      <c r="B182" s="4520"/>
      <c r="C182" s="475"/>
      <c r="D182" s="3467">
        <v>0</v>
      </c>
      <c r="E182" s="3469"/>
      <c r="F182" s="3470"/>
      <c r="G182" s="3470"/>
      <c r="H182" s="3470"/>
      <c r="J182" s="3470"/>
      <c r="K182" s="3470"/>
      <c r="L182" s="3470"/>
      <c r="M182" s="3470"/>
      <c r="R182" s="357"/>
      <c r="S182" s="357"/>
    </row>
    <row r="183" spans="2:19">
      <c r="B183" s="4518">
        <v>2</v>
      </c>
      <c r="C183" s="1395" t="s">
        <v>700</v>
      </c>
      <c r="D183" s="3467" t="s">
        <v>94</v>
      </c>
      <c r="E183" s="3469"/>
      <c r="F183" s="3470"/>
      <c r="G183" s="3470"/>
      <c r="H183" s="3470"/>
      <c r="J183" s="3470"/>
      <c r="K183" s="3470"/>
      <c r="L183" s="3470"/>
      <c r="M183" s="3470"/>
      <c r="R183" s="357"/>
      <c r="S183" s="357"/>
    </row>
    <row r="184" spans="2:19">
      <c r="B184" s="1393">
        <f>+B183+0.1</f>
        <v>2.1</v>
      </c>
      <c r="C184" s="1392" t="s">
        <v>583</v>
      </c>
      <c r="D184" s="3471">
        <v>0.14749999999999999</v>
      </c>
      <c r="E184" s="3472">
        <v>0.14449999999999999</v>
      </c>
      <c r="F184" s="3472">
        <f>Assumptions!E41</f>
        <v>0.14449999999999999</v>
      </c>
      <c r="G184" s="3472">
        <v>0.14449999999999999</v>
      </c>
      <c r="H184" s="3472">
        <f>Assumptions!F41</f>
        <v>0.14449999999999999</v>
      </c>
      <c r="J184" s="3472">
        <v>0.14449999999999999</v>
      </c>
      <c r="K184" s="3472">
        <f>Assumptions!G41</f>
        <v>0.14749999999999999</v>
      </c>
      <c r="L184" s="3472">
        <v>0.14449999999999999</v>
      </c>
      <c r="M184" s="3472">
        <f>Assumptions!H41</f>
        <v>0.14749999999999999</v>
      </c>
      <c r="R184" s="357"/>
      <c r="S184" s="357"/>
    </row>
    <row r="185" spans="2:19">
      <c r="B185" s="4521">
        <f>+B184+0.1</f>
        <v>2.2000000000000002</v>
      </c>
      <c r="C185" s="1395" t="s">
        <v>701</v>
      </c>
      <c r="D185" s="4570">
        <f>D181*D184</f>
        <v>23.851793923575162</v>
      </c>
      <c r="E185" s="4570">
        <f>E181*E184</f>
        <v>29.436296336666661</v>
      </c>
      <c r="F185" s="4570">
        <f>F181*F184</f>
        <v>19.222097330426916</v>
      </c>
      <c r="G185" s="4570">
        <f t="shared" ref="G185:L185" si="8">G184*G181</f>
        <v>31.024150000000006</v>
      </c>
      <c r="H185" s="4570">
        <f>H184*H181</f>
        <v>31.152159649816827</v>
      </c>
      <c r="J185" s="4570">
        <f t="shared" si="8"/>
        <v>34.173888749999989</v>
      </c>
      <c r="K185" s="4570">
        <f>K184*K181</f>
        <v>32.208849707363981</v>
      </c>
      <c r="L185" s="4570">
        <f t="shared" si="8"/>
        <v>32.328864583333342</v>
      </c>
      <c r="M185" s="4570">
        <f>M184*M181</f>
        <v>42.066798462186561</v>
      </c>
      <c r="R185" s="357"/>
      <c r="S185" s="357"/>
    </row>
    <row r="186" spans="2:19">
      <c r="B186" s="1393"/>
      <c r="C186" s="1395"/>
      <c r="D186" s="3467" t="s">
        <v>94</v>
      </c>
      <c r="E186" s="3470"/>
      <c r="F186" s="3470"/>
      <c r="G186" s="3470"/>
      <c r="H186" s="3470"/>
      <c r="J186" s="3470"/>
      <c r="K186" s="3470"/>
      <c r="L186" s="3470"/>
      <c r="M186" s="3470"/>
      <c r="R186" s="357"/>
      <c r="S186" s="357"/>
    </row>
    <row r="187" spans="2:19">
      <c r="B187" s="1393"/>
      <c r="C187" s="1395"/>
      <c r="D187" s="3467"/>
      <c r="E187" s="3469"/>
      <c r="F187" s="3470"/>
      <c r="G187" s="3470"/>
      <c r="H187" s="3470"/>
      <c r="J187" s="3470"/>
      <c r="K187" s="3470"/>
      <c r="L187" s="3470"/>
      <c r="M187" s="3470"/>
      <c r="R187" s="357"/>
      <c r="S187" s="357"/>
    </row>
    <row r="188" spans="2:19">
      <c r="B188" s="4521">
        <v>3</v>
      </c>
      <c r="C188" s="1396" t="s">
        <v>703</v>
      </c>
      <c r="D188" s="3467" t="s">
        <v>94</v>
      </c>
      <c r="E188" s="3469"/>
      <c r="F188" s="3470"/>
      <c r="G188" s="3470"/>
      <c r="H188" s="3470"/>
      <c r="J188" s="3470"/>
      <c r="K188" s="3470"/>
      <c r="L188" s="3470"/>
      <c r="M188" s="3470"/>
      <c r="R188" s="357"/>
      <c r="S188" s="357"/>
    </row>
    <row r="189" spans="2:19">
      <c r="B189" s="1393">
        <f>+B188+0.1</f>
        <v>3.1</v>
      </c>
      <c r="C189" s="1392" t="s">
        <v>583</v>
      </c>
      <c r="D189" s="3823"/>
      <c r="E189" s="3824">
        <v>0.09</v>
      </c>
      <c r="F189" s="3824">
        <v>0.09</v>
      </c>
      <c r="G189" s="3824">
        <v>0.09</v>
      </c>
      <c r="H189" s="3824">
        <f>'CD FY 2013-14'!E6</f>
        <v>0.09</v>
      </c>
      <c r="J189" s="3824">
        <v>0.09</v>
      </c>
      <c r="K189" s="3472">
        <v>8.7499999999999994E-2</v>
      </c>
      <c r="L189" s="3824">
        <v>0.09</v>
      </c>
      <c r="M189" s="3472">
        <v>8.7499999999999994E-2</v>
      </c>
      <c r="R189" s="357"/>
      <c r="S189" s="357"/>
    </row>
    <row r="190" spans="2:19">
      <c r="B190" s="1393"/>
      <c r="C190" s="1392" t="s">
        <v>704</v>
      </c>
      <c r="D190" s="3467"/>
      <c r="E190" s="3473"/>
      <c r="F190" s="3470"/>
      <c r="G190" s="3470"/>
      <c r="H190" s="3470"/>
      <c r="J190" s="3470"/>
      <c r="K190" s="3470"/>
      <c r="L190" s="3470"/>
      <c r="M190" s="3470"/>
      <c r="R190" s="357"/>
      <c r="S190" s="357"/>
    </row>
    <row r="191" spans="2:19">
      <c r="B191" s="1393"/>
      <c r="C191" s="1392" t="s">
        <v>705</v>
      </c>
      <c r="D191" s="3467">
        <v>0.33</v>
      </c>
      <c r="E191" s="3473"/>
      <c r="F191" s="3470"/>
      <c r="G191" s="3470"/>
      <c r="H191" s="3470"/>
      <c r="J191" s="3470"/>
      <c r="K191" s="5076"/>
      <c r="L191" s="3470"/>
      <c r="M191" s="3470"/>
      <c r="R191" s="357"/>
      <c r="S191" s="357"/>
    </row>
    <row r="192" spans="2:19">
      <c r="B192" s="1393">
        <f>+B189+0.1</f>
        <v>3.2</v>
      </c>
      <c r="C192" s="1395" t="s">
        <v>703</v>
      </c>
      <c r="D192" s="3467">
        <v>14.291999999999998</v>
      </c>
      <c r="E192" s="3470">
        <f>E176*E189</f>
        <v>21.4146</v>
      </c>
      <c r="F192" s="3470">
        <f>'URIM P&amp;L 12-13'!M22</f>
        <v>23.18</v>
      </c>
      <c r="G192" s="3470">
        <f>G189*G176</f>
        <v>22.057200000000002</v>
      </c>
      <c r="H192" s="3470">
        <v>22.5</v>
      </c>
      <c r="J192" s="3470">
        <f>J189*J176</f>
        <v>22.718699999999998</v>
      </c>
      <c r="K192" s="5076">
        <f>K189*K176+0.04</f>
        <v>30.507499999999997</v>
      </c>
      <c r="L192" s="3470">
        <f>L189*L176</f>
        <v>23.4</v>
      </c>
      <c r="M192" s="3470">
        <f>M189*M176</f>
        <v>31.381525</v>
      </c>
      <c r="R192" s="357"/>
      <c r="S192" s="357"/>
    </row>
    <row r="193" spans="1:19">
      <c r="B193" s="4521">
        <v>4</v>
      </c>
      <c r="C193" s="1395" t="s">
        <v>706</v>
      </c>
      <c r="D193" s="3467"/>
      <c r="E193" s="3469"/>
      <c r="F193" s="3470"/>
      <c r="G193" s="3470"/>
      <c r="H193" s="3470"/>
      <c r="J193" s="3470"/>
      <c r="K193" s="3470"/>
      <c r="L193" s="3470"/>
      <c r="M193" s="3470"/>
      <c r="N193" s="140"/>
      <c r="O193" s="140"/>
      <c r="P193" s="140"/>
      <c r="Q193" s="357"/>
      <c r="R193" s="357"/>
      <c r="S193" s="357"/>
    </row>
    <row r="194" spans="1:19">
      <c r="B194" s="4521">
        <v>5</v>
      </c>
      <c r="C194" s="1395" t="s">
        <v>707</v>
      </c>
      <c r="D194" s="3467"/>
      <c r="E194" s="3469"/>
      <c r="F194" s="3470"/>
      <c r="G194" s="3470"/>
      <c r="H194" s="3470"/>
      <c r="J194" s="3470"/>
      <c r="K194" s="3470"/>
      <c r="L194" s="3470"/>
      <c r="M194" s="3470"/>
      <c r="N194" s="140"/>
      <c r="O194" s="140"/>
      <c r="P194" s="140"/>
      <c r="Q194" s="357"/>
      <c r="R194" s="357"/>
      <c r="S194" s="357"/>
    </row>
    <row r="195" spans="1:19">
      <c r="B195" s="1393"/>
      <c r="C195" s="1395"/>
      <c r="D195" s="3467"/>
      <c r="E195" s="3469"/>
      <c r="F195" s="3470"/>
      <c r="G195" s="3470"/>
      <c r="H195" s="3470"/>
      <c r="J195" s="3470"/>
      <c r="K195" s="3470"/>
      <c r="L195" s="3470"/>
      <c r="M195" s="3470"/>
      <c r="N195" s="140"/>
      <c r="O195" s="140"/>
      <c r="P195" s="140"/>
      <c r="Q195" s="357"/>
      <c r="R195" s="357"/>
      <c r="S195" s="357"/>
    </row>
    <row r="196" spans="1:19" ht="31.5">
      <c r="B196" s="4521">
        <v>6</v>
      </c>
      <c r="C196" s="1395" t="s">
        <v>708</v>
      </c>
      <c r="D196" s="3469">
        <f t="shared" ref="D196:G196" si="9">D185+D192</f>
        <v>38.14379392357516</v>
      </c>
      <c r="E196" s="3469">
        <f t="shared" si="9"/>
        <v>50.850896336666665</v>
      </c>
      <c r="F196" s="3469">
        <f t="shared" si="9"/>
        <v>42.402097330426912</v>
      </c>
      <c r="G196" s="3469">
        <f t="shared" si="9"/>
        <v>53.081350000000008</v>
      </c>
      <c r="H196" s="3469">
        <f>H185+H192</f>
        <v>53.652159649816824</v>
      </c>
      <c r="J196" s="3469">
        <f>J185+J192</f>
        <v>56.892588749999987</v>
      </c>
      <c r="K196" s="3469">
        <f>K185+K192</f>
        <v>62.716349707363975</v>
      </c>
      <c r="L196" s="3469">
        <f t="shared" ref="L196" si="10">L185+L192</f>
        <v>55.72886458333334</v>
      </c>
      <c r="M196" s="3469">
        <f>M185+M192</f>
        <v>73.448323462186565</v>
      </c>
      <c r="N196" s="140"/>
      <c r="O196" s="140"/>
      <c r="P196" s="140"/>
      <c r="Q196" s="357"/>
      <c r="R196" s="357"/>
      <c r="S196" s="357"/>
    </row>
    <row r="197" spans="1:19">
      <c r="B197" s="358"/>
      <c r="C197" s="359"/>
      <c r="D197" s="359"/>
      <c r="E197" s="67"/>
      <c r="F197" s="360"/>
      <c r="G197" s="136"/>
      <c r="H197" s="136"/>
      <c r="I197" s="136"/>
      <c r="J197" s="141"/>
      <c r="K197" s="355"/>
      <c r="L197" s="360"/>
      <c r="M197" s="136"/>
      <c r="N197" s="136"/>
      <c r="O197" s="136"/>
      <c r="P197" s="136"/>
      <c r="Q197" s="136"/>
      <c r="R197" s="136"/>
      <c r="S197" s="357"/>
    </row>
    <row r="198" spans="1:19">
      <c r="B198" s="358"/>
      <c r="C198" s="359"/>
      <c r="D198" s="359"/>
      <c r="E198" s="67"/>
      <c r="F198" s="360"/>
      <c r="G198" s="136"/>
      <c r="H198" s="136"/>
      <c r="I198" s="136"/>
      <c r="J198" s="141"/>
      <c r="K198" s="355"/>
      <c r="L198" s="360"/>
      <c r="M198" s="136"/>
      <c r="N198" s="136"/>
      <c r="O198" s="136"/>
      <c r="P198" s="136"/>
      <c r="Q198" s="136"/>
      <c r="R198" s="136"/>
      <c r="S198" s="357"/>
    </row>
    <row r="199" spans="1:19">
      <c r="A199" s="1274"/>
      <c r="B199" s="1275"/>
      <c r="C199" s="1277"/>
      <c r="D199" s="1277"/>
      <c r="E199" s="1276"/>
      <c r="F199" s="137"/>
      <c r="G199" s="4394"/>
      <c r="H199" s="4394"/>
      <c r="I199" s="137"/>
      <c r="J199" s="4394"/>
      <c r="K199" s="137"/>
      <c r="L199" s="4394"/>
      <c r="M199" s="137"/>
      <c r="N199" s="4394"/>
    </row>
    <row r="200" spans="1:19" hidden="1"/>
    <row r="201" spans="1:19" hidden="1">
      <c r="B201" s="3537" t="s">
        <v>2313</v>
      </c>
      <c r="C201" s="3537"/>
      <c r="I201" s="354"/>
      <c r="J201" s="3513" t="s">
        <v>2884</v>
      </c>
    </row>
    <row r="202" spans="1:19" hidden="1">
      <c r="D202" s="136"/>
      <c r="E202" s="136"/>
      <c r="F202" s="136"/>
      <c r="G202" s="136"/>
      <c r="H202" s="136"/>
      <c r="I202" s="136"/>
      <c r="P202" s="136"/>
      <c r="Q202" s="136"/>
      <c r="R202" s="136"/>
    </row>
    <row r="203" spans="1:19" ht="31.5" hidden="1">
      <c r="B203" s="1353" t="s">
        <v>101</v>
      </c>
      <c r="C203" s="1052" t="s">
        <v>2296</v>
      </c>
      <c r="D203" s="1289" t="s">
        <v>2139</v>
      </c>
      <c r="E203" s="1289" t="s">
        <v>2347</v>
      </c>
      <c r="F203" s="1289" t="s">
        <v>2298</v>
      </c>
      <c r="G203" s="1289" t="s">
        <v>2299</v>
      </c>
      <c r="H203" s="5314"/>
      <c r="I203" s="1289" t="s">
        <v>2239</v>
      </c>
      <c r="J203" s="1289" t="s">
        <v>155</v>
      </c>
      <c r="P203" s="136"/>
      <c r="Q203" s="136"/>
      <c r="R203" s="136"/>
    </row>
    <row r="204" spans="1:19" hidden="1">
      <c r="B204" s="4429">
        <v>1</v>
      </c>
      <c r="C204" s="1487" t="s">
        <v>2378</v>
      </c>
      <c r="D204" s="813">
        <f>'LDetail 2012-13'!E6</f>
        <v>57.5</v>
      </c>
      <c r="E204" s="3685">
        <f>'LDetail 2012-13'!D14</f>
        <v>0.13500000000000001</v>
      </c>
      <c r="F204" s="813">
        <f>'LDetail 2012-13'!F6+'LDetail 2012-13'!F14</f>
        <v>0</v>
      </c>
      <c r="G204" s="813">
        <f>'LDetail 2012-13'!G6+'LDetail 2012-13'!G14</f>
        <v>11.5</v>
      </c>
      <c r="H204" s="813"/>
      <c r="I204" s="813">
        <f>'LDetail 2012-13'!I6+'LDetail 2012-13'!I14</f>
        <v>6.9</v>
      </c>
      <c r="J204" s="3686">
        <f>'LDetail 2012-13'!H14</f>
        <v>46</v>
      </c>
      <c r="P204" s="136"/>
      <c r="Q204" s="136"/>
      <c r="R204" s="136"/>
    </row>
    <row r="205" spans="1:19" hidden="1">
      <c r="B205" s="4429">
        <f>1+B204</f>
        <v>2</v>
      </c>
      <c r="C205" s="1487" t="s">
        <v>2934</v>
      </c>
      <c r="D205" s="813">
        <f>'LDetail 2012-13'!E7</f>
        <v>225</v>
      </c>
      <c r="E205" s="3685">
        <f>'LDetail 2012-13'!D15</f>
        <v>0.13</v>
      </c>
      <c r="F205" s="813">
        <f>'LDetail 2012-13'!F7+'LDetail 2012-13'!F15</f>
        <v>0</v>
      </c>
      <c r="G205" s="813">
        <f>'LDetail 2012-13'!G7+'LDetail 2012-13'!G15</f>
        <v>0</v>
      </c>
      <c r="H205" s="813"/>
      <c r="I205" s="813">
        <f>'LDetail 2012-13'!I7+'LDetail 2012-13'!I15</f>
        <v>8.43</v>
      </c>
      <c r="J205" s="3686">
        <f>'LDetail 2012-13'!H15</f>
        <v>225</v>
      </c>
      <c r="P205" s="136"/>
      <c r="Q205" s="136"/>
      <c r="R205" s="136"/>
    </row>
    <row r="206" spans="1:19" hidden="1">
      <c r="B206" s="4429">
        <f>1+B205</f>
        <v>3</v>
      </c>
      <c r="C206" s="1487" t="s">
        <v>2390</v>
      </c>
      <c r="D206" s="813">
        <f>'LDetail 2012-13'!E8</f>
        <v>58.75</v>
      </c>
      <c r="E206" s="3685">
        <f>'LDetail 2012-13'!D16</f>
        <v>0.1075</v>
      </c>
      <c r="F206" s="813">
        <f>'LDetail 2012-13'!F8+'LDetail 2012-13'!F16</f>
        <v>0</v>
      </c>
      <c r="G206" s="813">
        <f>'LDetail 2012-13'!G8+'LDetail 2012-13'!G16</f>
        <v>50</v>
      </c>
      <c r="H206" s="813"/>
      <c r="I206" s="813">
        <f>'LDetail 2012-13'!I8+'LDetail 2012-13'!I16</f>
        <v>1.6893</v>
      </c>
      <c r="J206" s="3686">
        <f>'LDetail 2012-13'!H16</f>
        <v>0</v>
      </c>
      <c r="P206" s="136"/>
      <c r="Q206" s="136"/>
      <c r="R206" s="136"/>
    </row>
    <row r="207" spans="1:19" hidden="1">
      <c r="B207" s="4429">
        <f>1+B206</f>
        <v>4</v>
      </c>
      <c r="C207" s="1487" t="s">
        <v>2391</v>
      </c>
      <c r="D207" s="813">
        <f>'LDetail 2012-13'!E9</f>
        <v>149.9</v>
      </c>
      <c r="E207" s="3685">
        <f>'LDetail 2012-13'!D17</f>
        <v>0.1075</v>
      </c>
      <c r="F207" s="813">
        <f>'LDetail 2012-13'!F9+'LDetail 2012-13'!F17</f>
        <v>0</v>
      </c>
      <c r="G207" s="813">
        <f>'LDetail 2012-13'!G9+'LDetail 2012-13'!G17</f>
        <v>149.9</v>
      </c>
      <c r="H207" s="813"/>
      <c r="I207" s="813">
        <f>'LDetail 2012-13'!I9+'LDetail 2012-13'!I17</f>
        <v>6.1499999999999995</v>
      </c>
      <c r="J207" s="3686">
        <f>'LDetail 2012-13'!H17</f>
        <v>0</v>
      </c>
    </row>
    <row r="208" spans="1:19" hidden="1">
      <c r="B208" s="4429">
        <f>1+B207</f>
        <v>5</v>
      </c>
      <c r="C208" s="1487" t="s">
        <v>2302</v>
      </c>
      <c r="D208" s="813">
        <v>0</v>
      </c>
      <c r="E208" s="3685">
        <f>'LDetail 2012-13'!D18</f>
        <v>0.1</v>
      </c>
      <c r="F208" s="813">
        <f>'LDetail 2012-13'!F10+'LDetail 2012-13'!F18</f>
        <v>400</v>
      </c>
      <c r="G208" s="813">
        <f>'LDetail 2012-13'!G18</f>
        <v>0</v>
      </c>
      <c r="H208" s="813"/>
      <c r="I208" s="813">
        <f>'LDetail 2012-13'!I18</f>
        <v>0.98</v>
      </c>
      <c r="J208" s="3686">
        <f>'LDetail 2012-13'!H18</f>
        <v>400</v>
      </c>
    </row>
    <row r="209" spans="2:10" hidden="1">
      <c r="B209" s="4429">
        <f>1+B208</f>
        <v>6</v>
      </c>
      <c r="C209" s="3539" t="s">
        <v>260</v>
      </c>
      <c r="D209" s="5746"/>
      <c r="E209" s="5746"/>
      <c r="F209" s="5746"/>
      <c r="G209" s="5746"/>
      <c r="H209" s="5317"/>
      <c r="I209" s="1273">
        <f>SUM(I204:I208)</f>
        <v>24.1493</v>
      </c>
      <c r="J209" s="3459"/>
    </row>
    <row r="210" spans="2:10" hidden="1">
      <c r="C210" s="5745"/>
      <c r="D210" s="5745"/>
      <c r="E210" s="5745"/>
      <c r="F210" s="5745"/>
      <c r="G210" s="5745"/>
      <c r="H210" s="5745"/>
      <c r="I210" s="5745"/>
      <c r="J210" s="5745"/>
    </row>
    <row r="211" spans="2:10" hidden="1">
      <c r="B211" s="3669" t="s">
        <v>2933</v>
      </c>
      <c r="C211" s="3537"/>
      <c r="E211" s="136"/>
      <c r="G211" s="356">
        <v>58.75</v>
      </c>
      <c r="H211" s="356"/>
      <c r="I211" s="356"/>
      <c r="J211" s="3513" t="s">
        <v>2884</v>
      </c>
    </row>
    <row r="212" spans="2:10" hidden="1">
      <c r="D212" s="139"/>
      <c r="E212" s="140"/>
      <c r="F212" s="140"/>
      <c r="G212" s="356"/>
      <c r="H212" s="356"/>
      <c r="I212" s="356"/>
      <c r="J212" s="357"/>
    </row>
    <row r="213" spans="2:10" ht="31.5" hidden="1">
      <c r="B213" s="801" t="s">
        <v>651</v>
      </c>
      <c r="C213" s="1052" t="s">
        <v>2296</v>
      </c>
      <c r="D213" s="1289" t="s">
        <v>2139</v>
      </c>
      <c r="E213" s="1289" t="s">
        <v>2347</v>
      </c>
      <c r="F213" s="1289" t="s">
        <v>2298</v>
      </c>
      <c r="G213" s="1289" t="s">
        <v>2299</v>
      </c>
      <c r="H213" s="5314"/>
      <c r="I213" s="1289" t="s">
        <v>2239</v>
      </c>
      <c r="J213" s="1289" t="s">
        <v>155</v>
      </c>
    </row>
    <row r="214" spans="2:10" hidden="1">
      <c r="B214" s="1299">
        <v>1</v>
      </c>
      <c r="C214" s="1487" t="s">
        <v>2391</v>
      </c>
      <c r="D214" s="1294">
        <f>'LDetails 2013-14'!E6</f>
        <v>46</v>
      </c>
      <c r="E214" s="3461">
        <f>'LDetails 2013-14'!D6</f>
        <v>0.13500000000000001</v>
      </c>
      <c r="F214" s="1294">
        <f>'LDetails 2013-14'!F6+'LDetails 2013-14'!F12</f>
        <v>0</v>
      </c>
      <c r="G214" s="1294">
        <f>'LDetails 2013-14'!G6+'LDetails 2013-14'!G12</f>
        <v>11.5</v>
      </c>
      <c r="H214" s="5316"/>
      <c r="I214" s="1294">
        <f>'LDetails 2013-14'!I6+'LDetails 2013-14'!I12</f>
        <v>5.2233999999999998</v>
      </c>
      <c r="J214" s="1294">
        <f>'LDetails 2013-14'!H12</f>
        <v>34.5</v>
      </c>
    </row>
    <row r="215" spans="2:10" hidden="1">
      <c r="B215" s="1299">
        <f>B214+1</f>
        <v>2</v>
      </c>
      <c r="C215" s="1487" t="s">
        <v>2394</v>
      </c>
      <c r="D215" s="1294">
        <f>'LDetails 2013-14'!E7</f>
        <v>400</v>
      </c>
      <c r="E215" s="3461">
        <f>'LDetails 2013-14'!D7</f>
        <v>0.1</v>
      </c>
      <c r="F215" s="1294">
        <f>'LDetails 2013-14'!F7+'LDetails 2013-14'!F13</f>
        <v>1200</v>
      </c>
      <c r="G215" s="1294">
        <f>'LDetails 2013-14'!G7+'LDetails 2013-14'!G13</f>
        <v>0</v>
      </c>
      <c r="H215" s="5316"/>
      <c r="I215" s="1294">
        <f>'LDetails 2013-14'!I7+'LDetails 2013-14'!I13</f>
        <v>115.2158333</v>
      </c>
      <c r="J215" s="1294">
        <f>'LDetails 2013-14'!H13</f>
        <v>1600</v>
      </c>
    </row>
    <row r="216" spans="2:10" hidden="1">
      <c r="B216" s="1299">
        <f>B215+1</f>
        <v>3</v>
      </c>
      <c r="C216" s="1487" t="s">
        <v>2828</v>
      </c>
      <c r="D216" s="1294"/>
      <c r="E216" s="1294"/>
      <c r="F216" s="1294"/>
      <c r="G216" s="1294"/>
      <c r="H216" s="5316"/>
      <c r="I216" s="3425">
        <f>'LDetails 2013-14'!I8+'LDetails 2013-14'!I14</f>
        <v>11.974299999999999</v>
      </c>
      <c r="J216" s="1294"/>
    </row>
    <row r="217" spans="2:10" hidden="1">
      <c r="B217" s="3426">
        <f>B216+1</f>
        <v>4</v>
      </c>
      <c r="C217" s="3540" t="s">
        <v>260</v>
      </c>
      <c r="D217" s="5742"/>
      <c r="E217" s="5742"/>
      <c r="F217" s="5742"/>
      <c r="G217" s="5742"/>
      <c r="H217" s="5316"/>
      <c r="I217" s="1278">
        <f>SUM(I214:I216)</f>
        <v>132.41353329999998</v>
      </c>
      <c r="J217" s="1035"/>
    </row>
    <row r="218" spans="2:10" hidden="1"/>
    <row r="219" spans="2:10" hidden="1"/>
    <row r="220" spans="2:10" s="3791" customFormat="1" hidden="1"/>
    <row r="221" spans="2:10" hidden="1"/>
    <row r="236" spans="10:10">
      <c r="J236" s="3513"/>
    </row>
  </sheetData>
  <mergeCells count="74">
    <mergeCell ref="B3:H3"/>
    <mergeCell ref="B4:H4"/>
    <mergeCell ref="B5:H5"/>
    <mergeCell ref="C158:D158"/>
    <mergeCell ref="B147:C147"/>
    <mergeCell ref="C144:D144"/>
    <mergeCell ref="C145:D145"/>
    <mergeCell ref="C93:C95"/>
    <mergeCell ref="D93:E94"/>
    <mergeCell ref="C119:D119"/>
    <mergeCell ref="C120:D120"/>
    <mergeCell ref="C157:D157"/>
    <mergeCell ref="B46:B47"/>
    <mergeCell ref="C46:C47"/>
    <mergeCell ref="B10:B11"/>
    <mergeCell ref="C10:C11"/>
    <mergeCell ref="M114:O114"/>
    <mergeCell ref="C131:D131"/>
    <mergeCell ref="C132:D132"/>
    <mergeCell ref="B122:C122"/>
    <mergeCell ref="D167:D168"/>
    <mergeCell ref="L166:M166"/>
    <mergeCell ref="L167:L168"/>
    <mergeCell ref="M167:M168"/>
    <mergeCell ref="J165:M165"/>
    <mergeCell ref="B163:C163"/>
    <mergeCell ref="B165:B168"/>
    <mergeCell ref="C165:C168"/>
    <mergeCell ref="J166:K166"/>
    <mergeCell ref="J167:J168"/>
    <mergeCell ref="K167:K168"/>
    <mergeCell ref="B134:C134"/>
    <mergeCell ref="I94:J94"/>
    <mergeCell ref="K94:L94"/>
    <mergeCell ref="B110:C110"/>
    <mergeCell ref="D59:D65"/>
    <mergeCell ref="D66:D70"/>
    <mergeCell ref="C81:C82"/>
    <mergeCell ref="D81:E81"/>
    <mergeCell ref="F81:G81"/>
    <mergeCell ref="B91:C91"/>
    <mergeCell ref="B81:B82"/>
    <mergeCell ref="K58:K59"/>
    <mergeCell ref="K60:K64"/>
    <mergeCell ref="I93:L93"/>
    <mergeCell ref="D57:D58"/>
    <mergeCell ref="F93:G94"/>
    <mergeCell ref="B93:B95"/>
    <mergeCell ref="K54:K56"/>
    <mergeCell ref="K65:K71"/>
    <mergeCell ref="E48:E73"/>
    <mergeCell ref="D53:D55"/>
    <mergeCell ref="D10:D11"/>
    <mergeCell ref="E12:E39"/>
    <mergeCell ref="I10:I11"/>
    <mergeCell ref="D49:D52"/>
    <mergeCell ref="I46:I48"/>
    <mergeCell ref="J46:J48"/>
    <mergeCell ref="K47:K48"/>
    <mergeCell ref="J10:J11"/>
    <mergeCell ref="K50:K53"/>
    <mergeCell ref="D46:D47"/>
    <mergeCell ref="E10:F10"/>
    <mergeCell ref="D217:G217"/>
    <mergeCell ref="D165:D166"/>
    <mergeCell ref="E165:F166"/>
    <mergeCell ref="C210:J210"/>
    <mergeCell ref="D209:G209"/>
    <mergeCell ref="I167:I168"/>
    <mergeCell ref="E167:E168"/>
    <mergeCell ref="F167:F168"/>
    <mergeCell ref="G167:G168"/>
    <mergeCell ref="H167:H168"/>
    <mergeCell ref="G165:H166"/>
  </mergeCells>
  <printOptions horizontalCentered="1"/>
  <pageMargins left="0.47244094488188998" right="0.27559055118110198" top="0.89" bottom="0.16" header="0.2" footer="0.16"/>
  <pageSetup paperSize="9" scale="31" orientation="landscape" horizontalDpi="300" verticalDpi="300" r:id="rId1"/>
  <ignoredErrors>
    <ignoredError sqref="E83:E85 E88:E89 E86 D86:D87 F86:G87" formula="1"/>
  </ignoredErrors>
  <legacyDrawing r:id="rId2"/>
</worksheet>
</file>

<file path=xl/worksheets/sheet45.xml><?xml version="1.0" encoding="utf-8"?>
<worksheet xmlns="http://schemas.openxmlformats.org/spreadsheetml/2006/main" xmlns:r="http://schemas.openxmlformats.org/officeDocument/2006/relationships">
  <sheetPr>
    <tabColor rgb="FFFF0000"/>
  </sheetPr>
  <dimension ref="B2:S152"/>
  <sheetViews>
    <sheetView showGridLines="0" view="pageBreakPreview" zoomScale="67" zoomScaleNormal="110" zoomScaleSheetLayoutView="67" workbookViewId="0">
      <selection activeCell="B5" sqref="B5"/>
    </sheetView>
  </sheetViews>
  <sheetFormatPr defaultColWidth="33.85546875" defaultRowHeight="15"/>
  <cols>
    <col min="1" max="1" width="7.28515625" style="4274" customWidth="1"/>
    <col min="2" max="2" width="10.7109375" style="4274" bestFit="1" customWidth="1"/>
    <col min="3" max="3" width="48.140625" style="4274" customWidth="1"/>
    <col min="4" max="6" width="17.5703125" style="4274" customWidth="1"/>
    <col min="7" max="16384" width="33.85546875" style="4274"/>
  </cols>
  <sheetData>
    <row r="2" spans="2:19" s="67" customFormat="1" ht="18.75">
      <c r="B2" s="5686" t="s">
        <v>170</v>
      </c>
      <c r="C2" s="5686"/>
      <c r="D2" s="5686"/>
      <c r="E2" s="5686"/>
      <c r="F2" s="77"/>
      <c r="G2" s="77"/>
      <c r="H2" s="77"/>
      <c r="I2" s="77"/>
      <c r="J2" s="77"/>
      <c r="K2" s="77"/>
      <c r="L2" s="77"/>
      <c r="M2" s="77"/>
      <c r="N2" s="77"/>
      <c r="O2" s="77"/>
      <c r="P2" s="69"/>
      <c r="Q2" s="69"/>
      <c r="R2" s="72"/>
      <c r="S2" s="72"/>
    </row>
    <row r="3" spans="2:19" s="67" customFormat="1" ht="18.75">
      <c r="B3" s="5687" t="s">
        <v>3402</v>
      </c>
      <c r="C3" s="5687"/>
      <c r="D3" s="5687"/>
      <c r="E3" s="5687"/>
      <c r="F3" s="4552"/>
      <c r="G3" s="4552"/>
      <c r="H3" s="4552"/>
      <c r="I3" s="4552"/>
      <c r="J3" s="4552"/>
      <c r="K3" s="4552"/>
      <c r="L3" s="4552"/>
      <c r="M3" s="4552"/>
      <c r="N3" s="4552"/>
      <c r="O3" s="4552"/>
      <c r="P3" s="69"/>
      <c r="Q3" s="69"/>
      <c r="R3" s="72"/>
      <c r="S3" s="72"/>
    </row>
    <row r="4" spans="2:19" s="67" customFormat="1" ht="18.75">
      <c r="B4" s="5686" t="s">
        <v>3413</v>
      </c>
      <c r="C4" s="5686"/>
      <c r="D4" s="5686"/>
      <c r="E4" s="5686"/>
      <c r="F4" s="77"/>
      <c r="G4" s="77"/>
      <c r="H4" s="77"/>
      <c r="I4" s="77"/>
      <c r="J4" s="77"/>
      <c r="K4" s="77"/>
      <c r="L4" s="77"/>
      <c r="M4" s="77"/>
      <c r="N4" s="77"/>
      <c r="O4" s="77"/>
      <c r="P4" s="69"/>
      <c r="Q4" s="69"/>
      <c r="R4" s="72"/>
      <c r="S4" s="72"/>
    </row>
    <row r="6" spans="2:19">
      <c r="C6" s="4284" t="s">
        <v>3296</v>
      </c>
    </row>
    <row r="8" spans="2:19">
      <c r="B8" s="4268" t="s">
        <v>575</v>
      </c>
      <c r="C8" s="4268" t="s">
        <v>2125</v>
      </c>
      <c r="D8" s="1892" t="s">
        <v>2442</v>
      </c>
      <c r="E8" s="1892" t="s">
        <v>2443</v>
      </c>
    </row>
    <row r="9" spans="2:19">
      <c r="B9" s="1869">
        <v>1</v>
      </c>
      <c r="C9" s="4275" t="s">
        <v>2129</v>
      </c>
      <c r="D9" s="4269">
        <v>58.82</v>
      </c>
      <c r="E9" s="4270">
        <v>78.48</v>
      </c>
    </row>
    <row r="10" spans="2:19" ht="30">
      <c r="B10" s="1869">
        <v>2</v>
      </c>
      <c r="C10" s="4275" t="s">
        <v>2131</v>
      </c>
      <c r="D10" s="4269">
        <v>24.05</v>
      </c>
      <c r="E10" s="4270">
        <v>27.28</v>
      </c>
    </row>
    <row r="11" spans="2:19" ht="30">
      <c r="B11" s="1869">
        <v>3</v>
      </c>
      <c r="C11" s="4275" t="s">
        <v>2132</v>
      </c>
      <c r="D11" s="4269">
        <v>38.71</v>
      </c>
      <c r="E11" s="4270">
        <v>38.71</v>
      </c>
    </row>
    <row r="12" spans="2:19" ht="30">
      <c r="B12" s="1869">
        <v>4</v>
      </c>
      <c r="C12" s="4275" t="s">
        <v>2133</v>
      </c>
      <c r="D12" s="4269">
        <v>6.53</v>
      </c>
      <c r="E12" s="4270">
        <v>14.02</v>
      </c>
    </row>
    <row r="13" spans="2:19">
      <c r="B13" s="1869">
        <v>5</v>
      </c>
      <c r="C13" s="4275" t="s">
        <v>576</v>
      </c>
      <c r="D13" s="4269">
        <v>20.89</v>
      </c>
      <c r="E13" s="4270">
        <v>23.03</v>
      </c>
    </row>
    <row r="14" spans="2:19">
      <c r="B14" s="1869">
        <v>6</v>
      </c>
      <c r="C14" s="4276" t="s">
        <v>2134</v>
      </c>
      <c r="D14" s="4269">
        <v>0</v>
      </c>
      <c r="E14" s="4270">
        <v>0</v>
      </c>
    </row>
    <row r="15" spans="2:19">
      <c r="B15" s="1869">
        <v>7</v>
      </c>
      <c r="C15" s="4275" t="s">
        <v>603</v>
      </c>
      <c r="D15" s="4269">
        <v>4.97</v>
      </c>
      <c r="E15" s="4270">
        <v>5.47</v>
      </c>
    </row>
    <row r="16" spans="2:19">
      <c r="B16" s="5784">
        <v>8</v>
      </c>
      <c r="C16" s="5785" t="s">
        <v>3295</v>
      </c>
      <c r="D16" s="5786">
        <f>0.47+5.85+0.12+2.12+0.5+0.25</f>
        <v>9.3099999999999987</v>
      </c>
      <c r="E16" s="1015"/>
    </row>
    <row r="17" spans="2:5">
      <c r="B17" s="5784"/>
      <c r="C17" s="5785"/>
      <c r="D17" s="5787"/>
      <c r="E17" s="4271"/>
    </row>
    <row r="18" spans="2:5">
      <c r="B18" s="5784"/>
      <c r="C18" s="5785"/>
      <c r="D18" s="5788"/>
      <c r="E18" s="4271">
        <v>3.71</v>
      </c>
    </row>
    <row r="19" spans="2:5">
      <c r="B19" s="1871"/>
      <c r="C19" s="4241" t="s">
        <v>260</v>
      </c>
      <c r="D19" s="4272">
        <f>SUM(D9:D18)</f>
        <v>163.28</v>
      </c>
      <c r="E19" s="4273">
        <f>SUM(E9:E18)</f>
        <v>190.70000000000002</v>
      </c>
    </row>
    <row r="92" s="4277" customFormat="1"/>
    <row r="94" s="4278" customFormat="1"/>
    <row r="95" s="4278" customFormat="1"/>
    <row r="96" s="4278" customFormat="1"/>
    <row r="97" s="4279" customFormat="1"/>
    <row r="98" s="4279" customFormat="1"/>
    <row r="99" s="4279" customFormat="1"/>
    <row r="100" s="4279" customFormat="1"/>
    <row r="101" s="4279" customFormat="1"/>
    <row r="102" s="4279" customFormat="1"/>
    <row r="103" s="4279" customFormat="1"/>
    <row r="104" s="4279" customFormat="1"/>
    <row r="105" s="4279" customFormat="1"/>
    <row r="106" s="4279" customFormat="1"/>
    <row r="107" s="4279" customFormat="1"/>
    <row r="108" s="4279" customFormat="1"/>
    <row r="109" s="4279" customFormat="1"/>
    <row r="110" s="4279" customFormat="1"/>
    <row r="111" s="4279" customFormat="1"/>
    <row r="112" s="4279" customFormat="1"/>
    <row r="113" s="4279" customFormat="1"/>
    <row r="114" s="4279" customFormat="1"/>
    <row r="115" s="4279" customFormat="1"/>
    <row r="116" s="4279" customFormat="1"/>
    <row r="117" s="4279" customFormat="1"/>
    <row r="118" s="4279" customFormat="1"/>
    <row r="119" s="4279" customFormat="1"/>
    <row r="120" s="4279" customFormat="1"/>
    <row r="121" s="4279" customFormat="1"/>
    <row r="122" s="4279" customFormat="1"/>
    <row r="123" s="4279" customFormat="1"/>
    <row r="124" s="4279" customFormat="1"/>
    <row r="125" s="4279" customFormat="1"/>
    <row r="126" s="4279" customFormat="1"/>
    <row r="127" s="4279" customFormat="1"/>
    <row r="128" s="4279" customFormat="1"/>
    <row r="129" s="4279" customFormat="1"/>
    <row r="130" s="4279" customFormat="1"/>
    <row r="131" s="4279" customFormat="1"/>
    <row r="132" s="4279" customFormat="1"/>
    <row r="133" s="4279" customFormat="1"/>
    <row r="134" s="4277" customFormat="1"/>
    <row r="136" s="4280" customFormat="1"/>
    <row r="137" s="4280" customFormat="1"/>
    <row r="138" s="4280" customFormat="1"/>
    <row r="139" s="4280" customFormat="1"/>
    <row r="140" s="4281" customFormat="1"/>
    <row r="141" s="4281" customFormat="1"/>
    <row r="142" s="4282" customFormat="1"/>
    <row r="143" s="4283" customFormat="1" ht="14.25"/>
    <row r="144" s="4283" customFormat="1" ht="14.25"/>
    <row r="145" s="4283" customFormat="1" ht="14.25"/>
    <row r="146" s="4280" customFormat="1"/>
    <row r="147" s="4280" customFormat="1"/>
    <row r="148" s="4280" customFormat="1"/>
    <row r="149" s="4280" customFormat="1"/>
    <row r="150" s="4280" customFormat="1"/>
    <row r="151" s="4280" customFormat="1"/>
    <row r="152" s="4280" customFormat="1"/>
  </sheetData>
  <mergeCells count="6">
    <mergeCell ref="B16:B18"/>
    <mergeCell ref="C16:C18"/>
    <mergeCell ref="D16:D18"/>
    <mergeCell ref="B2:E2"/>
    <mergeCell ref="B3:E3"/>
    <mergeCell ref="B4:E4"/>
  </mergeCells>
  <pageMargins left="0.6692913385826772" right="0.15748031496062992" top="0.35433070866141736" bottom="0.15748031496062992" header="0.15748031496062992" footer="0.15748031496062992"/>
  <pageSetup scale="43" orientation="portrait" r:id="rId1"/>
  <headerFooter alignWithMargins="0">
    <oddFooter>Page &amp;P of &amp;N</oddFooter>
  </headerFooter>
</worksheet>
</file>

<file path=xl/worksheets/sheet46.xml><?xml version="1.0" encoding="utf-8"?>
<worksheet xmlns="http://schemas.openxmlformats.org/spreadsheetml/2006/main" xmlns:r="http://schemas.openxmlformats.org/officeDocument/2006/relationships">
  <sheetPr>
    <pageSetUpPr fitToPage="1"/>
  </sheetPr>
  <dimension ref="A2:R116"/>
  <sheetViews>
    <sheetView showGridLines="0" view="pageBreakPreview" zoomScale="68" zoomScaleNormal="70" zoomScaleSheetLayoutView="68" workbookViewId="0">
      <selection activeCell="H86" sqref="H86"/>
    </sheetView>
  </sheetViews>
  <sheetFormatPr defaultRowHeight="15.75"/>
  <cols>
    <col min="1" max="1" width="1.42578125" style="344" customWidth="1"/>
    <col min="2" max="2" width="8.85546875" style="344" customWidth="1"/>
    <col min="3" max="3" width="38.85546875" style="344" customWidth="1"/>
    <col min="4" max="4" width="29.7109375" style="344" customWidth="1"/>
    <col min="5" max="5" width="23.85546875" style="344" customWidth="1"/>
    <col min="6" max="6" width="29.140625" style="344" bestFit="1" customWidth="1"/>
    <col min="7" max="7" width="20.85546875" style="344" customWidth="1"/>
    <col min="8" max="8" width="27.5703125" style="344" customWidth="1"/>
    <col min="9" max="9" width="24.42578125" style="344" customWidth="1"/>
    <col min="10" max="10" width="27.42578125" style="344" customWidth="1"/>
    <col min="11" max="11" width="22.5703125" style="344" customWidth="1"/>
    <col min="12" max="12" width="23.140625" style="344" customWidth="1"/>
    <col min="13" max="13" width="24" style="344" customWidth="1"/>
    <col min="14" max="14" width="23" style="344" customWidth="1"/>
    <col min="15" max="15" width="14.28515625" style="344" customWidth="1"/>
    <col min="16" max="16" width="17" style="344" customWidth="1"/>
    <col min="17" max="17" width="11" style="344" customWidth="1"/>
    <col min="18" max="251" width="9.140625" style="344"/>
    <col min="252" max="252" width="6.85546875" style="344" customWidth="1"/>
    <col min="253" max="253" width="7" style="344" customWidth="1"/>
    <col min="254" max="254" width="61.140625" style="344" customWidth="1"/>
    <col min="255" max="255" width="13.85546875" style="344" customWidth="1"/>
    <col min="256" max="256" width="20.85546875" style="344" customWidth="1"/>
    <col min="257" max="257" width="16.5703125" style="344" customWidth="1"/>
    <col min="258" max="258" width="18.7109375" style="344" customWidth="1"/>
    <col min="259" max="259" width="22.7109375" style="344" customWidth="1"/>
    <col min="260" max="260" width="23.42578125" style="344" customWidth="1"/>
    <col min="261" max="261" width="22.7109375" style="344" customWidth="1"/>
    <col min="262" max="262" width="30.5703125" style="344" customWidth="1"/>
    <col min="263" max="263" width="15.140625" style="344" customWidth="1"/>
    <col min="264" max="264" width="20.85546875" style="344" customWidth="1"/>
    <col min="265" max="265" width="21.28515625" style="344" customWidth="1"/>
    <col min="266" max="266" width="18" style="344" customWidth="1"/>
    <col min="267" max="267" width="22.5703125" style="344" customWidth="1"/>
    <col min="268" max="269" width="14.85546875" style="344" customWidth="1"/>
    <col min="270" max="507" width="9.140625" style="344"/>
    <col min="508" max="508" width="6.85546875" style="344" customWidth="1"/>
    <col min="509" max="509" width="7" style="344" customWidth="1"/>
    <col min="510" max="510" width="61.140625" style="344" customWidth="1"/>
    <col min="511" max="511" width="13.85546875" style="344" customWidth="1"/>
    <col min="512" max="512" width="20.85546875" style="344" customWidth="1"/>
    <col min="513" max="513" width="16.5703125" style="344" customWidth="1"/>
    <col min="514" max="514" width="18.7109375" style="344" customWidth="1"/>
    <col min="515" max="515" width="22.7109375" style="344" customWidth="1"/>
    <col min="516" max="516" width="23.42578125" style="344" customWidth="1"/>
    <col min="517" max="517" width="22.7109375" style="344" customWidth="1"/>
    <col min="518" max="518" width="30.5703125" style="344" customWidth="1"/>
    <col min="519" max="519" width="15.140625" style="344" customWidth="1"/>
    <col min="520" max="520" width="20.85546875" style="344" customWidth="1"/>
    <col min="521" max="521" width="21.28515625" style="344" customWidth="1"/>
    <col min="522" max="522" width="18" style="344" customWidth="1"/>
    <col min="523" max="523" width="22.5703125" style="344" customWidth="1"/>
    <col min="524" max="525" width="14.85546875" style="344" customWidth="1"/>
    <col min="526" max="763" width="9.140625" style="344"/>
    <col min="764" max="764" width="6.85546875" style="344" customWidth="1"/>
    <col min="765" max="765" width="7" style="344" customWidth="1"/>
    <col min="766" max="766" width="61.140625" style="344" customWidth="1"/>
    <col min="767" max="767" width="13.85546875" style="344" customWidth="1"/>
    <col min="768" max="768" width="20.85546875" style="344" customWidth="1"/>
    <col min="769" max="769" width="16.5703125" style="344" customWidth="1"/>
    <col min="770" max="770" width="18.7109375" style="344" customWidth="1"/>
    <col min="771" max="771" width="22.7109375" style="344" customWidth="1"/>
    <col min="772" max="772" width="23.42578125" style="344" customWidth="1"/>
    <col min="773" max="773" width="22.7109375" style="344" customWidth="1"/>
    <col min="774" max="774" width="30.5703125" style="344" customWidth="1"/>
    <col min="775" max="775" width="15.140625" style="344" customWidth="1"/>
    <col min="776" max="776" width="20.85546875" style="344" customWidth="1"/>
    <col min="777" max="777" width="21.28515625" style="344" customWidth="1"/>
    <col min="778" max="778" width="18" style="344" customWidth="1"/>
    <col min="779" max="779" width="22.5703125" style="344" customWidth="1"/>
    <col min="780" max="781" width="14.85546875" style="344" customWidth="1"/>
    <col min="782" max="1019" width="9.140625" style="344"/>
    <col min="1020" max="1020" width="6.85546875" style="344" customWidth="1"/>
    <col min="1021" max="1021" width="7" style="344" customWidth="1"/>
    <col min="1022" max="1022" width="61.140625" style="344" customWidth="1"/>
    <col min="1023" max="1023" width="13.85546875" style="344" customWidth="1"/>
    <col min="1024" max="1024" width="20.85546875" style="344" customWidth="1"/>
    <col min="1025" max="1025" width="16.5703125" style="344" customWidth="1"/>
    <col min="1026" max="1026" width="18.7109375" style="344" customWidth="1"/>
    <col min="1027" max="1027" width="22.7109375" style="344" customWidth="1"/>
    <col min="1028" max="1028" width="23.42578125" style="344" customWidth="1"/>
    <col min="1029" max="1029" width="22.7109375" style="344" customWidth="1"/>
    <col min="1030" max="1030" width="30.5703125" style="344" customWidth="1"/>
    <col min="1031" max="1031" width="15.140625" style="344" customWidth="1"/>
    <col min="1032" max="1032" width="20.85546875" style="344" customWidth="1"/>
    <col min="1033" max="1033" width="21.28515625" style="344" customWidth="1"/>
    <col min="1034" max="1034" width="18" style="344" customWidth="1"/>
    <col min="1035" max="1035" width="22.5703125" style="344" customWidth="1"/>
    <col min="1036" max="1037" width="14.85546875" style="344" customWidth="1"/>
    <col min="1038" max="1275" width="9.140625" style="344"/>
    <col min="1276" max="1276" width="6.85546875" style="344" customWidth="1"/>
    <col min="1277" max="1277" width="7" style="344" customWidth="1"/>
    <col min="1278" max="1278" width="61.140625" style="344" customWidth="1"/>
    <col min="1279" max="1279" width="13.85546875" style="344" customWidth="1"/>
    <col min="1280" max="1280" width="20.85546875" style="344" customWidth="1"/>
    <col min="1281" max="1281" width="16.5703125" style="344" customWidth="1"/>
    <col min="1282" max="1282" width="18.7109375" style="344" customWidth="1"/>
    <col min="1283" max="1283" width="22.7109375" style="344" customWidth="1"/>
    <col min="1284" max="1284" width="23.42578125" style="344" customWidth="1"/>
    <col min="1285" max="1285" width="22.7109375" style="344" customWidth="1"/>
    <col min="1286" max="1286" width="30.5703125" style="344" customWidth="1"/>
    <col min="1287" max="1287" width="15.140625" style="344" customWidth="1"/>
    <col min="1288" max="1288" width="20.85546875" style="344" customWidth="1"/>
    <col min="1289" max="1289" width="21.28515625" style="344" customWidth="1"/>
    <col min="1290" max="1290" width="18" style="344" customWidth="1"/>
    <col min="1291" max="1291" width="22.5703125" style="344" customWidth="1"/>
    <col min="1292" max="1293" width="14.85546875" style="344" customWidth="1"/>
    <col min="1294" max="1531" width="9.140625" style="344"/>
    <col min="1532" max="1532" width="6.85546875" style="344" customWidth="1"/>
    <col min="1533" max="1533" width="7" style="344" customWidth="1"/>
    <col min="1534" max="1534" width="61.140625" style="344" customWidth="1"/>
    <col min="1535" max="1535" width="13.85546875" style="344" customWidth="1"/>
    <col min="1536" max="1536" width="20.85546875" style="344" customWidth="1"/>
    <col min="1537" max="1537" width="16.5703125" style="344" customWidth="1"/>
    <col min="1538" max="1538" width="18.7109375" style="344" customWidth="1"/>
    <col min="1539" max="1539" width="22.7109375" style="344" customWidth="1"/>
    <col min="1540" max="1540" width="23.42578125" style="344" customWidth="1"/>
    <col min="1541" max="1541" width="22.7109375" style="344" customWidth="1"/>
    <col min="1542" max="1542" width="30.5703125" style="344" customWidth="1"/>
    <col min="1543" max="1543" width="15.140625" style="344" customWidth="1"/>
    <col min="1544" max="1544" width="20.85546875" style="344" customWidth="1"/>
    <col min="1545" max="1545" width="21.28515625" style="344" customWidth="1"/>
    <col min="1546" max="1546" width="18" style="344" customWidth="1"/>
    <col min="1547" max="1547" width="22.5703125" style="344" customWidth="1"/>
    <col min="1548" max="1549" width="14.85546875" style="344" customWidth="1"/>
    <col min="1550" max="1787" width="9.140625" style="344"/>
    <col min="1788" max="1788" width="6.85546875" style="344" customWidth="1"/>
    <col min="1789" max="1789" width="7" style="344" customWidth="1"/>
    <col min="1790" max="1790" width="61.140625" style="344" customWidth="1"/>
    <col min="1791" max="1791" width="13.85546875" style="344" customWidth="1"/>
    <col min="1792" max="1792" width="20.85546875" style="344" customWidth="1"/>
    <col min="1793" max="1793" width="16.5703125" style="344" customWidth="1"/>
    <col min="1794" max="1794" width="18.7109375" style="344" customWidth="1"/>
    <col min="1795" max="1795" width="22.7109375" style="344" customWidth="1"/>
    <col min="1796" max="1796" width="23.42578125" style="344" customWidth="1"/>
    <col min="1797" max="1797" width="22.7109375" style="344" customWidth="1"/>
    <col min="1798" max="1798" width="30.5703125" style="344" customWidth="1"/>
    <col min="1799" max="1799" width="15.140625" style="344" customWidth="1"/>
    <col min="1800" max="1800" width="20.85546875" style="344" customWidth="1"/>
    <col min="1801" max="1801" width="21.28515625" style="344" customWidth="1"/>
    <col min="1802" max="1802" width="18" style="344" customWidth="1"/>
    <col min="1803" max="1803" width="22.5703125" style="344" customWidth="1"/>
    <col min="1804" max="1805" width="14.85546875" style="344" customWidth="1"/>
    <col min="1806" max="2043" width="9.140625" style="344"/>
    <col min="2044" max="2044" width="6.85546875" style="344" customWidth="1"/>
    <col min="2045" max="2045" width="7" style="344" customWidth="1"/>
    <col min="2046" max="2046" width="61.140625" style="344" customWidth="1"/>
    <col min="2047" max="2047" width="13.85546875" style="344" customWidth="1"/>
    <col min="2048" max="2048" width="20.85546875" style="344" customWidth="1"/>
    <col min="2049" max="2049" width="16.5703125" style="344" customWidth="1"/>
    <col min="2050" max="2050" width="18.7109375" style="344" customWidth="1"/>
    <col min="2051" max="2051" width="22.7109375" style="344" customWidth="1"/>
    <col min="2052" max="2052" width="23.42578125" style="344" customWidth="1"/>
    <col min="2053" max="2053" width="22.7109375" style="344" customWidth="1"/>
    <col min="2054" max="2054" width="30.5703125" style="344" customWidth="1"/>
    <col min="2055" max="2055" width="15.140625" style="344" customWidth="1"/>
    <col min="2056" max="2056" width="20.85546875" style="344" customWidth="1"/>
    <col min="2057" max="2057" width="21.28515625" style="344" customWidth="1"/>
    <col min="2058" max="2058" width="18" style="344" customWidth="1"/>
    <col min="2059" max="2059" width="22.5703125" style="344" customWidth="1"/>
    <col min="2060" max="2061" width="14.85546875" style="344" customWidth="1"/>
    <col min="2062" max="2299" width="9.140625" style="344"/>
    <col min="2300" max="2300" width="6.85546875" style="344" customWidth="1"/>
    <col min="2301" max="2301" width="7" style="344" customWidth="1"/>
    <col min="2302" max="2302" width="61.140625" style="344" customWidth="1"/>
    <col min="2303" max="2303" width="13.85546875" style="344" customWidth="1"/>
    <col min="2304" max="2304" width="20.85546875" style="344" customWidth="1"/>
    <col min="2305" max="2305" width="16.5703125" style="344" customWidth="1"/>
    <col min="2306" max="2306" width="18.7109375" style="344" customWidth="1"/>
    <col min="2307" max="2307" width="22.7109375" style="344" customWidth="1"/>
    <col min="2308" max="2308" width="23.42578125" style="344" customWidth="1"/>
    <col min="2309" max="2309" width="22.7109375" style="344" customWidth="1"/>
    <col min="2310" max="2310" width="30.5703125" style="344" customWidth="1"/>
    <col min="2311" max="2311" width="15.140625" style="344" customWidth="1"/>
    <col min="2312" max="2312" width="20.85546875" style="344" customWidth="1"/>
    <col min="2313" max="2313" width="21.28515625" style="344" customWidth="1"/>
    <col min="2314" max="2314" width="18" style="344" customWidth="1"/>
    <col min="2315" max="2315" width="22.5703125" style="344" customWidth="1"/>
    <col min="2316" max="2317" width="14.85546875" style="344" customWidth="1"/>
    <col min="2318" max="2555" width="9.140625" style="344"/>
    <col min="2556" max="2556" width="6.85546875" style="344" customWidth="1"/>
    <col min="2557" max="2557" width="7" style="344" customWidth="1"/>
    <col min="2558" max="2558" width="61.140625" style="344" customWidth="1"/>
    <col min="2559" max="2559" width="13.85546875" style="344" customWidth="1"/>
    <col min="2560" max="2560" width="20.85546875" style="344" customWidth="1"/>
    <col min="2561" max="2561" width="16.5703125" style="344" customWidth="1"/>
    <col min="2562" max="2562" width="18.7109375" style="344" customWidth="1"/>
    <col min="2563" max="2563" width="22.7109375" style="344" customWidth="1"/>
    <col min="2564" max="2564" width="23.42578125" style="344" customWidth="1"/>
    <col min="2565" max="2565" width="22.7109375" style="344" customWidth="1"/>
    <col min="2566" max="2566" width="30.5703125" style="344" customWidth="1"/>
    <col min="2567" max="2567" width="15.140625" style="344" customWidth="1"/>
    <col min="2568" max="2568" width="20.85546875" style="344" customWidth="1"/>
    <col min="2569" max="2569" width="21.28515625" style="344" customWidth="1"/>
    <col min="2570" max="2570" width="18" style="344" customWidth="1"/>
    <col min="2571" max="2571" width="22.5703125" style="344" customWidth="1"/>
    <col min="2572" max="2573" width="14.85546875" style="344" customWidth="1"/>
    <col min="2574" max="2811" width="9.140625" style="344"/>
    <col min="2812" max="2812" width="6.85546875" style="344" customWidth="1"/>
    <col min="2813" max="2813" width="7" style="344" customWidth="1"/>
    <col min="2814" max="2814" width="61.140625" style="344" customWidth="1"/>
    <col min="2815" max="2815" width="13.85546875" style="344" customWidth="1"/>
    <col min="2816" max="2816" width="20.85546875" style="344" customWidth="1"/>
    <col min="2817" max="2817" width="16.5703125" style="344" customWidth="1"/>
    <col min="2818" max="2818" width="18.7109375" style="344" customWidth="1"/>
    <col min="2819" max="2819" width="22.7109375" style="344" customWidth="1"/>
    <col min="2820" max="2820" width="23.42578125" style="344" customWidth="1"/>
    <col min="2821" max="2821" width="22.7109375" style="344" customWidth="1"/>
    <col min="2822" max="2822" width="30.5703125" style="344" customWidth="1"/>
    <col min="2823" max="2823" width="15.140625" style="344" customWidth="1"/>
    <col min="2824" max="2824" width="20.85546875" style="344" customWidth="1"/>
    <col min="2825" max="2825" width="21.28515625" style="344" customWidth="1"/>
    <col min="2826" max="2826" width="18" style="344" customWidth="1"/>
    <col min="2827" max="2827" width="22.5703125" style="344" customWidth="1"/>
    <col min="2828" max="2829" width="14.85546875" style="344" customWidth="1"/>
    <col min="2830" max="3067" width="9.140625" style="344"/>
    <col min="3068" max="3068" width="6.85546875" style="344" customWidth="1"/>
    <col min="3069" max="3069" width="7" style="344" customWidth="1"/>
    <col min="3070" max="3070" width="61.140625" style="344" customWidth="1"/>
    <col min="3071" max="3071" width="13.85546875" style="344" customWidth="1"/>
    <col min="3072" max="3072" width="20.85546875" style="344" customWidth="1"/>
    <col min="3073" max="3073" width="16.5703125" style="344" customWidth="1"/>
    <col min="3074" max="3074" width="18.7109375" style="344" customWidth="1"/>
    <col min="3075" max="3075" width="22.7109375" style="344" customWidth="1"/>
    <col min="3076" max="3076" width="23.42578125" style="344" customWidth="1"/>
    <col min="3077" max="3077" width="22.7109375" style="344" customWidth="1"/>
    <col min="3078" max="3078" width="30.5703125" style="344" customWidth="1"/>
    <col min="3079" max="3079" width="15.140625" style="344" customWidth="1"/>
    <col min="3080" max="3080" width="20.85546875" style="344" customWidth="1"/>
    <col min="3081" max="3081" width="21.28515625" style="344" customWidth="1"/>
    <col min="3082" max="3082" width="18" style="344" customWidth="1"/>
    <col min="3083" max="3083" width="22.5703125" style="344" customWidth="1"/>
    <col min="3084" max="3085" width="14.85546875" style="344" customWidth="1"/>
    <col min="3086" max="3323" width="9.140625" style="344"/>
    <col min="3324" max="3324" width="6.85546875" style="344" customWidth="1"/>
    <col min="3325" max="3325" width="7" style="344" customWidth="1"/>
    <col min="3326" max="3326" width="61.140625" style="344" customWidth="1"/>
    <col min="3327" max="3327" width="13.85546875" style="344" customWidth="1"/>
    <col min="3328" max="3328" width="20.85546875" style="344" customWidth="1"/>
    <col min="3329" max="3329" width="16.5703125" style="344" customWidth="1"/>
    <col min="3330" max="3330" width="18.7109375" style="344" customWidth="1"/>
    <col min="3331" max="3331" width="22.7109375" style="344" customWidth="1"/>
    <col min="3332" max="3332" width="23.42578125" style="344" customWidth="1"/>
    <col min="3333" max="3333" width="22.7109375" style="344" customWidth="1"/>
    <col min="3334" max="3334" width="30.5703125" style="344" customWidth="1"/>
    <col min="3335" max="3335" width="15.140625" style="344" customWidth="1"/>
    <col min="3336" max="3336" width="20.85546875" style="344" customWidth="1"/>
    <col min="3337" max="3337" width="21.28515625" style="344" customWidth="1"/>
    <col min="3338" max="3338" width="18" style="344" customWidth="1"/>
    <col min="3339" max="3339" width="22.5703125" style="344" customWidth="1"/>
    <col min="3340" max="3341" width="14.85546875" style="344" customWidth="1"/>
    <col min="3342" max="3579" width="9.140625" style="344"/>
    <col min="3580" max="3580" width="6.85546875" style="344" customWidth="1"/>
    <col min="3581" max="3581" width="7" style="344" customWidth="1"/>
    <col min="3582" max="3582" width="61.140625" style="344" customWidth="1"/>
    <col min="3583" max="3583" width="13.85546875" style="344" customWidth="1"/>
    <col min="3584" max="3584" width="20.85546875" style="344" customWidth="1"/>
    <col min="3585" max="3585" width="16.5703125" style="344" customWidth="1"/>
    <col min="3586" max="3586" width="18.7109375" style="344" customWidth="1"/>
    <col min="3587" max="3587" width="22.7109375" style="344" customWidth="1"/>
    <col min="3588" max="3588" width="23.42578125" style="344" customWidth="1"/>
    <col min="3589" max="3589" width="22.7109375" style="344" customWidth="1"/>
    <col min="3590" max="3590" width="30.5703125" style="344" customWidth="1"/>
    <col min="3591" max="3591" width="15.140625" style="344" customWidth="1"/>
    <col min="3592" max="3592" width="20.85546875" style="344" customWidth="1"/>
    <col min="3593" max="3593" width="21.28515625" style="344" customWidth="1"/>
    <col min="3594" max="3594" width="18" style="344" customWidth="1"/>
    <col min="3595" max="3595" width="22.5703125" style="344" customWidth="1"/>
    <col min="3596" max="3597" width="14.85546875" style="344" customWidth="1"/>
    <col min="3598" max="3835" width="9.140625" style="344"/>
    <col min="3836" max="3836" width="6.85546875" style="344" customWidth="1"/>
    <col min="3837" max="3837" width="7" style="344" customWidth="1"/>
    <col min="3838" max="3838" width="61.140625" style="344" customWidth="1"/>
    <col min="3839" max="3839" width="13.85546875" style="344" customWidth="1"/>
    <col min="3840" max="3840" width="20.85546875" style="344" customWidth="1"/>
    <col min="3841" max="3841" width="16.5703125" style="344" customWidth="1"/>
    <col min="3842" max="3842" width="18.7109375" style="344" customWidth="1"/>
    <col min="3843" max="3843" width="22.7109375" style="344" customWidth="1"/>
    <col min="3844" max="3844" width="23.42578125" style="344" customWidth="1"/>
    <col min="3845" max="3845" width="22.7109375" style="344" customWidth="1"/>
    <col min="3846" max="3846" width="30.5703125" style="344" customWidth="1"/>
    <col min="3847" max="3847" width="15.140625" style="344" customWidth="1"/>
    <col min="3848" max="3848" width="20.85546875" style="344" customWidth="1"/>
    <col min="3849" max="3849" width="21.28515625" style="344" customWidth="1"/>
    <col min="3850" max="3850" width="18" style="344" customWidth="1"/>
    <col min="3851" max="3851" width="22.5703125" style="344" customWidth="1"/>
    <col min="3852" max="3853" width="14.85546875" style="344" customWidth="1"/>
    <col min="3854" max="4091" width="9.140625" style="344"/>
    <col min="4092" max="4092" width="6.85546875" style="344" customWidth="1"/>
    <col min="4093" max="4093" width="7" style="344" customWidth="1"/>
    <col min="4094" max="4094" width="61.140625" style="344" customWidth="1"/>
    <col min="4095" max="4095" width="13.85546875" style="344" customWidth="1"/>
    <col min="4096" max="4096" width="20.85546875" style="344" customWidth="1"/>
    <col min="4097" max="4097" width="16.5703125" style="344" customWidth="1"/>
    <col min="4098" max="4098" width="18.7109375" style="344" customWidth="1"/>
    <col min="4099" max="4099" width="22.7109375" style="344" customWidth="1"/>
    <col min="4100" max="4100" width="23.42578125" style="344" customWidth="1"/>
    <col min="4101" max="4101" width="22.7109375" style="344" customWidth="1"/>
    <col min="4102" max="4102" width="30.5703125" style="344" customWidth="1"/>
    <col min="4103" max="4103" width="15.140625" style="344" customWidth="1"/>
    <col min="4104" max="4104" width="20.85546875" style="344" customWidth="1"/>
    <col min="4105" max="4105" width="21.28515625" style="344" customWidth="1"/>
    <col min="4106" max="4106" width="18" style="344" customWidth="1"/>
    <col min="4107" max="4107" width="22.5703125" style="344" customWidth="1"/>
    <col min="4108" max="4109" width="14.85546875" style="344" customWidth="1"/>
    <col min="4110" max="4347" width="9.140625" style="344"/>
    <col min="4348" max="4348" width="6.85546875" style="344" customWidth="1"/>
    <col min="4349" max="4349" width="7" style="344" customWidth="1"/>
    <col min="4350" max="4350" width="61.140625" style="344" customWidth="1"/>
    <col min="4351" max="4351" width="13.85546875" style="344" customWidth="1"/>
    <col min="4352" max="4352" width="20.85546875" style="344" customWidth="1"/>
    <col min="4353" max="4353" width="16.5703125" style="344" customWidth="1"/>
    <col min="4354" max="4354" width="18.7109375" style="344" customWidth="1"/>
    <col min="4355" max="4355" width="22.7109375" style="344" customWidth="1"/>
    <col min="4356" max="4356" width="23.42578125" style="344" customWidth="1"/>
    <col min="4357" max="4357" width="22.7109375" style="344" customWidth="1"/>
    <col min="4358" max="4358" width="30.5703125" style="344" customWidth="1"/>
    <col min="4359" max="4359" width="15.140625" style="344" customWidth="1"/>
    <col min="4360" max="4360" width="20.85546875" style="344" customWidth="1"/>
    <col min="4361" max="4361" width="21.28515625" style="344" customWidth="1"/>
    <col min="4362" max="4362" width="18" style="344" customWidth="1"/>
    <col min="4363" max="4363" width="22.5703125" style="344" customWidth="1"/>
    <col min="4364" max="4365" width="14.85546875" style="344" customWidth="1"/>
    <col min="4366" max="4603" width="9.140625" style="344"/>
    <col min="4604" max="4604" width="6.85546875" style="344" customWidth="1"/>
    <col min="4605" max="4605" width="7" style="344" customWidth="1"/>
    <col min="4606" max="4606" width="61.140625" style="344" customWidth="1"/>
    <col min="4607" max="4607" width="13.85546875" style="344" customWidth="1"/>
    <col min="4608" max="4608" width="20.85546875" style="344" customWidth="1"/>
    <col min="4609" max="4609" width="16.5703125" style="344" customWidth="1"/>
    <col min="4610" max="4610" width="18.7109375" style="344" customWidth="1"/>
    <col min="4611" max="4611" width="22.7109375" style="344" customWidth="1"/>
    <col min="4612" max="4612" width="23.42578125" style="344" customWidth="1"/>
    <col min="4613" max="4613" width="22.7109375" style="344" customWidth="1"/>
    <col min="4614" max="4614" width="30.5703125" style="344" customWidth="1"/>
    <col min="4615" max="4615" width="15.140625" style="344" customWidth="1"/>
    <col min="4616" max="4616" width="20.85546875" style="344" customWidth="1"/>
    <col min="4617" max="4617" width="21.28515625" style="344" customWidth="1"/>
    <col min="4618" max="4618" width="18" style="344" customWidth="1"/>
    <col min="4619" max="4619" width="22.5703125" style="344" customWidth="1"/>
    <col min="4620" max="4621" width="14.85546875" style="344" customWidth="1"/>
    <col min="4622" max="4859" width="9.140625" style="344"/>
    <col min="4860" max="4860" width="6.85546875" style="344" customWidth="1"/>
    <col min="4861" max="4861" width="7" style="344" customWidth="1"/>
    <col min="4862" max="4862" width="61.140625" style="344" customWidth="1"/>
    <col min="4863" max="4863" width="13.85546875" style="344" customWidth="1"/>
    <col min="4864" max="4864" width="20.85546875" style="344" customWidth="1"/>
    <col min="4865" max="4865" width="16.5703125" style="344" customWidth="1"/>
    <col min="4866" max="4866" width="18.7109375" style="344" customWidth="1"/>
    <col min="4867" max="4867" width="22.7109375" style="344" customWidth="1"/>
    <col min="4868" max="4868" width="23.42578125" style="344" customWidth="1"/>
    <col min="4869" max="4869" width="22.7109375" style="344" customWidth="1"/>
    <col min="4870" max="4870" width="30.5703125" style="344" customWidth="1"/>
    <col min="4871" max="4871" width="15.140625" style="344" customWidth="1"/>
    <col min="4872" max="4872" width="20.85546875" style="344" customWidth="1"/>
    <col min="4873" max="4873" width="21.28515625" style="344" customWidth="1"/>
    <col min="4874" max="4874" width="18" style="344" customWidth="1"/>
    <col min="4875" max="4875" width="22.5703125" style="344" customWidth="1"/>
    <col min="4876" max="4877" width="14.85546875" style="344" customWidth="1"/>
    <col min="4878" max="5115" width="9.140625" style="344"/>
    <col min="5116" max="5116" width="6.85546875" style="344" customWidth="1"/>
    <col min="5117" max="5117" width="7" style="344" customWidth="1"/>
    <col min="5118" max="5118" width="61.140625" style="344" customWidth="1"/>
    <col min="5119" max="5119" width="13.85546875" style="344" customWidth="1"/>
    <col min="5120" max="5120" width="20.85546875" style="344" customWidth="1"/>
    <col min="5121" max="5121" width="16.5703125" style="344" customWidth="1"/>
    <col min="5122" max="5122" width="18.7109375" style="344" customWidth="1"/>
    <col min="5123" max="5123" width="22.7109375" style="344" customWidth="1"/>
    <col min="5124" max="5124" width="23.42578125" style="344" customWidth="1"/>
    <col min="5125" max="5125" width="22.7109375" style="344" customWidth="1"/>
    <col min="5126" max="5126" width="30.5703125" style="344" customWidth="1"/>
    <col min="5127" max="5127" width="15.140625" style="344" customWidth="1"/>
    <col min="5128" max="5128" width="20.85546875" style="344" customWidth="1"/>
    <col min="5129" max="5129" width="21.28515625" style="344" customWidth="1"/>
    <col min="5130" max="5130" width="18" style="344" customWidth="1"/>
    <col min="5131" max="5131" width="22.5703125" style="344" customWidth="1"/>
    <col min="5132" max="5133" width="14.85546875" style="344" customWidth="1"/>
    <col min="5134" max="5371" width="9.140625" style="344"/>
    <col min="5372" max="5372" width="6.85546875" style="344" customWidth="1"/>
    <col min="5373" max="5373" width="7" style="344" customWidth="1"/>
    <col min="5374" max="5374" width="61.140625" style="344" customWidth="1"/>
    <col min="5375" max="5375" width="13.85546875" style="344" customWidth="1"/>
    <col min="5376" max="5376" width="20.85546875" style="344" customWidth="1"/>
    <col min="5377" max="5377" width="16.5703125" style="344" customWidth="1"/>
    <col min="5378" max="5378" width="18.7109375" style="344" customWidth="1"/>
    <col min="5379" max="5379" width="22.7109375" style="344" customWidth="1"/>
    <col min="5380" max="5380" width="23.42578125" style="344" customWidth="1"/>
    <col min="5381" max="5381" width="22.7109375" style="344" customWidth="1"/>
    <col min="5382" max="5382" width="30.5703125" style="344" customWidth="1"/>
    <col min="5383" max="5383" width="15.140625" style="344" customWidth="1"/>
    <col min="5384" max="5384" width="20.85546875" style="344" customWidth="1"/>
    <col min="5385" max="5385" width="21.28515625" style="344" customWidth="1"/>
    <col min="5386" max="5386" width="18" style="344" customWidth="1"/>
    <col min="5387" max="5387" width="22.5703125" style="344" customWidth="1"/>
    <col min="5388" max="5389" width="14.85546875" style="344" customWidth="1"/>
    <col min="5390" max="5627" width="9.140625" style="344"/>
    <col min="5628" max="5628" width="6.85546875" style="344" customWidth="1"/>
    <col min="5629" max="5629" width="7" style="344" customWidth="1"/>
    <col min="5630" max="5630" width="61.140625" style="344" customWidth="1"/>
    <col min="5631" max="5631" width="13.85546875" style="344" customWidth="1"/>
    <col min="5632" max="5632" width="20.85546875" style="344" customWidth="1"/>
    <col min="5633" max="5633" width="16.5703125" style="344" customWidth="1"/>
    <col min="5634" max="5634" width="18.7109375" style="344" customWidth="1"/>
    <col min="5635" max="5635" width="22.7109375" style="344" customWidth="1"/>
    <col min="5636" max="5636" width="23.42578125" style="344" customWidth="1"/>
    <col min="5637" max="5637" width="22.7109375" style="344" customWidth="1"/>
    <col min="5638" max="5638" width="30.5703125" style="344" customWidth="1"/>
    <col min="5639" max="5639" width="15.140625" style="344" customWidth="1"/>
    <col min="5640" max="5640" width="20.85546875" style="344" customWidth="1"/>
    <col min="5641" max="5641" width="21.28515625" style="344" customWidth="1"/>
    <col min="5642" max="5642" width="18" style="344" customWidth="1"/>
    <col min="5643" max="5643" width="22.5703125" style="344" customWidth="1"/>
    <col min="5644" max="5645" width="14.85546875" style="344" customWidth="1"/>
    <col min="5646" max="5883" width="9.140625" style="344"/>
    <col min="5884" max="5884" width="6.85546875" style="344" customWidth="1"/>
    <col min="5885" max="5885" width="7" style="344" customWidth="1"/>
    <col min="5886" max="5886" width="61.140625" style="344" customWidth="1"/>
    <col min="5887" max="5887" width="13.85546875" style="344" customWidth="1"/>
    <col min="5888" max="5888" width="20.85546875" style="344" customWidth="1"/>
    <col min="5889" max="5889" width="16.5703125" style="344" customWidth="1"/>
    <col min="5890" max="5890" width="18.7109375" style="344" customWidth="1"/>
    <col min="5891" max="5891" width="22.7109375" style="344" customWidth="1"/>
    <col min="5892" max="5892" width="23.42578125" style="344" customWidth="1"/>
    <col min="5893" max="5893" width="22.7109375" style="344" customWidth="1"/>
    <col min="5894" max="5894" width="30.5703125" style="344" customWidth="1"/>
    <col min="5895" max="5895" width="15.140625" style="344" customWidth="1"/>
    <col min="5896" max="5896" width="20.85546875" style="344" customWidth="1"/>
    <col min="5897" max="5897" width="21.28515625" style="344" customWidth="1"/>
    <col min="5898" max="5898" width="18" style="344" customWidth="1"/>
    <col min="5899" max="5899" width="22.5703125" style="344" customWidth="1"/>
    <col min="5900" max="5901" width="14.85546875" style="344" customWidth="1"/>
    <col min="5902" max="6139" width="9.140625" style="344"/>
    <col min="6140" max="6140" width="6.85546875" style="344" customWidth="1"/>
    <col min="6141" max="6141" width="7" style="344" customWidth="1"/>
    <col min="6142" max="6142" width="61.140625" style="344" customWidth="1"/>
    <col min="6143" max="6143" width="13.85546875" style="344" customWidth="1"/>
    <col min="6144" max="6144" width="20.85546875" style="344" customWidth="1"/>
    <col min="6145" max="6145" width="16.5703125" style="344" customWidth="1"/>
    <col min="6146" max="6146" width="18.7109375" style="344" customWidth="1"/>
    <col min="6147" max="6147" width="22.7109375" style="344" customWidth="1"/>
    <col min="6148" max="6148" width="23.42578125" style="344" customWidth="1"/>
    <col min="6149" max="6149" width="22.7109375" style="344" customWidth="1"/>
    <col min="6150" max="6150" width="30.5703125" style="344" customWidth="1"/>
    <col min="6151" max="6151" width="15.140625" style="344" customWidth="1"/>
    <col min="6152" max="6152" width="20.85546875" style="344" customWidth="1"/>
    <col min="6153" max="6153" width="21.28515625" style="344" customWidth="1"/>
    <col min="6154" max="6154" width="18" style="344" customWidth="1"/>
    <col min="6155" max="6155" width="22.5703125" style="344" customWidth="1"/>
    <col min="6156" max="6157" width="14.85546875" style="344" customWidth="1"/>
    <col min="6158" max="6395" width="9.140625" style="344"/>
    <col min="6396" max="6396" width="6.85546875" style="344" customWidth="1"/>
    <col min="6397" max="6397" width="7" style="344" customWidth="1"/>
    <col min="6398" max="6398" width="61.140625" style="344" customWidth="1"/>
    <col min="6399" max="6399" width="13.85546875" style="344" customWidth="1"/>
    <col min="6400" max="6400" width="20.85546875" style="344" customWidth="1"/>
    <col min="6401" max="6401" width="16.5703125" style="344" customWidth="1"/>
    <col min="6402" max="6402" width="18.7109375" style="344" customWidth="1"/>
    <col min="6403" max="6403" width="22.7109375" style="344" customWidth="1"/>
    <col min="6404" max="6404" width="23.42578125" style="344" customWidth="1"/>
    <col min="6405" max="6405" width="22.7109375" style="344" customWidth="1"/>
    <col min="6406" max="6406" width="30.5703125" style="344" customWidth="1"/>
    <col min="6407" max="6407" width="15.140625" style="344" customWidth="1"/>
    <col min="6408" max="6408" width="20.85546875" style="344" customWidth="1"/>
    <col min="6409" max="6409" width="21.28515625" style="344" customWidth="1"/>
    <col min="6410" max="6410" width="18" style="344" customWidth="1"/>
    <col min="6411" max="6411" width="22.5703125" style="344" customWidth="1"/>
    <col min="6412" max="6413" width="14.85546875" style="344" customWidth="1"/>
    <col min="6414" max="6651" width="9.140625" style="344"/>
    <col min="6652" max="6652" width="6.85546875" style="344" customWidth="1"/>
    <col min="6653" max="6653" width="7" style="344" customWidth="1"/>
    <col min="6654" max="6654" width="61.140625" style="344" customWidth="1"/>
    <col min="6655" max="6655" width="13.85546875" style="344" customWidth="1"/>
    <col min="6656" max="6656" width="20.85546875" style="344" customWidth="1"/>
    <col min="6657" max="6657" width="16.5703125" style="344" customWidth="1"/>
    <col min="6658" max="6658" width="18.7109375" style="344" customWidth="1"/>
    <col min="6659" max="6659" width="22.7109375" style="344" customWidth="1"/>
    <col min="6660" max="6660" width="23.42578125" style="344" customWidth="1"/>
    <col min="6661" max="6661" width="22.7109375" style="344" customWidth="1"/>
    <col min="6662" max="6662" width="30.5703125" style="344" customWidth="1"/>
    <col min="6663" max="6663" width="15.140625" style="344" customWidth="1"/>
    <col min="6664" max="6664" width="20.85546875" style="344" customWidth="1"/>
    <col min="6665" max="6665" width="21.28515625" style="344" customWidth="1"/>
    <col min="6666" max="6666" width="18" style="344" customWidth="1"/>
    <col min="6667" max="6667" width="22.5703125" style="344" customWidth="1"/>
    <col min="6668" max="6669" width="14.85546875" style="344" customWidth="1"/>
    <col min="6670" max="6907" width="9.140625" style="344"/>
    <col min="6908" max="6908" width="6.85546875" style="344" customWidth="1"/>
    <col min="6909" max="6909" width="7" style="344" customWidth="1"/>
    <col min="6910" max="6910" width="61.140625" style="344" customWidth="1"/>
    <col min="6911" max="6911" width="13.85546875" style="344" customWidth="1"/>
    <col min="6912" max="6912" width="20.85546875" style="344" customWidth="1"/>
    <col min="6913" max="6913" width="16.5703125" style="344" customWidth="1"/>
    <col min="6914" max="6914" width="18.7109375" style="344" customWidth="1"/>
    <col min="6915" max="6915" width="22.7109375" style="344" customWidth="1"/>
    <col min="6916" max="6916" width="23.42578125" style="344" customWidth="1"/>
    <col min="6917" max="6917" width="22.7109375" style="344" customWidth="1"/>
    <col min="6918" max="6918" width="30.5703125" style="344" customWidth="1"/>
    <col min="6919" max="6919" width="15.140625" style="344" customWidth="1"/>
    <col min="6920" max="6920" width="20.85546875" style="344" customWidth="1"/>
    <col min="6921" max="6921" width="21.28515625" style="344" customWidth="1"/>
    <col min="6922" max="6922" width="18" style="344" customWidth="1"/>
    <col min="6923" max="6923" width="22.5703125" style="344" customWidth="1"/>
    <col min="6924" max="6925" width="14.85546875" style="344" customWidth="1"/>
    <col min="6926" max="7163" width="9.140625" style="344"/>
    <col min="7164" max="7164" width="6.85546875" style="344" customWidth="1"/>
    <col min="7165" max="7165" width="7" style="344" customWidth="1"/>
    <col min="7166" max="7166" width="61.140625" style="344" customWidth="1"/>
    <col min="7167" max="7167" width="13.85546875" style="344" customWidth="1"/>
    <col min="7168" max="7168" width="20.85546875" style="344" customWidth="1"/>
    <col min="7169" max="7169" width="16.5703125" style="344" customWidth="1"/>
    <col min="7170" max="7170" width="18.7109375" style="344" customWidth="1"/>
    <col min="7171" max="7171" width="22.7109375" style="344" customWidth="1"/>
    <col min="7172" max="7172" width="23.42578125" style="344" customWidth="1"/>
    <col min="7173" max="7173" width="22.7109375" style="344" customWidth="1"/>
    <col min="7174" max="7174" width="30.5703125" style="344" customWidth="1"/>
    <col min="7175" max="7175" width="15.140625" style="344" customWidth="1"/>
    <col min="7176" max="7176" width="20.85546875" style="344" customWidth="1"/>
    <col min="7177" max="7177" width="21.28515625" style="344" customWidth="1"/>
    <col min="7178" max="7178" width="18" style="344" customWidth="1"/>
    <col min="7179" max="7179" width="22.5703125" style="344" customWidth="1"/>
    <col min="7180" max="7181" width="14.85546875" style="344" customWidth="1"/>
    <col min="7182" max="7419" width="9.140625" style="344"/>
    <col min="7420" max="7420" width="6.85546875" style="344" customWidth="1"/>
    <col min="7421" max="7421" width="7" style="344" customWidth="1"/>
    <col min="7422" max="7422" width="61.140625" style="344" customWidth="1"/>
    <col min="7423" max="7423" width="13.85546875" style="344" customWidth="1"/>
    <col min="7424" max="7424" width="20.85546875" style="344" customWidth="1"/>
    <col min="7425" max="7425" width="16.5703125" style="344" customWidth="1"/>
    <col min="7426" max="7426" width="18.7109375" style="344" customWidth="1"/>
    <col min="7427" max="7427" width="22.7109375" style="344" customWidth="1"/>
    <col min="7428" max="7428" width="23.42578125" style="344" customWidth="1"/>
    <col min="7429" max="7429" width="22.7109375" style="344" customWidth="1"/>
    <col min="7430" max="7430" width="30.5703125" style="344" customWidth="1"/>
    <col min="7431" max="7431" width="15.140625" style="344" customWidth="1"/>
    <col min="7432" max="7432" width="20.85546875" style="344" customWidth="1"/>
    <col min="7433" max="7433" width="21.28515625" style="344" customWidth="1"/>
    <col min="7434" max="7434" width="18" style="344" customWidth="1"/>
    <col min="7435" max="7435" width="22.5703125" style="344" customWidth="1"/>
    <col min="7436" max="7437" width="14.85546875" style="344" customWidth="1"/>
    <col min="7438" max="7675" width="9.140625" style="344"/>
    <col min="7676" max="7676" width="6.85546875" style="344" customWidth="1"/>
    <col min="7677" max="7677" width="7" style="344" customWidth="1"/>
    <col min="7678" max="7678" width="61.140625" style="344" customWidth="1"/>
    <col min="7679" max="7679" width="13.85546875" style="344" customWidth="1"/>
    <col min="7680" max="7680" width="20.85546875" style="344" customWidth="1"/>
    <col min="7681" max="7681" width="16.5703125" style="344" customWidth="1"/>
    <col min="7682" max="7682" width="18.7109375" style="344" customWidth="1"/>
    <col min="7683" max="7683" width="22.7109375" style="344" customWidth="1"/>
    <col min="7684" max="7684" width="23.42578125" style="344" customWidth="1"/>
    <col min="7685" max="7685" width="22.7109375" style="344" customWidth="1"/>
    <col min="7686" max="7686" width="30.5703125" style="344" customWidth="1"/>
    <col min="7687" max="7687" width="15.140625" style="344" customWidth="1"/>
    <col min="7688" max="7688" width="20.85546875" style="344" customWidth="1"/>
    <col min="7689" max="7689" width="21.28515625" style="344" customWidth="1"/>
    <col min="7690" max="7690" width="18" style="344" customWidth="1"/>
    <col min="7691" max="7691" width="22.5703125" style="344" customWidth="1"/>
    <col min="7692" max="7693" width="14.85546875" style="344" customWidth="1"/>
    <col min="7694" max="7931" width="9.140625" style="344"/>
    <col min="7932" max="7932" width="6.85546875" style="344" customWidth="1"/>
    <col min="7933" max="7933" width="7" style="344" customWidth="1"/>
    <col min="7934" max="7934" width="61.140625" style="344" customWidth="1"/>
    <col min="7935" max="7935" width="13.85546875" style="344" customWidth="1"/>
    <col min="7936" max="7936" width="20.85546875" style="344" customWidth="1"/>
    <col min="7937" max="7937" width="16.5703125" style="344" customWidth="1"/>
    <col min="7938" max="7938" width="18.7109375" style="344" customWidth="1"/>
    <col min="7939" max="7939" width="22.7109375" style="344" customWidth="1"/>
    <col min="7940" max="7940" width="23.42578125" style="344" customWidth="1"/>
    <col min="7941" max="7941" width="22.7109375" style="344" customWidth="1"/>
    <col min="7942" max="7942" width="30.5703125" style="344" customWidth="1"/>
    <col min="7943" max="7943" width="15.140625" style="344" customWidth="1"/>
    <col min="7944" max="7944" width="20.85546875" style="344" customWidth="1"/>
    <col min="7945" max="7945" width="21.28515625" style="344" customWidth="1"/>
    <col min="7946" max="7946" width="18" style="344" customWidth="1"/>
    <col min="7947" max="7947" width="22.5703125" style="344" customWidth="1"/>
    <col min="7948" max="7949" width="14.85546875" style="344" customWidth="1"/>
    <col min="7950" max="8187" width="9.140625" style="344"/>
    <col min="8188" max="8188" width="6.85546875" style="344" customWidth="1"/>
    <col min="8189" max="8189" width="7" style="344" customWidth="1"/>
    <col min="8190" max="8190" width="61.140625" style="344" customWidth="1"/>
    <col min="8191" max="8191" width="13.85546875" style="344" customWidth="1"/>
    <col min="8192" max="8192" width="20.85546875" style="344" customWidth="1"/>
    <col min="8193" max="8193" width="16.5703125" style="344" customWidth="1"/>
    <col min="8194" max="8194" width="18.7109375" style="344" customWidth="1"/>
    <col min="8195" max="8195" width="22.7109375" style="344" customWidth="1"/>
    <col min="8196" max="8196" width="23.42578125" style="344" customWidth="1"/>
    <col min="8197" max="8197" width="22.7109375" style="344" customWidth="1"/>
    <col min="8198" max="8198" width="30.5703125" style="344" customWidth="1"/>
    <col min="8199" max="8199" width="15.140625" style="344" customWidth="1"/>
    <col min="8200" max="8200" width="20.85546875" style="344" customWidth="1"/>
    <col min="8201" max="8201" width="21.28515625" style="344" customWidth="1"/>
    <col min="8202" max="8202" width="18" style="344" customWidth="1"/>
    <col min="8203" max="8203" width="22.5703125" style="344" customWidth="1"/>
    <col min="8204" max="8205" width="14.85546875" style="344" customWidth="1"/>
    <col min="8206" max="8443" width="9.140625" style="344"/>
    <col min="8444" max="8444" width="6.85546875" style="344" customWidth="1"/>
    <col min="8445" max="8445" width="7" style="344" customWidth="1"/>
    <col min="8446" max="8446" width="61.140625" style="344" customWidth="1"/>
    <col min="8447" max="8447" width="13.85546875" style="344" customWidth="1"/>
    <col min="8448" max="8448" width="20.85546875" style="344" customWidth="1"/>
    <col min="8449" max="8449" width="16.5703125" style="344" customWidth="1"/>
    <col min="8450" max="8450" width="18.7109375" style="344" customWidth="1"/>
    <col min="8451" max="8451" width="22.7109375" style="344" customWidth="1"/>
    <col min="8452" max="8452" width="23.42578125" style="344" customWidth="1"/>
    <col min="8453" max="8453" width="22.7109375" style="344" customWidth="1"/>
    <col min="8454" max="8454" width="30.5703125" style="344" customWidth="1"/>
    <col min="8455" max="8455" width="15.140625" style="344" customWidth="1"/>
    <col min="8456" max="8456" width="20.85546875" style="344" customWidth="1"/>
    <col min="8457" max="8457" width="21.28515625" style="344" customWidth="1"/>
    <col min="8458" max="8458" width="18" style="344" customWidth="1"/>
    <col min="8459" max="8459" width="22.5703125" style="344" customWidth="1"/>
    <col min="8460" max="8461" width="14.85546875" style="344" customWidth="1"/>
    <col min="8462" max="8699" width="9.140625" style="344"/>
    <col min="8700" max="8700" width="6.85546875" style="344" customWidth="1"/>
    <col min="8701" max="8701" width="7" style="344" customWidth="1"/>
    <col min="8702" max="8702" width="61.140625" style="344" customWidth="1"/>
    <col min="8703" max="8703" width="13.85546875" style="344" customWidth="1"/>
    <col min="8704" max="8704" width="20.85546875" style="344" customWidth="1"/>
    <col min="8705" max="8705" width="16.5703125" style="344" customWidth="1"/>
    <col min="8706" max="8706" width="18.7109375" style="344" customWidth="1"/>
    <col min="8707" max="8707" width="22.7109375" style="344" customWidth="1"/>
    <col min="8708" max="8708" width="23.42578125" style="344" customWidth="1"/>
    <col min="8709" max="8709" width="22.7109375" style="344" customWidth="1"/>
    <col min="8710" max="8710" width="30.5703125" style="344" customWidth="1"/>
    <col min="8711" max="8711" width="15.140625" style="344" customWidth="1"/>
    <col min="8712" max="8712" width="20.85546875" style="344" customWidth="1"/>
    <col min="8713" max="8713" width="21.28515625" style="344" customWidth="1"/>
    <col min="8714" max="8714" width="18" style="344" customWidth="1"/>
    <col min="8715" max="8715" width="22.5703125" style="344" customWidth="1"/>
    <col min="8716" max="8717" width="14.85546875" style="344" customWidth="1"/>
    <col min="8718" max="8955" width="9.140625" style="344"/>
    <col min="8956" max="8956" width="6.85546875" style="344" customWidth="1"/>
    <col min="8957" max="8957" width="7" style="344" customWidth="1"/>
    <col min="8958" max="8958" width="61.140625" style="344" customWidth="1"/>
    <col min="8959" max="8959" width="13.85546875" style="344" customWidth="1"/>
    <col min="8960" max="8960" width="20.85546875" style="344" customWidth="1"/>
    <col min="8961" max="8961" width="16.5703125" style="344" customWidth="1"/>
    <col min="8962" max="8962" width="18.7109375" style="344" customWidth="1"/>
    <col min="8963" max="8963" width="22.7109375" style="344" customWidth="1"/>
    <col min="8964" max="8964" width="23.42578125" style="344" customWidth="1"/>
    <col min="8965" max="8965" width="22.7109375" style="344" customWidth="1"/>
    <col min="8966" max="8966" width="30.5703125" style="344" customWidth="1"/>
    <col min="8967" max="8967" width="15.140625" style="344" customWidth="1"/>
    <col min="8968" max="8968" width="20.85546875" style="344" customWidth="1"/>
    <col min="8969" max="8969" width="21.28515625" style="344" customWidth="1"/>
    <col min="8970" max="8970" width="18" style="344" customWidth="1"/>
    <col min="8971" max="8971" width="22.5703125" style="344" customWidth="1"/>
    <col min="8972" max="8973" width="14.85546875" style="344" customWidth="1"/>
    <col min="8974" max="9211" width="9.140625" style="344"/>
    <col min="9212" max="9212" width="6.85546875" style="344" customWidth="1"/>
    <col min="9213" max="9213" width="7" style="344" customWidth="1"/>
    <col min="9214" max="9214" width="61.140625" style="344" customWidth="1"/>
    <col min="9215" max="9215" width="13.85546875" style="344" customWidth="1"/>
    <col min="9216" max="9216" width="20.85546875" style="344" customWidth="1"/>
    <col min="9217" max="9217" width="16.5703125" style="344" customWidth="1"/>
    <col min="9218" max="9218" width="18.7109375" style="344" customWidth="1"/>
    <col min="9219" max="9219" width="22.7109375" style="344" customWidth="1"/>
    <col min="9220" max="9220" width="23.42578125" style="344" customWidth="1"/>
    <col min="9221" max="9221" width="22.7109375" style="344" customWidth="1"/>
    <col min="9222" max="9222" width="30.5703125" style="344" customWidth="1"/>
    <col min="9223" max="9223" width="15.140625" style="344" customWidth="1"/>
    <col min="9224" max="9224" width="20.85546875" style="344" customWidth="1"/>
    <col min="9225" max="9225" width="21.28515625" style="344" customWidth="1"/>
    <col min="9226" max="9226" width="18" style="344" customWidth="1"/>
    <col min="9227" max="9227" width="22.5703125" style="344" customWidth="1"/>
    <col min="9228" max="9229" width="14.85546875" style="344" customWidth="1"/>
    <col min="9230" max="9467" width="9.140625" style="344"/>
    <col min="9468" max="9468" width="6.85546875" style="344" customWidth="1"/>
    <col min="9469" max="9469" width="7" style="344" customWidth="1"/>
    <col min="9470" max="9470" width="61.140625" style="344" customWidth="1"/>
    <col min="9471" max="9471" width="13.85546875" style="344" customWidth="1"/>
    <col min="9472" max="9472" width="20.85546875" style="344" customWidth="1"/>
    <col min="9473" max="9473" width="16.5703125" style="344" customWidth="1"/>
    <col min="9474" max="9474" width="18.7109375" style="344" customWidth="1"/>
    <col min="9475" max="9475" width="22.7109375" style="344" customWidth="1"/>
    <col min="9476" max="9476" width="23.42578125" style="344" customWidth="1"/>
    <col min="9477" max="9477" width="22.7109375" style="344" customWidth="1"/>
    <col min="9478" max="9478" width="30.5703125" style="344" customWidth="1"/>
    <col min="9479" max="9479" width="15.140625" style="344" customWidth="1"/>
    <col min="9480" max="9480" width="20.85546875" style="344" customWidth="1"/>
    <col min="9481" max="9481" width="21.28515625" style="344" customWidth="1"/>
    <col min="9482" max="9482" width="18" style="344" customWidth="1"/>
    <col min="9483" max="9483" width="22.5703125" style="344" customWidth="1"/>
    <col min="9484" max="9485" width="14.85546875" style="344" customWidth="1"/>
    <col min="9486" max="9723" width="9.140625" style="344"/>
    <col min="9724" max="9724" width="6.85546875" style="344" customWidth="1"/>
    <col min="9725" max="9725" width="7" style="344" customWidth="1"/>
    <col min="9726" max="9726" width="61.140625" style="344" customWidth="1"/>
    <col min="9727" max="9727" width="13.85546875" style="344" customWidth="1"/>
    <col min="9728" max="9728" width="20.85546875" style="344" customWidth="1"/>
    <col min="9729" max="9729" width="16.5703125" style="344" customWidth="1"/>
    <col min="9730" max="9730" width="18.7109375" style="344" customWidth="1"/>
    <col min="9731" max="9731" width="22.7109375" style="344" customWidth="1"/>
    <col min="9732" max="9732" width="23.42578125" style="344" customWidth="1"/>
    <col min="9733" max="9733" width="22.7109375" style="344" customWidth="1"/>
    <col min="9734" max="9734" width="30.5703125" style="344" customWidth="1"/>
    <col min="9735" max="9735" width="15.140625" style="344" customWidth="1"/>
    <col min="9736" max="9736" width="20.85546875" style="344" customWidth="1"/>
    <col min="9737" max="9737" width="21.28515625" style="344" customWidth="1"/>
    <col min="9738" max="9738" width="18" style="344" customWidth="1"/>
    <col min="9739" max="9739" width="22.5703125" style="344" customWidth="1"/>
    <col min="9740" max="9741" width="14.85546875" style="344" customWidth="1"/>
    <col min="9742" max="9979" width="9.140625" style="344"/>
    <col min="9980" max="9980" width="6.85546875" style="344" customWidth="1"/>
    <col min="9981" max="9981" width="7" style="344" customWidth="1"/>
    <col min="9982" max="9982" width="61.140625" style="344" customWidth="1"/>
    <col min="9983" max="9983" width="13.85546875" style="344" customWidth="1"/>
    <col min="9984" max="9984" width="20.85546875" style="344" customWidth="1"/>
    <col min="9985" max="9985" width="16.5703125" style="344" customWidth="1"/>
    <col min="9986" max="9986" width="18.7109375" style="344" customWidth="1"/>
    <col min="9987" max="9987" width="22.7109375" style="344" customWidth="1"/>
    <col min="9988" max="9988" width="23.42578125" style="344" customWidth="1"/>
    <col min="9989" max="9989" width="22.7109375" style="344" customWidth="1"/>
    <col min="9990" max="9990" width="30.5703125" style="344" customWidth="1"/>
    <col min="9991" max="9991" width="15.140625" style="344" customWidth="1"/>
    <col min="9992" max="9992" width="20.85546875" style="344" customWidth="1"/>
    <col min="9993" max="9993" width="21.28515625" style="344" customWidth="1"/>
    <col min="9994" max="9994" width="18" style="344" customWidth="1"/>
    <col min="9995" max="9995" width="22.5703125" style="344" customWidth="1"/>
    <col min="9996" max="9997" width="14.85546875" style="344" customWidth="1"/>
    <col min="9998" max="10235" width="9.140625" style="344"/>
    <col min="10236" max="10236" width="6.85546875" style="344" customWidth="1"/>
    <col min="10237" max="10237" width="7" style="344" customWidth="1"/>
    <col min="10238" max="10238" width="61.140625" style="344" customWidth="1"/>
    <col min="10239" max="10239" width="13.85546875" style="344" customWidth="1"/>
    <col min="10240" max="10240" width="20.85546875" style="344" customWidth="1"/>
    <col min="10241" max="10241" width="16.5703125" style="344" customWidth="1"/>
    <col min="10242" max="10242" width="18.7109375" style="344" customWidth="1"/>
    <col min="10243" max="10243" width="22.7109375" style="344" customWidth="1"/>
    <col min="10244" max="10244" width="23.42578125" style="344" customWidth="1"/>
    <col min="10245" max="10245" width="22.7109375" style="344" customWidth="1"/>
    <col min="10246" max="10246" width="30.5703125" style="344" customWidth="1"/>
    <col min="10247" max="10247" width="15.140625" style="344" customWidth="1"/>
    <col min="10248" max="10248" width="20.85546875" style="344" customWidth="1"/>
    <col min="10249" max="10249" width="21.28515625" style="344" customWidth="1"/>
    <col min="10250" max="10250" width="18" style="344" customWidth="1"/>
    <col min="10251" max="10251" width="22.5703125" style="344" customWidth="1"/>
    <col min="10252" max="10253" width="14.85546875" style="344" customWidth="1"/>
    <col min="10254" max="10491" width="9.140625" style="344"/>
    <col min="10492" max="10492" width="6.85546875" style="344" customWidth="1"/>
    <col min="10493" max="10493" width="7" style="344" customWidth="1"/>
    <col min="10494" max="10494" width="61.140625" style="344" customWidth="1"/>
    <col min="10495" max="10495" width="13.85546875" style="344" customWidth="1"/>
    <col min="10496" max="10496" width="20.85546875" style="344" customWidth="1"/>
    <col min="10497" max="10497" width="16.5703125" style="344" customWidth="1"/>
    <col min="10498" max="10498" width="18.7109375" style="344" customWidth="1"/>
    <col min="10499" max="10499" width="22.7109375" style="344" customWidth="1"/>
    <col min="10500" max="10500" width="23.42578125" style="344" customWidth="1"/>
    <col min="10501" max="10501" width="22.7109375" style="344" customWidth="1"/>
    <col min="10502" max="10502" width="30.5703125" style="344" customWidth="1"/>
    <col min="10503" max="10503" width="15.140625" style="344" customWidth="1"/>
    <col min="10504" max="10504" width="20.85546875" style="344" customWidth="1"/>
    <col min="10505" max="10505" width="21.28515625" style="344" customWidth="1"/>
    <col min="10506" max="10506" width="18" style="344" customWidth="1"/>
    <col min="10507" max="10507" width="22.5703125" style="344" customWidth="1"/>
    <col min="10508" max="10509" width="14.85546875" style="344" customWidth="1"/>
    <col min="10510" max="10747" width="9.140625" style="344"/>
    <col min="10748" max="10748" width="6.85546875" style="344" customWidth="1"/>
    <col min="10749" max="10749" width="7" style="344" customWidth="1"/>
    <col min="10750" max="10750" width="61.140625" style="344" customWidth="1"/>
    <col min="10751" max="10751" width="13.85546875" style="344" customWidth="1"/>
    <col min="10752" max="10752" width="20.85546875" style="344" customWidth="1"/>
    <col min="10753" max="10753" width="16.5703125" style="344" customWidth="1"/>
    <col min="10754" max="10754" width="18.7109375" style="344" customWidth="1"/>
    <col min="10755" max="10755" width="22.7109375" style="344" customWidth="1"/>
    <col min="10756" max="10756" width="23.42578125" style="344" customWidth="1"/>
    <col min="10757" max="10757" width="22.7109375" style="344" customWidth="1"/>
    <col min="10758" max="10758" width="30.5703125" style="344" customWidth="1"/>
    <col min="10759" max="10759" width="15.140625" style="344" customWidth="1"/>
    <col min="10760" max="10760" width="20.85546875" style="344" customWidth="1"/>
    <col min="10761" max="10761" width="21.28515625" style="344" customWidth="1"/>
    <col min="10762" max="10762" width="18" style="344" customWidth="1"/>
    <col min="10763" max="10763" width="22.5703125" style="344" customWidth="1"/>
    <col min="10764" max="10765" width="14.85546875" style="344" customWidth="1"/>
    <col min="10766" max="11003" width="9.140625" style="344"/>
    <col min="11004" max="11004" width="6.85546875" style="344" customWidth="1"/>
    <col min="11005" max="11005" width="7" style="344" customWidth="1"/>
    <col min="11006" max="11006" width="61.140625" style="344" customWidth="1"/>
    <col min="11007" max="11007" width="13.85546875" style="344" customWidth="1"/>
    <col min="11008" max="11008" width="20.85546875" style="344" customWidth="1"/>
    <col min="11009" max="11009" width="16.5703125" style="344" customWidth="1"/>
    <col min="11010" max="11010" width="18.7109375" style="344" customWidth="1"/>
    <col min="11011" max="11011" width="22.7109375" style="344" customWidth="1"/>
    <col min="11012" max="11012" width="23.42578125" style="344" customWidth="1"/>
    <col min="11013" max="11013" width="22.7109375" style="344" customWidth="1"/>
    <col min="11014" max="11014" width="30.5703125" style="344" customWidth="1"/>
    <col min="11015" max="11015" width="15.140625" style="344" customWidth="1"/>
    <col min="11016" max="11016" width="20.85546875" style="344" customWidth="1"/>
    <col min="11017" max="11017" width="21.28515625" style="344" customWidth="1"/>
    <col min="11018" max="11018" width="18" style="344" customWidth="1"/>
    <col min="11019" max="11019" width="22.5703125" style="344" customWidth="1"/>
    <col min="11020" max="11021" width="14.85546875" style="344" customWidth="1"/>
    <col min="11022" max="11259" width="9.140625" style="344"/>
    <col min="11260" max="11260" width="6.85546875" style="344" customWidth="1"/>
    <col min="11261" max="11261" width="7" style="344" customWidth="1"/>
    <col min="11262" max="11262" width="61.140625" style="344" customWidth="1"/>
    <col min="11263" max="11263" width="13.85546875" style="344" customWidth="1"/>
    <col min="11264" max="11264" width="20.85546875" style="344" customWidth="1"/>
    <col min="11265" max="11265" width="16.5703125" style="344" customWidth="1"/>
    <col min="11266" max="11266" width="18.7109375" style="344" customWidth="1"/>
    <col min="11267" max="11267" width="22.7109375" style="344" customWidth="1"/>
    <col min="11268" max="11268" width="23.42578125" style="344" customWidth="1"/>
    <col min="11269" max="11269" width="22.7109375" style="344" customWidth="1"/>
    <col min="11270" max="11270" width="30.5703125" style="344" customWidth="1"/>
    <col min="11271" max="11271" width="15.140625" style="344" customWidth="1"/>
    <col min="11272" max="11272" width="20.85546875" style="344" customWidth="1"/>
    <col min="11273" max="11273" width="21.28515625" style="344" customWidth="1"/>
    <col min="11274" max="11274" width="18" style="344" customWidth="1"/>
    <col min="11275" max="11275" width="22.5703125" style="344" customWidth="1"/>
    <col min="11276" max="11277" width="14.85546875" style="344" customWidth="1"/>
    <col min="11278" max="11515" width="9.140625" style="344"/>
    <col min="11516" max="11516" width="6.85546875" style="344" customWidth="1"/>
    <col min="11517" max="11517" width="7" style="344" customWidth="1"/>
    <col min="11518" max="11518" width="61.140625" style="344" customWidth="1"/>
    <col min="11519" max="11519" width="13.85546875" style="344" customWidth="1"/>
    <col min="11520" max="11520" width="20.85546875" style="344" customWidth="1"/>
    <col min="11521" max="11521" width="16.5703125" style="344" customWidth="1"/>
    <col min="11522" max="11522" width="18.7109375" style="344" customWidth="1"/>
    <col min="11523" max="11523" width="22.7109375" style="344" customWidth="1"/>
    <col min="11524" max="11524" width="23.42578125" style="344" customWidth="1"/>
    <col min="11525" max="11525" width="22.7109375" style="344" customWidth="1"/>
    <col min="11526" max="11526" width="30.5703125" style="344" customWidth="1"/>
    <col min="11527" max="11527" width="15.140625" style="344" customWidth="1"/>
    <col min="11528" max="11528" width="20.85546875" style="344" customWidth="1"/>
    <col min="11529" max="11529" width="21.28515625" style="344" customWidth="1"/>
    <col min="11530" max="11530" width="18" style="344" customWidth="1"/>
    <col min="11531" max="11531" width="22.5703125" style="344" customWidth="1"/>
    <col min="11532" max="11533" width="14.85546875" style="344" customWidth="1"/>
    <col min="11534" max="11771" width="9.140625" style="344"/>
    <col min="11772" max="11772" width="6.85546875" style="344" customWidth="1"/>
    <col min="11773" max="11773" width="7" style="344" customWidth="1"/>
    <col min="11774" max="11774" width="61.140625" style="344" customWidth="1"/>
    <col min="11775" max="11775" width="13.85546875" style="344" customWidth="1"/>
    <col min="11776" max="11776" width="20.85546875" style="344" customWidth="1"/>
    <col min="11777" max="11777" width="16.5703125" style="344" customWidth="1"/>
    <col min="11778" max="11778" width="18.7109375" style="344" customWidth="1"/>
    <col min="11779" max="11779" width="22.7109375" style="344" customWidth="1"/>
    <col min="11780" max="11780" width="23.42578125" style="344" customWidth="1"/>
    <col min="11781" max="11781" width="22.7109375" style="344" customWidth="1"/>
    <col min="11782" max="11782" width="30.5703125" style="344" customWidth="1"/>
    <col min="11783" max="11783" width="15.140625" style="344" customWidth="1"/>
    <col min="11784" max="11784" width="20.85546875" style="344" customWidth="1"/>
    <col min="11785" max="11785" width="21.28515625" style="344" customWidth="1"/>
    <col min="11786" max="11786" width="18" style="344" customWidth="1"/>
    <col min="11787" max="11787" width="22.5703125" style="344" customWidth="1"/>
    <col min="11788" max="11789" width="14.85546875" style="344" customWidth="1"/>
    <col min="11790" max="12027" width="9.140625" style="344"/>
    <col min="12028" max="12028" width="6.85546875" style="344" customWidth="1"/>
    <col min="12029" max="12029" width="7" style="344" customWidth="1"/>
    <col min="12030" max="12030" width="61.140625" style="344" customWidth="1"/>
    <col min="12031" max="12031" width="13.85546875" style="344" customWidth="1"/>
    <col min="12032" max="12032" width="20.85546875" style="344" customWidth="1"/>
    <col min="12033" max="12033" width="16.5703125" style="344" customWidth="1"/>
    <col min="12034" max="12034" width="18.7109375" style="344" customWidth="1"/>
    <col min="12035" max="12035" width="22.7109375" style="344" customWidth="1"/>
    <col min="12036" max="12036" width="23.42578125" style="344" customWidth="1"/>
    <col min="12037" max="12037" width="22.7109375" style="344" customWidth="1"/>
    <col min="12038" max="12038" width="30.5703125" style="344" customWidth="1"/>
    <col min="12039" max="12039" width="15.140625" style="344" customWidth="1"/>
    <col min="12040" max="12040" width="20.85546875" style="344" customWidth="1"/>
    <col min="12041" max="12041" width="21.28515625" style="344" customWidth="1"/>
    <col min="12042" max="12042" width="18" style="344" customWidth="1"/>
    <col min="12043" max="12043" width="22.5703125" style="344" customWidth="1"/>
    <col min="12044" max="12045" width="14.85546875" style="344" customWidth="1"/>
    <col min="12046" max="12283" width="9.140625" style="344"/>
    <col min="12284" max="12284" width="6.85546875" style="344" customWidth="1"/>
    <col min="12285" max="12285" width="7" style="344" customWidth="1"/>
    <col min="12286" max="12286" width="61.140625" style="344" customWidth="1"/>
    <col min="12287" max="12287" width="13.85546875" style="344" customWidth="1"/>
    <col min="12288" max="12288" width="20.85546875" style="344" customWidth="1"/>
    <col min="12289" max="12289" width="16.5703125" style="344" customWidth="1"/>
    <col min="12290" max="12290" width="18.7109375" style="344" customWidth="1"/>
    <col min="12291" max="12291" width="22.7109375" style="344" customWidth="1"/>
    <col min="12292" max="12292" width="23.42578125" style="344" customWidth="1"/>
    <col min="12293" max="12293" width="22.7109375" style="344" customWidth="1"/>
    <col min="12294" max="12294" width="30.5703125" style="344" customWidth="1"/>
    <col min="12295" max="12295" width="15.140625" style="344" customWidth="1"/>
    <col min="12296" max="12296" width="20.85546875" style="344" customWidth="1"/>
    <col min="12297" max="12297" width="21.28515625" style="344" customWidth="1"/>
    <col min="12298" max="12298" width="18" style="344" customWidth="1"/>
    <col min="12299" max="12299" width="22.5703125" style="344" customWidth="1"/>
    <col min="12300" max="12301" width="14.85546875" style="344" customWidth="1"/>
    <col min="12302" max="12539" width="9.140625" style="344"/>
    <col min="12540" max="12540" width="6.85546875" style="344" customWidth="1"/>
    <col min="12541" max="12541" width="7" style="344" customWidth="1"/>
    <col min="12542" max="12542" width="61.140625" style="344" customWidth="1"/>
    <col min="12543" max="12543" width="13.85546875" style="344" customWidth="1"/>
    <col min="12544" max="12544" width="20.85546875" style="344" customWidth="1"/>
    <col min="12545" max="12545" width="16.5703125" style="344" customWidth="1"/>
    <col min="12546" max="12546" width="18.7109375" style="344" customWidth="1"/>
    <col min="12547" max="12547" width="22.7109375" style="344" customWidth="1"/>
    <col min="12548" max="12548" width="23.42578125" style="344" customWidth="1"/>
    <col min="12549" max="12549" width="22.7109375" style="344" customWidth="1"/>
    <col min="12550" max="12550" width="30.5703125" style="344" customWidth="1"/>
    <col min="12551" max="12551" width="15.140625" style="344" customWidth="1"/>
    <col min="12552" max="12552" width="20.85546875" style="344" customWidth="1"/>
    <col min="12553" max="12553" width="21.28515625" style="344" customWidth="1"/>
    <col min="12554" max="12554" width="18" style="344" customWidth="1"/>
    <col min="12555" max="12555" width="22.5703125" style="344" customWidth="1"/>
    <col min="12556" max="12557" width="14.85546875" style="344" customWidth="1"/>
    <col min="12558" max="12795" width="9.140625" style="344"/>
    <col min="12796" max="12796" width="6.85546875" style="344" customWidth="1"/>
    <col min="12797" max="12797" width="7" style="344" customWidth="1"/>
    <col min="12798" max="12798" width="61.140625" style="344" customWidth="1"/>
    <col min="12799" max="12799" width="13.85546875" style="344" customWidth="1"/>
    <col min="12800" max="12800" width="20.85546875" style="344" customWidth="1"/>
    <col min="12801" max="12801" width="16.5703125" style="344" customWidth="1"/>
    <col min="12802" max="12802" width="18.7109375" style="344" customWidth="1"/>
    <col min="12803" max="12803" width="22.7109375" style="344" customWidth="1"/>
    <col min="12804" max="12804" width="23.42578125" style="344" customWidth="1"/>
    <col min="12805" max="12805" width="22.7109375" style="344" customWidth="1"/>
    <col min="12806" max="12806" width="30.5703125" style="344" customWidth="1"/>
    <col min="12807" max="12807" width="15.140625" style="344" customWidth="1"/>
    <col min="12808" max="12808" width="20.85546875" style="344" customWidth="1"/>
    <col min="12809" max="12809" width="21.28515625" style="344" customWidth="1"/>
    <col min="12810" max="12810" width="18" style="344" customWidth="1"/>
    <col min="12811" max="12811" width="22.5703125" style="344" customWidth="1"/>
    <col min="12812" max="12813" width="14.85546875" style="344" customWidth="1"/>
    <col min="12814" max="13051" width="9.140625" style="344"/>
    <col min="13052" max="13052" width="6.85546875" style="344" customWidth="1"/>
    <col min="13053" max="13053" width="7" style="344" customWidth="1"/>
    <col min="13054" max="13054" width="61.140625" style="344" customWidth="1"/>
    <col min="13055" max="13055" width="13.85546875" style="344" customWidth="1"/>
    <col min="13056" max="13056" width="20.85546875" style="344" customWidth="1"/>
    <col min="13057" max="13057" width="16.5703125" style="344" customWidth="1"/>
    <col min="13058" max="13058" width="18.7109375" style="344" customWidth="1"/>
    <col min="13059" max="13059" width="22.7109375" style="344" customWidth="1"/>
    <col min="13060" max="13060" width="23.42578125" style="344" customWidth="1"/>
    <col min="13061" max="13061" width="22.7109375" style="344" customWidth="1"/>
    <col min="13062" max="13062" width="30.5703125" style="344" customWidth="1"/>
    <col min="13063" max="13063" width="15.140625" style="344" customWidth="1"/>
    <col min="13064" max="13064" width="20.85546875" style="344" customWidth="1"/>
    <col min="13065" max="13065" width="21.28515625" style="344" customWidth="1"/>
    <col min="13066" max="13066" width="18" style="344" customWidth="1"/>
    <col min="13067" max="13067" width="22.5703125" style="344" customWidth="1"/>
    <col min="13068" max="13069" width="14.85546875" style="344" customWidth="1"/>
    <col min="13070" max="13307" width="9.140625" style="344"/>
    <col min="13308" max="13308" width="6.85546875" style="344" customWidth="1"/>
    <col min="13309" max="13309" width="7" style="344" customWidth="1"/>
    <col min="13310" max="13310" width="61.140625" style="344" customWidth="1"/>
    <col min="13311" max="13311" width="13.85546875" style="344" customWidth="1"/>
    <col min="13312" max="13312" width="20.85546875" style="344" customWidth="1"/>
    <col min="13313" max="13313" width="16.5703125" style="344" customWidth="1"/>
    <col min="13314" max="13314" width="18.7109375" style="344" customWidth="1"/>
    <col min="13315" max="13315" width="22.7109375" style="344" customWidth="1"/>
    <col min="13316" max="13316" width="23.42578125" style="344" customWidth="1"/>
    <col min="13317" max="13317" width="22.7109375" style="344" customWidth="1"/>
    <col min="13318" max="13318" width="30.5703125" style="344" customWidth="1"/>
    <col min="13319" max="13319" width="15.140625" style="344" customWidth="1"/>
    <col min="13320" max="13320" width="20.85546875" style="344" customWidth="1"/>
    <col min="13321" max="13321" width="21.28515625" style="344" customWidth="1"/>
    <col min="13322" max="13322" width="18" style="344" customWidth="1"/>
    <col min="13323" max="13323" width="22.5703125" style="344" customWidth="1"/>
    <col min="13324" max="13325" width="14.85546875" style="344" customWidth="1"/>
    <col min="13326" max="13563" width="9.140625" style="344"/>
    <col min="13564" max="13564" width="6.85546875" style="344" customWidth="1"/>
    <col min="13565" max="13565" width="7" style="344" customWidth="1"/>
    <col min="13566" max="13566" width="61.140625" style="344" customWidth="1"/>
    <col min="13567" max="13567" width="13.85546875" style="344" customWidth="1"/>
    <col min="13568" max="13568" width="20.85546875" style="344" customWidth="1"/>
    <col min="13569" max="13569" width="16.5703125" style="344" customWidth="1"/>
    <col min="13570" max="13570" width="18.7109375" style="344" customWidth="1"/>
    <col min="13571" max="13571" width="22.7109375" style="344" customWidth="1"/>
    <col min="13572" max="13572" width="23.42578125" style="344" customWidth="1"/>
    <col min="13573" max="13573" width="22.7109375" style="344" customWidth="1"/>
    <col min="13574" max="13574" width="30.5703125" style="344" customWidth="1"/>
    <col min="13575" max="13575" width="15.140625" style="344" customWidth="1"/>
    <col min="13576" max="13576" width="20.85546875" style="344" customWidth="1"/>
    <col min="13577" max="13577" width="21.28515625" style="344" customWidth="1"/>
    <col min="13578" max="13578" width="18" style="344" customWidth="1"/>
    <col min="13579" max="13579" width="22.5703125" style="344" customWidth="1"/>
    <col min="13580" max="13581" width="14.85546875" style="344" customWidth="1"/>
    <col min="13582" max="13819" width="9.140625" style="344"/>
    <col min="13820" max="13820" width="6.85546875" style="344" customWidth="1"/>
    <col min="13821" max="13821" width="7" style="344" customWidth="1"/>
    <col min="13822" max="13822" width="61.140625" style="344" customWidth="1"/>
    <col min="13823" max="13823" width="13.85546875" style="344" customWidth="1"/>
    <col min="13824" max="13824" width="20.85546875" style="344" customWidth="1"/>
    <col min="13825" max="13825" width="16.5703125" style="344" customWidth="1"/>
    <col min="13826" max="13826" width="18.7109375" style="344" customWidth="1"/>
    <col min="13827" max="13827" width="22.7109375" style="344" customWidth="1"/>
    <col min="13828" max="13828" width="23.42578125" style="344" customWidth="1"/>
    <col min="13829" max="13829" width="22.7109375" style="344" customWidth="1"/>
    <col min="13830" max="13830" width="30.5703125" style="344" customWidth="1"/>
    <col min="13831" max="13831" width="15.140625" style="344" customWidth="1"/>
    <col min="13832" max="13832" width="20.85546875" style="344" customWidth="1"/>
    <col min="13833" max="13833" width="21.28515625" style="344" customWidth="1"/>
    <col min="13834" max="13834" width="18" style="344" customWidth="1"/>
    <col min="13835" max="13835" width="22.5703125" style="344" customWidth="1"/>
    <col min="13836" max="13837" width="14.85546875" style="344" customWidth="1"/>
    <col min="13838" max="14075" width="9.140625" style="344"/>
    <col min="14076" max="14076" width="6.85546875" style="344" customWidth="1"/>
    <col min="14077" max="14077" width="7" style="344" customWidth="1"/>
    <col min="14078" max="14078" width="61.140625" style="344" customWidth="1"/>
    <col min="14079" max="14079" width="13.85546875" style="344" customWidth="1"/>
    <col min="14080" max="14080" width="20.85546875" style="344" customWidth="1"/>
    <col min="14081" max="14081" width="16.5703125" style="344" customWidth="1"/>
    <col min="14082" max="14082" width="18.7109375" style="344" customWidth="1"/>
    <col min="14083" max="14083" width="22.7109375" style="344" customWidth="1"/>
    <col min="14084" max="14084" width="23.42578125" style="344" customWidth="1"/>
    <col min="14085" max="14085" width="22.7109375" style="344" customWidth="1"/>
    <col min="14086" max="14086" width="30.5703125" style="344" customWidth="1"/>
    <col min="14087" max="14087" width="15.140625" style="344" customWidth="1"/>
    <col min="14088" max="14088" width="20.85546875" style="344" customWidth="1"/>
    <col min="14089" max="14089" width="21.28515625" style="344" customWidth="1"/>
    <col min="14090" max="14090" width="18" style="344" customWidth="1"/>
    <col min="14091" max="14091" width="22.5703125" style="344" customWidth="1"/>
    <col min="14092" max="14093" width="14.85546875" style="344" customWidth="1"/>
    <col min="14094" max="14331" width="9.140625" style="344"/>
    <col min="14332" max="14332" width="6.85546875" style="344" customWidth="1"/>
    <col min="14333" max="14333" width="7" style="344" customWidth="1"/>
    <col min="14334" max="14334" width="61.140625" style="344" customWidth="1"/>
    <col min="14335" max="14335" width="13.85546875" style="344" customWidth="1"/>
    <col min="14336" max="14336" width="20.85546875" style="344" customWidth="1"/>
    <col min="14337" max="14337" width="16.5703125" style="344" customWidth="1"/>
    <col min="14338" max="14338" width="18.7109375" style="344" customWidth="1"/>
    <col min="14339" max="14339" width="22.7109375" style="344" customWidth="1"/>
    <col min="14340" max="14340" width="23.42578125" style="344" customWidth="1"/>
    <col min="14341" max="14341" width="22.7109375" style="344" customWidth="1"/>
    <col min="14342" max="14342" width="30.5703125" style="344" customWidth="1"/>
    <col min="14343" max="14343" width="15.140625" style="344" customWidth="1"/>
    <col min="14344" max="14344" width="20.85546875" style="344" customWidth="1"/>
    <col min="14345" max="14345" width="21.28515625" style="344" customWidth="1"/>
    <col min="14346" max="14346" width="18" style="344" customWidth="1"/>
    <col min="14347" max="14347" width="22.5703125" style="344" customWidth="1"/>
    <col min="14348" max="14349" width="14.85546875" style="344" customWidth="1"/>
    <col min="14350" max="14587" width="9.140625" style="344"/>
    <col min="14588" max="14588" width="6.85546875" style="344" customWidth="1"/>
    <col min="14589" max="14589" width="7" style="344" customWidth="1"/>
    <col min="14590" max="14590" width="61.140625" style="344" customWidth="1"/>
    <col min="14591" max="14591" width="13.85546875" style="344" customWidth="1"/>
    <col min="14592" max="14592" width="20.85546875" style="344" customWidth="1"/>
    <col min="14593" max="14593" width="16.5703125" style="344" customWidth="1"/>
    <col min="14594" max="14594" width="18.7109375" style="344" customWidth="1"/>
    <col min="14595" max="14595" width="22.7109375" style="344" customWidth="1"/>
    <col min="14596" max="14596" width="23.42578125" style="344" customWidth="1"/>
    <col min="14597" max="14597" width="22.7109375" style="344" customWidth="1"/>
    <col min="14598" max="14598" width="30.5703125" style="344" customWidth="1"/>
    <col min="14599" max="14599" width="15.140625" style="344" customWidth="1"/>
    <col min="14600" max="14600" width="20.85546875" style="344" customWidth="1"/>
    <col min="14601" max="14601" width="21.28515625" style="344" customWidth="1"/>
    <col min="14602" max="14602" width="18" style="344" customWidth="1"/>
    <col min="14603" max="14603" width="22.5703125" style="344" customWidth="1"/>
    <col min="14604" max="14605" width="14.85546875" style="344" customWidth="1"/>
    <col min="14606" max="14843" width="9.140625" style="344"/>
    <col min="14844" max="14844" width="6.85546875" style="344" customWidth="1"/>
    <col min="14845" max="14845" width="7" style="344" customWidth="1"/>
    <col min="14846" max="14846" width="61.140625" style="344" customWidth="1"/>
    <col min="14847" max="14847" width="13.85546875" style="344" customWidth="1"/>
    <col min="14848" max="14848" width="20.85546875" style="344" customWidth="1"/>
    <col min="14849" max="14849" width="16.5703125" style="344" customWidth="1"/>
    <col min="14850" max="14850" width="18.7109375" style="344" customWidth="1"/>
    <col min="14851" max="14851" width="22.7109375" style="344" customWidth="1"/>
    <col min="14852" max="14852" width="23.42578125" style="344" customWidth="1"/>
    <col min="14853" max="14853" width="22.7109375" style="344" customWidth="1"/>
    <col min="14854" max="14854" width="30.5703125" style="344" customWidth="1"/>
    <col min="14855" max="14855" width="15.140625" style="344" customWidth="1"/>
    <col min="14856" max="14856" width="20.85546875" style="344" customWidth="1"/>
    <col min="14857" max="14857" width="21.28515625" style="344" customWidth="1"/>
    <col min="14858" max="14858" width="18" style="344" customWidth="1"/>
    <col min="14859" max="14859" width="22.5703125" style="344" customWidth="1"/>
    <col min="14860" max="14861" width="14.85546875" style="344" customWidth="1"/>
    <col min="14862" max="15099" width="9.140625" style="344"/>
    <col min="15100" max="15100" width="6.85546875" style="344" customWidth="1"/>
    <col min="15101" max="15101" width="7" style="344" customWidth="1"/>
    <col min="15102" max="15102" width="61.140625" style="344" customWidth="1"/>
    <col min="15103" max="15103" width="13.85546875" style="344" customWidth="1"/>
    <col min="15104" max="15104" width="20.85546875" style="344" customWidth="1"/>
    <col min="15105" max="15105" width="16.5703125" style="344" customWidth="1"/>
    <col min="15106" max="15106" width="18.7109375" style="344" customWidth="1"/>
    <col min="15107" max="15107" width="22.7109375" style="344" customWidth="1"/>
    <col min="15108" max="15108" width="23.42578125" style="344" customWidth="1"/>
    <col min="15109" max="15109" width="22.7109375" style="344" customWidth="1"/>
    <col min="15110" max="15110" width="30.5703125" style="344" customWidth="1"/>
    <col min="15111" max="15111" width="15.140625" style="344" customWidth="1"/>
    <col min="15112" max="15112" width="20.85546875" style="344" customWidth="1"/>
    <col min="15113" max="15113" width="21.28515625" style="344" customWidth="1"/>
    <col min="15114" max="15114" width="18" style="344" customWidth="1"/>
    <col min="15115" max="15115" width="22.5703125" style="344" customWidth="1"/>
    <col min="15116" max="15117" width="14.85546875" style="344" customWidth="1"/>
    <col min="15118" max="15355" width="9.140625" style="344"/>
    <col min="15356" max="15356" width="6.85546875" style="344" customWidth="1"/>
    <col min="15357" max="15357" width="7" style="344" customWidth="1"/>
    <col min="15358" max="15358" width="61.140625" style="344" customWidth="1"/>
    <col min="15359" max="15359" width="13.85546875" style="344" customWidth="1"/>
    <col min="15360" max="15360" width="20.85546875" style="344" customWidth="1"/>
    <col min="15361" max="15361" width="16.5703125" style="344" customWidth="1"/>
    <col min="15362" max="15362" width="18.7109375" style="344" customWidth="1"/>
    <col min="15363" max="15363" width="22.7109375" style="344" customWidth="1"/>
    <col min="15364" max="15364" width="23.42578125" style="344" customWidth="1"/>
    <col min="15365" max="15365" width="22.7109375" style="344" customWidth="1"/>
    <col min="15366" max="15366" width="30.5703125" style="344" customWidth="1"/>
    <col min="15367" max="15367" width="15.140625" style="344" customWidth="1"/>
    <col min="15368" max="15368" width="20.85546875" style="344" customWidth="1"/>
    <col min="15369" max="15369" width="21.28515625" style="344" customWidth="1"/>
    <col min="15370" max="15370" width="18" style="344" customWidth="1"/>
    <col min="15371" max="15371" width="22.5703125" style="344" customWidth="1"/>
    <col min="15372" max="15373" width="14.85546875" style="344" customWidth="1"/>
    <col min="15374" max="15611" width="9.140625" style="344"/>
    <col min="15612" max="15612" width="6.85546875" style="344" customWidth="1"/>
    <col min="15613" max="15613" width="7" style="344" customWidth="1"/>
    <col min="15614" max="15614" width="61.140625" style="344" customWidth="1"/>
    <col min="15615" max="15615" width="13.85546875" style="344" customWidth="1"/>
    <col min="15616" max="15616" width="20.85546875" style="344" customWidth="1"/>
    <col min="15617" max="15617" width="16.5703125" style="344" customWidth="1"/>
    <col min="15618" max="15618" width="18.7109375" style="344" customWidth="1"/>
    <col min="15619" max="15619" width="22.7109375" style="344" customWidth="1"/>
    <col min="15620" max="15620" width="23.42578125" style="344" customWidth="1"/>
    <col min="15621" max="15621" width="22.7109375" style="344" customWidth="1"/>
    <col min="15622" max="15622" width="30.5703125" style="344" customWidth="1"/>
    <col min="15623" max="15623" width="15.140625" style="344" customWidth="1"/>
    <col min="15624" max="15624" width="20.85546875" style="344" customWidth="1"/>
    <col min="15625" max="15625" width="21.28515625" style="344" customWidth="1"/>
    <col min="15626" max="15626" width="18" style="344" customWidth="1"/>
    <col min="15627" max="15627" width="22.5703125" style="344" customWidth="1"/>
    <col min="15628" max="15629" width="14.85546875" style="344" customWidth="1"/>
    <col min="15630" max="15867" width="9.140625" style="344"/>
    <col min="15868" max="15868" width="6.85546875" style="344" customWidth="1"/>
    <col min="15869" max="15869" width="7" style="344" customWidth="1"/>
    <col min="15870" max="15870" width="61.140625" style="344" customWidth="1"/>
    <col min="15871" max="15871" width="13.85546875" style="344" customWidth="1"/>
    <col min="15872" max="15872" width="20.85546875" style="344" customWidth="1"/>
    <col min="15873" max="15873" width="16.5703125" style="344" customWidth="1"/>
    <col min="15874" max="15874" width="18.7109375" style="344" customWidth="1"/>
    <col min="15875" max="15875" width="22.7109375" style="344" customWidth="1"/>
    <col min="15876" max="15876" width="23.42578125" style="344" customWidth="1"/>
    <col min="15877" max="15877" width="22.7109375" style="344" customWidth="1"/>
    <col min="15878" max="15878" width="30.5703125" style="344" customWidth="1"/>
    <col min="15879" max="15879" width="15.140625" style="344" customWidth="1"/>
    <col min="15880" max="15880" width="20.85546875" style="344" customWidth="1"/>
    <col min="15881" max="15881" width="21.28515625" style="344" customWidth="1"/>
    <col min="15882" max="15882" width="18" style="344" customWidth="1"/>
    <col min="15883" max="15883" width="22.5703125" style="344" customWidth="1"/>
    <col min="15884" max="15885" width="14.85546875" style="344" customWidth="1"/>
    <col min="15886" max="16123" width="9.140625" style="344"/>
    <col min="16124" max="16124" width="6.85546875" style="344" customWidth="1"/>
    <col min="16125" max="16125" width="7" style="344" customWidth="1"/>
    <col min="16126" max="16126" width="61.140625" style="344" customWidth="1"/>
    <col min="16127" max="16127" width="13.85546875" style="344" customWidth="1"/>
    <col min="16128" max="16128" width="20.85546875" style="344" customWidth="1"/>
    <col min="16129" max="16129" width="16.5703125" style="344" customWidth="1"/>
    <col min="16130" max="16130" width="18.7109375" style="344" customWidth="1"/>
    <col min="16131" max="16131" width="22.7109375" style="344" customWidth="1"/>
    <col min="16132" max="16132" width="23.42578125" style="344" customWidth="1"/>
    <col min="16133" max="16133" width="22.7109375" style="344" customWidth="1"/>
    <col min="16134" max="16134" width="30.5703125" style="344" customWidth="1"/>
    <col min="16135" max="16135" width="15.140625" style="344" customWidth="1"/>
    <col min="16136" max="16136" width="20.85546875" style="344" customWidth="1"/>
    <col min="16137" max="16137" width="21.28515625" style="344" customWidth="1"/>
    <col min="16138" max="16138" width="18" style="344" customWidth="1"/>
    <col min="16139" max="16139" width="22.5703125" style="344" customWidth="1"/>
    <col min="16140" max="16141" width="14.85546875" style="344" customWidth="1"/>
    <col min="16142" max="16384" width="9.140625" style="344"/>
  </cols>
  <sheetData>
    <row r="2" spans="2:12">
      <c r="B2" s="5443" t="s">
        <v>100</v>
      </c>
      <c r="C2" s="5443"/>
      <c r="D2" s="5443"/>
      <c r="E2" s="5443"/>
      <c r="F2" s="5443"/>
      <c r="G2" s="5443"/>
      <c r="H2" s="5443"/>
      <c r="I2" s="5443"/>
      <c r="J2" s="5443"/>
      <c r="K2" s="5443"/>
      <c r="L2" s="5443"/>
    </row>
    <row r="3" spans="2:12">
      <c r="B3" s="5381" t="s">
        <v>3915</v>
      </c>
      <c r="C3" s="5381"/>
      <c r="D3" s="5381"/>
      <c r="E3" s="5381"/>
      <c r="F3" s="5381"/>
      <c r="G3" s="5381"/>
      <c r="H3" s="5381"/>
      <c r="I3" s="5381"/>
      <c r="J3" s="5381"/>
      <c r="K3" s="5381"/>
      <c r="L3" s="5381"/>
    </row>
    <row r="4" spans="2:12" s="346" customFormat="1">
      <c r="B4" s="5776" t="s">
        <v>3517</v>
      </c>
      <c r="C4" s="5776"/>
      <c r="D4" s="5776"/>
      <c r="E4" s="5776"/>
      <c r="F4" s="5776"/>
      <c r="G4" s="5776"/>
      <c r="H4" s="5776"/>
      <c r="I4" s="5776"/>
      <c r="J4" s="5776"/>
      <c r="K4" s="5776"/>
      <c r="L4" s="5776"/>
    </row>
    <row r="5" spans="2:12" s="346" customFormat="1">
      <c r="B5" s="4672"/>
      <c r="C5" s="4672"/>
      <c r="D5" s="4672"/>
      <c r="E5" s="4672"/>
      <c r="F5" s="4672"/>
      <c r="G5" s="345"/>
      <c r="H5" s="345"/>
      <c r="I5" s="345"/>
    </row>
    <row r="6" spans="2:12" s="346" customFormat="1" hidden="1">
      <c r="B6" s="4672"/>
      <c r="C6" s="4672"/>
      <c r="D6" s="4672"/>
      <c r="E6" s="4672"/>
      <c r="F6" s="4672"/>
      <c r="G6" s="345"/>
      <c r="H6" s="345"/>
      <c r="I6" s="345"/>
    </row>
    <row r="7" spans="2:12" hidden="1">
      <c r="B7" s="347" t="s">
        <v>551</v>
      </c>
      <c r="F7" s="3536" t="s">
        <v>151</v>
      </c>
    </row>
    <row r="8" spans="2:12" hidden="1">
      <c r="B8" s="347"/>
      <c r="F8" s="3536"/>
    </row>
    <row r="9" spans="2:12" ht="21.75" hidden="1" customHeight="1">
      <c r="B9" s="5782" t="s">
        <v>101</v>
      </c>
      <c r="C9" s="5754" t="s">
        <v>552</v>
      </c>
      <c r="D9" s="5754" t="s">
        <v>1897</v>
      </c>
      <c r="E9" s="5767" t="s">
        <v>1845</v>
      </c>
      <c r="F9" s="5768"/>
      <c r="G9" s="4673"/>
      <c r="H9" s="5759"/>
      <c r="I9" s="5759"/>
      <c r="J9" s="4673"/>
    </row>
    <row r="10" spans="2:12" ht="38.25" hidden="1" customHeight="1">
      <c r="B10" s="5783"/>
      <c r="C10" s="5755"/>
      <c r="D10" s="5755"/>
      <c r="E10" s="1961" t="s">
        <v>755</v>
      </c>
      <c r="F10" s="3531" t="s">
        <v>1834</v>
      </c>
      <c r="G10" s="4673"/>
      <c r="H10" s="5759"/>
      <c r="I10" s="5759"/>
      <c r="J10" s="1335"/>
    </row>
    <row r="11" spans="2:12" hidden="1">
      <c r="B11" s="1031"/>
      <c r="C11" s="361" t="s">
        <v>459</v>
      </c>
      <c r="D11" s="361"/>
      <c r="E11" s="5756"/>
      <c r="F11" s="1397"/>
      <c r="G11" s="136"/>
      <c r="H11" s="1335"/>
      <c r="I11" s="1276"/>
      <c r="J11" s="1274"/>
    </row>
    <row r="12" spans="2:12" hidden="1">
      <c r="B12" s="1025">
        <v>1</v>
      </c>
      <c r="C12" s="4169" t="s">
        <v>461</v>
      </c>
      <c r="D12" s="3514">
        <v>0</v>
      </c>
      <c r="E12" s="5757"/>
      <c r="F12" s="1032">
        <f>'LoanDetails 2012-13'!J16</f>
        <v>0</v>
      </c>
      <c r="G12" s="136"/>
      <c r="H12" s="1335"/>
      <c r="I12" s="1276"/>
      <c r="J12" s="1274"/>
    </row>
    <row r="13" spans="2:12" hidden="1">
      <c r="B13" s="1025">
        <f>B12+1</f>
        <v>2</v>
      </c>
      <c r="C13" s="4169" t="s">
        <v>462</v>
      </c>
      <c r="D13" s="3514">
        <v>0</v>
      </c>
      <c r="E13" s="5757"/>
      <c r="F13" s="1032">
        <f>'LoanDetails 2012-13'!J17</f>
        <v>0</v>
      </c>
      <c r="G13" s="136"/>
      <c r="H13" s="1335"/>
      <c r="I13" s="1276"/>
      <c r="J13" s="1274"/>
    </row>
    <row r="14" spans="2:12" hidden="1">
      <c r="B14" s="1025">
        <f t="shared" ref="B14:B38" si="0">B13+1</f>
        <v>3</v>
      </c>
      <c r="C14" s="4169" t="s">
        <v>463</v>
      </c>
      <c r="D14" s="3514">
        <v>0</v>
      </c>
      <c r="E14" s="5757"/>
      <c r="F14" s="1032">
        <f>'LoanDetails 2012-13'!J18</f>
        <v>0</v>
      </c>
      <c r="G14" s="136"/>
      <c r="H14" s="1335"/>
      <c r="I14" s="1276"/>
      <c r="J14" s="1274"/>
    </row>
    <row r="15" spans="2:12" hidden="1">
      <c r="B15" s="1025">
        <f t="shared" si="0"/>
        <v>4</v>
      </c>
      <c r="C15" s="4169" t="s">
        <v>464</v>
      </c>
      <c r="D15" s="3514">
        <v>0.5</v>
      </c>
      <c r="E15" s="5757"/>
      <c r="F15" s="1032">
        <f>'LoanDetails 2012-13'!J19</f>
        <v>0</v>
      </c>
      <c r="G15" s="136"/>
      <c r="H15" s="1335"/>
      <c r="I15" s="1345"/>
      <c r="J15" s="1274"/>
    </row>
    <row r="16" spans="2:12" hidden="1">
      <c r="B16" s="1025">
        <f t="shared" si="0"/>
        <v>5</v>
      </c>
      <c r="C16" s="350"/>
      <c r="D16" s="4667"/>
      <c r="E16" s="5757"/>
      <c r="F16" s="1032">
        <f>'LoanDetails 2012-13'!J20</f>
        <v>0</v>
      </c>
      <c r="G16" s="136"/>
      <c r="H16" s="1335"/>
      <c r="I16" s="1345"/>
      <c r="J16" s="1274"/>
    </row>
    <row r="17" spans="2:10" hidden="1">
      <c r="B17" s="1025">
        <f t="shared" si="0"/>
        <v>6</v>
      </c>
      <c r="C17" s="350" t="s">
        <v>465</v>
      </c>
      <c r="D17" s="4667"/>
      <c r="E17" s="5757"/>
      <c r="F17" s="1032">
        <f>'LoanDetails 2012-13'!J21</f>
        <v>0</v>
      </c>
      <c r="G17" s="136"/>
      <c r="H17" s="1335"/>
      <c r="I17" s="1345"/>
      <c r="J17" s="1274"/>
    </row>
    <row r="18" spans="2:10" hidden="1">
      <c r="B18" s="1025">
        <f t="shared" si="0"/>
        <v>7</v>
      </c>
      <c r="C18" s="350" t="s">
        <v>466</v>
      </c>
      <c r="D18" s="4667"/>
      <c r="E18" s="5757"/>
      <c r="F18" s="1032">
        <f>'LoanDetails 2012-13'!J22</f>
        <v>0</v>
      </c>
      <c r="G18" s="136"/>
      <c r="H18" s="1335"/>
      <c r="I18" s="1346"/>
      <c r="J18" s="1274"/>
    </row>
    <row r="19" spans="2:10" ht="31.5" hidden="1">
      <c r="B19" s="1025">
        <f t="shared" si="0"/>
        <v>8</v>
      </c>
      <c r="C19" s="352" t="s">
        <v>467</v>
      </c>
      <c r="D19" s="1333"/>
      <c r="E19" s="5757"/>
      <c r="F19" s="1032">
        <f>'LoanDetails 2012-13'!J23</f>
        <v>0</v>
      </c>
      <c r="G19" s="136"/>
      <c r="H19" s="1335"/>
      <c r="I19" s="1345"/>
      <c r="J19" s="1274"/>
    </row>
    <row r="20" spans="2:10" hidden="1">
      <c r="B20" s="1025">
        <f t="shared" si="0"/>
        <v>9</v>
      </c>
      <c r="C20" s="350"/>
      <c r="D20" s="4667"/>
      <c r="E20" s="5757"/>
      <c r="F20" s="1032">
        <f>'LoanDetails 2012-13'!J24</f>
        <v>0</v>
      </c>
      <c r="G20" s="136"/>
      <c r="H20" s="1335"/>
      <c r="I20" s="1345"/>
      <c r="J20" s="1274"/>
    </row>
    <row r="21" spans="2:10" hidden="1">
      <c r="B21" s="1025">
        <f t="shared" si="0"/>
        <v>10</v>
      </c>
      <c r="C21" s="350" t="s">
        <v>468</v>
      </c>
      <c r="D21" s="3514">
        <v>1.7600000000000002</v>
      </c>
      <c r="E21" s="5757"/>
      <c r="F21" s="1029">
        <f>'LoanDetails 2012-13'!J25</f>
        <v>1.44</v>
      </c>
      <c r="G21" s="136"/>
      <c r="H21" s="1335"/>
      <c r="I21" s="1345"/>
      <c r="J21" s="1274"/>
    </row>
    <row r="22" spans="2:10" hidden="1">
      <c r="B22" s="1025">
        <f t="shared" si="0"/>
        <v>11</v>
      </c>
      <c r="C22" s="1342" t="s">
        <v>471</v>
      </c>
      <c r="D22" s="3514">
        <v>0</v>
      </c>
      <c r="E22" s="5757"/>
      <c r="F22" s="1032" t="str">
        <f>'LoanDetails 2012-13'!J26</f>
        <v xml:space="preserve"> </v>
      </c>
      <c r="G22" s="136"/>
      <c r="H22" s="1335"/>
      <c r="I22" s="1345"/>
      <c r="J22" s="1274"/>
    </row>
    <row r="23" spans="2:10" hidden="1">
      <c r="B23" s="1025">
        <f t="shared" si="0"/>
        <v>12</v>
      </c>
      <c r="C23" s="350" t="s">
        <v>469</v>
      </c>
      <c r="D23" s="3512">
        <f>'LoanDetails 2012-13'!H27</f>
        <v>18.989999999999998</v>
      </c>
      <c r="E23" s="5757"/>
      <c r="F23" s="1029">
        <f>'LoanDetails 2012-13'!J27</f>
        <v>18.989999999999998</v>
      </c>
      <c r="G23" s="136"/>
      <c r="H23" s="1335"/>
      <c r="I23" s="1345"/>
      <c r="J23" s="1274"/>
    </row>
    <row r="24" spans="2:10" hidden="1">
      <c r="B24" s="1025">
        <f t="shared" si="0"/>
        <v>13</v>
      </c>
      <c r="C24" s="350" t="s">
        <v>469</v>
      </c>
      <c r="D24" s="3512">
        <f>'LoanDetails 2012-13'!H28</f>
        <v>18.989999999999998</v>
      </c>
      <c r="E24" s="5757"/>
      <c r="F24" s="1029">
        <f>'LoanDetails 2012-13'!J28</f>
        <v>18.989999999999998</v>
      </c>
      <c r="G24" s="136"/>
      <c r="H24" s="1335"/>
      <c r="I24" s="1345"/>
      <c r="J24" s="1274"/>
    </row>
    <row r="25" spans="2:10" hidden="1">
      <c r="B25" s="1025">
        <f t="shared" si="0"/>
        <v>14</v>
      </c>
      <c r="C25" s="1342" t="s">
        <v>1899</v>
      </c>
      <c r="D25" s="3514">
        <v>0</v>
      </c>
      <c r="E25" s="5757"/>
      <c r="F25" s="1032">
        <f>'LoanDetails 2012-13'!J29</f>
        <v>0</v>
      </c>
      <c r="G25" s="136"/>
      <c r="H25" s="1335"/>
      <c r="I25" s="1345"/>
      <c r="J25" s="1274"/>
    </row>
    <row r="26" spans="2:10" hidden="1">
      <c r="B26" s="1025">
        <f t="shared" si="0"/>
        <v>15</v>
      </c>
      <c r="C26" s="350" t="s">
        <v>470</v>
      </c>
      <c r="D26" s="4667"/>
      <c r="E26" s="5757"/>
      <c r="F26" s="1032">
        <f>'LoanDetails 2012-13'!J30</f>
        <v>0</v>
      </c>
      <c r="G26" s="136"/>
      <c r="H26" s="1335"/>
      <c r="I26" s="1345"/>
      <c r="J26" s="1274"/>
    </row>
    <row r="27" spans="2:10" hidden="1">
      <c r="B27" s="1025">
        <f t="shared" si="0"/>
        <v>16</v>
      </c>
      <c r="C27" s="350" t="s">
        <v>472</v>
      </c>
      <c r="D27" s="3514">
        <v>0</v>
      </c>
      <c r="E27" s="5757"/>
      <c r="F27" s="1032">
        <f>'LoanDetails 2012-13'!J31</f>
        <v>0</v>
      </c>
      <c r="G27" s="136"/>
      <c r="H27" s="1335"/>
      <c r="I27" s="1345"/>
      <c r="J27" s="1274"/>
    </row>
    <row r="28" spans="2:10" hidden="1">
      <c r="B28" s="1025">
        <f t="shared" si="0"/>
        <v>17</v>
      </c>
      <c r="C28" s="350" t="s">
        <v>473</v>
      </c>
      <c r="D28" s="3514">
        <v>0</v>
      </c>
      <c r="E28" s="5757"/>
      <c r="F28" s="1032">
        <f>'LoanDetails 2012-13'!J32</f>
        <v>0</v>
      </c>
      <c r="G28" s="136"/>
      <c r="H28" s="1335"/>
      <c r="I28" s="1345"/>
      <c r="J28" s="1274"/>
    </row>
    <row r="29" spans="2:10" hidden="1">
      <c r="B29" s="1025">
        <f t="shared" si="0"/>
        <v>18</v>
      </c>
      <c r="C29" s="350" t="s">
        <v>528</v>
      </c>
      <c r="D29" s="3514">
        <v>0</v>
      </c>
      <c r="E29" s="5757"/>
      <c r="F29" s="1032">
        <f>'LoanDetails 2012-13'!J33</f>
        <v>0</v>
      </c>
      <c r="G29" s="136"/>
      <c r="H29" s="1335"/>
      <c r="I29" s="1345"/>
      <c r="J29" s="1274"/>
    </row>
    <row r="30" spans="2:10" hidden="1">
      <c r="B30" s="1025">
        <f t="shared" si="0"/>
        <v>19</v>
      </c>
      <c r="C30" s="350" t="s">
        <v>529</v>
      </c>
      <c r="D30" s="3514">
        <v>0</v>
      </c>
      <c r="E30" s="5757"/>
      <c r="F30" s="1032">
        <f>'LoanDetails 2012-13'!J34</f>
        <v>0</v>
      </c>
      <c r="G30" s="136"/>
      <c r="H30" s="1335"/>
      <c r="I30" s="1345"/>
      <c r="J30" s="1274"/>
    </row>
    <row r="31" spans="2:10" hidden="1">
      <c r="B31" s="1025">
        <f t="shared" si="0"/>
        <v>20</v>
      </c>
      <c r="C31" s="350" t="s">
        <v>530</v>
      </c>
      <c r="D31" s="3514">
        <v>0</v>
      </c>
      <c r="E31" s="5757"/>
      <c r="F31" s="1032">
        <f>'LoanDetails 2012-13'!J35</f>
        <v>0</v>
      </c>
      <c r="G31" s="136"/>
      <c r="H31" s="1335"/>
      <c r="I31" s="1345"/>
      <c r="J31" s="1274"/>
    </row>
    <row r="32" spans="2:10" hidden="1">
      <c r="B32" s="1025">
        <f t="shared" si="0"/>
        <v>21</v>
      </c>
      <c r="C32" s="350" t="s">
        <v>531</v>
      </c>
      <c r="D32" s="3514">
        <v>0</v>
      </c>
      <c r="E32" s="5757"/>
      <c r="F32" s="1032">
        <f>'LoanDetails 2012-13'!J36</f>
        <v>0</v>
      </c>
      <c r="G32" s="136"/>
      <c r="H32" s="1335"/>
      <c r="I32" s="1345"/>
      <c r="J32" s="1274"/>
    </row>
    <row r="33" spans="2:10" hidden="1">
      <c r="B33" s="1025">
        <f t="shared" si="0"/>
        <v>22</v>
      </c>
      <c r="C33" s="350" t="s">
        <v>532</v>
      </c>
      <c r="D33" s="4667"/>
      <c r="E33" s="5757"/>
      <c r="F33" s="1032">
        <f>'LoanDetails 2012-13'!J37</f>
        <v>0</v>
      </c>
      <c r="G33" s="136"/>
      <c r="H33" s="1335"/>
      <c r="I33" s="1345"/>
      <c r="J33" s="1274"/>
    </row>
    <row r="34" spans="2:10" hidden="1">
      <c r="B34" s="1025">
        <f t="shared" si="0"/>
        <v>23</v>
      </c>
      <c r="C34" s="350" t="s">
        <v>533</v>
      </c>
      <c r="D34" s="4667"/>
      <c r="E34" s="5757"/>
      <c r="F34" s="1032">
        <f>'LoanDetails 2012-13'!J38</f>
        <v>0</v>
      </c>
      <c r="G34" s="136"/>
      <c r="H34" s="1335"/>
      <c r="I34" s="1345"/>
      <c r="J34" s="1274"/>
    </row>
    <row r="35" spans="2:10" hidden="1">
      <c r="B35" s="1025">
        <f t="shared" si="0"/>
        <v>24</v>
      </c>
      <c r="C35" s="350" t="s">
        <v>534</v>
      </c>
      <c r="D35" s="3514">
        <v>115.16</v>
      </c>
      <c r="E35" s="5757"/>
      <c r="F35" s="1029">
        <f>'LoanDetails 2012-13'!J39</f>
        <v>0</v>
      </c>
      <c r="G35" s="136"/>
      <c r="H35" s="1335"/>
      <c r="I35" s="1276"/>
      <c r="J35" s="1274"/>
    </row>
    <row r="36" spans="2:10" hidden="1">
      <c r="B36" s="1025">
        <f t="shared" si="0"/>
        <v>25</v>
      </c>
      <c r="C36" s="350" t="s">
        <v>535</v>
      </c>
      <c r="D36" s="3514">
        <v>26.9</v>
      </c>
      <c r="E36" s="5757"/>
      <c r="F36" s="1029">
        <f>'LoanDetails 2012-13'!J40</f>
        <v>0</v>
      </c>
      <c r="G36" s="136"/>
      <c r="H36" s="1335"/>
      <c r="I36" s="1270"/>
      <c r="J36" s="1274"/>
    </row>
    <row r="37" spans="2:10" hidden="1">
      <c r="B37" s="1025">
        <f t="shared" si="0"/>
        <v>26</v>
      </c>
      <c r="C37" s="350" t="s">
        <v>536</v>
      </c>
      <c r="D37" s="4667"/>
      <c r="E37" s="5757"/>
      <c r="F37" s="1032">
        <f>'LoanDetails 2012-13'!J41</f>
        <v>0</v>
      </c>
      <c r="G37" s="136"/>
      <c r="H37" s="1335"/>
      <c r="I37" s="1347"/>
      <c r="J37" s="1274"/>
    </row>
    <row r="38" spans="2:10" hidden="1">
      <c r="B38" s="1025">
        <f t="shared" si="0"/>
        <v>27</v>
      </c>
      <c r="C38" s="350" t="s">
        <v>537</v>
      </c>
      <c r="D38" s="4667"/>
      <c r="E38" s="5758"/>
      <c r="F38" s="1029">
        <f>'LoanDetails 2012-13'!J42</f>
        <v>67.45</v>
      </c>
      <c r="G38" s="136"/>
      <c r="H38" s="1335"/>
      <c r="I38" s="1347"/>
      <c r="J38" s="1274"/>
    </row>
    <row r="39" spans="2:10" ht="16.5" hidden="1" thickBot="1">
      <c r="B39" s="1033"/>
      <c r="C39" s="1398" t="s">
        <v>485</v>
      </c>
      <c r="D39" s="1399">
        <f>SUM(D12:D38)</f>
        <v>182.29999999999998</v>
      </c>
      <c r="E39" s="1399">
        <v>168.32</v>
      </c>
      <c r="F39" s="1400">
        <f>SUM(F12:F38)</f>
        <v>106.87</v>
      </c>
      <c r="G39" s="136"/>
      <c r="J39" s="344" t="s">
        <v>94</v>
      </c>
    </row>
    <row r="40" spans="2:10" hidden="1"/>
    <row r="41" spans="2:10" hidden="1"/>
    <row r="42" spans="2:10" hidden="1">
      <c r="B42" s="347"/>
    </row>
    <row r="43" spans="2:10" hidden="1">
      <c r="B43" s="355" t="s">
        <v>556</v>
      </c>
      <c r="D43" s="355"/>
      <c r="E43" s="355"/>
    </row>
    <row r="44" spans="2:10" hidden="1">
      <c r="C44" s="355"/>
      <c r="D44" s="355"/>
      <c r="E44" s="355"/>
      <c r="F44" s="355"/>
      <c r="G44" s="251" t="s">
        <v>151</v>
      </c>
    </row>
    <row r="45" spans="2:10" hidden="1">
      <c r="B45" s="5778" t="s">
        <v>555</v>
      </c>
      <c r="C45" s="5780" t="s">
        <v>552</v>
      </c>
      <c r="D45" s="5765" t="s">
        <v>1897</v>
      </c>
      <c r="E45" s="3517" t="s">
        <v>82</v>
      </c>
      <c r="F45" s="3517" t="s">
        <v>82</v>
      </c>
      <c r="G45" s="3759" t="s">
        <v>1845</v>
      </c>
      <c r="H45" s="5763"/>
      <c r="I45" s="5763"/>
      <c r="J45" s="4673"/>
    </row>
    <row r="46" spans="2:10" hidden="1">
      <c r="B46" s="5779"/>
      <c r="C46" s="5781"/>
      <c r="D46" s="5766"/>
      <c r="E46" s="4664" t="s">
        <v>687</v>
      </c>
      <c r="F46" s="4663" t="s">
        <v>758</v>
      </c>
      <c r="G46" s="4663" t="s">
        <v>758</v>
      </c>
      <c r="H46" s="5763"/>
      <c r="I46" s="5763"/>
      <c r="J46" s="5763"/>
    </row>
    <row r="47" spans="2:10" hidden="1">
      <c r="B47" s="1031"/>
      <c r="C47" s="269"/>
      <c r="D47" s="267"/>
      <c r="E47" s="5752"/>
      <c r="F47" s="142"/>
      <c r="G47" s="1397"/>
      <c r="H47" s="5764"/>
      <c r="I47" s="5764"/>
      <c r="J47" s="5763"/>
    </row>
    <row r="48" spans="2:10" hidden="1">
      <c r="B48" s="1025">
        <v>1</v>
      </c>
      <c r="C48" s="269" t="s">
        <v>461</v>
      </c>
      <c r="D48" s="5760">
        <v>0.06</v>
      </c>
      <c r="E48" s="5752"/>
      <c r="F48" s="4671">
        <f>'Interest Charges_2012-13'!L9</f>
        <v>0</v>
      </c>
      <c r="G48" s="3760">
        <f>'Interest Charges_2012-13'!M9</f>
        <v>0</v>
      </c>
      <c r="H48" s="1274"/>
      <c r="I48" s="267"/>
      <c r="J48" s="1274"/>
    </row>
    <row r="49" spans="2:10" hidden="1">
      <c r="B49" s="1025">
        <f>B48+1</f>
        <v>2</v>
      </c>
      <c r="C49" s="269" t="s">
        <v>462</v>
      </c>
      <c r="D49" s="5761"/>
      <c r="E49" s="5752"/>
      <c r="F49" s="4671">
        <f>'Interest Charges_2012-13'!L10</f>
        <v>0</v>
      </c>
      <c r="G49" s="3760">
        <f>'Interest Charges_2012-13'!M10</f>
        <v>0</v>
      </c>
      <c r="H49" s="1335"/>
      <c r="I49" s="267"/>
      <c r="J49" s="5751"/>
    </row>
    <row r="50" spans="2:10" hidden="1">
      <c r="B50" s="1025">
        <f t="shared" ref="B50:B75" si="1">B49+1</f>
        <v>3</v>
      </c>
      <c r="C50" s="269" t="s">
        <v>463</v>
      </c>
      <c r="D50" s="5761"/>
      <c r="E50" s="5752"/>
      <c r="F50" s="4671">
        <f>'Interest Charges_2012-13'!L11</f>
        <v>0</v>
      </c>
      <c r="G50" s="3760">
        <f>'Interest Charges_2012-13'!M11</f>
        <v>0</v>
      </c>
      <c r="H50" s="1335"/>
      <c r="I50" s="267"/>
      <c r="J50" s="5751"/>
    </row>
    <row r="51" spans="2:10" hidden="1">
      <c r="B51" s="1025">
        <f t="shared" si="1"/>
        <v>4</v>
      </c>
      <c r="C51" s="269" t="s">
        <v>464</v>
      </c>
      <c r="D51" s="5762"/>
      <c r="E51" s="5752"/>
      <c r="F51" s="4671">
        <f>'Interest Charges_2012-13'!L12</f>
        <v>0</v>
      </c>
      <c r="G51" s="3760">
        <f>'Interest Charges_2012-13'!M12</f>
        <v>0</v>
      </c>
      <c r="H51" s="1335"/>
      <c r="I51" s="267"/>
      <c r="J51" s="5751"/>
    </row>
    <row r="52" spans="2:10" hidden="1">
      <c r="B52" s="1025">
        <f t="shared" si="1"/>
        <v>5</v>
      </c>
      <c r="C52" s="350" t="s">
        <v>465</v>
      </c>
      <c r="D52" s="5753">
        <v>0</v>
      </c>
      <c r="E52" s="5752"/>
      <c r="F52" s="4671">
        <f>'Interest Charges_2012-13'!L13</f>
        <v>0</v>
      </c>
      <c r="G52" s="3760">
        <f>'Interest Charges_2012-13'!M13</f>
        <v>0</v>
      </c>
      <c r="H52" s="1335"/>
      <c r="I52" s="802"/>
      <c r="J52" s="5751"/>
    </row>
    <row r="53" spans="2:10" hidden="1">
      <c r="B53" s="1025">
        <f t="shared" si="1"/>
        <v>6</v>
      </c>
      <c r="C53" s="350" t="s">
        <v>466</v>
      </c>
      <c r="D53" s="5753"/>
      <c r="E53" s="5752"/>
      <c r="F53" s="4671">
        <f>'Interest Charges_2012-13'!L14</f>
        <v>0</v>
      </c>
      <c r="G53" s="3760">
        <f>'Interest Charges_2012-13'!M14</f>
        <v>0</v>
      </c>
      <c r="H53" s="1335"/>
      <c r="I53" s="802"/>
      <c r="J53" s="5751"/>
    </row>
    <row r="54" spans="2:10" ht="31.5" hidden="1">
      <c r="B54" s="1025">
        <f t="shared" si="1"/>
        <v>7</v>
      </c>
      <c r="C54" s="352" t="s">
        <v>467</v>
      </c>
      <c r="D54" s="5753"/>
      <c r="E54" s="5752"/>
      <c r="F54" s="4671">
        <f>'Interest Charges_2012-13'!L15</f>
        <v>0</v>
      </c>
      <c r="G54" s="3760">
        <f>'Interest Charges_2012-13'!M15</f>
        <v>0</v>
      </c>
      <c r="H54" s="1335"/>
      <c r="I54" s="803"/>
      <c r="J54" s="5751"/>
    </row>
    <row r="55" spans="2:10" hidden="1">
      <c r="B55" s="1025">
        <f t="shared" si="1"/>
        <v>8</v>
      </c>
      <c r="C55" s="350" t="s">
        <v>468</v>
      </c>
      <c r="D55" s="4667">
        <v>0.25</v>
      </c>
      <c r="E55" s="5752"/>
      <c r="F55" s="4671">
        <f>'Interest Charges_2012-13'!L16</f>
        <v>0.23</v>
      </c>
      <c r="G55" s="3760">
        <v>0.2</v>
      </c>
      <c r="H55" s="1335"/>
      <c r="I55" s="802"/>
      <c r="J55" s="5751"/>
    </row>
    <row r="56" spans="2:10" hidden="1">
      <c r="B56" s="1025">
        <f t="shared" si="1"/>
        <v>9</v>
      </c>
      <c r="C56" s="350" t="s">
        <v>469</v>
      </c>
      <c r="D56" s="5753">
        <v>3.11</v>
      </c>
      <c r="E56" s="5752"/>
      <c r="F56" s="4671">
        <f>'Interest Charges_2012-13'!L17</f>
        <v>1.44</v>
      </c>
      <c r="G56" s="3760">
        <v>2.65</v>
      </c>
      <c r="H56" s="1335"/>
      <c r="I56" s="802"/>
      <c r="J56" s="137"/>
    </row>
    <row r="57" spans="2:10" hidden="1">
      <c r="B57" s="1025">
        <f t="shared" si="1"/>
        <v>10</v>
      </c>
      <c r="C57" s="350" t="s">
        <v>469</v>
      </c>
      <c r="D57" s="5753"/>
      <c r="E57" s="5752"/>
      <c r="F57" s="4671">
        <f>'Interest Charges_2012-13'!L18</f>
        <v>1.44</v>
      </c>
      <c r="G57" s="3760">
        <f>'Interest Charges_2012-13'!M18</f>
        <v>0</v>
      </c>
      <c r="H57" s="1335"/>
      <c r="I57" s="802"/>
      <c r="J57" s="5751"/>
    </row>
    <row r="58" spans="2:10" hidden="1">
      <c r="B58" s="1025">
        <f t="shared" si="1"/>
        <v>11</v>
      </c>
      <c r="C58" s="350" t="s">
        <v>473</v>
      </c>
      <c r="D58" s="5770">
        <v>6.02</v>
      </c>
      <c r="E58" s="5752"/>
      <c r="F58" s="4671">
        <f>'Interest Charges_2012-13'!L19</f>
        <v>0</v>
      </c>
      <c r="G58" s="3760">
        <f>'Interest Charges_2012-13'!M19</f>
        <v>0</v>
      </c>
      <c r="H58" s="1335"/>
      <c r="I58" s="802"/>
      <c r="J58" s="5751"/>
    </row>
    <row r="59" spans="2:10" hidden="1">
      <c r="B59" s="1025">
        <f t="shared" si="1"/>
        <v>12</v>
      </c>
      <c r="C59" s="350" t="s">
        <v>474</v>
      </c>
      <c r="D59" s="5770"/>
      <c r="E59" s="5752"/>
      <c r="F59" s="4671">
        <f>'Interest Charges_2012-13'!L20</f>
        <v>0</v>
      </c>
      <c r="G59" s="3760">
        <f>'Interest Charges_2012-13'!M20</f>
        <v>0</v>
      </c>
      <c r="H59" s="1335"/>
      <c r="I59" s="802"/>
      <c r="J59" s="5751"/>
    </row>
    <row r="60" spans="2:10" hidden="1">
      <c r="B60" s="1025">
        <f t="shared" si="1"/>
        <v>13</v>
      </c>
      <c r="C60" s="350" t="s">
        <v>477</v>
      </c>
      <c r="D60" s="5770"/>
      <c r="E60" s="5752"/>
      <c r="F60" s="4671">
        <f>'Interest Charges_2012-13'!L21</f>
        <v>0</v>
      </c>
      <c r="G60" s="3760">
        <f>'Interest Charges_2012-13'!M21</f>
        <v>0</v>
      </c>
      <c r="H60" s="1335"/>
      <c r="I60" s="802"/>
      <c r="J60" s="5751"/>
    </row>
    <row r="61" spans="2:10" hidden="1">
      <c r="B61" s="1025">
        <f>B60+1</f>
        <v>14</v>
      </c>
      <c r="C61" s="350" t="s">
        <v>479</v>
      </c>
      <c r="D61" s="5770"/>
      <c r="E61" s="5752"/>
      <c r="F61" s="4671">
        <f>'Interest Charges_2012-13'!L22</f>
        <v>0</v>
      </c>
      <c r="G61" s="3760">
        <f>'Interest Charges_2012-13'!M22</f>
        <v>0</v>
      </c>
      <c r="H61" s="1336"/>
      <c r="I61" s="1336"/>
      <c r="J61" s="5751"/>
    </row>
    <row r="62" spans="2:10" hidden="1">
      <c r="B62" s="1025">
        <f t="shared" si="1"/>
        <v>15</v>
      </c>
      <c r="C62" s="350" t="s">
        <v>481</v>
      </c>
      <c r="D62" s="5770"/>
      <c r="E62" s="5752"/>
      <c r="F62" s="4671">
        <f>'Interest Charges_2012-13'!L23</f>
        <v>0</v>
      </c>
      <c r="G62" s="3760">
        <f>'Interest Charges_2012-13'!M23</f>
        <v>0</v>
      </c>
      <c r="H62" s="1336"/>
      <c r="I62" s="1336"/>
      <c r="J62" s="5751"/>
    </row>
    <row r="63" spans="2:10" hidden="1">
      <c r="B63" s="1025">
        <f t="shared" si="1"/>
        <v>16</v>
      </c>
      <c r="C63" s="350" t="s">
        <v>482</v>
      </c>
      <c r="D63" s="5770"/>
      <c r="E63" s="5752"/>
      <c r="F63" s="4671">
        <f>'Interest Charges_2012-13'!L24</f>
        <v>0</v>
      </c>
      <c r="G63" s="3760">
        <f>'Interest Charges_2012-13'!M24</f>
        <v>0</v>
      </c>
      <c r="H63" s="1336"/>
      <c r="I63" s="802"/>
      <c r="J63" s="5751"/>
    </row>
    <row r="64" spans="2:10" hidden="1">
      <c r="B64" s="1025">
        <f t="shared" si="1"/>
        <v>17</v>
      </c>
      <c r="C64" s="1348" t="s">
        <v>1898</v>
      </c>
      <c r="D64" s="5770"/>
      <c r="E64" s="5752"/>
      <c r="F64" s="4671">
        <f>'Interest Charges_2012-13'!L25</f>
        <v>0</v>
      </c>
      <c r="G64" s="3760">
        <f>'Interest Charges_2012-13'!M25</f>
        <v>0</v>
      </c>
      <c r="H64" s="1336"/>
      <c r="I64" s="802"/>
      <c r="J64" s="5751"/>
    </row>
    <row r="65" spans="1:18" hidden="1">
      <c r="B65" s="1025">
        <f t="shared" si="1"/>
        <v>18</v>
      </c>
      <c r="C65" s="350" t="s">
        <v>470</v>
      </c>
      <c r="D65" s="5770">
        <v>1.57</v>
      </c>
      <c r="E65" s="5752"/>
      <c r="F65" s="4671">
        <f>'Interest Charges_2012-13'!L26</f>
        <v>0</v>
      </c>
      <c r="G65" s="3760">
        <f>'Interest Charges_2012-13'!M26</f>
        <v>0</v>
      </c>
      <c r="H65" s="1336"/>
      <c r="I65" s="1336"/>
      <c r="J65" s="5751"/>
    </row>
    <row r="66" spans="1:18" hidden="1">
      <c r="B66" s="1025">
        <f t="shared" si="1"/>
        <v>19</v>
      </c>
      <c r="C66" s="350" t="s">
        <v>475</v>
      </c>
      <c r="D66" s="5770"/>
      <c r="E66" s="5752"/>
      <c r="F66" s="4671">
        <f>'Interest Charges_2012-13'!L27</f>
        <v>0</v>
      </c>
      <c r="G66" s="3760">
        <f>'Interest Charges_2012-13'!M27</f>
        <v>0</v>
      </c>
      <c r="H66" s="1336"/>
      <c r="I66" s="802"/>
      <c r="J66" s="5751"/>
    </row>
    <row r="67" spans="1:18" hidden="1">
      <c r="B67" s="1025">
        <f t="shared" si="1"/>
        <v>20</v>
      </c>
      <c r="C67" s="350" t="s">
        <v>476</v>
      </c>
      <c r="D67" s="5770"/>
      <c r="E67" s="5752"/>
      <c r="F67" s="4671">
        <f>'Interest Charges_2012-13'!L28</f>
        <v>0</v>
      </c>
      <c r="G67" s="3760">
        <f>'Interest Charges_2012-13'!M28</f>
        <v>0</v>
      </c>
      <c r="H67" s="1349"/>
      <c r="I67" s="1336"/>
      <c r="J67" s="5751"/>
    </row>
    <row r="68" spans="1:18" hidden="1">
      <c r="B68" s="1025">
        <f t="shared" si="1"/>
        <v>21</v>
      </c>
      <c r="C68" s="350" t="s">
        <v>478</v>
      </c>
      <c r="D68" s="5770"/>
      <c r="E68" s="5752"/>
      <c r="F68" s="4671">
        <f>'Interest Charges_2012-13'!L29</f>
        <v>0</v>
      </c>
      <c r="G68" s="3760">
        <f>'Interest Charges_2012-13'!M29</f>
        <v>0</v>
      </c>
      <c r="H68" s="802"/>
      <c r="I68" s="802"/>
      <c r="J68" s="5751"/>
    </row>
    <row r="69" spans="1:18" hidden="1">
      <c r="B69" s="1025">
        <f t="shared" si="1"/>
        <v>22</v>
      </c>
      <c r="C69" s="350" t="s">
        <v>480</v>
      </c>
      <c r="D69" s="5770"/>
      <c r="E69" s="5752"/>
      <c r="F69" s="4671">
        <f>'Interest Charges_2012-13'!L30</f>
        <v>0</v>
      </c>
      <c r="G69" s="3760">
        <f>'Interest Charges_2012-13'!M30</f>
        <v>0</v>
      </c>
      <c r="H69" s="802"/>
      <c r="I69" s="1336"/>
      <c r="J69" s="5751"/>
    </row>
    <row r="70" spans="1:18" hidden="1">
      <c r="B70" s="1025">
        <f t="shared" si="1"/>
        <v>23</v>
      </c>
      <c r="C70" s="350" t="s">
        <v>484</v>
      </c>
      <c r="D70" s="3771"/>
      <c r="E70" s="5752"/>
      <c r="F70" s="4671">
        <f>'Interest Charges_2012-13'!L31</f>
        <v>0</v>
      </c>
      <c r="G70" s="3760">
        <v>3.01</v>
      </c>
      <c r="H70" s="802"/>
      <c r="I70" s="1336"/>
      <c r="J70" s="5751"/>
    </row>
    <row r="71" spans="1:18" hidden="1">
      <c r="B71" s="1025">
        <f t="shared" si="1"/>
        <v>24</v>
      </c>
      <c r="C71" s="350" t="s">
        <v>483</v>
      </c>
      <c r="D71" s="3771"/>
      <c r="E71" s="5752"/>
      <c r="F71" s="4671">
        <f>'Interest Charges_2012-13'!L32</f>
        <v>2.82</v>
      </c>
      <c r="G71" s="3760">
        <f>'Interest Charges_2012-13'!M32</f>
        <v>0</v>
      </c>
      <c r="H71" s="802"/>
      <c r="I71" s="802"/>
      <c r="J71" s="1350"/>
    </row>
    <row r="72" spans="1:18" hidden="1">
      <c r="B72" s="1025">
        <f t="shared" si="1"/>
        <v>25</v>
      </c>
      <c r="C72" s="350" t="s">
        <v>484</v>
      </c>
      <c r="D72" s="3771"/>
      <c r="E72" s="5752"/>
      <c r="F72" s="4671">
        <f>'Interest Charges_2012-13'!L33</f>
        <v>2.5</v>
      </c>
      <c r="G72" s="3760">
        <v>0.34</v>
      </c>
      <c r="H72" s="802"/>
      <c r="I72" s="802"/>
      <c r="J72" s="137"/>
    </row>
    <row r="73" spans="1:18" hidden="1">
      <c r="B73" s="1025">
        <f t="shared" si="1"/>
        <v>26</v>
      </c>
      <c r="C73" s="350" t="s">
        <v>2883</v>
      </c>
      <c r="D73" s="3771"/>
      <c r="E73" s="4668"/>
      <c r="F73" s="4671">
        <v>0</v>
      </c>
      <c r="G73" s="3760">
        <v>1.0900000000000001</v>
      </c>
      <c r="H73" s="802"/>
      <c r="I73" s="802"/>
      <c r="J73" s="137"/>
    </row>
    <row r="74" spans="1:18" hidden="1">
      <c r="B74" s="1025">
        <f t="shared" si="1"/>
        <v>27</v>
      </c>
      <c r="C74" s="251" t="s">
        <v>485</v>
      </c>
      <c r="D74" s="1293">
        <f>SUM(D48:D69)</f>
        <v>11.01</v>
      </c>
      <c r="E74" s="1293">
        <v>13.64</v>
      </c>
      <c r="F74" s="3761">
        <f>SUM(F48:F73)</f>
        <v>8.43</v>
      </c>
      <c r="G74" s="3762">
        <f>SUM(G48:G73)</f>
        <v>7.2899999999999991</v>
      </c>
      <c r="H74" s="802"/>
      <c r="I74" s="355"/>
      <c r="J74" s="1350"/>
    </row>
    <row r="75" spans="1:18" ht="16.5" hidden="1" thickBot="1">
      <c r="B75" s="3532">
        <f t="shared" si="1"/>
        <v>28</v>
      </c>
      <c r="C75" s="3533" t="s">
        <v>554</v>
      </c>
      <c r="D75" s="3534">
        <f>SUM(D48:D71)</f>
        <v>11.01</v>
      </c>
      <c r="E75" s="3765">
        <f>E74</f>
        <v>13.64</v>
      </c>
      <c r="F75" s="3763">
        <f>F74</f>
        <v>8.43</v>
      </c>
      <c r="G75" s="3764">
        <f>G74</f>
        <v>7.2899999999999991</v>
      </c>
      <c r="H75" s="136"/>
      <c r="I75" s="1341"/>
      <c r="J75" s="136"/>
    </row>
    <row r="76" spans="1:18" hidden="1">
      <c r="B76" s="4670"/>
      <c r="C76" s="1349"/>
      <c r="D76" s="1343"/>
      <c r="E76" s="1344"/>
      <c r="F76" s="138"/>
      <c r="G76" s="1274"/>
      <c r="H76" s="136"/>
      <c r="I76" s="1349"/>
      <c r="J76" s="136"/>
    </row>
    <row r="77" spans="1:18" hidden="1">
      <c r="B77" s="4670"/>
    </row>
    <row r="78" spans="1:18">
      <c r="B78" s="358"/>
      <c r="C78" s="359"/>
      <c r="D78" s="359"/>
      <c r="E78" s="67"/>
      <c r="F78" s="360"/>
      <c r="G78" s="136"/>
      <c r="H78" s="136"/>
      <c r="I78" s="141"/>
      <c r="J78" s="355"/>
      <c r="K78" s="360"/>
      <c r="L78" s="136"/>
      <c r="M78" s="136"/>
      <c r="N78" s="136"/>
      <c r="O78" s="136"/>
      <c r="P78" s="136"/>
      <c r="Q78" s="136"/>
      <c r="R78" s="357"/>
    </row>
    <row r="79" spans="1:18">
      <c r="A79" s="1274"/>
      <c r="B79" s="1275"/>
      <c r="C79" s="1277"/>
      <c r="D79" s="1277"/>
      <c r="E79" s="1276"/>
      <c r="F79" s="137"/>
      <c r="G79" s="4394"/>
      <c r="H79" s="137"/>
      <c r="I79" s="4394"/>
      <c r="J79" s="137"/>
      <c r="K79" s="4394"/>
      <c r="L79" s="137"/>
      <c r="M79" s="4394"/>
    </row>
    <row r="81" spans="2:17">
      <c r="B81" s="4666" t="s">
        <v>2313</v>
      </c>
      <c r="C81" s="4666"/>
      <c r="H81" s="354"/>
      <c r="I81" s="4665" t="s">
        <v>2884</v>
      </c>
    </row>
    <row r="82" spans="2:17">
      <c r="D82" s="136"/>
      <c r="E82" s="136"/>
      <c r="F82" s="136"/>
      <c r="G82" s="136"/>
      <c r="H82" s="136"/>
      <c r="O82" s="136"/>
      <c r="P82" s="136"/>
      <c r="Q82" s="136"/>
    </row>
    <row r="83" spans="2:17" ht="31.5">
      <c r="B83" s="1353" t="s">
        <v>101</v>
      </c>
      <c r="C83" s="1052" t="s">
        <v>2296</v>
      </c>
      <c r="D83" s="4661" t="s">
        <v>2139</v>
      </c>
      <c r="E83" s="4661" t="s">
        <v>2347</v>
      </c>
      <c r="F83" s="4661" t="s">
        <v>2298</v>
      </c>
      <c r="G83" s="4661" t="s">
        <v>2299</v>
      </c>
      <c r="H83" s="4661" t="s">
        <v>2239</v>
      </c>
      <c r="I83" s="4661" t="s">
        <v>155</v>
      </c>
      <c r="O83" s="136"/>
      <c r="P83" s="136"/>
      <c r="Q83" s="136"/>
    </row>
    <row r="84" spans="2:17">
      <c r="B84" s="4429">
        <v>1</v>
      </c>
      <c r="C84" s="1487" t="s">
        <v>2378</v>
      </c>
      <c r="D84" s="813">
        <f>'LDetail 2012-13'!E6</f>
        <v>57.5</v>
      </c>
      <c r="E84" s="3685">
        <f>'LDetail 2012-13'!D14</f>
        <v>0.13500000000000001</v>
      </c>
      <c r="F84" s="813">
        <f>'LDetail 2012-13'!F6+'LDetail 2012-13'!F14</f>
        <v>0</v>
      </c>
      <c r="G84" s="813">
        <f>'LDetail 2012-13'!G6+'LDetail 2012-13'!G14</f>
        <v>11.5</v>
      </c>
      <c r="H84" s="813">
        <f>'LDetail 2012-13'!I6+'LDetail 2012-13'!I14</f>
        <v>6.9</v>
      </c>
      <c r="I84" s="3686">
        <f>'LDetail 2012-13'!H14</f>
        <v>46</v>
      </c>
      <c r="O84" s="136"/>
      <c r="P84" s="136"/>
      <c r="Q84" s="136"/>
    </row>
    <row r="85" spans="2:17">
      <c r="B85" s="4429">
        <f>1+B84</f>
        <v>2</v>
      </c>
      <c r="C85" s="1487" t="s">
        <v>2934</v>
      </c>
      <c r="D85" s="813">
        <f>'LDetail 2012-13'!E7</f>
        <v>225</v>
      </c>
      <c r="E85" s="3685">
        <f>'LDetail 2012-13'!D15</f>
        <v>0.13</v>
      </c>
      <c r="F85" s="813">
        <f>'LDetail 2012-13'!F7+'LDetail 2012-13'!F15</f>
        <v>0</v>
      </c>
      <c r="G85" s="813">
        <f>'LDetail 2012-13'!G7+'LDetail 2012-13'!G15</f>
        <v>0</v>
      </c>
      <c r="H85" s="813">
        <f>'LDetail 2012-13'!I7+'LDetail 2012-13'!I15</f>
        <v>8.43</v>
      </c>
      <c r="I85" s="3686">
        <f>'LDetail 2012-13'!H15</f>
        <v>225</v>
      </c>
      <c r="O85" s="136"/>
      <c r="P85" s="136"/>
      <c r="Q85" s="136"/>
    </row>
    <row r="86" spans="2:17">
      <c r="B86" s="4429">
        <f>1+B85</f>
        <v>3</v>
      </c>
      <c r="C86" s="1487" t="s">
        <v>2390</v>
      </c>
      <c r="D86" s="813">
        <f>'LDetail 2012-13'!E8</f>
        <v>58.75</v>
      </c>
      <c r="E86" s="3685">
        <f>'LDetail 2012-13'!D16</f>
        <v>0.1075</v>
      </c>
      <c r="F86" s="813">
        <f>'LDetail 2012-13'!F8+'LDetail 2012-13'!F16</f>
        <v>0</v>
      </c>
      <c r="G86" s="813">
        <f>'LDetail 2012-13'!G8+'LDetail 2012-13'!G16</f>
        <v>50</v>
      </c>
      <c r="H86" s="813">
        <f>'LDetail 2012-13'!I8+'LDetail 2012-13'!I16</f>
        <v>1.6893</v>
      </c>
      <c r="I86" s="3686">
        <f>'LDetail 2012-13'!H16</f>
        <v>0</v>
      </c>
      <c r="O86" s="136"/>
      <c r="P86" s="136"/>
      <c r="Q86" s="136"/>
    </row>
    <row r="87" spans="2:17">
      <c r="B87" s="4429">
        <f>1+B86</f>
        <v>4</v>
      </c>
      <c r="C87" s="1487" t="s">
        <v>2391</v>
      </c>
      <c r="D87" s="813">
        <f>'LDetail 2012-13'!E9</f>
        <v>149.9</v>
      </c>
      <c r="E87" s="3685">
        <f>'LDetail 2012-13'!D17</f>
        <v>0.1075</v>
      </c>
      <c r="F87" s="813">
        <f>'LDetail 2012-13'!F9+'LDetail 2012-13'!F17</f>
        <v>0</v>
      </c>
      <c r="G87" s="813">
        <f>'LDetail 2012-13'!G9+'LDetail 2012-13'!G17</f>
        <v>149.9</v>
      </c>
      <c r="H87" s="813">
        <f>'LDetail 2012-13'!I9+'LDetail 2012-13'!I17</f>
        <v>6.1499999999999995</v>
      </c>
      <c r="I87" s="3686">
        <f>'LDetail 2012-13'!H17</f>
        <v>0</v>
      </c>
    </row>
    <row r="88" spans="2:17">
      <c r="B88" s="4429">
        <f>1+B87</f>
        <v>5</v>
      </c>
      <c r="C88" s="1487" t="s">
        <v>2302</v>
      </c>
      <c r="D88" s="813">
        <v>0</v>
      </c>
      <c r="E88" s="3685">
        <f>'LDetail 2012-13'!D18</f>
        <v>0.1</v>
      </c>
      <c r="F88" s="813">
        <f>'LDetail 2012-13'!F10+'LDetail 2012-13'!F18</f>
        <v>400</v>
      </c>
      <c r="G88" s="813">
        <f>'LDetail 2012-13'!G18</f>
        <v>0</v>
      </c>
      <c r="H88" s="813">
        <f>'LDetail 2012-13'!I18</f>
        <v>0.98</v>
      </c>
      <c r="I88" s="3686">
        <f>'LDetail 2012-13'!H18</f>
        <v>400</v>
      </c>
    </row>
    <row r="89" spans="2:17">
      <c r="B89" s="4429">
        <f>1+B88</f>
        <v>6</v>
      </c>
      <c r="C89" s="3539" t="s">
        <v>260</v>
      </c>
      <c r="D89" s="5746"/>
      <c r="E89" s="5746"/>
      <c r="F89" s="5746"/>
      <c r="G89" s="5746"/>
      <c r="H89" s="1273">
        <f>SUM(H84:H88)</f>
        <v>24.1493</v>
      </c>
      <c r="I89" s="3459"/>
    </row>
    <row r="90" spans="2:17">
      <c r="C90" s="5745"/>
      <c r="D90" s="5745"/>
      <c r="E90" s="5745"/>
      <c r="F90" s="5745"/>
      <c r="G90" s="5745"/>
      <c r="H90" s="5745"/>
      <c r="I90" s="5745"/>
    </row>
    <row r="91" spans="2:17">
      <c r="B91" s="4666" t="s">
        <v>2933</v>
      </c>
      <c r="C91" s="4666"/>
      <c r="E91" s="136"/>
      <c r="G91" s="356"/>
      <c r="H91" s="356"/>
      <c r="I91" s="4665" t="s">
        <v>2884</v>
      </c>
    </row>
    <row r="92" spans="2:17">
      <c r="D92" s="139"/>
      <c r="E92" s="140"/>
      <c r="F92" s="140"/>
      <c r="G92" s="356"/>
      <c r="H92" s="356"/>
      <c r="I92" s="357"/>
    </row>
    <row r="93" spans="2:17" ht="31.5">
      <c r="B93" s="801" t="s">
        <v>651</v>
      </c>
      <c r="C93" s="1052" t="s">
        <v>2296</v>
      </c>
      <c r="D93" s="4661" t="s">
        <v>2139</v>
      </c>
      <c r="E93" s="4661" t="s">
        <v>2347</v>
      </c>
      <c r="F93" s="4661" t="s">
        <v>2298</v>
      </c>
      <c r="G93" s="4661" t="s">
        <v>2299</v>
      </c>
      <c r="H93" s="4661" t="s">
        <v>2239</v>
      </c>
      <c r="I93" s="4661" t="s">
        <v>155</v>
      </c>
    </row>
    <row r="94" spans="2:17">
      <c r="B94" s="3514">
        <v>1</v>
      </c>
      <c r="C94" s="1487" t="s">
        <v>2391</v>
      </c>
      <c r="D94" s="4669">
        <f>'LDetails 2013-14'!E6</f>
        <v>46</v>
      </c>
      <c r="E94" s="3461">
        <f>'LDetails 2013-14'!D6</f>
        <v>0.13500000000000001</v>
      </c>
      <c r="F94" s="4669">
        <f>'LDetails 2013-14'!F6+'LDetails 2013-14'!F12</f>
        <v>0</v>
      </c>
      <c r="G94" s="4669">
        <f>'LDetails 2013-14'!G6+'LDetails 2013-14'!G12</f>
        <v>11.5</v>
      </c>
      <c r="H94" s="4669">
        <f>'LDetails 2013-14'!I6+'LDetails 2013-14'!I12</f>
        <v>5.2233999999999998</v>
      </c>
      <c r="I94" s="4669">
        <f>'LDetails 2013-14'!H12</f>
        <v>34.5</v>
      </c>
    </row>
    <row r="95" spans="2:17">
      <c r="B95" s="3514">
        <f>B94+1</f>
        <v>2</v>
      </c>
      <c r="C95" s="1487" t="s">
        <v>2394</v>
      </c>
      <c r="D95" s="4669">
        <f>'LDetails 2013-14'!E7</f>
        <v>400</v>
      </c>
      <c r="E95" s="3461">
        <f>'LDetails 2013-14'!D7</f>
        <v>0.1</v>
      </c>
      <c r="F95" s="4669">
        <f>'LDetails 2013-14'!F7+'LDetails 2013-14'!F13</f>
        <v>1200</v>
      </c>
      <c r="G95" s="4669">
        <f>'LDetails 2013-14'!G7+'LDetails 2013-14'!G13</f>
        <v>0</v>
      </c>
      <c r="H95" s="4669">
        <f>'LDetails 2013-14'!I7+'LDetails 2013-14'!I13</f>
        <v>115.2158333</v>
      </c>
      <c r="I95" s="4669">
        <f>'LDetails 2013-14'!H13</f>
        <v>1600</v>
      </c>
    </row>
    <row r="96" spans="2:17">
      <c r="B96" s="3514">
        <f>B95+1</f>
        <v>3</v>
      </c>
      <c r="C96" s="1487" t="s">
        <v>2828</v>
      </c>
      <c r="D96" s="4669"/>
      <c r="E96" s="4669"/>
      <c r="F96" s="4669"/>
      <c r="G96" s="4669"/>
      <c r="H96" s="4669">
        <f>'LDetails 2013-14'!I8+'LDetails 2013-14'!I14</f>
        <v>11.974299999999999</v>
      </c>
      <c r="I96" s="4669"/>
    </row>
    <row r="97" spans="2:9">
      <c r="B97" s="3514">
        <f>B96+1</f>
        <v>4</v>
      </c>
      <c r="C97" s="3540" t="s">
        <v>260</v>
      </c>
      <c r="D97" s="5742"/>
      <c r="E97" s="5742"/>
      <c r="F97" s="5742"/>
      <c r="G97" s="5742"/>
      <c r="H97" s="1278">
        <f>SUM(H94:H96)</f>
        <v>132.41353329999998</v>
      </c>
      <c r="I97" s="1035"/>
    </row>
    <row r="100" spans="2:9" s="3791" customFormat="1"/>
    <row r="116" spans="9:9">
      <c r="I116" s="4665"/>
    </row>
  </sheetData>
  <mergeCells count="30">
    <mergeCell ref="C90:I90"/>
    <mergeCell ref="D97:G97"/>
    <mergeCell ref="D89:G89"/>
    <mergeCell ref="J64:J70"/>
    <mergeCell ref="D65:D69"/>
    <mergeCell ref="J46:J47"/>
    <mergeCell ref="E47:E72"/>
    <mergeCell ref="D48:D51"/>
    <mergeCell ref="J49:J52"/>
    <mergeCell ref="D52:D54"/>
    <mergeCell ref="J53:J55"/>
    <mergeCell ref="D56:D57"/>
    <mergeCell ref="J57:J58"/>
    <mergeCell ref="D58:D64"/>
    <mergeCell ref="J59:J63"/>
    <mergeCell ref="I45:I47"/>
    <mergeCell ref="E11:E38"/>
    <mergeCell ref="B45:B46"/>
    <mergeCell ref="C45:C46"/>
    <mergeCell ref="D45:D46"/>
    <mergeCell ref="H45:H47"/>
    <mergeCell ref="B2:L2"/>
    <mergeCell ref="B3:L3"/>
    <mergeCell ref="B4:L4"/>
    <mergeCell ref="B9:B10"/>
    <mergeCell ref="C9:C10"/>
    <mergeCell ref="D9:D10"/>
    <mergeCell ref="E9:F9"/>
    <mergeCell ref="H9:H10"/>
    <mergeCell ref="I9:I10"/>
  </mergeCells>
  <printOptions horizontalCentered="1"/>
  <pageMargins left="0.2" right="0.3" top="0.89" bottom="0.39370078740157499" header="0.31496062992126" footer="0.31496062992126"/>
  <pageSetup paperSize="9" scale="69" orientation="landscape" horizontalDpi="300" verticalDpi="300" r:id="rId1"/>
</worksheet>
</file>

<file path=xl/worksheets/sheet47.xml><?xml version="1.0" encoding="utf-8"?>
<worksheet xmlns="http://schemas.openxmlformats.org/spreadsheetml/2006/main" xmlns:r="http://schemas.openxmlformats.org/officeDocument/2006/relationships">
  <sheetPr codeName="Sheet34">
    <pageSetUpPr fitToPage="1"/>
  </sheetPr>
  <dimension ref="B2:M40"/>
  <sheetViews>
    <sheetView showGridLines="0" view="pageBreakPreview" zoomScale="85" zoomScaleNormal="75" zoomScaleSheetLayoutView="85" workbookViewId="0">
      <pane xSplit="3" ySplit="9" topLeftCell="D10" activePane="bottomRight" state="frozen"/>
      <selection pane="topRight" activeCell="D1" sqref="D1"/>
      <selection pane="bottomLeft" activeCell="A12" sqref="A12"/>
      <selection pane="bottomRight" activeCell="V16" sqref="V16"/>
    </sheetView>
  </sheetViews>
  <sheetFormatPr defaultRowHeight="15"/>
  <cols>
    <col min="1" max="1" width="1.85546875" style="3560" customWidth="1"/>
    <col min="2" max="2" width="6" style="3560" bestFit="1" customWidth="1"/>
    <col min="3" max="3" width="23.5703125" style="3560" bestFit="1" customWidth="1"/>
    <col min="4" max="4" width="15.28515625" style="3560" hidden="1" customWidth="1"/>
    <col min="5" max="5" width="14.140625" style="3560" customWidth="1"/>
    <col min="6" max="6" width="11.42578125" style="3560" customWidth="1"/>
    <col min="7" max="7" width="13.42578125" style="3560" customWidth="1"/>
    <col min="8" max="8" width="11.7109375" style="3560" customWidth="1"/>
    <col min="9" max="9" width="14.140625" style="3560" hidden="1" customWidth="1"/>
    <col min="10" max="10" width="16" style="3560" hidden="1" customWidth="1"/>
    <col min="11" max="11" width="11.28515625" style="3560" hidden="1" customWidth="1"/>
    <col min="12" max="12" width="11.85546875" style="3560" hidden="1" customWidth="1"/>
    <col min="13" max="247" width="9.140625" style="3560"/>
    <col min="248" max="248" width="6.28515625" style="3560" customWidth="1"/>
    <col min="249" max="249" width="6.140625" style="3560" customWidth="1"/>
    <col min="250" max="250" width="36.140625" style="3560" bestFit="1" customWidth="1"/>
    <col min="251" max="251" width="16.5703125" style="3560" customWidth="1"/>
    <col min="252" max="252" width="16.28515625" style="3560" customWidth="1"/>
    <col min="253" max="254" width="0" style="3560" hidden="1" customWidth="1"/>
    <col min="255" max="255" width="14.85546875" style="3560" customWidth="1"/>
    <col min="256" max="256" width="13.28515625" style="3560" customWidth="1"/>
    <col min="257" max="257" width="15.85546875" style="3560" customWidth="1"/>
    <col min="258" max="258" width="12.42578125" style="3560" customWidth="1"/>
    <col min="259" max="503" width="9.140625" style="3560"/>
    <col min="504" max="504" width="6.28515625" style="3560" customWidth="1"/>
    <col min="505" max="505" width="6.140625" style="3560" customWidth="1"/>
    <col min="506" max="506" width="36.140625" style="3560" bestFit="1" customWidth="1"/>
    <col min="507" max="507" width="16.5703125" style="3560" customWidth="1"/>
    <col min="508" max="508" width="16.28515625" style="3560" customWidth="1"/>
    <col min="509" max="510" width="0" style="3560" hidden="1" customWidth="1"/>
    <col min="511" max="511" width="14.85546875" style="3560" customWidth="1"/>
    <col min="512" max="512" width="13.28515625" style="3560" customWidth="1"/>
    <col min="513" max="513" width="15.85546875" style="3560" customWidth="1"/>
    <col min="514" max="514" width="12.42578125" style="3560" customWidth="1"/>
    <col min="515" max="759" width="9.140625" style="3560"/>
    <col min="760" max="760" width="6.28515625" style="3560" customWidth="1"/>
    <col min="761" max="761" width="6.140625" style="3560" customWidth="1"/>
    <col min="762" max="762" width="36.140625" style="3560" bestFit="1" customWidth="1"/>
    <col min="763" max="763" width="16.5703125" style="3560" customWidth="1"/>
    <col min="764" max="764" width="16.28515625" style="3560" customWidth="1"/>
    <col min="765" max="766" width="0" style="3560" hidden="1" customWidth="1"/>
    <col min="767" max="767" width="14.85546875" style="3560" customWidth="1"/>
    <col min="768" max="768" width="13.28515625" style="3560" customWidth="1"/>
    <col min="769" max="769" width="15.85546875" style="3560" customWidth="1"/>
    <col min="770" max="770" width="12.42578125" style="3560" customWidth="1"/>
    <col min="771" max="1015" width="9.140625" style="3560"/>
    <col min="1016" max="1016" width="6.28515625" style="3560" customWidth="1"/>
    <col min="1017" max="1017" width="6.140625" style="3560" customWidth="1"/>
    <col min="1018" max="1018" width="36.140625" style="3560" bestFit="1" customWidth="1"/>
    <col min="1019" max="1019" width="16.5703125" style="3560" customWidth="1"/>
    <col min="1020" max="1020" width="16.28515625" style="3560" customWidth="1"/>
    <col min="1021" max="1022" width="0" style="3560" hidden="1" customWidth="1"/>
    <col min="1023" max="1023" width="14.85546875" style="3560" customWidth="1"/>
    <col min="1024" max="1024" width="13.28515625" style="3560" customWidth="1"/>
    <col min="1025" max="1025" width="15.85546875" style="3560" customWidth="1"/>
    <col min="1026" max="1026" width="12.42578125" style="3560" customWidth="1"/>
    <col min="1027" max="1271" width="9.140625" style="3560"/>
    <col min="1272" max="1272" width="6.28515625" style="3560" customWidth="1"/>
    <col min="1273" max="1273" width="6.140625" style="3560" customWidth="1"/>
    <col min="1274" max="1274" width="36.140625" style="3560" bestFit="1" customWidth="1"/>
    <col min="1275" max="1275" width="16.5703125" style="3560" customWidth="1"/>
    <col min="1276" max="1276" width="16.28515625" style="3560" customWidth="1"/>
    <col min="1277" max="1278" width="0" style="3560" hidden="1" customWidth="1"/>
    <col min="1279" max="1279" width="14.85546875" style="3560" customWidth="1"/>
    <col min="1280" max="1280" width="13.28515625" style="3560" customWidth="1"/>
    <col min="1281" max="1281" width="15.85546875" style="3560" customWidth="1"/>
    <col min="1282" max="1282" width="12.42578125" style="3560" customWidth="1"/>
    <col min="1283" max="1527" width="9.140625" style="3560"/>
    <col min="1528" max="1528" width="6.28515625" style="3560" customWidth="1"/>
    <col min="1529" max="1529" width="6.140625" style="3560" customWidth="1"/>
    <col min="1530" max="1530" width="36.140625" style="3560" bestFit="1" customWidth="1"/>
    <col min="1531" max="1531" width="16.5703125" style="3560" customWidth="1"/>
    <col min="1532" max="1532" width="16.28515625" style="3560" customWidth="1"/>
    <col min="1533" max="1534" width="0" style="3560" hidden="1" customWidth="1"/>
    <col min="1535" max="1535" width="14.85546875" style="3560" customWidth="1"/>
    <col min="1536" max="1536" width="13.28515625" style="3560" customWidth="1"/>
    <col min="1537" max="1537" width="15.85546875" style="3560" customWidth="1"/>
    <col min="1538" max="1538" width="12.42578125" style="3560" customWidth="1"/>
    <col min="1539" max="1783" width="9.140625" style="3560"/>
    <col min="1784" max="1784" width="6.28515625" style="3560" customWidth="1"/>
    <col min="1785" max="1785" width="6.140625" style="3560" customWidth="1"/>
    <col min="1786" max="1786" width="36.140625" style="3560" bestFit="1" customWidth="1"/>
    <col min="1787" max="1787" width="16.5703125" style="3560" customWidth="1"/>
    <col min="1788" max="1788" width="16.28515625" style="3560" customWidth="1"/>
    <col min="1789" max="1790" width="0" style="3560" hidden="1" customWidth="1"/>
    <col min="1791" max="1791" width="14.85546875" style="3560" customWidth="1"/>
    <col min="1792" max="1792" width="13.28515625" style="3560" customWidth="1"/>
    <col min="1793" max="1793" width="15.85546875" style="3560" customWidth="1"/>
    <col min="1794" max="1794" width="12.42578125" style="3560" customWidth="1"/>
    <col min="1795" max="2039" width="9.140625" style="3560"/>
    <col min="2040" max="2040" width="6.28515625" style="3560" customWidth="1"/>
    <col min="2041" max="2041" width="6.140625" style="3560" customWidth="1"/>
    <col min="2042" max="2042" width="36.140625" style="3560" bestFit="1" customWidth="1"/>
    <col min="2043" max="2043" width="16.5703125" style="3560" customWidth="1"/>
    <col min="2044" max="2044" width="16.28515625" style="3560" customWidth="1"/>
    <col min="2045" max="2046" width="0" style="3560" hidden="1" customWidth="1"/>
    <col min="2047" max="2047" width="14.85546875" style="3560" customWidth="1"/>
    <col min="2048" max="2048" width="13.28515625" style="3560" customWidth="1"/>
    <col min="2049" max="2049" width="15.85546875" style="3560" customWidth="1"/>
    <col min="2050" max="2050" width="12.42578125" style="3560" customWidth="1"/>
    <col min="2051" max="2295" width="9.140625" style="3560"/>
    <col min="2296" max="2296" width="6.28515625" style="3560" customWidth="1"/>
    <col min="2297" max="2297" width="6.140625" style="3560" customWidth="1"/>
    <col min="2298" max="2298" width="36.140625" style="3560" bestFit="1" customWidth="1"/>
    <col min="2299" max="2299" width="16.5703125" style="3560" customWidth="1"/>
    <col min="2300" max="2300" width="16.28515625" style="3560" customWidth="1"/>
    <col min="2301" max="2302" width="0" style="3560" hidden="1" customWidth="1"/>
    <col min="2303" max="2303" width="14.85546875" style="3560" customWidth="1"/>
    <col min="2304" max="2304" width="13.28515625" style="3560" customWidth="1"/>
    <col min="2305" max="2305" width="15.85546875" style="3560" customWidth="1"/>
    <col min="2306" max="2306" width="12.42578125" style="3560" customWidth="1"/>
    <col min="2307" max="2551" width="9.140625" style="3560"/>
    <col min="2552" max="2552" width="6.28515625" style="3560" customWidth="1"/>
    <col min="2553" max="2553" width="6.140625" style="3560" customWidth="1"/>
    <col min="2554" max="2554" width="36.140625" style="3560" bestFit="1" customWidth="1"/>
    <col min="2555" max="2555" width="16.5703125" style="3560" customWidth="1"/>
    <col min="2556" max="2556" width="16.28515625" style="3560" customWidth="1"/>
    <col min="2557" max="2558" width="0" style="3560" hidden="1" customWidth="1"/>
    <col min="2559" max="2559" width="14.85546875" style="3560" customWidth="1"/>
    <col min="2560" max="2560" width="13.28515625" style="3560" customWidth="1"/>
    <col min="2561" max="2561" width="15.85546875" style="3560" customWidth="1"/>
    <col min="2562" max="2562" width="12.42578125" style="3560" customWidth="1"/>
    <col min="2563" max="2807" width="9.140625" style="3560"/>
    <col min="2808" max="2808" width="6.28515625" style="3560" customWidth="1"/>
    <col min="2809" max="2809" width="6.140625" style="3560" customWidth="1"/>
    <col min="2810" max="2810" width="36.140625" style="3560" bestFit="1" customWidth="1"/>
    <col min="2811" max="2811" width="16.5703125" style="3560" customWidth="1"/>
    <col min="2812" max="2812" width="16.28515625" style="3560" customWidth="1"/>
    <col min="2813" max="2814" width="0" style="3560" hidden="1" customWidth="1"/>
    <col min="2815" max="2815" width="14.85546875" style="3560" customWidth="1"/>
    <col min="2816" max="2816" width="13.28515625" style="3560" customWidth="1"/>
    <col min="2817" max="2817" width="15.85546875" style="3560" customWidth="1"/>
    <col min="2818" max="2818" width="12.42578125" style="3560" customWidth="1"/>
    <col min="2819" max="3063" width="9.140625" style="3560"/>
    <col min="3064" max="3064" width="6.28515625" style="3560" customWidth="1"/>
    <col min="3065" max="3065" width="6.140625" style="3560" customWidth="1"/>
    <col min="3066" max="3066" width="36.140625" style="3560" bestFit="1" customWidth="1"/>
    <col min="3067" max="3067" width="16.5703125" style="3560" customWidth="1"/>
    <col min="3068" max="3068" width="16.28515625" style="3560" customWidth="1"/>
    <col min="3069" max="3070" width="0" style="3560" hidden="1" customWidth="1"/>
    <col min="3071" max="3071" width="14.85546875" style="3560" customWidth="1"/>
    <col min="3072" max="3072" width="13.28515625" style="3560" customWidth="1"/>
    <col min="3073" max="3073" width="15.85546875" style="3560" customWidth="1"/>
    <col min="3074" max="3074" width="12.42578125" style="3560" customWidth="1"/>
    <col min="3075" max="3319" width="9.140625" style="3560"/>
    <col min="3320" max="3320" width="6.28515625" style="3560" customWidth="1"/>
    <col min="3321" max="3321" width="6.140625" style="3560" customWidth="1"/>
    <col min="3322" max="3322" width="36.140625" style="3560" bestFit="1" customWidth="1"/>
    <col min="3323" max="3323" width="16.5703125" style="3560" customWidth="1"/>
    <col min="3324" max="3324" width="16.28515625" style="3560" customWidth="1"/>
    <col min="3325" max="3326" width="0" style="3560" hidden="1" customWidth="1"/>
    <col min="3327" max="3327" width="14.85546875" style="3560" customWidth="1"/>
    <col min="3328" max="3328" width="13.28515625" style="3560" customWidth="1"/>
    <col min="3329" max="3329" width="15.85546875" style="3560" customWidth="1"/>
    <col min="3330" max="3330" width="12.42578125" style="3560" customWidth="1"/>
    <col min="3331" max="3575" width="9.140625" style="3560"/>
    <col min="3576" max="3576" width="6.28515625" style="3560" customWidth="1"/>
    <col min="3577" max="3577" width="6.140625" style="3560" customWidth="1"/>
    <col min="3578" max="3578" width="36.140625" style="3560" bestFit="1" customWidth="1"/>
    <col min="3579" max="3579" width="16.5703125" style="3560" customWidth="1"/>
    <col min="3580" max="3580" width="16.28515625" style="3560" customWidth="1"/>
    <col min="3581" max="3582" width="0" style="3560" hidden="1" customWidth="1"/>
    <col min="3583" max="3583" width="14.85546875" style="3560" customWidth="1"/>
    <col min="3584" max="3584" width="13.28515625" style="3560" customWidth="1"/>
    <col min="3585" max="3585" width="15.85546875" style="3560" customWidth="1"/>
    <col min="3586" max="3586" width="12.42578125" style="3560" customWidth="1"/>
    <col min="3587" max="3831" width="9.140625" style="3560"/>
    <col min="3832" max="3832" width="6.28515625" style="3560" customWidth="1"/>
    <col min="3833" max="3833" width="6.140625" style="3560" customWidth="1"/>
    <col min="3834" max="3834" width="36.140625" style="3560" bestFit="1" customWidth="1"/>
    <col min="3835" max="3835" width="16.5703125" style="3560" customWidth="1"/>
    <col min="3836" max="3836" width="16.28515625" style="3560" customWidth="1"/>
    <col min="3837" max="3838" width="0" style="3560" hidden="1" customWidth="1"/>
    <col min="3839" max="3839" width="14.85546875" style="3560" customWidth="1"/>
    <col min="3840" max="3840" width="13.28515625" style="3560" customWidth="1"/>
    <col min="3841" max="3841" width="15.85546875" style="3560" customWidth="1"/>
    <col min="3842" max="3842" width="12.42578125" style="3560" customWidth="1"/>
    <col min="3843" max="4087" width="9.140625" style="3560"/>
    <col min="4088" max="4088" width="6.28515625" style="3560" customWidth="1"/>
    <col min="4089" max="4089" width="6.140625" style="3560" customWidth="1"/>
    <col min="4090" max="4090" width="36.140625" style="3560" bestFit="1" customWidth="1"/>
    <col min="4091" max="4091" width="16.5703125" style="3560" customWidth="1"/>
    <col min="4092" max="4092" width="16.28515625" style="3560" customWidth="1"/>
    <col min="4093" max="4094" width="0" style="3560" hidden="1" customWidth="1"/>
    <col min="4095" max="4095" width="14.85546875" style="3560" customWidth="1"/>
    <col min="4096" max="4096" width="13.28515625" style="3560" customWidth="1"/>
    <col min="4097" max="4097" width="15.85546875" style="3560" customWidth="1"/>
    <col min="4098" max="4098" width="12.42578125" style="3560" customWidth="1"/>
    <col min="4099" max="4343" width="9.140625" style="3560"/>
    <col min="4344" max="4344" width="6.28515625" style="3560" customWidth="1"/>
    <col min="4345" max="4345" width="6.140625" style="3560" customWidth="1"/>
    <col min="4346" max="4346" width="36.140625" style="3560" bestFit="1" customWidth="1"/>
    <col min="4347" max="4347" width="16.5703125" style="3560" customWidth="1"/>
    <col min="4348" max="4348" width="16.28515625" style="3560" customWidth="1"/>
    <col min="4349" max="4350" width="0" style="3560" hidden="1" customWidth="1"/>
    <col min="4351" max="4351" width="14.85546875" style="3560" customWidth="1"/>
    <col min="4352" max="4352" width="13.28515625" style="3560" customWidth="1"/>
    <col min="4353" max="4353" width="15.85546875" style="3560" customWidth="1"/>
    <col min="4354" max="4354" width="12.42578125" style="3560" customWidth="1"/>
    <col min="4355" max="4599" width="9.140625" style="3560"/>
    <col min="4600" max="4600" width="6.28515625" style="3560" customWidth="1"/>
    <col min="4601" max="4601" width="6.140625" style="3560" customWidth="1"/>
    <col min="4602" max="4602" width="36.140625" style="3560" bestFit="1" customWidth="1"/>
    <col min="4603" max="4603" width="16.5703125" style="3560" customWidth="1"/>
    <col min="4604" max="4604" width="16.28515625" style="3560" customWidth="1"/>
    <col min="4605" max="4606" width="0" style="3560" hidden="1" customWidth="1"/>
    <col min="4607" max="4607" width="14.85546875" style="3560" customWidth="1"/>
    <col min="4608" max="4608" width="13.28515625" style="3560" customWidth="1"/>
    <col min="4609" max="4609" width="15.85546875" style="3560" customWidth="1"/>
    <col min="4610" max="4610" width="12.42578125" style="3560" customWidth="1"/>
    <col min="4611" max="4855" width="9.140625" style="3560"/>
    <col min="4856" max="4856" width="6.28515625" style="3560" customWidth="1"/>
    <col min="4857" max="4857" width="6.140625" style="3560" customWidth="1"/>
    <col min="4858" max="4858" width="36.140625" style="3560" bestFit="1" customWidth="1"/>
    <col min="4859" max="4859" width="16.5703125" style="3560" customWidth="1"/>
    <col min="4860" max="4860" width="16.28515625" style="3560" customWidth="1"/>
    <col min="4861" max="4862" width="0" style="3560" hidden="1" customWidth="1"/>
    <col min="4863" max="4863" width="14.85546875" style="3560" customWidth="1"/>
    <col min="4864" max="4864" width="13.28515625" style="3560" customWidth="1"/>
    <col min="4865" max="4865" width="15.85546875" style="3560" customWidth="1"/>
    <col min="4866" max="4866" width="12.42578125" style="3560" customWidth="1"/>
    <col min="4867" max="5111" width="9.140625" style="3560"/>
    <col min="5112" max="5112" width="6.28515625" style="3560" customWidth="1"/>
    <col min="5113" max="5113" width="6.140625" style="3560" customWidth="1"/>
    <col min="5114" max="5114" width="36.140625" style="3560" bestFit="1" customWidth="1"/>
    <col min="5115" max="5115" width="16.5703125" style="3560" customWidth="1"/>
    <col min="5116" max="5116" width="16.28515625" style="3560" customWidth="1"/>
    <col min="5117" max="5118" width="0" style="3560" hidden="1" customWidth="1"/>
    <col min="5119" max="5119" width="14.85546875" style="3560" customWidth="1"/>
    <col min="5120" max="5120" width="13.28515625" style="3560" customWidth="1"/>
    <col min="5121" max="5121" width="15.85546875" style="3560" customWidth="1"/>
    <col min="5122" max="5122" width="12.42578125" style="3560" customWidth="1"/>
    <col min="5123" max="5367" width="9.140625" style="3560"/>
    <col min="5368" max="5368" width="6.28515625" style="3560" customWidth="1"/>
    <col min="5369" max="5369" width="6.140625" style="3560" customWidth="1"/>
    <col min="5370" max="5370" width="36.140625" style="3560" bestFit="1" customWidth="1"/>
    <col min="5371" max="5371" width="16.5703125" style="3560" customWidth="1"/>
    <col min="5372" max="5372" width="16.28515625" style="3560" customWidth="1"/>
    <col min="5373" max="5374" width="0" style="3560" hidden="1" customWidth="1"/>
    <col min="5375" max="5375" width="14.85546875" style="3560" customWidth="1"/>
    <col min="5376" max="5376" width="13.28515625" style="3560" customWidth="1"/>
    <col min="5377" max="5377" width="15.85546875" style="3560" customWidth="1"/>
    <col min="5378" max="5378" width="12.42578125" style="3560" customWidth="1"/>
    <col min="5379" max="5623" width="9.140625" style="3560"/>
    <col min="5624" max="5624" width="6.28515625" style="3560" customWidth="1"/>
    <col min="5625" max="5625" width="6.140625" style="3560" customWidth="1"/>
    <col min="5626" max="5626" width="36.140625" style="3560" bestFit="1" customWidth="1"/>
    <col min="5627" max="5627" width="16.5703125" style="3560" customWidth="1"/>
    <col min="5628" max="5628" width="16.28515625" style="3560" customWidth="1"/>
    <col min="5629" max="5630" width="0" style="3560" hidden="1" customWidth="1"/>
    <col min="5631" max="5631" width="14.85546875" style="3560" customWidth="1"/>
    <col min="5632" max="5632" width="13.28515625" style="3560" customWidth="1"/>
    <col min="5633" max="5633" width="15.85546875" style="3560" customWidth="1"/>
    <col min="5634" max="5634" width="12.42578125" style="3560" customWidth="1"/>
    <col min="5635" max="5879" width="9.140625" style="3560"/>
    <col min="5880" max="5880" width="6.28515625" style="3560" customWidth="1"/>
    <col min="5881" max="5881" width="6.140625" style="3560" customWidth="1"/>
    <col min="5882" max="5882" width="36.140625" style="3560" bestFit="1" customWidth="1"/>
    <col min="5883" max="5883" width="16.5703125" style="3560" customWidth="1"/>
    <col min="5884" max="5884" width="16.28515625" style="3560" customWidth="1"/>
    <col min="5885" max="5886" width="0" style="3560" hidden="1" customWidth="1"/>
    <col min="5887" max="5887" width="14.85546875" style="3560" customWidth="1"/>
    <col min="5888" max="5888" width="13.28515625" style="3560" customWidth="1"/>
    <col min="5889" max="5889" width="15.85546875" style="3560" customWidth="1"/>
    <col min="5890" max="5890" width="12.42578125" style="3560" customWidth="1"/>
    <col min="5891" max="6135" width="9.140625" style="3560"/>
    <col min="6136" max="6136" width="6.28515625" style="3560" customWidth="1"/>
    <col min="6137" max="6137" width="6.140625" style="3560" customWidth="1"/>
    <col min="6138" max="6138" width="36.140625" style="3560" bestFit="1" customWidth="1"/>
    <col min="6139" max="6139" width="16.5703125" style="3560" customWidth="1"/>
    <col min="6140" max="6140" width="16.28515625" style="3560" customWidth="1"/>
    <col min="6141" max="6142" width="0" style="3560" hidden="1" customWidth="1"/>
    <col min="6143" max="6143" width="14.85546875" style="3560" customWidth="1"/>
    <col min="6144" max="6144" width="13.28515625" style="3560" customWidth="1"/>
    <col min="6145" max="6145" width="15.85546875" style="3560" customWidth="1"/>
    <col min="6146" max="6146" width="12.42578125" style="3560" customWidth="1"/>
    <col min="6147" max="6391" width="9.140625" style="3560"/>
    <col min="6392" max="6392" width="6.28515625" style="3560" customWidth="1"/>
    <col min="6393" max="6393" width="6.140625" style="3560" customWidth="1"/>
    <col min="6394" max="6394" width="36.140625" style="3560" bestFit="1" customWidth="1"/>
    <col min="6395" max="6395" width="16.5703125" style="3560" customWidth="1"/>
    <col min="6396" max="6396" width="16.28515625" style="3560" customWidth="1"/>
    <col min="6397" max="6398" width="0" style="3560" hidden="1" customWidth="1"/>
    <col min="6399" max="6399" width="14.85546875" style="3560" customWidth="1"/>
    <col min="6400" max="6400" width="13.28515625" style="3560" customWidth="1"/>
    <col min="6401" max="6401" width="15.85546875" style="3560" customWidth="1"/>
    <col min="6402" max="6402" width="12.42578125" style="3560" customWidth="1"/>
    <col min="6403" max="6647" width="9.140625" style="3560"/>
    <col min="6648" max="6648" width="6.28515625" style="3560" customWidth="1"/>
    <col min="6649" max="6649" width="6.140625" style="3560" customWidth="1"/>
    <col min="6650" max="6650" width="36.140625" style="3560" bestFit="1" customWidth="1"/>
    <col min="6651" max="6651" width="16.5703125" style="3560" customWidth="1"/>
    <col min="6652" max="6652" width="16.28515625" style="3560" customWidth="1"/>
    <col min="6653" max="6654" width="0" style="3560" hidden="1" customWidth="1"/>
    <col min="6655" max="6655" width="14.85546875" style="3560" customWidth="1"/>
    <col min="6656" max="6656" width="13.28515625" style="3560" customWidth="1"/>
    <col min="6657" max="6657" width="15.85546875" style="3560" customWidth="1"/>
    <col min="6658" max="6658" width="12.42578125" style="3560" customWidth="1"/>
    <col min="6659" max="6903" width="9.140625" style="3560"/>
    <col min="6904" max="6904" width="6.28515625" style="3560" customWidth="1"/>
    <col min="6905" max="6905" width="6.140625" style="3560" customWidth="1"/>
    <col min="6906" max="6906" width="36.140625" style="3560" bestFit="1" customWidth="1"/>
    <col min="6907" max="6907" width="16.5703125" style="3560" customWidth="1"/>
    <col min="6908" max="6908" width="16.28515625" style="3560" customWidth="1"/>
    <col min="6909" max="6910" width="0" style="3560" hidden="1" customWidth="1"/>
    <col min="6911" max="6911" width="14.85546875" style="3560" customWidth="1"/>
    <col min="6912" max="6912" width="13.28515625" style="3560" customWidth="1"/>
    <col min="6913" max="6913" width="15.85546875" style="3560" customWidth="1"/>
    <col min="6914" max="6914" width="12.42578125" style="3560" customWidth="1"/>
    <col min="6915" max="7159" width="9.140625" style="3560"/>
    <col min="7160" max="7160" width="6.28515625" style="3560" customWidth="1"/>
    <col min="7161" max="7161" width="6.140625" style="3560" customWidth="1"/>
    <col min="7162" max="7162" width="36.140625" style="3560" bestFit="1" customWidth="1"/>
    <col min="7163" max="7163" width="16.5703125" style="3560" customWidth="1"/>
    <col min="7164" max="7164" width="16.28515625" style="3560" customWidth="1"/>
    <col min="7165" max="7166" width="0" style="3560" hidden="1" customWidth="1"/>
    <col min="7167" max="7167" width="14.85546875" style="3560" customWidth="1"/>
    <col min="7168" max="7168" width="13.28515625" style="3560" customWidth="1"/>
    <col min="7169" max="7169" width="15.85546875" style="3560" customWidth="1"/>
    <col min="7170" max="7170" width="12.42578125" style="3560" customWidth="1"/>
    <col min="7171" max="7415" width="9.140625" style="3560"/>
    <col min="7416" max="7416" width="6.28515625" style="3560" customWidth="1"/>
    <col min="7417" max="7417" width="6.140625" style="3560" customWidth="1"/>
    <col min="7418" max="7418" width="36.140625" style="3560" bestFit="1" customWidth="1"/>
    <col min="7419" max="7419" width="16.5703125" style="3560" customWidth="1"/>
    <col min="7420" max="7420" width="16.28515625" style="3560" customWidth="1"/>
    <col min="7421" max="7422" width="0" style="3560" hidden="1" customWidth="1"/>
    <col min="7423" max="7423" width="14.85546875" style="3560" customWidth="1"/>
    <col min="7424" max="7424" width="13.28515625" style="3560" customWidth="1"/>
    <col min="7425" max="7425" width="15.85546875" style="3560" customWidth="1"/>
    <col min="7426" max="7426" width="12.42578125" style="3560" customWidth="1"/>
    <col min="7427" max="7671" width="9.140625" style="3560"/>
    <col min="7672" max="7672" width="6.28515625" style="3560" customWidth="1"/>
    <col min="7673" max="7673" width="6.140625" style="3560" customWidth="1"/>
    <col min="7674" max="7674" width="36.140625" style="3560" bestFit="1" customWidth="1"/>
    <col min="7675" max="7675" width="16.5703125" style="3560" customWidth="1"/>
    <col min="7676" max="7676" width="16.28515625" style="3560" customWidth="1"/>
    <col min="7677" max="7678" width="0" style="3560" hidden="1" customWidth="1"/>
    <col min="7679" max="7679" width="14.85546875" style="3560" customWidth="1"/>
    <col min="7680" max="7680" width="13.28515625" style="3560" customWidth="1"/>
    <col min="7681" max="7681" width="15.85546875" style="3560" customWidth="1"/>
    <col min="7682" max="7682" width="12.42578125" style="3560" customWidth="1"/>
    <col min="7683" max="7927" width="9.140625" style="3560"/>
    <col min="7928" max="7928" width="6.28515625" style="3560" customWidth="1"/>
    <col min="7929" max="7929" width="6.140625" style="3560" customWidth="1"/>
    <col min="7930" max="7930" width="36.140625" style="3560" bestFit="1" customWidth="1"/>
    <col min="7931" max="7931" width="16.5703125" style="3560" customWidth="1"/>
    <col min="7932" max="7932" width="16.28515625" style="3560" customWidth="1"/>
    <col min="7933" max="7934" width="0" style="3560" hidden="1" customWidth="1"/>
    <col min="7935" max="7935" width="14.85546875" style="3560" customWidth="1"/>
    <col min="7936" max="7936" width="13.28515625" style="3560" customWidth="1"/>
    <col min="7937" max="7937" width="15.85546875" style="3560" customWidth="1"/>
    <col min="7938" max="7938" width="12.42578125" style="3560" customWidth="1"/>
    <col min="7939" max="8183" width="9.140625" style="3560"/>
    <col min="8184" max="8184" width="6.28515625" style="3560" customWidth="1"/>
    <col min="8185" max="8185" width="6.140625" style="3560" customWidth="1"/>
    <col min="8186" max="8186" width="36.140625" style="3560" bestFit="1" customWidth="1"/>
    <col min="8187" max="8187" width="16.5703125" style="3560" customWidth="1"/>
    <col min="8188" max="8188" width="16.28515625" style="3560" customWidth="1"/>
    <col min="8189" max="8190" width="0" style="3560" hidden="1" customWidth="1"/>
    <col min="8191" max="8191" width="14.85546875" style="3560" customWidth="1"/>
    <col min="8192" max="8192" width="13.28515625" style="3560" customWidth="1"/>
    <col min="8193" max="8193" width="15.85546875" style="3560" customWidth="1"/>
    <col min="8194" max="8194" width="12.42578125" style="3560" customWidth="1"/>
    <col min="8195" max="8439" width="9.140625" style="3560"/>
    <col min="8440" max="8440" width="6.28515625" style="3560" customWidth="1"/>
    <col min="8441" max="8441" width="6.140625" style="3560" customWidth="1"/>
    <col min="8442" max="8442" width="36.140625" style="3560" bestFit="1" customWidth="1"/>
    <col min="8443" max="8443" width="16.5703125" style="3560" customWidth="1"/>
    <col min="8444" max="8444" width="16.28515625" style="3560" customWidth="1"/>
    <col min="8445" max="8446" width="0" style="3560" hidden="1" customWidth="1"/>
    <col min="8447" max="8447" width="14.85546875" style="3560" customWidth="1"/>
    <col min="8448" max="8448" width="13.28515625" style="3560" customWidth="1"/>
    <col min="8449" max="8449" width="15.85546875" style="3560" customWidth="1"/>
    <col min="8450" max="8450" width="12.42578125" style="3560" customWidth="1"/>
    <col min="8451" max="8695" width="9.140625" style="3560"/>
    <col min="8696" max="8696" width="6.28515625" style="3560" customWidth="1"/>
    <col min="8697" max="8697" width="6.140625" style="3560" customWidth="1"/>
    <col min="8698" max="8698" width="36.140625" style="3560" bestFit="1" customWidth="1"/>
    <col min="8699" max="8699" width="16.5703125" style="3560" customWidth="1"/>
    <col min="8700" max="8700" width="16.28515625" style="3560" customWidth="1"/>
    <col min="8701" max="8702" width="0" style="3560" hidden="1" customWidth="1"/>
    <col min="8703" max="8703" width="14.85546875" style="3560" customWidth="1"/>
    <col min="8704" max="8704" width="13.28515625" style="3560" customWidth="1"/>
    <col min="8705" max="8705" width="15.85546875" style="3560" customWidth="1"/>
    <col min="8706" max="8706" width="12.42578125" style="3560" customWidth="1"/>
    <col min="8707" max="8951" width="9.140625" style="3560"/>
    <col min="8952" max="8952" width="6.28515625" style="3560" customWidth="1"/>
    <col min="8953" max="8953" width="6.140625" style="3560" customWidth="1"/>
    <col min="8954" max="8954" width="36.140625" style="3560" bestFit="1" customWidth="1"/>
    <col min="8955" max="8955" width="16.5703125" style="3560" customWidth="1"/>
    <col min="8956" max="8956" width="16.28515625" style="3560" customWidth="1"/>
    <col min="8957" max="8958" width="0" style="3560" hidden="1" customWidth="1"/>
    <col min="8959" max="8959" width="14.85546875" style="3560" customWidth="1"/>
    <col min="8960" max="8960" width="13.28515625" style="3560" customWidth="1"/>
    <col min="8961" max="8961" width="15.85546875" style="3560" customWidth="1"/>
    <col min="8962" max="8962" width="12.42578125" style="3560" customWidth="1"/>
    <col min="8963" max="9207" width="9.140625" style="3560"/>
    <col min="9208" max="9208" width="6.28515625" style="3560" customWidth="1"/>
    <col min="9209" max="9209" width="6.140625" style="3560" customWidth="1"/>
    <col min="9210" max="9210" width="36.140625" style="3560" bestFit="1" customWidth="1"/>
    <col min="9211" max="9211" width="16.5703125" style="3560" customWidth="1"/>
    <col min="9212" max="9212" width="16.28515625" style="3560" customWidth="1"/>
    <col min="9213" max="9214" width="0" style="3560" hidden="1" customWidth="1"/>
    <col min="9215" max="9215" width="14.85546875" style="3560" customWidth="1"/>
    <col min="9216" max="9216" width="13.28515625" style="3560" customWidth="1"/>
    <col min="9217" max="9217" width="15.85546875" style="3560" customWidth="1"/>
    <col min="9218" max="9218" width="12.42578125" style="3560" customWidth="1"/>
    <col min="9219" max="9463" width="9.140625" style="3560"/>
    <col min="9464" max="9464" width="6.28515625" style="3560" customWidth="1"/>
    <col min="9465" max="9465" width="6.140625" style="3560" customWidth="1"/>
    <col min="9466" max="9466" width="36.140625" style="3560" bestFit="1" customWidth="1"/>
    <col min="9467" max="9467" width="16.5703125" style="3560" customWidth="1"/>
    <col min="9468" max="9468" width="16.28515625" style="3560" customWidth="1"/>
    <col min="9469" max="9470" width="0" style="3560" hidden="1" customWidth="1"/>
    <col min="9471" max="9471" width="14.85546875" style="3560" customWidth="1"/>
    <col min="9472" max="9472" width="13.28515625" style="3560" customWidth="1"/>
    <col min="9473" max="9473" width="15.85546875" style="3560" customWidth="1"/>
    <col min="9474" max="9474" width="12.42578125" style="3560" customWidth="1"/>
    <col min="9475" max="9719" width="9.140625" style="3560"/>
    <col min="9720" max="9720" width="6.28515625" style="3560" customWidth="1"/>
    <col min="9721" max="9721" width="6.140625" style="3560" customWidth="1"/>
    <col min="9722" max="9722" width="36.140625" style="3560" bestFit="1" customWidth="1"/>
    <col min="9723" max="9723" width="16.5703125" style="3560" customWidth="1"/>
    <col min="9724" max="9724" width="16.28515625" style="3560" customWidth="1"/>
    <col min="9725" max="9726" width="0" style="3560" hidden="1" customWidth="1"/>
    <col min="9727" max="9727" width="14.85546875" style="3560" customWidth="1"/>
    <col min="9728" max="9728" width="13.28515625" style="3560" customWidth="1"/>
    <col min="9729" max="9729" width="15.85546875" style="3560" customWidth="1"/>
    <col min="9730" max="9730" width="12.42578125" style="3560" customWidth="1"/>
    <col min="9731" max="9975" width="9.140625" style="3560"/>
    <col min="9976" max="9976" width="6.28515625" style="3560" customWidth="1"/>
    <col min="9977" max="9977" width="6.140625" style="3560" customWidth="1"/>
    <col min="9978" max="9978" width="36.140625" style="3560" bestFit="1" customWidth="1"/>
    <col min="9979" max="9979" width="16.5703125" style="3560" customWidth="1"/>
    <col min="9980" max="9980" width="16.28515625" style="3560" customWidth="1"/>
    <col min="9981" max="9982" width="0" style="3560" hidden="1" customWidth="1"/>
    <col min="9983" max="9983" width="14.85546875" style="3560" customWidth="1"/>
    <col min="9984" max="9984" width="13.28515625" style="3560" customWidth="1"/>
    <col min="9985" max="9985" width="15.85546875" style="3560" customWidth="1"/>
    <col min="9986" max="9986" width="12.42578125" style="3560" customWidth="1"/>
    <col min="9987" max="10231" width="9.140625" style="3560"/>
    <col min="10232" max="10232" width="6.28515625" style="3560" customWidth="1"/>
    <col min="10233" max="10233" width="6.140625" style="3560" customWidth="1"/>
    <col min="10234" max="10234" width="36.140625" style="3560" bestFit="1" customWidth="1"/>
    <col min="10235" max="10235" width="16.5703125" style="3560" customWidth="1"/>
    <col min="10236" max="10236" width="16.28515625" style="3560" customWidth="1"/>
    <col min="10237" max="10238" width="0" style="3560" hidden="1" customWidth="1"/>
    <col min="10239" max="10239" width="14.85546875" style="3560" customWidth="1"/>
    <col min="10240" max="10240" width="13.28515625" style="3560" customWidth="1"/>
    <col min="10241" max="10241" width="15.85546875" style="3560" customWidth="1"/>
    <col min="10242" max="10242" width="12.42578125" style="3560" customWidth="1"/>
    <col min="10243" max="10487" width="9.140625" style="3560"/>
    <col min="10488" max="10488" width="6.28515625" style="3560" customWidth="1"/>
    <col min="10489" max="10489" width="6.140625" style="3560" customWidth="1"/>
    <col min="10490" max="10490" width="36.140625" style="3560" bestFit="1" customWidth="1"/>
    <col min="10491" max="10491" width="16.5703125" style="3560" customWidth="1"/>
    <col min="10492" max="10492" width="16.28515625" style="3560" customWidth="1"/>
    <col min="10493" max="10494" width="0" style="3560" hidden="1" customWidth="1"/>
    <col min="10495" max="10495" width="14.85546875" style="3560" customWidth="1"/>
    <col min="10496" max="10496" width="13.28515625" style="3560" customWidth="1"/>
    <col min="10497" max="10497" width="15.85546875" style="3560" customWidth="1"/>
    <col min="10498" max="10498" width="12.42578125" style="3560" customWidth="1"/>
    <col min="10499" max="10743" width="9.140625" style="3560"/>
    <col min="10744" max="10744" width="6.28515625" style="3560" customWidth="1"/>
    <col min="10745" max="10745" width="6.140625" style="3560" customWidth="1"/>
    <col min="10746" max="10746" width="36.140625" style="3560" bestFit="1" customWidth="1"/>
    <col min="10747" max="10747" width="16.5703125" style="3560" customWidth="1"/>
    <col min="10748" max="10748" width="16.28515625" style="3560" customWidth="1"/>
    <col min="10749" max="10750" width="0" style="3560" hidden="1" customWidth="1"/>
    <col min="10751" max="10751" width="14.85546875" style="3560" customWidth="1"/>
    <col min="10752" max="10752" width="13.28515625" style="3560" customWidth="1"/>
    <col min="10753" max="10753" width="15.85546875" style="3560" customWidth="1"/>
    <col min="10754" max="10754" width="12.42578125" style="3560" customWidth="1"/>
    <col min="10755" max="10999" width="9.140625" style="3560"/>
    <col min="11000" max="11000" width="6.28515625" style="3560" customWidth="1"/>
    <col min="11001" max="11001" width="6.140625" style="3560" customWidth="1"/>
    <col min="11002" max="11002" width="36.140625" style="3560" bestFit="1" customWidth="1"/>
    <col min="11003" max="11003" width="16.5703125" style="3560" customWidth="1"/>
    <col min="11004" max="11004" width="16.28515625" style="3560" customWidth="1"/>
    <col min="11005" max="11006" width="0" style="3560" hidden="1" customWidth="1"/>
    <col min="11007" max="11007" width="14.85546875" style="3560" customWidth="1"/>
    <col min="11008" max="11008" width="13.28515625" style="3560" customWidth="1"/>
    <col min="11009" max="11009" width="15.85546875" style="3560" customWidth="1"/>
    <col min="11010" max="11010" width="12.42578125" style="3560" customWidth="1"/>
    <col min="11011" max="11255" width="9.140625" style="3560"/>
    <col min="11256" max="11256" width="6.28515625" style="3560" customWidth="1"/>
    <col min="11257" max="11257" width="6.140625" style="3560" customWidth="1"/>
    <col min="11258" max="11258" width="36.140625" style="3560" bestFit="1" customWidth="1"/>
    <col min="11259" max="11259" width="16.5703125" style="3560" customWidth="1"/>
    <col min="11260" max="11260" width="16.28515625" style="3560" customWidth="1"/>
    <col min="11261" max="11262" width="0" style="3560" hidden="1" customWidth="1"/>
    <col min="11263" max="11263" width="14.85546875" style="3560" customWidth="1"/>
    <col min="11264" max="11264" width="13.28515625" style="3560" customWidth="1"/>
    <col min="11265" max="11265" width="15.85546875" style="3560" customWidth="1"/>
    <col min="11266" max="11266" width="12.42578125" style="3560" customWidth="1"/>
    <col min="11267" max="11511" width="9.140625" style="3560"/>
    <col min="11512" max="11512" width="6.28515625" style="3560" customWidth="1"/>
    <col min="11513" max="11513" width="6.140625" style="3560" customWidth="1"/>
    <col min="11514" max="11514" width="36.140625" style="3560" bestFit="1" customWidth="1"/>
    <col min="11515" max="11515" width="16.5703125" style="3560" customWidth="1"/>
    <col min="11516" max="11516" width="16.28515625" style="3560" customWidth="1"/>
    <col min="11517" max="11518" width="0" style="3560" hidden="1" customWidth="1"/>
    <col min="11519" max="11519" width="14.85546875" style="3560" customWidth="1"/>
    <col min="11520" max="11520" width="13.28515625" style="3560" customWidth="1"/>
    <col min="11521" max="11521" width="15.85546875" style="3560" customWidth="1"/>
    <col min="11522" max="11522" width="12.42578125" style="3560" customWidth="1"/>
    <col min="11523" max="11767" width="9.140625" style="3560"/>
    <col min="11768" max="11768" width="6.28515625" style="3560" customWidth="1"/>
    <col min="11769" max="11769" width="6.140625" style="3560" customWidth="1"/>
    <col min="11770" max="11770" width="36.140625" style="3560" bestFit="1" customWidth="1"/>
    <col min="11771" max="11771" width="16.5703125" style="3560" customWidth="1"/>
    <col min="11772" max="11772" width="16.28515625" style="3560" customWidth="1"/>
    <col min="11773" max="11774" width="0" style="3560" hidden="1" customWidth="1"/>
    <col min="11775" max="11775" width="14.85546875" style="3560" customWidth="1"/>
    <col min="11776" max="11776" width="13.28515625" style="3560" customWidth="1"/>
    <col min="11777" max="11777" width="15.85546875" style="3560" customWidth="1"/>
    <col min="11778" max="11778" width="12.42578125" style="3560" customWidth="1"/>
    <col min="11779" max="12023" width="9.140625" style="3560"/>
    <col min="12024" max="12024" width="6.28515625" style="3560" customWidth="1"/>
    <col min="12025" max="12025" width="6.140625" style="3560" customWidth="1"/>
    <col min="12026" max="12026" width="36.140625" style="3560" bestFit="1" customWidth="1"/>
    <col min="12027" max="12027" width="16.5703125" style="3560" customWidth="1"/>
    <col min="12028" max="12028" width="16.28515625" style="3560" customWidth="1"/>
    <col min="12029" max="12030" width="0" style="3560" hidden="1" customWidth="1"/>
    <col min="12031" max="12031" width="14.85546875" style="3560" customWidth="1"/>
    <col min="12032" max="12032" width="13.28515625" style="3560" customWidth="1"/>
    <col min="12033" max="12033" width="15.85546875" style="3560" customWidth="1"/>
    <col min="12034" max="12034" width="12.42578125" style="3560" customWidth="1"/>
    <col min="12035" max="12279" width="9.140625" style="3560"/>
    <col min="12280" max="12280" width="6.28515625" style="3560" customWidth="1"/>
    <col min="12281" max="12281" width="6.140625" style="3560" customWidth="1"/>
    <col min="12282" max="12282" width="36.140625" style="3560" bestFit="1" customWidth="1"/>
    <col min="12283" max="12283" width="16.5703125" style="3560" customWidth="1"/>
    <col min="12284" max="12284" width="16.28515625" style="3560" customWidth="1"/>
    <col min="12285" max="12286" width="0" style="3560" hidden="1" customWidth="1"/>
    <col min="12287" max="12287" width="14.85546875" style="3560" customWidth="1"/>
    <col min="12288" max="12288" width="13.28515625" style="3560" customWidth="1"/>
    <col min="12289" max="12289" width="15.85546875" style="3560" customWidth="1"/>
    <col min="12290" max="12290" width="12.42578125" style="3560" customWidth="1"/>
    <col min="12291" max="12535" width="9.140625" style="3560"/>
    <col min="12536" max="12536" width="6.28515625" style="3560" customWidth="1"/>
    <col min="12537" max="12537" width="6.140625" style="3560" customWidth="1"/>
    <col min="12538" max="12538" width="36.140625" style="3560" bestFit="1" customWidth="1"/>
    <col min="12539" max="12539" width="16.5703125" style="3560" customWidth="1"/>
    <col min="12540" max="12540" width="16.28515625" style="3560" customWidth="1"/>
    <col min="12541" max="12542" width="0" style="3560" hidden="1" customWidth="1"/>
    <col min="12543" max="12543" width="14.85546875" style="3560" customWidth="1"/>
    <col min="12544" max="12544" width="13.28515625" style="3560" customWidth="1"/>
    <col min="12545" max="12545" width="15.85546875" style="3560" customWidth="1"/>
    <col min="12546" max="12546" width="12.42578125" style="3560" customWidth="1"/>
    <col min="12547" max="12791" width="9.140625" style="3560"/>
    <col min="12792" max="12792" width="6.28515625" style="3560" customWidth="1"/>
    <col min="12793" max="12793" width="6.140625" style="3560" customWidth="1"/>
    <col min="12794" max="12794" width="36.140625" style="3560" bestFit="1" customWidth="1"/>
    <col min="12795" max="12795" width="16.5703125" style="3560" customWidth="1"/>
    <col min="12796" max="12796" width="16.28515625" style="3560" customWidth="1"/>
    <col min="12797" max="12798" width="0" style="3560" hidden="1" customWidth="1"/>
    <col min="12799" max="12799" width="14.85546875" style="3560" customWidth="1"/>
    <col min="12800" max="12800" width="13.28515625" style="3560" customWidth="1"/>
    <col min="12801" max="12801" width="15.85546875" style="3560" customWidth="1"/>
    <col min="12802" max="12802" width="12.42578125" style="3560" customWidth="1"/>
    <col min="12803" max="13047" width="9.140625" style="3560"/>
    <col min="13048" max="13048" width="6.28515625" style="3560" customWidth="1"/>
    <col min="13049" max="13049" width="6.140625" style="3560" customWidth="1"/>
    <col min="13050" max="13050" width="36.140625" style="3560" bestFit="1" customWidth="1"/>
    <col min="13051" max="13051" width="16.5703125" style="3560" customWidth="1"/>
    <col min="13052" max="13052" width="16.28515625" style="3560" customWidth="1"/>
    <col min="13053" max="13054" width="0" style="3560" hidden="1" customWidth="1"/>
    <col min="13055" max="13055" width="14.85546875" style="3560" customWidth="1"/>
    <col min="13056" max="13056" width="13.28515625" style="3560" customWidth="1"/>
    <col min="13057" max="13057" width="15.85546875" style="3560" customWidth="1"/>
    <col min="13058" max="13058" width="12.42578125" style="3560" customWidth="1"/>
    <col min="13059" max="13303" width="9.140625" style="3560"/>
    <col min="13304" max="13304" width="6.28515625" style="3560" customWidth="1"/>
    <col min="13305" max="13305" width="6.140625" style="3560" customWidth="1"/>
    <col min="13306" max="13306" width="36.140625" style="3560" bestFit="1" customWidth="1"/>
    <col min="13307" max="13307" width="16.5703125" style="3560" customWidth="1"/>
    <col min="13308" max="13308" width="16.28515625" style="3560" customWidth="1"/>
    <col min="13309" max="13310" width="0" style="3560" hidden="1" customWidth="1"/>
    <col min="13311" max="13311" width="14.85546875" style="3560" customWidth="1"/>
    <col min="13312" max="13312" width="13.28515625" style="3560" customWidth="1"/>
    <col min="13313" max="13313" width="15.85546875" style="3560" customWidth="1"/>
    <col min="13314" max="13314" width="12.42578125" style="3560" customWidth="1"/>
    <col min="13315" max="13559" width="9.140625" style="3560"/>
    <col min="13560" max="13560" width="6.28515625" style="3560" customWidth="1"/>
    <col min="13561" max="13561" width="6.140625" style="3560" customWidth="1"/>
    <col min="13562" max="13562" width="36.140625" style="3560" bestFit="1" customWidth="1"/>
    <col min="13563" max="13563" width="16.5703125" style="3560" customWidth="1"/>
    <col min="13564" max="13564" width="16.28515625" style="3560" customWidth="1"/>
    <col min="13565" max="13566" width="0" style="3560" hidden="1" customWidth="1"/>
    <col min="13567" max="13567" width="14.85546875" style="3560" customWidth="1"/>
    <col min="13568" max="13568" width="13.28515625" style="3560" customWidth="1"/>
    <col min="13569" max="13569" width="15.85546875" style="3560" customWidth="1"/>
    <col min="13570" max="13570" width="12.42578125" style="3560" customWidth="1"/>
    <col min="13571" max="13815" width="9.140625" style="3560"/>
    <col min="13816" max="13816" width="6.28515625" style="3560" customWidth="1"/>
    <col min="13817" max="13817" width="6.140625" style="3560" customWidth="1"/>
    <col min="13818" max="13818" width="36.140625" style="3560" bestFit="1" customWidth="1"/>
    <col min="13819" max="13819" width="16.5703125" style="3560" customWidth="1"/>
    <col min="13820" max="13820" width="16.28515625" style="3560" customWidth="1"/>
    <col min="13821" max="13822" width="0" style="3560" hidden="1" customWidth="1"/>
    <col min="13823" max="13823" width="14.85546875" style="3560" customWidth="1"/>
    <col min="13824" max="13824" width="13.28515625" style="3560" customWidth="1"/>
    <col min="13825" max="13825" width="15.85546875" style="3560" customWidth="1"/>
    <col min="13826" max="13826" width="12.42578125" style="3560" customWidth="1"/>
    <col min="13827" max="14071" width="9.140625" style="3560"/>
    <col min="14072" max="14072" width="6.28515625" style="3560" customWidth="1"/>
    <col min="14073" max="14073" width="6.140625" style="3560" customWidth="1"/>
    <col min="14074" max="14074" width="36.140625" style="3560" bestFit="1" customWidth="1"/>
    <col min="14075" max="14075" width="16.5703125" style="3560" customWidth="1"/>
    <col min="14076" max="14076" width="16.28515625" style="3560" customWidth="1"/>
    <col min="14077" max="14078" width="0" style="3560" hidden="1" customWidth="1"/>
    <col min="14079" max="14079" width="14.85546875" style="3560" customWidth="1"/>
    <col min="14080" max="14080" width="13.28515625" style="3560" customWidth="1"/>
    <col min="14081" max="14081" width="15.85546875" style="3560" customWidth="1"/>
    <col min="14082" max="14082" width="12.42578125" style="3560" customWidth="1"/>
    <col min="14083" max="14327" width="9.140625" style="3560"/>
    <col min="14328" max="14328" width="6.28515625" style="3560" customWidth="1"/>
    <col min="14329" max="14329" width="6.140625" style="3560" customWidth="1"/>
    <col min="14330" max="14330" width="36.140625" style="3560" bestFit="1" customWidth="1"/>
    <col min="14331" max="14331" width="16.5703125" style="3560" customWidth="1"/>
    <col min="14332" max="14332" width="16.28515625" style="3560" customWidth="1"/>
    <col min="14333" max="14334" width="0" style="3560" hidden="1" customWidth="1"/>
    <col min="14335" max="14335" width="14.85546875" style="3560" customWidth="1"/>
    <col min="14336" max="14336" width="13.28515625" style="3560" customWidth="1"/>
    <col min="14337" max="14337" width="15.85546875" style="3560" customWidth="1"/>
    <col min="14338" max="14338" width="12.42578125" style="3560" customWidth="1"/>
    <col min="14339" max="14583" width="9.140625" style="3560"/>
    <col min="14584" max="14584" width="6.28515625" style="3560" customWidth="1"/>
    <col min="14585" max="14585" width="6.140625" style="3560" customWidth="1"/>
    <col min="14586" max="14586" width="36.140625" style="3560" bestFit="1" customWidth="1"/>
    <col min="14587" max="14587" width="16.5703125" style="3560" customWidth="1"/>
    <col min="14588" max="14588" width="16.28515625" style="3560" customWidth="1"/>
    <col min="14589" max="14590" width="0" style="3560" hidden="1" customWidth="1"/>
    <col min="14591" max="14591" width="14.85546875" style="3560" customWidth="1"/>
    <col min="14592" max="14592" width="13.28515625" style="3560" customWidth="1"/>
    <col min="14593" max="14593" width="15.85546875" style="3560" customWidth="1"/>
    <col min="14594" max="14594" width="12.42578125" style="3560" customWidth="1"/>
    <col min="14595" max="14839" width="9.140625" style="3560"/>
    <col min="14840" max="14840" width="6.28515625" style="3560" customWidth="1"/>
    <col min="14841" max="14841" width="6.140625" style="3560" customWidth="1"/>
    <col min="14842" max="14842" width="36.140625" style="3560" bestFit="1" customWidth="1"/>
    <col min="14843" max="14843" width="16.5703125" style="3560" customWidth="1"/>
    <col min="14844" max="14844" width="16.28515625" style="3560" customWidth="1"/>
    <col min="14845" max="14846" width="0" style="3560" hidden="1" customWidth="1"/>
    <col min="14847" max="14847" width="14.85546875" style="3560" customWidth="1"/>
    <col min="14848" max="14848" width="13.28515625" style="3560" customWidth="1"/>
    <col min="14849" max="14849" width="15.85546875" style="3560" customWidth="1"/>
    <col min="14850" max="14850" width="12.42578125" style="3560" customWidth="1"/>
    <col min="14851" max="15095" width="9.140625" style="3560"/>
    <col min="15096" max="15096" width="6.28515625" style="3560" customWidth="1"/>
    <col min="15097" max="15097" width="6.140625" style="3560" customWidth="1"/>
    <col min="15098" max="15098" width="36.140625" style="3560" bestFit="1" customWidth="1"/>
    <col min="15099" max="15099" width="16.5703125" style="3560" customWidth="1"/>
    <col min="15100" max="15100" width="16.28515625" style="3560" customWidth="1"/>
    <col min="15101" max="15102" width="0" style="3560" hidden="1" customWidth="1"/>
    <col min="15103" max="15103" width="14.85546875" style="3560" customWidth="1"/>
    <col min="15104" max="15104" width="13.28515625" style="3560" customWidth="1"/>
    <col min="15105" max="15105" width="15.85546875" style="3560" customWidth="1"/>
    <col min="15106" max="15106" width="12.42578125" style="3560" customWidth="1"/>
    <col min="15107" max="15351" width="9.140625" style="3560"/>
    <col min="15352" max="15352" width="6.28515625" style="3560" customWidth="1"/>
    <col min="15353" max="15353" width="6.140625" style="3560" customWidth="1"/>
    <col min="15354" max="15354" width="36.140625" style="3560" bestFit="1" customWidth="1"/>
    <col min="15355" max="15355" width="16.5703125" style="3560" customWidth="1"/>
    <col min="15356" max="15356" width="16.28515625" style="3560" customWidth="1"/>
    <col min="15357" max="15358" width="0" style="3560" hidden="1" customWidth="1"/>
    <col min="15359" max="15359" width="14.85546875" style="3560" customWidth="1"/>
    <col min="15360" max="15360" width="13.28515625" style="3560" customWidth="1"/>
    <col min="15361" max="15361" width="15.85546875" style="3560" customWidth="1"/>
    <col min="15362" max="15362" width="12.42578125" style="3560" customWidth="1"/>
    <col min="15363" max="15607" width="9.140625" style="3560"/>
    <col min="15608" max="15608" width="6.28515625" style="3560" customWidth="1"/>
    <col min="15609" max="15609" width="6.140625" style="3560" customWidth="1"/>
    <col min="15610" max="15610" width="36.140625" style="3560" bestFit="1" customWidth="1"/>
    <col min="15611" max="15611" width="16.5703125" style="3560" customWidth="1"/>
    <col min="15612" max="15612" width="16.28515625" style="3560" customWidth="1"/>
    <col min="15613" max="15614" width="0" style="3560" hidden="1" customWidth="1"/>
    <col min="15615" max="15615" width="14.85546875" style="3560" customWidth="1"/>
    <col min="15616" max="15616" width="13.28515625" style="3560" customWidth="1"/>
    <col min="15617" max="15617" width="15.85546875" style="3560" customWidth="1"/>
    <col min="15618" max="15618" width="12.42578125" style="3560" customWidth="1"/>
    <col min="15619" max="15863" width="9.140625" style="3560"/>
    <col min="15864" max="15864" width="6.28515625" style="3560" customWidth="1"/>
    <col min="15865" max="15865" width="6.140625" style="3560" customWidth="1"/>
    <col min="15866" max="15866" width="36.140625" style="3560" bestFit="1" customWidth="1"/>
    <col min="15867" max="15867" width="16.5703125" style="3560" customWidth="1"/>
    <col min="15868" max="15868" width="16.28515625" style="3560" customWidth="1"/>
    <col min="15869" max="15870" width="0" style="3560" hidden="1" customWidth="1"/>
    <col min="15871" max="15871" width="14.85546875" style="3560" customWidth="1"/>
    <col min="15872" max="15872" width="13.28515625" style="3560" customWidth="1"/>
    <col min="15873" max="15873" width="15.85546875" style="3560" customWidth="1"/>
    <col min="15874" max="15874" width="12.42578125" style="3560" customWidth="1"/>
    <col min="15875" max="16119" width="9.140625" style="3560"/>
    <col min="16120" max="16120" width="6.28515625" style="3560" customWidth="1"/>
    <col min="16121" max="16121" width="6.140625" style="3560" customWidth="1"/>
    <col min="16122" max="16122" width="36.140625" style="3560" bestFit="1" customWidth="1"/>
    <col min="16123" max="16123" width="16.5703125" style="3560" customWidth="1"/>
    <col min="16124" max="16124" width="16.28515625" style="3560" customWidth="1"/>
    <col min="16125" max="16126" width="0" style="3560" hidden="1" customWidth="1"/>
    <col min="16127" max="16127" width="14.85546875" style="3560" customWidth="1"/>
    <col min="16128" max="16128" width="13.28515625" style="3560" customWidth="1"/>
    <col min="16129" max="16129" width="15.85546875" style="3560" customWidth="1"/>
    <col min="16130" max="16130" width="12.42578125" style="3560" customWidth="1"/>
    <col min="16131" max="16384" width="9.140625" style="3560"/>
  </cols>
  <sheetData>
    <row r="2" spans="2:13">
      <c r="B2" s="5799" t="s">
        <v>170</v>
      </c>
      <c r="C2" s="5799"/>
      <c r="D2" s="5799"/>
      <c r="E2" s="5799"/>
      <c r="F2" s="5799"/>
      <c r="G2" s="5799"/>
      <c r="H2" s="5799"/>
      <c r="I2" s="5352"/>
      <c r="J2" s="5352"/>
      <c r="K2" s="5352"/>
      <c r="L2" s="5352"/>
    </row>
    <row r="3" spans="2:13" ht="15.75" customHeight="1">
      <c r="B3" s="5800" t="s">
        <v>3915</v>
      </c>
      <c r="C3" s="5800"/>
      <c r="D3" s="5800"/>
      <c r="E3" s="5800"/>
      <c r="F3" s="5800"/>
      <c r="G3" s="5800"/>
      <c r="H3" s="5800"/>
      <c r="I3" s="5353"/>
      <c r="J3" s="5353"/>
      <c r="K3" s="5353"/>
      <c r="L3" s="5353"/>
    </row>
    <row r="4" spans="2:13" s="3130" customFormat="1">
      <c r="B4" s="5801" t="s">
        <v>3505</v>
      </c>
      <c r="C4" s="5801"/>
      <c r="D4" s="5801"/>
      <c r="E4" s="5801"/>
      <c r="F4" s="5801"/>
      <c r="G4" s="5801"/>
      <c r="H4" s="5801"/>
      <c r="I4" s="5354"/>
      <c r="J4" s="5354"/>
      <c r="K4" s="5354"/>
      <c r="L4" s="5354"/>
    </row>
    <row r="5" spans="2:13">
      <c r="H5" s="3561" t="s">
        <v>581</v>
      </c>
    </row>
    <row r="6" spans="2:13" ht="30.75" customHeight="1">
      <c r="B6" s="5794" t="s">
        <v>101</v>
      </c>
      <c r="C6" s="5794" t="s">
        <v>81</v>
      </c>
      <c r="D6" s="3562" t="s">
        <v>1897</v>
      </c>
      <c r="E6" s="5792" t="s">
        <v>82</v>
      </c>
      <c r="F6" s="5792"/>
      <c r="G6" s="5792" t="s">
        <v>1845</v>
      </c>
      <c r="H6" s="5792"/>
      <c r="I6" s="5797" t="s">
        <v>2442</v>
      </c>
      <c r="J6" s="5798"/>
      <c r="K6" s="5792" t="s">
        <v>2443</v>
      </c>
      <c r="L6" s="5792"/>
    </row>
    <row r="7" spans="2:13" ht="53.25" customHeight="1">
      <c r="B7" s="5795"/>
      <c r="C7" s="5795"/>
      <c r="D7" s="4263" t="s">
        <v>1043</v>
      </c>
      <c r="E7" s="4657" t="s">
        <v>755</v>
      </c>
      <c r="F7" s="5205" t="s">
        <v>96</v>
      </c>
      <c r="G7" s="4657" t="s">
        <v>755</v>
      </c>
      <c r="H7" s="5205" t="s">
        <v>96</v>
      </c>
      <c r="I7" s="4657" t="s">
        <v>755</v>
      </c>
      <c r="J7" s="4657" t="s">
        <v>656</v>
      </c>
      <c r="K7" s="4657" t="s">
        <v>755</v>
      </c>
      <c r="L7" s="4657" t="s">
        <v>3399</v>
      </c>
    </row>
    <row r="8" spans="2:13" hidden="1">
      <c r="B8" s="3563"/>
      <c r="C8" s="3564"/>
      <c r="D8" s="3564"/>
      <c r="E8" s="3564"/>
      <c r="F8" s="86"/>
      <c r="G8" s="86"/>
      <c r="H8" s="86"/>
      <c r="K8" s="86"/>
      <c r="L8" s="86"/>
    </row>
    <row r="9" spans="2:13" hidden="1">
      <c r="B9" s="3563"/>
      <c r="C9" s="3565"/>
      <c r="D9" s="3565"/>
      <c r="E9" s="3565"/>
      <c r="F9" s="86"/>
      <c r="G9" s="86"/>
      <c r="H9" s="86"/>
      <c r="K9" s="86"/>
      <c r="L9" s="86"/>
    </row>
    <row r="10" spans="2:13">
      <c r="B10" s="3566">
        <v>1</v>
      </c>
      <c r="C10" s="3564" t="s">
        <v>625</v>
      </c>
      <c r="D10" s="4524">
        <v>6.48</v>
      </c>
      <c r="E10" s="4525">
        <v>11.14</v>
      </c>
      <c r="F10" s="4526">
        <v>11.49</v>
      </c>
      <c r="G10" s="4525">
        <v>11.14</v>
      </c>
      <c r="H10" s="4527">
        <f>'Other Expenses13-14'!F7</f>
        <v>14.3</v>
      </c>
      <c r="I10" s="4528">
        <f>G10</f>
        <v>11.14</v>
      </c>
      <c r="J10" s="4529">
        <v>17.86</v>
      </c>
      <c r="K10" s="4528">
        <f>G10</f>
        <v>11.14</v>
      </c>
      <c r="L10" s="4528">
        <v>16</v>
      </c>
    </row>
    <row r="11" spans="2:13">
      <c r="B11" s="3566">
        <v>2</v>
      </c>
      <c r="C11" s="3564" t="s">
        <v>626</v>
      </c>
      <c r="D11" s="4524">
        <v>47.35</v>
      </c>
      <c r="E11" s="4525">
        <v>69.75</v>
      </c>
      <c r="F11" s="4526">
        <v>66.430000000000007</v>
      </c>
      <c r="G11" s="4527">
        <v>69.75</v>
      </c>
      <c r="H11" s="4527">
        <f>'Other Expenses13-14'!F6</f>
        <v>74.97</v>
      </c>
      <c r="I11" s="4528">
        <f t="shared" ref="I11:I17" si="0">G11</f>
        <v>69.75</v>
      </c>
      <c r="J11" s="4529">
        <v>84.54</v>
      </c>
      <c r="K11" s="4528">
        <f t="shared" ref="K11:K17" si="1">G11</f>
        <v>69.75</v>
      </c>
      <c r="L11" s="4528">
        <v>77</v>
      </c>
    </row>
    <row r="12" spans="2:13">
      <c r="B12" s="3566">
        <v>3</v>
      </c>
      <c r="C12" s="3564" t="s">
        <v>627</v>
      </c>
      <c r="D12" s="4524">
        <v>0.28999999999999998</v>
      </c>
      <c r="E12" s="4525">
        <v>0.37</v>
      </c>
      <c r="F12" s="4526">
        <v>0.36</v>
      </c>
      <c r="G12" s="4527">
        <v>0.37</v>
      </c>
      <c r="H12" s="4527">
        <f>'Other Expenses13-14'!F8</f>
        <v>0.39</v>
      </c>
      <c r="I12" s="4528">
        <f t="shared" si="0"/>
        <v>0.37</v>
      </c>
      <c r="J12" s="4529">
        <v>0.5</v>
      </c>
      <c r="K12" s="4528">
        <f t="shared" si="1"/>
        <v>0.37</v>
      </c>
      <c r="L12" s="4528">
        <v>0.75</v>
      </c>
    </row>
    <row r="13" spans="2:13">
      <c r="B13" s="3566">
        <v>4</v>
      </c>
      <c r="C13" s="3564" t="s">
        <v>628</v>
      </c>
      <c r="D13" s="4524">
        <v>0.38</v>
      </c>
      <c r="E13" s="4530">
        <v>0</v>
      </c>
      <c r="F13" s="4530">
        <v>0.1</v>
      </c>
      <c r="G13" s="4528">
        <v>0</v>
      </c>
      <c r="H13" s="4527">
        <f>'Other Expenses13-14'!F11</f>
        <v>0.55000000000000004</v>
      </c>
      <c r="I13" s="4528">
        <f t="shared" si="0"/>
        <v>0</v>
      </c>
      <c r="J13" s="4529">
        <v>2.92</v>
      </c>
      <c r="K13" s="4528">
        <f t="shared" si="1"/>
        <v>0</v>
      </c>
      <c r="L13" s="4528">
        <v>0.8</v>
      </c>
    </row>
    <row r="14" spans="2:13">
      <c r="B14" s="3566">
        <v>5</v>
      </c>
      <c r="C14" s="5009" t="s">
        <v>3712</v>
      </c>
      <c r="D14" s="4524">
        <v>0</v>
      </c>
      <c r="E14" s="4530">
        <v>0</v>
      </c>
      <c r="F14" s="4530">
        <v>0</v>
      </c>
      <c r="G14" s="4528">
        <v>0</v>
      </c>
      <c r="H14" s="4528">
        <v>0</v>
      </c>
      <c r="I14" s="4528">
        <f t="shared" si="0"/>
        <v>0</v>
      </c>
      <c r="J14" s="4529">
        <v>9.58</v>
      </c>
      <c r="K14" s="4528">
        <f t="shared" si="1"/>
        <v>0</v>
      </c>
      <c r="L14" s="4528">
        <v>26.43</v>
      </c>
      <c r="M14" s="4330"/>
    </row>
    <row r="15" spans="2:13" ht="15" hidden="1" customHeight="1">
      <c r="B15" s="3566">
        <v>6</v>
      </c>
      <c r="C15" s="3564"/>
      <c r="D15" s="4531"/>
      <c r="E15" s="4530">
        <v>0</v>
      </c>
      <c r="F15" s="4530">
        <v>0</v>
      </c>
      <c r="G15" s="4528"/>
      <c r="H15" s="4527"/>
      <c r="I15" s="4528">
        <f t="shared" si="0"/>
        <v>0</v>
      </c>
      <c r="J15" s="4529"/>
      <c r="K15" s="4528">
        <f t="shared" si="1"/>
        <v>0</v>
      </c>
      <c r="L15" s="4528">
        <f>Assumptions!H108</f>
        <v>0</v>
      </c>
    </row>
    <row r="16" spans="2:13">
      <c r="B16" s="3566">
        <v>7</v>
      </c>
      <c r="C16" s="3564" t="s">
        <v>232</v>
      </c>
      <c r="D16" s="4524">
        <v>0</v>
      </c>
      <c r="E16" s="4530">
        <v>0</v>
      </c>
      <c r="F16" s="4530">
        <v>0</v>
      </c>
      <c r="G16" s="4528">
        <v>0</v>
      </c>
      <c r="H16" s="4528">
        <v>0</v>
      </c>
      <c r="I16" s="4528">
        <f t="shared" si="0"/>
        <v>0</v>
      </c>
      <c r="J16" s="4529">
        <v>0</v>
      </c>
      <c r="K16" s="4528">
        <f t="shared" si="1"/>
        <v>0</v>
      </c>
      <c r="L16" s="4528">
        <v>0</v>
      </c>
    </row>
    <row r="17" spans="2:12" hidden="1">
      <c r="B17" s="3566"/>
      <c r="C17" s="3568"/>
      <c r="D17" s="4532"/>
      <c r="E17" s="4532"/>
      <c r="F17" s="4530"/>
      <c r="G17" s="4527"/>
      <c r="H17" s="4527"/>
      <c r="I17" s="4528">
        <f t="shared" si="0"/>
        <v>0</v>
      </c>
      <c r="J17" s="4529">
        <f>Assumptions!G110</f>
        <v>0</v>
      </c>
      <c r="K17" s="4528">
        <f t="shared" si="1"/>
        <v>0</v>
      </c>
      <c r="L17" s="4528">
        <f>Assumptions!H110</f>
        <v>0</v>
      </c>
    </row>
    <row r="18" spans="2:12">
      <c r="B18" s="3569"/>
      <c r="C18" s="3568" t="s">
        <v>47</v>
      </c>
      <c r="D18" s="4533">
        <f>SUM(D10:D16)</f>
        <v>54.5</v>
      </c>
      <c r="E18" s="4533">
        <f>SUM(E10:E16)</f>
        <v>81.260000000000005</v>
      </c>
      <c r="F18" s="4534">
        <f>SUM(F10:F16)</f>
        <v>78.38</v>
      </c>
      <c r="G18" s="4534">
        <f>SUM(G10:G16)</f>
        <v>81.260000000000005</v>
      </c>
      <c r="H18" s="4534">
        <f>SUM(H10:H16)</f>
        <v>90.21</v>
      </c>
      <c r="I18" s="4535">
        <f>SUM(I10:I17)</f>
        <v>81.260000000000005</v>
      </c>
      <c r="J18" s="4536">
        <f>SUM(J10:J17)</f>
        <v>115.4</v>
      </c>
      <c r="K18" s="4535">
        <f>SUM(K10:K17)</f>
        <v>81.260000000000005</v>
      </c>
      <c r="L18" s="4535">
        <f>SUM(L10:L17)</f>
        <v>120.97999999999999</v>
      </c>
    </row>
    <row r="19" spans="2:12">
      <c r="L19" s="4330"/>
    </row>
    <row r="20" spans="2:12" s="3793" customFormat="1">
      <c r="L20" s="4331"/>
    </row>
    <row r="22" spans="2:12" hidden="1">
      <c r="B22" s="5789" t="s">
        <v>2486</v>
      </c>
      <c r="C22" s="5791"/>
    </row>
    <row r="23" spans="2:12" hidden="1"/>
    <row r="24" spans="2:12" hidden="1">
      <c r="F24" s="3570" t="s">
        <v>581</v>
      </c>
    </row>
    <row r="25" spans="2:12" hidden="1">
      <c r="B25" s="5792" t="s">
        <v>101</v>
      </c>
      <c r="C25" s="5792" t="s">
        <v>81</v>
      </c>
      <c r="D25" s="3562" t="s">
        <v>1845</v>
      </c>
      <c r="E25" s="5792" t="s">
        <v>2548</v>
      </c>
      <c r="F25" s="5792"/>
      <c r="G25" s="5792" t="s">
        <v>2549</v>
      </c>
      <c r="H25" s="5792"/>
    </row>
    <row r="26" spans="2:12" ht="15.75" hidden="1" customHeight="1">
      <c r="B26" s="5796"/>
      <c r="C26" s="5796"/>
      <c r="D26" s="5792" t="s">
        <v>1043</v>
      </c>
      <c r="E26" s="5430" t="s">
        <v>755</v>
      </c>
      <c r="F26" s="5792" t="s">
        <v>1043</v>
      </c>
      <c r="G26" s="5430" t="s">
        <v>755</v>
      </c>
      <c r="H26" s="5792" t="s">
        <v>1043</v>
      </c>
    </row>
    <row r="27" spans="2:12" hidden="1">
      <c r="B27" s="5796"/>
      <c r="C27" s="5796"/>
      <c r="D27" s="5792"/>
      <c r="E27" s="5430"/>
      <c r="F27" s="5792"/>
      <c r="G27" s="5430"/>
      <c r="H27" s="5792"/>
    </row>
    <row r="28" spans="2:12" hidden="1">
      <c r="B28" s="3566">
        <v>1</v>
      </c>
      <c r="C28" s="3564" t="s">
        <v>625</v>
      </c>
      <c r="D28" s="3563">
        <f>'Other Expenses13-14'!F7</f>
        <v>14.3</v>
      </c>
      <c r="E28" s="3563">
        <f>E10</f>
        <v>11.14</v>
      </c>
      <c r="F28" s="3563">
        <f t="shared" ref="F28:F33" si="2">D28</f>
        <v>14.3</v>
      </c>
      <c r="G28" s="3563">
        <f>G10</f>
        <v>11.14</v>
      </c>
      <c r="H28" s="3563">
        <f t="shared" ref="H28:H33" si="3">F28</f>
        <v>14.3</v>
      </c>
    </row>
    <row r="29" spans="2:12" hidden="1">
      <c r="B29" s="3566">
        <v>2</v>
      </c>
      <c r="C29" s="3564" t="s">
        <v>626</v>
      </c>
      <c r="D29" s="3563">
        <f>'Other Expenses13-14'!F6</f>
        <v>74.97</v>
      </c>
      <c r="E29" s="3563">
        <f>E11</f>
        <v>69.75</v>
      </c>
      <c r="F29" s="3563">
        <f t="shared" si="2"/>
        <v>74.97</v>
      </c>
      <c r="G29" s="3563">
        <f>G11</f>
        <v>69.75</v>
      </c>
      <c r="H29" s="3563">
        <f t="shared" si="3"/>
        <v>74.97</v>
      </c>
    </row>
    <row r="30" spans="2:12" hidden="1">
      <c r="B30" s="3566">
        <v>3</v>
      </c>
      <c r="C30" s="3564" t="s">
        <v>627</v>
      </c>
      <c r="D30" s="3563">
        <f>'Other Expenses13-14'!F8</f>
        <v>0.39</v>
      </c>
      <c r="E30" s="3563">
        <f>E12</f>
        <v>0.37</v>
      </c>
      <c r="F30" s="3563">
        <f t="shared" si="2"/>
        <v>0.39</v>
      </c>
      <c r="G30" s="3563">
        <f>G12</f>
        <v>0.37</v>
      </c>
      <c r="H30" s="3563">
        <f t="shared" si="3"/>
        <v>0.39</v>
      </c>
    </row>
    <row r="31" spans="2:12" hidden="1">
      <c r="B31" s="3566">
        <v>4</v>
      </c>
      <c r="C31" s="3564" t="s">
        <v>628</v>
      </c>
      <c r="D31" s="3563">
        <f>'Other Expenses13-14'!F11</f>
        <v>0.55000000000000004</v>
      </c>
      <c r="E31" s="3567">
        <f>E14</f>
        <v>0</v>
      </c>
      <c r="F31" s="3563">
        <f t="shared" si="2"/>
        <v>0.55000000000000004</v>
      </c>
      <c r="G31" s="3567">
        <f>G14</f>
        <v>0</v>
      </c>
      <c r="H31" s="3563">
        <f t="shared" si="3"/>
        <v>0.55000000000000004</v>
      </c>
    </row>
    <row r="32" spans="2:12" hidden="1">
      <c r="B32" s="3566">
        <v>5</v>
      </c>
      <c r="C32" s="3564" t="s">
        <v>629</v>
      </c>
      <c r="D32" s="3563">
        <v>0</v>
      </c>
      <c r="E32" s="3567">
        <f>E16</f>
        <v>0</v>
      </c>
      <c r="F32" s="3563">
        <f t="shared" si="2"/>
        <v>0</v>
      </c>
      <c r="G32" s="3567">
        <f>G16</f>
        <v>0</v>
      </c>
      <c r="H32" s="3563">
        <f t="shared" si="3"/>
        <v>0</v>
      </c>
    </row>
    <row r="33" spans="2:9" hidden="1">
      <c r="B33" s="3566">
        <v>6</v>
      </c>
      <c r="C33" s="3564" t="s">
        <v>232</v>
      </c>
      <c r="D33" s="3563">
        <v>0</v>
      </c>
      <c r="E33" s="3567">
        <f>E16</f>
        <v>0</v>
      </c>
      <c r="F33" s="3563">
        <f t="shared" si="2"/>
        <v>0</v>
      </c>
      <c r="G33" s="3567">
        <f>G16</f>
        <v>0</v>
      </c>
      <c r="H33" s="3563">
        <f t="shared" si="3"/>
        <v>0</v>
      </c>
    </row>
    <row r="34" spans="2:9" hidden="1">
      <c r="B34" s="3566">
        <v>7</v>
      </c>
      <c r="C34" s="3568" t="s">
        <v>47</v>
      </c>
      <c r="D34" s="3571">
        <f>SUM(D28:D33)</f>
        <v>90.21</v>
      </c>
      <c r="E34" s="3571">
        <f>SUM(E28:E33)</f>
        <v>81.260000000000005</v>
      </c>
      <c r="F34" s="3571">
        <f>SUM(F28:F33)</f>
        <v>90.21</v>
      </c>
      <c r="G34" s="3571">
        <f>SUM(G28:G33)</f>
        <v>81.260000000000005</v>
      </c>
      <c r="H34" s="3571">
        <f>SUM(H28:H33)</f>
        <v>90.21</v>
      </c>
    </row>
    <row r="35" spans="2:9" hidden="1"/>
    <row r="36" spans="2:9" hidden="1">
      <c r="B36" s="5793" t="s">
        <v>2550</v>
      </c>
      <c r="C36" s="5793"/>
      <c r="D36" s="5793"/>
      <c r="E36" s="5793"/>
      <c r="F36" s="5793"/>
      <c r="G36" s="5793"/>
      <c r="H36" s="5793"/>
      <c r="I36" s="3572"/>
    </row>
    <row r="37" spans="2:9" hidden="1"/>
    <row r="38" spans="2:9" hidden="1">
      <c r="B38" s="5793" t="s">
        <v>2551</v>
      </c>
      <c r="C38" s="5793"/>
      <c r="D38" s="5793"/>
      <c r="E38" s="5793"/>
    </row>
    <row r="39" spans="2:9" hidden="1"/>
    <row r="40" spans="2:9" hidden="1">
      <c r="B40" s="5789" t="s">
        <v>2552</v>
      </c>
      <c r="C40" s="5790"/>
      <c r="D40" s="5790"/>
      <c r="E40" s="5790"/>
      <c r="F40" s="5791"/>
    </row>
  </sheetData>
  <mergeCells count="22">
    <mergeCell ref="I6:J6"/>
    <mergeCell ref="K6:L6"/>
    <mergeCell ref="G6:H6"/>
    <mergeCell ref="C6:C7"/>
    <mergeCell ref="B2:H2"/>
    <mergeCell ref="B3:H3"/>
    <mergeCell ref="B4:H4"/>
    <mergeCell ref="B40:F40"/>
    <mergeCell ref="E6:F6"/>
    <mergeCell ref="B36:H36"/>
    <mergeCell ref="B38:E38"/>
    <mergeCell ref="B22:C22"/>
    <mergeCell ref="B6:B7"/>
    <mergeCell ref="B25:B27"/>
    <mergeCell ref="C25:C27"/>
    <mergeCell ref="E25:F25"/>
    <mergeCell ref="G25:H25"/>
    <mergeCell ref="D26:D27"/>
    <mergeCell ref="E26:E27"/>
    <mergeCell ref="F26:F27"/>
    <mergeCell ref="G26:G27"/>
    <mergeCell ref="H26:H27"/>
  </mergeCells>
  <printOptions horizontalCentered="1"/>
  <pageMargins left="1.1399999999999999" right="0.15748031496063" top="0.89" bottom="0.46" header="0.511811023622047" footer="0.511811023622047"/>
  <pageSetup paperSize="9" orientation="landscape" horizontalDpi="300" verticalDpi="300" r:id="rId1"/>
  <headerFooter alignWithMargins="0"/>
  <legacyDrawing r:id="rId2"/>
</worksheet>
</file>

<file path=xl/worksheets/sheet48.xml><?xml version="1.0" encoding="utf-8"?>
<worksheet xmlns="http://schemas.openxmlformats.org/spreadsheetml/2006/main" xmlns:r="http://schemas.openxmlformats.org/officeDocument/2006/relationships">
  <sheetPr codeName="Sheet31">
    <pageSetUpPr fitToPage="1"/>
  </sheetPr>
  <dimension ref="A2:M16"/>
  <sheetViews>
    <sheetView showGridLines="0" view="pageBreakPreview" zoomScale="70" zoomScaleNormal="75" zoomScaleSheetLayoutView="70" workbookViewId="0">
      <selection activeCell="J1" sqref="J1:M1048576"/>
    </sheetView>
  </sheetViews>
  <sheetFormatPr defaultRowHeight="15.75"/>
  <cols>
    <col min="1" max="1" width="7" style="440" customWidth="1"/>
    <col min="2" max="2" width="36" style="440" customWidth="1"/>
    <col min="3" max="3" width="10.85546875" style="440" hidden="1" customWidth="1"/>
    <col min="4" max="5" width="14.28515625" style="440" hidden="1" customWidth="1"/>
    <col min="6" max="6" width="18.7109375" style="440" customWidth="1"/>
    <col min="7" max="7" width="11.42578125" style="440" customWidth="1"/>
    <col min="8" max="8" width="17.7109375" style="440" customWidth="1"/>
    <col min="9" max="9" width="20.5703125" style="440" customWidth="1"/>
    <col min="10" max="10" width="22.5703125" style="440" hidden="1" customWidth="1"/>
    <col min="11" max="11" width="14.7109375" style="440" hidden="1" customWidth="1"/>
    <col min="12" max="12" width="18.7109375" style="440" hidden="1" customWidth="1"/>
    <col min="13" max="13" width="19.7109375" style="440" hidden="1" customWidth="1"/>
    <col min="14" max="253" width="9.140625" style="440"/>
    <col min="254" max="254" width="7" style="440" customWidth="1"/>
    <col min="255" max="255" width="42.140625" style="440" customWidth="1"/>
    <col min="256" max="256" width="10" style="440" customWidth="1"/>
    <col min="257" max="257" width="20.85546875" style="440" customWidth="1"/>
    <col min="258" max="259" width="0" style="440" hidden="1" customWidth="1"/>
    <col min="260" max="260" width="18.7109375" style="440" customWidth="1"/>
    <col min="261" max="261" width="9" style="440" customWidth="1"/>
    <col min="262" max="262" width="14.5703125" style="440" customWidth="1"/>
    <col min="263" max="263" width="25.28515625" style="440" customWidth="1"/>
    <col min="264" max="509" width="9.140625" style="440"/>
    <col min="510" max="510" width="7" style="440" customWidth="1"/>
    <col min="511" max="511" width="42.140625" style="440" customWidth="1"/>
    <col min="512" max="512" width="10" style="440" customWidth="1"/>
    <col min="513" max="513" width="20.85546875" style="440" customWidth="1"/>
    <col min="514" max="515" width="0" style="440" hidden="1" customWidth="1"/>
    <col min="516" max="516" width="18.7109375" style="440" customWidth="1"/>
    <col min="517" max="517" width="9" style="440" customWidth="1"/>
    <col min="518" max="518" width="14.5703125" style="440" customWidth="1"/>
    <col min="519" max="519" width="25.28515625" style="440" customWidth="1"/>
    <col min="520" max="765" width="9.140625" style="440"/>
    <col min="766" max="766" width="7" style="440" customWidth="1"/>
    <col min="767" max="767" width="42.140625" style="440" customWidth="1"/>
    <col min="768" max="768" width="10" style="440" customWidth="1"/>
    <col min="769" max="769" width="20.85546875" style="440" customWidth="1"/>
    <col min="770" max="771" width="0" style="440" hidden="1" customWidth="1"/>
    <col min="772" max="772" width="18.7109375" style="440" customWidth="1"/>
    <col min="773" max="773" width="9" style="440" customWidth="1"/>
    <col min="774" max="774" width="14.5703125" style="440" customWidth="1"/>
    <col min="775" max="775" width="25.28515625" style="440" customWidth="1"/>
    <col min="776" max="1021" width="9.140625" style="440"/>
    <col min="1022" max="1022" width="7" style="440" customWidth="1"/>
    <col min="1023" max="1023" width="42.140625" style="440" customWidth="1"/>
    <col min="1024" max="1024" width="10" style="440" customWidth="1"/>
    <col min="1025" max="1025" width="20.85546875" style="440" customWidth="1"/>
    <col min="1026" max="1027" width="0" style="440" hidden="1" customWidth="1"/>
    <col min="1028" max="1028" width="18.7109375" style="440" customWidth="1"/>
    <col min="1029" max="1029" width="9" style="440" customWidth="1"/>
    <col min="1030" max="1030" width="14.5703125" style="440" customWidth="1"/>
    <col min="1031" max="1031" width="25.28515625" style="440" customWidth="1"/>
    <col min="1032" max="1277" width="9.140625" style="440"/>
    <col min="1278" max="1278" width="7" style="440" customWidth="1"/>
    <col min="1279" max="1279" width="42.140625" style="440" customWidth="1"/>
    <col min="1280" max="1280" width="10" style="440" customWidth="1"/>
    <col min="1281" max="1281" width="20.85546875" style="440" customWidth="1"/>
    <col min="1282" max="1283" width="0" style="440" hidden="1" customWidth="1"/>
    <col min="1284" max="1284" width="18.7109375" style="440" customWidth="1"/>
    <col min="1285" max="1285" width="9" style="440" customWidth="1"/>
    <col min="1286" max="1286" width="14.5703125" style="440" customWidth="1"/>
    <col min="1287" max="1287" width="25.28515625" style="440" customWidth="1"/>
    <col min="1288" max="1533" width="9.140625" style="440"/>
    <col min="1534" max="1534" width="7" style="440" customWidth="1"/>
    <col min="1535" max="1535" width="42.140625" style="440" customWidth="1"/>
    <col min="1536" max="1536" width="10" style="440" customWidth="1"/>
    <col min="1537" max="1537" width="20.85546875" style="440" customWidth="1"/>
    <col min="1538" max="1539" width="0" style="440" hidden="1" customWidth="1"/>
    <col min="1540" max="1540" width="18.7109375" style="440" customWidth="1"/>
    <col min="1541" max="1541" width="9" style="440" customWidth="1"/>
    <col min="1542" max="1542" width="14.5703125" style="440" customWidth="1"/>
    <col min="1543" max="1543" width="25.28515625" style="440" customWidth="1"/>
    <col min="1544" max="1789" width="9.140625" style="440"/>
    <col min="1790" max="1790" width="7" style="440" customWidth="1"/>
    <col min="1791" max="1791" width="42.140625" style="440" customWidth="1"/>
    <col min="1792" max="1792" width="10" style="440" customWidth="1"/>
    <col min="1793" max="1793" width="20.85546875" style="440" customWidth="1"/>
    <col min="1794" max="1795" width="0" style="440" hidden="1" customWidth="1"/>
    <col min="1796" max="1796" width="18.7109375" style="440" customWidth="1"/>
    <col min="1797" max="1797" width="9" style="440" customWidth="1"/>
    <col min="1798" max="1798" width="14.5703125" style="440" customWidth="1"/>
    <col min="1799" max="1799" width="25.28515625" style="440" customWidth="1"/>
    <col min="1800" max="2045" width="9.140625" style="440"/>
    <col min="2046" max="2046" width="7" style="440" customWidth="1"/>
    <col min="2047" max="2047" width="42.140625" style="440" customWidth="1"/>
    <col min="2048" max="2048" width="10" style="440" customWidth="1"/>
    <col min="2049" max="2049" width="20.85546875" style="440" customWidth="1"/>
    <col min="2050" max="2051" width="0" style="440" hidden="1" customWidth="1"/>
    <col min="2052" max="2052" width="18.7109375" style="440" customWidth="1"/>
    <col min="2053" max="2053" width="9" style="440" customWidth="1"/>
    <col min="2054" max="2054" width="14.5703125" style="440" customWidth="1"/>
    <col min="2055" max="2055" width="25.28515625" style="440" customWidth="1"/>
    <col min="2056" max="2301" width="9.140625" style="440"/>
    <col min="2302" max="2302" width="7" style="440" customWidth="1"/>
    <col min="2303" max="2303" width="42.140625" style="440" customWidth="1"/>
    <col min="2304" max="2304" width="10" style="440" customWidth="1"/>
    <col min="2305" max="2305" width="20.85546875" style="440" customWidth="1"/>
    <col min="2306" max="2307" width="0" style="440" hidden="1" customWidth="1"/>
    <col min="2308" max="2308" width="18.7109375" style="440" customWidth="1"/>
    <col min="2309" max="2309" width="9" style="440" customWidth="1"/>
    <col min="2310" max="2310" width="14.5703125" style="440" customWidth="1"/>
    <col min="2311" max="2311" width="25.28515625" style="440" customWidth="1"/>
    <col min="2312" max="2557" width="9.140625" style="440"/>
    <col min="2558" max="2558" width="7" style="440" customWidth="1"/>
    <col min="2559" max="2559" width="42.140625" style="440" customWidth="1"/>
    <col min="2560" max="2560" width="10" style="440" customWidth="1"/>
    <col min="2561" max="2561" width="20.85546875" style="440" customWidth="1"/>
    <col min="2562" max="2563" width="0" style="440" hidden="1" customWidth="1"/>
    <col min="2564" max="2564" width="18.7109375" style="440" customWidth="1"/>
    <col min="2565" max="2565" width="9" style="440" customWidth="1"/>
    <col min="2566" max="2566" width="14.5703125" style="440" customWidth="1"/>
    <col min="2567" max="2567" width="25.28515625" style="440" customWidth="1"/>
    <col min="2568" max="2813" width="9.140625" style="440"/>
    <col min="2814" max="2814" width="7" style="440" customWidth="1"/>
    <col min="2815" max="2815" width="42.140625" style="440" customWidth="1"/>
    <col min="2816" max="2816" width="10" style="440" customWidth="1"/>
    <col min="2817" max="2817" width="20.85546875" style="440" customWidth="1"/>
    <col min="2818" max="2819" width="0" style="440" hidden="1" customWidth="1"/>
    <col min="2820" max="2820" width="18.7109375" style="440" customWidth="1"/>
    <col min="2821" max="2821" width="9" style="440" customWidth="1"/>
    <col min="2822" max="2822" width="14.5703125" style="440" customWidth="1"/>
    <col min="2823" max="2823" width="25.28515625" style="440" customWidth="1"/>
    <col min="2824" max="3069" width="9.140625" style="440"/>
    <col min="3070" max="3070" width="7" style="440" customWidth="1"/>
    <col min="3071" max="3071" width="42.140625" style="440" customWidth="1"/>
    <col min="3072" max="3072" width="10" style="440" customWidth="1"/>
    <col min="3073" max="3073" width="20.85546875" style="440" customWidth="1"/>
    <col min="3074" max="3075" width="0" style="440" hidden="1" customWidth="1"/>
    <col min="3076" max="3076" width="18.7109375" style="440" customWidth="1"/>
    <col min="3077" max="3077" width="9" style="440" customWidth="1"/>
    <col min="3078" max="3078" width="14.5703125" style="440" customWidth="1"/>
    <col min="3079" max="3079" width="25.28515625" style="440" customWidth="1"/>
    <col min="3080" max="3325" width="9.140625" style="440"/>
    <col min="3326" max="3326" width="7" style="440" customWidth="1"/>
    <col min="3327" max="3327" width="42.140625" style="440" customWidth="1"/>
    <col min="3328" max="3328" width="10" style="440" customWidth="1"/>
    <col min="3329" max="3329" width="20.85546875" style="440" customWidth="1"/>
    <col min="3330" max="3331" width="0" style="440" hidden="1" customWidth="1"/>
    <col min="3332" max="3332" width="18.7109375" style="440" customWidth="1"/>
    <col min="3333" max="3333" width="9" style="440" customWidth="1"/>
    <col min="3334" max="3334" width="14.5703125" style="440" customWidth="1"/>
    <col min="3335" max="3335" width="25.28515625" style="440" customWidth="1"/>
    <col min="3336" max="3581" width="9.140625" style="440"/>
    <col min="3582" max="3582" width="7" style="440" customWidth="1"/>
    <col min="3583" max="3583" width="42.140625" style="440" customWidth="1"/>
    <col min="3584" max="3584" width="10" style="440" customWidth="1"/>
    <col min="3585" max="3585" width="20.85546875" style="440" customWidth="1"/>
    <col min="3586" max="3587" width="0" style="440" hidden="1" customWidth="1"/>
    <col min="3588" max="3588" width="18.7109375" style="440" customWidth="1"/>
    <col min="3589" max="3589" width="9" style="440" customWidth="1"/>
    <col min="3590" max="3590" width="14.5703125" style="440" customWidth="1"/>
    <col min="3591" max="3591" width="25.28515625" style="440" customWidth="1"/>
    <col min="3592" max="3837" width="9.140625" style="440"/>
    <col min="3838" max="3838" width="7" style="440" customWidth="1"/>
    <col min="3839" max="3839" width="42.140625" style="440" customWidth="1"/>
    <col min="3840" max="3840" width="10" style="440" customWidth="1"/>
    <col min="3841" max="3841" width="20.85546875" style="440" customWidth="1"/>
    <col min="3842" max="3843" width="0" style="440" hidden="1" customWidth="1"/>
    <col min="3844" max="3844" width="18.7109375" style="440" customWidth="1"/>
    <col min="3845" max="3845" width="9" style="440" customWidth="1"/>
    <col min="3846" max="3846" width="14.5703125" style="440" customWidth="1"/>
    <col min="3847" max="3847" width="25.28515625" style="440" customWidth="1"/>
    <col min="3848" max="4093" width="9.140625" style="440"/>
    <col min="4094" max="4094" width="7" style="440" customWidth="1"/>
    <col min="4095" max="4095" width="42.140625" style="440" customWidth="1"/>
    <col min="4096" max="4096" width="10" style="440" customWidth="1"/>
    <col min="4097" max="4097" width="20.85546875" style="440" customWidth="1"/>
    <col min="4098" max="4099" width="0" style="440" hidden="1" customWidth="1"/>
    <col min="4100" max="4100" width="18.7109375" style="440" customWidth="1"/>
    <col min="4101" max="4101" width="9" style="440" customWidth="1"/>
    <col min="4102" max="4102" width="14.5703125" style="440" customWidth="1"/>
    <col min="4103" max="4103" width="25.28515625" style="440" customWidth="1"/>
    <col min="4104" max="4349" width="9.140625" style="440"/>
    <col min="4350" max="4350" width="7" style="440" customWidth="1"/>
    <col min="4351" max="4351" width="42.140625" style="440" customWidth="1"/>
    <col min="4352" max="4352" width="10" style="440" customWidth="1"/>
    <col min="4353" max="4353" width="20.85546875" style="440" customWidth="1"/>
    <col min="4354" max="4355" width="0" style="440" hidden="1" customWidth="1"/>
    <col min="4356" max="4356" width="18.7109375" style="440" customWidth="1"/>
    <col min="4357" max="4357" width="9" style="440" customWidth="1"/>
    <col min="4358" max="4358" width="14.5703125" style="440" customWidth="1"/>
    <col min="4359" max="4359" width="25.28515625" style="440" customWidth="1"/>
    <col min="4360" max="4605" width="9.140625" style="440"/>
    <col min="4606" max="4606" width="7" style="440" customWidth="1"/>
    <col min="4607" max="4607" width="42.140625" style="440" customWidth="1"/>
    <col min="4608" max="4608" width="10" style="440" customWidth="1"/>
    <col min="4609" max="4609" width="20.85546875" style="440" customWidth="1"/>
    <col min="4610" max="4611" width="0" style="440" hidden="1" customWidth="1"/>
    <col min="4612" max="4612" width="18.7109375" style="440" customWidth="1"/>
    <col min="4613" max="4613" width="9" style="440" customWidth="1"/>
    <col min="4614" max="4614" width="14.5703125" style="440" customWidth="1"/>
    <col min="4615" max="4615" width="25.28515625" style="440" customWidth="1"/>
    <col min="4616" max="4861" width="9.140625" style="440"/>
    <col min="4862" max="4862" width="7" style="440" customWidth="1"/>
    <col min="4863" max="4863" width="42.140625" style="440" customWidth="1"/>
    <col min="4864" max="4864" width="10" style="440" customWidth="1"/>
    <col min="4865" max="4865" width="20.85546875" style="440" customWidth="1"/>
    <col min="4866" max="4867" width="0" style="440" hidden="1" customWidth="1"/>
    <col min="4868" max="4868" width="18.7109375" style="440" customWidth="1"/>
    <col min="4869" max="4869" width="9" style="440" customWidth="1"/>
    <col min="4870" max="4870" width="14.5703125" style="440" customWidth="1"/>
    <col min="4871" max="4871" width="25.28515625" style="440" customWidth="1"/>
    <col min="4872" max="5117" width="9.140625" style="440"/>
    <col min="5118" max="5118" width="7" style="440" customWidth="1"/>
    <col min="5119" max="5119" width="42.140625" style="440" customWidth="1"/>
    <col min="5120" max="5120" width="10" style="440" customWidth="1"/>
    <col min="5121" max="5121" width="20.85546875" style="440" customWidth="1"/>
    <col min="5122" max="5123" width="0" style="440" hidden="1" customWidth="1"/>
    <col min="5124" max="5124" width="18.7109375" style="440" customWidth="1"/>
    <col min="5125" max="5125" width="9" style="440" customWidth="1"/>
    <col min="5126" max="5126" width="14.5703125" style="440" customWidth="1"/>
    <col min="5127" max="5127" width="25.28515625" style="440" customWidth="1"/>
    <col min="5128" max="5373" width="9.140625" style="440"/>
    <col min="5374" max="5374" width="7" style="440" customWidth="1"/>
    <col min="5375" max="5375" width="42.140625" style="440" customWidth="1"/>
    <col min="5376" max="5376" width="10" style="440" customWidth="1"/>
    <col min="5377" max="5377" width="20.85546875" style="440" customWidth="1"/>
    <col min="5378" max="5379" width="0" style="440" hidden="1" customWidth="1"/>
    <col min="5380" max="5380" width="18.7109375" style="440" customWidth="1"/>
    <col min="5381" max="5381" width="9" style="440" customWidth="1"/>
    <col min="5382" max="5382" width="14.5703125" style="440" customWidth="1"/>
    <col min="5383" max="5383" width="25.28515625" style="440" customWidth="1"/>
    <col min="5384" max="5629" width="9.140625" style="440"/>
    <col min="5630" max="5630" width="7" style="440" customWidth="1"/>
    <col min="5631" max="5631" width="42.140625" style="440" customWidth="1"/>
    <col min="5632" max="5632" width="10" style="440" customWidth="1"/>
    <col min="5633" max="5633" width="20.85546875" style="440" customWidth="1"/>
    <col min="5634" max="5635" width="0" style="440" hidden="1" customWidth="1"/>
    <col min="5636" max="5636" width="18.7109375" style="440" customWidth="1"/>
    <col min="5637" max="5637" width="9" style="440" customWidth="1"/>
    <col min="5638" max="5638" width="14.5703125" style="440" customWidth="1"/>
    <col min="5639" max="5639" width="25.28515625" style="440" customWidth="1"/>
    <col min="5640" max="5885" width="9.140625" style="440"/>
    <col min="5886" max="5886" width="7" style="440" customWidth="1"/>
    <col min="5887" max="5887" width="42.140625" style="440" customWidth="1"/>
    <col min="5888" max="5888" width="10" style="440" customWidth="1"/>
    <col min="5889" max="5889" width="20.85546875" style="440" customWidth="1"/>
    <col min="5890" max="5891" width="0" style="440" hidden="1" customWidth="1"/>
    <col min="5892" max="5892" width="18.7109375" style="440" customWidth="1"/>
    <col min="5893" max="5893" width="9" style="440" customWidth="1"/>
    <col min="5894" max="5894" width="14.5703125" style="440" customWidth="1"/>
    <col min="5895" max="5895" width="25.28515625" style="440" customWidth="1"/>
    <col min="5896" max="6141" width="9.140625" style="440"/>
    <col min="6142" max="6142" width="7" style="440" customWidth="1"/>
    <col min="6143" max="6143" width="42.140625" style="440" customWidth="1"/>
    <col min="6144" max="6144" width="10" style="440" customWidth="1"/>
    <col min="6145" max="6145" width="20.85546875" style="440" customWidth="1"/>
    <col min="6146" max="6147" width="0" style="440" hidden="1" customWidth="1"/>
    <col min="6148" max="6148" width="18.7109375" style="440" customWidth="1"/>
    <col min="6149" max="6149" width="9" style="440" customWidth="1"/>
    <col min="6150" max="6150" width="14.5703125" style="440" customWidth="1"/>
    <col min="6151" max="6151" width="25.28515625" style="440" customWidth="1"/>
    <col min="6152" max="6397" width="9.140625" style="440"/>
    <col min="6398" max="6398" width="7" style="440" customWidth="1"/>
    <col min="6399" max="6399" width="42.140625" style="440" customWidth="1"/>
    <col min="6400" max="6400" width="10" style="440" customWidth="1"/>
    <col min="6401" max="6401" width="20.85546875" style="440" customWidth="1"/>
    <col min="6402" max="6403" width="0" style="440" hidden="1" customWidth="1"/>
    <col min="6404" max="6404" width="18.7109375" style="440" customWidth="1"/>
    <col min="6405" max="6405" width="9" style="440" customWidth="1"/>
    <col min="6406" max="6406" width="14.5703125" style="440" customWidth="1"/>
    <col min="6407" max="6407" width="25.28515625" style="440" customWidth="1"/>
    <col min="6408" max="6653" width="9.140625" style="440"/>
    <col min="6654" max="6654" width="7" style="440" customWidth="1"/>
    <col min="6655" max="6655" width="42.140625" style="440" customWidth="1"/>
    <col min="6656" max="6656" width="10" style="440" customWidth="1"/>
    <col min="6657" max="6657" width="20.85546875" style="440" customWidth="1"/>
    <col min="6658" max="6659" width="0" style="440" hidden="1" customWidth="1"/>
    <col min="6660" max="6660" width="18.7109375" style="440" customWidth="1"/>
    <col min="6661" max="6661" width="9" style="440" customWidth="1"/>
    <col min="6662" max="6662" width="14.5703125" style="440" customWidth="1"/>
    <col min="6663" max="6663" width="25.28515625" style="440" customWidth="1"/>
    <col min="6664" max="6909" width="9.140625" style="440"/>
    <col min="6910" max="6910" width="7" style="440" customWidth="1"/>
    <col min="6911" max="6911" width="42.140625" style="440" customWidth="1"/>
    <col min="6912" max="6912" width="10" style="440" customWidth="1"/>
    <col min="6913" max="6913" width="20.85546875" style="440" customWidth="1"/>
    <col min="6914" max="6915" width="0" style="440" hidden="1" customWidth="1"/>
    <col min="6916" max="6916" width="18.7109375" style="440" customWidth="1"/>
    <col min="6917" max="6917" width="9" style="440" customWidth="1"/>
    <col min="6918" max="6918" width="14.5703125" style="440" customWidth="1"/>
    <col min="6919" max="6919" width="25.28515625" style="440" customWidth="1"/>
    <col min="6920" max="7165" width="9.140625" style="440"/>
    <col min="7166" max="7166" width="7" style="440" customWidth="1"/>
    <col min="7167" max="7167" width="42.140625" style="440" customWidth="1"/>
    <col min="7168" max="7168" width="10" style="440" customWidth="1"/>
    <col min="7169" max="7169" width="20.85546875" style="440" customWidth="1"/>
    <col min="7170" max="7171" width="0" style="440" hidden="1" customWidth="1"/>
    <col min="7172" max="7172" width="18.7109375" style="440" customWidth="1"/>
    <col min="7173" max="7173" width="9" style="440" customWidth="1"/>
    <col min="7174" max="7174" width="14.5703125" style="440" customWidth="1"/>
    <col min="7175" max="7175" width="25.28515625" style="440" customWidth="1"/>
    <col min="7176" max="7421" width="9.140625" style="440"/>
    <col min="7422" max="7422" width="7" style="440" customWidth="1"/>
    <col min="7423" max="7423" width="42.140625" style="440" customWidth="1"/>
    <col min="7424" max="7424" width="10" style="440" customWidth="1"/>
    <col min="7425" max="7425" width="20.85546875" style="440" customWidth="1"/>
    <col min="7426" max="7427" width="0" style="440" hidden="1" customWidth="1"/>
    <col min="7428" max="7428" width="18.7109375" style="440" customWidth="1"/>
    <col min="7429" max="7429" width="9" style="440" customWidth="1"/>
    <col min="7430" max="7430" width="14.5703125" style="440" customWidth="1"/>
    <col min="7431" max="7431" width="25.28515625" style="440" customWidth="1"/>
    <col min="7432" max="7677" width="9.140625" style="440"/>
    <col min="7678" max="7678" width="7" style="440" customWidth="1"/>
    <col min="7679" max="7679" width="42.140625" style="440" customWidth="1"/>
    <col min="7680" max="7680" width="10" style="440" customWidth="1"/>
    <col min="7681" max="7681" width="20.85546875" style="440" customWidth="1"/>
    <col min="7682" max="7683" width="0" style="440" hidden="1" customWidth="1"/>
    <col min="7684" max="7684" width="18.7109375" style="440" customWidth="1"/>
    <col min="7685" max="7685" width="9" style="440" customWidth="1"/>
    <col min="7686" max="7686" width="14.5703125" style="440" customWidth="1"/>
    <col min="7687" max="7687" width="25.28515625" style="440" customWidth="1"/>
    <col min="7688" max="7933" width="9.140625" style="440"/>
    <col min="7934" max="7934" width="7" style="440" customWidth="1"/>
    <col min="7935" max="7935" width="42.140625" style="440" customWidth="1"/>
    <col min="7936" max="7936" width="10" style="440" customWidth="1"/>
    <col min="7937" max="7937" width="20.85546875" style="440" customWidth="1"/>
    <col min="7938" max="7939" width="0" style="440" hidden="1" customWidth="1"/>
    <col min="7940" max="7940" width="18.7109375" style="440" customWidth="1"/>
    <col min="7941" max="7941" width="9" style="440" customWidth="1"/>
    <col min="7942" max="7942" width="14.5703125" style="440" customWidth="1"/>
    <col min="7943" max="7943" width="25.28515625" style="440" customWidth="1"/>
    <col min="7944" max="8189" width="9.140625" style="440"/>
    <col min="8190" max="8190" width="7" style="440" customWidth="1"/>
    <col min="8191" max="8191" width="42.140625" style="440" customWidth="1"/>
    <col min="8192" max="8192" width="10" style="440" customWidth="1"/>
    <col min="8193" max="8193" width="20.85546875" style="440" customWidth="1"/>
    <col min="8194" max="8195" width="0" style="440" hidden="1" customWidth="1"/>
    <col min="8196" max="8196" width="18.7109375" style="440" customWidth="1"/>
    <col min="8197" max="8197" width="9" style="440" customWidth="1"/>
    <col min="8198" max="8198" width="14.5703125" style="440" customWidth="1"/>
    <col min="8199" max="8199" width="25.28515625" style="440" customWidth="1"/>
    <col min="8200" max="8445" width="9.140625" style="440"/>
    <col min="8446" max="8446" width="7" style="440" customWidth="1"/>
    <col min="8447" max="8447" width="42.140625" style="440" customWidth="1"/>
    <col min="8448" max="8448" width="10" style="440" customWidth="1"/>
    <col min="8449" max="8449" width="20.85546875" style="440" customWidth="1"/>
    <col min="8450" max="8451" width="0" style="440" hidden="1" customWidth="1"/>
    <col min="8452" max="8452" width="18.7109375" style="440" customWidth="1"/>
    <col min="8453" max="8453" width="9" style="440" customWidth="1"/>
    <col min="8454" max="8454" width="14.5703125" style="440" customWidth="1"/>
    <col min="8455" max="8455" width="25.28515625" style="440" customWidth="1"/>
    <col min="8456" max="8701" width="9.140625" style="440"/>
    <col min="8702" max="8702" width="7" style="440" customWidth="1"/>
    <col min="8703" max="8703" width="42.140625" style="440" customWidth="1"/>
    <col min="8704" max="8704" width="10" style="440" customWidth="1"/>
    <col min="8705" max="8705" width="20.85546875" style="440" customWidth="1"/>
    <col min="8706" max="8707" width="0" style="440" hidden="1" customWidth="1"/>
    <col min="8708" max="8708" width="18.7109375" style="440" customWidth="1"/>
    <col min="8709" max="8709" width="9" style="440" customWidth="1"/>
    <col min="8710" max="8710" width="14.5703125" style="440" customWidth="1"/>
    <col min="8711" max="8711" width="25.28515625" style="440" customWidth="1"/>
    <col min="8712" max="8957" width="9.140625" style="440"/>
    <col min="8958" max="8958" width="7" style="440" customWidth="1"/>
    <col min="8959" max="8959" width="42.140625" style="440" customWidth="1"/>
    <col min="8960" max="8960" width="10" style="440" customWidth="1"/>
    <col min="8961" max="8961" width="20.85546875" style="440" customWidth="1"/>
    <col min="8962" max="8963" width="0" style="440" hidden="1" customWidth="1"/>
    <col min="8964" max="8964" width="18.7109375" style="440" customWidth="1"/>
    <col min="8965" max="8965" width="9" style="440" customWidth="1"/>
    <col min="8966" max="8966" width="14.5703125" style="440" customWidth="1"/>
    <col min="8967" max="8967" width="25.28515625" style="440" customWidth="1"/>
    <col min="8968" max="9213" width="9.140625" style="440"/>
    <col min="9214" max="9214" width="7" style="440" customWidth="1"/>
    <col min="9215" max="9215" width="42.140625" style="440" customWidth="1"/>
    <col min="9216" max="9216" width="10" style="440" customWidth="1"/>
    <col min="9217" max="9217" width="20.85546875" style="440" customWidth="1"/>
    <col min="9218" max="9219" width="0" style="440" hidden="1" customWidth="1"/>
    <col min="9220" max="9220" width="18.7109375" style="440" customWidth="1"/>
    <col min="9221" max="9221" width="9" style="440" customWidth="1"/>
    <col min="9222" max="9222" width="14.5703125" style="440" customWidth="1"/>
    <col min="9223" max="9223" width="25.28515625" style="440" customWidth="1"/>
    <col min="9224" max="9469" width="9.140625" style="440"/>
    <col min="9470" max="9470" width="7" style="440" customWidth="1"/>
    <col min="9471" max="9471" width="42.140625" style="440" customWidth="1"/>
    <col min="9472" max="9472" width="10" style="440" customWidth="1"/>
    <col min="9473" max="9473" width="20.85546875" style="440" customWidth="1"/>
    <col min="9474" max="9475" width="0" style="440" hidden="1" customWidth="1"/>
    <col min="9476" max="9476" width="18.7109375" style="440" customWidth="1"/>
    <col min="9477" max="9477" width="9" style="440" customWidth="1"/>
    <col min="9478" max="9478" width="14.5703125" style="440" customWidth="1"/>
    <col min="9479" max="9479" width="25.28515625" style="440" customWidth="1"/>
    <col min="9480" max="9725" width="9.140625" style="440"/>
    <col min="9726" max="9726" width="7" style="440" customWidth="1"/>
    <col min="9727" max="9727" width="42.140625" style="440" customWidth="1"/>
    <col min="9728" max="9728" width="10" style="440" customWidth="1"/>
    <col min="9729" max="9729" width="20.85546875" style="440" customWidth="1"/>
    <col min="9730" max="9731" width="0" style="440" hidden="1" customWidth="1"/>
    <col min="9732" max="9732" width="18.7109375" style="440" customWidth="1"/>
    <col min="9733" max="9733" width="9" style="440" customWidth="1"/>
    <col min="9734" max="9734" width="14.5703125" style="440" customWidth="1"/>
    <col min="9735" max="9735" width="25.28515625" style="440" customWidth="1"/>
    <col min="9736" max="9981" width="9.140625" style="440"/>
    <col min="9982" max="9982" width="7" style="440" customWidth="1"/>
    <col min="9983" max="9983" width="42.140625" style="440" customWidth="1"/>
    <col min="9984" max="9984" width="10" style="440" customWidth="1"/>
    <col min="9985" max="9985" width="20.85546875" style="440" customWidth="1"/>
    <col min="9986" max="9987" width="0" style="440" hidden="1" customWidth="1"/>
    <col min="9988" max="9988" width="18.7109375" style="440" customWidth="1"/>
    <col min="9989" max="9989" width="9" style="440" customWidth="1"/>
    <col min="9990" max="9990" width="14.5703125" style="440" customWidth="1"/>
    <col min="9991" max="9991" width="25.28515625" style="440" customWidth="1"/>
    <col min="9992" max="10237" width="9.140625" style="440"/>
    <col min="10238" max="10238" width="7" style="440" customWidth="1"/>
    <col min="10239" max="10239" width="42.140625" style="440" customWidth="1"/>
    <col min="10240" max="10240" width="10" style="440" customWidth="1"/>
    <col min="10241" max="10241" width="20.85546875" style="440" customWidth="1"/>
    <col min="10242" max="10243" width="0" style="440" hidden="1" customWidth="1"/>
    <col min="10244" max="10244" width="18.7109375" style="440" customWidth="1"/>
    <col min="10245" max="10245" width="9" style="440" customWidth="1"/>
    <col min="10246" max="10246" width="14.5703125" style="440" customWidth="1"/>
    <col min="10247" max="10247" width="25.28515625" style="440" customWidth="1"/>
    <col min="10248" max="10493" width="9.140625" style="440"/>
    <col min="10494" max="10494" width="7" style="440" customWidth="1"/>
    <col min="10495" max="10495" width="42.140625" style="440" customWidth="1"/>
    <col min="10496" max="10496" width="10" style="440" customWidth="1"/>
    <col min="10497" max="10497" width="20.85546875" style="440" customWidth="1"/>
    <col min="10498" max="10499" width="0" style="440" hidden="1" customWidth="1"/>
    <col min="10500" max="10500" width="18.7109375" style="440" customWidth="1"/>
    <col min="10501" max="10501" width="9" style="440" customWidth="1"/>
    <col min="10502" max="10502" width="14.5703125" style="440" customWidth="1"/>
    <col min="10503" max="10503" width="25.28515625" style="440" customWidth="1"/>
    <col min="10504" max="10749" width="9.140625" style="440"/>
    <col min="10750" max="10750" width="7" style="440" customWidth="1"/>
    <col min="10751" max="10751" width="42.140625" style="440" customWidth="1"/>
    <col min="10752" max="10752" width="10" style="440" customWidth="1"/>
    <col min="10753" max="10753" width="20.85546875" style="440" customWidth="1"/>
    <col min="10754" max="10755" width="0" style="440" hidden="1" customWidth="1"/>
    <col min="10756" max="10756" width="18.7109375" style="440" customWidth="1"/>
    <col min="10757" max="10757" width="9" style="440" customWidth="1"/>
    <col min="10758" max="10758" width="14.5703125" style="440" customWidth="1"/>
    <col min="10759" max="10759" width="25.28515625" style="440" customWidth="1"/>
    <col min="10760" max="11005" width="9.140625" style="440"/>
    <col min="11006" max="11006" width="7" style="440" customWidth="1"/>
    <col min="11007" max="11007" width="42.140625" style="440" customWidth="1"/>
    <col min="11008" max="11008" width="10" style="440" customWidth="1"/>
    <col min="11009" max="11009" width="20.85546875" style="440" customWidth="1"/>
    <col min="11010" max="11011" width="0" style="440" hidden="1" customWidth="1"/>
    <col min="11012" max="11012" width="18.7109375" style="440" customWidth="1"/>
    <col min="11013" max="11013" width="9" style="440" customWidth="1"/>
    <col min="11014" max="11014" width="14.5703125" style="440" customWidth="1"/>
    <col min="11015" max="11015" width="25.28515625" style="440" customWidth="1"/>
    <col min="11016" max="11261" width="9.140625" style="440"/>
    <col min="11262" max="11262" width="7" style="440" customWidth="1"/>
    <col min="11263" max="11263" width="42.140625" style="440" customWidth="1"/>
    <col min="11264" max="11264" width="10" style="440" customWidth="1"/>
    <col min="11265" max="11265" width="20.85546875" style="440" customWidth="1"/>
    <col min="11266" max="11267" width="0" style="440" hidden="1" customWidth="1"/>
    <col min="11268" max="11268" width="18.7109375" style="440" customWidth="1"/>
    <col min="11269" max="11269" width="9" style="440" customWidth="1"/>
    <col min="11270" max="11270" width="14.5703125" style="440" customWidth="1"/>
    <col min="11271" max="11271" width="25.28515625" style="440" customWidth="1"/>
    <col min="11272" max="11517" width="9.140625" style="440"/>
    <col min="11518" max="11518" width="7" style="440" customWidth="1"/>
    <col min="11519" max="11519" width="42.140625" style="440" customWidth="1"/>
    <col min="11520" max="11520" width="10" style="440" customWidth="1"/>
    <col min="11521" max="11521" width="20.85546875" style="440" customWidth="1"/>
    <col min="11522" max="11523" width="0" style="440" hidden="1" customWidth="1"/>
    <col min="11524" max="11524" width="18.7109375" style="440" customWidth="1"/>
    <col min="11525" max="11525" width="9" style="440" customWidth="1"/>
    <col min="11526" max="11526" width="14.5703125" style="440" customWidth="1"/>
    <col min="11527" max="11527" width="25.28515625" style="440" customWidth="1"/>
    <col min="11528" max="11773" width="9.140625" style="440"/>
    <col min="11774" max="11774" width="7" style="440" customWidth="1"/>
    <col min="11775" max="11775" width="42.140625" style="440" customWidth="1"/>
    <col min="11776" max="11776" width="10" style="440" customWidth="1"/>
    <col min="11777" max="11777" width="20.85546875" style="440" customWidth="1"/>
    <col min="11778" max="11779" width="0" style="440" hidden="1" customWidth="1"/>
    <col min="11780" max="11780" width="18.7109375" style="440" customWidth="1"/>
    <col min="11781" max="11781" width="9" style="440" customWidth="1"/>
    <col min="11782" max="11782" width="14.5703125" style="440" customWidth="1"/>
    <col min="11783" max="11783" width="25.28515625" style="440" customWidth="1"/>
    <col min="11784" max="12029" width="9.140625" style="440"/>
    <col min="12030" max="12030" width="7" style="440" customWidth="1"/>
    <col min="12031" max="12031" width="42.140625" style="440" customWidth="1"/>
    <col min="12032" max="12032" width="10" style="440" customWidth="1"/>
    <col min="12033" max="12033" width="20.85546875" style="440" customWidth="1"/>
    <col min="12034" max="12035" width="0" style="440" hidden="1" customWidth="1"/>
    <col min="12036" max="12036" width="18.7109375" style="440" customWidth="1"/>
    <col min="12037" max="12037" width="9" style="440" customWidth="1"/>
    <col min="12038" max="12038" width="14.5703125" style="440" customWidth="1"/>
    <col min="12039" max="12039" width="25.28515625" style="440" customWidth="1"/>
    <col min="12040" max="12285" width="9.140625" style="440"/>
    <col min="12286" max="12286" width="7" style="440" customWidth="1"/>
    <col min="12287" max="12287" width="42.140625" style="440" customWidth="1"/>
    <col min="12288" max="12288" width="10" style="440" customWidth="1"/>
    <col min="12289" max="12289" width="20.85546875" style="440" customWidth="1"/>
    <col min="12290" max="12291" width="0" style="440" hidden="1" customWidth="1"/>
    <col min="12292" max="12292" width="18.7109375" style="440" customWidth="1"/>
    <col min="12293" max="12293" width="9" style="440" customWidth="1"/>
    <col min="12294" max="12294" width="14.5703125" style="440" customWidth="1"/>
    <col min="12295" max="12295" width="25.28515625" style="440" customWidth="1"/>
    <col min="12296" max="12541" width="9.140625" style="440"/>
    <col min="12542" max="12542" width="7" style="440" customWidth="1"/>
    <col min="12543" max="12543" width="42.140625" style="440" customWidth="1"/>
    <col min="12544" max="12544" width="10" style="440" customWidth="1"/>
    <col min="12545" max="12545" width="20.85546875" style="440" customWidth="1"/>
    <col min="12546" max="12547" width="0" style="440" hidden="1" customWidth="1"/>
    <col min="12548" max="12548" width="18.7109375" style="440" customWidth="1"/>
    <col min="12549" max="12549" width="9" style="440" customWidth="1"/>
    <col min="12550" max="12550" width="14.5703125" style="440" customWidth="1"/>
    <col min="12551" max="12551" width="25.28515625" style="440" customWidth="1"/>
    <col min="12552" max="12797" width="9.140625" style="440"/>
    <col min="12798" max="12798" width="7" style="440" customWidth="1"/>
    <col min="12799" max="12799" width="42.140625" style="440" customWidth="1"/>
    <col min="12800" max="12800" width="10" style="440" customWidth="1"/>
    <col min="12801" max="12801" width="20.85546875" style="440" customWidth="1"/>
    <col min="12802" max="12803" width="0" style="440" hidden="1" customWidth="1"/>
    <col min="12804" max="12804" width="18.7109375" style="440" customWidth="1"/>
    <col min="12805" max="12805" width="9" style="440" customWidth="1"/>
    <col min="12806" max="12806" width="14.5703125" style="440" customWidth="1"/>
    <col min="12807" max="12807" width="25.28515625" style="440" customWidth="1"/>
    <col min="12808" max="13053" width="9.140625" style="440"/>
    <col min="13054" max="13054" width="7" style="440" customWidth="1"/>
    <col min="13055" max="13055" width="42.140625" style="440" customWidth="1"/>
    <col min="13056" max="13056" width="10" style="440" customWidth="1"/>
    <col min="13057" max="13057" width="20.85546875" style="440" customWidth="1"/>
    <col min="13058" max="13059" width="0" style="440" hidden="1" customWidth="1"/>
    <col min="13060" max="13060" width="18.7109375" style="440" customWidth="1"/>
    <col min="13061" max="13061" width="9" style="440" customWidth="1"/>
    <col min="13062" max="13062" width="14.5703125" style="440" customWidth="1"/>
    <col min="13063" max="13063" width="25.28515625" style="440" customWidth="1"/>
    <col min="13064" max="13309" width="9.140625" style="440"/>
    <col min="13310" max="13310" width="7" style="440" customWidth="1"/>
    <col min="13311" max="13311" width="42.140625" style="440" customWidth="1"/>
    <col min="13312" max="13312" width="10" style="440" customWidth="1"/>
    <col min="13313" max="13313" width="20.85546875" style="440" customWidth="1"/>
    <col min="13314" max="13315" width="0" style="440" hidden="1" customWidth="1"/>
    <col min="13316" max="13316" width="18.7109375" style="440" customWidth="1"/>
    <col min="13317" max="13317" width="9" style="440" customWidth="1"/>
    <col min="13318" max="13318" width="14.5703125" style="440" customWidth="1"/>
    <col min="13319" max="13319" width="25.28515625" style="440" customWidth="1"/>
    <col min="13320" max="13565" width="9.140625" style="440"/>
    <col min="13566" max="13566" width="7" style="440" customWidth="1"/>
    <col min="13567" max="13567" width="42.140625" style="440" customWidth="1"/>
    <col min="13568" max="13568" width="10" style="440" customWidth="1"/>
    <col min="13569" max="13569" width="20.85546875" style="440" customWidth="1"/>
    <col min="13570" max="13571" width="0" style="440" hidden="1" customWidth="1"/>
    <col min="13572" max="13572" width="18.7109375" style="440" customWidth="1"/>
    <col min="13573" max="13573" width="9" style="440" customWidth="1"/>
    <col min="13574" max="13574" width="14.5703125" style="440" customWidth="1"/>
    <col min="13575" max="13575" width="25.28515625" style="440" customWidth="1"/>
    <col min="13576" max="13821" width="9.140625" style="440"/>
    <col min="13822" max="13822" width="7" style="440" customWidth="1"/>
    <col min="13823" max="13823" width="42.140625" style="440" customWidth="1"/>
    <col min="13824" max="13824" width="10" style="440" customWidth="1"/>
    <col min="13825" max="13825" width="20.85546875" style="440" customWidth="1"/>
    <col min="13826" max="13827" width="0" style="440" hidden="1" customWidth="1"/>
    <col min="13828" max="13828" width="18.7109375" style="440" customWidth="1"/>
    <col min="13829" max="13829" width="9" style="440" customWidth="1"/>
    <col min="13830" max="13830" width="14.5703125" style="440" customWidth="1"/>
    <col min="13831" max="13831" width="25.28515625" style="440" customWidth="1"/>
    <col min="13832" max="14077" width="9.140625" style="440"/>
    <col min="14078" max="14078" width="7" style="440" customWidth="1"/>
    <col min="14079" max="14079" width="42.140625" style="440" customWidth="1"/>
    <col min="14080" max="14080" width="10" style="440" customWidth="1"/>
    <col min="14081" max="14081" width="20.85546875" style="440" customWidth="1"/>
    <col min="14082" max="14083" width="0" style="440" hidden="1" customWidth="1"/>
    <col min="14084" max="14084" width="18.7109375" style="440" customWidth="1"/>
    <col min="14085" max="14085" width="9" style="440" customWidth="1"/>
    <col min="14086" max="14086" width="14.5703125" style="440" customWidth="1"/>
    <col min="14087" max="14087" width="25.28515625" style="440" customWidth="1"/>
    <col min="14088" max="14333" width="9.140625" style="440"/>
    <col min="14334" max="14334" width="7" style="440" customWidth="1"/>
    <col min="14335" max="14335" width="42.140625" style="440" customWidth="1"/>
    <col min="14336" max="14336" width="10" style="440" customWidth="1"/>
    <col min="14337" max="14337" width="20.85546875" style="440" customWidth="1"/>
    <col min="14338" max="14339" width="0" style="440" hidden="1" customWidth="1"/>
    <col min="14340" max="14340" width="18.7109375" style="440" customWidth="1"/>
    <col min="14341" max="14341" width="9" style="440" customWidth="1"/>
    <col min="14342" max="14342" width="14.5703125" style="440" customWidth="1"/>
    <col min="14343" max="14343" width="25.28515625" style="440" customWidth="1"/>
    <col min="14344" max="14589" width="9.140625" style="440"/>
    <col min="14590" max="14590" width="7" style="440" customWidth="1"/>
    <col min="14591" max="14591" width="42.140625" style="440" customWidth="1"/>
    <col min="14592" max="14592" width="10" style="440" customWidth="1"/>
    <col min="14593" max="14593" width="20.85546875" style="440" customWidth="1"/>
    <col min="14594" max="14595" width="0" style="440" hidden="1" customWidth="1"/>
    <col min="14596" max="14596" width="18.7109375" style="440" customWidth="1"/>
    <col min="14597" max="14597" width="9" style="440" customWidth="1"/>
    <col min="14598" max="14598" width="14.5703125" style="440" customWidth="1"/>
    <col min="14599" max="14599" width="25.28515625" style="440" customWidth="1"/>
    <col min="14600" max="14845" width="9.140625" style="440"/>
    <col min="14846" max="14846" width="7" style="440" customWidth="1"/>
    <col min="14847" max="14847" width="42.140625" style="440" customWidth="1"/>
    <col min="14848" max="14848" width="10" style="440" customWidth="1"/>
    <col min="14849" max="14849" width="20.85546875" style="440" customWidth="1"/>
    <col min="14850" max="14851" width="0" style="440" hidden="1" customWidth="1"/>
    <col min="14852" max="14852" width="18.7109375" style="440" customWidth="1"/>
    <col min="14853" max="14853" width="9" style="440" customWidth="1"/>
    <col min="14854" max="14854" width="14.5703125" style="440" customWidth="1"/>
    <col min="14855" max="14855" width="25.28515625" style="440" customWidth="1"/>
    <col min="14856" max="15101" width="9.140625" style="440"/>
    <col min="15102" max="15102" width="7" style="440" customWidth="1"/>
    <col min="15103" max="15103" width="42.140625" style="440" customWidth="1"/>
    <col min="15104" max="15104" width="10" style="440" customWidth="1"/>
    <col min="15105" max="15105" width="20.85546875" style="440" customWidth="1"/>
    <col min="15106" max="15107" width="0" style="440" hidden="1" customWidth="1"/>
    <col min="15108" max="15108" width="18.7109375" style="440" customWidth="1"/>
    <col min="15109" max="15109" width="9" style="440" customWidth="1"/>
    <col min="15110" max="15110" width="14.5703125" style="440" customWidth="1"/>
    <col min="15111" max="15111" width="25.28515625" style="440" customWidth="1"/>
    <col min="15112" max="15357" width="9.140625" style="440"/>
    <col min="15358" max="15358" width="7" style="440" customWidth="1"/>
    <col min="15359" max="15359" width="42.140625" style="440" customWidth="1"/>
    <col min="15360" max="15360" width="10" style="440" customWidth="1"/>
    <col min="15361" max="15361" width="20.85546875" style="440" customWidth="1"/>
    <col min="15362" max="15363" width="0" style="440" hidden="1" customWidth="1"/>
    <col min="15364" max="15364" width="18.7109375" style="440" customWidth="1"/>
    <col min="15365" max="15365" width="9" style="440" customWidth="1"/>
    <col min="15366" max="15366" width="14.5703125" style="440" customWidth="1"/>
    <col min="15367" max="15367" width="25.28515625" style="440" customWidth="1"/>
    <col min="15368" max="15613" width="9.140625" style="440"/>
    <col min="15614" max="15614" width="7" style="440" customWidth="1"/>
    <col min="15615" max="15615" width="42.140625" style="440" customWidth="1"/>
    <col min="15616" max="15616" width="10" style="440" customWidth="1"/>
    <col min="15617" max="15617" width="20.85546875" style="440" customWidth="1"/>
    <col min="15618" max="15619" width="0" style="440" hidden="1" customWidth="1"/>
    <col min="15620" max="15620" width="18.7109375" style="440" customWidth="1"/>
    <col min="15621" max="15621" width="9" style="440" customWidth="1"/>
    <col min="15622" max="15622" width="14.5703125" style="440" customWidth="1"/>
    <col min="15623" max="15623" width="25.28515625" style="440" customWidth="1"/>
    <col min="15624" max="15869" width="9.140625" style="440"/>
    <col min="15870" max="15870" width="7" style="440" customWidth="1"/>
    <col min="15871" max="15871" width="42.140625" style="440" customWidth="1"/>
    <col min="15872" max="15872" width="10" style="440" customWidth="1"/>
    <col min="15873" max="15873" width="20.85546875" style="440" customWidth="1"/>
    <col min="15874" max="15875" width="0" style="440" hidden="1" customWidth="1"/>
    <col min="15876" max="15876" width="18.7109375" style="440" customWidth="1"/>
    <col min="15877" max="15877" width="9" style="440" customWidth="1"/>
    <col min="15878" max="15878" width="14.5703125" style="440" customWidth="1"/>
    <col min="15879" max="15879" width="25.28515625" style="440" customWidth="1"/>
    <col min="15880" max="16125" width="9.140625" style="440"/>
    <col min="16126" max="16126" width="7" style="440" customWidth="1"/>
    <col min="16127" max="16127" width="42.140625" style="440" customWidth="1"/>
    <col min="16128" max="16128" width="10" style="440" customWidth="1"/>
    <col min="16129" max="16129" width="20.85546875" style="440" customWidth="1"/>
    <col min="16130" max="16131" width="0" style="440" hidden="1" customWidth="1"/>
    <col min="16132" max="16132" width="18.7109375" style="440" customWidth="1"/>
    <col min="16133" max="16133" width="9" style="440" customWidth="1"/>
    <col min="16134" max="16134" width="14.5703125" style="440" customWidth="1"/>
    <col min="16135" max="16135" width="25.28515625" style="440" customWidth="1"/>
    <col min="16136" max="16384" width="9.140625" style="440"/>
  </cols>
  <sheetData>
    <row r="2" spans="1:13" ht="15.75" customHeight="1">
      <c r="A2" s="5802" t="s">
        <v>170</v>
      </c>
      <c r="B2" s="5802"/>
      <c r="C2" s="5802"/>
      <c r="D2" s="5802"/>
      <c r="E2" s="5802"/>
      <c r="F2" s="5802"/>
      <c r="G2" s="5802"/>
      <c r="H2" s="5802"/>
      <c r="I2" s="5802"/>
      <c r="J2" s="5356"/>
      <c r="K2" s="5356"/>
      <c r="L2" s="5356"/>
      <c r="M2" s="5356"/>
    </row>
    <row r="3" spans="1:13" ht="15.75" customHeight="1">
      <c r="A3" s="5802" t="s">
        <v>3915</v>
      </c>
      <c r="B3" s="5802"/>
      <c r="C3" s="5802"/>
      <c r="D3" s="5802"/>
      <c r="E3" s="5802"/>
      <c r="F3" s="5802"/>
      <c r="G3" s="5802"/>
      <c r="H3" s="5802"/>
      <c r="I3" s="5802"/>
      <c r="J3" s="5356"/>
      <c r="K3" s="5356"/>
      <c r="L3" s="5356"/>
      <c r="M3" s="5356"/>
    </row>
    <row r="4" spans="1:13" s="441" customFormat="1">
      <c r="A4" s="5805" t="s">
        <v>3490</v>
      </c>
      <c r="B4" s="5805"/>
      <c r="C4" s="5805"/>
      <c r="D4" s="5805"/>
      <c r="E4" s="5805"/>
      <c r="F4" s="5805"/>
      <c r="G4" s="5805"/>
      <c r="H4" s="5805"/>
      <c r="I4" s="5805"/>
      <c r="J4" s="5355"/>
      <c r="K4" s="5355"/>
      <c r="L4" s="5355"/>
      <c r="M4" s="5355"/>
    </row>
    <row r="5" spans="1:13">
      <c r="A5" s="444"/>
      <c r="B5" s="444"/>
      <c r="C5" s="444"/>
      <c r="D5" s="444"/>
      <c r="E5" s="444"/>
      <c r="F5" s="444"/>
      <c r="G5" s="444"/>
    </row>
    <row r="6" spans="1:13">
      <c r="A6" s="445" t="s">
        <v>190</v>
      </c>
    </row>
    <row r="7" spans="1:13">
      <c r="C7" s="779"/>
      <c r="D7" s="780"/>
      <c r="E7" s="615"/>
      <c r="F7" s="3119"/>
      <c r="G7" s="615"/>
      <c r="I7" s="5318" t="s">
        <v>151</v>
      </c>
    </row>
    <row r="8" spans="1:13">
      <c r="A8" s="5803" t="s">
        <v>101</v>
      </c>
      <c r="B8" s="5806" t="s">
        <v>81</v>
      </c>
      <c r="C8" s="361"/>
      <c r="D8" s="361"/>
      <c r="E8" s="5803" t="s">
        <v>1897</v>
      </c>
      <c r="F8" s="5803" t="s">
        <v>82</v>
      </c>
      <c r="G8" s="5803"/>
      <c r="H8" s="5803" t="s">
        <v>1845</v>
      </c>
      <c r="I8" s="5803"/>
      <c r="J8" s="5807" t="s">
        <v>2613</v>
      </c>
      <c r="K8" s="5807"/>
      <c r="L8" s="5807"/>
      <c r="M8" s="5807"/>
    </row>
    <row r="9" spans="1:13" ht="33" customHeight="1">
      <c r="A9" s="5803"/>
      <c r="B9" s="5806"/>
      <c r="C9" s="4604" t="s">
        <v>82</v>
      </c>
      <c r="D9" s="5301"/>
      <c r="E9" s="5803"/>
      <c r="F9" s="5803"/>
      <c r="G9" s="5803"/>
      <c r="H9" s="5803"/>
      <c r="I9" s="5803"/>
      <c r="J9" s="5803" t="s">
        <v>2442</v>
      </c>
      <c r="K9" s="5803"/>
      <c r="L9" s="5803" t="s">
        <v>2443</v>
      </c>
      <c r="M9" s="5803"/>
    </row>
    <row r="10" spans="1:13" ht="31.5">
      <c r="A10" s="5803"/>
      <c r="B10" s="5806"/>
      <c r="C10" s="5206" t="s">
        <v>609</v>
      </c>
      <c r="D10" s="5206" t="s">
        <v>610</v>
      </c>
      <c r="E10" s="5804" t="s">
        <v>96</v>
      </c>
      <c r="F10" s="5804" t="s">
        <v>755</v>
      </c>
      <c r="G10" s="5804" t="s">
        <v>96</v>
      </c>
      <c r="H10" s="5804" t="s">
        <v>755</v>
      </c>
      <c r="I10" s="5804" t="s">
        <v>96</v>
      </c>
      <c r="J10" s="5804" t="s">
        <v>755</v>
      </c>
      <c r="K10" s="5804" t="s">
        <v>3399</v>
      </c>
      <c r="L10" s="5804" t="s">
        <v>755</v>
      </c>
      <c r="M10" s="5804" t="s">
        <v>3399</v>
      </c>
    </row>
    <row r="11" spans="1:13">
      <c r="A11" s="5803"/>
      <c r="B11" s="5806"/>
      <c r="C11" s="5206" t="s">
        <v>553</v>
      </c>
      <c r="D11" s="5206" t="s">
        <v>611</v>
      </c>
      <c r="E11" s="5804"/>
      <c r="F11" s="5804"/>
      <c r="G11" s="5804"/>
      <c r="H11" s="5804"/>
      <c r="I11" s="5804"/>
      <c r="J11" s="5804"/>
      <c r="K11" s="5804"/>
      <c r="L11" s="5804"/>
      <c r="M11" s="5804"/>
    </row>
    <row r="12" spans="1:13" hidden="1">
      <c r="A12" s="4605">
        <v>1</v>
      </c>
      <c r="B12" s="3775" t="s">
        <v>612</v>
      </c>
      <c r="C12" s="446"/>
      <c r="D12" s="446"/>
      <c r="E12" s="778">
        <v>432.82</v>
      </c>
      <c r="F12" s="778" t="s">
        <v>650</v>
      </c>
      <c r="G12" s="778"/>
      <c r="H12" s="2842"/>
      <c r="I12" s="2842"/>
      <c r="J12" s="361"/>
      <c r="K12" s="361"/>
      <c r="L12" s="361"/>
      <c r="M12" s="361"/>
    </row>
    <row r="13" spans="1:13" hidden="1">
      <c r="A13" s="4605">
        <f>A12+1</f>
        <v>2</v>
      </c>
      <c r="B13" s="3775" t="s">
        <v>613</v>
      </c>
      <c r="C13" s="446"/>
      <c r="D13" s="446"/>
      <c r="E13" s="778">
        <v>3026.75</v>
      </c>
      <c r="F13" s="778" t="s">
        <v>650</v>
      </c>
      <c r="G13" s="778"/>
      <c r="H13" s="2842"/>
      <c r="I13" s="2842"/>
      <c r="J13" s="361"/>
      <c r="K13" s="361"/>
      <c r="L13" s="361"/>
      <c r="M13" s="361"/>
    </row>
    <row r="14" spans="1:13" hidden="1">
      <c r="A14" s="4605">
        <f>A13+1</f>
        <v>3</v>
      </c>
      <c r="B14" s="3775" t="s">
        <v>614</v>
      </c>
      <c r="C14" s="446"/>
      <c r="D14" s="446"/>
      <c r="E14" s="778">
        <v>52</v>
      </c>
      <c r="F14" s="778" t="s">
        <v>650</v>
      </c>
      <c r="G14" s="778"/>
      <c r="H14" s="2842"/>
      <c r="I14" s="2842"/>
      <c r="J14" s="361"/>
      <c r="K14" s="361"/>
      <c r="L14" s="361"/>
      <c r="M14" s="361"/>
    </row>
    <row r="15" spans="1:13">
      <c r="A15" s="4605">
        <v>1</v>
      </c>
      <c r="B15" s="3776" t="s">
        <v>190</v>
      </c>
      <c r="C15" s="446"/>
      <c r="D15" s="446"/>
      <c r="E15" s="778">
        <v>0</v>
      </c>
      <c r="F15" s="778" t="s">
        <v>650</v>
      </c>
      <c r="G15" s="778">
        <f>ARR!M23</f>
        <v>5.69</v>
      </c>
      <c r="H15" s="778" t="s">
        <v>650</v>
      </c>
      <c r="I15" s="3779">
        <f>'BadDebt13-14'!F5</f>
        <v>6.5</v>
      </c>
      <c r="J15" s="778" t="s">
        <v>650</v>
      </c>
      <c r="K15" s="3779">
        <f>517.84*1.5%</f>
        <v>7.7675999999999998</v>
      </c>
      <c r="L15" s="778" t="s">
        <v>650</v>
      </c>
      <c r="M15" s="3779">
        <f>522.48*1.5%</f>
        <v>7.8372000000000002</v>
      </c>
    </row>
    <row r="16" spans="1:13" ht="37.5" hidden="1" customHeight="1">
      <c r="A16" s="3777">
        <f>A15+1</f>
        <v>2</v>
      </c>
      <c r="B16" s="3776" t="s">
        <v>615</v>
      </c>
      <c r="C16" s="446"/>
      <c r="D16" s="446"/>
      <c r="E16" s="778"/>
      <c r="F16" s="778" t="s">
        <v>650</v>
      </c>
      <c r="G16" s="778"/>
      <c r="H16" s="2842"/>
      <c r="I16" s="2842"/>
      <c r="J16" s="361"/>
      <c r="K16" s="361"/>
      <c r="L16" s="361"/>
      <c r="M16" s="3778"/>
    </row>
  </sheetData>
  <mergeCells count="20">
    <mergeCell ref="L9:M9"/>
    <mergeCell ref="A4:I4"/>
    <mergeCell ref="L10:L11"/>
    <mergeCell ref="M10:M11"/>
    <mergeCell ref="H10:H11"/>
    <mergeCell ref="I10:I11"/>
    <mergeCell ref="G10:G11"/>
    <mergeCell ref="F10:F11"/>
    <mergeCell ref="E10:E11"/>
    <mergeCell ref="A8:A11"/>
    <mergeCell ref="B8:B11"/>
    <mergeCell ref="E8:E9"/>
    <mergeCell ref="F8:G9"/>
    <mergeCell ref="H8:I9"/>
    <mergeCell ref="J8:M8"/>
    <mergeCell ref="A3:I3"/>
    <mergeCell ref="A2:I2"/>
    <mergeCell ref="J9:K9"/>
    <mergeCell ref="J10:J11"/>
    <mergeCell ref="K10:K11"/>
  </mergeCells>
  <printOptions horizontalCentered="1"/>
  <pageMargins left="0.2" right="0.56000000000000005" top="0.89" bottom="1" header="0.5" footer="0.5"/>
  <pageSetup paperSize="9"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sheetPr codeName="Sheet33">
    <pageSetUpPr fitToPage="1"/>
  </sheetPr>
  <dimension ref="A2:L37"/>
  <sheetViews>
    <sheetView showGridLines="0" view="pageBreakPreview" topLeftCell="A13" zoomScale="70" zoomScaleNormal="40" zoomScaleSheetLayoutView="70" workbookViewId="0">
      <selection activeCell="A25" sqref="A25:XFD37"/>
    </sheetView>
  </sheetViews>
  <sheetFormatPr defaultRowHeight="15.75"/>
  <cols>
    <col min="1" max="1" width="1" style="266" customWidth="1"/>
    <col min="2" max="2" width="8.28515625" style="266" customWidth="1"/>
    <col min="3" max="3" width="59.42578125" style="266" customWidth="1"/>
    <col min="4" max="4" width="18.28515625" style="266" hidden="1" customWidth="1"/>
    <col min="5" max="5" width="15" style="266" customWidth="1"/>
    <col min="6" max="6" width="15.85546875" style="266" customWidth="1"/>
    <col min="7" max="7" width="14.42578125" style="266" customWidth="1"/>
    <col min="8" max="8" width="14.7109375" style="266" customWidth="1"/>
    <col min="9" max="9" width="19.5703125" style="266" hidden="1" customWidth="1"/>
    <col min="10" max="10" width="15.7109375" style="266" hidden="1" customWidth="1"/>
    <col min="11" max="11" width="17.28515625" style="266" hidden="1" customWidth="1"/>
    <col min="12" max="12" width="16.42578125" style="266" hidden="1" customWidth="1"/>
    <col min="13" max="16384" width="9.140625" style="266"/>
  </cols>
  <sheetData>
    <row r="2" spans="1:12" ht="59.25" customHeight="1">
      <c r="A2" s="248"/>
      <c r="B2" s="5808" t="s">
        <v>3916</v>
      </c>
      <c r="C2" s="5808"/>
      <c r="D2" s="5808"/>
      <c r="E2" s="5808"/>
      <c r="F2" s="5808"/>
      <c r="G2" s="5808"/>
      <c r="H2" s="5808"/>
      <c r="I2" s="5365"/>
      <c r="J2" s="5365"/>
      <c r="K2" s="5365"/>
      <c r="L2" s="5365"/>
    </row>
    <row r="3" spans="1:12" ht="15" hidden="1" customHeight="1">
      <c r="A3" s="248"/>
      <c r="B3" s="3360"/>
      <c r="C3" s="3360"/>
      <c r="D3" s="3360"/>
      <c r="E3" s="3360"/>
      <c r="F3" s="3360"/>
    </row>
    <row r="4" spans="1:12" ht="13.5" hidden="1" customHeight="1">
      <c r="A4" s="248"/>
      <c r="B4" s="3360"/>
      <c r="C4" s="3360"/>
      <c r="D4" s="3360"/>
      <c r="E4" s="3360"/>
      <c r="F4" s="3360"/>
    </row>
    <row r="5" spans="1:12" ht="15" customHeight="1">
      <c r="A5" s="248"/>
      <c r="B5" s="3360"/>
      <c r="C5" s="3360"/>
      <c r="D5" s="3360"/>
      <c r="E5" s="3360"/>
      <c r="F5" s="3360"/>
    </row>
    <row r="6" spans="1:12" ht="15.75" customHeight="1">
      <c r="A6" s="248"/>
      <c r="B6" s="248"/>
      <c r="C6" s="248"/>
      <c r="D6" s="248"/>
      <c r="E6" s="248"/>
      <c r="H6" s="485" t="s">
        <v>151</v>
      </c>
    </row>
    <row r="7" spans="1:12" ht="15.75" customHeight="1">
      <c r="A7" s="248"/>
      <c r="B7" s="5810" t="s">
        <v>101</v>
      </c>
      <c r="C7" s="5810" t="s">
        <v>81</v>
      </c>
      <c r="D7" s="5810" t="s">
        <v>1897</v>
      </c>
      <c r="E7" s="5387" t="s">
        <v>82</v>
      </c>
      <c r="F7" s="5389"/>
      <c r="G7" s="5387" t="s">
        <v>1845</v>
      </c>
      <c r="H7" s="5389"/>
      <c r="I7" s="5813" t="s">
        <v>2613</v>
      </c>
      <c r="J7" s="5814"/>
      <c r="K7" s="5814"/>
      <c r="L7" s="5815"/>
    </row>
    <row r="8" spans="1:12" ht="28.5" customHeight="1">
      <c r="A8" s="5816"/>
      <c r="B8" s="5811"/>
      <c r="C8" s="5811"/>
      <c r="D8" s="5812"/>
      <c r="E8" s="5390"/>
      <c r="F8" s="5392"/>
      <c r="G8" s="5390"/>
      <c r="H8" s="5392"/>
      <c r="I8" s="5809" t="s">
        <v>2442</v>
      </c>
      <c r="J8" s="5809"/>
      <c r="K8" s="5809" t="s">
        <v>2443</v>
      </c>
      <c r="L8" s="5809"/>
    </row>
    <row r="9" spans="1:12" ht="45.75" customHeight="1">
      <c r="A9" s="5816"/>
      <c r="B9" s="5812"/>
      <c r="C9" s="5812"/>
      <c r="D9" s="794" t="s">
        <v>1043</v>
      </c>
      <c r="E9" s="794" t="s">
        <v>755</v>
      </c>
      <c r="F9" s="4651" t="s">
        <v>96</v>
      </c>
      <c r="G9" s="893" t="s">
        <v>755</v>
      </c>
      <c r="H9" s="4651" t="s">
        <v>96</v>
      </c>
      <c r="I9" s="3744" t="s">
        <v>755</v>
      </c>
      <c r="J9" s="4651" t="s">
        <v>3399</v>
      </c>
      <c r="K9" s="3744" t="s">
        <v>755</v>
      </c>
      <c r="L9" s="4651" t="s">
        <v>3399</v>
      </c>
    </row>
    <row r="10" spans="1:12">
      <c r="A10" s="248"/>
      <c r="B10" s="856">
        <v>1</v>
      </c>
      <c r="C10" s="269" t="s">
        <v>222</v>
      </c>
      <c r="D10" s="3405">
        <v>746.05</v>
      </c>
      <c r="E10" s="1265">
        <v>775.77</v>
      </c>
      <c r="F10" s="3406">
        <f>D17</f>
        <v>775.77</v>
      </c>
      <c r="G10" s="1265">
        <v>843.89</v>
      </c>
      <c r="H10" s="1265">
        <f>F17</f>
        <v>807.66685310055004</v>
      </c>
      <c r="I10" s="1265">
        <f>G17</f>
        <v>928.14899999999989</v>
      </c>
      <c r="J10" s="3406">
        <f>H17</f>
        <v>831.01372278555004</v>
      </c>
      <c r="K10" s="1265">
        <f>I17</f>
        <v>1017.3339999999998</v>
      </c>
      <c r="L10" s="3406">
        <f>J17</f>
        <v>869.98222278554999</v>
      </c>
    </row>
    <row r="11" spans="1:12">
      <c r="A11" s="248"/>
      <c r="B11" s="785">
        <f>B10+1</f>
        <v>2</v>
      </c>
      <c r="C11" s="269" t="s">
        <v>223</v>
      </c>
      <c r="D11" s="3405">
        <v>106.82</v>
      </c>
      <c r="E11" s="1282">
        <v>247.63</v>
      </c>
      <c r="F11" s="3407">
        <f>Assumptions!E8</f>
        <v>127.08000000000001</v>
      </c>
      <c r="G11" s="1265">
        <v>301.43</v>
      </c>
      <c r="H11" s="1265">
        <f>Assumptions!F8</f>
        <v>101.26600500000001</v>
      </c>
      <c r="I11" s="1265">
        <v>313.7</v>
      </c>
      <c r="J11" s="1265">
        <f>Assumptions!G8</f>
        <v>152.52500000000001</v>
      </c>
      <c r="K11" s="1265">
        <v>307.95</v>
      </c>
      <c r="L11" s="1265">
        <f>Assumptions!H8</f>
        <v>189.56</v>
      </c>
    </row>
    <row r="12" spans="1:12">
      <c r="A12" s="248"/>
      <c r="B12" s="785">
        <f t="shared" ref="B12:B22" si="0">B11+1</f>
        <v>3</v>
      </c>
      <c r="C12" s="271" t="s">
        <v>224</v>
      </c>
      <c r="D12" s="3407">
        <v>7.78</v>
      </c>
      <c r="E12" s="1282">
        <v>12</v>
      </c>
      <c r="F12" s="3407">
        <f>Assumptions!E11</f>
        <v>8.3699999999999992</v>
      </c>
      <c r="G12" s="1282">
        <v>12</v>
      </c>
      <c r="H12" s="1265">
        <f>Assumptions!F11</f>
        <v>8.24</v>
      </c>
      <c r="I12" s="1265">
        <v>7.8499999999999659</v>
      </c>
      <c r="J12" s="3406">
        <f>Assumptions!G11</f>
        <v>9.8000000000000007</v>
      </c>
      <c r="K12" s="1265">
        <v>7.8499999999999659</v>
      </c>
      <c r="L12" s="1265">
        <f>Assumptions!H11</f>
        <v>9.8000000000000007</v>
      </c>
    </row>
    <row r="13" spans="1:12">
      <c r="A13" s="248"/>
      <c r="B13" s="785">
        <f t="shared" si="0"/>
        <v>4</v>
      </c>
      <c r="C13" s="271" t="s">
        <v>225</v>
      </c>
      <c r="D13" s="1282">
        <f t="shared" ref="D13:I13" si="1">D11-D12</f>
        <v>99.039999999999992</v>
      </c>
      <c r="E13" s="1282">
        <f t="shared" si="1"/>
        <v>235.63</v>
      </c>
      <c r="F13" s="1282">
        <f t="shared" si="1"/>
        <v>118.71000000000001</v>
      </c>
      <c r="G13" s="1265">
        <f t="shared" si="1"/>
        <v>289.43</v>
      </c>
      <c r="H13" s="1265">
        <f t="shared" si="1"/>
        <v>93.026005000000012</v>
      </c>
      <c r="I13" s="1265">
        <f t="shared" si="1"/>
        <v>305.85000000000002</v>
      </c>
      <c r="J13" s="1265">
        <f>J11-J12</f>
        <v>142.72499999999999</v>
      </c>
      <c r="K13" s="1265">
        <f t="shared" ref="K13" si="2">K11-K12</f>
        <v>300.10000000000002</v>
      </c>
      <c r="L13" s="1265">
        <f>L11-L12</f>
        <v>179.76</v>
      </c>
    </row>
    <row r="14" spans="1:12">
      <c r="A14" s="248"/>
      <c r="B14" s="785"/>
      <c r="C14" s="271" t="s">
        <v>2859</v>
      </c>
      <c r="D14" s="1282"/>
      <c r="E14" s="3460">
        <v>0.3</v>
      </c>
      <c r="F14" s="3460">
        <f>Assumptions!E16</f>
        <v>0.3</v>
      </c>
      <c r="G14" s="3460">
        <v>0.3</v>
      </c>
      <c r="H14" s="3480">
        <f>Assumptions!F16</f>
        <v>0.3</v>
      </c>
      <c r="I14" s="3783">
        <v>0.3</v>
      </c>
      <c r="J14" s="3783">
        <v>0.3</v>
      </c>
      <c r="K14" s="3783">
        <v>0.3</v>
      </c>
      <c r="L14" s="3783">
        <v>0.3</v>
      </c>
    </row>
    <row r="15" spans="1:12">
      <c r="A15" s="248"/>
      <c r="B15" s="785">
        <f>B13+1</f>
        <v>5</v>
      </c>
      <c r="C15" s="271" t="s">
        <v>226</v>
      </c>
      <c r="D15" s="1282">
        <f>D13*Assumptions!$E$16</f>
        <v>29.711999999999996</v>
      </c>
      <c r="E15" s="1282">
        <f>E13*E14</f>
        <v>70.688999999999993</v>
      </c>
      <c r="F15" s="1282">
        <f>F13*F14</f>
        <v>35.613</v>
      </c>
      <c r="G15" s="1265">
        <f>G13*G14</f>
        <v>86.828999999999994</v>
      </c>
      <c r="H15" s="1265">
        <f>H13*H14</f>
        <v>27.907801500000001</v>
      </c>
      <c r="I15" s="1265">
        <f>I14*I13</f>
        <v>91.75500000000001</v>
      </c>
      <c r="J15" s="1265">
        <f>J14*J13</f>
        <v>42.817499999999995</v>
      </c>
      <c r="K15" s="1265">
        <f t="shared" ref="K15" si="3">K14*K13</f>
        <v>90.03</v>
      </c>
      <c r="L15" s="1265">
        <f>L14*L13</f>
        <v>53.927999999999997</v>
      </c>
    </row>
    <row r="16" spans="1:12" ht="17.25" customHeight="1">
      <c r="A16" s="248"/>
      <c r="B16" s="785">
        <f t="shared" si="0"/>
        <v>6</v>
      </c>
      <c r="C16" s="271" t="s">
        <v>227</v>
      </c>
      <c r="D16" s="270"/>
      <c r="E16" s="1282">
        <v>2.57</v>
      </c>
      <c r="F16" s="3408">
        <f>Assumptions!$E32*F14</f>
        <v>3.7161468994500004</v>
      </c>
      <c r="G16" s="1265">
        <v>2.57</v>
      </c>
      <c r="H16" s="3408">
        <f>Assumptions!$F32*H14</f>
        <v>4.5609318149999991</v>
      </c>
      <c r="I16" s="1265">
        <v>2.57</v>
      </c>
      <c r="J16" s="3406">
        <f>Assumptions!G32*J14</f>
        <v>3.8489999999999998</v>
      </c>
      <c r="K16" s="1265">
        <v>2.57</v>
      </c>
      <c r="L16" s="1265">
        <f>Assumptions!H32*L14</f>
        <v>4.751273967083443</v>
      </c>
    </row>
    <row r="17" spans="1:12">
      <c r="A17" s="248"/>
      <c r="B17" s="3660">
        <f t="shared" si="0"/>
        <v>7</v>
      </c>
      <c r="C17" s="4333" t="s">
        <v>228</v>
      </c>
      <c r="D17" s="4335">
        <v>775.77</v>
      </c>
      <c r="E17" s="4335">
        <f t="shared" ref="E17:I17" si="4">E10+E15-E16</f>
        <v>843.8889999999999</v>
      </c>
      <c r="F17" s="4335">
        <f>F10+F15-F16</f>
        <v>807.66685310055004</v>
      </c>
      <c r="G17" s="4337">
        <f t="shared" si="4"/>
        <v>928.14899999999989</v>
      </c>
      <c r="H17" s="4337">
        <f t="shared" si="4"/>
        <v>831.01372278555004</v>
      </c>
      <c r="I17" s="4337">
        <f t="shared" si="4"/>
        <v>1017.3339999999998</v>
      </c>
      <c r="J17" s="4337">
        <f>J10+J15-J16</f>
        <v>869.98222278554999</v>
      </c>
      <c r="K17" s="4337">
        <f t="shared" ref="K17" si="5">K10+K15-K16</f>
        <v>1104.7939999999999</v>
      </c>
      <c r="L17" s="4337">
        <f>L10+L15-L16</f>
        <v>919.15894881846657</v>
      </c>
    </row>
    <row r="18" spans="1:12">
      <c r="A18" s="248"/>
      <c r="B18" s="785">
        <f t="shared" si="0"/>
        <v>8</v>
      </c>
      <c r="C18" s="271" t="s">
        <v>229</v>
      </c>
      <c r="D18" s="270"/>
      <c r="E18" s="1282"/>
      <c r="F18" s="3409"/>
      <c r="G18" s="1265"/>
      <c r="H18" s="1265"/>
      <c r="I18" s="1265"/>
      <c r="J18" s="1265"/>
      <c r="K18" s="1265"/>
      <c r="L18" s="1265"/>
    </row>
    <row r="19" spans="1:12">
      <c r="A19" s="248"/>
      <c r="B19" s="785">
        <f t="shared" si="0"/>
        <v>9</v>
      </c>
      <c r="C19" s="857" t="s">
        <v>1604</v>
      </c>
      <c r="D19" s="3410"/>
      <c r="E19" s="3411">
        <v>0.15760099999999999</v>
      </c>
      <c r="F19" s="3411">
        <f>Assumptions!$E$55</f>
        <v>0.15756599999999998</v>
      </c>
      <c r="G19" s="3411">
        <f>E19</f>
        <v>0.15760099999999999</v>
      </c>
      <c r="H19" s="5002">
        <f>Assumptions!$F$55</f>
        <v>0.15748999999999999</v>
      </c>
      <c r="I19" s="3411">
        <f>G19</f>
        <v>0.15760099999999999</v>
      </c>
      <c r="J19" s="3411">
        <f>Assumptions!G55</f>
        <v>0.15748999999999999</v>
      </c>
      <c r="K19" s="3411">
        <v>0.15759600000000001</v>
      </c>
      <c r="L19" s="3411">
        <f>Assumptions!H55</f>
        <v>0.15748999999999999</v>
      </c>
    </row>
    <row r="20" spans="1:12" ht="31.5">
      <c r="A20" s="248"/>
      <c r="B20" s="785">
        <f t="shared" si="0"/>
        <v>10</v>
      </c>
      <c r="C20" s="271" t="s">
        <v>1974</v>
      </c>
      <c r="D20" s="3412">
        <v>119.37</v>
      </c>
      <c r="E20" s="3412">
        <f t="shared" ref="E20:I20" si="6">E19*E10</f>
        <v>122.26212776999999</v>
      </c>
      <c r="F20" s="3412">
        <f>F19*F10</f>
        <v>122.23497581999999</v>
      </c>
      <c r="G20" s="3412">
        <f t="shared" si="6"/>
        <v>132.99790788999999</v>
      </c>
      <c r="H20" s="3412">
        <f t="shared" si="6"/>
        <v>127.19945269480561</v>
      </c>
      <c r="I20" s="3412">
        <f t="shared" si="6"/>
        <v>146.27721054899996</v>
      </c>
      <c r="J20" s="3412">
        <f>J19*J10</f>
        <v>130.87635120149628</v>
      </c>
      <c r="K20" s="3412">
        <f>K19*K10</f>
        <v>160.32776906399999</v>
      </c>
      <c r="L20" s="3412">
        <f t="shared" ref="L20" si="7">L19*L10</f>
        <v>137.01350026649627</v>
      </c>
    </row>
    <row r="21" spans="1:12" ht="31.5">
      <c r="A21" s="248"/>
      <c r="B21" s="785">
        <f t="shared" si="0"/>
        <v>11</v>
      </c>
      <c r="C21" s="271" t="s">
        <v>1975</v>
      </c>
      <c r="D21" s="3407">
        <v>2.38</v>
      </c>
      <c r="E21" s="3407">
        <f t="shared" ref="E21:I21" si="8">(E19/2)*(E15-E16)</f>
        <v>5.3678112594999998</v>
      </c>
      <c r="F21" s="3407">
        <f t="shared" si="8"/>
        <v>2.5129297778206303</v>
      </c>
      <c r="G21" s="3407">
        <f t="shared" si="8"/>
        <v>6.6396513294999995</v>
      </c>
      <c r="H21" s="3407">
        <f t="shared" si="8"/>
        <v>1.8384492533453249</v>
      </c>
      <c r="I21" s="3407">
        <f t="shared" si="8"/>
        <v>7.0278225925000006</v>
      </c>
      <c r="J21" s="3407">
        <f>(J19/2)*(J15-J16)</f>
        <v>3.0685745324999996</v>
      </c>
      <c r="K21" s="3407">
        <f t="shared" ref="K21" si="9">(K19/2)*(K15-K16)</f>
        <v>6.8916730800000012</v>
      </c>
      <c r="L21" s="3407">
        <f>(L19/2)*(L15-L16)</f>
        <v>3.8724212914620137</v>
      </c>
    </row>
    <row r="22" spans="1:12" s="248" customFormat="1">
      <c r="A22" s="266"/>
      <c r="B22" s="3660">
        <f t="shared" si="0"/>
        <v>12</v>
      </c>
      <c r="C22" s="4333" t="s">
        <v>1640</v>
      </c>
      <c r="D22" s="4334">
        <v>121.75</v>
      </c>
      <c r="E22" s="4335">
        <f t="shared" ref="E22:H22" si="10">SUM(E20:E21)</f>
        <v>127.62993902949999</v>
      </c>
      <c r="F22" s="4335">
        <f t="shared" si="10"/>
        <v>124.74790559782062</v>
      </c>
      <c r="G22" s="4336">
        <f t="shared" si="10"/>
        <v>139.63755921949999</v>
      </c>
      <c r="H22" s="4336">
        <f t="shared" si="10"/>
        <v>129.03790194815093</v>
      </c>
      <c r="I22" s="4336">
        <f>SUM(I20:I21)-0.01</f>
        <v>153.29503314149997</v>
      </c>
      <c r="J22" s="4336">
        <f>SUM(J20:J21)</f>
        <v>133.94492573399629</v>
      </c>
      <c r="K22" s="4336">
        <f t="shared" ref="K22" si="11">SUM(K20:K21)</f>
        <v>167.219442144</v>
      </c>
      <c r="L22" s="4336">
        <f>SUM(L20:L21)</f>
        <v>140.88592155795828</v>
      </c>
    </row>
    <row r="23" spans="1:12" s="248" customFormat="1">
      <c r="A23" s="266"/>
    </row>
    <row r="24" spans="1:12" s="789" customFormat="1">
      <c r="B24" s="919"/>
      <c r="C24" s="919"/>
      <c r="D24" s="919"/>
      <c r="E24" s="919"/>
      <c r="F24" s="1270"/>
    </row>
    <row r="25" spans="1:12" s="789" customFormat="1" hidden="1">
      <c r="B25" s="3659" t="s">
        <v>2963</v>
      </c>
    </row>
    <row r="26" spans="1:12" hidden="1"/>
    <row r="27" spans="1:12" hidden="1">
      <c r="B27" s="248"/>
      <c r="C27" s="248"/>
      <c r="D27" s="248"/>
      <c r="E27" s="248"/>
      <c r="H27" s="355" t="s">
        <v>151</v>
      </c>
    </row>
    <row r="28" spans="1:12" hidden="1">
      <c r="B28" s="5809" t="s">
        <v>101</v>
      </c>
      <c r="C28" s="5809" t="s">
        <v>81</v>
      </c>
      <c r="D28" s="3656"/>
      <c r="E28" s="5809" t="s">
        <v>82</v>
      </c>
      <c r="F28" s="5809"/>
      <c r="G28" s="5809" t="s">
        <v>1845</v>
      </c>
      <c r="H28" s="5809"/>
    </row>
    <row r="29" spans="1:12" ht="31.5" hidden="1">
      <c r="B29" s="5809"/>
      <c r="C29" s="5809"/>
      <c r="D29" s="3656"/>
      <c r="E29" s="3656" t="s">
        <v>755</v>
      </c>
      <c r="F29" s="3656" t="s">
        <v>758</v>
      </c>
      <c r="G29" s="3656" t="s">
        <v>755</v>
      </c>
      <c r="H29" s="3656" t="s">
        <v>758</v>
      </c>
    </row>
    <row r="30" spans="1:12" hidden="1">
      <c r="B30" s="785">
        <f t="shared" ref="B30:B36" si="12">B29+1</f>
        <v>1</v>
      </c>
      <c r="C30" s="857" t="s">
        <v>2964</v>
      </c>
      <c r="D30" s="3410"/>
      <c r="E30" s="3411"/>
      <c r="F30" s="3411">
        <f>Assumptions!$E$67</f>
        <v>0.16277374862683766</v>
      </c>
      <c r="G30" s="3411"/>
      <c r="H30" s="3411">
        <f>Assumptions!$F$67</f>
        <v>0.16290894746062173</v>
      </c>
    </row>
    <row r="31" spans="1:12" ht="31.5" hidden="1">
      <c r="B31" s="785">
        <f t="shared" si="12"/>
        <v>2</v>
      </c>
      <c r="C31" s="271" t="s">
        <v>1974</v>
      </c>
      <c r="D31" s="3412"/>
      <c r="E31" s="3412">
        <f>E30*E10</f>
        <v>0</v>
      </c>
      <c r="F31" s="3412">
        <f>F30*F10</f>
        <v>126.27499097224185</v>
      </c>
      <c r="G31" s="3412">
        <f t="shared" ref="G31:H31" si="13">G30*G10</f>
        <v>0</v>
      </c>
      <c r="H31" s="3412">
        <f t="shared" si="13"/>
        <v>131.57615693744319</v>
      </c>
    </row>
    <row r="32" spans="1:12" ht="31.5" hidden="1">
      <c r="B32" s="785">
        <f t="shared" si="12"/>
        <v>3</v>
      </c>
      <c r="C32" s="271" t="s">
        <v>1975</v>
      </c>
      <c r="D32" s="3407"/>
      <c r="E32" s="3407">
        <f t="shared" ref="E32" si="14">(E30/2)*(E15-E16)</f>
        <v>0</v>
      </c>
      <c r="F32" s="3407">
        <f>(F30/2)*(F15-F16)</f>
        <v>2.5959851742880464</v>
      </c>
      <c r="G32" s="3407">
        <f t="shared" ref="G32:H32" si="15">(G30/2)*(G15-G16)</f>
        <v>0</v>
      </c>
      <c r="H32" s="3407">
        <f t="shared" si="15"/>
        <v>1.9017069834418239</v>
      </c>
    </row>
    <row r="33" spans="2:8" ht="31.5" hidden="1">
      <c r="B33" s="785">
        <f t="shared" si="12"/>
        <v>4</v>
      </c>
      <c r="C33" s="271" t="s">
        <v>2926</v>
      </c>
      <c r="D33" s="3582"/>
      <c r="E33" s="1282">
        <f>SUM(E31:E32)</f>
        <v>0</v>
      </c>
      <c r="F33" s="1282">
        <f>SUM(F31:F32)</f>
        <v>128.8709761465299</v>
      </c>
      <c r="G33" s="3655">
        <f>SUM(G31:G32)</f>
        <v>0</v>
      </c>
      <c r="H33" s="3655">
        <f>SUM(H31:H32)</f>
        <v>133.477863920885</v>
      </c>
    </row>
    <row r="34" spans="2:8" hidden="1">
      <c r="B34" s="785">
        <f t="shared" si="12"/>
        <v>5</v>
      </c>
      <c r="C34" s="269" t="s">
        <v>2919</v>
      </c>
      <c r="D34" s="3582"/>
      <c r="E34" s="1282"/>
      <c r="F34" s="1282">
        <f>F33-F22</f>
        <v>4.1230705487092791</v>
      </c>
      <c r="G34" s="3655"/>
      <c r="H34" s="1282">
        <f>H33-H22</f>
        <v>4.4399619727340678</v>
      </c>
    </row>
    <row r="35" spans="2:8" hidden="1">
      <c r="B35" s="785">
        <f t="shared" si="12"/>
        <v>6</v>
      </c>
      <c r="C35" s="258" t="s">
        <v>2896</v>
      </c>
      <c r="D35" s="777"/>
      <c r="E35" s="777"/>
      <c r="F35" s="1265">
        <f>F34*2/3</f>
        <v>2.7487136991395196</v>
      </c>
      <c r="G35" s="777"/>
      <c r="H35" s="1265">
        <f>H34*2/3</f>
        <v>2.9599746484893785</v>
      </c>
    </row>
    <row r="36" spans="2:8" ht="31.5" hidden="1">
      <c r="B36" s="785">
        <f t="shared" si="12"/>
        <v>7</v>
      </c>
      <c r="C36" s="481" t="s">
        <v>2895</v>
      </c>
      <c r="D36" s="269"/>
      <c r="E36" s="269"/>
      <c r="F36" s="1265">
        <f>F34-F35</f>
        <v>1.3743568495697596</v>
      </c>
      <c r="G36" s="4434"/>
      <c r="H36" s="1265">
        <f>H34-H35</f>
        <v>1.4799873242446893</v>
      </c>
    </row>
    <row r="37" spans="2:8" hidden="1"/>
  </sheetData>
  <mergeCells count="14">
    <mergeCell ref="A8:A9"/>
    <mergeCell ref="B28:B29"/>
    <mergeCell ref="C28:C29"/>
    <mergeCell ref="E28:F28"/>
    <mergeCell ref="G28:H28"/>
    <mergeCell ref="B2:H2"/>
    <mergeCell ref="I8:J8"/>
    <mergeCell ref="K8:L8"/>
    <mergeCell ref="B7:B9"/>
    <mergeCell ref="C7:C9"/>
    <mergeCell ref="D7:D8"/>
    <mergeCell ref="E7:F8"/>
    <mergeCell ref="G7:H8"/>
    <mergeCell ref="I7:L7"/>
  </mergeCells>
  <printOptions horizontalCentered="1"/>
  <pageMargins left="0.2" right="0.25" top="0.89" bottom="0.56999999999999995" header="0.25" footer="0.25"/>
  <pageSetup paperSize="9"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sheetPr codeName="Sheet5"/>
  <dimension ref="B1:M56"/>
  <sheetViews>
    <sheetView topLeftCell="A35" workbookViewId="0">
      <selection activeCell="H58" sqref="H58"/>
    </sheetView>
  </sheetViews>
  <sheetFormatPr defaultRowHeight="15"/>
  <cols>
    <col min="6" max="6" width="12.85546875" customWidth="1"/>
    <col min="7" max="7" width="12.140625" customWidth="1"/>
    <col min="8" max="8" width="11.85546875" customWidth="1"/>
    <col min="9" max="9" width="14" customWidth="1"/>
    <col min="10" max="10" width="12.85546875" customWidth="1"/>
    <col min="11" max="11" width="15.5703125" customWidth="1"/>
    <col min="12" max="12" width="14" customWidth="1"/>
    <col min="13" max="13" width="14.7109375" customWidth="1"/>
  </cols>
  <sheetData>
    <row r="1" spans="2:13" ht="15.75" thickBot="1"/>
    <row r="2" spans="2:13">
      <c r="B2" s="5402" t="s">
        <v>66</v>
      </c>
      <c r="C2" s="5403"/>
      <c r="D2" s="5403"/>
      <c r="E2" s="5403"/>
      <c r="F2" s="5404"/>
    </row>
    <row r="3" spans="2:13" ht="48" customHeight="1">
      <c r="B3" s="7" t="s">
        <v>1</v>
      </c>
      <c r="C3" s="7" t="s">
        <v>2</v>
      </c>
      <c r="D3" s="7" t="s">
        <v>62</v>
      </c>
      <c r="E3" s="7"/>
      <c r="F3" s="7" t="s">
        <v>4</v>
      </c>
      <c r="G3" s="7" t="s">
        <v>5</v>
      </c>
      <c r="H3" s="7" t="s">
        <v>6</v>
      </c>
      <c r="I3" s="7" t="s">
        <v>7</v>
      </c>
      <c r="J3" s="7" t="s">
        <v>8</v>
      </c>
      <c r="K3" s="7" t="s">
        <v>9</v>
      </c>
      <c r="L3" s="7" t="s">
        <v>67</v>
      </c>
      <c r="M3" s="7" t="s">
        <v>11</v>
      </c>
    </row>
    <row r="4" spans="2:13">
      <c r="B4" s="1"/>
      <c r="C4" s="1"/>
      <c r="D4" s="1" t="s">
        <v>12</v>
      </c>
      <c r="E4" s="1" t="s">
        <v>13</v>
      </c>
      <c r="F4" s="1"/>
      <c r="G4" s="1"/>
      <c r="H4" s="1"/>
      <c r="I4" s="1"/>
      <c r="J4" s="1"/>
      <c r="K4" s="1"/>
      <c r="L4" s="1"/>
      <c r="M4" s="1"/>
    </row>
    <row r="5" spans="2:13">
      <c r="B5" s="1" t="s">
        <v>14</v>
      </c>
      <c r="C5" s="1" t="s">
        <v>15</v>
      </c>
      <c r="D5" s="1"/>
      <c r="E5" s="1"/>
      <c r="F5" s="1">
        <v>42017</v>
      </c>
      <c r="G5" s="1">
        <v>17088.400000000001</v>
      </c>
      <c r="H5" s="1">
        <v>1726.8</v>
      </c>
      <c r="I5" s="1">
        <v>844.8</v>
      </c>
      <c r="J5" s="1">
        <v>19660</v>
      </c>
      <c r="K5" s="1">
        <v>0.46790584763310089</v>
      </c>
      <c r="L5" s="1">
        <v>4090.73</v>
      </c>
      <c r="M5" s="1">
        <v>9.735892614893972E-2</v>
      </c>
    </row>
    <row r="6" spans="2:13">
      <c r="B6" s="1" t="s">
        <v>16</v>
      </c>
      <c r="C6" s="1" t="s">
        <v>17</v>
      </c>
      <c r="D6" s="1"/>
      <c r="E6" s="1"/>
      <c r="F6" s="1">
        <v>57820183</v>
      </c>
      <c r="G6" s="1">
        <v>98546508.049999997</v>
      </c>
      <c r="H6" s="5399">
        <v>48561025.869999997</v>
      </c>
      <c r="I6" s="1">
        <v>9625242</v>
      </c>
      <c r="J6" s="5399">
        <v>719514628.13999987</v>
      </c>
      <c r="K6" s="1">
        <v>4.36550269546564</v>
      </c>
      <c r="L6" s="1">
        <v>19502453</v>
      </c>
      <c r="M6" s="1">
        <v>0.33729490271589074</v>
      </c>
    </row>
    <row r="7" spans="2:13">
      <c r="B7" s="1"/>
      <c r="C7" s="1" t="s">
        <v>18</v>
      </c>
      <c r="D7" s="1"/>
      <c r="E7" s="1"/>
      <c r="F7" s="1">
        <v>53168687</v>
      </c>
      <c r="G7" s="1">
        <v>183860277.77999997</v>
      </c>
      <c r="H7" s="5400"/>
      <c r="I7" s="1">
        <v>16971998.039999999</v>
      </c>
      <c r="J7" s="5400"/>
      <c r="K7" s="1"/>
      <c r="L7" s="1">
        <v>38985296.740000002</v>
      </c>
      <c r="M7" s="1">
        <v>0.73323790636394692</v>
      </c>
    </row>
    <row r="8" spans="2:13">
      <c r="B8" s="1"/>
      <c r="C8" s="1" t="s">
        <v>19</v>
      </c>
      <c r="D8" s="1"/>
      <c r="E8" s="1"/>
      <c r="F8" s="1">
        <v>19003277</v>
      </c>
      <c r="G8" s="1">
        <v>101067949.89999999</v>
      </c>
      <c r="H8" s="5400"/>
      <c r="I8" s="1">
        <v>8413963.1999999993</v>
      </c>
      <c r="J8" s="5400"/>
      <c r="K8" s="1"/>
      <c r="L8" s="1">
        <v>21865942.039999999</v>
      </c>
      <c r="M8" s="1">
        <v>1.1506405995134417</v>
      </c>
    </row>
    <row r="9" spans="2:13">
      <c r="B9" s="1"/>
      <c r="C9" s="1" t="s">
        <v>20</v>
      </c>
      <c r="D9" s="1"/>
      <c r="E9" s="1"/>
      <c r="F9" s="1">
        <v>34826129</v>
      </c>
      <c r="G9" s="1">
        <v>237309299.79999998</v>
      </c>
      <c r="H9" s="5401"/>
      <c r="I9" s="1">
        <v>15158363.5</v>
      </c>
      <c r="J9" s="5401"/>
      <c r="K9" s="1"/>
      <c r="L9" s="1">
        <v>50390092.120000005</v>
      </c>
      <c r="M9" s="1">
        <v>1.4469047685431822</v>
      </c>
    </row>
    <row r="10" spans="2:13">
      <c r="B10" s="1" t="s">
        <v>21</v>
      </c>
      <c r="C10" s="1" t="s">
        <v>22</v>
      </c>
      <c r="D10" s="1"/>
      <c r="E10" s="1"/>
      <c r="F10" s="1">
        <v>25383762</v>
      </c>
      <c r="G10" s="1">
        <v>101535048</v>
      </c>
      <c r="H10" s="5399">
        <v>54410522.719999999</v>
      </c>
      <c r="I10" s="1"/>
      <c r="J10" s="5399">
        <v>585373594.36000001</v>
      </c>
      <c r="K10" s="1">
        <v>7.0937143796828019</v>
      </c>
      <c r="L10" s="1"/>
      <c r="M10" s="1"/>
    </row>
    <row r="11" spans="2:13">
      <c r="B11" s="1"/>
      <c r="C11" s="1" t="s">
        <v>19</v>
      </c>
      <c r="D11" s="1"/>
      <c r="E11" s="1"/>
      <c r="F11" s="1">
        <v>8004534</v>
      </c>
      <c r="G11" s="1">
        <v>48027204</v>
      </c>
      <c r="H11" s="5400"/>
      <c r="I11" s="1"/>
      <c r="J11" s="5400"/>
      <c r="K11" s="1"/>
      <c r="L11" s="1"/>
      <c r="M11" s="1"/>
    </row>
    <row r="12" spans="2:13">
      <c r="B12" s="1"/>
      <c r="C12" s="1" t="s">
        <v>23</v>
      </c>
      <c r="D12" s="1"/>
      <c r="E12" s="1"/>
      <c r="F12" s="1">
        <v>10391013</v>
      </c>
      <c r="G12" s="1">
        <v>71697989.700000003</v>
      </c>
      <c r="H12" s="5400"/>
      <c r="I12" s="1"/>
      <c r="J12" s="5400"/>
      <c r="K12" s="1"/>
      <c r="L12" s="1"/>
      <c r="M12" s="1"/>
    </row>
    <row r="13" spans="2:13">
      <c r="B13" s="1"/>
      <c r="C13" s="1" t="s">
        <v>24</v>
      </c>
      <c r="D13" s="1"/>
      <c r="E13" s="1"/>
      <c r="F13" s="1">
        <v>16365492</v>
      </c>
      <c r="G13" s="1">
        <v>124377739.19999999</v>
      </c>
      <c r="H13" s="5400"/>
      <c r="I13" s="1"/>
      <c r="J13" s="5400"/>
      <c r="K13" s="1"/>
      <c r="L13" s="1"/>
      <c r="M13" s="1"/>
    </row>
    <row r="14" spans="2:13">
      <c r="B14" s="1"/>
      <c r="C14" s="1" t="s">
        <v>25</v>
      </c>
      <c r="D14" s="1"/>
      <c r="E14" s="1"/>
      <c r="F14" s="1">
        <v>13752185</v>
      </c>
      <c r="G14" s="1">
        <v>75637017.5</v>
      </c>
      <c r="H14" s="5400"/>
      <c r="I14" s="1">
        <v>20353233.800000001</v>
      </c>
      <c r="J14" s="5400"/>
      <c r="K14" s="1"/>
      <c r="L14" s="1">
        <v>55011210.650000006</v>
      </c>
      <c r="M14" s="1">
        <v>1.1669632868192414</v>
      </c>
    </row>
    <row r="15" spans="2:13">
      <c r="B15" s="1"/>
      <c r="C15" s="1" t="s">
        <v>26</v>
      </c>
      <c r="D15" s="1"/>
      <c r="E15" s="1"/>
      <c r="F15" s="1">
        <v>8623054</v>
      </c>
      <c r="G15" s="1">
        <v>70364120.640000001</v>
      </c>
      <c r="H15" s="5401"/>
      <c r="I15" s="1">
        <v>18970718.800000001</v>
      </c>
      <c r="J15" s="5401"/>
      <c r="K15" s="1"/>
      <c r="L15" s="1">
        <v>60471518.589999996</v>
      </c>
      <c r="M15" s="1">
        <v>1.7092219433826181</v>
      </c>
    </row>
    <row r="16" spans="2:13">
      <c r="B16" s="1" t="s">
        <v>27</v>
      </c>
      <c r="C16" s="1" t="s">
        <v>28</v>
      </c>
      <c r="D16" s="1"/>
      <c r="E16" s="1"/>
      <c r="F16" s="1">
        <v>25140904</v>
      </c>
      <c r="G16" s="1">
        <v>183583766.19999999</v>
      </c>
      <c r="H16" s="1">
        <v>17645243.109999999</v>
      </c>
      <c r="I16" s="1">
        <v>169441.5</v>
      </c>
      <c r="J16" s="1">
        <v>201398450.81</v>
      </c>
      <c r="K16" s="1">
        <v>8.0107879497889183</v>
      </c>
      <c r="L16" s="1">
        <v>45741809.850000001</v>
      </c>
      <c r="M16" s="1">
        <v>1.8194178638126934</v>
      </c>
    </row>
    <row r="17" spans="2:13">
      <c r="B17" s="1" t="s">
        <v>29</v>
      </c>
      <c r="C17" s="1" t="s">
        <v>28</v>
      </c>
      <c r="D17" s="1"/>
      <c r="E17" s="1"/>
      <c r="F17" s="1">
        <v>52182247</v>
      </c>
      <c r="G17" s="1">
        <v>394005620.02999997</v>
      </c>
      <c r="H17" s="1">
        <v>29019316.370000001</v>
      </c>
      <c r="I17" s="1">
        <v>119719.06000000001</v>
      </c>
      <c r="J17" s="1">
        <v>423144655.45999998</v>
      </c>
      <c r="K17" s="1">
        <v>8.1089772822546333</v>
      </c>
      <c r="L17" s="1">
        <v>97542155.329999998</v>
      </c>
      <c r="M17" s="1">
        <v>1.8692593925669778</v>
      </c>
    </row>
    <row r="18" spans="2:13">
      <c r="B18" s="1" t="s">
        <v>30</v>
      </c>
      <c r="C18" s="1" t="s">
        <v>22</v>
      </c>
      <c r="D18" s="1"/>
      <c r="E18" s="1"/>
      <c r="F18" s="1">
        <v>966850</v>
      </c>
      <c r="G18" s="1">
        <v>3577345</v>
      </c>
      <c r="H18" s="5399">
        <v>2661866.54</v>
      </c>
      <c r="I18" s="1"/>
      <c r="J18" s="5399">
        <v>26559673.510000002</v>
      </c>
      <c r="K18" s="1">
        <v>6.6083453554778657</v>
      </c>
      <c r="L18" s="1"/>
      <c r="M18" s="1"/>
    </row>
    <row r="19" spans="2:13">
      <c r="B19" s="1"/>
      <c r="C19" s="1" t="s">
        <v>19</v>
      </c>
      <c r="D19" s="1"/>
      <c r="E19" s="1"/>
      <c r="F19" s="1">
        <v>428551</v>
      </c>
      <c r="G19" s="1">
        <v>2357030.5</v>
      </c>
      <c r="H19" s="5400"/>
      <c r="I19" s="1"/>
      <c r="J19" s="5400"/>
      <c r="K19" s="1"/>
      <c r="L19" s="1"/>
      <c r="M19" s="1"/>
    </row>
    <row r="20" spans="2:13">
      <c r="B20" s="1"/>
      <c r="C20" s="1" t="s">
        <v>23</v>
      </c>
      <c r="D20" s="1"/>
      <c r="E20" s="1"/>
      <c r="F20" s="1">
        <v>656037</v>
      </c>
      <c r="G20" s="1">
        <v>3903420.15</v>
      </c>
      <c r="H20" s="5400"/>
      <c r="I20" s="1"/>
      <c r="J20" s="5400"/>
      <c r="K20" s="1"/>
      <c r="L20" s="1"/>
      <c r="M20" s="1"/>
    </row>
    <row r="21" spans="2:13">
      <c r="B21" s="1"/>
      <c r="C21" s="1" t="s">
        <v>24</v>
      </c>
      <c r="D21" s="1"/>
      <c r="E21" s="1"/>
      <c r="F21" s="1">
        <v>977876</v>
      </c>
      <c r="G21" s="1">
        <v>6258406.4000000004</v>
      </c>
      <c r="H21" s="5400"/>
      <c r="I21" s="1"/>
      <c r="J21" s="5400"/>
      <c r="K21" s="1"/>
      <c r="L21" s="1"/>
      <c r="M21" s="1"/>
    </row>
    <row r="22" spans="2:13">
      <c r="B22" s="1"/>
      <c r="C22" s="1" t="s">
        <v>25</v>
      </c>
      <c r="D22" s="1"/>
      <c r="E22" s="1"/>
      <c r="F22" s="1">
        <v>511072</v>
      </c>
      <c r="G22" s="1">
        <v>2662685.12</v>
      </c>
      <c r="H22" s="5400"/>
      <c r="I22" s="1">
        <v>715500.79999999993</v>
      </c>
      <c r="J22" s="5400"/>
      <c r="K22" s="1"/>
      <c r="L22" s="1">
        <v>2124253.2000000002</v>
      </c>
      <c r="M22" s="1">
        <v>1.1142319875497844</v>
      </c>
    </row>
    <row r="23" spans="2:13">
      <c r="B23" s="1"/>
      <c r="C23" s="1" t="s">
        <v>26</v>
      </c>
      <c r="D23" s="1"/>
      <c r="E23" s="1"/>
      <c r="F23" s="1">
        <v>478725</v>
      </c>
      <c r="G23" s="1">
        <v>3485118</v>
      </c>
      <c r="H23" s="5401"/>
      <c r="I23" s="1">
        <v>938301</v>
      </c>
      <c r="J23" s="5401"/>
      <c r="K23" s="1"/>
      <c r="L23" s="1">
        <v>3148055.63</v>
      </c>
      <c r="M23" s="1">
        <v>1.4901065066518731</v>
      </c>
    </row>
    <row r="24" spans="2:13">
      <c r="B24" s="1" t="s">
        <v>31</v>
      </c>
      <c r="C24" s="1" t="s">
        <v>28</v>
      </c>
      <c r="D24" s="1"/>
      <c r="E24" s="1"/>
      <c r="F24" s="1">
        <v>4577401</v>
      </c>
      <c r="G24" s="1">
        <v>24724058.200000003</v>
      </c>
      <c r="H24" s="1">
        <v>3982916.31</v>
      </c>
      <c r="I24" s="1">
        <v>9520</v>
      </c>
      <c r="J24" s="1">
        <v>28716494.510000002</v>
      </c>
      <c r="K24" s="1">
        <v>6.2735369940278343</v>
      </c>
      <c r="L24" s="1">
        <v>6683005.46</v>
      </c>
      <c r="M24" s="1">
        <v>1.46</v>
      </c>
    </row>
    <row r="25" spans="2:13">
      <c r="B25" s="1" t="s">
        <v>32</v>
      </c>
      <c r="C25" s="1" t="s">
        <v>28</v>
      </c>
      <c r="D25" s="1"/>
      <c r="E25" s="1"/>
      <c r="F25" s="1">
        <v>4312883</v>
      </c>
      <c r="G25" s="1">
        <v>22858927.359999999</v>
      </c>
      <c r="H25" s="1">
        <v>2052146.56</v>
      </c>
      <c r="I25" s="1">
        <v>1021.68</v>
      </c>
      <c r="J25" s="1">
        <v>24912095.599999998</v>
      </c>
      <c r="K25" s="1">
        <v>5.7762048263307859</v>
      </c>
      <c r="L25" s="1">
        <v>5773038.8200000003</v>
      </c>
      <c r="M25" s="1">
        <v>1.3385567890434311</v>
      </c>
    </row>
    <row r="26" spans="2:13">
      <c r="B26" s="1" t="s">
        <v>33</v>
      </c>
      <c r="C26" s="1" t="s">
        <v>28</v>
      </c>
      <c r="D26" s="1"/>
      <c r="E26" s="1"/>
      <c r="F26" s="1">
        <v>185426</v>
      </c>
      <c r="G26" s="1">
        <v>2132444.9000000004</v>
      </c>
      <c r="H26" s="1">
        <v>339043.45</v>
      </c>
      <c r="I26" s="1">
        <v>167827.6</v>
      </c>
      <c r="J26" s="1">
        <v>2639315.9500000007</v>
      </c>
      <c r="K26" s="1">
        <v>14.233796501030064</v>
      </c>
      <c r="L26" s="1">
        <v>494720.88</v>
      </c>
      <c r="M26" s="1">
        <v>2.6680232545597704</v>
      </c>
    </row>
    <row r="27" spans="2:13">
      <c r="B27" s="1" t="s">
        <v>34</v>
      </c>
      <c r="C27" s="1" t="s">
        <v>28</v>
      </c>
      <c r="D27" s="1"/>
      <c r="E27" s="1"/>
      <c r="F27" s="1">
        <v>2057099.43</v>
      </c>
      <c r="G27" s="1">
        <v>10902626.978999998</v>
      </c>
      <c r="H27" s="1">
        <v>1332910.24</v>
      </c>
      <c r="I27" s="1">
        <v>0</v>
      </c>
      <c r="J27" s="1">
        <v>12235537.218999999</v>
      </c>
      <c r="K27" s="1">
        <v>5.9479561564022205</v>
      </c>
      <c r="L27" s="1">
        <v>2242238.38</v>
      </c>
      <c r="M27" s="1">
        <v>1.0900000006319577</v>
      </c>
    </row>
    <row r="28" spans="2:13">
      <c r="B28" s="1" t="s">
        <v>35</v>
      </c>
      <c r="C28" s="1" t="s">
        <v>28</v>
      </c>
      <c r="D28" s="1"/>
      <c r="E28" s="1"/>
      <c r="F28" s="1">
        <v>324286</v>
      </c>
      <c r="G28" s="1">
        <v>1768746.08</v>
      </c>
      <c r="H28" s="1">
        <v>182259.45</v>
      </c>
      <c r="I28" s="1">
        <v>211238.96</v>
      </c>
      <c r="J28" s="1">
        <v>2162244.4900000002</v>
      </c>
      <c r="K28" s="1">
        <v>6.6677084117106515</v>
      </c>
      <c r="L28" s="1">
        <v>422950.82</v>
      </c>
      <c r="M28" s="1">
        <v>1.3042524808348186</v>
      </c>
    </row>
    <row r="29" spans="2:13">
      <c r="B29" s="1" t="s">
        <v>36</v>
      </c>
      <c r="C29" s="1" t="s">
        <v>28</v>
      </c>
      <c r="D29" s="1"/>
      <c r="E29" s="1"/>
      <c r="F29" s="1">
        <v>591</v>
      </c>
      <c r="G29" s="1">
        <v>1684.3500000000001</v>
      </c>
      <c r="H29" s="1">
        <v>794.65</v>
      </c>
      <c r="I29" s="1">
        <v>0</v>
      </c>
      <c r="J29" s="1">
        <v>2479</v>
      </c>
      <c r="K29" s="1">
        <v>4.1945854483925551</v>
      </c>
      <c r="L29" s="1">
        <v>330.96</v>
      </c>
      <c r="M29" s="1">
        <v>0.55999999999999994</v>
      </c>
    </row>
    <row r="30" spans="2:13">
      <c r="B30" s="1" t="s">
        <v>37</v>
      </c>
      <c r="C30" s="1" t="s">
        <v>28</v>
      </c>
      <c r="D30" s="1"/>
      <c r="E30" s="1"/>
      <c r="F30" s="1">
        <v>2905543</v>
      </c>
      <c r="G30" s="1">
        <v>25442699.329999998</v>
      </c>
      <c r="H30" s="1">
        <v>1289681.48</v>
      </c>
      <c r="I30" s="1">
        <v>75892.409999999989</v>
      </c>
      <c r="J30" s="1">
        <v>26808273.219999999</v>
      </c>
      <c r="K30" s="1">
        <v>9.2265966189452371</v>
      </c>
      <c r="L30" s="1">
        <v>5082851.9000000004</v>
      </c>
      <c r="M30" s="1">
        <v>1.7493638538476286</v>
      </c>
    </row>
    <row r="31" spans="2:13">
      <c r="B31" s="1" t="s">
        <v>38</v>
      </c>
      <c r="C31" s="1" t="s">
        <v>28</v>
      </c>
      <c r="D31" s="1"/>
      <c r="E31" s="1"/>
      <c r="F31" s="1">
        <v>111032</v>
      </c>
      <c r="G31" s="1">
        <v>296170.7</v>
      </c>
      <c r="H31" s="1">
        <v>2418.4699999999998</v>
      </c>
      <c r="I31" s="1">
        <v>3570.66</v>
      </c>
      <c r="J31" s="1">
        <v>302159.82999999996</v>
      </c>
      <c r="K31" s="1">
        <v>2.7213760897759203</v>
      </c>
      <c r="L31" s="1">
        <v>68839.839999999997</v>
      </c>
      <c r="M31" s="1">
        <v>0.62</v>
      </c>
    </row>
    <row r="32" spans="2:13">
      <c r="B32" s="1" t="s">
        <v>39</v>
      </c>
      <c r="C32" s="1" t="s">
        <v>28</v>
      </c>
      <c r="D32" s="1"/>
      <c r="E32" s="1"/>
      <c r="F32" s="1">
        <v>0</v>
      </c>
      <c r="G32" s="1">
        <v>0</v>
      </c>
      <c r="H32" s="1">
        <v>0</v>
      </c>
      <c r="I32" s="1">
        <v>0</v>
      </c>
      <c r="J32" s="1">
        <v>0</v>
      </c>
      <c r="K32" s="1" t="e">
        <v>#DIV/0!</v>
      </c>
      <c r="L32" s="1">
        <v>0</v>
      </c>
      <c r="M32" s="1"/>
    </row>
    <row r="33" spans="2:13">
      <c r="B33" s="1" t="s">
        <v>40</v>
      </c>
      <c r="C33" s="1" t="s">
        <v>28</v>
      </c>
      <c r="D33" s="1"/>
      <c r="E33" s="1"/>
      <c r="F33" s="1">
        <v>0</v>
      </c>
      <c r="G33" s="1">
        <v>0</v>
      </c>
      <c r="H33" s="1">
        <v>0</v>
      </c>
      <c r="I33" s="1">
        <v>0</v>
      </c>
      <c r="J33" s="1">
        <v>0</v>
      </c>
      <c r="K33" s="1" t="e">
        <v>#DIV/0!</v>
      </c>
      <c r="L33" s="1">
        <v>0</v>
      </c>
      <c r="M33" s="1"/>
    </row>
    <row r="34" spans="2:13">
      <c r="B34" s="1" t="s">
        <v>41</v>
      </c>
      <c r="C34" s="1" t="s">
        <v>28</v>
      </c>
      <c r="D34" s="1"/>
      <c r="E34" s="1"/>
      <c r="F34" s="1">
        <v>14762558</v>
      </c>
      <c r="G34" s="1">
        <v>74550938.299999997</v>
      </c>
      <c r="H34" s="1">
        <v>6397162.9699999997</v>
      </c>
      <c r="I34" s="1">
        <v>38.160000000000004</v>
      </c>
      <c r="J34" s="1">
        <v>80948139.429999992</v>
      </c>
      <c r="K34" s="1">
        <v>5.4833409921234511</v>
      </c>
      <c r="L34" s="1">
        <v>15500705.699999999</v>
      </c>
      <c r="M34" s="1">
        <v>1.050001341230971</v>
      </c>
    </row>
    <row r="35" spans="2:13">
      <c r="B35" s="1" t="s">
        <v>42</v>
      </c>
      <c r="C35" s="1" t="s">
        <v>28</v>
      </c>
      <c r="D35" s="1"/>
      <c r="E35" s="1"/>
      <c r="F35" s="1">
        <v>37705055</v>
      </c>
      <c r="G35" s="1">
        <v>201722726.24999997</v>
      </c>
      <c r="H35" s="1">
        <v>14965397.18</v>
      </c>
      <c r="I35" s="1">
        <v>1166.22</v>
      </c>
      <c r="J35" s="1">
        <v>216689289.64999998</v>
      </c>
      <c r="K35" s="1">
        <v>5.7469559360144142</v>
      </c>
      <c r="L35" s="1">
        <v>41098727.969999999</v>
      </c>
      <c r="M35" s="1">
        <v>1.0900057822485605</v>
      </c>
    </row>
    <row r="36" spans="2:13">
      <c r="B36" s="1" t="s">
        <v>43</v>
      </c>
      <c r="C36" s="1" t="s">
        <v>28</v>
      </c>
      <c r="D36" s="1"/>
      <c r="E36" s="1"/>
      <c r="F36" s="1">
        <v>2871530</v>
      </c>
      <c r="G36" s="1">
        <v>8614590</v>
      </c>
      <c r="H36" s="1">
        <v>1046373.75</v>
      </c>
      <c r="I36" s="1">
        <v>0</v>
      </c>
      <c r="J36" s="1">
        <v>9660963.75</v>
      </c>
      <c r="K36" s="1">
        <v>3.3643958969608536</v>
      </c>
      <c r="L36" s="1">
        <v>1837779.2</v>
      </c>
      <c r="M36" s="1">
        <v>0.64</v>
      </c>
    </row>
    <row r="37" spans="2:13">
      <c r="B37" s="1" t="s">
        <v>44</v>
      </c>
      <c r="C37" s="1" t="s">
        <v>28</v>
      </c>
      <c r="D37" s="1"/>
      <c r="E37" s="1"/>
      <c r="F37" s="1">
        <v>272124</v>
      </c>
      <c r="G37" s="1">
        <v>2231416.7999999998</v>
      </c>
      <c r="H37" s="1">
        <v>400</v>
      </c>
      <c r="I37" s="1">
        <v>0</v>
      </c>
      <c r="J37" s="1">
        <v>2231816.7999999998</v>
      </c>
      <c r="K37" s="1">
        <v>8.201469918125559</v>
      </c>
      <c r="L37" s="1">
        <v>432677.16</v>
      </c>
      <c r="M37" s="1">
        <v>1.5899999999999999</v>
      </c>
    </row>
    <row r="38" spans="2:13">
      <c r="B38" s="1" t="s">
        <v>45</v>
      </c>
      <c r="C38" s="1" t="s">
        <v>28</v>
      </c>
      <c r="D38" s="1"/>
      <c r="E38" s="1"/>
      <c r="F38" s="1">
        <v>0</v>
      </c>
      <c r="G38" s="1">
        <v>0</v>
      </c>
      <c r="H38" s="1">
        <v>200</v>
      </c>
      <c r="I38" s="1">
        <v>0</v>
      </c>
      <c r="J38" s="1">
        <v>200</v>
      </c>
      <c r="K38" s="1" t="e">
        <v>#DIV/0!</v>
      </c>
      <c r="L38" s="1">
        <v>0</v>
      </c>
      <c r="M38" s="1"/>
    </row>
    <row r="39" spans="2:13">
      <c r="B39" s="1" t="s">
        <v>46</v>
      </c>
      <c r="C39" s="1"/>
      <c r="D39" s="1"/>
      <c r="E39" s="1"/>
      <c r="F39" s="1"/>
      <c r="G39" s="1">
        <v>-7404056.21</v>
      </c>
      <c r="H39" s="1">
        <v>1587107.97</v>
      </c>
      <c r="I39" s="1">
        <v>0</v>
      </c>
      <c r="J39" s="1">
        <v>-5816948.2400000002</v>
      </c>
      <c r="K39" s="1"/>
      <c r="L39" s="1">
        <v>-1482032.16</v>
      </c>
      <c r="M39" s="1"/>
    </row>
    <row r="40" spans="2:13">
      <c r="B40" s="1" t="s">
        <v>47</v>
      </c>
      <c r="C40" s="1"/>
      <c r="D40" s="1"/>
      <c r="E40" s="1"/>
      <c r="F40" s="1">
        <v>398808123.43000001</v>
      </c>
      <c r="G40" s="1">
        <v>2080116607.4089999</v>
      </c>
      <c r="H40" s="1">
        <v>185478513.88999996</v>
      </c>
      <c r="I40" s="1">
        <v>91907602.189999983</v>
      </c>
      <c r="J40" s="1">
        <v>2357502723.4890003</v>
      </c>
      <c r="K40" s="1">
        <v>5.9113708698132781</v>
      </c>
      <c r="L40" s="1">
        <v>472942712.80999988</v>
      </c>
      <c r="M40" s="1">
        <v>1.1858903693896601</v>
      </c>
    </row>
    <row r="41" spans="2:13">
      <c r="B41" s="1"/>
      <c r="C41" s="1"/>
      <c r="D41" s="1"/>
      <c r="E41" s="1"/>
      <c r="F41" s="1"/>
      <c r="G41" s="1"/>
      <c r="H41" s="1"/>
      <c r="I41" s="1" t="s">
        <v>48</v>
      </c>
      <c r="J41" s="1">
        <v>12095897.26</v>
      </c>
      <c r="K41" s="1"/>
      <c r="L41" s="1"/>
      <c r="M41" s="1"/>
    </row>
    <row r="42" spans="2:13">
      <c r="B42" s="1"/>
      <c r="C42" s="1"/>
      <c r="D42" s="1"/>
      <c r="E42" s="1"/>
      <c r="F42" s="1"/>
      <c r="G42" s="1"/>
      <c r="H42" s="1"/>
      <c r="I42" s="1" t="s">
        <v>49</v>
      </c>
      <c r="J42" s="1">
        <v>473013038.70999998</v>
      </c>
      <c r="K42" s="1"/>
      <c r="L42" s="1">
        <v>-70325.900000095367</v>
      </c>
      <c r="M42" s="1"/>
    </row>
    <row r="43" spans="2:13">
      <c r="B43" s="1"/>
      <c r="C43" s="1"/>
      <c r="D43" s="1"/>
      <c r="E43" s="1"/>
      <c r="F43" s="1"/>
      <c r="G43" s="1"/>
      <c r="H43" s="1"/>
      <c r="I43" s="1" t="s">
        <v>50</v>
      </c>
      <c r="J43" s="1">
        <v>-212774.27</v>
      </c>
      <c r="K43" s="1"/>
      <c r="L43" s="1"/>
      <c r="M43" s="1"/>
    </row>
    <row r="44" spans="2:13">
      <c r="B44" s="1"/>
      <c r="C44" s="1"/>
      <c r="D44" s="1"/>
      <c r="E44" s="1"/>
      <c r="F44" s="1"/>
      <c r="G44" s="1"/>
      <c r="H44" s="1"/>
      <c r="I44" s="1" t="s">
        <v>51</v>
      </c>
      <c r="J44" s="1">
        <v>16079742.720000001</v>
      </c>
      <c r="K44" s="1"/>
      <c r="L44" s="1"/>
      <c r="M44" s="1"/>
    </row>
    <row r="45" spans="2:13">
      <c r="B45" s="1"/>
      <c r="C45" s="1"/>
      <c r="D45" s="1"/>
      <c r="E45" s="1"/>
      <c r="F45" s="1"/>
      <c r="G45" s="1"/>
      <c r="H45" s="1"/>
      <c r="I45" s="1" t="s">
        <v>52</v>
      </c>
      <c r="J45" s="1">
        <v>7136708.8700000001</v>
      </c>
      <c r="K45" s="1"/>
      <c r="L45" s="1"/>
      <c r="M45" s="1"/>
    </row>
    <row r="46" spans="2:13">
      <c r="B46" s="1"/>
      <c r="C46" s="1"/>
      <c r="D46" s="1"/>
      <c r="E46" s="1"/>
      <c r="F46" s="1"/>
      <c r="G46" s="1"/>
      <c r="H46" s="1"/>
      <c r="I46" s="1" t="s">
        <v>47</v>
      </c>
      <c r="J46" s="1">
        <v>2865615336.7790003</v>
      </c>
      <c r="K46" s="1"/>
      <c r="L46" s="1"/>
      <c r="M46" s="1"/>
    </row>
    <row r="47" spans="2:13">
      <c r="B47" s="1"/>
      <c r="C47" s="1"/>
      <c r="D47" s="1"/>
      <c r="E47" s="1"/>
      <c r="F47" s="1"/>
      <c r="G47" s="1"/>
      <c r="H47" s="1"/>
      <c r="I47" s="1" t="s">
        <v>53</v>
      </c>
      <c r="J47" s="1">
        <v>-8539803.0700000003</v>
      </c>
      <c r="K47" s="1"/>
      <c r="L47" s="1"/>
      <c r="M47" s="1"/>
    </row>
    <row r="48" spans="2:13">
      <c r="B48" s="1"/>
      <c r="C48" s="1"/>
      <c r="D48" s="1"/>
      <c r="E48" s="1"/>
      <c r="F48" s="1"/>
      <c r="G48" s="1"/>
      <c r="H48" s="1"/>
      <c r="I48" s="1" t="s">
        <v>54</v>
      </c>
      <c r="J48" s="1">
        <v>-47455029.630000003</v>
      </c>
      <c r="K48" s="1"/>
      <c r="L48" s="1"/>
      <c r="M48" s="1"/>
    </row>
    <row r="49" spans="2:13">
      <c r="B49" s="1"/>
      <c r="C49" s="1"/>
      <c r="D49" s="1"/>
      <c r="E49" s="1"/>
      <c r="F49" s="1"/>
      <c r="G49" s="1"/>
      <c r="H49" s="1"/>
      <c r="I49" s="1" t="s">
        <v>55</v>
      </c>
      <c r="J49" s="1">
        <v>-315764.34999999998</v>
      </c>
      <c r="K49" s="1"/>
      <c r="L49" s="1"/>
      <c r="M49" s="1"/>
    </row>
    <row r="50" spans="2:13">
      <c r="B50" s="1"/>
      <c r="C50" s="1"/>
      <c r="D50" s="1"/>
      <c r="E50" s="1"/>
      <c r="F50" s="1"/>
      <c r="G50" s="1"/>
      <c r="H50" s="1"/>
      <c r="I50" s="1" t="s">
        <v>56</v>
      </c>
      <c r="J50" s="1">
        <v>0</v>
      </c>
      <c r="K50" s="1"/>
      <c r="L50" s="1"/>
      <c r="M50" s="1"/>
    </row>
    <row r="51" spans="2:13">
      <c r="B51" s="1"/>
      <c r="C51" s="1"/>
      <c r="D51" s="1"/>
      <c r="E51" s="1"/>
      <c r="F51" s="1"/>
      <c r="G51" s="1"/>
      <c r="H51" s="1"/>
      <c r="I51" s="1" t="s">
        <v>57</v>
      </c>
      <c r="J51" s="1">
        <v>2809304739.7290001</v>
      </c>
      <c r="K51" s="1"/>
      <c r="L51" s="1"/>
      <c r="M51" s="1"/>
    </row>
    <row r="52" spans="2:13">
      <c r="B52" s="1"/>
      <c r="C52" s="1"/>
      <c r="D52" s="1"/>
      <c r="E52" s="1"/>
      <c r="F52" s="1"/>
      <c r="G52" s="1"/>
      <c r="H52" s="1"/>
      <c r="I52" s="1" t="s">
        <v>58</v>
      </c>
      <c r="J52" s="1">
        <v>7.1854487620084342</v>
      </c>
      <c r="K52" s="1"/>
      <c r="L52" s="1"/>
      <c r="M52" s="1"/>
    </row>
    <row r="53" spans="2:13">
      <c r="B53" s="1"/>
      <c r="C53" s="1"/>
      <c r="D53" s="1"/>
      <c r="E53" s="1"/>
      <c r="F53" s="1"/>
      <c r="G53" s="1"/>
      <c r="H53" s="1"/>
      <c r="I53" s="1" t="s">
        <v>59</v>
      </c>
      <c r="J53" s="1">
        <v>44021048.32</v>
      </c>
      <c r="K53" s="1"/>
      <c r="L53" s="1"/>
      <c r="M53" s="1"/>
    </row>
    <row r="54" spans="2:13">
      <c r="B54" s="1"/>
      <c r="C54" s="1"/>
      <c r="D54" s="1"/>
      <c r="E54" s="1"/>
      <c r="F54" s="1"/>
      <c r="G54" s="1"/>
      <c r="H54" s="1"/>
      <c r="I54" s="1" t="s">
        <v>60</v>
      </c>
      <c r="J54" s="1">
        <v>2909636385.0990005</v>
      </c>
      <c r="K54" s="1"/>
      <c r="L54" s="1"/>
      <c r="M54" s="1"/>
    </row>
    <row r="55" spans="2:13">
      <c r="B55" s="1"/>
      <c r="C55" s="1"/>
      <c r="D55" s="1"/>
      <c r="E55" s="1"/>
      <c r="F55" s="1"/>
      <c r="G55" s="1"/>
      <c r="H55" s="1"/>
      <c r="I55" s="1" t="s">
        <v>58</v>
      </c>
      <c r="J55" s="1"/>
      <c r="K55" s="1"/>
      <c r="L55" s="1"/>
      <c r="M55" s="1"/>
    </row>
    <row r="56" spans="2:13">
      <c r="B56" s="1"/>
      <c r="C56" s="1"/>
      <c r="D56" s="1"/>
      <c r="E56" s="1"/>
      <c r="F56" s="1"/>
      <c r="G56" s="1"/>
      <c r="H56" s="1"/>
      <c r="I56" s="1"/>
      <c r="J56" s="1">
        <v>7.2958302856880213</v>
      </c>
      <c r="K56" s="1"/>
      <c r="L56" s="1"/>
      <c r="M56" s="1"/>
    </row>
  </sheetData>
  <mergeCells count="7">
    <mergeCell ref="H18:H23"/>
    <mergeCell ref="J18:J23"/>
    <mergeCell ref="B2:F2"/>
    <mergeCell ref="H6:H9"/>
    <mergeCell ref="J6:J9"/>
    <mergeCell ref="H10:H15"/>
    <mergeCell ref="J10:J15"/>
  </mergeCells>
  <pageMargins left="0.7" right="0.7" top="0.75" bottom="0.75" header="0.3" footer="0.3"/>
</worksheet>
</file>

<file path=xl/worksheets/sheet50.xml><?xml version="1.0" encoding="utf-8"?>
<worksheet xmlns="http://schemas.openxmlformats.org/spreadsheetml/2006/main" xmlns:r="http://schemas.openxmlformats.org/officeDocument/2006/relationships">
  <sheetPr codeName="Sheet35">
    <pageSetUpPr fitToPage="1"/>
  </sheetPr>
  <dimension ref="A1:L336"/>
  <sheetViews>
    <sheetView showGridLines="0" view="pageBreakPreview" zoomScale="80" zoomScaleNormal="75" zoomScaleSheetLayoutView="80" workbookViewId="0">
      <selection activeCell="H1" sqref="H1:K1048576"/>
    </sheetView>
  </sheetViews>
  <sheetFormatPr defaultRowHeight="15.75"/>
  <cols>
    <col min="1" max="1" width="9" style="67" customWidth="1"/>
    <col min="2" max="2" width="59.85546875" style="67" customWidth="1"/>
    <col min="3" max="3" width="18.5703125" style="67" hidden="1" customWidth="1"/>
    <col min="4" max="4" width="15.28515625" style="67" customWidth="1"/>
    <col min="5" max="5" width="11.85546875" style="67" customWidth="1"/>
    <col min="6" max="6" width="15.7109375" style="67" customWidth="1"/>
    <col min="7" max="7" width="10.140625" style="67" customWidth="1"/>
    <col min="8" max="8" width="14.85546875" style="67" hidden="1" customWidth="1"/>
    <col min="9" max="9" width="15.5703125" style="67" hidden="1" customWidth="1"/>
    <col min="10" max="10" width="16.140625" style="67" hidden="1" customWidth="1"/>
    <col min="11" max="11" width="14.28515625" style="67" hidden="1" customWidth="1"/>
    <col min="12" max="12" width="9.28515625" style="67" bestFit="1" customWidth="1"/>
    <col min="13" max="251" width="9.140625" style="67"/>
    <col min="252" max="252" width="6.28515625" style="67" customWidth="1"/>
    <col min="253" max="253" width="59.85546875" style="67" customWidth="1"/>
    <col min="254" max="254" width="15.28515625" style="67" customWidth="1"/>
    <col min="255" max="255" width="18.42578125" style="67" customWidth="1"/>
    <col min="256" max="257" width="0" style="67" hidden="1" customWidth="1"/>
    <col min="258" max="258" width="15.7109375" style="67" customWidth="1"/>
    <col min="259" max="259" width="11.85546875" style="67" customWidth="1"/>
    <col min="260" max="260" width="12.85546875" style="67" customWidth="1"/>
    <col min="261" max="261" width="15.7109375" style="67" customWidth="1"/>
    <col min="262" max="507" width="9.140625" style="67"/>
    <col min="508" max="508" width="6.28515625" style="67" customWidth="1"/>
    <col min="509" max="509" width="59.85546875" style="67" customWidth="1"/>
    <col min="510" max="510" width="15.28515625" style="67" customWidth="1"/>
    <col min="511" max="511" width="18.42578125" style="67" customWidth="1"/>
    <col min="512" max="513" width="0" style="67" hidden="1" customWidth="1"/>
    <col min="514" max="514" width="15.7109375" style="67" customWidth="1"/>
    <col min="515" max="515" width="11.85546875" style="67" customWidth="1"/>
    <col min="516" max="516" width="12.85546875" style="67" customWidth="1"/>
    <col min="517" max="517" width="15.7109375" style="67" customWidth="1"/>
    <col min="518" max="763" width="9.140625" style="67"/>
    <col min="764" max="764" width="6.28515625" style="67" customWidth="1"/>
    <col min="765" max="765" width="59.85546875" style="67" customWidth="1"/>
    <col min="766" max="766" width="15.28515625" style="67" customWidth="1"/>
    <col min="767" max="767" width="18.42578125" style="67" customWidth="1"/>
    <col min="768" max="769" width="0" style="67" hidden="1" customWidth="1"/>
    <col min="770" max="770" width="15.7109375" style="67" customWidth="1"/>
    <col min="771" max="771" width="11.85546875" style="67" customWidth="1"/>
    <col min="772" max="772" width="12.85546875" style="67" customWidth="1"/>
    <col min="773" max="773" width="15.7109375" style="67" customWidth="1"/>
    <col min="774" max="1019" width="9.140625" style="67"/>
    <col min="1020" max="1020" width="6.28515625" style="67" customWidth="1"/>
    <col min="1021" max="1021" width="59.85546875" style="67" customWidth="1"/>
    <col min="1022" max="1022" width="15.28515625" style="67" customWidth="1"/>
    <col min="1023" max="1023" width="18.42578125" style="67" customWidth="1"/>
    <col min="1024" max="1025" width="0" style="67" hidden="1" customWidth="1"/>
    <col min="1026" max="1026" width="15.7109375" style="67" customWidth="1"/>
    <col min="1027" max="1027" width="11.85546875" style="67" customWidth="1"/>
    <col min="1028" max="1028" width="12.85546875" style="67" customWidth="1"/>
    <col min="1029" max="1029" width="15.7109375" style="67" customWidth="1"/>
    <col min="1030" max="1275" width="9.140625" style="67"/>
    <col min="1276" max="1276" width="6.28515625" style="67" customWidth="1"/>
    <col min="1277" max="1277" width="59.85546875" style="67" customWidth="1"/>
    <col min="1278" max="1278" width="15.28515625" style="67" customWidth="1"/>
    <col min="1279" max="1279" width="18.42578125" style="67" customWidth="1"/>
    <col min="1280" max="1281" width="0" style="67" hidden="1" customWidth="1"/>
    <col min="1282" max="1282" width="15.7109375" style="67" customWidth="1"/>
    <col min="1283" max="1283" width="11.85546875" style="67" customWidth="1"/>
    <col min="1284" max="1284" width="12.85546875" style="67" customWidth="1"/>
    <col min="1285" max="1285" width="15.7109375" style="67" customWidth="1"/>
    <col min="1286" max="1531" width="9.140625" style="67"/>
    <col min="1532" max="1532" width="6.28515625" style="67" customWidth="1"/>
    <col min="1533" max="1533" width="59.85546875" style="67" customWidth="1"/>
    <col min="1534" max="1534" width="15.28515625" style="67" customWidth="1"/>
    <col min="1535" max="1535" width="18.42578125" style="67" customWidth="1"/>
    <col min="1536" max="1537" width="0" style="67" hidden="1" customWidth="1"/>
    <col min="1538" max="1538" width="15.7109375" style="67" customWidth="1"/>
    <col min="1539" max="1539" width="11.85546875" style="67" customWidth="1"/>
    <col min="1540" max="1540" width="12.85546875" style="67" customWidth="1"/>
    <col min="1541" max="1541" width="15.7109375" style="67" customWidth="1"/>
    <col min="1542" max="1787" width="9.140625" style="67"/>
    <col min="1788" max="1788" width="6.28515625" style="67" customWidth="1"/>
    <col min="1789" max="1789" width="59.85546875" style="67" customWidth="1"/>
    <col min="1790" max="1790" width="15.28515625" style="67" customWidth="1"/>
    <col min="1791" max="1791" width="18.42578125" style="67" customWidth="1"/>
    <col min="1792" max="1793" width="0" style="67" hidden="1" customWidth="1"/>
    <col min="1794" max="1794" width="15.7109375" style="67" customWidth="1"/>
    <col min="1795" max="1795" width="11.85546875" style="67" customWidth="1"/>
    <col min="1796" max="1796" width="12.85546875" style="67" customWidth="1"/>
    <col min="1797" max="1797" width="15.7109375" style="67" customWidth="1"/>
    <col min="1798" max="2043" width="9.140625" style="67"/>
    <col min="2044" max="2044" width="6.28515625" style="67" customWidth="1"/>
    <col min="2045" max="2045" width="59.85546875" style="67" customWidth="1"/>
    <col min="2046" max="2046" width="15.28515625" style="67" customWidth="1"/>
    <col min="2047" max="2047" width="18.42578125" style="67" customWidth="1"/>
    <col min="2048" max="2049" width="0" style="67" hidden="1" customWidth="1"/>
    <col min="2050" max="2050" width="15.7109375" style="67" customWidth="1"/>
    <col min="2051" max="2051" width="11.85546875" style="67" customWidth="1"/>
    <col min="2052" max="2052" width="12.85546875" style="67" customWidth="1"/>
    <col min="2053" max="2053" width="15.7109375" style="67" customWidth="1"/>
    <col min="2054" max="2299" width="9.140625" style="67"/>
    <col min="2300" max="2300" width="6.28515625" style="67" customWidth="1"/>
    <col min="2301" max="2301" width="59.85546875" style="67" customWidth="1"/>
    <col min="2302" max="2302" width="15.28515625" style="67" customWidth="1"/>
    <col min="2303" max="2303" width="18.42578125" style="67" customWidth="1"/>
    <col min="2304" max="2305" width="0" style="67" hidden="1" customWidth="1"/>
    <col min="2306" max="2306" width="15.7109375" style="67" customWidth="1"/>
    <col min="2307" max="2307" width="11.85546875" style="67" customWidth="1"/>
    <col min="2308" max="2308" width="12.85546875" style="67" customWidth="1"/>
    <col min="2309" max="2309" width="15.7109375" style="67" customWidth="1"/>
    <col min="2310" max="2555" width="9.140625" style="67"/>
    <col min="2556" max="2556" width="6.28515625" style="67" customWidth="1"/>
    <col min="2557" max="2557" width="59.85546875" style="67" customWidth="1"/>
    <col min="2558" max="2558" width="15.28515625" style="67" customWidth="1"/>
    <col min="2559" max="2559" width="18.42578125" style="67" customWidth="1"/>
    <col min="2560" max="2561" width="0" style="67" hidden="1" customWidth="1"/>
    <col min="2562" max="2562" width="15.7109375" style="67" customWidth="1"/>
    <col min="2563" max="2563" width="11.85546875" style="67" customWidth="1"/>
    <col min="2564" max="2564" width="12.85546875" style="67" customWidth="1"/>
    <col min="2565" max="2565" width="15.7109375" style="67" customWidth="1"/>
    <col min="2566" max="2811" width="9.140625" style="67"/>
    <col min="2812" max="2812" width="6.28515625" style="67" customWidth="1"/>
    <col min="2813" max="2813" width="59.85546875" style="67" customWidth="1"/>
    <col min="2814" max="2814" width="15.28515625" style="67" customWidth="1"/>
    <col min="2815" max="2815" width="18.42578125" style="67" customWidth="1"/>
    <col min="2816" max="2817" width="0" style="67" hidden="1" customWidth="1"/>
    <col min="2818" max="2818" width="15.7109375" style="67" customWidth="1"/>
    <col min="2819" max="2819" width="11.85546875" style="67" customWidth="1"/>
    <col min="2820" max="2820" width="12.85546875" style="67" customWidth="1"/>
    <col min="2821" max="2821" width="15.7109375" style="67" customWidth="1"/>
    <col min="2822" max="3067" width="9.140625" style="67"/>
    <col min="3068" max="3068" width="6.28515625" style="67" customWidth="1"/>
    <col min="3069" max="3069" width="59.85546875" style="67" customWidth="1"/>
    <col min="3070" max="3070" width="15.28515625" style="67" customWidth="1"/>
    <col min="3071" max="3071" width="18.42578125" style="67" customWidth="1"/>
    <col min="3072" max="3073" width="0" style="67" hidden="1" customWidth="1"/>
    <col min="3074" max="3074" width="15.7109375" style="67" customWidth="1"/>
    <col min="3075" max="3075" width="11.85546875" style="67" customWidth="1"/>
    <col min="3076" max="3076" width="12.85546875" style="67" customWidth="1"/>
    <col min="3077" max="3077" width="15.7109375" style="67" customWidth="1"/>
    <col min="3078" max="3323" width="9.140625" style="67"/>
    <col min="3324" max="3324" width="6.28515625" style="67" customWidth="1"/>
    <col min="3325" max="3325" width="59.85546875" style="67" customWidth="1"/>
    <col min="3326" max="3326" width="15.28515625" style="67" customWidth="1"/>
    <col min="3327" max="3327" width="18.42578125" style="67" customWidth="1"/>
    <col min="3328" max="3329" width="0" style="67" hidden="1" customWidth="1"/>
    <col min="3330" max="3330" width="15.7109375" style="67" customWidth="1"/>
    <col min="3331" max="3331" width="11.85546875" style="67" customWidth="1"/>
    <col min="3332" max="3332" width="12.85546875" style="67" customWidth="1"/>
    <col min="3333" max="3333" width="15.7109375" style="67" customWidth="1"/>
    <col min="3334" max="3579" width="9.140625" style="67"/>
    <col min="3580" max="3580" width="6.28515625" style="67" customWidth="1"/>
    <col min="3581" max="3581" width="59.85546875" style="67" customWidth="1"/>
    <col min="3582" max="3582" width="15.28515625" style="67" customWidth="1"/>
    <col min="3583" max="3583" width="18.42578125" style="67" customWidth="1"/>
    <col min="3584" max="3585" width="0" style="67" hidden="1" customWidth="1"/>
    <col min="3586" max="3586" width="15.7109375" style="67" customWidth="1"/>
    <col min="3587" max="3587" width="11.85546875" style="67" customWidth="1"/>
    <col min="3588" max="3588" width="12.85546875" style="67" customWidth="1"/>
    <col min="3589" max="3589" width="15.7109375" style="67" customWidth="1"/>
    <col min="3590" max="3835" width="9.140625" style="67"/>
    <col min="3836" max="3836" width="6.28515625" style="67" customWidth="1"/>
    <col min="3837" max="3837" width="59.85546875" style="67" customWidth="1"/>
    <col min="3838" max="3838" width="15.28515625" style="67" customWidth="1"/>
    <col min="3839" max="3839" width="18.42578125" style="67" customWidth="1"/>
    <col min="3840" max="3841" width="0" style="67" hidden="1" customWidth="1"/>
    <col min="3842" max="3842" width="15.7109375" style="67" customWidth="1"/>
    <col min="3843" max="3843" width="11.85546875" style="67" customWidth="1"/>
    <col min="3844" max="3844" width="12.85546875" style="67" customWidth="1"/>
    <col min="3845" max="3845" width="15.7109375" style="67" customWidth="1"/>
    <col min="3846" max="4091" width="9.140625" style="67"/>
    <col min="4092" max="4092" width="6.28515625" style="67" customWidth="1"/>
    <col min="4093" max="4093" width="59.85546875" style="67" customWidth="1"/>
    <col min="4094" max="4094" width="15.28515625" style="67" customWidth="1"/>
    <col min="4095" max="4095" width="18.42578125" style="67" customWidth="1"/>
    <col min="4096" max="4097" width="0" style="67" hidden="1" customWidth="1"/>
    <col min="4098" max="4098" width="15.7109375" style="67" customWidth="1"/>
    <col min="4099" max="4099" width="11.85546875" style="67" customWidth="1"/>
    <col min="4100" max="4100" width="12.85546875" style="67" customWidth="1"/>
    <col min="4101" max="4101" width="15.7109375" style="67" customWidth="1"/>
    <col min="4102" max="4347" width="9.140625" style="67"/>
    <col min="4348" max="4348" width="6.28515625" style="67" customWidth="1"/>
    <col min="4349" max="4349" width="59.85546875" style="67" customWidth="1"/>
    <col min="4350" max="4350" width="15.28515625" style="67" customWidth="1"/>
    <col min="4351" max="4351" width="18.42578125" style="67" customWidth="1"/>
    <col min="4352" max="4353" width="0" style="67" hidden="1" customWidth="1"/>
    <col min="4354" max="4354" width="15.7109375" style="67" customWidth="1"/>
    <col min="4355" max="4355" width="11.85546875" style="67" customWidth="1"/>
    <col min="4356" max="4356" width="12.85546875" style="67" customWidth="1"/>
    <col min="4357" max="4357" width="15.7109375" style="67" customWidth="1"/>
    <col min="4358" max="4603" width="9.140625" style="67"/>
    <col min="4604" max="4604" width="6.28515625" style="67" customWidth="1"/>
    <col min="4605" max="4605" width="59.85546875" style="67" customWidth="1"/>
    <col min="4606" max="4606" width="15.28515625" style="67" customWidth="1"/>
    <col min="4607" max="4607" width="18.42578125" style="67" customWidth="1"/>
    <col min="4608" max="4609" width="0" style="67" hidden="1" customWidth="1"/>
    <col min="4610" max="4610" width="15.7109375" style="67" customWidth="1"/>
    <col min="4611" max="4611" width="11.85546875" style="67" customWidth="1"/>
    <col min="4612" max="4612" width="12.85546875" style="67" customWidth="1"/>
    <col min="4613" max="4613" width="15.7109375" style="67" customWidth="1"/>
    <col min="4614" max="4859" width="9.140625" style="67"/>
    <col min="4860" max="4860" width="6.28515625" style="67" customWidth="1"/>
    <col min="4861" max="4861" width="59.85546875" style="67" customWidth="1"/>
    <col min="4862" max="4862" width="15.28515625" style="67" customWidth="1"/>
    <col min="4863" max="4863" width="18.42578125" style="67" customWidth="1"/>
    <col min="4864" max="4865" width="0" style="67" hidden="1" customWidth="1"/>
    <col min="4866" max="4866" width="15.7109375" style="67" customWidth="1"/>
    <col min="4867" max="4867" width="11.85546875" style="67" customWidth="1"/>
    <col min="4868" max="4868" width="12.85546875" style="67" customWidth="1"/>
    <col min="4869" max="4869" width="15.7109375" style="67" customWidth="1"/>
    <col min="4870" max="5115" width="9.140625" style="67"/>
    <col min="5116" max="5116" width="6.28515625" style="67" customWidth="1"/>
    <col min="5117" max="5117" width="59.85546875" style="67" customWidth="1"/>
    <col min="5118" max="5118" width="15.28515625" style="67" customWidth="1"/>
    <col min="5119" max="5119" width="18.42578125" style="67" customWidth="1"/>
    <col min="5120" max="5121" width="0" style="67" hidden="1" customWidth="1"/>
    <col min="5122" max="5122" width="15.7109375" style="67" customWidth="1"/>
    <col min="5123" max="5123" width="11.85546875" style="67" customWidth="1"/>
    <col min="5124" max="5124" width="12.85546875" style="67" customWidth="1"/>
    <col min="5125" max="5125" width="15.7109375" style="67" customWidth="1"/>
    <col min="5126" max="5371" width="9.140625" style="67"/>
    <col min="5372" max="5372" width="6.28515625" style="67" customWidth="1"/>
    <col min="5373" max="5373" width="59.85546875" style="67" customWidth="1"/>
    <col min="5374" max="5374" width="15.28515625" style="67" customWidth="1"/>
    <col min="5375" max="5375" width="18.42578125" style="67" customWidth="1"/>
    <col min="5376" max="5377" width="0" style="67" hidden="1" customWidth="1"/>
    <col min="5378" max="5378" width="15.7109375" style="67" customWidth="1"/>
    <col min="5379" max="5379" width="11.85546875" style="67" customWidth="1"/>
    <col min="5380" max="5380" width="12.85546875" style="67" customWidth="1"/>
    <col min="5381" max="5381" width="15.7109375" style="67" customWidth="1"/>
    <col min="5382" max="5627" width="9.140625" style="67"/>
    <col min="5628" max="5628" width="6.28515625" style="67" customWidth="1"/>
    <col min="5629" max="5629" width="59.85546875" style="67" customWidth="1"/>
    <col min="5630" max="5630" width="15.28515625" style="67" customWidth="1"/>
    <col min="5631" max="5631" width="18.42578125" style="67" customWidth="1"/>
    <col min="5632" max="5633" width="0" style="67" hidden="1" customWidth="1"/>
    <col min="5634" max="5634" width="15.7109375" style="67" customWidth="1"/>
    <col min="5635" max="5635" width="11.85546875" style="67" customWidth="1"/>
    <col min="5636" max="5636" width="12.85546875" style="67" customWidth="1"/>
    <col min="5637" max="5637" width="15.7109375" style="67" customWidth="1"/>
    <col min="5638" max="5883" width="9.140625" style="67"/>
    <col min="5884" max="5884" width="6.28515625" style="67" customWidth="1"/>
    <col min="5885" max="5885" width="59.85546875" style="67" customWidth="1"/>
    <col min="5886" max="5886" width="15.28515625" style="67" customWidth="1"/>
    <col min="5887" max="5887" width="18.42578125" style="67" customWidth="1"/>
    <col min="5888" max="5889" width="0" style="67" hidden="1" customWidth="1"/>
    <col min="5890" max="5890" width="15.7109375" style="67" customWidth="1"/>
    <col min="5891" max="5891" width="11.85546875" style="67" customWidth="1"/>
    <col min="5892" max="5892" width="12.85546875" style="67" customWidth="1"/>
    <col min="5893" max="5893" width="15.7109375" style="67" customWidth="1"/>
    <col min="5894" max="6139" width="9.140625" style="67"/>
    <col min="6140" max="6140" width="6.28515625" style="67" customWidth="1"/>
    <col min="6141" max="6141" width="59.85546875" style="67" customWidth="1"/>
    <col min="6142" max="6142" width="15.28515625" style="67" customWidth="1"/>
    <col min="6143" max="6143" width="18.42578125" style="67" customWidth="1"/>
    <col min="6144" max="6145" width="0" style="67" hidden="1" customWidth="1"/>
    <col min="6146" max="6146" width="15.7109375" style="67" customWidth="1"/>
    <col min="6147" max="6147" width="11.85546875" style="67" customWidth="1"/>
    <col min="6148" max="6148" width="12.85546875" style="67" customWidth="1"/>
    <col min="6149" max="6149" width="15.7109375" style="67" customWidth="1"/>
    <col min="6150" max="6395" width="9.140625" style="67"/>
    <col min="6396" max="6396" width="6.28515625" style="67" customWidth="1"/>
    <col min="6397" max="6397" width="59.85546875" style="67" customWidth="1"/>
    <col min="6398" max="6398" width="15.28515625" style="67" customWidth="1"/>
    <col min="6399" max="6399" width="18.42578125" style="67" customWidth="1"/>
    <col min="6400" max="6401" width="0" style="67" hidden="1" customWidth="1"/>
    <col min="6402" max="6402" width="15.7109375" style="67" customWidth="1"/>
    <col min="6403" max="6403" width="11.85546875" style="67" customWidth="1"/>
    <col min="6404" max="6404" width="12.85546875" style="67" customWidth="1"/>
    <col min="6405" max="6405" width="15.7109375" style="67" customWidth="1"/>
    <col min="6406" max="6651" width="9.140625" style="67"/>
    <col min="6652" max="6652" width="6.28515625" style="67" customWidth="1"/>
    <col min="6653" max="6653" width="59.85546875" style="67" customWidth="1"/>
    <col min="6654" max="6654" width="15.28515625" style="67" customWidth="1"/>
    <col min="6655" max="6655" width="18.42578125" style="67" customWidth="1"/>
    <col min="6656" max="6657" width="0" style="67" hidden="1" customWidth="1"/>
    <col min="6658" max="6658" width="15.7109375" style="67" customWidth="1"/>
    <col min="6659" max="6659" width="11.85546875" style="67" customWidth="1"/>
    <col min="6660" max="6660" width="12.85546875" style="67" customWidth="1"/>
    <col min="6661" max="6661" width="15.7109375" style="67" customWidth="1"/>
    <col min="6662" max="6907" width="9.140625" style="67"/>
    <col min="6908" max="6908" width="6.28515625" style="67" customWidth="1"/>
    <col min="6909" max="6909" width="59.85546875" style="67" customWidth="1"/>
    <col min="6910" max="6910" width="15.28515625" style="67" customWidth="1"/>
    <col min="6911" max="6911" width="18.42578125" style="67" customWidth="1"/>
    <col min="6912" max="6913" width="0" style="67" hidden="1" customWidth="1"/>
    <col min="6914" max="6914" width="15.7109375" style="67" customWidth="1"/>
    <col min="6915" max="6915" width="11.85546875" style="67" customWidth="1"/>
    <col min="6916" max="6916" width="12.85546875" style="67" customWidth="1"/>
    <col min="6917" max="6917" width="15.7109375" style="67" customWidth="1"/>
    <col min="6918" max="7163" width="9.140625" style="67"/>
    <col min="7164" max="7164" width="6.28515625" style="67" customWidth="1"/>
    <col min="7165" max="7165" width="59.85546875" style="67" customWidth="1"/>
    <col min="7166" max="7166" width="15.28515625" style="67" customWidth="1"/>
    <col min="7167" max="7167" width="18.42578125" style="67" customWidth="1"/>
    <col min="7168" max="7169" width="0" style="67" hidden="1" customWidth="1"/>
    <col min="7170" max="7170" width="15.7109375" style="67" customWidth="1"/>
    <col min="7171" max="7171" width="11.85546875" style="67" customWidth="1"/>
    <col min="7172" max="7172" width="12.85546875" style="67" customWidth="1"/>
    <col min="7173" max="7173" width="15.7109375" style="67" customWidth="1"/>
    <col min="7174" max="7419" width="9.140625" style="67"/>
    <col min="7420" max="7420" width="6.28515625" style="67" customWidth="1"/>
    <col min="7421" max="7421" width="59.85546875" style="67" customWidth="1"/>
    <col min="7422" max="7422" width="15.28515625" style="67" customWidth="1"/>
    <col min="7423" max="7423" width="18.42578125" style="67" customWidth="1"/>
    <col min="7424" max="7425" width="0" style="67" hidden="1" customWidth="1"/>
    <col min="7426" max="7426" width="15.7109375" style="67" customWidth="1"/>
    <col min="7427" max="7427" width="11.85546875" style="67" customWidth="1"/>
    <col min="7428" max="7428" width="12.85546875" style="67" customWidth="1"/>
    <col min="7429" max="7429" width="15.7109375" style="67" customWidth="1"/>
    <col min="7430" max="7675" width="9.140625" style="67"/>
    <col min="7676" max="7676" width="6.28515625" style="67" customWidth="1"/>
    <col min="7677" max="7677" width="59.85546875" style="67" customWidth="1"/>
    <col min="7678" max="7678" width="15.28515625" style="67" customWidth="1"/>
    <col min="7679" max="7679" width="18.42578125" style="67" customWidth="1"/>
    <col min="7680" max="7681" width="0" style="67" hidden="1" customWidth="1"/>
    <col min="7682" max="7682" width="15.7109375" style="67" customWidth="1"/>
    <col min="7683" max="7683" width="11.85546875" style="67" customWidth="1"/>
    <col min="7684" max="7684" width="12.85546875" style="67" customWidth="1"/>
    <col min="7685" max="7685" width="15.7109375" style="67" customWidth="1"/>
    <col min="7686" max="7931" width="9.140625" style="67"/>
    <col min="7932" max="7932" width="6.28515625" style="67" customWidth="1"/>
    <col min="7933" max="7933" width="59.85546875" style="67" customWidth="1"/>
    <col min="7934" max="7934" width="15.28515625" style="67" customWidth="1"/>
    <col min="7935" max="7935" width="18.42578125" style="67" customWidth="1"/>
    <col min="7936" max="7937" width="0" style="67" hidden="1" customWidth="1"/>
    <col min="7938" max="7938" width="15.7109375" style="67" customWidth="1"/>
    <col min="7939" max="7939" width="11.85546875" style="67" customWidth="1"/>
    <col min="7940" max="7940" width="12.85546875" style="67" customWidth="1"/>
    <col min="7941" max="7941" width="15.7109375" style="67" customWidth="1"/>
    <col min="7942" max="8187" width="9.140625" style="67"/>
    <col min="8188" max="8188" width="6.28515625" style="67" customWidth="1"/>
    <col min="8189" max="8189" width="59.85546875" style="67" customWidth="1"/>
    <col min="8190" max="8190" width="15.28515625" style="67" customWidth="1"/>
    <col min="8191" max="8191" width="18.42578125" style="67" customWidth="1"/>
    <col min="8192" max="8193" width="0" style="67" hidden="1" customWidth="1"/>
    <col min="8194" max="8194" width="15.7109375" style="67" customWidth="1"/>
    <col min="8195" max="8195" width="11.85546875" style="67" customWidth="1"/>
    <col min="8196" max="8196" width="12.85546875" style="67" customWidth="1"/>
    <col min="8197" max="8197" width="15.7109375" style="67" customWidth="1"/>
    <col min="8198" max="8443" width="9.140625" style="67"/>
    <col min="8444" max="8444" width="6.28515625" style="67" customWidth="1"/>
    <col min="8445" max="8445" width="59.85546875" style="67" customWidth="1"/>
    <col min="8446" max="8446" width="15.28515625" style="67" customWidth="1"/>
    <col min="8447" max="8447" width="18.42578125" style="67" customWidth="1"/>
    <col min="8448" max="8449" width="0" style="67" hidden="1" customWidth="1"/>
    <col min="8450" max="8450" width="15.7109375" style="67" customWidth="1"/>
    <col min="8451" max="8451" width="11.85546875" style="67" customWidth="1"/>
    <col min="8452" max="8452" width="12.85546875" style="67" customWidth="1"/>
    <col min="8453" max="8453" width="15.7109375" style="67" customWidth="1"/>
    <col min="8454" max="8699" width="9.140625" style="67"/>
    <col min="8700" max="8700" width="6.28515625" style="67" customWidth="1"/>
    <col min="8701" max="8701" width="59.85546875" style="67" customWidth="1"/>
    <col min="8702" max="8702" width="15.28515625" style="67" customWidth="1"/>
    <col min="8703" max="8703" width="18.42578125" style="67" customWidth="1"/>
    <col min="8704" max="8705" width="0" style="67" hidden="1" customWidth="1"/>
    <col min="8706" max="8706" width="15.7109375" style="67" customWidth="1"/>
    <col min="8707" max="8707" width="11.85546875" style="67" customWidth="1"/>
    <col min="8708" max="8708" width="12.85546875" style="67" customWidth="1"/>
    <col min="8709" max="8709" width="15.7109375" style="67" customWidth="1"/>
    <col min="8710" max="8955" width="9.140625" style="67"/>
    <col min="8956" max="8956" width="6.28515625" style="67" customWidth="1"/>
    <col min="8957" max="8957" width="59.85546875" style="67" customWidth="1"/>
    <col min="8958" max="8958" width="15.28515625" style="67" customWidth="1"/>
    <col min="8959" max="8959" width="18.42578125" style="67" customWidth="1"/>
    <col min="8960" max="8961" width="0" style="67" hidden="1" customWidth="1"/>
    <col min="8962" max="8962" width="15.7109375" style="67" customWidth="1"/>
    <col min="8963" max="8963" width="11.85546875" style="67" customWidth="1"/>
    <col min="8964" max="8964" width="12.85546875" style="67" customWidth="1"/>
    <col min="8965" max="8965" width="15.7109375" style="67" customWidth="1"/>
    <col min="8966" max="9211" width="9.140625" style="67"/>
    <col min="9212" max="9212" width="6.28515625" style="67" customWidth="1"/>
    <col min="9213" max="9213" width="59.85546875" style="67" customWidth="1"/>
    <col min="9214" max="9214" width="15.28515625" style="67" customWidth="1"/>
    <col min="9215" max="9215" width="18.42578125" style="67" customWidth="1"/>
    <col min="9216" max="9217" width="0" style="67" hidden="1" customWidth="1"/>
    <col min="9218" max="9218" width="15.7109375" style="67" customWidth="1"/>
    <col min="9219" max="9219" width="11.85546875" style="67" customWidth="1"/>
    <col min="9220" max="9220" width="12.85546875" style="67" customWidth="1"/>
    <col min="9221" max="9221" width="15.7109375" style="67" customWidth="1"/>
    <col min="9222" max="9467" width="9.140625" style="67"/>
    <col min="9468" max="9468" width="6.28515625" style="67" customWidth="1"/>
    <col min="9469" max="9469" width="59.85546875" style="67" customWidth="1"/>
    <col min="9470" max="9470" width="15.28515625" style="67" customWidth="1"/>
    <col min="9471" max="9471" width="18.42578125" style="67" customWidth="1"/>
    <col min="9472" max="9473" width="0" style="67" hidden="1" customWidth="1"/>
    <col min="9474" max="9474" width="15.7109375" style="67" customWidth="1"/>
    <col min="9475" max="9475" width="11.85546875" style="67" customWidth="1"/>
    <col min="9476" max="9476" width="12.85546875" style="67" customWidth="1"/>
    <col min="9477" max="9477" width="15.7109375" style="67" customWidth="1"/>
    <col min="9478" max="9723" width="9.140625" style="67"/>
    <col min="9724" max="9724" width="6.28515625" style="67" customWidth="1"/>
    <col min="9725" max="9725" width="59.85546875" style="67" customWidth="1"/>
    <col min="9726" max="9726" width="15.28515625" style="67" customWidth="1"/>
    <col min="9727" max="9727" width="18.42578125" style="67" customWidth="1"/>
    <col min="9728" max="9729" width="0" style="67" hidden="1" customWidth="1"/>
    <col min="9730" max="9730" width="15.7109375" style="67" customWidth="1"/>
    <col min="9731" max="9731" width="11.85546875" style="67" customWidth="1"/>
    <col min="9732" max="9732" width="12.85546875" style="67" customWidth="1"/>
    <col min="9733" max="9733" width="15.7109375" style="67" customWidth="1"/>
    <col min="9734" max="9979" width="9.140625" style="67"/>
    <col min="9980" max="9980" width="6.28515625" style="67" customWidth="1"/>
    <col min="9981" max="9981" width="59.85546875" style="67" customWidth="1"/>
    <col min="9982" max="9982" width="15.28515625" style="67" customWidth="1"/>
    <col min="9983" max="9983" width="18.42578125" style="67" customWidth="1"/>
    <col min="9984" max="9985" width="0" style="67" hidden="1" customWidth="1"/>
    <col min="9986" max="9986" width="15.7109375" style="67" customWidth="1"/>
    <col min="9987" max="9987" width="11.85546875" style="67" customWidth="1"/>
    <col min="9988" max="9988" width="12.85546875" style="67" customWidth="1"/>
    <col min="9989" max="9989" width="15.7109375" style="67" customWidth="1"/>
    <col min="9990" max="10235" width="9.140625" style="67"/>
    <col min="10236" max="10236" width="6.28515625" style="67" customWidth="1"/>
    <col min="10237" max="10237" width="59.85546875" style="67" customWidth="1"/>
    <col min="10238" max="10238" width="15.28515625" style="67" customWidth="1"/>
    <col min="10239" max="10239" width="18.42578125" style="67" customWidth="1"/>
    <col min="10240" max="10241" width="0" style="67" hidden="1" customWidth="1"/>
    <col min="10242" max="10242" width="15.7109375" style="67" customWidth="1"/>
    <col min="10243" max="10243" width="11.85546875" style="67" customWidth="1"/>
    <col min="10244" max="10244" width="12.85546875" style="67" customWidth="1"/>
    <col min="10245" max="10245" width="15.7109375" style="67" customWidth="1"/>
    <col min="10246" max="10491" width="9.140625" style="67"/>
    <col min="10492" max="10492" width="6.28515625" style="67" customWidth="1"/>
    <col min="10493" max="10493" width="59.85546875" style="67" customWidth="1"/>
    <col min="10494" max="10494" width="15.28515625" style="67" customWidth="1"/>
    <col min="10495" max="10495" width="18.42578125" style="67" customWidth="1"/>
    <col min="10496" max="10497" width="0" style="67" hidden="1" customWidth="1"/>
    <col min="10498" max="10498" width="15.7109375" style="67" customWidth="1"/>
    <col min="10499" max="10499" width="11.85546875" style="67" customWidth="1"/>
    <col min="10500" max="10500" width="12.85546875" style="67" customWidth="1"/>
    <col min="10501" max="10501" width="15.7109375" style="67" customWidth="1"/>
    <col min="10502" max="10747" width="9.140625" style="67"/>
    <col min="10748" max="10748" width="6.28515625" style="67" customWidth="1"/>
    <col min="10749" max="10749" width="59.85546875" style="67" customWidth="1"/>
    <col min="10750" max="10750" width="15.28515625" style="67" customWidth="1"/>
    <col min="10751" max="10751" width="18.42578125" style="67" customWidth="1"/>
    <col min="10752" max="10753" width="0" style="67" hidden="1" customWidth="1"/>
    <col min="10754" max="10754" width="15.7109375" style="67" customWidth="1"/>
    <col min="10755" max="10755" width="11.85546875" style="67" customWidth="1"/>
    <col min="10756" max="10756" width="12.85546875" style="67" customWidth="1"/>
    <col min="10757" max="10757" width="15.7109375" style="67" customWidth="1"/>
    <col min="10758" max="11003" width="9.140625" style="67"/>
    <col min="11004" max="11004" width="6.28515625" style="67" customWidth="1"/>
    <col min="11005" max="11005" width="59.85546875" style="67" customWidth="1"/>
    <col min="11006" max="11006" width="15.28515625" style="67" customWidth="1"/>
    <col min="11007" max="11007" width="18.42578125" style="67" customWidth="1"/>
    <col min="11008" max="11009" width="0" style="67" hidden="1" customWidth="1"/>
    <col min="11010" max="11010" width="15.7109375" style="67" customWidth="1"/>
    <col min="11011" max="11011" width="11.85546875" style="67" customWidth="1"/>
    <col min="11012" max="11012" width="12.85546875" style="67" customWidth="1"/>
    <col min="11013" max="11013" width="15.7109375" style="67" customWidth="1"/>
    <col min="11014" max="11259" width="9.140625" style="67"/>
    <col min="11260" max="11260" width="6.28515625" style="67" customWidth="1"/>
    <col min="11261" max="11261" width="59.85546875" style="67" customWidth="1"/>
    <col min="11262" max="11262" width="15.28515625" style="67" customWidth="1"/>
    <col min="11263" max="11263" width="18.42578125" style="67" customWidth="1"/>
    <col min="11264" max="11265" width="0" style="67" hidden="1" customWidth="1"/>
    <col min="11266" max="11266" width="15.7109375" style="67" customWidth="1"/>
    <col min="11267" max="11267" width="11.85546875" style="67" customWidth="1"/>
    <col min="11268" max="11268" width="12.85546875" style="67" customWidth="1"/>
    <col min="11269" max="11269" width="15.7109375" style="67" customWidth="1"/>
    <col min="11270" max="11515" width="9.140625" style="67"/>
    <col min="11516" max="11516" width="6.28515625" style="67" customWidth="1"/>
    <col min="11517" max="11517" width="59.85546875" style="67" customWidth="1"/>
    <col min="11518" max="11518" width="15.28515625" style="67" customWidth="1"/>
    <col min="11519" max="11519" width="18.42578125" style="67" customWidth="1"/>
    <col min="11520" max="11521" width="0" style="67" hidden="1" customWidth="1"/>
    <col min="11522" max="11522" width="15.7109375" style="67" customWidth="1"/>
    <col min="11523" max="11523" width="11.85546875" style="67" customWidth="1"/>
    <col min="11524" max="11524" width="12.85546875" style="67" customWidth="1"/>
    <col min="11525" max="11525" width="15.7109375" style="67" customWidth="1"/>
    <col min="11526" max="11771" width="9.140625" style="67"/>
    <col min="11772" max="11772" width="6.28515625" style="67" customWidth="1"/>
    <col min="11773" max="11773" width="59.85546875" style="67" customWidth="1"/>
    <col min="11774" max="11774" width="15.28515625" style="67" customWidth="1"/>
    <col min="11775" max="11775" width="18.42578125" style="67" customWidth="1"/>
    <col min="11776" max="11777" width="0" style="67" hidden="1" customWidth="1"/>
    <col min="11778" max="11778" width="15.7109375" style="67" customWidth="1"/>
    <col min="11779" max="11779" width="11.85546875" style="67" customWidth="1"/>
    <col min="11780" max="11780" width="12.85546875" style="67" customWidth="1"/>
    <col min="11781" max="11781" width="15.7109375" style="67" customWidth="1"/>
    <col min="11782" max="12027" width="9.140625" style="67"/>
    <col min="12028" max="12028" width="6.28515625" style="67" customWidth="1"/>
    <col min="12029" max="12029" width="59.85546875" style="67" customWidth="1"/>
    <col min="12030" max="12030" width="15.28515625" style="67" customWidth="1"/>
    <col min="12031" max="12031" width="18.42578125" style="67" customWidth="1"/>
    <col min="12032" max="12033" width="0" style="67" hidden="1" customWidth="1"/>
    <col min="12034" max="12034" width="15.7109375" style="67" customWidth="1"/>
    <col min="12035" max="12035" width="11.85546875" style="67" customWidth="1"/>
    <col min="12036" max="12036" width="12.85546875" style="67" customWidth="1"/>
    <col min="12037" max="12037" width="15.7109375" style="67" customWidth="1"/>
    <col min="12038" max="12283" width="9.140625" style="67"/>
    <col min="12284" max="12284" width="6.28515625" style="67" customWidth="1"/>
    <col min="12285" max="12285" width="59.85546875" style="67" customWidth="1"/>
    <col min="12286" max="12286" width="15.28515625" style="67" customWidth="1"/>
    <col min="12287" max="12287" width="18.42578125" style="67" customWidth="1"/>
    <col min="12288" max="12289" width="0" style="67" hidden="1" customWidth="1"/>
    <col min="12290" max="12290" width="15.7109375" style="67" customWidth="1"/>
    <col min="12291" max="12291" width="11.85546875" style="67" customWidth="1"/>
    <col min="12292" max="12292" width="12.85546875" style="67" customWidth="1"/>
    <col min="12293" max="12293" width="15.7109375" style="67" customWidth="1"/>
    <col min="12294" max="12539" width="9.140625" style="67"/>
    <col min="12540" max="12540" width="6.28515625" style="67" customWidth="1"/>
    <col min="12541" max="12541" width="59.85546875" style="67" customWidth="1"/>
    <col min="12542" max="12542" width="15.28515625" style="67" customWidth="1"/>
    <col min="12543" max="12543" width="18.42578125" style="67" customWidth="1"/>
    <col min="12544" max="12545" width="0" style="67" hidden="1" customWidth="1"/>
    <col min="12546" max="12546" width="15.7109375" style="67" customWidth="1"/>
    <col min="12547" max="12547" width="11.85546875" style="67" customWidth="1"/>
    <col min="12548" max="12548" width="12.85546875" style="67" customWidth="1"/>
    <col min="12549" max="12549" width="15.7109375" style="67" customWidth="1"/>
    <col min="12550" max="12795" width="9.140625" style="67"/>
    <col min="12796" max="12796" width="6.28515625" style="67" customWidth="1"/>
    <col min="12797" max="12797" width="59.85546875" style="67" customWidth="1"/>
    <col min="12798" max="12798" width="15.28515625" style="67" customWidth="1"/>
    <col min="12799" max="12799" width="18.42578125" style="67" customWidth="1"/>
    <col min="12800" max="12801" width="0" style="67" hidden="1" customWidth="1"/>
    <col min="12802" max="12802" width="15.7109375" style="67" customWidth="1"/>
    <col min="12803" max="12803" width="11.85546875" style="67" customWidth="1"/>
    <col min="12804" max="12804" width="12.85546875" style="67" customWidth="1"/>
    <col min="12805" max="12805" width="15.7109375" style="67" customWidth="1"/>
    <col min="12806" max="13051" width="9.140625" style="67"/>
    <col min="13052" max="13052" width="6.28515625" style="67" customWidth="1"/>
    <col min="13053" max="13053" width="59.85546875" style="67" customWidth="1"/>
    <col min="13054" max="13054" width="15.28515625" style="67" customWidth="1"/>
    <col min="13055" max="13055" width="18.42578125" style="67" customWidth="1"/>
    <col min="13056" max="13057" width="0" style="67" hidden="1" customWidth="1"/>
    <col min="13058" max="13058" width="15.7109375" style="67" customWidth="1"/>
    <col min="13059" max="13059" width="11.85546875" style="67" customWidth="1"/>
    <col min="13060" max="13060" width="12.85546875" style="67" customWidth="1"/>
    <col min="13061" max="13061" width="15.7109375" style="67" customWidth="1"/>
    <col min="13062" max="13307" width="9.140625" style="67"/>
    <col min="13308" max="13308" width="6.28515625" style="67" customWidth="1"/>
    <col min="13309" max="13309" width="59.85546875" style="67" customWidth="1"/>
    <col min="13310" max="13310" width="15.28515625" style="67" customWidth="1"/>
    <col min="13311" max="13311" width="18.42578125" style="67" customWidth="1"/>
    <col min="13312" max="13313" width="0" style="67" hidden="1" customWidth="1"/>
    <col min="13314" max="13314" width="15.7109375" style="67" customWidth="1"/>
    <col min="13315" max="13315" width="11.85546875" style="67" customWidth="1"/>
    <col min="13316" max="13316" width="12.85546875" style="67" customWidth="1"/>
    <col min="13317" max="13317" width="15.7109375" style="67" customWidth="1"/>
    <col min="13318" max="13563" width="9.140625" style="67"/>
    <col min="13564" max="13564" width="6.28515625" style="67" customWidth="1"/>
    <col min="13565" max="13565" width="59.85546875" style="67" customWidth="1"/>
    <col min="13566" max="13566" width="15.28515625" style="67" customWidth="1"/>
    <col min="13567" max="13567" width="18.42578125" style="67" customWidth="1"/>
    <col min="13568" max="13569" width="0" style="67" hidden="1" customWidth="1"/>
    <col min="13570" max="13570" width="15.7109375" style="67" customWidth="1"/>
    <col min="13571" max="13571" width="11.85546875" style="67" customWidth="1"/>
    <col min="13572" max="13572" width="12.85546875" style="67" customWidth="1"/>
    <col min="13573" max="13573" width="15.7109375" style="67" customWidth="1"/>
    <col min="13574" max="13819" width="9.140625" style="67"/>
    <col min="13820" max="13820" width="6.28515625" style="67" customWidth="1"/>
    <col min="13821" max="13821" width="59.85546875" style="67" customWidth="1"/>
    <col min="13822" max="13822" width="15.28515625" style="67" customWidth="1"/>
    <col min="13823" max="13823" width="18.42578125" style="67" customWidth="1"/>
    <col min="13824" max="13825" width="0" style="67" hidden="1" customWidth="1"/>
    <col min="13826" max="13826" width="15.7109375" style="67" customWidth="1"/>
    <col min="13827" max="13827" width="11.85546875" style="67" customWidth="1"/>
    <col min="13828" max="13828" width="12.85546875" style="67" customWidth="1"/>
    <col min="13829" max="13829" width="15.7109375" style="67" customWidth="1"/>
    <col min="13830" max="14075" width="9.140625" style="67"/>
    <col min="14076" max="14076" width="6.28515625" style="67" customWidth="1"/>
    <col min="14077" max="14077" width="59.85546875" style="67" customWidth="1"/>
    <col min="14078" max="14078" width="15.28515625" style="67" customWidth="1"/>
    <col min="14079" max="14079" width="18.42578125" style="67" customWidth="1"/>
    <col min="14080" max="14081" width="0" style="67" hidden="1" customWidth="1"/>
    <col min="14082" max="14082" width="15.7109375" style="67" customWidth="1"/>
    <col min="14083" max="14083" width="11.85546875" style="67" customWidth="1"/>
    <col min="14084" max="14084" width="12.85546875" style="67" customWidth="1"/>
    <col min="14085" max="14085" width="15.7109375" style="67" customWidth="1"/>
    <col min="14086" max="14331" width="9.140625" style="67"/>
    <col min="14332" max="14332" width="6.28515625" style="67" customWidth="1"/>
    <col min="14333" max="14333" width="59.85546875" style="67" customWidth="1"/>
    <col min="14334" max="14334" width="15.28515625" style="67" customWidth="1"/>
    <col min="14335" max="14335" width="18.42578125" style="67" customWidth="1"/>
    <col min="14336" max="14337" width="0" style="67" hidden="1" customWidth="1"/>
    <col min="14338" max="14338" width="15.7109375" style="67" customWidth="1"/>
    <col min="14339" max="14339" width="11.85546875" style="67" customWidth="1"/>
    <col min="14340" max="14340" width="12.85546875" style="67" customWidth="1"/>
    <col min="14341" max="14341" width="15.7109375" style="67" customWidth="1"/>
    <col min="14342" max="14587" width="9.140625" style="67"/>
    <col min="14588" max="14588" width="6.28515625" style="67" customWidth="1"/>
    <col min="14589" max="14589" width="59.85546875" style="67" customWidth="1"/>
    <col min="14590" max="14590" width="15.28515625" style="67" customWidth="1"/>
    <col min="14591" max="14591" width="18.42578125" style="67" customWidth="1"/>
    <col min="14592" max="14593" width="0" style="67" hidden="1" customWidth="1"/>
    <col min="14594" max="14594" width="15.7109375" style="67" customWidth="1"/>
    <col min="14595" max="14595" width="11.85546875" style="67" customWidth="1"/>
    <col min="14596" max="14596" width="12.85546875" style="67" customWidth="1"/>
    <col min="14597" max="14597" width="15.7109375" style="67" customWidth="1"/>
    <col min="14598" max="14843" width="9.140625" style="67"/>
    <col min="14844" max="14844" width="6.28515625" style="67" customWidth="1"/>
    <col min="14845" max="14845" width="59.85546875" style="67" customWidth="1"/>
    <col min="14846" max="14846" width="15.28515625" style="67" customWidth="1"/>
    <col min="14847" max="14847" width="18.42578125" style="67" customWidth="1"/>
    <col min="14848" max="14849" width="0" style="67" hidden="1" customWidth="1"/>
    <col min="14850" max="14850" width="15.7109375" style="67" customWidth="1"/>
    <col min="14851" max="14851" width="11.85546875" style="67" customWidth="1"/>
    <col min="14852" max="14852" width="12.85546875" style="67" customWidth="1"/>
    <col min="14853" max="14853" width="15.7109375" style="67" customWidth="1"/>
    <col min="14854" max="15099" width="9.140625" style="67"/>
    <col min="15100" max="15100" width="6.28515625" style="67" customWidth="1"/>
    <col min="15101" max="15101" width="59.85546875" style="67" customWidth="1"/>
    <col min="15102" max="15102" width="15.28515625" style="67" customWidth="1"/>
    <col min="15103" max="15103" width="18.42578125" style="67" customWidth="1"/>
    <col min="15104" max="15105" width="0" style="67" hidden="1" customWidth="1"/>
    <col min="15106" max="15106" width="15.7109375" style="67" customWidth="1"/>
    <col min="15107" max="15107" width="11.85546875" style="67" customWidth="1"/>
    <col min="15108" max="15108" width="12.85546875" style="67" customWidth="1"/>
    <col min="15109" max="15109" width="15.7109375" style="67" customWidth="1"/>
    <col min="15110" max="15355" width="9.140625" style="67"/>
    <col min="15356" max="15356" width="6.28515625" style="67" customWidth="1"/>
    <col min="15357" max="15357" width="59.85546875" style="67" customWidth="1"/>
    <col min="15358" max="15358" width="15.28515625" style="67" customWidth="1"/>
    <col min="15359" max="15359" width="18.42578125" style="67" customWidth="1"/>
    <col min="15360" max="15361" width="0" style="67" hidden="1" customWidth="1"/>
    <col min="15362" max="15362" width="15.7109375" style="67" customWidth="1"/>
    <col min="15363" max="15363" width="11.85546875" style="67" customWidth="1"/>
    <col min="15364" max="15364" width="12.85546875" style="67" customWidth="1"/>
    <col min="15365" max="15365" width="15.7109375" style="67" customWidth="1"/>
    <col min="15366" max="15611" width="9.140625" style="67"/>
    <col min="15612" max="15612" width="6.28515625" style="67" customWidth="1"/>
    <col min="15613" max="15613" width="59.85546875" style="67" customWidth="1"/>
    <col min="15614" max="15614" width="15.28515625" style="67" customWidth="1"/>
    <col min="15615" max="15615" width="18.42578125" style="67" customWidth="1"/>
    <col min="15616" max="15617" width="0" style="67" hidden="1" customWidth="1"/>
    <col min="15618" max="15618" width="15.7109375" style="67" customWidth="1"/>
    <col min="15619" max="15619" width="11.85546875" style="67" customWidth="1"/>
    <col min="15620" max="15620" width="12.85546875" style="67" customWidth="1"/>
    <col min="15621" max="15621" width="15.7109375" style="67" customWidth="1"/>
    <col min="15622" max="15867" width="9.140625" style="67"/>
    <col min="15868" max="15868" width="6.28515625" style="67" customWidth="1"/>
    <col min="15869" max="15869" width="59.85546875" style="67" customWidth="1"/>
    <col min="15870" max="15870" width="15.28515625" style="67" customWidth="1"/>
    <col min="15871" max="15871" width="18.42578125" style="67" customWidth="1"/>
    <col min="15872" max="15873" width="0" style="67" hidden="1" customWidth="1"/>
    <col min="15874" max="15874" width="15.7109375" style="67" customWidth="1"/>
    <col min="15875" max="15875" width="11.85546875" style="67" customWidth="1"/>
    <col min="15876" max="15876" width="12.85546875" style="67" customWidth="1"/>
    <col min="15877" max="15877" width="15.7109375" style="67" customWidth="1"/>
    <col min="15878" max="16123" width="9.140625" style="67"/>
    <col min="16124" max="16124" width="6.28515625" style="67" customWidth="1"/>
    <col min="16125" max="16125" width="59.85546875" style="67" customWidth="1"/>
    <col min="16126" max="16126" width="15.28515625" style="67" customWidth="1"/>
    <col min="16127" max="16127" width="18.42578125" style="67" customWidth="1"/>
    <col min="16128" max="16129" width="0" style="67" hidden="1" customWidth="1"/>
    <col min="16130" max="16130" width="15.7109375" style="67" customWidth="1"/>
    <col min="16131" max="16131" width="11.85546875" style="67" customWidth="1"/>
    <col min="16132" max="16132" width="12.85546875" style="67" customWidth="1"/>
    <col min="16133" max="16133" width="15.7109375" style="67" customWidth="1"/>
    <col min="16134" max="16384" width="9.140625" style="67"/>
  </cols>
  <sheetData>
    <row r="1" spans="1:12">
      <c r="A1" s="68"/>
    </row>
    <row r="2" spans="1:12">
      <c r="A2" s="5817" t="s">
        <v>170</v>
      </c>
      <c r="B2" s="5817"/>
      <c r="C2" s="5817"/>
      <c r="D2" s="5817"/>
      <c r="E2" s="5817"/>
      <c r="F2" s="5817"/>
      <c r="G2" s="5817"/>
      <c r="H2" s="5366"/>
      <c r="I2" s="5366"/>
      <c r="J2" s="5366"/>
      <c r="K2" s="5366"/>
    </row>
    <row r="3" spans="1:12">
      <c r="A3" s="5818" t="s">
        <v>3915</v>
      </c>
      <c r="B3" s="5381"/>
      <c r="C3" s="5381"/>
      <c r="D3" s="5381"/>
      <c r="E3" s="5381"/>
      <c r="F3" s="5381"/>
      <c r="G3" s="5381"/>
      <c r="H3" s="259"/>
      <c r="I3" s="259"/>
      <c r="J3" s="259"/>
      <c r="K3" s="259"/>
    </row>
    <row r="4" spans="1:12">
      <c r="A4" s="5817" t="s">
        <v>630</v>
      </c>
      <c r="B4" s="5817"/>
      <c r="C4" s="5817"/>
      <c r="D4" s="5817"/>
      <c r="E4" s="5817"/>
      <c r="F4" s="5817"/>
      <c r="G4" s="5817"/>
      <c r="H4" s="5366"/>
      <c r="I4" s="5366"/>
      <c r="J4" s="5366"/>
      <c r="K4" s="5366"/>
    </row>
    <row r="5" spans="1:12">
      <c r="A5" s="4474"/>
      <c r="B5" s="4474"/>
      <c r="C5" s="4474"/>
      <c r="D5" s="4474"/>
      <c r="E5" s="4474"/>
      <c r="F5" s="4474"/>
      <c r="G5" s="4474"/>
      <c r="H5" s="4474"/>
      <c r="I5" s="4474"/>
      <c r="J5" s="4474"/>
      <c r="K5" s="4474"/>
    </row>
    <row r="6" spans="1:12">
      <c r="B6" s="73"/>
      <c r="C6" s="73"/>
      <c r="G6" s="67" t="s">
        <v>151</v>
      </c>
    </row>
    <row r="7" spans="1:12">
      <c r="A7" s="5828" t="s">
        <v>101</v>
      </c>
      <c r="B7" s="5828" t="s">
        <v>81</v>
      </c>
      <c r="C7" s="5828" t="s">
        <v>1897</v>
      </c>
      <c r="D7" s="5747" t="s">
        <v>82</v>
      </c>
      <c r="E7" s="5832"/>
      <c r="F7" s="5747" t="s">
        <v>1845</v>
      </c>
      <c r="G7" s="5832"/>
      <c r="H7" s="5835" t="s">
        <v>2613</v>
      </c>
      <c r="I7" s="5836"/>
      <c r="J7" s="5836"/>
      <c r="K7" s="5836"/>
    </row>
    <row r="8" spans="1:12" s="72" customFormat="1">
      <c r="A8" s="5829"/>
      <c r="B8" s="5829"/>
      <c r="C8" s="5831"/>
      <c r="D8" s="5833"/>
      <c r="E8" s="5834"/>
      <c r="F8" s="5833"/>
      <c r="G8" s="5834"/>
      <c r="H8" s="5819" t="s">
        <v>2442</v>
      </c>
      <c r="I8" s="5820"/>
      <c r="J8" s="5819" t="s">
        <v>2443</v>
      </c>
      <c r="K8" s="5820"/>
    </row>
    <row r="9" spans="1:12" s="74" customFormat="1" ht="31.5">
      <c r="A9" s="5830"/>
      <c r="B9" s="5830"/>
      <c r="C9" s="1961" t="s">
        <v>1603</v>
      </c>
      <c r="D9" s="5202" t="s">
        <v>755</v>
      </c>
      <c r="E9" s="5202" t="s">
        <v>96</v>
      </c>
      <c r="F9" s="5202" t="s">
        <v>755</v>
      </c>
      <c r="G9" s="5202" t="s">
        <v>96</v>
      </c>
      <c r="H9" s="5202" t="s">
        <v>755</v>
      </c>
      <c r="I9" s="5202" t="s">
        <v>656</v>
      </c>
      <c r="J9" s="5202" t="s">
        <v>755</v>
      </c>
      <c r="K9" s="4657" t="s">
        <v>3399</v>
      </c>
    </row>
    <row r="10" spans="1:12" s="66" customFormat="1" ht="15.75" customHeight="1">
      <c r="A10" s="1393">
        <v>1</v>
      </c>
      <c r="B10" s="3573" t="s">
        <v>631</v>
      </c>
      <c r="C10" s="4264">
        <v>0</v>
      </c>
      <c r="D10" s="4264">
        <v>0</v>
      </c>
      <c r="E10" s="4264">
        <f>'Non Tariff Income_12-13'!E4</f>
        <v>0</v>
      </c>
      <c r="F10" s="4264">
        <v>0</v>
      </c>
      <c r="G10" s="4264">
        <f>'NTI13-14'!G5</f>
        <v>0</v>
      </c>
      <c r="H10" s="4264">
        <v>0</v>
      </c>
      <c r="I10" s="4485">
        <v>0</v>
      </c>
      <c r="J10" s="4267">
        <v>0</v>
      </c>
      <c r="K10" s="4267">
        <f>I10*(1+Assumptions!$G$112)</f>
        <v>0</v>
      </c>
    </row>
    <row r="11" spans="1:12" s="66" customFormat="1" ht="15.75" customHeight="1">
      <c r="A11" s="1393">
        <f>A10+1</f>
        <v>2</v>
      </c>
      <c r="B11" s="475" t="s">
        <v>632</v>
      </c>
      <c r="C11" s="4264">
        <v>0</v>
      </c>
      <c r="D11" s="4264">
        <v>0</v>
      </c>
      <c r="E11" s="4264">
        <f>'Non Tariff Income_12-13'!E5</f>
        <v>0</v>
      </c>
      <c r="F11" s="4264">
        <f>'Non Tariff Income_12-13'!F5</f>
        <v>0</v>
      </c>
      <c r="G11" s="4264">
        <v>0</v>
      </c>
      <c r="H11" s="4264">
        <v>0</v>
      </c>
      <c r="I11" s="4485">
        <v>0</v>
      </c>
      <c r="J11" s="4267">
        <v>0</v>
      </c>
      <c r="K11" s="4267">
        <f>I11*(1+Assumptions!$G$112)</f>
        <v>0</v>
      </c>
    </row>
    <row r="12" spans="1:12" s="66" customFormat="1" ht="15.75" customHeight="1">
      <c r="A12" s="1393">
        <f t="shared" ref="A12:A30" si="0">A11+1</f>
        <v>3</v>
      </c>
      <c r="B12" s="475" t="s">
        <v>633</v>
      </c>
      <c r="C12" s="4264"/>
      <c r="D12" s="4264">
        <v>0</v>
      </c>
      <c r="E12" s="4264"/>
      <c r="F12" s="4264">
        <f>'Non Tariff Income_12-13'!F6</f>
        <v>0</v>
      </c>
      <c r="G12" s="4264">
        <v>0</v>
      </c>
      <c r="H12" s="4264">
        <v>0</v>
      </c>
      <c r="I12" s="4485">
        <v>0</v>
      </c>
      <c r="J12" s="4267">
        <v>0</v>
      </c>
      <c r="K12" s="4267">
        <f>I12*(1+Assumptions!$G$112)</f>
        <v>0</v>
      </c>
    </row>
    <row r="13" spans="1:12" s="66" customFormat="1" ht="15.75" customHeight="1">
      <c r="A13" s="1393">
        <f t="shared" si="0"/>
        <v>4</v>
      </c>
      <c r="B13" s="475" t="s">
        <v>634</v>
      </c>
      <c r="C13" s="4264">
        <v>0.04</v>
      </c>
      <c r="D13" s="4264">
        <v>0.04</v>
      </c>
      <c r="E13" s="4264">
        <f>'Non Tariff Income_12-13'!E8</f>
        <v>0.04</v>
      </c>
      <c r="F13" s="4264">
        <v>0.04</v>
      </c>
      <c r="G13" s="4264">
        <f>'NTI13-14'!G8</f>
        <v>0.04</v>
      </c>
      <c r="H13" s="4264">
        <v>0.05</v>
      </c>
      <c r="I13" s="4485">
        <v>0.04</v>
      </c>
      <c r="J13" s="4267">
        <v>0.05</v>
      </c>
      <c r="K13" s="4267">
        <v>0.05</v>
      </c>
    </row>
    <row r="14" spans="1:12" s="66" customFormat="1" ht="15.75" customHeight="1">
      <c r="A14" s="1393">
        <f t="shared" si="0"/>
        <v>5</v>
      </c>
      <c r="B14" s="3574" t="s">
        <v>635</v>
      </c>
      <c r="C14" s="4264">
        <v>25.07</v>
      </c>
      <c r="D14" s="4264">
        <v>33.630000000000003</v>
      </c>
      <c r="E14" s="4264">
        <f>'Non Tariff Income_12-13'!E6+'Non Tariff Income_12-13'!E7</f>
        <v>30.65</v>
      </c>
      <c r="F14" s="4264">
        <v>36.99</v>
      </c>
      <c r="G14" s="4264">
        <f>'NTI13-14'!G7</f>
        <v>33.43</v>
      </c>
      <c r="H14" s="4264">
        <v>40.69</v>
      </c>
      <c r="I14" s="4485">
        <v>33.43</v>
      </c>
      <c r="J14" s="4267">
        <v>44.76</v>
      </c>
      <c r="K14" s="4267">
        <v>34.57</v>
      </c>
      <c r="L14" s="4332"/>
    </row>
    <row r="15" spans="1:12" s="66" customFormat="1" ht="15.75" customHeight="1">
      <c r="A15" s="1393">
        <f t="shared" si="0"/>
        <v>6</v>
      </c>
      <c r="B15" s="475" t="s">
        <v>636</v>
      </c>
      <c r="C15" s="4264">
        <v>0.37</v>
      </c>
      <c r="D15" s="4264">
        <v>0.71</v>
      </c>
      <c r="E15" s="4264">
        <f>'Non Tariff Income_12-13'!E9</f>
        <v>0.53</v>
      </c>
      <c r="F15" s="4264">
        <v>0.78439999999999999</v>
      </c>
      <c r="G15" s="4264">
        <f>'NTI13-14'!G9</f>
        <v>0.87</v>
      </c>
      <c r="H15" s="4264">
        <v>0.86</v>
      </c>
      <c r="I15" s="4485">
        <v>1.1299999999999999</v>
      </c>
      <c r="J15" s="4267">
        <v>0.95</v>
      </c>
      <c r="K15" s="4267">
        <v>0.95</v>
      </c>
      <c r="L15" s="4332"/>
    </row>
    <row r="16" spans="1:12" s="66" customFormat="1">
      <c r="A16" s="1393">
        <f t="shared" si="0"/>
        <v>7</v>
      </c>
      <c r="B16" s="475" t="s">
        <v>3672</v>
      </c>
      <c r="C16" s="4264">
        <v>0</v>
      </c>
      <c r="D16" s="4264">
        <v>0</v>
      </c>
      <c r="E16" s="4264">
        <v>0</v>
      </c>
      <c r="F16" s="4264">
        <v>0</v>
      </c>
      <c r="G16" s="4264">
        <v>0</v>
      </c>
      <c r="H16" s="4266">
        <v>0</v>
      </c>
      <c r="I16" s="4485">
        <v>15.29</v>
      </c>
      <c r="J16" s="4267">
        <v>0</v>
      </c>
      <c r="K16" s="5821">
        <v>26.5</v>
      </c>
      <c r="L16" s="4332"/>
    </row>
    <row r="17" spans="1:12" s="66" customFormat="1">
      <c r="A17" s="1393">
        <f t="shared" si="0"/>
        <v>8</v>
      </c>
      <c r="B17" s="475" t="s">
        <v>1120</v>
      </c>
      <c r="C17" s="4264">
        <v>0.51500000000000001</v>
      </c>
      <c r="D17" s="5826">
        <v>17.100000000000001</v>
      </c>
      <c r="E17" s="4264">
        <f>'Non Tariff Income_12-13'!E10</f>
        <v>0.66</v>
      </c>
      <c r="F17" s="5826">
        <v>18.814440000000001</v>
      </c>
      <c r="G17" s="4264">
        <f>'NTI13-14'!G10</f>
        <v>0.83</v>
      </c>
      <c r="H17" s="5824">
        <v>20.69</v>
      </c>
      <c r="I17" s="4485">
        <v>0</v>
      </c>
      <c r="J17" s="5821">
        <v>22.76</v>
      </c>
      <c r="K17" s="5822"/>
      <c r="L17" s="4332"/>
    </row>
    <row r="18" spans="1:12" s="66" customFormat="1">
      <c r="A18" s="1393">
        <f t="shared" si="0"/>
        <v>9</v>
      </c>
      <c r="B18" s="475" t="s">
        <v>637</v>
      </c>
      <c r="C18" s="4264">
        <v>12.16</v>
      </c>
      <c r="D18" s="5827"/>
      <c r="E18" s="4264">
        <f>'Non Tariff Income_12-13'!E11</f>
        <v>17.23</v>
      </c>
      <c r="F18" s="5827"/>
      <c r="G18" s="4264">
        <f>'NTI13-14'!G11</f>
        <v>15.88</v>
      </c>
      <c r="H18" s="5825"/>
      <c r="I18" s="4485">
        <v>0</v>
      </c>
      <c r="J18" s="5823"/>
      <c r="K18" s="5823"/>
      <c r="L18" s="4332"/>
    </row>
    <row r="19" spans="1:12" s="66" customFormat="1">
      <c r="A19" s="1393">
        <f t="shared" si="0"/>
        <v>10</v>
      </c>
      <c r="B19" s="475" t="s">
        <v>638</v>
      </c>
      <c r="C19" s="4264">
        <v>0</v>
      </c>
      <c r="D19" s="4264">
        <v>0</v>
      </c>
      <c r="E19" s="4264">
        <v>0</v>
      </c>
      <c r="F19" s="4264">
        <v>0</v>
      </c>
      <c r="G19" s="4264">
        <v>0</v>
      </c>
      <c r="H19" s="4264">
        <v>0</v>
      </c>
      <c r="I19" s="4485">
        <v>0</v>
      </c>
      <c r="J19" s="4267">
        <v>0</v>
      </c>
      <c r="K19" s="4267">
        <f>I19*(1+Assumptions!$G$112)</f>
        <v>0</v>
      </c>
      <c r="L19" s="4332"/>
    </row>
    <row r="20" spans="1:12" s="66" customFormat="1">
      <c r="A20" s="1393">
        <f t="shared" si="0"/>
        <v>11</v>
      </c>
      <c r="B20" s="475" t="s">
        <v>639</v>
      </c>
      <c r="C20" s="4264">
        <v>0.91</v>
      </c>
      <c r="D20" s="4264">
        <v>0</v>
      </c>
      <c r="E20" s="4264">
        <v>0</v>
      </c>
      <c r="F20" s="4264">
        <v>0</v>
      </c>
      <c r="G20" s="4264">
        <v>0</v>
      </c>
      <c r="H20" s="4264">
        <v>0</v>
      </c>
      <c r="I20" s="4485">
        <v>0</v>
      </c>
      <c r="J20" s="4267">
        <v>0</v>
      </c>
      <c r="K20" s="4267">
        <f>I20*(1+Assumptions!$G$112)</f>
        <v>0</v>
      </c>
      <c r="L20" s="4332"/>
    </row>
    <row r="21" spans="1:12" s="66" customFormat="1" ht="15.75" customHeight="1">
      <c r="A21" s="1393">
        <f t="shared" si="0"/>
        <v>12</v>
      </c>
      <c r="B21" s="475" t="s">
        <v>640</v>
      </c>
      <c r="C21" s="4264">
        <v>6.78</v>
      </c>
      <c r="D21" s="4264">
        <v>3.62</v>
      </c>
      <c r="E21" s="4264">
        <f>'Non Tariff Income_12-13'!E13</f>
        <v>7.1</v>
      </c>
      <c r="F21" s="4264">
        <v>3.98</v>
      </c>
      <c r="G21" s="4264">
        <f>'NTI13-14'!G13</f>
        <v>7.98</v>
      </c>
      <c r="H21" s="4264">
        <v>4.38</v>
      </c>
      <c r="I21" s="4485">
        <v>7.1</v>
      </c>
      <c r="J21" s="4267">
        <v>4.82</v>
      </c>
      <c r="K21" s="4267">
        <v>8.83</v>
      </c>
      <c r="L21" s="4332"/>
    </row>
    <row r="22" spans="1:12" s="66" customFormat="1" ht="15.75" customHeight="1">
      <c r="A22" s="1393">
        <f t="shared" si="0"/>
        <v>13</v>
      </c>
      <c r="B22" s="475" t="s">
        <v>641</v>
      </c>
      <c r="C22" s="4264">
        <v>2.2400000000000002</v>
      </c>
      <c r="D22" s="4264">
        <v>7.41</v>
      </c>
      <c r="E22" s="4264">
        <f>'Non Tariff Income_12-13'!E14</f>
        <v>1.08</v>
      </c>
      <c r="F22" s="4264">
        <v>7.89</v>
      </c>
      <c r="G22" s="4264">
        <f>'NTI13-14'!G14</f>
        <v>1.51</v>
      </c>
      <c r="H22" s="4264">
        <v>8.44</v>
      </c>
      <c r="I22" s="4485">
        <v>1.59</v>
      </c>
      <c r="J22" s="4267">
        <v>9.0500000000000007</v>
      </c>
      <c r="K22" s="4267">
        <v>2.5</v>
      </c>
      <c r="L22" s="4332"/>
    </row>
    <row r="23" spans="1:12" s="66" customFormat="1" ht="15.75" hidden="1" customHeight="1">
      <c r="A23" s="1393">
        <f t="shared" si="0"/>
        <v>14</v>
      </c>
      <c r="B23" s="475" t="s">
        <v>642</v>
      </c>
      <c r="C23" s="4264">
        <v>0</v>
      </c>
      <c r="D23" s="4264">
        <v>0</v>
      </c>
      <c r="E23" s="4264">
        <v>0</v>
      </c>
      <c r="F23" s="4264">
        <v>0</v>
      </c>
      <c r="G23" s="4264">
        <v>0</v>
      </c>
      <c r="H23" s="4264"/>
      <c r="I23" s="4485">
        <v>0</v>
      </c>
      <c r="J23" s="4267"/>
      <c r="K23" s="4267">
        <f>I23*(1+Assumptions!$G$112)</f>
        <v>0</v>
      </c>
      <c r="L23" s="4332"/>
    </row>
    <row r="24" spans="1:12" s="66" customFormat="1" ht="15.75" hidden="1" customHeight="1">
      <c r="A24" s="1393">
        <f t="shared" si="0"/>
        <v>15</v>
      </c>
      <c r="B24" s="475" t="s">
        <v>643</v>
      </c>
      <c r="C24" s="4264">
        <v>0</v>
      </c>
      <c r="D24" s="4264">
        <v>0</v>
      </c>
      <c r="E24" s="4264">
        <v>0</v>
      </c>
      <c r="F24" s="4264">
        <v>0</v>
      </c>
      <c r="G24" s="4264">
        <v>0</v>
      </c>
      <c r="H24" s="4264"/>
      <c r="I24" s="4485">
        <v>0</v>
      </c>
      <c r="J24" s="4267"/>
      <c r="K24" s="4267">
        <f>I24*(1+Assumptions!$G$112)</f>
        <v>0</v>
      </c>
      <c r="L24" s="4332"/>
    </row>
    <row r="25" spans="1:12" ht="15.75" hidden="1" customHeight="1">
      <c r="A25" s="1393">
        <f t="shared" si="0"/>
        <v>16</v>
      </c>
      <c r="B25" s="3574" t="s">
        <v>644</v>
      </c>
      <c r="C25" s="4264">
        <v>0</v>
      </c>
      <c r="D25" s="4264">
        <v>0</v>
      </c>
      <c r="E25" s="4264">
        <v>0</v>
      </c>
      <c r="F25" s="4264">
        <v>0</v>
      </c>
      <c r="G25" s="4264">
        <v>0</v>
      </c>
      <c r="H25" s="4264"/>
      <c r="I25" s="4485">
        <v>0</v>
      </c>
      <c r="J25" s="4267"/>
      <c r="K25" s="4267">
        <f>I25*(1+Assumptions!$G$112)</f>
        <v>0</v>
      </c>
      <c r="L25" s="4332"/>
    </row>
    <row r="26" spans="1:12" ht="15.75" hidden="1" customHeight="1">
      <c r="A26" s="1393">
        <f t="shared" si="0"/>
        <v>17</v>
      </c>
      <c r="B26" s="3574" t="s">
        <v>645</v>
      </c>
      <c r="C26" s="4264">
        <v>0</v>
      </c>
      <c r="D26" s="4264">
        <v>0</v>
      </c>
      <c r="E26" s="4264">
        <v>0</v>
      </c>
      <c r="F26" s="4264">
        <v>0</v>
      </c>
      <c r="G26" s="4264">
        <v>0</v>
      </c>
      <c r="H26" s="4264"/>
      <c r="I26" s="4485">
        <v>0</v>
      </c>
      <c r="J26" s="4267"/>
      <c r="K26" s="4267">
        <f>I26*(1+Assumptions!$G$112)</f>
        <v>0</v>
      </c>
      <c r="L26" s="4332"/>
    </row>
    <row r="27" spans="1:12" ht="15.75" hidden="1" customHeight="1">
      <c r="A27" s="1393">
        <f t="shared" si="0"/>
        <v>18</v>
      </c>
      <c r="B27" s="3574" t="s">
        <v>646</v>
      </c>
      <c r="C27" s="4264">
        <v>0</v>
      </c>
      <c r="D27" s="4264">
        <v>0</v>
      </c>
      <c r="E27" s="4264">
        <v>0</v>
      </c>
      <c r="F27" s="4264">
        <v>0</v>
      </c>
      <c r="G27" s="4264">
        <v>0</v>
      </c>
      <c r="H27" s="4264"/>
      <c r="I27" s="4485">
        <v>0</v>
      </c>
      <c r="J27" s="4267"/>
      <c r="K27" s="4267">
        <f>I27*(1+Assumptions!$G$112)</f>
        <v>0</v>
      </c>
      <c r="L27" s="4332"/>
    </row>
    <row r="28" spans="1:12" ht="15.75" hidden="1" customHeight="1">
      <c r="A28" s="1393">
        <f t="shared" si="0"/>
        <v>19</v>
      </c>
      <c r="B28" s="3574" t="s">
        <v>647</v>
      </c>
      <c r="C28" s="4264">
        <v>0</v>
      </c>
      <c r="D28" s="4264">
        <v>0</v>
      </c>
      <c r="E28" s="4264">
        <v>0</v>
      </c>
      <c r="F28" s="4264">
        <v>0</v>
      </c>
      <c r="G28" s="4264">
        <v>0</v>
      </c>
      <c r="H28" s="4264"/>
      <c r="I28" s="4485">
        <v>0</v>
      </c>
      <c r="J28" s="4267"/>
      <c r="K28" s="4267">
        <f>I28*(1+Assumptions!$G$112)</f>
        <v>0</v>
      </c>
      <c r="L28" s="4332"/>
    </row>
    <row r="29" spans="1:12" ht="15.75" hidden="1" customHeight="1">
      <c r="A29" s="1393">
        <f t="shared" si="0"/>
        <v>20</v>
      </c>
      <c r="B29" s="3574" t="s">
        <v>648</v>
      </c>
      <c r="C29" s="4264">
        <v>0</v>
      </c>
      <c r="D29" s="4264">
        <v>0</v>
      </c>
      <c r="E29" s="4264">
        <v>0</v>
      </c>
      <c r="F29" s="4264">
        <v>0</v>
      </c>
      <c r="G29" s="4264">
        <v>0</v>
      </c>
      <c r="H29" s="4264"/>
      <c r="I29" s="4485">
        <v>0</v>
      </c>
      <c r="J29" s="4267"/>
      <c r="K29" s="4267">
        <f>I29*(1+Assumptions!$G$112)</f>
        <v>0</v>
      </c>
      <c r="L29" s="4332"/>
    </row>
    <row r="30" spans="1:12" ht="15.75" hidden="1" customHeight="1">
      <c r="A30" s="1393">
        <f t="shared" si="0"/>
        <v>21</v>
      </c>
      <c r="B30" s="3574" t="s">
        <v>649</v>
      </c>
      <c r="C30" s="4264">
        <v>0</v>
      </c>
      <c r="D30" s="4264">
        <v>0</v>
      </c>
      <c r="E30" s="4264">
        <v>0</v>
      </c>
      <c r="F30" s="4264">
        <v>0</v>
      </c>
      <c r="G30" s="4264">
        <v>0</v>
      </c>
      <c r="H30" s="4264"/>
      <c r="I30" s="4485">
        <v>0</v>
      </c>
      <c r="J30" s="4267"/>
      <c r="K30" s="4267">
        <f>I30*(1+Assumptions!$G$112)</f>
        <v>0</v>
      </c>
      <c r="L30" s="4332"/>
    </row>
    <row r="31" spans="1:12" ht="15.75" customHeight="1">
      <c r="A31" s="1393">
        <f>A22+1</f>
        <v>14</v>
      </c>
      <c r="B31" s="3574" t="s">
        <v>327</v>
      </c>
      <c r="C31" s="4264">
        <v>0</v>
      </c>
      <c r="D31" s="4264">
        <v>0</v>
      </c>
      <c r="E31" s="4264">
        <f>'Non Tariff Income_12-13'!E12</f>
        <v>3.2</v>
      </c>
      <c r="F31" s="4264">
        <v>0</v>
      </c>
      <c r="G31" s="4264">
        <f>'NTI13-14'!G12</f>
        <v>3.45</v>
      </c>
      <c r="H31" s="4264">
        <v>0</v>
      </c>
      <c r="I31" s="4485">
        <v>0</v>
      </c>
      <c r="J31" s="4267">
        <v>0</v>
      </c>
      <c r="K31" s="4267">
        <f>I31*(1+Assumptions!$G$112)</f>
        <v>0</v>
      </c>
      <c r="L31" s="4332"/>
    </row>
    <row r="32" spans="1:12" ht="15.75" customHeight="1">
      <c r="A32" s="1393">
        <f>A23+1</f>
        <v>15</v>
      </c>
      <c r="B32" s="3574" t="s">
        <v>2862</v>
      </c>
      <c r="C32" s="4264"/>
      <c r="D32" s="4264"/>
      <c r="E32" s="4264">
        <f>-'F10.1_sale of scrap'!G13/10^7</f>
        <v>-2.7807347999999998</v>
      </c>
      <c r="F32" s="4264"/>
      <c r="G32" s="4264">
        <f>-'F10.1_sale of scrap'!G24/10^7</f>
        <v>-2.2026175000000001</v>
      </c>
      <c r="H32" s="4264">
        <v>0</v>
      </c>
      <c r="I32" s="4485">
        <v>-3.63</v>
      </c>
      <c r="J32" s="4264">
        <v>0</v>
      </c>
      <c r="K32" s="4264">
        <v>0</v>
      </c>
      <c r="L32" s="4332"/>
    </row>
    <row r="33" spans="1:12" s="83" customFormat="1">
      <c r="A33" s="1393"/>
      <c r="B33" s="3575" t="s">
        <v>47</v>
      </c>
      <c r="C33" s="4265">
        <f>SUM(C10:C24)</f>
        <v>48.085000000000001</v>
      </c>
      <c r="D33" s="4265">
        <f>SUM(D10:D31)</f>
        <v>62.510000000000005</v>
      </c>
      <c r="E33" s="4265">
        <f>SUM(E10:E32)</f>
        <v>57.709265200000004</v>
      </c>
      <c r="F33" s="4265">
        <f>SUM(F10:F32)</f>
        <v>68.498839999999987</v>
      </c>
      <c r="G33" s="4265">
        <f t="shared" ref="G33:K33" si="1">SUM(G10:G32)</f>
        <v>61.7873825</v>
      </c>
      <c r="H33" s="4265">
        <f>SUM(H10:H32)</f>
        <v>75.109999999999985</v>
      </c>
      <c r="I33" s="4265">
        <f>SUM(I10:I32)</f>
        <v>54.95</v>
      </c>
      <c r="J33" s="4265">
        <f t="shared" si="1"/>
        <v>82.39</v>
      </c>
      <c r="K33" s="4265">
        <f t="shared" si="1"/>
        <v>73.400000000000006</v>
      </c>
      <c r="L33" s="4332"/>
    </row>
    <row r="34" spans="1:12" s="83" customFormat="1">
      <c r="A34" s="67"/>
      <c r="B34" s="74"/>
      <c r="C34" s="74"/>
      <c r="D34" s="476"/>
      <c r="E34" s="476"/>
    </row>
    <row r="35" spans="1:12">
      <c r="D35" s="71"/>
      <c r="E35" s="477"/>
    </row>
    <row r="36" spans="1:12">
      <c r="D36" s="71"/>
      <c r="E36" s="71"/>
    </row>
    <row r="37" spans="1:12">
      <c r="D37" s="71"/>
      <c r="E37" s="71"/>
      <c r="I37" s="3812"/>
    </row>
    <row r="42" spans="1:12">
      <c r="D42" s="71"/>
      <c r="E42" s="71"/>
    </row>
    <row r="43" spans="1:12">
      <c r="D43" s="71"/>
      <c r="E43" s="71"/>
    </row>
    <row r="44" spans="1:12">
      <c r="D44" s="71"/>
      <c r="E44" s="71"/>
    </row>
    <row r="45" spans="1:12">
      <c r="D45" s="71"/>
      <c r="E45" s="71"/>
    </row>
    <row r="46" spans="1:12">
      <c r="D46" s="71"/>
      <c r="E46" s="71"/>
    </row>
    <row r="47" spans="1:12">
      <c r="D47" s="71"/>
      <c r="E47" s="71"/>
    </row>
    <row r="48" spans="1:12">
      <c r="D48" s="71"/>
      <c r="E48" s="71"/>
    </row>
    <row r="49" spans="4:5">
      <c r="D49" s="71"/>
      <c r="E49" s="71"/>
    </row>
    <row r="50" spans="4:5">
      <c r="D50" s="71"/>
      <c r="E50" s="71"/>
    </row>
    <row r="51" spans="4:5">
      <c r="D51" s="71"/>
      <c r="E51" s="71"/>
    </row>
    <row r="52" spans="4:5">
      <c r="D52" s="71"/>
      <c r="E52" s="71"/>
    </row>
    <row r="53" spans="4:5">
      <c r="D53" s="71"/>
      <c r="E53" s="71"/>
    </row>
    <row r="54" spans="4:5">
      <c r="D54" s="71"/>
      <c r="E54" s="71"/>
    </row>
    <row r="55" spans="4:5">
      <c r="D55" s="71"/>
      <c r="E55" s="71"/>
    </row>
    <row r="56" spans="4:5">
      <c r="D56" s="71"/>
      <c r="E56" s="71"/>
    </row>
    <row r="57" spans="4:5">
      <c r="D57" s="71"/>
      <c r="E57" s="71"/>
    </row>
    <row r="58" spans="4:5">
      <c r="D58" s="71"/>
      <c r="E58" s="71"/>
    </row>
    <row r="59" spans="4:5">
      <c r="D59" s="71"/>
      <c r="E59" s="71"/>
    </row>
    <row r="60" spans="4:5">
      <c r="D60" s="71"/>
      <c r="E60" s="71"/>
    </row>
    <row r="61" spans="4:5">
      <c r="D61" s="71"/>
      <c r="E61" s="71"/>
    </row>
    <row r="62" spans="4:5">
      <c r="D62" s="71"/>
      <c r="E62" s="71"/>
    </row>
    <row r="63" spans="4:5">
      <c r="D63" s="71"/>
      <c r="E63" s="71"/>
    </row>
    <row r="64" spans="4:5">
      <c r="D64" s="71"/>
      <c r="E64" s="71"/>
    </row>
    <row r="65" spans="4:5">
      <c r="D65" s="71"/>
      <c r="E65" s="71"/>
    </row>
    <row r="66" spans="4:5">
      <c r="D66" s="71"/>
      <c r="E66" s="71"/>
    </row>
    <row r="67" spans="4:5">
      <c r="D67" s="71"/>
      <c r="E67" s="71"/>
    </row>
    <row r="68" spans="4:5">
      <c r="D68" s="71"/>
      <c r="E68" s="71"/>
    </row>
    <row r="69" spans="4:5">
      <c r="D69" s="71"/>
      <c r="E69" s="71"/>
    </row>
    <row r="70" spans="4:5">
      <c r="D70" s="71"/>
      <c r="E70" s="71"/>
    </row>
    <row r="71" spans="4:5">
      <c r="D71" s="71"/>
      <c r="E71" s="71"/>
    </row>
    <row r="72" spans="4:5">
      <c r="D72" s="71"/>
      <c r="E72" s="71"/>
    </row>
    <row r="73" spans="4:5">
      <c r="D73" s="71"/>
      <c r="E73" s="71"/>
    </row>
    <row r="74" spans="4:5">
      <c r="D74" s="71"/>
      <c r="E74" s="71"/>
    </row>
    <row r="75" spans="4:5">
      <c r="D75" s="71"/>
      <c r="E75" s="71"/>
    </row>
    <row r="76" spans="4:5">
      <c r="D76" s="71"/>
      <c r="E76" s="71"/>
    </row>
    <row r="77" spans="4:5">
      <c r="D77" s="71"/>
      <c r="E77" s="71"/>
    </row>
    <row r="78" spans="4:5">
      <c r="D78" s="71"/>
      <c r="E78" s="71"/>
    </row>
    <row r="79" spans="4:5">
      <c r="D79" s="71"/>
      <c r="E79" s="71"/>
    </row>
    <row r="80" spans="4:5">
      <c r="D80" s="71"/>
      <c r="E80" s="71"/>
    </row>
    <row r="81" spans="4:5">
      <c r="D81" s="71"/>
      <c r="E81" s="71"/>
    </row>
    <row r="82" spans="4:5">
      <c r="D82" s="71"/>
      <c r="E82" s="71"/>
    </row>
    <row r="83" spans="4:5">
      <c r="D83" s="71"/>
      <c r="E83" s="71"/>
    </row>
    <row r="84" spans="4:5">
      <c r="D84" s="71"/>
      <c r="E84" s="71"/>
    </row>
    <row r="85" spans="4:5">
      <c r="D85" s="71"/>
      <c r="E85" s="71"/>
    </row>
    <row r="86" spans="4:5">
      <c r="D86" s="71"/>
      <c r="E86" s="71"/>
    </row>
    <row r="87" spans="4:5">
      <c r="D87" s="71"/>
      <c r="E87" s="71"/>
    </row>
    <row r="88" spans="4:5">
      <c r="D88" s="71"/>
      <c r="E88" s="71"/>
    </row>
    <row r="89" spans="4:5">
      <c r="D89" s="71"/>
      <c r="E89" s="71"/>
    </row>
    <row r="90" spans="4:5">
      <c r="D90" s="71"/>
      <c r="E90" s="71"/>
    </row>
    <row r="91" spans="4:5">
      <c r="D91" s="71"/>
      <c r="E91" s="71"/>
    </row>
    <row r="92" spans="4:5">
      <c r="D92" s="71"/>
      <c r="E92" s="71"/>
    </row>
    <row r="93" spans="4:5">
      <c r="D93" s="71"/>
      <c r="E93" s="71"/>
    </row>
    <row r="94" spans="4:5">
      <c r="D94" s="71"/>
      <c r="E94" s="71"/>
    </row>
    <row r="95" spans="4:5">
      <c r="D95" s="71"/>
      <c r="E95" s="71"/>
    </row>
    <row r="96" spans="4:5">
      <c r="D96" s="71"/>
      <c r="E96" s="71"/>
    </row>
    <row r="97" spans="4:5">
      <c r="D97" s="71"/>
      <c r="E97" s="71"/>
    </row>
    <row r="98" spans="4:5">
      <c r="D98" s="71"/>
      <c r="E98" s="71"/>
    </row>
    <row r="99" spans="4:5">
      <c r="D99" s="71"/>
      <c r="E99" s="71"/>
    </row>
    <row r="100" spans="4:5">
      <c r="D100" s="71"/>
      <c r="E100" s="71"/>
    </row>
    <row r="101" spans="4:5">
      <c r="D101" s="71"/>
      <c r="E101" s="71"/>
    </row>
    <row r="102" spans="4:5">
      <c r="D102" s="71"/>
      <c r="E102" s="71"/>
    </row>
    <row r="103" spans="4:5">
      <c r="D103" s="71"/>
      <c r="E103" s="71"/>
    </row>
    <row r="104" spans="4:5">
      <c r="D104" s="71"/>
      <c r="E104" s="71"/>
    </row>
    <row r="105" spans="4:5">
      <c r="D105" s="71"/>
      <c r="E105" s="71"/>
    </row>
    <row r="106" spans="4:5">
      <c r="D106" s="71"/>
      <c r="E106" s="71"/>
    </row>
    <row r="107" spans="4:5">
      <c r="D107" s="71"/>
      <c r="E107" s="71"/>
    </row>
    <row r="108" spans="4:5">
      <c r="D108" s="71"/>
      <c r="E108" s="71"/>
    </row>
    <row r="109" spans="4:5">
      <c r="D109" s="71"/>
      <c r="E109" s="71"/>
    </row>
    <row r="110" spans="4:5">
      <c r="D110" s="71"/>
      <c r="E110" s="71"/>
    </row>
    <row r="111" spans="4:5">
      <c r="D111" s="71"/>
      <c r="E111" s="71"/>
    </row>
    <row r="112" spans="4:5">
      <c r="D112" s="71"/>
      <c r="E112" s="71"/>
    </row>
    <row r="113" spans="4:5">
      <c r="D113" s="71"/>
      <c r="E113" s="71"/>
    </row>
    <row r="114" spans="4:5">
      <c r="D114" s="71"/>
      <c r="E114" s="71"/>
    </row>
    <row r="115" spans="4:5">
      <c r="D115" s="71"/>
      <c r="E115" s="71"/>
    </row>
    <row r="116" spans="4:5">
      <c r="D116" s="71"/>
      <c r="E116" s="71"/>
    </row>
    <row r="117" spans="4:5">
      <c r="D117" s="71"/>
      <c r="E117" s="71"/>
    </row>
    <row r="118" spans="4:5">
      <c r="D118" s="71"/>
      <c r="E118" s="71"/>
    </row>
    <row r="119" spans="4:5">
      <c r="D119" s="71"/>
      <c r="E119" s="71"/>
    </row>
    <row r="120" spans="4:5">
      <c r="D120" s="71"/>
      <c r="E120" s="71"/>
    </row>
    <row r="121" spans="4:5">
      <c r="D121" s="71"/>
      <c r="E121" s="71"/>
    </row>
    <row r="122" spans="4:5">
      <c r="D122" s="71"/>
      <c r="E122" s="71"/>
    </row>
    <row r="123" spans="4:5">
      <c r="D123" s="71"/>
      <c r="E123" s="71"/>
    </row>
    <row r="124" spans="4:5">
      <c r="D124" s="71"/>
      <c r="E124" s="71"/>
    </row>
    <row r="125" spans="4:5">
      <c r="D125" s="71"/>
      <c r="E125" s="71"/>
    </row>
    <row r="126" spans="4:5">
      <c r="D126" s="71"/>
      <c r="E126" s="71"/>
    </row>
    <row r="127" spans="4:5">
      <c r="D127" s="71"/>
      <c r="E127" s="71"/>
    </row>
    <row r="128" spans="4:5">
      <c r="D128" s="71"/>
      <c r="E128" s="71"/>
    </row>
    <row r="129" spans="4:5">
      <c r="D129" s="71"/>
      <c r="E129" s="71"/>
    </row>
    <row r="130" spans="4:5">
      <c r="D130" s="71"/>
      <c r="E130" s="71"/>
    </row>
    <row r="131" spans="4:5">
      <c r="D131" s="71"/>
      <c r="E131" s="71"/>
    </row>
    <row r="132" spans="4:5">
      <c r="D132" s="71"/>
      <c r="E132" s="71"/>
    </row>
    <row r="133" spans="4:5">
      <c r="D133" s="71"/>
      <c r="E133" s="71"/>
    </row>
    <row r="134" spans="4:5">
      <c r="D134" s="71"/>
      <c r="E134" s="71"/>
    </row>
    <row r="135" spans="4:5">
      <c r="D135" s="71"/>
      <c r="E135" s="71"/>
    </row>
    <row r="136" spans="4:5">
      <c r="D136" s="71"/>
      <c r="E136" s="71"/>
    </row>
    <row r="137" spans="4:5">
      <c r="D137" s="71"/>
      <c r="E137" s="71"/>
    </row>
    <row r="138" spans="4:5">
      <c r="D138" s="71"/>
      <c r="E138" s="71"/>
    </row>
    <row r="139" spans="4:5">
      <c r="D139" s="71"/>
      <c r="E139" s="71"/>
    </row>
    <row r="140" spans="4:5">
      <c r="D140" s="71"/>
      <c r="E140" s="71"/>
    </row>
    <row r="141" spans="4:5">
      <c r="D141" s="71"/>
      <c r="E141" s="71"/>
    </row>
    <row r="142" spans="4:5">
      <c r="D142" s="71"/>
      <c r="E142" s="71"/>
    </row>
    <row r="143" spans="4:5">
      <c r="D143" s="71"/>
      <c r="E143" s="71"/>
    </row>
    <row r="144" spans="4:5">
      <c r="D144" s="71"/>
      <c r="E144" s="71"/>
    </row>
    <row r="145" spans="4:5">
      <c r="D145" s="71"/>
      <c r="E145" s="71"/>
    </row>
    <row r="146" spans="4:5">
      <c r="D146" s="71"/>
      <c r="E146" s="71"/>
    </row>
    <row r="147" spans="4:5">
      <c r="D147" s="71"/>
      <c r="E147" s="71"/>
    </row>
    <row r="148" spans="4:5">
      <c r="D148" s="71"/>
      <c r="E148" s="71"/>
    </row>
    <row r="149" spans="4:5">
      <c r="D149" s="71"/>
      <c r="E149" s="71"/>
    </row>
    <row r="150" spans="4:5">
      <c r="D150" s="71"/>
      <c r="E150" s="71"/>
    </row>
    <row r="151" spans="4:5">
      <c r="D151" s="71"/>
      <c r="E151" s="71"/>
    </row>
    <row r="152" spans="4:5">
      <c r="D152" s="71"/>
      <c r="E152" s="71"/>
    </row>
    <row r="153" spans="4:5">
      <c r="D153" s="71"/>
      <c r="E153" s="71"/>
    </row>
    <row r="154" spans="4:5">
      <c r="D154" s="71"/>
      <c r="E154" s="71"/>
    </row>
    <row r="155" spans="4:5">
      <c r="D155" s="71"/>
      <c r="E155" s="71"/>
    </row>
    <row r="156" spans="4:5">
      <c r="D156" s="71"/>
      <c r="E156" s="71"/>
    </row>
    <row r="157" spans="4:5">
      <c r="D157" s="71"/>
      <c r="E157" s="71"/>
    </row>
    <row r="158" spans="4:5">
      <c r="D158" s="71"/>
      <c r="E158" s="71"/>
    </row>
    <row r="159" spans="4:5">
      <c r="D159" s="71"/>
      <c r="E159" s="71"/>
    </row>
    <row r="160" spans="4:5">
      <c r="D160" s="71"/>
      <c r="E160" s="71"/>
    </row>
    <row r="161" spans="4:5">
      <c r="D161" s="71"/>
      <c r="E161" s="71"/>
    </row>
    <row r="162" spans="4:5">
      <c r="D162" s="71"/>
      <c r="E162" s="71"/>
    </row>
    <row r="163" spans="4:5">
      <c r="D163" s="71"/>
      <c r="E163" s="71"/>
    </row>
    <row r="164" spans="4:5">
      <c r="D164" s="71"/>
      <c r="E164" s="71"/>
    </row>
    <row r="165" spans="4:5">
      <c r="D165" s="71"/>
      <c r="E165" s="71"/>
    </row>
    <row r="166" spans="4:5">
      <c r="D166" s="71"/>
      <c r="E166" s="71"/>
    </row>
    <row r="167" spans="4:5">
      <c r="D167" s="71"/>
      <c r="E167" s="71"/>
    </row>
    <row r="168" spans="4:5">
      <c r="D168" s="71"/>
      <c r="E168" s="71"/>
    </row>
    <row r="169" spans="4:5">
      <c r="D169" s="71"/>
      <c r="E169" s="71"/>
    </row>
    <row r="170" spans="4:5">
      <c r="D170" s="71"/>
      <c r="E170" s="71"/>
    </row>
    <row r="171" spans="4:5">
      <c r="D171" s="71"/>
      <c r="E171" s="71"/>
    </row>
    <row r="172" spans="4:5">
      <c r="D172" s="71"/>
      <c r="E172" s="71"/>
    </row>
    <row r="173" spans="4:5">
      <c r="D173" s="71"/>
      <c r="E173" s="71"/>
    </row>
    <row r="174" spans="4:5">
      <c r="D174" s="71"/>
      <c r="E174" s="71"/>
    </row>
    <row r="175" spans="4:5">
      <c r="D175" s="71"/>
      <c r="E175" s="71"/>
    </row>
    <row r="176" spans="4:5">
      <c r="D176" s="71"/>
      <c r="E176" s="71"/>
    </row>
    <row r="177" spans="4:5">
      <c r="D177" s="71"/>
      <c r="E177" s="71"/>
    </row>
    <row r="178" spans="4:5">
      <c r="D178" s="71"/>
      <c r="E178" s="71"/>
    </row>
    <row r="179" spans="4:5">
      <c r="D179" s="71"/>
      <c r="E179" s="71"/>
    </row>
    <row r="180" spans="4:5">
      <c r="D180" s="71"/>
      <c r="E180" s="71"/>
    </row>
    <row r="181" spans="4:5">
      <c r="D181" s="71"/>
      <c r="E181" s="71"/>
    </row>
    <row r="182" spans="4:5">
      <c r="D182" s="71"/>
      <c r="E182" s="71"/>
    </row>
    <row r="183" spans="4:5">
      <c r="D183" s="71"/>
      <c r="E183" s="71"/>
    </row>
    <row r="184" spans="4:5">
      <c r="D184" s="71"/>
      <c r="E184" s="71"/>
    </row>
    <row r="185" spans="4:5">
      <c r="D185" s="71"/>
      <c r="E185" s="71"/>
    </row>
    <row r="186" spans="4:5">
      <c r="D186" s="71"/>
      <c r="E186" s="71"/>
    </row>
    <row r="187" spans="4:5">
      <c r="D187" s="71"/>
      <c r="E187" s="71"/>
    </row>
    <row r="188" spans="4:5">
      <c r="D188" s="71"/>
      <c r="E188" s="71"/>
    </row>
    <row r="189" spans="4:5">
      <c r="D189" s="71"/>
      <c r="E189" s="71"/>
    </row>
    <row r="190" spans="4:5">
      <c r="D190" s="71"/>
      <c r="E190" s="71"/>
    </row>
    <row r="191" spans="4:5">
      <c r="D191" s="71"/>
      <c r="E191" s="71"/>
    </row>
    <row r="192" spans="4:5">
      <c r="D192" s="71"/>
      <c r="E192" s="71"/>
    </row>
    <row r="193" spans="4:5">
      <c r="D193" s="71"/>
      <c r="E193" s="71"/>
    </row>
    <row r="194" spans="4:5">
      <c r="D194" s="71"/>
      <c r="E194" s="71"/>
    </row>
    <row r="195" spans="4:5">
      <c r="D195" s="71"/>
      <c r="E195" s="71"/>
    </row>
    <row r="196" spans="4:5">
      <c r="D196" s="71"/>
      <c r="E196" s="71"/>
    </row>
    <row r="197" spans="4:5">
      <c r="D197" s="71"/>
      <c r="E197" s="71"/>
    </row>
    <row r="198" spans="4:5">
      <c r="D198" s="71"/>
      <c r="E198" s="71"/>
    </row>
    <row r="199" spans="4:5">
      <c r="D199" s="71"/>
      <c r="E199" s="71"/>
    </row>
    <row r="200" spans="4:5">
      <c r="D200" s="71"/>
      <c r="E200" s="71"/>
    </row>
    <row r="201" spans="4:5">
      <c r="D201" s="71"/>
      <c r="E201" s="71"/>
    </row>
    <row r="202" spans="4:5">
      <c r="D202" s="71"/>
      <c r="E202" s="71"/>
    </row>
    <row r="203" spans="4:5">
      <c r="D203" s="71"/>
      <c r="E203" s="71"/>
    </row>
    <row r="204" spans="4:5">
      <c r="D204" s="71"/>
      <c r="E204" s="71"/>
    </row>
    <row r="205" spans="4:5">
      <c r="D205" s="71"/>
      <c r="E205" s="71"/>
    </row>
    <row r="206" spans="4:5">
      <c r="D206" s="71"/>
      <c r="E206" s="71"/>
    </row>
    <row r="207" spans="4:5">
      <c r="D207" s="71"/>
      <c r="E207" s="71"/>
    </row>
    <row r="208" spans="4:5">
      <c r="D208" s="71"/>
      <c r="E208" s="71"/>
    </row>
    <row r="209" spans="4:5">
      <c r="D209" s="71"/>
      <c r="E209" s="71"/>
    </row>
    <row r="210" spans="4:5">
      <c r="D210" s="71"/>
      <c r="E210" s="71"/>
    </row>
    <row r="211" spans="4:5">
      <c r="D211" s="71"/>
      <c r="E211" s="71"/>
    </row>
    <row r="212" spans="4:5">
      <c r="D212" s="71"/>
      <c r="E212" s="71"/>
    </row>
    <row r="213" spans="4:5">
      <c r="D213" s="71"/>
      <c r="E213" s="71"/>
    </row>
    <row r="214" spans="4:5">
      <c r="D214" s="71"/>
      <c r="E214" s="71"/>
    </row>
    <row r="215" spans="4:5">
      <c r="D215" s="71"/>
      <c r="E215" s="71"/>
    </row>
    <row r="216" spans="4:5">
      <c r="D216" s="71"/>
      <c r="E216" s="71"/>
    </row>
    <row r="217" spans="4:5">
      <c r="D217" s="71"/>
      <c r="E217" s="71"/>
    </row>
    <row r="218" spans="4:5">
      <c r="D218" s="71"/>
      <c r="E218" s="71"/>
    </row>
    <row r="219" spans="4:5">
      <c r="D219" s="71"/>
      <c r="E219" s="71"/>
    </row>
    <row r="220" spans="4:5">
      <c r="D220" s="71"/>
      <c r="E220" s="71"/>
    </row>
    <row r="221" spans="4:5">
      <c r="D221" s="71"/>
      <c r="E221" s="71"/>
    </row>
    <row r="222" spans="4:5">
      <c r="D222" s="71"/>
      <c r="E222" s="71"/>
    </row>
    <row r="223" spans="4:5">
      <c r="D223" s="71"/>
      <c r="E223" s="71"/>
    </row>
    <row r="224" spans="4:5">
      <c r="D224" s="71"/>
      <c r="E224" s="71"/>
    </row>
    <row r="225" spans="4:5">
      <c r="D225" s="71"/>
      <c r="E225" s="71"/>
    </row>
    <row r="226" spans="4:5">
      <c r="D226" s="71"/>
      <c r="E226" s="71"/>
    </row>
    <row r="227" spans="4:5">
      <c r="D227" s="71"/>
      <c r="E227" s="71"/>
    </row>
    <row r="228" spans="4:5">
      <c r="D228" s="71"/>
      <c r="E228" s="71"/>
    </row>
    <row r="229" spans="4:5">
      <c r="D229" s="71"/>
      <c r="E229" s="71"/>
    </row>
    <row r="230" spans="4:5">
      <c r="D230" s="71"/>
      <c r="E230" s="71"/>
    </row>
    <row r="231" spans="4:5">
      <c r="D231" s="71"/>
      <c r="E231" s="71"/>
    </row>
    <row r="232" spans="4:5">
      <c r="D232" s="71"/>
      <c r="E232" s="71"/>
    </row>
    <row r="233" spans="4:5">
      <c r="D233" s="71"/>
      <c r="E233" s="71"/>
    </row>
    <row r="234" spans="4:5">
      <c r="D234" s="71"/>
      <c r="E234" s="71"/>
    </row>
    <row r="235" spans="4:5">
      <c r="D235" s="71"/>
      <c r="E235" s="71"/>
    </row>
    <row r="236" spans="4:5">
      <c r="D236" s="71"/>
      <c r="E236" s="71"/>
    </row>
    <row r="237" spans="4:5">
      <c r="D237" s="71"/>
      <c r="E237" s="71"/>
    </row>
    <row r="238" spans="4:5">
      <c r="D238" s="71"/>
      <c r="E238" s="71"/>
    </row>
    <row r="239" spans="4:5">
      <c r="D239" s="71"/>
      <c r="E239" s="71"/>
    </row>
    <row r="240" spans="4:5">
      <c r="D240" s="71"/>
      <c r="E240" s="71"/>
    </row>
    <row r="241" spans="4:5">
      <c r="D241" s="71"/>
      <c r="E241" s="71"/>
    </row>
    <row r="242" spans="4:5">
      <c r="D242" s="71"/>
      <c r="E242" s="71"/>
    </row>
    <row r="243" spans="4:5">
      <c r="D243" s="71"/>
      <c r="E243" s="71"/>
    </row>
    <row r="244" spans="4:5">
      <c r="D244" s="71"/>
      <c r="E244" s="71"/>
    </row>
    <row r="245" spans="4:5">
      <c r="D245" s="71"/>
      <c r="E245" s="71"/>
    </row>
    <row r="246" spans="4:5">
      <c r="D246" s="71"/>
      <c r="E246" s="71"/>
    </row>
    <row r="247" spans="4:5">
      <c r="D247" s="71"/>
      <c r="E247" s="71"/>
    </row>
    <row r="248" spans="4:5">
      <c r="D248" s="71"/>
      <c r="E248" s="71"/>
    </row>
    <row r="249" spans="4:5">
      <c r="D249" s="71"/>
      <c r="E249" s="71"/>
    </row>
    <row r="250" spans="4:5">
      <c r="D250" s="71"/>
      <c r="E250" s="71"/>
    </row>
    <row r="251" spans="4:5">
      <c r="D251" s="71"/>
      <c r="E251" s="71"/>
    </row>
    <row r="252" spans="4:5">
      <c r="D252" s="71"/>
      <c r="E252" s="71"/>
    </row>
    <row r="253" spans="4:5">
      <c r="D253" s="71"/>
      <c r="E253" s="71"/>
    </row>
    <row r="254" spans="4:5">
      <c r="D254" s="71"/>
      <c r="E254" s="71"/>
    </row>
    <row r="255" spans="4:5">
      <c r="D255" s="71"/>
      <c r="E255" s="71"/>
    </row>
    <row r="256" spans="4:5">
      <c r="D256" s="71"/>
      <c r="E256" s="71"/>
    </row>
    <row r="257" spans="4:5">
      <c r="D257" s="71"/>
      <c r="E257" s="71"/>
    </row>
    <row r="258" spans="4:5">
      <c r="D258" s="71"/>
      <c r="E258" s="71"/>
    </row>
    <row r="259" spans="4:5">
      <c r="D259" s="71"/>
      <c r="E259" s="71"/>
    </row>
    <row r="260" spans="4:5">
      <c r="D260" s="71"/>
      <c r="E260" s="71"/>
    </row>
    <row r="261" spans="4:5">
      <c r="D261" s="71"/>
      <c r="E261" s="71"/>
    </row>
    <row r="262" spans="4:5">
      <c r="D262" s="71"/>
      <c r="E262" s="71"/>
    </row>
    <row r="263" spans="4:5">
      <c r="D263" s="71"/>
      <c r="E263" s="71"/>
    </row>
    <row r="264" spans="4:5">
      <c r="D264" s="71"/>
      <c r="E264" s="71"/>
    </row>
    <row r="265" spans="4:5">
      <c r="D265" s="71"/>
      <c r="E265" s="71"/>
    </row>
    <row r="266" spans="4:5">
      <c r="D266" s="71"/>
      <c r="E266" s="71"/>
    </row>
    <row r="267" spans="4:5">
      <c r="D267" s="71"/>
      <c r="E267" s="71"/>
    </row>
    <row r="268" spans="4:5">
      <c r="D268" s="71"/>
      <c r="E268" s="71"/>
    </row>
    <row r="269" spans="4:5">
      <c r="D269" s="71"/>
      <c r="E269" s="71"/>
    </row>
    <row r="270" spans="4:5">
      <c r="D270" s="71"/>
      <c r="E270" s="71"/>
    </row>
    <row r="271" spans="4:5">
      <c r="D271" s="71"/>
      <c r="E271" s="71"/>
    </row>
    <row r="272" spans="4:5">
      <c r="D272" s="71"/>
      <c r="E272" s="71"/>
    </row>
    <row r="273" spans="4:5">
      <c r="D273" s="71"/>
      <c r="E273" s="71"/>
    </row>
    <row r="274" spans="4:5">
      <c r="D274" s="71"/>
      <c r="E274" s="71"/>
    </row>
    <row r="275" spans="4:5">
      <c r="D275" s="71"/>
      <c r="E275" s="71"/>
    </row>
    <row r="276" spans="4:5">
      <c r="D276" s="71"/>
      <c r="E276" s="71"/>
    </row>
    <row r="277" spans="4:5">
      <c r="D277" s="71"/>
      <c r="E277" s="71"/>
    </row>
    <row r="278" spans="4:5">
      <c r="D278" s="71"/>
      <c r="E278" s="71"/>
    </row>
    <row r="279" spans="4:5">
      <c r="D279" s="71"/>
      <c r="E279" s="71"/>
    </row>
    <row r="280" spans="4:5">
      <c r="D280" s="71"/>
      <c r="E280" s="71"/>
    </row>
    <row r="281" spans="4:5">
      <c r="D281" s="71"/>
      <c r="E281" s="71"/>
    </row>
    <row r="282" spans="4:5">
      <c r="D282" s="71"/>
      <c r="E282" s="71"/>
    </row>
    <row r="283" spans="4:5">
      <c r="D283" s="71"/>
      <c r="E283" s="71"/>
    </row>
    <row r="284" spans="4:5">
      <c r="D284" s="71"/>
      <c r="E284" s="71"/>
    </row>
    <row r="285" spans="4:5">
      <c r="D285" s="71"/>
      <c r="E285" s="71"/>
    </row>
    <row r="286" spans="4:5">
      <c r="D286" s="71"/>
      <c r="E286" s="71"/>
    </row>
    <row r="287" spans="4:5">
      <c r="D287" s="71"/>
      <c r="E287" s="71"/>
    </row>
    <row r="288" spans="4:5">
      <c r="D288" s="71"/>
      <c r="E288" s="71"/>
    </row>
    <row r="289" spans="4:5">
      <c r="D289" s="71"/>
      <c r="E289" s="71"/>
    </row>
    <row r="290" spans="4:5">
      <c r="D290" s="71"/>
      <c r="E290" s="71"/>
    </row>
    <row r="291" spans="4:5">
      <c r="D291" s="71"/>
      <c r="E291" s="71"/>
    </row>
    <row r="292" spans="4:5">
      <c r="D292" s="71"/>
      <c r="E292" s="71"/>
    </row>
    <row r="293" spans="4:5">
      <c r="D293" s="71"/>
      <c r="E293" s="71"/>
    </row>
    <row r="294" spans="4:5">
      <c r="D294" s="71"/>
      <c r="E294" s="71"/>
    </row>
    <row r="295" spans="4:5">
      <c r="D295" s="71"/>
      <c r="E295" s="71"/>
    </row>
    <row r="296" spans="4:5">
      <c r="D296" s="71"/>
      <c r="E296" s="71"/>
    </row>
    <row r="297" spans="4:5">
      <c r="D297" s="71"/>
      <c r="E297" s="71"/>
    </row>
    <row r="298" spans="4:5">
      <c r="D298" s="71"/>
      <c r="E298" s="71"/>
    </row>
    <row r="299" spans="4:5">
      <c r="D299" s="71"/>
      <c r="E299" s="71"/>
    </row>
    <row r="300" spans="4:5">
      <c r="D300" s="71"/>
      <c r="E300" s="71"/>
    </row>
    <row r="301" spans="4:5">
      <c r="D301" s="71"/>
      <c r="E301" s="71"/>
    </row>
    <row r="302" spans="4:5">
      <c r="D302" s="71"/>
      <c r="E302" s="71"/>
    </row>
    <row r="303" spans="4:5">
      <c r="D303" s="71"/>
      <c r="E303" s="71"/>
    </row>
    <row r="304" spans="4:5">
      <c r="D304" s="71"/>
      <c r="E304" s="71"/>
    </row>
    <row r="305" spans="4:5">
      <c r="D305" s="71"/>
      <c r="E305" s="71"/>
    </row>
    <row r="306" spans="4:5">
      <c r="D306" s="71"/>
      <c r="E306" s="71"/>
    </row>
    <row r="307" spans="4:5">
      <c r="D307" s="71"/>
      <c r="E307" s="71"/>
    </row>
    <row r="308" spans="4:5">
      <c r="D308" s="71"/>
      <c r="E308" s="71"/>
    </row>
    <row r="309" spans="4:5">
      <c r="D309" s="71"/>
      <c r="E309" s="71"/>
    </row>
    <row r="310" spans="4:5">
      <c r="D310" s="71"/>
      <c r="E310" s="71"/>
    </row>
    <row r="311" spans="4:5">
      <c r="D311" s="71"/>
      <c r="E311" s="71"/>
    </row>
    <row r="312" spans="4:5">
      <c r="D312" s="71"/>
      <c r="E312" s="71"/>
    </row>
    <row r="313" spans="4:5">
      <c r="D313" s="71"/>
      <c r="E313" s="71"/>
    </row>
    <row r="314" spans="4:5">
      <c r="D314" s="71"/>
      <c r="E314" s="71"/>
    </row>
    <row r="315" spans="4:5">
      <c r="D315" s="71"/>
      <c r="E315" s="71"/>
    </row>
    <row r="316" spans="4:5">
      <c r="D316" s="71"/>
      <c r="E316" s="71"/>
    </row>
    <row r="317" spans="4:5">
      <c r="D317" s="71"/>
      <c r="E317" s="71"/>
    </row>
    <row r="318" spans="4:5">
      <c r="D318" s="71"/>
      <c r="E318" s="71"/>
    </row>
    <row r="319" spans="4:5">
      <c r="D319" s="71"/>
      <c r="E319" s="71"/>
    </row>
    <row r="320" spans="4:5">
      <c r="D320" s="71"/>
      <c r="E320" s="71"/>
    </row>
    <row r="321" spans="4:5">
      <c r="D321" s="71"/>
      <c r="E321" s="71"/>
    </row>
    <row r="322" spans="4:5">
      <c r="D322" s="71"/>
      <c r="E322" s="71"/>
    </row>
    <row r="323" spans="4:5">
      <c r="D323" s="71"/>
      <c r="E323" s="71"/>
    </row>
    <row r="324" spans="4:5">
      <c r="D324" s="71"/>
      <c r="E324" s="71"/>
    </row>
    <row r="325" spans="4:5">
      <c r="D325" s="71"/>
      <c r="E325" s="71"/>
    </row>
    <row r="326" spans="4:5">
      <c r="D326" s="71"/>
      <c r="E326" s="71"/>
    </row>
    <row r="327" spans="4:5">
      <c r="D327" s="71"/>
      <c r="E327" s="71"/>
    </row>
    <row r="328" spans="4:5">
      <c r="D328" s="71"/>
      <c r="E328" s="71"/>
    </row>
    <row r="329" spans="4:5">
      <c r="D329" s="71"/>
      <c r="E329" s="71"/>
    </row>
    <row r="330" spans="4:5">
      <c r="D330" s="71"/>
      <c r="E330" s="71"/>
    </row>
    <row r="331" spans="4:5">
      <c r="D331" s="71"/>
      <c r="E331" s="71"/>
    </row>
    <row r="332" spans="4:5">
      <c r="D332" s="71"/>
      <c r="E332" s="71"/>
    </row>
    <row r="333" spans="4:5">
      <c r="D333" s="71"/>
      <c r="E333" s="71"/>
    </row>
    <row r="334" spans="4:5">
      <c r="D334" s="71"/>
      <c r="E334" s="71"/>
    </row>
    <row r="335" spans="4:5">
      <c r="D335" s="71"/>
      <c r="E335" s="71"/>
    </row>
    <row r="336" spans="4:5">
      <c r="D336" s="71"/>
      <c r="E336" s="71"/>
    </row>
  </sheetData>
  <mergeCells count="16">
    <mergeCell ref="A2:G2"/>
    <mergeCell ref="A3:G3"/>
    <mergeCell ref="A4:G4"/>
    <mergeCell ref="J8:K8"/>
    <mergeCell ref="K16:K18"/>
    <mergeCell ref="H17:H18"/>
    <mergeCell ref="J17:J18"/>
    <mergeCell ref="D17:D18"/>
    <mergeCell ref="F17:F18"/>
    <mergeCell ref="B7:B9"/>
    <mergeCell ref="A7:A9"/>
    <mergeCell ref="C7:C8"/>
    <mergeCell ref="D7:E8"/>
    <mergeCell ref="F7:G8"/>
    <mergeCell ref="H7:K7"/>
    <mergeCell ref="H8:I8"/>
  </mergeCells>
  <printOptions horizontalCentered="1"/>
  <pageMargins left="0.53" right="0.24" top="0.89" bottom="0.78" header="0.22" footer="0.5"/>
  <pageSetup paperSize="9" orientation="landscape" horizontalDpi="300" verticalDpi="300" r:id="rId1"/>
  <headerFooter alignWithMargins="0"/>
</worksheet>
</file>

<file path=xl/worksheets/sheet51.xml><?xml version="1.0" encoding="utf-8"?>
<worksheet xmlns="http://schemas.openxmlformats.org/spreadsheetml/2006/main" xmlns:r="http://schemas.openxmlformats.org/officeDocument/2006/relationships">
  <dimension ref="E4:G24"/>
  <sheetViews>
    <sheetView workbookViewId="0">
      <selection activeCell="G1" sqref="G1"/>
    </sheetView>
  </sheetViews>
  <sheetFormatPr defaultRowHeight="15"/>
  <cols>
    <col min="5" max="5" width="34.85546875" customWidth="1"/>
    <col min="7" max="7" width="18.85546875" customWidth="1"/>
  </cols>
  <sheetData>
    <row r="4" spans="5:7" ht="16.5" thickBot="1">
      <c r="E4" s="4403" t="s">
        <v>3344</v>
      </c>
    </row>
    <row r="5" spans="5:7" ht="16.5" thickBot="1">
      <c r="E5" s="4404" t="s">
        <v>3345</v>
      </c>
      <c r="F5" s="4405" t="s">
        <v>3346</v>
      </c>
      <c r="G5" s="4406">
        <v>66281</v>
      </c>
    </row>
    <row r="6" spans="5:7" ht="16.5" thickBot="1">
      <c r="E6" s="4407" t="s">
        <v>3347</v>
      </c>
      <c r="F6" s="4408" t="s">
        <v>3348</v>
      </c>
      <c r="G6" s="4409" t="s">
        <v>3349</v>
      </c>
    </row>
    <row r="7" spans="5:7" ht="16.5" thickBot="1">
      <c r="E7" s="4407" t="s">
        <v>3350</v>
      </c>
      <c r="F7" s="4408" t="s">
        <v>3351</v>
      </c>
      <c r="G7" s="4410">
        <v>14400</v>
      </c>
    </row>
    <row r="8" spans="5:7" ht="32.25" thickBot="1">
      <c r="E8" s="4407" t="s">
        <v>3352</v>
      </c>
      <c r="F8" s="4408" t="s">
        <v>3353</v>
      </c>
      <c r="G8" s="4410">
        <v>42845</v>
      </c>
    </row>
    <row r="9" spans="5:7" ht="16.5" thickBot="1">
      <c r="E9" s="4407" t="s">
        <v>3354</v>
      </c>
      <c r="F9" s="4408" t="s">
        <v>3355</v>
      </c>
      <c r="G9" s="4409">
        <v>0</v>
      </c>
    </row>
    <row r="10" spans="5:7" ht="16.5" thickBot="1">
      <c r="E10" s="4407" t="s">
        <v>3356</v>
      </c>
      <c r="F10" s="4408" t="s">
        <v>3357</v>
      </c>
      <c r="G10" s="4409" t="s">
        <v>3358</v>
      </c>
    </row>
    <row r="11" spans="5:7" ht="16.5" thickBot="1">
      <c r="E11" s="4407" t="s">
        <v>3359</v>
      </c>
      <c r="F11" s="4408" t="s">
        <v>3360</v>
      </c>
      <c r="G11" s="4409" t="s">
        <v>3361</v>
      </c>
    </row>
    <row r="12" spans="5:7" ht="16.5" thickBot="1">
      <c r="E12" s="4407" t="s">
        <v>3362</v>
      </c>
      <c r="F12" s="4408" t="s">
        <v>3363</v>
      </c>
      <c r="G12" s="4409" t="s">
        <v>3364</v>
      </c>
    </row>
    <row r="13" spans="5:7" ht="32.25" thickBot="1">
      <c r="E13" s="4407"/>
      <c r="F13" s="4411" t="s">
        <v>3365</v>
      </c>
      <c r="G13" s="4412">
        <v>27807348</v>
      </c>
    </row>
    <row r="15" spans="5:7" ht="15.75">
      <c r="E15" s="4403" t="s">
        <v>3366</v>
      </c>
    </row>
    <row r="16" spans="5:7" ht="15.75" thickBot="1"/>
    <row r="17" spans="5:7" ht="16.5" thickBot="1">
      <c r="E17" s="4404" t="s">
        <v>3345</v>
      </c>
      <c r="F17" s="4405" t="s">
        <v>3346</v>
      </c>
      <c r="G17" s="4406">
        <v>93891</v>
      </c>
    </row>
    <row r="18" spans="5:7" ht="16.5" thickBot="1">
      <c r="E18" s="4407" t="s">
        <v>3347</v>
      </c>
      <c r="F18" s="4408" t="s">
        <v>3348</v>
      </c>
      <c r="G18" s="4409" t="s">
        <v>3367</v>
      </c>
    </row>
    <row r="19" spans="5:7" ht="16.5" thickBot="1">
      <c r="E19" s="4407" t="s">
        <v>3350</v>
      </c>
      <c r="F19" s="4408" t="s">
        <v>3351</v>
      </c>
      <c r="G19" s="4409" t="s">
        <v>3368</v>
      </c>
    </row>
    <row r="20" spans="5:7" ht="16.5" thickBot="1">
      <c r="E20" s="4407" t="s">
        <v>3369</v>
      </c>
      <c r="F20" s="4408" t="s">
        <v>3370</v>
      </c>
      <c r="G20" s="4409" t="s">
        <v>3371</v>
      </c>
    </row>
    <row r="21" spans="5:7" ht="16.5" thickBot="1">
      <c r="E21" s="4407" t="s">
        <v>3356</v>
      </c>
      <c r="F21" s="4408" t="s">
        <v>3357</v>
      </c>
      <c r="G21" s="4409" t="s">
        <v>3372</v>
      </c>
    </row>
    <row r="22" spans="5:7" ht="16.5" thickBot="1">
      <c r="E22" s="4407" t="s">
        <v>3359</v>
      </c>
      <c r="F22" s="4408" t="s">
        <v>3360</v>
      </c>
      <c r="G22" s="4409" t="s">
        <v>3373</v>
      </c>
    </row>
    <row r="23" spans="5:7" ht="16.5" thickBot="1">
      <c r="E23" s="4407" t="s">
        <v>3362</v>
      </c>
      <c r="F23" s="4408" t="s">
        <v>3363</v>
      </c>
      <c r="G23" s="4409" t="s">
        <v>3374</v>
      </c>
    </row>
    <row r="24" spans="5:7" ht="32.25" thickBot="1">
      <c r="E24" s="4407"/>
      <c r="F24" s="4411" t="s">
        <v>3365</v>
      </c>
      <c r="G24" s="4412">
        <v>22026175</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sheetPr>
    <pageSetUpPr fitToPage="1"/>
  </sheetPr>
  <dimension ref="B1:I29"/>
  <sheetViews>
    <sheetView showGridLines="0" view="pageBreakPreview" zoomScale="60" zoomScaleNormal="94" workbookViewId="0">
      <selection activeCell="F1" sqref="F1:F1048576"/>
    </sheetView>
  </sheetViews>
  <sheetFormatPr defaultRowHeight="15.75"/>
  <cols>
    <col min="1" max="1" width="0.7109375" style="4757" customWidth="1"/>
    <col min="2" max="2" width="6.140625" style="4757" customWidth="1"/>
    <col min="3" max="3" width="18.85546875" style="4757" customWidth="1"/>
    <col min="4" max="4" width="26.42578125" style="4757" customWidth="1"/>
    <col min="5" max="5" width="23.5703125" style="4757" customWidth="1"/>
    <col min="6" max="6" width="23" style="4757" hidden="1" customWidth="1"/>
    <col min="7" max="7" width="13.5703125" style="4757" customWidth="1"/>
    <col min="8" max="9" width="18.7109375" style="4757" hidden="1" customWidth="1"/>
    <col min="10" max="16384" width="9.140625" style="4757"/>
  </cols>
  <sheetData>
    <row r="1" spans="2:9">
      <c r="B1" s="4756"/>
    </row>
    <row r="2" spans="2:9">
      <c r="B2" s="5839" t="s">
        <v>170</v>
      </c>
      <c r="C2" s="5839"/>
      <c r="D2" s="5839"/>
      <c r="E2" s="5839"/>
      <c r="F2" s="5357"/>
      <c r="G2" s="4758"/>
      <c r="H2" s="4758"/>
      <c r="I2" s="4758"/>
    </row>
    <row r="3" spans="2:9">
      <c r="B3" s="5839" t="s">
        <v>3016</v>
      </c>
      <c r="C3" s="5839"/>
      <c r="D3" s="5839"/>
      <c r="E3" s="5839"/>
      <c r="F3" s="5357"/>
      <c r="G3" s="4758"/>
      <c r="H3" s="4758"/>
      <c r="I3" s="4758"/>
    </row>
    <row r="4" spans="2:9">
      <c r="B4" s="5839" t="s">
        <v>3913</v>
      </c>
      <c r="C4" s="5839"/>
      <c r="D4" s="5839"/>
      <c r="E4" s="5839"/>
      <c r="F4" s="5357"/>
      <c r="G4" s="4758"/>
      <c r="H4" s="4758"/>
      <c r="I4" s="4758"/>
    </row>
    <row r="5" spans="2:9">
      <c r="B5" s="5839" t="s">
        <v>3541</v>
      </c>
      <c r="C5" s="5839"/>
      <c r="D5" s="5839"/>
      <c r="E5" s="5839"/>
      <c r="F5" s="5357"/>
      <c r="G5" s="4758"/>
      <c r="H5" s="4758"/>
      <c r="I5" s="4758"/>
    </row>
    <row r="7" spans="2:9" s="4759" customFormat="1">
      <c r="B7" s="5690" t="s">
        <v>101</v>
      </c>
      <c r="C7" s="5837" t="s">
        <v>1938</v>
      </c>
      <c r="D7" s="4789" t="s">
        <v>82</v>
      </c>
      <c r="E7" s="4789" t="s">
        <v>1845</v>
      </c>
      <c r="F7" s="5054" t="s">
        <v>2442</v>
      </c>
    </row>
    <row r="8" spans="2:9" s="4759" customFormat="1" ht="42.75" customHeight="1">
      <c r="B8" s="5692"/>
      <c r="C8" s="5838"/>
      <c r="D8" s="5054" t="s">
        <v>3746</v>
      </c>
      <c r="E8" s="5054" t="s">
        <v>3746</v>
      </c>
      <c r="F8" s="5054" t="s">
        <v>3746</v>
      </c>
    </row>
    <row r="9" spans="2:9" s="4759" customFormat="1">
      <c r="B9" s="4760">
        <v>1</v>
      </c>
      <c r="C9" s="4761" t="s">
        <v>14</v>
      </c>
      <c r="D9" s="4762">
        <v>68.363733045212527</v>
      </c>
      <c r="E9" s="1924">
        <v>24.661995406059138</v>
      </c>
      <c r="F9" s="4762">
        <v>2.0099999999999998</v>
      </c>
    </row>
    <row r="10" spans="2:9" s="4764" customFormat="1">
      <c r="B10" s="4763">
        <v>2</v>
      </c>
      <c r="C10" s="4761" t="s">
        <v>3542</v>
      </c>
      <c r="D10" s="4762">
        <v>96.543297711456461</v>
      </c>
      <c r="E10" s="1924">
        <v>96.072429447359227</v>
      </c>
      <c r="F10" s="4762">
        <v>97.5</v>
      </c>
    </row>
    <row r="11" spans="2:9" s="4764" customFormat="1">
      <c r="B11" s="4763">
        <v>3</v>
      </c>
      <c r="C11" s="4761" t="s">
        <v>3543</v>
      </c>
      <c r="D11" s="4762">
        <v>96.252724667394929</v>
      </c>
      <c r="E11" s="1924">
        <v>96.145906050994142</v>
      </c>
      <c r="F11" s="4762">
        <v>96.69</v>
      </c>
    </row>
    <row r="12" spans="2:9" s="4764" customFormat="1">
      <c r="B12" s="4760">
        <v>4</v>
      </c>
      <c r="C12" s="4761" t="s">
        <v>3544</v>
      </c>
      <c r="D12" s="4762">
        <v>100.03162603226728</v>
      </c>
      <c r="E12" s="1924">
        <v>96.974557661980356</v>
      </c>
      <c r="F12" s="4762">
        <v>97.55</v>
      </c>
    </row>
    <row r="13" spans="2:9" s="4764" customFormat="1">
      <c r="B13" s="4763">
        <v>5</v>
      </c>
      <c r="C13" s="4761" t="s">
        <v>3545</v>
      </c>
      <c r="D13" s="4762">
        <v>100.1164924323558</v>
      </c>
      <c r="E13" s="1924">
        <v>97.474929524642803</v>
      </c>
      <c r="F13" s="4762">
        <v>99.54</v>
      </c>
    </row>
    <row r="14" spans="2:9" s="4764" customFormat="1">
      <c r="B14" s="4763">
        <v>6</v>
      </c>
      <c r="C14" s="4761" t="s">
        <v>3546</v>
      </c>
      <c r="D14" s="4762">
        <v>97.894358566192636</v>
      </c>
      <c r="E14" s="1924">
        <v>96.62960959499911</v>
      </c>
      <c r="F14" s="4762">
        <v>99.54</v>
      </c>
    </row>
    <row r="15" spans="2:9" s="4764" customFormat="1">
      <c r="B15" s="4760">
        <v>7</v>
      </c>
      <c r="C15" s="4761" t="s">
        <v>3547</v>
      </c>
      <c r="D15" s="4762">
        <v>103.84484312477333</v>
      </c>
      <c r="E15" s="1924">
        <v>97.017186278881809</v>
      </c>
      <c r="F15" s="4762">
        <v>101.1</v>
      </c>
    </row>
    <row r="16" spans="2:9" s="4764" customFormat="1">
      <c r="B16" s="4763">
        <v>8</v>
      </c>
      <c r="C16" s="4761" t="s">
        <v>3548</v>
      </c>
      <c r="D16" s="4762">
        <v>99.907923758791952</v>
      </c>
      <c r="E16" s="1924">
        <v>95.558203229598462</v>
      </c>
      <c r="F16" s="4762">
        <v>102.05</v>
      </c>
    </row>
    <row r="17" spans="2:6" s="4765" customFormat="1">
      <c r="B17" s="4760">
        <v>9</v>
      </c>
      <c r="C17" s="4761" t="s">
        <v>3549</v>
      </c>
      <c r="D17" s="4762">
        <v>83.635331043849462</v>
      </c>
      <c r="E17" s="1924">
        <v>99.899445491451985</v>
      </c>
      <c r="F17" s="4762">
        <v>106.26459645479396</v>
      </c>
    </row>
    <row r="18" spans="2:6" s="4765" customFormat="1">
      <c r="B18" s="4763">
        <v>10</v>
      </c>
      <c r="C18" s="4761" t="s">
        <v>3550</v>
      </c>
      <c r="D18" s="4762">
        <v>82.313736205783457</v>
      </c>
      <c r="E18" s="1924">
        <v>91.057463023280874</v>
      </c>
      <c r="F18" s="4762">
        <v>61.02</v>
      </c>
    </row>
    <row r="19" spans="2:6" s="4765" customFormat="1">
      <c r="B19" s="4760">
        <v>11</v>
      </c>
      <c r="C19" s="4761" t="s">
        <v>3551</v>
      </c>
      <c r="D19" s="4762">
        <v>15.418222424822845</v>
      </c>
      <c r="E19" s="1924">
        <v>10.678365493568613</v>
      </c>
      <c r="F19" s="4762">
        <v>10.88</v>
      </c>
    </row>
    <row r="20" spans="2:6" s="4765" customFormat="1">
      <c r="B20" s="4763">
        <v>12</v>
      </c>
      <c r="C20" s="4761" t="s">
        <v>3552</v>
      </c>
      <c r="D20" s="4762">
        <v>76.218076086845358</v>
      </c>
      <c r="E20" s="1924">
        <v>95.305216355877917</v>
      </c>
      <c r="F20" s="4762">
        <v>96.44</v>
      </c>
    </row>
    <row r="21" spans="2:6">
      <c r="B21" s="4760">
        <v>13</v>
      </c>
      <c r="C21" s="4761" t="s">
        <v>3553</v>
      </c>
      <c r="D21" s="4762">
        <v>97.890569128958887</v>
      </c>
      <c r="E21" s="1924">
        <v>94.867450606666978</v>
      </c>
      <c r="F21" s="4762">
        <v>92.92</v>
      </c>
    </row>
    <row r="22" spans="2:6">
      <c r="B22" s="4763">
        <v>14</v>
      </c>
      <c r="C22" s="4761" t="s">
        <v>3554</v>
      </c>
      <c r="D22" s="4762">
        <v>89.139382409292878</v>
      </c>
      <c r="E22" s="1924">
        <v>100.22950310272347</v>
      </c>
      <c r="F22" s="4762">
        <v>91.03</v>
      </c>
    </row>
    <row r="23" spans="2:6">
      <c r="B23" s="4760">
        <v>15</v>
      </c>
      <c r="C23" s="4761" t="s">
        <v>3555</v>
      </c>
      <c r="D23" s="4762">
        <v>87.892755754147288</v>
      </c>
      <c r="E23" s="1924">
        <v>97.704271935723412</v>
      </c>
      <c r="F23" s="4762">
        <v>94.18</v>
      </c>
    </row>
    <row r="24" spans="2:6">
      <c r="B24" s="4763">
        <v>16</v>
      </c>
      <c r="C24" s="4761" t="s">
        <v>3556</v>
      </c>
      <c r="D24" s="4762">
        <v>96.329777947135469</v>
      </c>
      <c r="E24" s="1924">
        <v>96.710964482475518</v>
      </c>
      <c r="F24" s="4762">
        <v>101.07</v>
      </c>
    </row>
    <row r="25" spans="2:6">
      <c r="B25" s="4760">
        <v>17</v>
      </c>
      <c r="C25" s="4761" t="s">
        <v>3557</v>
      </c>
      <c r="D25" s="4762">
        <v>100.94781993712475</v>
      </c>
      <c r="E25" s="1924">
        <v>95.257481484618353</v>
      </c>
      <c r="F25" s="4762">
        <v>100.3</v>
      </c>
    </row>
    <row r="26" spans="2:6">
      <c r="B26" s="4763">
        <v>18</v>
      </c>
      <c r="C26" s="4761" t="s">
        <v>3558</v>
      </c>
      <c r="D26" s="4762">
        <v>95.871942078202821</v>
      </c>
      <c r="E26" s="1924">
        <v>96.943117598121489</v>
      </c>
      <c r="F26" s="4762">
        <v>108.02</v>
      </c>
    </row>
    <row r="27" spans="2:6">
      <c r="B27" s="4760">
        <v>19</v>
      </c>
      <c r="C27" s="4761" t="s">
        <v>3559</v>
      </c>
      <c r="D27" s="4762">
        <v>94.074605553754637</v>
      </c>
      <c r="E27" s="1924">
        <v>89.463460702512023</v>
      </c>
      <c r="F27" s="4762">
        <v>103.94</v>
      </c>
    </row>
    <row r="28" spans="2:6">
      <c r="B28" s="4763">
        <v>20</v>
      </c>
      <c r="C28" s="4761" t="s">
        <v>3560</v>
      </c>
      <c r="D28" s="4762">
        <v>88.482480847268789</v>
      </c>
      <c r="E28" s="1924">
        <v>97.14106928400895</v>
      </c>
      <c r="F28" s="4762">
        <v>99.93</v>
      </c>
    </row>
    <row r="29" spans="2:6">
      <c r="B29" s="4760"/>
      <c r="C29" s="4792" t="s">
        <v>47</v>
      </c>
      <c r="D29" s="4766">
        <v>97.460971219359976</v>
      </c>
      <c r="E29" s="809">
        <v>96.373493689045361</v>
      </c>
      <c r="F29" s="4766">
        <v>98.05</v>
      </c>
    </row>
  </sheetData>
  <mergeCells count="6">
    <mergeCell ref="B7:B8"/>
    <mergeCell ref="C7:C8"/>
    <mergeCell ref="B2:E2"/>
    <mergeCell ref="B3:E3"/>
    <mergeCell ref="B4:E4"/>
    <mergeCell ref="B5:E5"/>
  </mergeCells>
  <printOptions horizontalCentered="1"/>
  <pageMargins left="1.62" right="0.7" top="0.89" bottom="0.75" header="0.3" footer="0.3"/>
  <pageSetup orientation="landscape" r:id="rId1"/>
</worksheet>
</file>

<file path=xl/worksheets/sheet53.xml><?xml version="1.0" encoding="utf-8"?>
<worksheet xmlns="http://schemas.openxmlformats.org/spreadsheetml/2006/main" xmlns:r="http://schemas.openxmlformats.org/officeDocument/2006/relationships">
  <sheetPr codeName="Sheet42"/>
  <dimension ref="A1:XFD91"/>
  <sheetViews>
    <sheetView showGridLines="0" view="pageBreakPreview" topLeftCell="A56" zoomScale="60" zoomScaleNormal="70" workbookViewId="0">
      <selection activeCell="G13" sqref="G13"/>
    </sheetView>
  </sheetViews>
  <sheetFormatPr defaultRowHeight="15.75"/>
  <cols>
    <col min="1" max="1" width="9.140625" style="260"/>
    <col min="2" max="2" width="67" style="261" customWidth="1"/>
    <col min="3" max="3" width="26.42578125" style="260" customWidth="1"/>
    <col min="4" max="4" width="20.42578125" style="260" customWidth="1"/>
    <col min="5" max="5" width="25.85546875" style="260" customWidth="1"/>
    <col min="6" max="6" width="19.140625" style="260" customWidth="1"/>
    <col min="7" max="7" width="11.7109375" style="261" customWidth="1"/>
    <col min="8" max="8" width="12.28515625" style="261" customWidth="1"/>
    <col min="9" max="9" width="18.42578125" style="261" hidden="1" customWidth="1"/>
    <col min="10" max="10" width="20.7109375" style="260" hidden="1" customWidth="1"/>
    <col min="11" max="11" width="19.42578125" style="261" hidden="1" customWidth="1"/>
    <col min="12" max="12" width="19.5703125" style="261" hidden="1" customWidth="1"/>
    <col min="13" max="14" width="20.7109375" style="261" hidden="1" customWidth="1"/>
    <col min="15" max="16" width="0" style="261" hidden="1" customWidth="1"/>
    <col min="17" max="16384" width="9.140625" style="261"/>
  </cols>
  <sheetData>
    <row r="1" spans="1:14" customFormat="1">
      <c r="B1" s="5443" t="s">
        <v>100</v>
      </c>
      <c r="C1" s="5443"/>
      <c r="D1" s="5443"/>
      <c r="E1" s="5443"/>
      <c r="F1" s="5443"/>
      <c r="G1" s="874"/>
      <c r="H1" s="874"/>
      <c r="I1" s="874"/>
      <c r="J1" s="874"/>
      <c r="K1" s="874"/>
      <c r="L1" s="874"/>
      <c r="M1" s="874"/>
    </row>
    <row r="2" spans="1:14" customFormat="1">
      <c r="B2" s="5381" t="s">
        <v>3915</v>
      </c>
      <c r="C2" s="5381"/>
      <c r="D2" s="5381"/>
      <c r="E2" s="5381"/>
      <c r="F2" s="5381"/>
      <c r="G2" s="259"/>
      <c r="H2" s="259"/>
      <c r="I2" s="259"/>
      <c r="J2" s="259"/>
      <c r="K2" s="259"/>
      <c r="L2" s="259"/>
      <c r="M2" s="259"/>
    </row>
    <row r="3" spans="1:14" customFormat="1">
      <c r="B3" s="5381" t="s">
        <v>3506</v>
      </c>
      <c r="C3" s="5381"/>
      <c r="D3" s="5381"/>
      <c r="E3" s="5381"/>
      <c r="F3" s="5381"/>
      <c r="G3" s="259"/>
      <c r="H3" s="259"/>
      <c r="I3" s="259"/>
      <c r="J3" s="259"/>
      <c r="K3" s="259"/>
      <c r="L3" s="259"/>
      <c r="M3" s="259"/>
    </row>
    <row r="4" spans="1:14" ht="18.75">
      <c r="I4" s="4371" t="s">
        <v>3326</v>
      </c>
    </row>
    <row r="6" spans="1:14">
      <c r="A6" s="5447" t="s">
        <v>101</v>
      </c>
      <c r="B6" s="5447" t="s">
        <v>81</v>
      </c>
      <c r="C6" s="5447" t="s">
        <v>82</v>
      </c>
      <c r="D6" s="5447"/>
      <c r="E6" s="5447" t="s">
        <v>1845</v>
      </c>
      <c r="F6" s="5447"/>
      <c r="I6" s="5447" t="s">
        <v>101</v>
      </c>
      <c r="J6" s="5447" t="s">
        <v>81</v>
      </c>
      <c r="K6" s="5447" t="s">
        <v>82</v>
      </c>
      <c r="L6" s="5447"/>
      <c r="M6" s="5447" t="s">
        <v>1845</v>
      </c>
      <c r="N6" s="5447"/>
    </row>
    <row r="7" spans="1:14">
      <c r="A7" s="5447"/>
      <c r="B7" s="5447"/>
      <c r="C7" s="4802" t="s">
        <v>2902</v>
      </c>
      <c r="D7" s="4647" t="s">
        <v>96</v>
      </c>
      <c r="E7" s="4802" t="s">
        <v>2902</v>
      </c>
      <c r="F7" s="4647" t="s">
        <v>96</v>
      </c>
      <c r="I7" s="5447"/>
      <c r="J7" s="5447"/>
      <c r="K7" s="4338" t="s">
        <v>2902</v>
      </c>
      <c r="L7" s="4338" t="s">
        <v>758</v>
      </c>
      <c r="M7" s="4338" t="s">
        <v>2902</v>
      </c>
      <c r="N7" s="4338" t="s">
        <v>758</v>
      </c>
    </row>
    <row r="8" spans="1:14">
      <c r="A8" s="3881"/>
      <c r="B8" s="3880"/>
      <c r="C8" s="3881"/>
      <c r="D8" s="3881"/>
      <c r="E8" s="3881"/>
      <c r="F8" s="3881"/>
      <c r="I8" s="4340"/>
      <c r="J8" s="4341"/>
      <c r="K8" s="4340"/>
      <c r="L8" s="4340"/>
      <c r="M8" s="4340"/>
      <c r="N8" s="4340"/>
    </row>
    <row r="9" spans="1:14">
      <c r="A9" s="3884">
        <v>1</v>
      </c>
      <c r="B9" s="4153" t="s">
        <v>2903</v>
      </c>
      <c r="C9" s="3165"/>
      <c r="D9" s="3165"/>
      <c r="E9" s="3165"/>
      <c r="F9" s="3165"/>
      <c r="I9" s="4343">
        <v>1</v>
      </c>
      <c r="J9" s="4109" t="s">
        <v>2903</v>
      </c>
      <c r="K9" s="4340"/>
      <c r="L9" s="4340"/>
      <c r="M9" s="4340"/>
      <c r="N9" s="4340"/>
    </row>
    <row r="10" spans="1:14">
      <c r="A10" s="3884"/>
      <c r="B10" s="4631" t="s">
        <v>2904</v>
      </c>
      <c r="C10" s="3165"/>
      <c r="D10" s="3165">
        <v>133.02000000000001</v>
      </c>
      <c r="E10" s="3165"/>
      <c r="F10" s="3165">
        <v>151.11000000000001</v>
      </c>
      <c r="I10" s="4343"/>
      <c r="J10" s="4341" t="s">
        <v>2904</v>
      </c>
      <c r="K10" s="4340"/>
      <c r="L10" s="4340">
        <v>131.6</v>
      </c>
      <c r="M10" s="4340"/>
      <c r="N10" s="4340">
        <v>151.11000000000001</v>
      </c>
    </row>
    <row r="11" spans="1:14">
      <c r="A11" s="3884"/>
      <c r="B11" s="4631" t="s">
        <v>2903</v>
      </c>
      <c r="C11" s="4803">
        <v>0.95</v>
      </c>
      <c r="D11" s="4633">
        <f>(1-(D10/(8760*60)))</f>
        <v>0.99974691780821923</v>
      </c>
      <c r="E11" s="4632">
        <v>0.95</v>
      </c>
      <c r="F11" s="4633">
        <f>(1-(F10/(8760*60)))</f>
        <v>0.9997125</v>
      </c>
      <c r="G11" s="4146"/>
      <c r="I11" s="4343"/>
      <c r="J11" s="4341" t="s">
        <v>2903</v>
      </c>
      <c r="K11" s="4340"/>
      <c r="L11" s="1679">
        <f>(1-(L10/(8760)))</f>
        <v>0.98497716894977172</v>
      </c>
      <c r="M11" s="4340"/>
      <c r="N11" s="1679">
        <f>(1-(N10/(8760*60)))</f>
        <v>0.9997125</v>
      </c>
    </row>
    <row r="12" spans="1:14">
      <c r="A12" s="3884"/>
      <c r="B12" s="4631"/>
      <c r="C12" s="3165"/>
      <c r="D12" s="3165"/>
      <c r="E12" s="3165"/>
      <c r="F12" s="3165"/>
      <c r="I12" s="4343"/>
      <c r="J12" s="4341"/>
      <c r="K12" s="4340"/>
      <c r="L12" s="4340"/>
      <c r="M12" s="4340"/>
      <c r="N12" s="4340"/>
    </row>
    <row r="13" spans="1:14">
      <c r="A13" s="3884">
        <v>2</v>
      </c>
      <c r="B13" s="4153" t="s">
        <v>2905</v>
      </c>
      <c r="C13" s="4634">
        <v>0.95</v>
      </c>
      <c r="D13" s="4633">
        <f>(0.75*D18)+(0.25*D23)</f>
        <v>1.0179119097034435</v>
      </c>
      <c r="E13" s="4634">
        <v>0.95</v>
      </c>
      <c r="F13" s="4633">
        <f>(0.75*F18)+(0.25*F23)</f>
        <v>1.0356721353913036</v>
      </c>
      <c r="G13" s="5376">
        <f>F13-E13</f>
        <v>8.5672135391303694E-2</v>
      </c>
      <c r="I13" s="4343">
        <v>2</v>
      </c>
      <c r="J13" s="4109" t="s">
        <v>2905</v>
      </c>
      <c r="K13" s="4147">
        <v>1</v>
      </c>
      <c r="L13" s="4148">
        <f>(0.75*L18)+(0.25*L23)</f>
        <v>0.94355834036930686</v>
      </c>
      <c r="M13" s="4147">
        <v>1</v>
      </c>
      <c r="N13" s="4148">
        <f>(0.75*N18)+(0.25*N23)</f>
        <v>0.9511651175943967</v>
      </c>
    </row>
    <row r="14" spans="1:14">
      <c r="A14" s="3884"/>
      <c r="B14" s="4631"/>
      <c r="C14" s="3165"/>
      <c r="D14" s="3165"/>
      <c r="E14" s="3165"/>
      <c r="F14" s="3165"/>
      <c r="I14" s="4343"/>
      <c r="J14" s="4341"/>
      <c r="K14" s="4340"/>
      <c r="L14" s="4340"/>
      <c r="M14" s="4340"/>
      <c r="N14" s="4340"/>
    </row>
    <row r="15" spans="1:14">
      <c r="A15" s="3884"/>
      <c r="B15" s="4149" t="s">
        <v>2907</v>
      </c>
      <c r="C15" s="3165"/>
      <c r="D15" s="3165"/>
      <c r="E15" s="3165"/>
      <c r="F15" s="3165"/>
      <c r="I15" s="4343"/>
      <c r="J15" s="4149" t="s">
        <v>2907</v>
      </c>
      <c r="K15" s="4340"/>
      <c r="M15" s="4340"/>
    </row>
    <row r="16" spans="1:14">
      <c r="A16" s="3881"/>
      <c r="B16" s="4150" t="s">
        <v>2908</v>
      </c>
      <c r="C16" s="3165"/>
      <c r="D16" s="4512">
        <f>SUMIF($J$48:$J$58,$J$49,$G$48:$G$58)</f>
        <v>421.34181999999998</v>
      </c>
      <c r="E16" s="3165"/>
      <c r="F16" s="4512">
        <f>SUMIF($J$66:$J$77,$J$67,$G$66:$G$77)</f>
        <v>421.34181999999998</v>
      </c>
      <c r="I16" s="4340"/>
      <c r="J16" s="4150" t="s">
        <v>2908</v>
      </c>
      <c r="K16" s="4340"/>
      <c r="L16" s="4158">
        <f>$L$34-37*62.65%-236*48.83%</f>
        <v>435.3171612000001</v>
      </c>
      <c r="M16" s="4340"/>
      <c r="N16" s="4158">
        <f>$L$34-37*62.65%-236*48.83%</f>
        <v>435.3171612000001</v>
      </c>
    </row>
    <row r="17" spans="1:14">
      <c r="A17" s="3881"/>
      <c r="B17" s="4150" t="s">
        <v>2909</v>
      </c>
      <c r="C17" s="3165"/>
      <c r="D17" s="4512">
        <f>$E$82</f>
        <v>420.87201418587671</v>
      </c>
      <c r="E17" s="3165"/>
      <c r="F17" s="4512">
        <f>$F$82</f>
        <v>417.50417014178481</v>
      </c>
      <c r="I17" s="4340"/>
      <c r="J17" s="4150" t="s">
        <v>2909</v>
      </c>
      <c r="K17" s="4340"/>
      <c r="L17" s="4339">
        <v>702.09</v>
      </c>
      <c r="M17" s="4340"/>
      <c r="N17" s="4339">
        <v>756.38047150330806</v>
      </c>
    </row>
    <row r="18" spans="1:14">
      <c r="A18" s="3881"/>
      <c r="B18" s="4151" t="s">
        <v>2910</v>
      </c>
      <c r="C18" s="4635"/>
      <c r="D18" s="4635">
        <f>D16/D17</f>
        <v>1.0011162676497558</v>
      </c>
      <c r="E18" s="4635"/>
      <c r="F18" s="4633">
        <f>F16/F17</f>
        <v>1.0091918838964218</v>
      </c>
      <c r="I18" s="4340"/>
      <c r="J18" s="4151" t="s">
        <v>2910</v>
      </c>
      <c r="K18" s="4152"/>
      <c r="L18" s="1679">
        <f>L16/L17</f>
        <v>0.62003042515916773</v>
      </c>
      <c r="M18" s="1679"/>
      <c r="N18" s="1679">
        <f>N16/N17</f>
        <v>0.57552670593782806</v>
      </c>
    </row>
    <row r="19" spans="1:14">
      <c r="A19" s="3881"/>
      <c r="B19" s="4149"/>
      <c r="C19" s="3165"/>
      <c r="D19" s="3165"/>
      <c r="E19" s="3165"/>
      <c r="F19" s="3165"/>
      <c r="H19" s="3821"/>
      <c r="I19" s="4340"/>
      <c r="J19" s="4149"/>
      <c r="K19" s="4340"/>
      <c r="L19" s="4340"/>
      <c r="M19" s="4340"/>
      <c r="N19" s="4340"/>
    </row>
    <row r="20" spans="1:14">
      <c r="A20" s="3881"/>
      <c r="B20" s="4149" t="s">
        <v>2911</v>
      </c>
      <c r="C20" s="3165"/>
      <c r="D20" s="3165"/>
      <c r="E20" s="3165"/>
      <c r="F20" s="3165"/>
      <c r="H20" s="3821"/>
      <c r="I20" s="4340"/>
      <c r="J20" s="4149" t="s">
        <v>2911</v>
      </c>
      <c r="K20" s="4340"/>
      <c r="L20" s="4340"/>
      <c r="M20" s="4340"/>
      <c r="N20" s="4340"/>
    </row>
    <row r="21" spans="1:14">
      <c r="A21" s="3881"/>
      <c r="B21" s="4150" t="s">
        <v>2912</v>
      </c>
      <c r="C21" s="3165"/>
      <c r="D21" s="4512">
        <f>SUMIF($J$48:$J$58,$J$48,$G$48:$G$58)</f>
        <v>533.80279778000011</v>
      </c>
      <c r="E21" s="3165"/>
      <c r="F21" s="4512">
        <f>SUMIF($J$66:$J$77,$J$66,$G$66:$G$77)</f>
        <v>553.80279778000011</v>
      </c>
      <c r="H21" s="3821"/>
      <c r="I21" s="4340"/>
      <c r="J21" s="4150" t="s">
        <v>2912</v>
      </c>
      <c r="K21" s="4340"/>
      <c r="L21" s="4339">
        <f>$L$34-$L$16+$L$35</f>
        <v>415.77080250000006</v>
      </c>
      <c r="M21" s="4340"/>
      <c r="N21" s="4339">
        <f>L21+SUM(L38:L40)</f>
        <v>486.27080250000006</v>
      </c>
    </row>
    <row r="22" spans="1:14">
      <c r="A22" s="3881"/>
      <c r="B22" s="4150" t="s">
        <v>2913</v>
      </c>
      <c r="C22" s="3165"/>
      <c r="D22" s="4512">
        <f>$E$83</f>
        <v>499.67554008240319</v>
      </c>
      <c r="E22" s="3165"/>
      <c r="F22" s="4512">
        <f>$F$83</f>
        <v>496.63384111864048</v>
      </c>
      <c r="I22" s="4340"/>
      <c r="J22" s="4150" t="s">
        <v>2913</v>
      </c>
      <c r="K22" s="4340"/>
      <c r="L22" s="4158">
        <v>217.21</v>
      </c>
      <c r="M22" s="4340"/>
      <c r="N22" s="4158">
        <v>234</v>
      </c>
    </row>
    <row r="23" spans="1:14">
      <c r="A23" s="3881"/>
      <c r="B23" s="4151" t="s">
        <v>2914</v>
      </c>
      <c r="C23" s="4635"/>
      <c r="D23" s="4633">
        <f>D21/D22</f>
        <v>1.0682988358645069</v>
      </c>
      <c r="E23" s="4635"/>
      <c r="F23" s="4633">
        <f>F21/F22</f>
        <v>1.115112889875949</v>
      </c>
      <c r="I23" s="4340"/>
      <c r="J23" s="4151" t="s">
        <v>2914</v>
      </c>
      <c r="K23" s="4152"/>
      <c r="L23" s="1679">
        <f>L21/L22</f>
        <v>1.914142085999724</v>
      </c>
      <c r="M23" s="4152"/>
      <c r="N23" s="1679">
        <f>N21/N22</f>
        <v>2.0780803525641027</v>
      </c>
    </row>
    <row r="25" spans="1:14">
      <c r="B25" s="789"/>
      <c r="C25" s="789"/>
      <c r="D25" s="789"/>
      <c r="E25" s="789"/>
      <c r="F25" s="789"/>
      <c r="G25" s="789"/>
    </row>
    <row r="26" spans="1:14">
      <c r="A26" s="3659" t="s">
        <v>2963</v>
      </c>
      <c r="B26" s="266"/>
      <c r="C26" s="266"/>
      <c r="D26" s="266"/>
      <c r="E26" s="266"/>
      <c r="F26" s="266"/>
      <c r="G26" s="266"/>
    </row>
    <row r="27" spans="1:14">
      <c r="A27" s="248"/>
      <c r="B27" s="248"/>
      <c r="C27" s="248"/>
      <c r="D27" s="248"/>
      <c r="E27" s="266"/>
      <c r="F27" s="353" t="s">
        <v>151</v>
      </c>
    </row>
    <row r="28" spans="1:14">
      <c r="A28" s="5809" t="s">
        <v>101</v>
      </c>
      <c r="B28" s="5809" t="s">
        <v>81</v>
      </c>
      <c r="C28" s="5393" t="s">
        <v>82</v>
      </c>
      <c r="D28" s="5394"/>
      <c r="E28" s="5393" t="s">
        <v>1845</v>
      </c>
      <c r="F28" s="5394"/>
    </row>
    <row r="29" spans="1:14">
      <c r="A29" s="5809"/>
      <c r="B29" s="5809"/>
      <c r="C29" s="4472" t="s">
        <v>755</v>
      </c>
      <c r="D29" s="4472" t="s">
        <v>3298</v>
      </c>
      <c r="E29" s="4472" t="s">
        <v>755</v>
      </c>
      <c r="F29" s="4472" t="s">
        <v>3298</v>
      </c>
    </row>
    <row r="30" spans="1:14" ht="40.5" customHeight="1">
      <c r="A30" s="856">
        <f t="shared" ref="A30:A36" si="0">A29+1</f>
        <v>1</v>
      </c>
      <c r="B30" s="2145" t="s">
        <v>2964</v>
      </c>
      <c r="C30" s="4804"/>
      <c r="D30" s="4804">
        <f>Assumptions!$E$67</f>
        <v>0.16277374862683766</v>
      </c>
      <c r="E30" s="4804"/>
      <c r="F30" s="4804">
        <f>Assumptions!$F$67</f>
        <v>0.16290894746062173</v>
      </c>
    </row>
    <row r="31" spans="1:14" ht="40.5" customHeight="1">
      <c r="A31" s="856">
        <f t="shared" si="0"/>
        <v>2</v>
      </c>
      <c r="B31" s="271" t="s">
        <v>1974</v>
      </c>
      <c r="C31" s="3412"/>
      <c r="D31" s="3412">
        <f>'F9'!F31</f>
        <v>126.27499097224185</v>
      </c>
      <c r="E31" s="3412"/>
      <c r="F31" s="3412">
        <f>'F9'!H31</f>
        <v>131.57615693744319</v>
      </c>
    </row>
    <row r="32" spans="1:14" ht="40.5" customHeight="1">
      <c r="A32" s="856">
        <f t="shared" si="0"/>
        <v>3</v>
      </c>
      <c r="B32" s="271" t="s">
        <v>1975</v>
      </c>
      <c r="C32" s="1282"/>
      <c r="D32" s="3412">
        <f>'F9'!F32</f>
        <v>2.5959851742880464</v>
      </c>
      <c r="E32" s="1282"/>
      <c r="F32" s="3412">
        <f>'F9'!H32</f>
        <v>1.9017069834418239</v>
      </c>
    </row>
    <row r="33" spans="1:16384" ht="40.5" customHeight="1">
      <c r="A33" s="856">
        <f t="shared" si="0"/>
        <v>4</v>
      </c>
      <c r="B33" s="271" t="s">
        <v>2926</v>
      </c>
      <c r="C33" s="1282"/>
      <c r="D33" s="3412">
        <f>'F9'!F33</f>
        <v>128.8709761465299</v>
      </c>
      <c r="E33" s="3655"/>
      <c r="F33" s="3412">
        <f>'F9'!H33</f>
        <v>133.477863920885</v>
      </c>
      <c r="J33" s="4372" t="s">
        <v>3319</v>
      </c>
      <c r="L33" s="261" t="s">
        <v>3320</v>
      </c>
    </row>
    <row r="34" spans="1:16384" ht="40.5" customHeight="1">
      <c r="A34" s="856">
        <f t="shared" si="0"/>
        <v>5</v>
      </c>
      <c r="B34" s="4806" t="s">
        <v>2919</v>
      </c>
      <c r="C34" s="1282"/>
      <c r="D34" s="3412">
        <f>'F9'!F34</f>
        <v>4.1230705487092791</v>
      </c>
      <c r="E34" s="3655"/>
      <c r="F34" s="3412">
        <f>'F9'!H34</f>
        <v>4.4399619727340678</v>
      </c>
      <c r="J34" s="261" t="s">
        <v>3309</v>
      </c>
      <c r="K34" s="263">
        <f>SUM(E49:E52)</f>
        <v>603.80600000000004</v>
      </c>
      <c r="L34" s="263">
        <f>K34*(1-$M$34)</f>
        <v>573.73646120000012</v>
      </c>
      <c r="M34" s="4146">
        <v>4.9799999999999997E-2</v>
      </c>
    </row>
    <row r="35" spans="1:16384" ht="40.5" customHeight="1">
      <c r="A35" s="4915">
        <f t="shared" si="0"/>
        <v>6</v>
      </c>
      <c r="B35" s="4880" t="s">
        <v>2896</v>
      </c>
      <c r="C35" s="4805"/>
      <c r="D35" s="4916">
        <f>'F9'!F35</f>
        <v>2.7487136991395196</v>
      </c>
      <c r="E35" s="4805"/>
      <c r="F35" s="4916">
        <f>'F9'!H35</f>
        <v>2.9599746484893785</v>
      </c>
      <c r="J35" s="838" t="s">
        <v>3310</v>
      </c>
      <c r="K35" s="263">
        <f>SUM(E53:E55)</f>
        <v>291.88750000000005</v>
      </c>
      <c r="L35" s="263">
        <f>K35*(1-$M$34)</f>
        <v>277.35150250000004</v>
      </c>
    </row>
    <row r="36" spans="1:16384" ht="40.5" customHeight="1">
      <c r="A36" s="856">
        <f t="shared" si="0"/>
        <v>7</v>
      </c>
      <c r="B36" s="1303" t="s">
        <v>2895</v>
      </c>
      <c r="C36" s="4730"/>
      <c r="D36" s="3412">
        <f>'F9'!F36</f>
        <v>1.3743568495697596</v>
      </c>
      <c r="E36" s="817"/>
      <c r="F36" s="3412">
        <f>'F9'!H36</f>
        <v>1.4799873242446893</v>
      </c>
      <c r="J36" s="4372" t="s">
        <v>47</v>
      </c>
      <c r="K36" s="4373">
        <f>SUM(K34:K35)</f>
        <v>895.69350000000009</v>
      </c>
      <c r="L36" s="4373">
        <f>K36*(1-$M$34)</f>
        <v>851.08796370000016</v>
      </c>
    </row>
    <row r="37" spans="1:16384">
      <c r="B37" s="3821"/>
      <c r="J37" s="4372"/>
      <c r="K37" s="263"/>
      <c r="L37" s="263"/>
    </row>
    <row r="38" spans="1:16384">
      <c r="B38" s="3821"/>
      <c r="J38" s="838" t="s">
        <v>3321</v>
      </c>
      <c r="K38" s="838"/>
      <c r="L38" s="4092">
        <v>40.5</v>
      </c>
    </row>
    <row r="39" spans="1:16384">
      <c r="B39" s="3821"/>
      <c r="J39" s="838" t="s">
        <v>3322</v>
      </c>
      <c r="K39" s="838"/>
      <c r="L39" s="4092">
        <v>20</v>
      </c>
    </row>
    <row r="40" spans="1:16384">
      <c r="B40" s="3821"/>
      <c r="J40" s="838" t="s">
        <v>3323</v>
      </c>
      <c r="K40" s="838"/>
      <c r="L40" s="4092">
        <v>10</v>
      </c>
    </row>
    <row r="41" spans="1:16384" s="4160" customFormat="1">
      <c r="A41" s="4159"/>
      <c r="C41" s="4159"/>
      <c r="D41" s="4159"/>
      <c r="E41" s="4159"/>
      <c r="F41" s="4159"/>
      <c r="J41" s="4159"/>
      <c r="Q41" s="261"/>
      <c r="R41" s="261"/>
      <c r="S41" s="261"/>
      <c r="T41" s="261"/>
      <c r="U41" s="261"/>
      <c r="V41" s="261"/>
      <c r="W41" s="261"/>
      <c r="X41" s="261"/>
      <c r="Y41" s="261"/>
      <c r="Z41" s="261"/>
      <c r="AA41" s="261"/>
      <c r="AB41" s="261"/>
      <c r="AC41" s="261"/>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1"/>
      <c r="BZ41" s="261"/>
      <c r="CA41" s="261"/>
      <c r="CB41" s="261"/>
      <c r="CC41" s="261"/>
      <c r="CD41" s="261"/>
      <c r="CE41" s="261"/>
      <c r="CF41" s="261"/>
      <c r="CG41" s="261"/>
      <c r="CH41" s="261"/>
      <c r="CI41" s="261"/>
      <c r="CJ41" s="261"/>
      <c r="CK41" s="261"/>
      <c r="CL41" s="261"/>
      <c r="CM41" s="261"/>
      <c r="CN41" s="261"/>
      <c r="CO41" s="261"/>
      <c r="CP41" s="261"/>
      <c r="CQ41" s="261"/>
      <c r="CR41" s="261"/>
      <c r="CS41" s="261"/>
      <c r="CT41" s="261"/>
      <c r="CU41" s="261"/>
      <c r="CV41" s="261"/>
      <c r="CW41" s="261"/>
      <c r="CX41" s="261"/>
      <c r="CY41" s="261"/>
      <c r="CZ41" s="261"/>
      <c r="DA41" s="261"/>
      <c r="DB41" s="261"/>
      <c r="DC41" s="261"/>
      <c r="DD41" s="261"/>
      <c r="DE41" s="261"/>
      <c r="DF41" s="261"/>
      <c r="DG41" s="261"/>
      <c r="DH41" s="261"/>
      <c r="DI41" s="261"/>
      <c r="DJ41" s="261"/>
      <c r="DK41" s="261"/>
      <c r="DL41" s="261"/>
      <c r="DM41" s="261"/>
      <c r="DN41" s="261"/>
      <c r="DO41" s="261"/>
      <c r="DP41" s="261"/>
      <c r="DQ41" s="261"/>
      <c r="DR41" s="261"/>
      <c r="DS41" s="261"/>
      <c r="DT41" s="261"/>
      <c r="DU41" s="261"/>
      <c r="DV41" s="261"/>
      <c r="DW41" s="261"/>
      <c r="DX41" s="261"/>
      <c r="DY41" s="261"/>
      <c r="DZ41" s="261"/>
      <c r="EA41" s="261"/>
      <c r="EB41" s="261"/>
      <c r="EC41" s="261"/>
      <c r="ED41" s="261"/>
      <c r="EE41" s="261"/>
      <c r="EF41" s="261"/>
      <c r="EG41" s="261"/>
      <c r="EH41" s="261"/>
      <c r="EI41" s="261"/>
      <c r="EJ41" s="261"/>
      <c r="EK41" s="261"/>
      <c r="EL41" s="261"/>
      <c r="EM41" s="261"/>
      <c r="EN41" s="261"/>
      <c r="EO41" s="261"/>
      <c r="EP41" s="261"/>
      <c r="EQ41" s="261"/>
      <c r="ER41" s="261"/>
      <c r="ES41" s="261"/>
      <c r="ET41" s="261"/>
      <c r="EU41" s="261"/>
      <c r="EV41" s="261"/>
      <c r="EW41" s="261"/>
      <c r="EX41" s="261"/>
      <c r="EY41" s="261"/>
      <c r="EZ41" s="261"/>
      <c r="FA41" s="261"/>
      <c r="FB41" s="261"/>
      <c r="FC41" s="261"/>
      <c r="FD41" s="261"/>
      <c r="FE41" s="261"/>
      <c r="FF41" s="261"/>
      <c r="FG41" s="261"/>
      <c r="FH41" s="261"/>
      <c r="FI41" s="261"/>
      <c r="FJ41" s="261"/>
      <c r="FK41" s="261"/>
      <c r="FL41" s="261"/>
      <c r="FM41" s="261"/>
      <c r="FN41" s="261"/>
      <c r="FO41" s="261"/>
      <c r="FP41" s="261"/>
      <c r="FQ41" s="261"/>
      <c r="FR41" s="261"/>
      <c r="FS41" s="261"/>
      <c r="FT41" s="261"/>
      <c r="FU41" s="261"/>
      <c r="FV41" s="261"/>
      <c r="FW41" s="261"/>
      <c r="FX41" s="261"/>
      <c r="FY41" s="261"/>
      <c r="FZ41" s="261"/>
      <c r="GA41" s="261"/>
      <c r="GB41" s="261"/>
      <c r="GC41" s="261"/>
      <c r="GD41" s="261"/>
      <c r="GE41" s="261"/>
      <c r="GF41" s="261"/>
      <c r="GG41" s="261"/>
      <c r="GH41" s="261"/>
      <c r="GI41" s="261"/>
      <c r="GJ41" s="261"/>
      <c r="GK41" s="261"/>
      <c r="GL41" s="261"/>
      <c r="GM41" s="261"/>
      <c r="GN41" s="261"/>
      <c r="GO41" s="261"/>
      <c r="GP41" s="261"/>
      <c r="GQ41" s="261"/>
      <c r="GR41" s="261"/>
      <c r="GS41" s="261"/>
      <c r="GT41" s="261"/>
      <c r="GU41" s="261"/>
      <c r="GV41" s="261"/>
      <c r="GW41" s="261"/>
      <c r="GX41" s="261"/>
      <c r="GY41" s="261"/>
      <c r="GZ41" s="261"/>
      <c r="HA41" s="261"/>
      <c r="HB41" s="261"/>
      <c r="HC41" s="261"/>
      <c r="HD41" s="261"/>
      <c r="HE41" s="261"/>
      <c r="HF41" s="261"/>
      <c r="HG41" s="261"/>
      <c r="HH41" s="261"/>
      <c r="HI41" s="261"/>
      <c r="HJ41" s="261"/>
      <c r="HK41" s="261"/>
      <c r="HL41" s="261"/>
      <c r="HM41" s="261"/>
      <c r="HN41" s="261"/>
      <c r="HO41" s="261"/>
      <c r="HP41" s="261"/>
      <c r="HQ41" s="261"/>
      <c r="HR41" s="261"/>
      <c r="HS41" s="261"/>
      <c r="HT41" s="261"/>
      <c r="HU41" s="261"/>
      <c r="HV41" s="261"/>
      <c r="HW41" s="261"/>
      <c r="HX41" s="261"/>
      <c r="HY41" s="261"/>
      <c r="HZ41" s="261"/>
      <c r="IA41" s="261"/>
      <c r="IB41" s="261"/>
      <c r="IC41" s="261"/>
      <c r="ID41" s="261"/>
      <c r="IE41" s="261"/>
      <c r="IF41" s="261"/>
      <c r="IG41" s="261"/>
      <c r="IH41" s="261"/>
      <c r="II41" s="261"/>
      <c r="IJ41" s="261"/>
      <c r="IK41" s="261"/>
      <c r="IL41" s="261"/>
      <c r="IM41" s="261"/>
      <c r="IN41" s="261"/>
      <c r="IO41" s="261"/>
      <c r="IP41" s="261"/>
      <c r="IQ41" s="261"/>
      <c r="IR41" s="261"/>
      <c r="IS41" s="261"/>
      <c r="IT41" s="261"/>
      <c r="IU41" s="261"/>
      <c r="IV41" s="261"/>
      <c r="IW41" s="261"/>
      <c r="IX41" s="261"/>
      <c r="IY41" s="261"/>
      <c r="IZ41" s="261"/>
      <c r="JA41" s="261"/>
      <c r="JB41" s="261"/>
      <c r="JC41" s="261"/>
      <c r="JD41" s="261"/>
      <c r="JE41" s="261"/>
      <c r="JF41" s="261"/>
      <c r="JG41" s="261"/>
      <c r="JH41" s="261"/>
      <c r="JI41" s="261"/>
      <c r="JJ41" s="261"/>
      <c r="JK41" s="261"/>
      <c r="JL41" s="261"/>
      <c r="JM41" s="261"/>
      <c r="JN41" s="261"/>
      <c r="JO41" s="261"/>
      <c r="JP41" s="261"/>
      <c r="JQ41" s="261"/>
      <c r="JR41" s="261"/>
      <c r="JS41" s="261"/>
      <c r="JT41" s="261"/>
      <c r="JU41" s="261"/>
      <c r="JV41" s="261"/>
      <c r="JW41" s="261"/>
      <c r="JX41" s="261"/>
      <c r="JY41" s="261"/>
      <c r="JZ41" s="261"/>
      <c r="KA41" s="261"/>
      <c r="KB41" s="261"/>
      <c r="KC41" s="261"/>
      <c r="KD41" s="261"/>
      <c r="KE41" s="261"/>
      <c r="KF41" s="261"/>
      <c r="KG41" s="261"/>
      <c r="KH41" s="261"/>
      <c r="KI41" s="261"/>
      <c r="KJ41" s="261"/>
      <c r="KK41" s="261"/>
      <c r="KL41" s="261"/>
      <c r="KM41" s="261"/>
      <c r="KN41" s="261"/>
      <c r="KO41" s="261"/>
      <c r="KP41" s="261"/>
      <c r="KQ41" s="261"/>
      <c r="KR41" s="261"/>
      <c r="KS41" s="261"/>
      <c r="KT41" s="261"/>
      <c r="KU41" s="261"/>
      <c r="KV41" s="261"/>
      <c r="KW41" s="261"/>
      <c r="KX41" s="261"/>
      <c r="KY41" s="261"/>
      <c r="KZ41" s="261"/>
      <c r="LA41" s="261"/>
      <c r="LB41" s="261"/>
      <c r="LC41" s="261"/>
      <c r="LD41" s="261"/>
      <c r="LE41" s="261"/>
      <c r="LF41" s="261"/>
      <c r="LG41" s="261"/>
      <c r="LH41" s="261"/>
      <c r="LI41" s="261"/>
      <c r="LJ41" s="261"/>
      <c r="LK41" s="261"/>
      <c r="LL41" s="261"/>
      <c r="LM41" s="261"/>
      <c r="LN41" s="261"/>
      <c r="LO41" s="261"/>
      <c r="LP41" s="261"/>
      <c r="LQ41" s="261"/>
      <c r="LR41" s="261"/>
      <c r="LS41" s="261"/>
      <c r="LT41" s="261"/>
      <c r="LU41" s="261"/>
      <c r="LV41" s="261"/>
      <c r="LW41" s="261"/>
      <c r="LX41" s="261"/>
      <c r="LY41" s="261"/>
      <c r="LZ41" s="261"/>
      <c r="MA41" s="261"/>
      <c r="MB41" s="261"/>
      <c r="MC41" s="261"/>
      <c r="MD41" s="261"/>
      <c r="ME41" s="261"/>
      <c r="MF41" s="261"/>
      <c r="MG41" s="261"/>
      <c r="MH41" s="261"/>
      <c r="MI41" s="261"/>
      <c r="MJ41" s="261"/>
      <c r="MK41" s="261"/>
      <c r="ML41" s="261"/>
      <c r="MM41" s="261"/>
      <c r="MN41" s="261"/>
      <c r="MO41" s="261"/>
      <c r="MP41" s="261"/>
      <c r="MQ41" s="261"/>
      <c r="MR41" s="261"/>
      <c r="MS41" s="261"/>
      <c r="MT41" s="261"/>
      <c r="MU41" s="261"/>
      <c r="MV41" s="261"/>
      <c r="MW41" s="261"/>
      <c r="MX41" s="261"/>
      <c r="MY41" s="261"/>
      <c r="MZ41" s="261"/>
      <c r="NA41" s="261"/>
      <c r="NB41" s="261"/>
      <c r="NC41" s="261"/>
      <c r="ND41" s="261"/>
      <c r="NE41" s="261"/>
      <c r="NF41" s="261"/>
      <c r="NG41" s="261"/>
      <c r="NH41" s="261"/>
      <c r="NI41" s="261"/>
      <c r="NJ41" s="261"/>
      <c r="NK41" s="261"/>
      <c r="NL41" s="261"/>
      <c r="NM41" s="261"/>
      <c r="NN41" s="261"/>
      <c r="NO41" s="261"/>
      <c r="NP41" s="261"/>
      <c r="NQ41" s="261"/>
      <c r="NR41" s="261"/>
      <c r="NS41" s="261"/>
      <c r="NT41" s="261"/>
      <c r="NU41" s="261"/>
      <c r="NV41" s="261"/>
      <c r="NW41" s="261"/>
      <c r="NX41" s="261"/>
      <c r="NY41" s="261"/>
      <c r="NZ41" s="261"/>
      <c r="OA41" s="261"/>
      <c r="OB41" s="261"/>
      <c r="OC41" s="261"/>
      <c r="OD41" s="261"/>
      <c r="OE41" s="261"/>
      <c r="OF41" s="261"/>
      <c r="OG41" s="261"/>
      <c r="OH41" s="261"/>
      <c r="OI41" s="261"/>
      <c r="OJ41" s="261"/>
      <c r="OK41" s="261"/>
      <c r="OL41" s="261"/>
      <c r="OM41" s="261"/>
      <c r="ON41" s="261"/>
      <c r="OO41" s="261"/>
      <c r="OP41" s="261"/>
      <c r="OQ41" s="261"/>
      <c r="OR41" s="261"/>
      <c r="OS41" s="261"/>
      <c r="OT41" s="261"/>
      <c r="OU41" s="261"/>
      <c r="OV41" s="261"/>
      <c r="OW41" s="261"/>
      <c r="OX41" s="261"/>
      <c r="OY41" s="261"/>
      <c r="OZ41" s="261"/>
      <c r="PA41" s="261"/>
      <c r="PB41" s="261"/>
      <c r="PC41" s="261"/>
      <c r="PD41" s="261"/>
      <c r="PE41" s="261"/>
      <c r="PF41" s="261"/>
      <c r="PG41" s="261"/>
      <c r="PH41" s="261"/>
      <c r="PI41" s="261"/>
      <c r="PJ41" s="261"/>
      <c r="PK41" s="261"/>
      <c r="PL41" s="261"/>
      <c r="PM41" s="261"/>
      <c r="PN41" s="261"/>
      <c r="PO41" s="261"/>
      <c r="PP41" s="261"/>
      <c r="PQ41" s="261"/>
      <c r="PR41" s="261"/>
      <c r="PS41" s="261"/>
      <c r="PT41" s="261"/>
      <c r="PU41" s="261"/>
      <c r="PV41" s="261"/>
      <c r="PW41" s="261"/>
      <c r="PX41" s="261"/>
      <c r="PY41" s="261"/>
      <c r="PZ41" s="261"/>
      <c r="QA41" s="261"/>
      <c r="QB41" s="261"/>
      <c r="QC41" s="261"/>
      <c r="QD41" s="261"/>
      <c r="QE41" s="261"/>
      <c r="QF41" s="261"/>
      <c r="QG41" s="261"/>
      <c r="QH41" s="261"/>
      <c r="QI41" s="261"/>
      <c r="QJ41" s="261"/>
      <c r="QK41" s="261"/>
      <c r="QL41" s="261"/>
      <c r="QM41" s="261"/>
      <c r="QN41" s="261"/>
      <c r="QO41" s="261"/>
      <c r="QP41" s="261"/>
      <c r="QQ41" s="261"/>
      <c r="QR41" s="261"/>
      <c r="QS41" s="261"/>
      <c r="QT41" s="261"/>
      <c r="QU41" s="261"/>
      <c r="QV41" s="261"/>
      <c r="QW41" s="261"/>
      <c r="QX41" s="261"/>
      <c r="QY41" s="261"/>
      <c r="QZ41" s="261"/>
      <c r="RA41" s="261"/>
      <c r="RB41" s="261"/>
      <c r="RC41" s="261"/>
      <c r="RD41" s="261"/>
      <c r="RE41" s="261"/>
      <c r="RF41" s="261"/>
      <c r="RG41" s="261"/>
      <c r="RH41" s="261"/>
      <c r="RI41" s="261"/>
      <c r="RJ41" s="261"/>
      <c r="RK41" s="261"/>
      <c r="RL41" s="261"/>
      <c r="RM41" s="261"/>
      <c r="RN41" s="261"/>
      <c r="RO41" s="261"/>
      <c r="RP41" s="261"/>
      <c r="RQ41" s="261"/>
      <c r="RR41" s="261"/>
      <c r="RS41" s="261"/>
      <c r="RT41" s="261"/>
      <c r="RU41" s="261"/>
      <c r="RV41" s="261"/>
      <c r="RW41" s="261"/>
      <c r="RX41" s="261"/>
      <c r="RY41" s="261"/>
      <c r="RZ41" s="261"/>
      <c r="SA41" s="261"/>
      <c r="SB41" s="261"/>
      <c r="SC41" s="261"/>
      <c r="SD41" s="261"/>
      <c r="SE41" s="261"/>
      <c r="SF41" s="261"/>
      <c r="SG41" s="261"/>
      <c r="SH41" s="261"/>
      <c r="SI41" s="261"/>
      <c r="SJ41" s="261"/>
      <c r="SK41" s="261"/>
      <c r="SL41" s="261"/>
      <c r="SM41" s="261"/>
      <c r="SN41" s="261"/>
      <c r="SO41" s="261"/>
      <c r="SP41" s="261"/>
      <c r="SQ41" s="261"/>
      <c r="SR41" s="261"/>
      <c r="SS41" s="261"/>
      <c r="ST41" s="261"/>
      <c r="SU41" s="261"/>
      <c r="SV41" s="261"/>
      <c r="SW41" s="261"/>
      <c r="SX41" s="261"/>
      <c r="SY41" s="261"/>
      <c r="SZ41" s="261"/>
      <c r="TA41" s="261"/>
      <c r="TB41" s="261"/>
      <c r="TC41" s="261"/>
      <c r="TD41" s="261"/>
      <c r="TE41" s="261"/>
      <c r="TF41" s="261"/>
      <c r="TG41" s="261"/>
      <c r="TH41" s="261"/>
      <c r="TI41" s="261"/>
      <c r="TJ41" s="261"/>
      <c r="TK41" s="261"/>
      <c r="TL41" s="261"/>
      <c r="TM41" s="261"/>
      <c r="TN41" s="261"/>
      <c r="TO41" s="261"/>
      <c r="TP41" s="261"/>
      <c r="TQ41" s="261"/>
      <c r="TR41" s="261"/>
      <c r="TS41" s="261"/>
      <c r="TT41" s="261"/>
      <c r="TU41" s="261"/>
      <c r="TV41" s="261"/>
      <c r="TW41" s="261"/>
      <c r="TX41" s="261"/>
      <c r="TY41" s="261"/>
      <c r="TZ41" s="261"/>
      <c r="UA41" s="261"/>
      <c r="UB41" s="261"/>
      <c r="UC41" s="261"/>
      <c r="UD41" s="261"/>
      <c r="UE41" s="261"/>
      <c r="UF41" s="261"/>
      <c r="UG41" s="261"/>
      <c r="UH41" s="261"/>
      <c r="UI41" s="261"/>
      <c r="UJ41" s="261"/>
      <c r="UK41" s="261"/>
      <c r="UL41" s="261"/>
      <c r="UM41" s="261"/>
      <c r="UN41" s="261"/>
      <c r="UO41" s="261"/>
      <c r="UP41" s="261"/>
      <c r="UQ41" s="261"/>
      <c r="UR41" s="261"/>
      <c r="US41" s="261"/>
      <c r="UT41" s="261"/>
      <c r="UU41" s="261"/>
      <c r="UV41" s="261"/>
      <c r="UW41" s="261"/>
      <c r="UX41" s="261"/>
      <c r="UY41" s="261"/>
      <c r="UZ41" s="261"/>
      <c r="VA41" s="261"/>
      <c r="VB41" s="261"/>
      <c r="VC41" s="261"/>
      <c r="VD41" s="261"/>
      <c r="VE41" s="261"/>
      <c r="VF41" s="261"/>
      <c r="VG41" s="261"/>
      <c r="VH41" s="261"/>
      <c r="VI41" s="261"/>
      <c r="VJ41" s="261"/>
      <c r="VK41" s="261"/>
      <c r="VL41" s="261"/>
      <c r="VM41" s="261"/>
      <c r="VN41" s="261"/>
      <c r="VO41" s="261"/>
      <c r="VP41" s="261"/>
      <c r="VQ41" s="261"/>
      <c r="VR41" s="261"/>
      <c r="VS41" s="261"/>
      <c r="VT41" s="261"/>
      <c r="VU41" s="261"/>
      <c r="VV41" s="261"/>
      <c r="VW41" s="261"/>
      <c r="VX41" s="261"/>
      <c r="VY41" s="261"/>
      <c r="VZ41" s="261"/>
      <c r="WA41" s="261"/>
      <c r="WB41" s="261"/>
      <c r="WC41" s="261"/>
      <c r="WD41" s="261"/>
      <c r="WE41" s="261"/>
      <c r="WF41" s="261"/>
      <c r="WG41" s="261"/>
      <c r="WH41" s="261"/>
      <c r="WI41" s="261"/>
      <c r="WJ41" s="261"/>
      <c r="WK41" s="261"/>
      <c r="WL41" s="261"/>
      <c r="WM41" s="261"/>
      <c r="WN41" s="261"/>
      <c r="WO41" s="261"/>
      <c r="WP41" s="261"/>
      <c r="WQ41" s="261"/>
      <c r="WR41" s="261"/>
      <c r="WS41" s="261"/>
      <c r="WT41" s="261"/>
      <c r="WU41" s="261"/>
      <c r="WV41" s="261"/>
      <c r="WW41" s="261"/>
      <c r="WX41" s="261"/>
      <c r="WY41" s="261"/>
      <c r="WZ41" s="261"/>
      <c r="XA41" s="261"/>
      <c r="XB41" s="261"/>
      <c r="XC41" s="261"/>
      <c r="XD41" s="261"/>
      <c r="XE41" s="261"/>
      <c r="XF41" s="261"/>
      <c r="XG41" s="261"/>
      <c r="XH41" s="261"/>
      <c r="XI41" s="261"/>
      <c r="XJ41" s="261"/>
      <c r="XK41" s="261"/>
      <c r="XL41" s="261"/>
      <c r="XM41" s="261"/>
      <c r="XN41" s="261"/>
      <c r="XO41" s="261"/>
      <c r="XP41" s="261"/>
      <c r="XQ41" s="261"/>
      <c r="XR41" s="261"/>
      <c r="XS41" s="261"/>
      <c r="XT41" s="261"/>
      <c r="XU41" s="261"/>
      <c r="XV41" s="261"/>
      <c r="XW41" s="261"/>
      <c r="XX41" s="261"/>
      <c r="XY41" s="261"/>
      <c r="XZ41" s="261"/>
      <c r="YA41" s="261"/>
      <c r="YB41" s="261"/>
      <c r="YC41" s="261"/>
      <c r="YD41" s="261"/>
      <c r="YE41" s="261"/>
      <c r="YF41" s="261"/>
      <c r="YG41" s="261"/>
      <c r="YH41" s="261"/>
      <c r="YI41" s="261"/>
      <c r="YJ41" s="261"/>
      <c r="YK41" s="261"/>
      <c r="YL41" s="261"/>
      <c r="YM41" s="261"/>
      <c r="YN41" s="261"/>
      <c r="YO41" s="261"/>
      <c r="YP41" s="261"/>
      <c r="YQ41" s="261"/>
      <c r="YR41" s="261"/>
      <c r="YS41" s="261"/>
      <c r="YT41" s="261"/>
      <c r="YU41" s="261"/>
      <c r="YV41" s="261"/>
      <c r="YW41" s="261"/>
      <c r="YX41" s="261"/>
      <c r="YY41" s="261"/>
      <c r="YZ41" s="261"/>
      <c r="ZA41" s="261"/>
      <c r="ZB41" s="261"/>
      <c r="ZC41" s="261"/>
      <c r="ZD41" s="261"/>
      <c r="ZE41" s="261"/>
      <c r="ZF41" s="261"/>
      <c r="ZG41" s="261"/>
      <c r="ZH41" s="261"/>
      <c r="ZI41" s="261"/>
      <c r="ZJ41" s="261"/>
      <c r="ZK41" s="261"/>
      <c r="ZL41" s="261"/>
      <c r="ZM41" s="261"/>
      <c r="ZN41" s="261"/>
      <c r="ZO41" s="261"/>
      <c r="ZP41" s="261"/>
      <c r="ZQ41" s="261"/>
      <c r="ZR41" s="261"/>
      <c r="ZS41" s="261"/>
      <c r="ZT41" s="261"/>
      <c r="ZU41" s="261"/>
      <c r="ZV41" s="261"/>
      <c r="ZW41" s="261"/>
      <c r="ZX41" s="261"/>
      <c r="ZY41" s="261"/>
      <c r="ZZ41" s="261"/>
      <c r="AAA41" s="261"/>
      <c r="AAB41" s="261"/>
      <c r="AAC41" s="261"/>
      <c r="AAD41" s="261"/>
      <c r="AAE41" s="261"/>
      <c r="AAF41" s="261"/>
      <c r="AAG41" s="261"/>
      <c r="AAH41" s="261"/>
      <c r="AAI41" s="261"/>
      <c r="AAJ41" s="261"/>
      <c r="AAK41" s="261"/>
      <c r="AAL41" s="261"/>
      <c r="AAM41" s="261"/>
      <c r="AAN41" s="261"/>
      <c r="AAO41" s="261"/>
      <c r="AAP41" s="261"/>
      <c r="AAQ41" s="261"/>
      <c r="AAR41" s="261"/>
      <c r="AAS41" s="261"/>
      <c r="AAT41" s="261"/>
      <c r="AAU41" s="261"/>
      <c r="AAV41" s="261"/>
      <c r="AAW41" s="261"/>
      <c r="AAX41" s="261"/>
      <c r="AAY41" s="261"/>
      <c r="AAZ41" s="261"/>
      <c r="ABA41" s="261"/>
      <c r="ABB41" s="261"/>
      <c r="ABC41" s="261"/>
      <c r="ABD41" s="261"/>
      <c r="ABE41" s="261"/>
      <c r="ABF41" s="261"/>
      <c r="ABG41" s="261"/>
      <c r="ABH41" s="261"/>
      <c r="ABI41" s="261"/>
      <c r="ABJ41" s="261"/>
      <c r="ABK41" s="261"/>
      <c r="ABL41" s="261"/>
      <c r="ABM41" s="261"/>
      <c r="ABN41" s="261"/>
      <c r="ABO41" s="261"/>
      <c r="ABP41" s="261"/>
      <c r="ABQ41" s="261"/>
      <c r="ABR41" s="261"/>
      <c r="ABS41" s="261"/>
      <c r="ABT41" s="261"/>
      <c r="ABU41" s="261"/>
      <c r="ABV41" s="261"/>
      <c r="ABW41" s="261"/>
      <c r="ABX41" s="261"/>
      <c r="ABY41" s="261"/>
      <c r="ABZ41" s="261"/>
      <c r="ACA41" s="261"/>
      <c r="ACB41" s="261"/>
      <c r="ACC41" s="261"/>
      <c r="ACD41" s="261"/>
      <c r="ACE41" s="261"/>
      <c r="ACF41" s="261"/>
      <c r="ACG41" s="261"/>
      <c r="ACH41" s="261"/>
      <c r="ACI41" s="261"/>
      <c r="ACJ41" s="261"/>
      <c r="ACK41" s="261"/>
      <c r="ACL41" s="261"/>
      <c r="ACM41" s="261"/>
      <c r="ACN41" s="261"/>
      <c r="ACO41" s="261"/>
      <c r="ACP41" s="261"/>
      <c r="ACQ41" s="261"/>
      <c r="ACR41" s="261"/>
      <c r="ACS41" s="261"/>
      <c r="ACT41" s="261"/>
      <c r="ACU41" s="261"/>
      <c r="ACV41" s="261"/>
      <c r="ACW41" s="261"/>
      <c r="ACX41" s="261"/>
      <c r="ACY41" s="261"/>
      <c r="ACZ41" s="261"/>
      <c r="ADA41" s="261"/>
      <c r="ADB41" s="261"/>
      <c r="ADC41" s="261"/>
      <c r="ADD41" s="261"/>
      <c r="ADE41" s="261"/>
      <c r="ADF41" s="261"/>
      <c r="ADG41" s="261"/>
      <c r="ADH41" s="261"/>
      <c r="ADI41" s="261"/>
      <c r="ADJ41" s="261"/>
      <c r="ADK41" s="261"/>
      <c r="ADL41" s="261"/>
      <c r="ADM41" s="261"/>
      <c r="ADN41" s="261"/>
      <c r="ADO41" s="261"/>
      <c r="ADP41" s="261"/>
      <c r="ADQ41" s="261"/>
      <c r="ADR41" s="261"/>
      <c r="ADS41" s="261"/>
      <c r="ADT41" s="261"/>
      <c r="ADU41" s="261"/>
      <c r="ADV41" s="261"/>
      <c r="ADW41" s="261"/>
      <c r="ADX41" s="261"/>
      <c r="ADY41" s="261"/>
      <c r="ADZ41" s="261"/>
      <c r="AEA41" s="261"/>
      <c r="AEB41" s="261"/>
      <c r="AEC41" s="261"/>
      <c r="AED41" s="261"/>
      <c r="AEE41" s="261"/>
      <c r="AEF41" s="261"/>
      <c r="AEG41" s="261"/>
      <c r="AEH41" s="261"/>
      <c r="AEI41" s="261"/>
      <c r="AEJ41" s="261"/>
      <c r="AEK41" s="261"/>
      <c r="AEL41" s="261"/>
      <c r="AEM41" s="261"/>
      <c r="AEN41" s="261"/>
      <c r="AEO41" s="261"/>
      <c r="AEP41" s="261"/>
      <c r="AEQ41" s="261"/>
      <c r="AER41" s="261"/>
      <c r="AES41" s="261"/>
      <c r="AET41" s="261"/>
      <c r="AEU41" s="261"/>
      <c r="AEV41" s="261"/>
      <c r="AEW41" s="261"/>
      <c r="AEX41" s="261"/>
      <c r="AEY41" s="261"/>
      <c r="AEZ41" s="261"/>
      <c r="AFA41" s="261"/>
      <c r="AFB41" s="261"/>
      <c r="AFC41" s="261"/>
      <c r="AFD41" s="261"/>
      <c r="AFE41" s="261"/>
      <c r="AFF41" s="261"/>
      <c r="AFG41" s="261"/>
      <c r="AFH41" s="261"/>
      <c r="AFI41" s="261"/>
      <c r="AFJ41" s="261"/>
      <c r="AFK41" s="261"/>
      <c r="AFL41" s="261"/>
      <c r="AFM41" s="261"/>
      <c r="AFN41" s="261"/>
      <c r="AFO41" s="261"/>
      <c r="AFP41" s="261"/>
      <c r="AFQ41" s="261"/>
      <c r="AFR41" s="261"/>
      <c r="AFS41" s="261"/>
      <c r="AFT41" s="261"/>
      <c r="AFU41" s="261"/>
      <c r="AFV41" s="261"/>
      <c r="AFW41" s="261"/>
      <c r="AFX41" s="261"/>
      <c r="AFY41" s="261"/>
      <c r="AFZ41" s="261"/>
      <c r="AGA41" s="261"/>
      <c r="AGB41" s="261"/>
      <c r="AGC41" s="261"/>
      <c r="AGD41" s="261"/>
      <c r="AGE41" s="261"/>
      <c r="AGF41" s="261"/>
      <c r="AGG41" s="261"/>
      <c r="AGH41" s="261"/>
      <c r="AGI41" s="261"/>
      <c r="AGJ41" s="261"/>
      <c r="AGK41" s="261"/>
      <c r="AGL41" s="261"/>
      <c r="AGM41" s="261"/>
      <c r="AGN41" s="261"/>
      <c r="AGO41" s="261"/>
      <c r="AGP41" s="261"/>
      <c r="AGQ41" s="261"/>
      <c r="AGR41" s="261"/>
      <c r="AGS41" s="261"/>
      <c r="AGT41" s="261"/>
      <c r="AGU41" s="261"/>
      <c r="AGV41" s="261"/>
      <c r="AGW41" s="261"/>
      <c r="AGX41" s="261"/>
      <c r="AGY41" s="261"/>
      <c r="AGZ41" s="261"/>
      <c r="AHA41" s="261"/>
      <c r="AHB41" s="261"/>
      <c r="AHC41" s="261"/>
      <c r="AHD41" s="261"/>
      <c r="AHE41" s="261"/>
      <c r="AHF41" s="261"/>
      <c r="AHG41" s="261"/>
      <c r="AHH41" s="261"/>
      <c r="AHI41" s="261"/>
      <c r="AHJ41" s="261"/>
      <c r="AHK41" s="261"/>
      <c r="AHL41" s="261"/>
      <c r="AHM41" s="261"/>
      <c r="AHN41" s="261"/>
      <c r="AHO41" s="261"/>
      <c r="AHP41" s="261"/>
      <c r="AHQ41" s="261"/>
      <c r="AHR41" s="261"/>
      <c r="AHS41" s="261"/>
      <c r="AHT41" s="261"/>
      <c r="AHU41" s="261"/>
      <c r="AHV41" s="261"/>
      <c r="AHW41" s="261"/>
      <c r="AHX41" s="261"/>
      <c r="AHY41" s="261"/>
      <c r="AHZ41" s="261"/>
      <c r="AIA41" s="261"/>
      <c r="AIB41" s="261"/>
      <c r="AIC41" s="261"/>
      <c r="AID41" s="261"/>
      <c r="AIE41" s="261"/>
      <c r="AIF41" s="261"/>
      <c r="AIG41" s="261"/>
      <c r="AIH41" s="261"/>
      <c r="AII41" s="261"/>
      <c r="AIJ41" s="261"/>
      <c r="AIK41" s="261"/>
      <c r="AIL41" s="261"/>
      <c r="AIM41" s="261"/>
      <c r="AIN41" s="261"/>
      <c r="AIO41" s="261"/>
      <c r="AIP41" s="261"/>
      <c r="AIQ41" s="261"/>
      <c r="AIR41" s="261"/>
      <c r="AIS41" s="261"/>
      <c r="AIT41" s="261"/>
      <c r="AIU41" s="261"/>
      <c r="AIV41" s="261"/>
      <c r="AIW41" s="261"/>
      <c r="AIX41" s="261"/>
      <c r="AIY41" s="261"/>
      <c r="AIZ41" s="261"/>
      <c r="AJA41" s="261"/>
      <c r="AJB41" s="261"/>
      <c r="AJC41" s="261"/>
      <c r="AJD41" s="261"/>
      <c r="AJE41" s="261"/>
      <c r="AJF41" s="261"/>
      <c r="AJG41" s="261"/>
      <c r="AJH41" s="261"/>
      <c r="AJI41" s="261"/>
      <c r="AJJ41" s="261"/>
      <c r="AJK41" s="261"/>
      <c r="AJL41" s="261"/>
      <c r="AJM41" s="261"/>
      <c r="AJN41" s="261"/>
      <c r="AJO41" s="261"/>
      <c r="AJP41" s="261"/>
      <c r="AJQ41" s="261"/>
      <c r="AJR41" s="261"/>
      <c r="AJS41" s="261"/>
      <c r="AJT41" s="261"/>
      <c r="AJU41" s="261"/>
      <c r="AJV41" s="261"/>
      <c r="AJW41" s="261"/>
      <c r="AJX41" s="261"/>
      <c r="AJY41" s="261"/>
      <c r="AJZ41" s="261"/>
      <c r="AKA41" s="261"/>
      <c r="AKB41" s="261"/>
      <c r="AKC41" s="261"/>
      <c r="AKD41" s="261"/>
      <c r="AKE41" s="261"/>
      <c r="AKF41" s="261"/>
      <c r="AKG41" s="261"/>
      <c r="AKH41" s="261"/>
      <c r="AKI41" s="261"/>
      <c r="AKJ41" s="261"/>
      <c r="AKK41" s="261"/>
      <c r="AKL41" s="261"/>
      <c r="AKM41" s="261"/>
      <c r="AKN41" s="261"/>
      <c r="AKO41" s="261"/>
      <c r="AKP41" s="261"/>
      <c r="AKQ41" s="261"/>
      <c r="AKR41" s="261"/>
      <c r="AKS41" s="261"/>
      <c r="AKT41" s="261"/>
      <c r="AKU41" s="261"/>
      <c r="AKV41" s="261"/>
      <c r="AKW41" s="261"/>
      <c r="AKX41" s="261"/>
      <c r="AKY41" s="261"/>
      <c r="AKZ41" s="261"/>
      <c r="ALA41" s="261"/>
      <c r="ALB41" s="261"/>
      <c r="ALC41" s="261"/>
      <c r="ALD41" s="261"/>
      <c r="ALE41" s="261"/>
      <c r="ALF41" s="261"/>
      <c r="ALG41" s="261"/>
      <c r="ALH41" s="261"/>
      <c r="ALI41" s="261"/>
      <c r="ALJ41" s="261"/>
      <c r="ALK41" s="261"/>
      <c r="ALL41" s="261"/>
      <c r="ALM41" s="261"/>
      <c r="ALN41" s="261"/>
      <c r="ALO41" s="261"/>
      <c r="ALP41" s="261"/>
      <c r="ALQ41" s="261"/>
      <c r="ALR41" s="261"/>
      <c r="ALS41" s="261"/>
      <c r="ALT41" s="261"/>
      <c r="ALU41" s="261"/>
      <c r="ALV41" s="261"/>
      <c r="ALW41" s="261"/>
      <c r="ALX41" s="261"/>
      <c r="ALY41" s="261"/>
      <c r="ALZ41" s="261"/>
      <c r="AMA41" s="261"/>
      <c r="AMB41" s="261"/>
      <c r="AMC41" s="261"/>
      <c r="AMD41" s="261"/>
      <c r="AME41" s="261"/>
      <c r="AMF41" s="261"/>
      <c r="AMG41" s="261"/>
      <c r="AMH41" s="261"/>
      <c r="AMI41" s="261"/>
      <c r="AMJ41" s="261"/>
      <c r="AMK41" s="261"/>
      <c r="AML41" s="261"/>
      <c r="AMM41" s="261"/>
      <c r="AMN41" s="261"/>
      <c r="AMO41" s="261"/>
      <c r="AMP41" s="261"/>
      <c r="AMQ41" s="261"/>
      <c r="AMR41" s="261"/>
      <c r="AMS41" s="261"/>
      <c r="AMT41" s="261"/>
      <c r="AMU41" s="261"/>
      <c r="AMV41" s="261"/>
      <c r="AMW41" s="261"/>
      <c r="AMX41" s="261"/>
      <c r="AMY41" s="261"/>
      <c r="AMZ41" s="261"/>
      <c r="ANA41" s="261"/>
      <c r="ANB41" s="261"/>
      <c r="ANC41" s="261"/>
      <c r="AND41" s="261"/>
      <c r="ANE41" s="261"/>
      <c r="ANF41" s="261"/>
      <c r="ANG41" s="261"/>
      <c r="ANH41" s="261"/>
      <c r="ANI41" s="261"/>
      <c r="ANJ41" s="261"/>
      <c r="ANK41" s="261"/>
      <c r="ANL41" s="261"/>
      <c r="ANM41" s="261"/>
      <c r="ANN41" s="261"/>
      <c r="ANO41" s="261"/>
      <c r="ANP41" s="261"/>
      <c r="ANQ41" s="261"/>
      <c r="ANR41" s="261"/>
      <c r="ANS41" s="261"/>
      <c r="ANT41" s="261"/>
      <c r="ANU41" s="261"/>
      <c r="ANV41" s="261"/>
      <c r="ANW41" s="261"/>
      <c r="ANX41" s="261"/>
      <c r="ANY41" s="261"/>
      <c r="ANZ41" s="261"/>
      <c r="AOA41" s="261"/>
      <c r="AOB41" s="261"/>
      <c r="AOC41" s="261"/>
      <c r="AOD41" s="261"/>
      <c r="AOE41" s="261"/>
      <c r="AOF41" s="261"/>
      <c r="AOG41" s="261"/>
      <c r="AOH41" s="261"/>
      <c r="AOI41" s="261"/>
      <c r="AOJ41" s="261"/>
      <c r="AOK41" s="261"/>
      <c r="AOL41" s="261"/>
      <c r="AOM41" s="261"/>
      <c r="AON41" s="261"/>
      <c r="AOO41" s="261"/>
      <c r="AOP41" s="261"/>
      <c r="AOQ41" s="261"/>
      <c r="AOR41" s="261"/>
      <c r="AOS41" s="261"/>
      <c r="AOT41" s="261"/>
      <c r="AOU41" s="261"/>
      <c r="AOV41" s="261"/>
      <c r="AOW41" s="261"/>
      <c r="AOX41" s="261"/>
      <c r="AOY41" s="261"/>
      <c r="AOZ41" s="261"/>
      <c r="APA41" s="261"/>
      <c r="APB41" s="261"/>
      <c r="APC41" s="261"/>
      <c r="APD41" s="261"/>
      <c r="APE41" s="261"/>
      <c r="APF41" s="261"/>
      <c r="APG41" s="261"/>
      <c r="APH41" s="261"/>
      <c r="API41" s="261"/>
      <c r="APJ41" s="261"/>
      <c r="APK41" s="261"/>
      <c r="APL41" s="261"/>
      <c r="APM41" s="261"/>
      <c r="APN41" s="261"/>
      <c r="APO41" s="261"/>
      <c r="APP41" s="261"/>
      <c r="APQ41" s="261"/>
      <c r="APR41" s="261"/>
      <c r="APS41" s="261"/>
      <c r="APT41" s="261"/>
      <c r="APU41" s="261"/>
      <c r="APV41" s="261"/>
      <c r="APW41" s="261"/>
      <c r="APX41" s="261"/>
      <c r="APY41" s="261"/>
      <c r="APZ41" s="261"/>
      <c r="AQA41" s="261"/>
      <c r="AQB41" s="261"/>
      <c r="AQC41" s="261"/>
      <c r="AQD41" s="261"/>
      <c r="AQE41" s="261"/>
      <c r="AQF41" s="261"/>
      <c r="AQG41" s="261"/>
      <c r="AQH41" s="261"/>
      <c r="AQI41" s="261"/>
      <c r="AQJ41" s="261"/>
      <c r="AQK41" s="261"/>
      <c r="AQL41" s="261"/>
      <c r="AQM41" s="261"/>
      <c r="AQN41" s="261"/>
      <c r="AQO41" s="261"/>
      <c r="AQP41" s="261"/>
      <c r="AQQ41" s="261"/>
      <c r="AQR41" s="261"/>
      <c r="AQS41" s="261"/>
      <c r="AQT41" s="261"/>
      <c r="AQU41" s="261"/>
      <c r="AQV41" s="261"/>
      <c r="AQW41" s="261"/>
      <c r="AQX41" s="261"/>
      <c r="AQY41" s="261"/>
      <c r="AQZ41" s="261"/>
      <c r="ARA41" s="261"/>
      <c r="ARB41" s="261"/>
      <c r="ARC41" s="261"/>
      <c r="ARD41" s="261"/>
      <c r="ARE41" s="261"/>
      <c r="ARF41" s="261"/>
      <c r="ARG41" s="261"/>
      <c r="ARH41" s="261"/>
      <c r="ARI41" s="261"/>
      <c r="ARJ41" s="261"/>
      <c r="ARK41" s="261"/>
      <c r="ARL41" s="261"/>
      <c r="ARM41" s="261"/>
      <c r="ARN41" s="261"/>
      <c r="ARO41" s="261"/>
      <c r="ARP41" s="261"/>
      <c r="ARQ41" s="261"/>
      <c r="ARR41" s="261"/>
      <c r="ARS41" s="261"/>
      <c r="ART41" s="261"/>
      <c r="ARU41" s="261"/>
      <c r="ARV41" s="261"/>
      <c r="ARW41" s="261"/>
      <c r="ARX41" s="261"/>
      <c r="ARY41" s="261"/>
      <c r="ARZ41" s="261"/>
      <c r="ASA41" s="261"/>
      <c r="ASB41" s="261"/>
      <c r="ASC41" s="261"/>
      <c r="ASD41" s="261"/>
      <c r="ASE41" s="261"/>
      <c r="ASF41" s="261"/>
      <c r="ASG41" s="261"/>
      <c r="ASH41" s="261"/>
      <c r="ASI41" s="261"/>
      <c r="ASJ41" s="261"/>
      <c r="ASK41" s="261"/>
      <c r="ASL41" s="261"/>
      <c r="ASM41" s="261"/>
      <c r="ASN41" s="261"/>
      <c r="ASO41" s="261"/>
      <c r="ASP41" s="261"/>
      <c r="ASQ41" s="261"/>
      <c r="ASR41" s="261"/>
      <c r="ASS41" s="261"/>
      <c r="AST41" s="261"/>
      <c r="ASU41" s="261"/>
      <c r="ASV41" s="261"/>
      <c r="ASW41" s="261"/>
      <c r="ASX41" s="261"/>
      <c r="ASY41" s="261"/>
      <c r="ASZ41" s="261"/>
      <c r="ATA41" s="261"/>
      <c r="ATB41" s="261"/>
      <c r="ATC41" s="261"/>
      <c r="ATD41" s="261"/>
      <c r="ATE41" s="261"/>
      <c r="ATF41" s="261"/>
      <c r="ATG41" s="261"/>
      <c r="ATH41" s="261"/>
      <c r="ATI41" s="261"/>
      <c r="ATJ41" s="261"/>
      <c r="ATK41" s="261"/>
      <c r="ATL41" s="261"/>
      <c r="ATM41" s="261"/>
      <c r="ATN41" s="261"/>
      <c r="ATO41" s="261"/>
      <c r="ATP41" s="261"/>
      <c r="ATQ41" s="261"/>
      <c r="ATR41" s="261"/>
      <c r="ATS41" s="261"/>
      <c r="ATT41" s="261"/>
      <c r="ATU41" s="261"/>
      <c r="ATV41" s="261"/>
      <c r="ATW41" s="261"/>
      <c r="ATX41" s="261"/>
      <c r="ATY41" s="261"/>
      <c r="ATZ41" s="261"/>
      <c r="AUA41" s="261"/>
      <c r="AUB41" s="261"/>
      <c r="AUC41" s="261"/>
      <c r="AUD41" s="261"/>
      <c r="AUE41" s="261"/>
      <c r="AUF41" s="261"/>
      <c r="AUG41" s="261"/>
      <c r="AUH41" s="261"/>
      <c r="AUI41" s="261"/>
      <c r="AUJ41" s="261"/>
      <c r="AUK41" s="261"/>
      <c r="AUL41" s="261"/>
      <c r="AUM41" s="261"/>
      <c r="AUN41" s="261"/>
      <c r="AUO41" s="261"/>
      <c r="AUP41" s="261"/>
      <c r="AUQ41" s="261"/>
      <c r="AUR41" s="261"/>
      <c r="AUS41" s="261"/>
      <c r="AUT41" s="261"/>
      <c r="AUU41" s="261"/>
      <c r="AUV41" s="261"/>
      <c r="AUW41" s="261"/>
      <c r="AUX41" s="261"/>
      <c r="AUY41" s="261"/>
      <c r="AUZ41" s="261"/>
      <c r="AVA41" s="261"/>
      <c r="AVB41" s="261"/>
      <c r="AVC41" s="261"/>
      <c r="AVD41" s="261"/>
      <c r="AVE41" s="261"/>
      <c r="AVF41" s="261"/>
      <c r="AVG41" s="261"/>
      <c r="AVH41" s="261"/>
      <c r="AVI41" s="261"/>
      <c r="AVJ41" s="261"/>
      <c r="AVK41" s="261"/>
      <c r="AVL41" s="261"/>
      <c r="AVM41" s="261"/>
      <c r="AVN41" s="261"/>
      <c r="AVO41" s="261"/>
      <c r="AVP41" s="261"/>
      <c r="AVQ41" s="261"/>
      <c r="AVR41" s="261"/>
      <c r="AVS41" s="261"/>
      <c r="AVT41" s="261"/>
      <c r="AVU41" s="261"/>
      <c r="AVV41" s="261"/>
      <c r="AVW41" s="261"/>
      <c r="AVX41" s="261"/>
      <c r="AVY41" s="261"/>
      <c r="AVZ41" s="261"/>
      <c r="AWA41" s="261"/>
      <c r="AWB41" s="261"/>
      <c r="AWC41" s="261"/>
      <c r="AWD41" s="261"/>
      <c r="AWE41" s="261"/>
      <c r="AWF41" s="261"/>
      <c r="AWG41" s="261"/>
      <c r="AWH41" s="261"/>
      <c r="AWI41" s="261"/>
      <c r="AWJ41" s="261"/>
      <c r="AWK41" s="261"/>
      <c r="AWL41" s="261"/>
      <c r="AWM41" s="261"/>
      <c r="AWN41" s="261"/>
      <c r="AWO41" s="261"/>
      <c r="AWP41" s="261"/>
      <c r="AWQ41" s="261"/>
      <c r="AWR41" s="261"/>
      <c r="AWS41" s="261"/>
      <c r="AWT41" s="261"/>
      <c r="AWU41" s="261"/>
      <c r="AWV41" s="261"/>
      <c r="AWW41" s="261"/>
      <c r="AWX41" s="261"/>
      <c r="AWY41" s="261"/>
      <c r="AWZ41" s="261"/>
      <c r="AXA41" s="261"/>
      <c r="AXB41" s="261"/>
      <c r="AXC41" s="261"/>
      <c r="AXD41" s="261"/>
      <c r="AXE41" s="261"/>
      <c r="AXF41" s="261"/>
      <c r="AXG41" s="261"/>
      <c r="AXH41" s="261"/>
      <c r="AXI41" s="261"/>
      <c r="AXJ41" s="261"/>
      <c r="AXK41" s="261"/>
      <c r="AXL41" s="261"/>
      <c r="AXM41" s="261"/>
      <c r="AXN41" s="261"/>
      <c r="AXO41" s="261"/>
      <c r="AXP41" s="261"/>
      <c r="AXQ41" s="261"/>
      <c r="AXR41" s="261"/>
      <c r="AXS41" s="261"/>
      <c r="AXT41" s="261"/>
      <c r="AXU41" s="261"/>
      <c r="AXV41" s="261"/>
      <c r="AXW41" s="261"/>
      <c r="AXX41" s="261"/>
      <c r="AXY41" s="261"/>
      <c r="AXZ41" s="261"/>
      <c r="AYA41" s="261"/>
      <c r="AYB41" s="261"/>
      <c r="AYC41" s="261"/>
      <c r="AYD41" s="261"/>
      <c r="AYE41" s="261"/>
      <c r="AYF41" s="261"/>
      <c r="AYG41" s="261"/>
      <c r="AYH41" s="261"/>
      <c r="AYI41" s="261"/>
      <c r="AYJ41" s="261"/>
      <c r="AYK41" s="261"/>
      <c r="AYL41" s="261"/>
      <c r="AYM41" s="261"/>
      <c r="AYN41" s="261"/>
      <c r="AYO41" s="261"/>
      <c r="AYP41" s="261"/>
      <c r="AYQ41" s="261"/>
      <c r="AYR41" s="261"/>
      <c r="AYS41" s="261"/>
      <c r="AYT41" s="261"/>
      <c r="AYU41" s="261"/>
      <c r="AYV41" s="261"/>
      <c r="AYW41" s="261"/>
      <c r="AYX41" s="261"/>
      <c r="AYY41" s="261"/>
      <c r="AYZ41" s="261"/>
      <c r="AZA41" s="261"/>
      <c r="AZB41" s="261"/>
      <c r="AZC41" s="261"/>
      <c r="AZD41" s="261"/>
      <c r="AZE41" s="261"/>
      <c r="AZF41" s="261"/>
      <c r="AZG41" s="261"/>
      <c r="AZH41" s="261"/>
      <c r="AZI41" s="261"/>
      <c r="AZJ41" s="261"/>
      <c r="AZK41" s="261"/>
      <c r="AZL41" s="261"/>
      <c r="AZM41" s="261"/>
      <c r="AZN41" s="261"/>
      <c r="AZO41" s="261"/>
      <c r="AZP41" s="261"/>
      <c r="AZQ41" s="261"/>
      <c r="AZR41" s="261"/>
      <c r="AZS41" s="261"/>
      <c r="AZT41" s="261"/>
      <c r="AZU41" s="261"/>
      <c r="AZV41" s="261"/>
      <c r="AZW41" s="261"/>
      <c r="AZX41" s="261"/>
      <c r="AZY41" s="261"/>
      <c r="AZZ41" s="261"/>
      <c r="BAA41" s="261"/>
      <c r="BAB41" s="261"/>
      <c r="BAC41" s="261"/>
      <c r="BAD41" s="261"/>
      <c r="BAE41" s="261"/>
      <c r="BAF41" s="261"/>
      <c r="BAG41" s="261"/>
      <c r="BAH41" s="261"/>
      <c r="BAI41" s="261"/>
      <c r="BAJ41" s="261"/>
      <c r="BAK41" s="261"/>
      <c r="BAL41" s="261"/>
      <c r="BAM41" s="261"/>
      <c r="BAN41" s="261"/>
      <c r="BAO41" s="261"/>
      <c r="BAP41" s="261"/>
      <c r="BAQ41" s="261"/>
      <c r="BAR41" s="261"/>
      <c r="BAS41" s="261"/>
      <c r="BAT41" s="261"/>
      <c r="BAU41" s="261"/>
      <c r="BAV41" s="261"/>
      <c r="BAW41" s="261"/>
      <c r="BAX41" s="261"/>
      <c r="BAY41" s="261"/>
      <c r="BAZ41" s="261"/>
      <c r="BBA41" s="261"/>
      <c r="BBB41" s="261"/>
      <c r="BBC41" s="261"/>
      <c r="BBD41" s="261"/>
      <c r="BBE41" s="261"/>
      <c r="BBF41" s="261"/>
      <c r="BBG41" s="261"/>
      <c r="BBH41" s="261"/>
      <c r="BBI41" s="261"/>
      <c r="BBJ41" s="261"/>
      <c r="BBK41" s="261"/>
      <c r="BBL41" s="261"/>
      <c r="BBM41" s="261"/>
      <c r="BBN41" s="261"/>
      <c r="BBO41" s="261"/>
      <c r="BBP41" s="261"/>
      <c r="BBQ41" s="261"/>
      <c r="BBR41" s="261"/>
      <c r="BBS41" s="261"/>
      <c r="BBT41" s="261"/>
      <c r="BBU41" s="261"/>
      <c r="BBV41" s="261"/>
      <c r="BBW41" s="261"/>
      <c r="BBX41" s="261"/>
      <c r="BBY41" s="261"/>
      <c r="BBZ41" s="261"/>
      <c r="BCA41" s="261"/>
      <c r="BCB41" s="261"/>
      <c r="BCC41" s="261"/>
      <c r="BCD41" s="261"/>
      <c r="BCE41" s="261"/>
      <c r="BCF41" s="261"/>
      <c r="BCG41" s="261"/>
      <c r="BCH41" s="261"/>
      <c r="BCI41" s="261"/>
      <c r="BCJ41" s="261"/>
      <c r="BCK41" s="261"/>
      <c r="BCL41" s="261"/>
      <c r="BCM41" s="261"/>
      <c r="BCN41" s="261"/>
      <c r="BCO41" s="261"/>
      <c r="BCP41" s="261"/>
      <c r="BCQ41" s="261"/>
      <c r="BCR41" s="261"/>
      <c r="BCS41" s="261"/>
      <c r="BCT41" s="261"/>
      <c r="BCU41" s="261"/>
      <c r="BCV41" s="261"/>
      <c r="BCW41" s="261"/>
      <c r="BCX41" s="261"/>
      <c r="BCY41" s="261"/>
      <c r="BCZ41" s="261"/>
      <c r="BDA41" s="261"/>
      <c r="BDB41" s="261"/>
      <c r="BDC41" s="261"/>
      <c r="BDD41" s="261"/>
      <c r="BDE41" s="261"/>
      <c r="BDF41" s="261"/>
      <c r="BDG41" s="261"/>
      <c r="BDH41" s="261"/>
      <c r="BDI41" s="261"/>
      <c r="BDJ41" s="261"/>
      <c r="BDK41" s="261"/>
      <c r="BDL41" s="261"/>
      <c r="BDM41" s="261"/>
      <c r="BDN41" s="261"/>
      <c r="BDO41" s="261"/>
      <c r="BDP41" s="261"/>
      <c r="BDQ41" s="261"/>
      <c r="BDR41" s="261"/>
      <c r="BDS41" s="261"/>
      <c r="BDT41" s="261"/>
      <c r="BDU41" s="261"/>
      <c r="BDV41" s="261"/>
      <c r="BDW41" s="261"/>
      <c r="BDX41" s="261"/>
      <c r="BDY41" s="261"/>
      <c r="BDZ41" s="261"/>
      <c r="BEA41" s="261"/>
      <c r="BEB41" s="261"/>
      <c r="BEC41" s="261"/>
      <c r="BED41" s="261"/>
      <c r="BEE41" s="261"/>
      <c r="BEF41" s="261"/>
      <c r="BEG41" s="261"/>
      <c r="BEH41" s="261"/>
      <c r="BEI41" s="261"/>
      <c r="BEJ41" s="261"/>
      <c r="BEK41" s="261"/>
      <c r="BEL41" s="261"/>
      <c r="BEM41" s="261"/>
      <c r="BEN41" s="261"/>
      <c r="BEO41" s="261"/>
      <c r="BEP41" s="261"/>
      <c r="BEQ41" s="261"/>
      <c r="BER41" s="261"/>
      <c r="BES41" s="261"/>
      <c r="BET41" s="261"/>
      <c r="BEU41" s="261"/>
      <c r="BEV41" s="261"/>
      <c r="BEW41" s="261"/>
      <c r="BEX41" s="261"/>
      <c r="BEY41" s="261"/>
      <c r="BEZ41" s="261"/>
      <c r="BFA41" s="261"/>
      <c r="BFB41" s="261"/>
      <c r="BFC41" s="261"/>
      <c r="BFD41" s="261"/>
      <c r="BFE41" s="261"/>
      <c r="BFF41" s="261"/>
      <c r="BFG41" s="261"/>
      <c r="BFH41" s="261"/>
      <c r="BFI41" s="261"/>
      <c r="BFJ41" s="261"/>
      <c r="BFK41" s="261"/>
      <c r="BFL41" s="261"/>
      <c r="BFM41" s="261"/>
      <c r="BFN41" s="261"/>
      <c r="BFO41" s="261"/>
      <c r="BFP41" s="261"/>
      <c r="BFQ41" s="261"/>
      <c r="BFR41" s="261"/>
      <c r="BFS41" s="261"/>
      <c r="BFT41" s="261"/>
      <c r="BFU41" s="261"/>
      <c r="BFV41" s="261"/>
      <c r="BFW41" s="261"/>
      <c r="BFX41" s="261"/>
      <c r="BFY41" s="261"/>
      <c r="BFZ41" s="261"/>
      <c r="BGA41" s="261"/>
      <c r="BGB41" s="261"/>
      <c r="BGC41" s="261"/>
      <c r="BGD41" s="261"/>
      <c r="BGE41" s="261"/>
      <c r="BGF41" s="261"/>
      <c r="BGG41" s="261"/>
      <c r="BGH41" s="261"/>
      <c r="BGI41" s="261"/>
      <c r="BGJ41" s="261"/>
      <c r="BGK41" s="261"/>
      <c r="BGL41" s="261"/>
      <c r="BGM41" s="261"/>
      <c r="BGN41" s="261"/>
      <c r="BGO41" s="261"/>
      <c r="BGP41" s="261"/>
      <c r="BGQ41" s="261"/>
      <c r="BGR41" s="261"/>
      <c r="BGS41" s="261"/>
      <c r="BGT41" s="261"/>
      <c r="BGU41" s="261"/>
      <c r="BGV41" s="261"/>
      <c r="BGW41" s="261"/>
      <c r="BGX41" s="261"/>
      <c r="BGY41" s="261"/>
      <c r="BGZ41" s="261"/>
      <c r="BHA41" s="261"/>
      <c r="BHB41" s="261"/>
      <c r="BHC41" s="261"/>
      <c r="BHD41" s="261"/>
      <c r="BHE41" s="261"/>
      <c r="BHF41" s="261"/>
      <c r="BHG41" s="261"/>
      <c r="BHH41" s="261"/>
      <c r="BHI41" s="261"/>
      <c r="BHJ41" s="261"/>
      <c r="BHK41" s="261"/>
      <c r="BHL41" s="261"/>
      <c r="BHM41" s="261"/>
      <c r="BHN41" s="261"/>
      <c r="BHO41" s="261"/>
      <c r="BHP41" s="261"/>
      <c r="BHQ41" s="261"/>
      <c r="BHR41" s="261"/>
      <c r="BHS41" s="261"/>
      <c r="BHT41" s="261"/>
      <c r="BHU41" s="261"/>
      <c r="BHV41" s="261"/>
      <c r="BHW41" s="261"/>
      <c r="BHX41" s="261"/>
      <c r="BHY41" s="261"/>
      <c r="BHZ41" s="261"/>
      <c r="BIA41" s="261"/>
      <c r="BIB41" s="261"/>
      <c r="BIC41" s="261"/>
      <c r="BID41" s="261"/>
      <c r="BIE41" s="261"/>
      <c r="BIF41" s="261"/>
      <c r="BIG41" s="261"/>
      <c r="BIH41" s="261"/>
      <c r="BII41" s="261"/>
      <c r="BIJ41" s="261"/>
      <c r="BIK41" s="261"/>
      <c r="BIL41" s="261"/>
      <c r="BIM41" s="261"/>
      <c r="BIN41" s="261"/>
      <c r="BIO41" s="261"/>
      <c r="BIP41" s="261"/>
      <c r="BIQ41" s="261"/>
      <c r="BIR41" s="261"/>
      <c r="BIS41" s="261"/>
      <c r="BIT41" s="261"/>
      <c r="BIU41" s="261"/>
      <c r="BIV41" s="261"/>
      <c r="BIW41" s="261"/>
      <c r="BIX41" s="261"/>
      <c r="BIY41" s="261"/>
      <c r="BIZ41" s="261"/>
      <c r="BJA41" s="261"/>
      <c r="BJB41" s="261"/>
      <c r="BJC41" s="261"/>
      <c r="BJD41" s="261"/>
      <c r="BJE41" s="261"/>
      <c r="BJF41" s="261"/>
      <c r="BJG41" s="261"/>
      <c r="BJH41" s="261"/>
      <c r="BJI41" s="261"/>
      <c r="BJJ41" s="261"/>
      <c r="BJK41" s="261"/>
      <c r="BJL41" s="261"/>
      <c r="BJM41" s="261"/>
      <c r="BJN41" s="261"/>
      <c r="BJO41" s="261"/>
      <c r="BJP41" s="261"/>
      <c r="BJQ41" s="261"/>
      <c r="BJR41" s="261"/>
      <c r="BJS41" s="261"/>
      <c r="BJT41" s="261"/>
      <c r="BJU41" s="261"/>
      <c r="BJV41" s="261"/>
      <c r="BJW41" s="261"/>
      <c r="BJX41" s="261"/>
      <c r="BJY41" s="261"/>
      <c r="BJZ41" s="261"/>
      <c r="BKA41" s="261"/>
      <c r="BKB41" s="261"/>
      <c r="BKC41" s="261"/>
      <c r="BKD41" s="261"/>
      <c r="BKE41" s="261"/>
      <c r="BKF41" s="261"/>
      <c r="BKG41" s="261"/>
      <c r="BKH41" s="261"/>
      <c r="BKI41" s="261"/>
      <c r="BKJ41" s="261"/>
      <c r="BKK41" s="261"/>
      <c r="BKL41" s="261"/>
      <c r="BKM41" s="261"/>
      <c r="BKN41" s="261"/>
      <c r="BKO41" s="261"/>
      <c r="BKP41" s="261"/>
      <c r="BKQ41" s="261"/>
      <c r="BKR41" s="261"/>
      <c r="BKS41" s="261"/>
      <c r="BKT41" s="261"/>
      <c r="BKU41" s="261"/>
      <c r="BKV41" s="261"/>
      <c r="BKW41" s="261"/>
      <c r="BKX41" s="261"/>
      <c r="BKY41" s="261"/>
      <c r="BKZ41" s="261"/>
      <c r="BLA41" s="261"/>
      <c r="BLB41" s="261"/>
      <c r="BLC41" s="261"/>
      <c r="BLD41" s="261"/>
      <c r="BLE41" s="261"/>
      <c r="BLF41" s="261"/>
      <c r="BLG41" s="261"/>
      <c r="BLH41" s="261"/>
      <c r="BLI41" s="261"/>
      <c r="BLJ41" s="261"/>
      <c r="BLK41" s="261"/>
      <c r="BLL41" s="261"/>
      <c r="BLM41" s="261"/>
      <c r="BLN41" s="261"/>
      <c r="BLO41" s="261"/>
      <c r="BLP41" s="261"/>
      <c r="BLQ41" s="261"/>
      <c r="BLR41" s="261"/>
      <c r="BLS41" s="261"/>
      <c r="BLT41" s="261"/>
      <c r="BLU41" s="261"/>
      <c r="BLV41" s="261"/>
      <c r="BLW41" s="261"/>
      <c r="BLX41" s="261"/>
      <c r="BLY41" s="261"/>
      <c r="BLZ41" s="261"/>
      <c r="BMA41" s="261"/>
      <c r="BMB41" s="261"/>
      <c r="BMC41" s="261"/>
      <c r="BMD41" s="261"/>
      <c r="BME41" s="261"/>
      <c r="BMF41" s="261"/>
      <c r="BMG41" s="261"/>
      <c r="BMH41" s="261"/>
      <c r="BMI41" s="261"/>
      <c r="BMJ41" s="261"/>
      <c r="BMK41" s="261"/>
      <c r="BML41" s="261"/>
      <c r="BMM41" s="261"/>
      <c r="BMN41" s="261"/>
      <c r="BMO41" s="261"/>
      <c r="BMP41" s="261"/>
      <c r="BMQ41" s="261"/>
      <c r="BMR41" s="261"/>
      <c r="BMS41" s="261"/>
      <c r="BMT41" s="261"/>
      <c r="BMU41" s="261"/>
      <c r="BMV41" s="261"/>
      <c r="BMW41" s="261"/>
      <c r="BMX41" s="261"/>
      <c r="BMY41" s="261"/>
      <c r="BMZ41" s="261"/>
      <c r="BNA41" s="261"/>
      <c r="BNB41" s="261"/>
      <c r="BNC41" s="261"/>
      <c r="BND41" s="261"/>
      <c r="BNE41" s="261"/>
      <c r="BNF41" s="261"/>
      <c r="BNG41" s="261"/>
      <c r="BNH41" s="261"/>
      <c r="BNI41" s="261"/>
      <c r="BNJ41" s="261"/>
      <c r="BNK41" s="261"/>
      <c r="BNL41" s="261"/>
      <c r="BNM41" s="261"/>
      <c r="BNN41" s="261"/>
      <c r="BNO41" s="261"/>
      <c r="BNP41" s="261"/>
      <c r="BNQ41" s="261"/>
      <c r="BNR41" s="261"/>
      <c r="BNS41" s="261"/>
      <c r="BNT41" s="261"/>
      <c r="BNU41" s="261"/>
      <c r="BNV41" s="261"/>
      <c r="BNW41" s="261"/>
      <c r="BNX41" s="261"/>
      <c r="BNY41" s="261"/>
      <c r="BNZ41" s="261"/>
      <c r="BOA41" s="261"/>
      <c r="BOB41" s="261"/>
      <c r="BOC41" s="261"/>
      <c r="BOD41" s="261"/>
      <c r="BOE41" s="261"/>
      <c r="BOF41" s="261"/>
      <c r="BOG41" s="261"/>
      <c r="BOH41" s="261"/>
      <c r="BOI41" s="261"/>
      <c r="BOJ41" s="261"/>
      <c r="BOK41" s="261"/>
      <c r="BOL41" s="261"/>
      <c r="BOM41" s="261"/>
      <c r="BON41" s="261"/>
      <c r="BOO41" s="261"/>
      <c r="BOP41" s="261"/>
      <c r="BOQ41" s="261"/>
      <c r="BOR41" s="261"/>
      <c r="BOS41" s="261"/>
      <c r="BOT41" s="261"/>
      <c r="BOU41" s="261"/>
      <c r="BOV41" s="261"/>
      <c r="BOW41" s="261"/>
      <c r="BOX41" s="261"/>
      <c r="BOY41" s="261"/>
      <c r="BOZ41" s="261"/>
      <c r="BPA41" s="261"/>
      <c r="BPB41" s="261"/>
      <c r="BPC41" s="261"/>
      <c r="BPD41" s="261"/>
      <c r="BPE41" s="261"/>
      <c r="BPF41" s="261"/>
      <c r="BPG41" s="261"/>
      <c r="BPH41" s="261"/>
      <c r="BPI41" s="261"/>
      <c r="BPJ41" s="261"/>
      <c r="BPK41" s="261"/>
      <c r="BPL41" s="261"/>
      <c r="BPM41" s="261"/>
      <c r="BPN41" s="261"/>
      <c r="BPO41" s="261"/>
      <c r="BPP41" s="261"/>
      <c r="BPQ41" s="261"/>
      <c r="BPR41" s="261"/>
      <c r="BPS41" s="261"/>
      <c r="BPT41" s="261"/>
      <c r="BPU41" s="261"/>
      <c r="BPV41" s="261"/>
      <c r="BPW41" s="261"/>
      <c r="BPX41" s="261"/>
      <c r="BPY41" s="261"/>
      <c r="BPZ41" s="261"/>
      <c r="BQA41" s="261"/>
      <c r="BQB41" s="261"/>
      <c r="BQC41" s="261"/>
      <c r="BQD41" s="261"/>
      <c r="BQE41" s="261"/>
      <c r="BQF41" s="261"/>
      <c r="BQG41" s="261"/>
      <c r="BQH41" s="261"/>
      <c r="BQI41" s="261"/>
      <c r="BQJ41" s="261"/>
      <c r="BQK41" s="261"/>
      <c r="BQL41" s="261"/>
      <c r="BQM41" s="261"/>
      <c r="BQN41" s="261"/>
      <c r="BQO41" s="261"/>
      <c r="BQP41" s="261"/>
      <c r="BQQ41" s="261"/>
      <c r="BQR41" s="261"/>
      <c r="BQS41" s="261"/>
      <c r="BQT41" s="261"/>
      <c r="BQU41" s="261"/>
      <c r="BQV41" s="261"/>
      <c r="BQW41" s="261"/>
      <c r="BQX41" s="261"/>
      <c r="BQY41" s="261"/>
      <c r="BQZ41" s="261"/>
      <c r="BRA41" s="261"/>
      <c r="BRB41" s="261"/>
      <c r="BRC41" s="261"/>
      <c r="BRD41" s="261"/>
      <c r="BRE41" s="261"/>
      <c r="BRF41" s="261"/>
      <c r="BRG41" s="261"/>
      <c r="BRH41" s="261"/>
      <c r="BRI41" s="261"/>
      <c r="BRJ41" s="261"/>
      <c r="BRK41" s="261"/>
      <c r="BRL41" s="261"/>
      <c r="BRM41" s="261"/>
      <c r="BRN41" s="261"/>
      <c r="BRO41" s="261"/>
      <c r="BRP41" s="261"/>
      <c r="BRQ41" s="261"/>
      <c r="BRR41" s="261"/>
      <c r="BRS41" s="261"/>
      <c r="BRT41" s="261"/>
      <c r="BRU41" s="261"/>
      <c r="BRV41" s="261"/>
      <c r="BRW41" s="261"/>
      <c r="BRX41" s="261"/>
      <c r="BRY41" s="261"/>
      <c r="BRZ41" s="261"/>
      <c r="BSA41" s="261"/>
      <c r="BSB41" s="261"/>
      <c r="BSC41" s="261"/>
      <c r="BSD41" s="261"/>
      <c r="BSE41" s="261"/>
      <c r="BSF41" s="261"/>
      <c r="BSG41" s="261"/>
      <c r="BSH41" s="261"/>
      <c r="BSI41" s="261"/>
      <c r="BSJ41" s="261"/>
      <c r="BSK41" s="261"/>
      <c r="BSL41" s="261"/>
      <c r="BSM41" s="261"/>
      <c r="BSN41" s="261"/>
      <c r="BSO41" s="261"/>
      <c r="BSP41" s="261"/>
      <c r="BSQ41" s="261"/>
      <c r="BSR41" s="261"/>
      <c r="BSS41" s="261"/>
      <c r="BST41" s="261"/>
      <c r="BSU41" s="261"/>
      <c r="BSV41" s="261"/>
      <c r="BSW41" s="261"/>
      <c r="BSX41" s="261"/>
      <c r="BSY41" s="261"/>
      <c r="BSZ41" s="261"/>
      <c r="BTA41" s="261"/>
      <c r="BTB41" s="261"/>
      <c r="BTC41" s="261"/>
      <c r="BTD41" s="261"/>
      <c r="BTE41" s="261"/>
      <c r="BTF41" s="261"/>
      <c r="BTG41" s="261"/>
      <c r="BTH41" s="261"/>
      <c r="BTI41" s="261"/>
      <c r="BTJ41" s="261"/>
      <c r="BTK41" s="261"/>
      <c r="BTL41" s="261"/>
      <c r="BTM41" s="261"/>
      <c r="BTN41" s="261"/>
      <c r="BTO41" s="261"/>
      <c r="BTP41" s="261"/>
      <c r="BTQ41" s="261"/>
      <c r="BTR41" s="261"/>
      <c r="BTS41" s="261"/>
      <c r="BTT41" s="261"/>
      <c r="BTU41" s="261"/>
      <c r="BTV41" s="261"/>
      <c r="BTW41" s="261"/>
      <c r="BTX41" s="261"/>
      <c r="BTY41" s="261"/>
      <c r="BTZ41" s="261"/>
      <c r="BUA41" s="261"/>
      <c r="BUB41" s="261"/>
      <c r="BUC41" s="261"/>
      <c r="BUD41" s="261"/>
      <c r="BUE41" s="261"/>
      <c r="BUF41" s="261"/>
      <c r="BUG41" s="261"/>
      <c r="BUH41" s="261"/>
      <c r="BUI41" s="261"/>
      <c r="BUJ41" s="261"/>
      <c r="BUK41" s="261"/>
      <c r="BUL41" s="261"/>
      <c r="BUM41" s="261"/>
      <c r="BUN41" s="261"/>
      <c r="BUO41" s="261"/>
      <c r="BUP41" s="261"/>
      <c r="BUQ41" s="261"/>
      <c r="BUR41" s="261"/>
      <c r="BUS41" s="261"/>
      <c r="BUT41" s="261"/>
      <c r="BUU41" s="261"/>
      <c r="BUV41" s="261"/>
      <c r="BUW41" s="261"/>
      <c r="BUX41" s="261"/>
      <c r="BUY41" s="261"/>
      <c r="BUZ41" s="261"/>
      <c r="BVA41" s="261"/>
      <c r="BVB41" s="261"/>
      <c r="BVC41" s="261"/>
      <c r="BVD41" s="261"/>
      <c r="BVE41" s="261"/>
      <c r="BVF41" s="261"/>
      <c r="BVG41" s="261"/>
      <c r="BVH41" s="261"/>
      <c r="BVI41" s="261"/>
      <c r="BVJ41" s="261"/>
      <c r="BVK41" s="261"/>
      <c r="BVL41" s="261"/>
      <c r="BVM41" s="261"/>
      <c r="BVN41" s="261"/>
      <c r="BVO41" s="261"/>
      <c r="BVP41" s="261"/>
      <c r="BVQ41" s="261"/>
      <c r="BVR41" s="261"/>
      <c r="BVS41" s="261"/>
      <c r="BVT41" s="261"/>
      <c r="BVU41" s="261"/>
      <c r="BVV41" s="261"/>
      <c r="BVW41" s="261"/>
      <c r="BVX41" s="261"/>
      <c r="BVY41" s="261"/>
      <c r="BVZ41" s="261"/>
      <c r="BWA41" s="261"/>
      <c r="BWB41" s="261"/>
      <c r="BWC41" s="261"/>
      <c r="BWD41" s="261"/>
      <c r="BWE41" s="261"/>
      <c r="BWF41" s="261"/>
      <c r="BWG41" s="261"/>
      <c r="BWH41" s="261"/>
      <c r="BWI41" s="261"/>
      <c r="BWJ41" s="261"/>
      <c r="BWK41" s="261"/>
      <c r="BWL41" s="261"/>
      <c r="BWM41" s="261"/>
      <c r="BWN41" s="261"/>
      <c r="BWO41" s="261"/>
      <c r="BWP41" s="261"/>
      <c r="BWQ41" s="261"/>
      <c r="BWR41" s="261"/>
      <c r="BWS41" s="261"/>
      <c r="BWT41" s="261"/>
      <c r="BWU41" s="261"/>
      <c r="BWV41" s="261"/>
      <c r="BWW41" s="261"/>
      <c r="BWX41" s="261"/>
      <c r="BWY41" s="261"/>
      <c r="BWZ41" s="261"/>
      <c r="BXA41" s="261"/>
      <c r="BXB41" s="261"/>
      <c r="BXC41" s="261"/>
      <c r="BXD41" s="261"/>
      <c r="BXE41" s="261"/>
      <c r="BXF41" s="261"/>
      <c r="BXG41" s="261"/>
      <c r="BXH41" s="261"/>
      <c r="BXI41" s="261"/>
      <c r="BXJ41" s="261"/>
      <c r="BXK41" s="261"/>
      <c r="BXL41" s="261"/>
      <c r="BXM41" s="261"/>
      <c r="BXN41" s="261"/>
      <c r="BXO41" s="261"/>
      <c r="BXP41" s="261"/>
      <c r="BXQ41" s="261"/>
      <c r="BXR41" s="261"/>
      <c r="BXS41" s="261"/>
      <c r="BXT41" s="261"/>
      <c r="BXU41" s="261"/>
      <c r="BXV41" s="261"/>
      <c r="BXW41" s="261"/>
      <c r="BXX41" s="261"/>
      <c r="BXY41" s="261"/>
      <c r="BXZ41" s="261"/>
      <c r="BYA41" s="261"/>
      <c r="BYB41" s="261"/>
      <c r="BYC41" s="261"/>
      <c r="BYD41" s="261"/>
      <c r="BYE41" s="261"/>
      <c r="BYF41" s="261"/>
      <c r="BYG41" s="261"/>
      <c r="BYH41" s="261"/>
      <c r="BYI41" s="261"/>
      <c r="BYJ41" s="261"/>
      <c r="BYK41" s="261"/>
      <c r="BYL41" s="261"/>
      <c r="BYM41" s="261"/>
      <c r="BYN41" s="261"/>
      <c r="BYO41" s="261"/>
      <c r="BYP41" s="261"/>
      <c r="BYQ41" s="261"/>
      <c r="BYR41" s="261"/>
      <c r="BYS41" s="261"/>
      <c r="BYT41" s="261"/>
      <c r="BYU41" s="261"/>
      <c r="BYV41" s="261"/>
      <c r="BYW41" s="261"/>
      <c r="BYX41" s="261"/>
      <c r="BYY41" s="261"/>
      <c r="BYZ41" s="261"/>
      <c r="BZA41" s="261"/>
      <c r="BZB41" s="261"/>
      <c r="BZC41" s="261"/>
      <c r="BZD41" s="261"/>
      <c r="BZE41" s="261"/>
      <c r="BZF41" s="261"/>
      <c r="BZG41" s="261"/>
      <c r="BZH41" s="261"/>
      <c r="BZI41" s="261"/>
      <c r="BZJ41" s="261"/>
      <c r="BZK41" s="261"/>
      <c r="BZL41" s="261"/>
      <c r="BZM41" s="261"/>
      <c r="BZN41" s="261"/>
      <c r="BZO41" s="261"/>
      <c r="BZP41" s="261"/>
      <c r="BZQ41" s="261"/>
      <c r="BZR41" s="261"/>
      <c r="BZS41" s="261"/>
      <c r="BZT41" s="261"/>
      <c r="BZU41" s="261"/>
      <c r="BZV41" s="261"/>
      <c r="BZW41" s="261"/>
      <c r="BZX41" s="261"/>
      <c r="BZY41" s="261"/>
      <c r="BZZ41" s="261"/>
      <c r="CAA41" s="261"/>
      <c r="CAB41" s="261"/>
      <c r="CAC41" s="261"/>
      <c r="CAD41" s="261"/>
      <c r="CAE41" s="261"/>
      <c r="CAF41" s="261"/>
      <c r="CAG41" s="261"/>
      <c r="CAH41" s="261"/>
      <c r="CAI41" s="261"/>
      <c r="CAJ41" s="261"/>
      <c r="CAK41" s="261"/>
      <c r="CAL41" s="261"/>
      <c r="CAM41" s="261"/>
      <c r="CAN41" s="261"/>
      <c r="CAO41" s="261"/>
      <c r="CAP41" s="261"/>
      <c r="CAQ41" s="261"/>
      <c r="CAR41" s="261"/>
      <c r="CAS41" s="261"/>
      <c r="CAT41" s="261"/>
      <c r="CAU41" s="261"/>
      <c r="CAV41" s="261"/>
      <c r="CAW41" s="261"/>
      <c r="CAX41" s="261"/>
      <c r="CAY41" s="261"/>
      <c r="CAZ41" s="261"/>
      <c r="CBA41" s="261"/>
      <c r="CBB41" s="261"/>
      <c r="CBC41" s="261"/>
      <c r="CBD41" s="261"/>
      <c r="CBE41" s="261"/>
      <c r="CBF41" s="261"/>
      <c r="CBG41" s="261"/>
      <c r="CBH41" s="261"/>
      <c r="CBI41" s="261"/>
      <c r="CBJ41" s="261"/>
      <c r="CBK41" s="261"/>
      <c r="CBL41" s="261"/>
      <c r="CBM41" s="261"/>
      <c r="CBN41" s="261"/>
      <c r="CBO41" s="261"/>
      <c r="CBP41" s="261"/>
      <c r="CBQ41" s="261"/>
      <c r="CBR41" s="261"/>
      <c r="CBS41" s="261"/>
      <c r="CBT41" s="261"/>
      <c r="CBU41" s="261"/>
      <c r="CBV41" s="261"/>
      <c r="CBW41" s="261"/>
      <c r="CBX41" s="261"/>
      <c r="CBY41" s="261"/>
      <c r="CBZ41" s="261"/>
      <c r="CCA41" s="261"/>
      <c r="CCB41" s="261"/>
      <c r="CCC41" s="261"/>
      <c r="CCD41" s="261"/>
      <c r="CCE41" s="261"/>
      <c r="CCF41" s="261"/>
      <c r="CCG41" s="261"/>
      <c r="CCH41" s="261"/>
      <c r="CCI41" s="261"/>
      <c r="CCJ41" s="261"/>
      <c r="CCK41" s="261"/>
      <c r="CCL41" s="261"/>
      <c r="CCM41" s="261"/>
      <c r="CCN41" s="261"/>
      <c r="CCO41" s="261"/>
      <c r="CCP41" s="261"/>
      <c r="CCQ41" s="261"/>
      <c r="CCR41" s="261"/>
      <c r="CCS41" s="261"/>
      <c r="CCT41" s="261"/>
      <c r="CCU41" s="261"/>
      <c r="CCV41" s="261"/>
      <c r="CCW41" s="261"/>
      <c r="CCX41" s="261"/>
      <c r="CCY41" s="261"/>
      <c r="CCZ41" s="261"/>
      <c r="CDA41" s="261"/>
      <c r="CDB41" s="261"/>
      <c r="CDC41" s="261"/>
      <c r="CDD41" s="261"/>
      <c r="CDE41" s="261"/>
      <c r="CDF41" s="261"/>
      <c r="CDG41" s="261"/>
      <c r="CDH41" s="261"/>
      <c r="CDI41" s="261"/>
      <c r="CDJ41" s="261"/>
      <c r="CDK41" s="261"/>
      <c r="CDL41" s="261"/>
      <c r="CDM41" s="261"/>
      <c r="CDN41" s="261"/>
      <c r="CDO41" s="261"/>
      <c r="CDP41" s="261"/>
      <c r="CDQ41" s="261"/>
      <c r="CDR41" s="261"/>
      <c r="CDS41" s="261"/>
      <c r="CDT41" s="261"/>
      <c r="CDU41" s="261"/>
      <c r="CDV41" s="261"/>
      <c r="CDW41" s="261"/>
      <c r="CDX41" s="261"/>
      <c r="CDY41" s="261"/>
      <c r="CDZ41" s="261"/>
      <c r="CEA41" s="261"/>
      <c r="CEB41" s="261"/>
      <c r="CEC41" s="261"/>
      <c r="CED41" s="261"/>
      <c r="CEE41" s="261"/>
      <c r="CEF41" s="261"/>
      <c r="CEG41" s="261"/>
      <c r="CEH41" s="261"/>
      <c r="CEI41" s="261"/>
      <c r="CEJ41" s="261"/>
      <c r="CEK41" s="261"/>
      <c r="CEL41" s="261"/>
      <c r="CEM41" s="261"/>
      <c r="CEN41" s="261"/>
      <c r="CEO41" s="261"/>
      <c r="CEP41" s="261"/>
      <c r="CEQ41" s="261"/>
      <c r="CER41" s="261"/>
      <c r="CES41" s="261"/>
      <c r="CET41" s="261"/>
      <c r="CEU41" s="261"/>
      <c r="CEV41" s="261"/>
      <c r="CEW41" s="261"/>
      <c r="CEX41" s="261"/>
      <c r="CEY41" s="261"/>
      <c r="CEZ41" s="261"/>
      <c r="CFA41" s="261"/>
      <c r="CFB41" s="261"/>
      <c r="CFC41" s="261"/>
      <c r="CFD41" s="261"/>
      <c r="CFE41" s="261"/>
      <c r="CFF41" s="261"/>
      <c r="CFG41" s="261"/>
      <c r="CFH41" s="261"/>
      <c r="CFI41" s="261"/>
      <c r="CFJ41" s="261"/>
      <c r="CFK41" s="261"/>
      <c r="CFL41" s="261"/>
      <c r="CFM41" s="261"/>
      <c r="CFN41" s="261"/>
      <c r="CFO41" s="261"/>
      <c r="CFP41" s="261"/>
      <c r="CFQ41" s="261"/>
      <c r="CFR41" s="261"/>
      <c r="CFS41" s="261"/>
      <c r="CFT41" s="261"/>
      <c r="CFU41" s="261"/>
      <c r="CFV41" s="261"/>
      <c r="CFW41" s="261"/>
      <c r="CFX41" s="261"/>
      <c r="CFY41" s="261"/>
      <c r="CFZ41" s="261"/>
      <c r="CGA41" s="261"/>
      <c r="CGB41" s="261"/>
      <c r="CGC41" s="261"/>
      <c r="CGD41" s="261"/>
      <c r="CGE41" s="261"/>
      <c r="CGF41" s="261"/>
      <c r="CGG41" s="261"/>
      <c r="CGH41" s="261"/>
      <c r="CGI41" s="261"/>
      <c r="CGJ41" s="261"/>
      <c r="CGK41" s="261"/>
      <c r="CGL41" s="261"/>
      <c r="CGM41" s="261"/>
      <c r="CGN41" s="261"/>
      <c r="CGO41" s="261"/>
      <c r="CGP41" s="261"/>
      <c r="CGQ41" s="261"/>
      <c r="CGR41" s="261"/>
      <c r="CGS41" s="261"/>
      <c r="CGT41" s="261"/>
      <c r="CGU41" s="261"/>
      <c r="CGV41" s="261"/>
      <c r="CGW41" s="261"/>
      <c r="CGX41" s="261"/>
      <c r="CGY41" s="261"/>
      <c r="CGZ41" s="261"/>
      <c r="CHA41" s="261"/>
      <c r="CHB41" s="261"/>
      <c r="CHC41" s="261"/>
      <c r="CHD41" s="261"/>
      <c r="CHE41" s="261"/>
      <c r="CHF41" s="261"/>
      <c r="CHG41" s="261"/>
      <c r="CHH41" s="261"/>
      <c r="CHI41" s="261"/>
      <c r="CHJ41" s="261"/>
      <c r="CHK41" s="261"/>
      <c r="CHL41" s="261"/>
      <c r="CHM41" s="261"/>
      <c r="CHN41" s="261"/>
      <c r="CHO41" s="261"/>
      <c r="CHP41" s="261"/>
      <c r="CHQ41" s="261"/>
      <c r="CHR41" s="261"/>
      <c r="CHS41" s="261"/>
      <c r="CHT41" s="261"/>
      <c r="CHU41" s="261"/>
      <c r="CHV41" s="261"/>
      <c r="CHW41" s="261"/>
      <c r="CHX41" s="261"/>
      <c r="CHY41" s="261"/>
      <c r="CHZ41" s="261"/>
      <c r="CIA41" s="261"/>
      <c r="CIB41" s="261"/>
      <c r="CIC41" s="261"/>
      <c r="CID41" s="261"/>
      <c r="CIE41" s="261"/>
      <c r="CIF41" s="261"/>
      <c r="CIG41" s="261"/>
      <c r="CIH41" s="261"/>
      <c r="CII41" s="261"/>
      <c r="CIJ41" s="261"/>
      <c r="CIK41" s="261"/>
      <c r="CIL41" s="261"/>
      <c r="CIM41" s="261"/>
      <c r="CIN41" s="261"/>
      <c r="CIO41" s="261"/>
      <c r="CIP41" s="261"/>
      <c r="CIQ41" s="261"/>
      <c r="CIR41" s="261"/>
      <c r="CIS41" s="261"/>
      <c r="CIT41" s="261"/>
      <c r="CIU41" s="261"/>
      <c r="CIV41" s="261"/>
      <c r="CIW41" s="261"/>
      <c r="CIX41" s="261"/>
      <c r="CIY41" s="261"/>
      <c r="CIZ41" s="261"/>
      <c r="CJA41" s="261"/>
      <c r="CJB41" s="261"/>
      <c r="CJC41" s="261"/>
      <c r="CJD41" s="261"/>
      <c r="CJE41" s="261"/>
      <c r="CJF41" s="261"/>
      <c r="CJG41" s="261"/>
      <c r="CJH41" s="261"/>
      <c r="CJI41" s="261"/>
      <c r="CJJ41" s="261"/>
      <c r="CJK41" s="261"/>
      <c r="CJL41" s="261"/>
      <c r="CJM41" s="261"/>
      <c r="CJN41" s="261"/>
      <c r="CJO41" s="261"/>
      <c r="CJP41" s="261"/>
      <c r="CJQ41" s="261"/>
      <c r="CJR41" s="261"/>
      <c r="CJS41" s="261"/>
      <c r="CJT41" s="261"/>
      <c r="CJU41" s="261"/>
      <c r="CJV41" s="261"/>
      <c r="CJW41" s="261"/>
      <c r="CJX41" s="261"/>
      <c r="CJY41" s="261"/>
      <c r="CJZ41" s="261"/>
      <c r="CKA41" s="261"/>
      <c r="CKB41" s="261"/>
      <c r="CKC41" s="261"/>
      <c r="CKD41" s="261"/>
      <c r="CKE41" s="261"/>
      <c r="CKF41" s="261"/>
      <c r="CKG41" s="261"/>
      <c r="CKH41" s="261"/>
      <c r="CKI41" s="261"/>
      <c r="CKJ41" s="261"/>
      <c r="CKK41" s="261"/>
      <c r="CKL41" s="261"/>
      <c r="CKM41" s="261"/>
      <c r="CKN41" s="261"/>
      <c r="CKO41" s="261"/>
      <c r="CKP41" s="261"/>
      <c r="CKQ41" s="261"/>
      <c r="CKR41" s="261"/>
      <c r="CKS41" s="261"/>
      <c r="CKT41" s="261"/>
      <c r="CKU41" s="261"/>
      <c r="CKV41" s="261"/>
      <c r="CKW41" s="261"/>
      <c r="CKX41" s="261"/>
      <c r="CKY41" s="261"/>
      <c r="CKZ41" s="261"/>
      <c r="CLA41" s="261"/>
      <c r="CLB41" s="261"/>
      <c r="CLC41" s="261"/>
      <c r="CLD41" s="261"/>
      <c r="CLE41" s="261"/>
      <c r="CLF41" s="261"/>
      <c r="CLG41" s="261"/>
      <c r="CLH41" s="261"/>
      <c r="CLI41" s="261"/>
      <c r="CLJ41" s="261"/>
      <c r="CLK41" s="261"/>
      <c r="CLL41" s="261"/>
      <c r="CLM41" s="261"/>
      <c r="CLN41" s="261"/>
      <c r="CLO41" s="261"/>
      <c r="CLP41" s="261"/>
      <c r="CLQ41" s="261"/>
      <c r="CLR41" s="261"/>
      <c r="CLS41" s="261"/>
      <c r="CLT41" s="261"/>
      <c r="CLU41" s="261"/>
      <c r="CLV41" s="261"/>
      <c r="CLW41" s="261"/>
      <c r="CLX41" s="261"/>
      <c r="CLY41" s="261"/>
      <c r="CLZ41" s="261"/>
      <c r="CMA41" s="261"/>
      <c r="CMB41" s="261"/>
      <c r="CMC41" s="261"/>
      <c r="CMD41" s="261"/>
      <c r="CME41" s="261"/>
      <c r="CMF41" s="261"/>
      <c r="CMG41" s="261"/>
      <c r="CMH41" s="261"/>
      <c r="CMI41" s="261"/>
      <c r="CMJ41" s="261"/>
      <c r="CMK41" s="261"/>
      <c r="CML41" s="261"/>
      <c r="CMM41" s="261"/>
      <c r="CMN41" s="261"/>
      <c r="CMO41" s="261"/>
      <c r="CMP41" s="261"/>
      <c r="CMQ41" s="261"/>
      <c r="CMR41" s="261"/>
      <c r="CMS41" s="261"/>
      <c r="CMT41" s="261"/>
      <c r="CMU41" s="261"/>
      <c r="CMV41" s="261"/>
      <c r="CMW41" s="261"/>
      <c r="CMX41" s="261"/>
      <c r="CMY41" s="261"/>
      <c r="CMZ41" s="261"/>
      <c r="CNA41" s="261"/>
      <c r="CNB41" s="261"/>
      <c r="CNC41" s="261"/>
      <c r="CND41" s="261"/>
      <c r="CNE41" s="261"/>
      <c r="CNF41" s="261"/>
      <c r="CNG41" s="261"/>
      <c r="CNH41" s="261"/>
      <c r="CNI41" s="261"/>
      <c r="CNJ41" s="261"/>
      <c r="CNK41" s="261"/>
      <c r="CNL41" s="261"/>
      <c r="CNM41" s="261"/>
      <c r="CNN41" s="261"/>
      <c r="CNO41" s="261"/>
      <c r="CNP41" s="261"/>
      <c r="CNQ41" s="261"/>
      <c r="CNR41" s="261"/>
      <c r="CNS41" s="261"/>
      <c r="CNT41" s="261"/>
      <c r="CNU41" s="261"/>
      <c r="CNV41" s="261"/>
      <c r="CNW41" s="261"/>
      <c r="CNX41" s="261"/>
      <c r="CNY41" s="261"/>
      <c r="CNZ41" s="261"/>
      <c r="COA41" s="261"/>
      <c r="COB41" s="261"/>
      <c r="COC41" s="261"/>
      <c r="COD41" s="261"/>
      <c r="COE41" s="261"/>
      <c r="COF41" s="261"/>
      <c r="COG41" s="261"/>
      <c r="COH41" s="261"/>
      <c r="COI41" s="261"/>
      <c r="COJ41" s="261"/>
      <c r="COK41" s="261"/>
      <c r="COL41" s="261"/>
      <c r="COM41" s="261"/>
      <c r="CON41" s="261"/>
      <c r="COO41" s="261"/>
      <c r="COP41" s="261"/>
      <c r="COQ41" s="261"/>
      <c r="COR41" s="261"/>
      <c r="COS41" s="261"/>
      <c r="COT41" s="261"/>
      <c r="COU41" s="261"/>
      <c r="COV41" s="261"/>
      <c r="COW41" s="261"/>
      <c r="COX41" s="261"/>
      <c r="COY41" s="261"/>
      <c r="COZ41" s="261"/>
      <c r="CPA41" s="261"/>
      <c r="CPB41" s="261"/>
      <c r="CPC41" s="261"/>
      <c r="CPD41" s="261"/>
      <c r="CPE41" s="261"/>
      <c r="CPF41" s="261"/>
      <c r="CPG41" s="261"/>
      <c r="CPH41" s="261"/>
      <c r="CPI41" s="261"/>
      <c r="CPJ41" s="261"/>
      <c r="CPK41" s="261"/>
      <c r="CPL41" s="261"/>
      <c r="CPM41" s="261"/>
      <c r="CPN41" s="261"/>
      <c r="CPO41" s="261"/>
      <c r="CPP41" s="261"/>
      <c r="CPQ41" s="261"/>
      <c r="CPR41" s="261"/>
      <c r="CPS41" s="261"/>
      <c r="CPT41" s="261"/>
      <c r="CPU41" s="261"/>
      <c r="CPV41" s="261"/>
      <c r="CPW41" s="261"/>
      <c r="CPX41" s="261"/>
      <c r="CPY41" s="261"/>
      <c r="CPZ41" s="261"/>
      <c r="CQA41" s="261"/>
      <c r="CQB41" s="261"/>
      <c r="CQC41" s="261"/>
      <c r="CQD41" s="261"/>
      <c r="CQE41" s="261"/>
      <c r="CQF41" s="261"/>
      <c r="CQG41" s="261"/>
      <c r="CQH41" s="261"/>
      <c r="CQI41" s="261"/>
      <c r="CQJ41" s="261"/>
      <c r="CQK41" s="261"/>
      <c r="CQL41" s="261"/>
      <c r="CQM41" s="261"/>
      <c r="CQN41" s="261"/>
      <c r="CQO41" s="261"/>
      <c r="CQP41" s="261"/>
      <c r="CQQ41" s="261"/>
      <c r="CQR41" s="261"/>
      <c r="CQS41" s="261"/>
      <c r="CQT41" s="261"/>
      <c r="CQU41" s="261"/>
      <c r="CQV41" s="261"/>
      <c r="CQW41" s="261"/>
      <c r="CQX41" s="261"/>
      <c r="CQY41" s="261"/>
      <c r="CQZ41" s="261"/>
      <c r="CRA41" s="261"/>
      <c r="CRB41" s="261"/>
      <c r="CRC41" s="261"/>
      <c r="CRD41" s="261"/>
      <c r="CRE41" s="261"/>
      <c r="CRF41" s="261"/>
      <c r="CRG41" s="261"/>
      <c r="CRH41" s="261"/>
      <c r="CRI41" s="261"/>
      <c r="CRJ41" s="261"/>
      <c r="CRK41" s="261"/>
      <c r="CRL41" s="261"/>
      <c r="CRM41" s="261"/>
      <c r="CRN41" s="261"/>
      <c r="CRO41" s="261"/>
      <c r="CRP41" s="261"/>
      <c r="CRQ41" s="261"/>
      <c r="CRR41" s="261"/>
      <c r="CRS41" s="261"/>
      <c r="CRT41" s="261"/>
      <c r="CRU41" s="261"/>
      <c r="CRV41" s="261"/>
      <c r="CRW41" s="261"/>
      <c r="CRX41" s="261"/>
      <c r="CRY41" s="261"/>
      <c r="CRZ41" s="261"/>
      <c r="CSA41" s="261"/>
      <c r="CSB41" s="261"/>
      <c r="CSC41" s="261"/>
      <c r="CSD41" s="261"/>
      <c r="CSE41" s="261"/>
      <c r="CSF41" s="261"/>
      <c r="CSG41" s="261"/>
      <c r="CSH41" s="261"/>
      <c r="CSI41" s="261"/>
      <c r="CSJ41" s="261"/>
      <c r="CSK41" s="261"/>
      <c r="CSL41" s="261"/>
      <c r="CSM41" s="261"/>
      <c r="CSN41" s="261"/>
      <c r="CSO41" s="261"/>
      <c r="CSP41" s="261"/>
      <c r="CSQ41" s="261"/>
      <c r="CSR41" s="261"/>
      <c r="CSS41" s="261"/>
      <c r="CST41" s="261"/>
      <c r="CSU41" s="261"/>
      <c r="CSV41" s="261"/>
      <c r="CSW41" s="261"/>
      <c r="CSX41" s="261"/>
      <c r="CSY41" s="261"/>
      <c r="CSZ41" s="261"/>
      <c r="CTA41" s="261"/>
      <c r="CTB41" s="261"/>
      <c r="CTC41" s="261"/>
      <c r="CTD41" s="261"/>
      <c r="CTE41" s="261"/>
      <c r="CTF41" s="261"/>
      <c r="CTG41" s="261"/>
      <c r="CTH41" s="261"/>
      <c r="CTI41" s="261"/>
      <c r="CTJ41" s="261"/>
      <c r="CTK41" s="261"/>
      <c r="CTL41" s="261"/>
      <c r="CTM41" s="261"/>
      <c r="CTN41" s="261"/>
      <c r="CTO41" s="261"/>
      <c r="CTP41" s="261"/>
      <c r="CTQ41" s="261"/>
      <c r="CTR41" s="261"/>
      <c r="CTS41" s="261"/>
      <c r="CTT41" s="261"/>
      <c r="CTU41" s="261"/>
      <c r="CTV41" s="261"/>
      <c r="CTW41" s="261"/>
      <c r="CTX41" s="261"/>
      <c r="CTY41" s="261"/>
      <c r="CTZ41" s="261"/>
      <c r="CUA41" s="261"/>
      <c r="CUB41" s="261"/>
      <c r="CUC41" s="261"/>
      <c r="CUD41" s="261"/>
      <c r="CUE41" s="261"/>
      <c r="CUF41" s="261"/>
      <c r="CUG41" s="261"/>
      <c r="CUH41" s="261"/>
      <c r="CUI41" s="261"/>
      <c r="CUJ41" s="261"/>
      <c r="CUK41" s="261"/>
      <c r="CUL41" s="261"/>
      <c r="CUM41" s="261"/>
      <c r="CUN41" s="261"/>
      <c r="CUO41" s="261"/>
      <c r="CUP41" s="261"/>
      <c r="CUQ41" s="261"/>
      <c r="CUR41" s="261"/>
      <c r="CUS41" s="261"/>
      <c r="CUT41" s="261"/>
      <c r="CUU41" s="261"/>
      <c r="CUV41" s="261"/>
      <c r="CUW41" s="261"/>
      <c r="CUX41" s="261"/>
      <c r="CUY41" s="261"/>
      <c r="CUZ41" s="261"/>
      <c r="CVA41" s="261"/>
      <c r="CVB41" s="261"/>
      <c r="CVC41" s="261"/>
      <c r="CVD41" s="261"/>
      <c r="CVE41" s="261"/>
      <c r="CVF41" s="261"/>
      <c r="CVG41" s="261"/>
      <c r="CVH41" s="261"/>
      <c r="CVI41" s="261"/>
      <c r="CVJ41" s="261"/>
      <c r="CVK41" s="261"/>
      <c r="CVL41" s="261"/>
      <c r="CVM41" s="261"/>
      <c r="CVN41" s="261"/>
      <c r="CVO41" s="261"/>
      <c r="CVP41" s="261"/>
      <c r="CVQ41" s="261"/>
      <c r="CVR41" s="261"/>
      <c r="CVS41" s="261"/>
      <c r="CVT41" s="261"/>
      <c r="CVU41" s="261"/>
      <c r="CVV41" s="261"/>
      <c r="CVW41" s="261"/>
      <c r="CVX41" s="261"/>
      <c r="CVY41" s="261"/>
      <c r="CVZ41" s="261"/>
      <c r="CWA41" s="261"/>
      <c r="CWB41" s="261"/>
      <c r="CWC41" s="261"/>
      <c r="CWD41" s="261"/>
      <c r="CWE41" s="261"/>
      <c r="CWF41" s="261"/>
      <c r="CWG41" s="261"/>
      <c r="CWH41" s="261"/>
      <c r="CWI41" s="261"/>
      <c r="CWJ41" s="261"/>
      <c r="CWK41" s="261"/>
      <c r="CWL41" s="261"/>
      <c r="CWM41" s="261"/>
      <c r="CWN41" s="261"/>
      <c r="CWO41" s="261"/>
      <c r="CWP41" s="261"/>
      <c r="CWQ41" s="261"/>
      <c r="CWR41" s="261"/>
      <c r="CWS41" s="261"/>
      <c r="CWT41" s="261"/>
      <c r="CWU41" s="261"/>
      <c r="CWV41" s="261"/>
      <c r="CWW41" s="261"/>
      <c r="CWX41" s="261"/>
      <c r="CWY41" s="261"/>
      <c r="CWZ41" s="261"/>
      <c r="CXA41" s="261"/>
      <c r="CXB41" s="261"/>
      <c r="CXC41" s="261"/>
      <c r="CXD41" s="261"/>
      <c r="CXE41" s="261"/>
      <c r="CXF41" s="261"/>
      <c r="CXG41" s="261"/>
      <c r="CXH41" s="261"/>
      <c r="CXI41" s="261"/>
      <c r="CXJ41" s="261"/>
      <c r="CXK41" s="261"/>
      <c r="CXL41" s="261"/>
      <c r="CXM41" s="261"/>
      <c r="CXN41" s="261"/>
      <c r="CXO41" s="261"/>
      <c r="CXP41" s="261"/>
      <c r="CXQ41" s="261"/>
      <c r="CXR41" s="261"/>
      <c r="CXS41" s="261"/>
      <c r="CXT41" s="261"/>
      <c r="CXU41" s="261"/>
      <c r="CXV41" s="261"/>
      <c r="CXW41" s="261"/>
      <c r="CXX41" s="261"/>
      <c r="CXY41" s="261"/>
      <c r="CXZ41" s="261"/>
      <c r="CYA41" s="261"/>
      <c r="CYB41" s="261"/>
      <c r="CYC41" s="261"/>
      <c r="CYD41" s="261"/>
      <c r="CYE41" s="261"/>
      <c r="CYF41" s="261"/>
      <c r="CYG41" s="261"/>
      <c r="CYH41" s="261"/>
      <c r="CYI41" s="261"/>
      <c r="CYJ41" s="261"/>
      <c r="CYK41" s="261"/>
      <c r="CYL41" s="261"/>
      <c r="CYM41" s="261"/>
      <c r="CYN41" s="261"/>
      <c r="CYO41" s="261"/>
      <c r="CYP41" s="261"/>
      <c r="CYQ41" s="261"/>
      <c r="CYR41" s="261"/>
      <c r="CYS41" s="261"/>
      <c r="CYT41" s="261"/>
      <c r="CYU41" s="261"/>
      <c r="CYV41" s="261"/>
      <c r="CYW41" s="261"/>
      <c r="CYX41" s="261"/>
      <c r="CYY41" s="261"/>
      <c r="CYZ41" s="261"/>
      <c r="CZA41" s="261"/>
      <c r="CZB41" s="261"/>
      <c r="CZC41" s="261"/>
      <c r="CZD41" s="261"/>
      <c r="CZE41" s="261"/>
      <c r="CZF41" s="261"/>
      <c r="CZG41" s="261"/>
      <c r="CZH41" s="261"/>
      <c r="CZI41" s="261"/>
      <c r="CZJ41" s="261"/>
      <c r="CZK41" s="261"/>
      <c r="CZL41" s="261"/>
      <c r="CZM41" s="261"/>
      <c r="CZN41" s="261"/>
      <c r="CZO41" s="261"/>
      <c r="CZP41" s="261"/>
      <c r="CZQ41" s="261"/>
      <c r="CZR41" s="261"/>
      <c r="CZS41" s="261"/>
      <c r="CZT41" s="261"/>
      <c r="CZU41" s="261"/>
      <c r="CZV41" s="261"/>
      <c r="CZW41" s="261"/>
      <c r="CZX41" s="261"/>
      <c r="CZY41" s="261"/>
      <c r="CZZ41" s="261"/>
      <c r="DAA41" s="261"/>
      <c r="DAB41" s="261"/>
      <c r="DAC41" s="261"/>
      <c r="DAD41" s="261"/>
      <c r="DAE41" s="261"/>
      <c r="DAF41" s="261"/>
      <c r="DAG41" s="261"/>
      <c r="DAH41" s="261"/>
      <c r="DAI41" s="261"/>
      <c r="DAJ41" s="261"/>
      <c r="DAK41" s="261"/>
      <c r="DAL41" s="261"/>
      <c r="DAM41" s="261"/>
      <c r="DAN41" s="261"/>
      <c r="DAO41" s="261"/>
      <c r="DAP41" s="261"/>
      <c r="DAQ41" s="261"/>
      <c r="DAR41" s="261"/>
      <c r="DAS41" s="261"/>
      <c r="DAT41" s="261"/>
      <c r="DAU41" s="261"/>
      <c r="DAV41" s="261"/>
      <c r="DAW41" s="261"/>
      <c r="DAX41" s="261"/>
      <c r="DAY41" s="261"/>
      <c r="DAZ41" s="261"/>
      <c r="DBA41" s="261"/>
      <c r="DBB41" s="261"/>
      <c r="DBC41" s="261"/>
      <c r="DBD41" s="261"/>
      <c r="DBE41" s="261"/>
      <c r="DBF41" s="261"/>
      <c r="DBG41" s="261"/>
      <c r="DBH41" s="261"/>
      <c r="DBI41" s="261"/>
      <c r="DBJ41" s="261"/>
      <c r="DBK41" s="261"/>
      <c r="DBL41" s="261"/>
      <c r="DBM41" s="261"/>
      <c r="DBN41" s="261"/>
      <c r="DBO41" s="261"/>
      <c r="DBP41" s="261"/>
      <c r="DBQ41" s="261"/>
      <c r="DBR41" s="261"/>
      <c r="DBS41" s="261"/>
      <c r="DBT41" s="261"/>
      <c r="DBU41" s="261"/>
      <c r="DBV41" s="261"/>
      <c r="DBW41" s="261"/>
      <c r="DBX41" s="261"/>
      <c r="DBY41" s="261"/>
      <c r="DBZ41" s="261"/>
      <c r="DCA41" s="261"/>
      <c r="DCB41" s="261"/>
      <c r="DCC41" s="261"/>
      <c r="DCD41" s="261"/>
      <c r="DCE41" s="261"/>
      <c r="DCF41" s="261"/>
      <c r="DCG41" s="261"/>
      <c r="DCH41" s="261"/>
      <c r="DCI41" s="261"/>
      <c r="DCJ41" s="261"/>
      <c r="DCK41" s="261"/>
      <c r="DCL41" s="261"/>
      <c r="DCM41" s="261"/>
      <c r="DCN41" s="261"/>
      <c r="DCO41" s="261"/>
      <c r="DCP41" s="261"/>
      <c r="DCQ41" s="261"/>
      <c r="DCR41" s="261"/>
      <c r="DCS41" s="261"/>
      <c r="DCT41" s="261"/>
      <c r="DCU41" s="261"/>
      <c r="DCV41" s="261"/>
      <c r="DCW41" s="261"/>
      <c r="DCX41" s="261"/>
      <c r="DCY41" s="261"/>
      <c r="DCZ41" s="261"/>
      <c r="DDA41" s="261"/>
      <c r="DDB41" s="261"/>
      <c r="DDC41" s="261"/>
      <c r="DDD41" s="261"/>
      <c r="DDE41" s="261"/>
      <c r="DDF41" s="261"/>
      <c r="DDG41" s="261"/>
      <c r="DDH41" s="261"/>
      <c r="DDI41" s="261"/>
      <c r="DDJ41" s="261"/>
      <c r="DDK41" s="261"/>
      <c r="DDL41" s="261"/>
      <c r="DDM41" s="261"/>
      <c r="DDN41" s="261"/>
      <c r="DDO41" s="261"/>
      <c r="DDP41" s="261"/>
      <c r="DDQ41" s="261"/>
      <c r="DDR41" s="261"/>
      <c r="DDS41" s="261"/>
      <c r="DDT41" s="261"/>
      <c r="DDU41" s="261"/>
      <c r="DDV41" s="261"/>
      <c r="DDW41" s="261"/>
      <c r="DDX41" s="261"/>
      <c r="DDY41" s="261"/>
      <c r="DDZ41" s="261"/>
      <c r="DEA41" s="261"/>
      <c r="DEB41" s="261"/>
      <c r="DEC41" s="261"/>
      <c r="DED41" s="261"/>
      <c r="DEE41" s="261"/>
      <c r="DEF41" s="261"/>
      <c r="DEG41" s="261"/>
      <c r="DEH41" s="261"/>
      <c r="DEI41" s="261"/>
      <c r="DEJ41" s="261"/>
      <c r="DEK41" s="261"/>
      <c r="DEL41" s="261"/>
      <c r="DEM41" s="261"/>
      <c r="DEN41" s="261"/>
      <c r="DEO41" s="261"/>
      <c r="DEP41" s="261"/>
      <c r="DEQ41" s="261"/>
      <c r="DER41" s="261"/>
      <c r="DES41" s="261"/>
      <c r="DET41" s="261"/>
      <c r="DEU41" s="261"/>
      <c r="DEV41" s="261"/>
      <c r="DEW41" s="261"/>
      <c r="DEX41" s="261"/>
      <c r="DEY41" s="261"/>
      <c r="DEZ41" s="261"/>
      <c r="DFA41" s="261"/>
      <c r="DFB41" s="261"/>
      <c r="DFC41" s="261"/>
      <c r="DFD41" s="261"/>
      <c r="DFE41" s="261"/>
      <c r="DFF41" s="261"/>
      <c r="DFG41" s="261"/>
      <c r="DFH41" s="261"/>
      <c r="DFI41" s="261"/>
      <c r="DFJ41" s="261"/>
      <c r="DFK41" s="261"/>
      <c r="DFL41" s="261"/>
      <c r="DFM41" s="261"/>
      <c r="DFN41" s="261"/>
      <c r="DFO41" s="261"/>
      <c r="DFP41" s="261"/>
      <c r="DFQ41" s="261"/>
      <c r="DFR41" s="261"/>
      <c r="DFS41" s="261"/>
      <c r="DFT41" s="261"/>
      <c r="DFU41" s="261"/>
      <c r="DFV41" s="261"/>
      <c r="DFW41" s="261"/>
      <c r="DFX41" s="261"/>
      <c r="DFY41" s="261"/>
      <c r="DFZ41" s="261"/>
      <c r="DGA41" s="261"/>
      <c r="DGB41" s="261"/>
      <c r="DGC41" s="261"/>
      <c r="DGD41" s="261"/>
      <c r="DGE41" s="261"/>
      <c r="DGF41" s="261"/>
      <c r="DGG41" s="261"/>
      <c r="DGH41" s="261"/>
      <c r="DGI41" s="261"/>
      <c r="DGJ41" s="261"/>
      <c r="DGK41" s="261"/>
      <c r="DGL41" s="261"/>
      <c r="DGM41" s="261"/>
      <c r="DGN41" s="261"/>
      <c r="DGO41" s="261"/>
      <c r="DGP41" s="261"/>
      <c r="DGQ41" s="261"/>
      <c r="DGR41" s="261"/>
      <c r="DGS41" s="261"/>
      <c r="DGT41" s="261"/>
      <c r="DGU41" s="261"/>
      <c r="DGV41" s="261"/>
      <c r="DGW41" s="261"/>
      <c r="DGX41" s="261"/>
      <c r="DGY41" s="261"/>
      <c r="DGZ41" s="261"/>
      <c r="DHA41" s="261"/>
      <c r="DHB41" s="261"/>
      <c r="DHC41" s="261"/>
      <c r="DHD41" s="261"/>
      <c r="DHE41" s="261"/>
      <c r="DHF41" s="261"/>
      <c r="DHG41" s="261"/>
      <c r="DHH41" s="261"/>
      <c r="DHI41" s="261"/>
      <c r="DHJ41" s="261"/>
      <c r="DHK41" s="261"/>
      <c r="DHL41" s="261"/>
      <c r="DHM41" s="261"/>
      <c r="DHN41" s="261"/>
      <c r="DHO41" s="261"/>
      <c r="DHP41" s="261"/>
      <c r="DHQ41" s="261"/>
      <c r="DHR41" s="261"/>
      <c r="DHS41" s="261"/>
      <c r="DHT41" s="261"/>
      <c r="DHU41" s="261"/>
      <c r="DHV41" s="261"/>
      <c r="DHW41" s="261"/>
      <c r="DHX41" s="261"/>
      <c r="DHY41" s="261"/>
      <c r="DHZ41" s="261"/>
      <c r="DIA41" s="261"/>
      <c r="DIB41" s="261"/>
      <c r="DIC41" s="261"/>
      <c r="DID41" s="261"/>
      <c r="DIE41" s="261"/>
      <c r="DIF41" s="261"/>
      <c r="DIG41" s="261"/>
      <c r="DIH41" s="261"/>
      <c r="DII41" s="261"/>
      <c r="DIJ41" s="261"/>
      <c r="DIK41" s="261"/>
      <c r="DIL41" s="261"/>
      <c r="DIM41" s="261"/>
      <c r="DIN41" s="261"/>
      <c r="DIO41" s="261"/>
      <c r="DIP41" s="261"/>
      <c r="DIQ41" s="261"/>
      <c r="DIR41" s="261"/>
      <c r="DIS41" s="261"/>
      <c r="DIT41" s="261"/>
      <c r="DIU41" s="261"/>
      <c r="DIV41" s="261"/>
      <c r="DIW41" s="261"/>
      <c r="DIX41" s="261"/>
      <c r="DIY41" s="261"/>
      <c r="DIZ41" s="261"/>
      <c r="DJA41" s="261"/>
      <c r="DJB41" s="261"/>
      <c r="DJC41" s="261"/>
      <c r="DJD41" s="261"/>
      <c r="DJE41" s="261"/>
      <c r="DJF41" s="261"/>
      <c r="DJG41" s="261"/>
      <c r="DJH41" s="261"/>
      <c r="DJI41" s="261"/>
      <c r="DJJ41" s="261"/>
      <c r="DJK41" s="261"/>
      <c r="DJL41" s="261"/>
      <c r="DJM41" s="261"/>
      <c r="DJN41" s="261"/>
      <c r="DJO41" s="261"/>
      <c r="DJP41" s="261"/>
      <c r="DJQ41" s="261"/>
      <c r="DJR41" s="261"/>
      <c r="DJS41" s="261"/>
      <c r="DJT41" s="261"/>
      <c r="DJU41" s="261"/>
      <c r="DJV41" s="261"/>
      <c r="DJW41" s="261"/>
      <c r="DJX41" s="261"/>
      <c r="DJY41" s="261"/>
      <c r="DJZ41" s="261"/>
      <c r="DKA41" s="261"/>
      <c r="DKB41" s="261"/>
      <c r="DKC41" s="261"/>
      <c r="DKD41" s="261"/>
      <c r="DKE41" s="261"/>
      <c r="DKF41" s="261"/>
      <c r="DKG41" s="261"/>
      <c r="DKH41" s="261"/>
      <c r="DKI41" s="261"/>
      <c r="DKJ41" s="261"/>
      <c r="DKK41" s="261"/>
      <c r="DKL41" s="261"/>
      <c r="DKM41" s="261"/>
      <c r="DKN41" s="261"/>
      <c r="DKO41" s="261"/>
      <c r="DKP41" s="261"/>
      <c r="DKQ41" s="261"/>
      <c r="DKR41" s="261"/>
      <c r="DKS41" s="261"/>
      <c r="DKT41" s="261"/>
      <c r="DKU41" s="261"/>
      <c r="DKV41" s="261"/>
      <c r="DKW41" s="261"/>
      <c r="DKX41" s="261"/>
      <c r="DKY41" s="261"/>
      <c r="DKZ41" s="261"/>
      <c r="DLA41" s="261"/>
      <c r="DLB41" s="261"/>
      <c r="DLC41" s="261"/>
      <c r="DLD41" s="261"/>
      <c r="DLE41" s="261"/>
      <c r="DLF41" s="261"/>
      <c r="DLG41" s="261"/>
      <c r="DLH41" s="261"/>
      <c r="DLI41" s="261"/>
      <c r="DLJ41" s="261"/>
      <c r="DLK41" s="261"/>
      <c r="DLL41" s="261"/>
      <c r="DLM41" s="261"/>
      <c r="DLN41" s="261"/>
      <c r="DLO41" s="261"/>
      <c r="DLP41" s="261"/>
      <c r="DLQ41" s="261"/>
      <c r="DLR41" s="261"/>
      <c r="DLS41" s="261"/>
      <c r="DLT41" s="261"/>
      <c r="DLU41" s="261"/>
      <c r="DLV41" s="261"/>
      <c r="DLW41" s="261"/>
      <c r="DLX41" s="261"/>
      <c r="DLY41" s="261"/>
      <c r="DLZ41" s="261"/>
      <c r="DMA41" s="261"/>
      <c r="DMB41" s="261"/>
      <c r="DMC41" s="261"/>
      <c r="DMD41" s="261"/>
      <c r="DME41" s="261"/>
      <c r="DMF41" s="261"/>
      <c r="DMG41" s="261"/>
      <c r="DMH41" s="261"/>
      <c r="DMI41" s="261"/>
      <c r="DMJ41" s="261"/>
      <c r="DMK41" s="261"/>
      <c r="DML41" s="261"/>
      <c r="DMM41" s="261"/>
      <c r="DMN41" s="261"/>
      <c r="DMO41" s="261"/>
      <c r="DMP41" s="261"/>
      <c r="DMQ41" s="261"/>
      <c r="DMR41" s="261"/>
      <c r="DMS41" s="261"/>
      <c r="DMT41" s="261"/>
      <c r="DMU41" s="261"/>
      <c r="DMV41" s="261"/>
      <c r="DMW41" s="261"/>
      <c r="DMX41" s="261"/>
      <c r="DMY41" s="261"/>
      <c r="DMZ41" s="261"/>
      <c r="DNA41" s="261"/>
      <c r="DNB41" s="261"/>
      <c r="DNC41" s="261"/>
      <c r="DND41" s="261"/>
      <c r="DNE41" s="261"/>
      <c r="DNF41" s="261"/>
      <c r="DNG41" s="261"/>
      <c r="DNH41" s="261"/>
      <c r="DNI41" s="261"/>
      <c r="DNJ41" s="261"/>
      <c r="DNK41" s="261"/>
      <c r="DNL41" s="261"/>
      <c r="DNM41" s="261"/>
      <c r="DNN41" s="261"/>
      <c r="DNO41" s="261"/>
      <c r="DNP41" s="261"/>
      <c r="DNQ41" s="261"/>
      <c r="DNR41" s="261"/>
      <c r="DNS41" s="261"/>
      <c r="DNT41" s="261"/>
      <c r="DNU41" s="261"/>
      <c r="DNV41" s="261"/>
      <c r="DNW41" s="261"/>
      <c r="DNX41" s="261"/>
      <c r="DNY41" s="261"/>
      <c r="DNZ41" s="261"/>
      <c r="DOA41" s="261"/>
      <c r="DOB41" s="261"/>
      <c r="DOC41" s="261"/>
      <c r="DOD41" s="261"/>
      <c r="DOE41" s="261"/>
      <c r="DOF41" s="261"/>
      <c r="DOG41" s="261"/>
      <c r="DOH41" s="261"/>
      <c r="DOI41" s="261"/>
      <c r="DOJ41" s="261"/>
      <c r="DOK41" s="261"/>
      <c r="DOL41" s="261"/>
      <c r="DOM41" s="261"/>
      <c r="DON41" s="261"/>
      <c r="DOO41" s="261"/>
      <c r="DOP41" s="261"/>
      <c r="DOQ41" s="261"/>
      <c r="DOR41" s="261"/>
      <c r="DOS41" s="261"/>
      <c r="DOT41" s="261"/>
      <c r="DOU41" s="261"/>
      <c r="DOV41" s="261"/>
      <c r="DOW41" s="261"/>
      <c r="DOX41" s="261"/>
      <c r="DOY41" s="261"/>
      <c r="DOZ41" s="261"/>
      <c r="DPA41" s="261"/>
      <c r="DPB41" s="261"/>
      <c r="DPC41" s="261"/>
      <c r="DPD41" s="261"/>
      <c r="DPE41" s="261"/>
      <c r="DPF41" s="261"/>
      <c r="DPG41" s="261"/>
      <c r="DPH41" s="261"/>
      <c r="DPI41" s="261"/>
      <c r="DPJ41" s="261"/>
      <c r="DPK41" s="261"/>
      <c r="DPL41" s="261"/>
      <c r="DPM41" s="261"/>
      <c r="DPN41" s="261"/>
      <c r="DPO41" s="261"/>
      <c r="DPP41" s="261"/>
      <c r="DPQ41" s="261"/>
      <c r="DPR41" s="261"/>
      <c r="DPS41" s="261"/>
      <c r="DPT41" s="261"/>
      <c r="DPU41" s="261"/>
      <c r="DPV41" s="261"/>
      <c r="DPW41" s="261"/>
      <c r="DPX41" s="261"/>
      <c r="DPY41" s="261"/>
      <c r="DPZ41" s="261"/>
      <c r="DQA41" s="261"/>
      <c r="DQB41" s="261"/>
      <c r="DQC41" s="261"/>
      <c r="DQD41" s="261"/>
      <c r="DQE41" s="261"/>
      <c r="DQF41" s="261"/>
      <c r="DQG41" s="261"/>
      <c r="DQH41" s="261"/>
      <c r="DQI41" s="261"/>
      <c r="DQJ41" s="261"/>
      <c r="DQK41" s="261"/>
      <c r="DQL41" s="261"/>
      <c r="DQM41" s="261"/>
      <c r="DQN41" s="261"/>
      <c r="DQO41" s="261"/>
      <c r="DQP41" s="261"/>
      <c r="DQQ41" s="261"/>
      <c r="DQR41" s="261"/>
      <c r="DQS41" s="261"/>
      <c r="DQT41" s="261"/>
      <c r="DQU41" s="261"/>
      <c r="DQV41" s="261"/>
      <c r="DQW41" s="261"/>
      <c r="DQX41" s="261"/>
      <c r="DQY41" s="261"/>
      <c r="DQZ41" s="261"/>
      <c r="DRA41" s="261"/>
      <c r="DRB41" s="261"/>
      <c r="DRC41" s="261"/>
      <c r="DRD41" s="261"/>
      <c r="DRE41" s="261"/>
      <c r="DRF41" s="261"/>
      <c r="DRG41" s="261"/>
      <c r="DRH41" s="261"/>
      <c r="DRI41" s="261"/>
      <c r="DRJ41" s="261"/>
      <c r="DRK41" s="261"/>
      <c r="DRL41" s="261"/>
      <c r="DRM41" s="261"/>
      <c r="DRN41" s="261"/>
      <c r="DRO41" s="261"/>
      <c r="DRP41" s="261"/>
      <c r="DRQ41" s="261"/>
      <c r="DRR41" s="261"/>
      <c r="DRS41" s="261"/>
      <c r="DRT41" s="261"/>
      <c r="DRU41" s="261"/>
      <c r="DRV41" s="261"/>
      <c r="DRW41" s="261"/>
      <c r="DRX41" s="261"/>
      <c r="DRY41" s="261"/>
      <c r="DRZ41" s="261"/>
      <c r="DSA41" s="261"/>
      <c r="DSB41" s="261"/>
      <c r="DSC41" s="261"/>
      <c r="DSD41" s="261"/>
      <c r="DSE41" s="261"/>
      <c r="DSF41" s="261"/>
      <c r="DSG41" s="261"/>
      <c r="DSH41" s="261"/>
      <c r="DSI41" s="261"/>
      <c r="DSJ41" s="261"/>
      <c r="DSK41" s="261"/>
      <c r="DSL41" s="261"/>
      <c r="DSM41" s="261"/>
      <c r="DSN41" s="261"/>
      <c r="DSO41" s="261"/>
      <c r="DSP41" s="261"/>
      <c r="DSQ41" s="261"/>
      <c r="DSR41" s="261"/>
      <c r="DSS41" s="261"/>
      <c r="DST41" s="261"/>
      <c r="DSU41" s="261"/>
      <c r="DSV41" s="261"/>
      <c r="DSW41" s="261"/>
      <c r="DSX41" s="261"/>
      <c r="DSY41" s="261"/>
      <c r="DSZ41" s="261"/>
      <c r="DTA41" s="261"/>
      <c r="DTB41" s="261"/>
      <c r="DTC41" s="261"/>
      <c r="DTD41" s="261"/>
      <c r="DTE41" s="261"/>
      <c r="DTF41" s="261"/>
      <c r="DTG41" s="261"/>
      <c r="DTH41" s="261"/>
      <c r="DTI41" s="261"/>
      <c r="DTJ41" s="261"/>
      <c r="DTK41" s="261"/>
      <c r="DTL41" s="261"/>
      <c r="DTM41" s="261"/>
      <c r="DTN41" s="261"/>
      <c r="DTO41" s="261"/>
      <c r="DTP41" s="261"/>
      <c r="DTQ41" s="261"/>
      <c r="DTR41" s="261"/>
      <c r="DTS41" s="261"/>
      <c r="DTT41" s="261"/>
      <c r="DTU41" s="261"/>
      <c r="DTV41" s="261"/>
      <c r="DTW41" s="261"/>
      <c r="DTX41" s="261"/>
      <c r="DTY41" s="261"/>
      <c r="DTZ41" s="261"/>
      <c r="DUA41" s="261"/>
      <c r="DUB41" s="261"/>
      <c r="DUC41" s="261"/>
      <c r="DUD41" s="261"/>
      <c r="DUE41" s="261"/>
      <c r="DUF41" s="261"/>
      <c r="DUG41" s="261"/>
      <c r="DUH41" s="261"/>
      <c r="DUI41" s="261"/>
      <c r="DUJ41" s="261"/>
      <c r="DUK41" s="261"/>
      <c r="DUL41" s="261"/>
      <c r="DUM41" s="261"/>
      <c r="DUN41" s="261"/>
      <c r="DUO41" s="261"/>
      <c r="DUP41" s="261"/>
      <c r="DUQ41" s="261"/>
      <c r="DUR41" s="261"/>
      <c r="DUS41" s="261"/>
      <c r="DUT41" s="261"/>
      <c r="DUU41" s="261"/>
      <c r="DUV41" s="261"/>
      <c r="DUW41" s="261"/>
      <c r="DUX41" s="261"/>
      <c r="DUY41" s="261"/>
      <c r="DUZ41" s="261"/>
      <c r="DVA41" s="261"/>
      <c r="DVB41" s="261"/>
      <c r="DVC41" s="261"/>
      <c r="DVD41" s="261"/>
      <c r="DVE41" s="261"/>
      <c r="DVF41" s="261"/>
      <c r="DVG41" s="261"/>
      <c r="DVH41" s="261"/>
      <c r="DVI41" s="261"/>
      <c r="DVJ41" s="261"/>
      <c r="DVK41" s="261"/>
      <c r="DVL41" s="261"/>
      <c r="DVM41" s="261"/>
      <c r="DVN41" s="261"/>
      <c r="DVO41" s="261"/>
      <c r="DVP41" s="261"/>
      <c r="DVQ41" s="261"/>
      <c r="DVR41" s="261"/>
      <c r="DVS41" s="261"/>
      <c r="DVT41" s="261"/>
      <c r="DVU41" s="261"/>
      <c r="DVV41" s="261"/>
      <c r="DVW41" s="261"/>
      <c r="DVX41" s="261"/>
      <c r="DVY41" s="261"/>
      <c r="DVZ41" s="261"/>
      <c r="DWA41" s="261"/>
      <c r="DWB41" s="261"/>
      <c r="DWC41" s="261"/>
      <c r="DWD41" s="261"/>
      <c r="DWE41" s="261"/>
      <c r="DWF41" s="261"/>
      <c r="DWG41" s="261"/>
      <c r="DWH41" s="261"/>
      <c r="DWI41" s="261"/>
      <c r="DWJ41" s="261"/>
      <c r="DWK41" s="261"/>
      <c r="DWL41" s="261"/>
      <c r="DWM41" s="261"/>
      <c r="DWN41" s="261"/>
      <c r="DWO41" s="261"/>
      <c r="DWP41" s="261"/>
      <c r="DWQ41" s="261"/>
      <c r="DWR41" s="261"/>
      <c r="DWS41" s="261"/>
      <c r="DWT41" s="261"/>
      <c r="DWU41" s="261"/>
      <c r="DWV41" s="261"/>
      <c r="DWW41" s="261"/>
      <c r="DWX41" s="261"/>
      <c r="DWY41" s="261"/>
      <c r="DWZ41" s="261"/>
      <c r="DXA41" s="261"/>
      <c r="DXB41" s="261"/>
      <c r="DXC41" s="261"/>
      <c r="DXD41" s="261"/>
      <c r="DXE41" s="261"/>
      <c r="DXF41" s="261"/>
      <c r="DXG41" s="261"/>
      <c r="DXH41" s="261"/>
      <c r="DXI41" s="261"/>
      <c r="DXJ41" s="261"/>
      <c r="DXK41" s="261"/>
      <c r="DXL41" s="261"/>
      <c r="DXM41" s="261"/>
      <c r="DXN41" s="261"/>
      <c r="DXO41" s="261"/>
      <c r="DXP41" s="261"/>
      <c r="DXQ41" s="261"/>
      <c r="DXR41" s="261"/>
      <c r="DXS41" s="261"/>
      <c r="DXT41" s="261"/>
      <c r="DXU41" s="261"/>
      <c r="DXV41" s="261"/>
      <c r="DXW41" s="261"/>
      <c r="DXX41" s="261"/>
      <c r="DXY41" s="261"/>
      <c r="DXZ41" s="261"/>
      <c r="DYA41" s="261"/>
      <c r="DYB41" s="261"/>
      <c r="DYC41" s="261"/>
      <c r="DYD41" s="261"/>
      <c r="DYE41" s="261"/>
      <c r="DYF41" s="261"/>
      <c r="DYG41" s="261"/>
      <c r="DYH41" s="261"/>
      <c r="DYI41" s="261"/>
      <c r="DYJ41" s="261"/>
      <c r="DYK41" s="261"/>
      <c r="DYL41" s="261"/>
      <c r="DYM41" s="261"/>
      <c r="DYN41" s="261"/>
      <c r="DYO41" s="261"/>
      <c r="DYP41" s="261"/>
      <c r="DYQ41" s="261"/>
      <c r="DYR41" s="261"/>
      <c r="DYS41" s="261"/>
      <c r="DYT41" s="261"/>
      <c r="DYU41" s="261"/>
      <c r="DYV41" s="261"/>
      <c r="DYW41" s="261"/>
      <c r="DYX41" s="261"/>
      <c r="DYY41" s="261"/>
      <c r="DYZ41" s="261"/>
      <c r="DZA41" s="261"/>
      <c r="DZB41" s="261"/>
      <c r="DZC41" s="261"/>
      <c r="DZD41" s="261"/>
      <c r="DZE41" s="261"/>
      <c r="DZF41" s="261"/>
      <c r="DZG41" s="261"/>
      <c r="DZH41" s="261"/>
      <c r="DZI41" s="261"/>
      <c r="DZJ41" s="261"/>
      <c r="DZK41" s="261"/>
      <c r="DZL41" s="261"/>
      <c r="DZM41" s="261"/>
      <c r="DZN41" s="261"/>
      <c r="DZO41" s="261"/>
      <c r="DZP41" s="261"/>
      <c r="DZQ41" s="261"/>
      <c r="DZR41" s="261"/>
      <c r="DZS41" s="261"/>
      <c r="DZT41" s="261"/>
      <c r="DZU41" s="261"/>
      <c r="DZV41" s="261"/>
      <c r="DZW41" s="261"/>
      <c r="DZX41" s="261"/>
      <c r="DZY41" s="261"/>
      <c r="DZZ41" s="261"/>
      <c r="EAA41" s="261"/>
      <c r="EAB41" s="261"/>
      <c r="EAC41" s="261"/>
      <c r="EAD41" s="261"/>
      <c r="EAE41" s="261"/>
      <c r="EAF41" s="261"/>
      <c r="EAG41" s="261"/>
      <c r="EAH41" s="261"/>
      <c r="EAI41" s="261"/>
      <c r="EAJ41" s="261"/>
      <c r="EAK41" s="261"/>
      <c r="EAL41" s="261"/>
      <c r="EAM41" s="261"/>
      <c r="EAN41" s="261"/>
      <c r="EAO41" s="261"/>
      <c r="EAP41" s="261"/>
      <c r="EAQ41" s="261"/>
      <c r="EAR41" s="261"/>
      <c r="EAS41" s="261"/>
      <c r="EAT41" s="261"/>
      <c r="EAU41" s="261"/>
      <c r="EAV41" s="261"/>
      <c r="EAW41" s="261"/>
      <c r="EAX41" s="261"/>
      <c r="EAY41" s="261"/>
      <c r="EAZ41" s="261"/>
      <c r="EBA41" s="261"/>
      <c r="EBB41" s="261"/>
      <c r="EBC41" s="261"/>
      <c r="EBD41" s="261"/>
      <c r="EBE41" s="261"/>
      <c r="EBF41" s="261"/>
      <c r="EBG41" s="261"/>
      <c r="EBH41" s="261"/>
      <c r="EBI41" s="261"/>
      <c r="EBJ41" s="261"/>
      <c r="EBK41" s="261"/>
      <c r="EBL41" s="261"/>
      <c r="EBM41" s="261"/>
      <c r="EBN41" s="261"/>
      <c r="EBO41" s="261"/>
      <c r="EBP41" s="261"/>
      <c r="EBQ41" s="261"/>
      <c r="EBR41" s="261"/>
      <c r="EBS41" s="261"/>
      <c r="EBT41" s="261"/>
      <c r="EBU41" s="261"/>
      <c r="EBV41" s="261"/>
      <c r="EBW41" s="261"/>
      <c r="EBX41" s="261"/>
      <c r="EBY41" s="261"/>
      <c r="EBZ41" s="261"/>
      <c r="ECA41" s="261"/>
      <c r="ECB41" s="261"/>
      <c r="ECC41" s="261"/>
      <c r="ECD41" s="261"/>
      <c r="ECE41" s="261"/>
      <c r="ECF41" s="261"/>
      <c r="ECG41" s="261"/>
      <c r="ECH41" s="261"/>
      <c r="ECI41" s="261"/>
      <c r="ECJ41" s="261"/>
      <c r="ECK41" s="261"/>
      <c r="ECL41" s="261"/>
      <c r="ECM41" s="261"/>
      <c r="ECN41" s="261"/>
      <c r="ECO41" s="261"/>
      <c r="ECP41" s="261"/>
      <c r="ECQ41" s="261"/>
      <c r="ECR41" s="261"/>
      <c r="ECS41" s="261"/>
      <c r="ECT41" s="261"/>
      <c r="ECU41" s="261"/>
      <c r="ECV41" s="261"/>
      <c r="ECW41" s="261"/>
      <c r="ECX41" s="261"/>
      <c r="ECY41" s="261"/>
      <c r="ECZ41" s="261"/>
      <c r="EDA41" s="261"/>
      <c r="EDB41" s="261"/>
      <c r="EDC41" s="261"/>
      <c r="EDD41" s="261"/>
      <c r="EDE41" s="261"/>
      <c r="EDF41" s="261"/>
      <c r="EDG41" s="261"/>
      <c r="EDH41" s="261"/>
      <c r="EDI41" s="261"/>
      <c r="EDJ41" s="261"/>
      <c r="EDK41" s="261"/>
      <c r="EDL41" s="261"/>
      <c r="EDM41" s="261"/>
      <c r="EDN41" s="261"/>
      <c r="EDO41" s="261"/>
      <c r="EDP41" s="261"/>
      <c r="EDQ41" s="261"/>
      <c r="EDR41" s="261"/>
      <c r="EDS41" s="261"/>
      <c r="EDT41" s="261"/>
      <c r="EDU41" s="261"/>
      <c r="EDV41" s="261"/>
      <c r="EDW41" s="261"/>
      <c r="EDX41" s="261"/>
      <c r="EDY41" s="261"/>
      <c r="EDZ41" s="261"/>
      <c r="EEA41" s="261"/>
      <c r="EEB41" s="261"/>
      <c r="EEC41" s="261"/>
      <c r="EED41" s="261"/>
      <c r="EEE41" s="261"/>
      <c r="EEF41" s="261"/>
      <c r="EEG41" s="261"/>
      <c r="EEH41" s="261"/>
      <c r="EEI41" s="261"/>
      <c r="EEJ41" s="261"/>
      <c r="EEK41" s="261"/>
      <c r="EEL41" s="261"/>
      <c r="EEM41" s="261"/>
      <c r="EEN41" s="261"/>
      <c r="EEO41" s="261"/>
      <c r="EEP41" s="261"/>
      <c r="EEQ41" s="261"/>
      <c r="EER41" s="261"/>
      <c r="EES41" s="261"/>
      <c r="EET41" s="261"/>
      <c r="EEU41" s="261"/>
      <c r="EEV41" s="261"/>
      <c r="EEW41" s="261"/>
      <c r="EEX41" s="261"/>
      <c r="EEY41" s="261"/>
      <c r="EEZ41" s="261"/>
      <c r="EFA41" s="261"/>
      <c r="EFB41" s="261"/>
      <c r="EFC41" s="261"/>
      <c r="EFD41" s="261"/>
      <c r="EFE41" s="261"/>
      <c r="EFF41" s="261"/>
      <c r="EFG41" s="261"/>
      <c r="EFH41" s="261"/>
      <c r="EFI41" s="261"/>
      <c r="EFJ41" s="261"/>
      <c r="EFK41" s="261"/>
      <c r="EFL41" s="261"/>
      <c r="EFM41" s="261"/>
      <c r="EFN41" s="261"/>
      <c r="EFO41" s="261"/>
      <c r="EFP41" s="261"/>
      <c r="EFQ41" s="261"/>
      <c r="EFR41" s="261"/>
      <c r="EFS41" s="261"/>
      <c r="EFT41" s="261"/>
      <c r="EFU41" s="261"/>
      <c r="EFV41" s="261"/>
      <c r="EFW41" s="261"/>
      <c r="EFX41" s="261"/>
      <c r="EFY41" s="261"/>
      <c r="EFZ41" s="261"/>
      <c r="EGA41" s="261"/>
      <c r="EGB41" s="261"/>
      <c r="EGC41" s="261"/>
      <c r="EGD41" s="261"/>
      <c r="EGE41" s="261"/>
      <c r="EGF41" s="261"/>
      <c r="EGG41" s="261"/>
      <c r="EGH41" s="261"/>
      <c r="EGI41" s="261"/>
      <c r="EGJ41" s="261"/>
      <c r="EGK41" s="261"/>
      <c r="EGL41" s="261"/>
      <c r="EGM41" s="261"/>
      <c r="EGN41" s="261"/>
      <c r="EGO41" s="261"/>
      <c r="EGP41" s="261"/>
      <c r="EGQ41" s="261"/>
      <c r="EGR41" s="261"/>
      <c r="EGS41" s="261"/>
      <c r="EGT41" s="261"/>
      <c r="EGU41" s="261"/>
      <c r="EGV41" s="261"/>
      <c r="EGW41" s="261"/>
      <c r="EGX41" s="261"/>
      <c r="EGY41" s="261"/>
      <c r="EGZ41" s="261"/>
      <c r="EHA41" s="261"/>
      <c r="EHB41" s="261"/>
      <c r="EHC41" s="261"/>
      <c r="EHD41" s="261"/>
      <c r="EHE41" s="261"/>
      <c r="EHF41" s="261"/>
      <c r="EHG41" s="261"/>
      <c r="EHH41" s="261"/>
      <c r="EHI41" s="261"/>
      <c r="EHJ41" s="261"/>
      <c r="EHK41" s="261"/>
      <c r="EHL41" s="261"/>
      <c r="EHM41" s="261"/>
      <c r="EHN41" s="261"/>
      <c r="EHO41" s="261"/>
      <c r="EHP41" s="261"/>
      <c r="EHQ41" s="261"/>
      <c r="EHR41" s="261"/>
      <c r="EHS41" s="261"/>
      <c r="EHT41" s="261"/>
      <c r="EHU41" s="261"/>
      <c r="EHV41" s="261"/>
      <c r="EHW41" s="261"/>
      <c r="EHX41" s="261"/>
      <c r="EHY41" s="261"/>
      <c r="EHZ41" s="261"/>
      <c r="EIA41" s="261"/>
      <c r="EIB41" s="261"/>
      <c r="EIC41" s="261"/>
      <c r="EID41" s="261"/>
      <c r="EIE41" s="261"/>
      <c r="EIF41" s="261"/>
      <c r="EIG41" s="261"/>
      <c r="EIH41" s="261"/>
      <c r="EII41" s="261"/>
      <c r="EIJ41" s="261"/>
      <c r="EIK41" s="261"/>
      <c r="EIL41" s="261"/>
      <c r="EIM41" s="261"/>
      <c r="EIN41" s="261"/>
      <c r="EIO41" s="261"/>
      <c r="EIP41" s="261"/>
      <c r="EIQ41" s="261"/>
      <c r="EIR41" s="261"/>
      <c r="EIS41" s="261"/>
      <c r="EIT41" s="261"/>
      <c r="EIU41" s="261"/>
      <c r="EIV41" s="261"/>
      <c r="EIW41" s="261"/>
      <c r="EIX41" s="261"/>
      <c r="EIY41" s="261"/>
      <c r="EIZ41" s="261"/>
      <c r="EJA41" s="261"/>
      <c r="EJB41" s="261"/>
      <c r="EJC41" s="261"/>
      <c r="EJD41" s="261"/>
      <c r="EJE41" s="261"/>
      <c r="EJF41" s="261"/>
      <c r="EJG41" s="261"/>
      <c r="EJH41" s="261"/>
      <c r="EJI41" s="261"/>
      <c r="EJJ41" s="261"/>
      <c r="EJK41" s="261"/>
      <c r="EJL41" s="261"/>
      <c r="EJM41" s="261"/>
      <c r="EJN41" s="261"/>
      <c r="EJO41" s="261"/>
      <c r="EJP41" s="261"/>
      <c r="EJQ41" s="261"/>
      <c r="EJR41" s="261"/>
      <c r="EJS41" s="261"/>
      <c r="EJT41" s="261"/>
      <c r="EJU41" s="261"/>
      <c r="EJV41" s="261"/>
      <c r="EJW41" s="261"/>
      <c r="EJX41" s="261"/>
      <c r="EJY41" s="261"/>
      <c r="EJZ41" s="261"/>
      <c r="EKA41" s="261"/>
      <c r="EKB41" s="261"/>
      <c r="EKC41" s="261"/>
      <c r="EKD41" s="261"/>
      <c r="EKE41" s="261"/>
      <c r="EKF41" s="261"/>
      <c r="EKG41" s="261"/>
      <c r="EKH41" s="261"/>
      <c r="EKI41" s="261"/>
      <c r="EKJ41" s="261"/>
      <c r="EKK41" s="261"/>
      <c r="EKL41" s="261"/>
      <c r="EKM41" s="261"/>
      <c r="EKN41" s="261"/>
      <c r="EKO41" s="261"/>
      <c r="EKP41" s="261"/>
      <c r="EKQ41" s="261"/>
      <c r="EKR41" s="261"/>
      <c r="EKS41" s="261"/>
      <c r="EKT41" s="261"/>
      <c r="EKU41" s="261"/>
      <c r="EKV41" s="261"/>
      <c r="EKW41" s="261"/>
      <c r="EKX41" s="261"/>
      <c r="EKY41" s="261"/>
      <c r="EKZ41" s="261"/>
      <c r="ELA41" s="261"/>
      <c r="ELB41" s="261"/>
      <c r="ELC41" s="261"/>
      <c r="ELD41" s="261"/>
      <c r="ELE41" s="261"/>
      <c r="ELF41" s="261"/>
      <c r="ELG41" s="261"/>
      <c r="ELH41" s="261"/>
      <c r="ELI41" s="261"/>
      <c r="ELJ41" s="261"/>
      <c r="ELK41" s="261"/>
      <c r="ELL41" s="261"/>
      <c r="ELM41" s="261"/>
      <c r="ELN41" s="261"/>
      <c r="ELO41" s="261"/>
      <c r="ELP41" s="261"/>
      <c r="ELQ41" s="261"/>
      <c r="ELR41" s="261"/>
      <c r="ELS41" s="261"/>
      <c r="ELT41" s="261"/>
      <c r="ELU41" s="261"/>
      <c r="ELV41" s="261"/>
      <c r="ELW41" s="261"/>
      <c r="ELX41" s="261"/>
      <c r="ELY41" s="261"/>
      <c r="ELZ41" s="261"/>
      <c r="EMA41" s="261"/>
      <c r="EMB41" s="261"/>
      <c r="EMC41" s="261"/>
      <c r="EMD41" s="261"/>
      <c r="EME41" s="261"/>
      <c r="EMF41" s="261"/>
      <c r="EMG41" s="261"/>
      <c r="EMH41" s="261"/>
      <c r="EMI41" s="261"/>
      <c r="EMJ41" s="261"/>
      <c r="EMK41" s="261"/>
      <c r="EML41" s="261"/>
      <c r="EMM41" s="261"/>
      <c r="EMN41" s="261"/>
      <c r="EMO41" s="261"/>
      <c r="EMP41" s="261"/>
      <c r="EMQ41" s="261"/>
      <c r="EMR41" s="261"/>
      <c r="EMS41" s="261"/>
      <c r="EMT41" s="261"/>
      <c r="EMU41" s="261"/>
      <c r="EMV41" s="261"/>
      <c r="EMW41" s="261"/>
      <c r="EMX41" s="261"/>
      <c r="EMY41" s="261"/>
      <c r="EMZ41" s="261"/>
      <c r="ENA41" s="261"/>
      <c r="ENB41" s="261"/>
      <c r="ENC41" s="261"/>
      <c r="END41" s="261"/>
      <c r="ENE41" s="261"/>
      <c r="ENF41" s="261"/>
      <c r="ENG41" s="261"/>
      <c r="ENH41" s="261"/>
      <c r="ENI41" s="261"/>
      <c r="ENJ41" s="261"/>
      <c r="ENK41" s="261"/>
      <c r="ENL41" s="261"/>
      <c r="ENM41" s="261"/>
      <c r="ENN41" s="261"/>
      <c r="ENO41" s="261"/>
      <c r="ENP41" s="261"/>
      <c r="ENQ41" s="261"/>
      <c r="ENR41" s="261"/>
      <c r="ENS41" s="261"/>
      <c r="ENT41" s="261"/>
      <c r="ENU41" s="261"/>
      <c r="ENV41" s="261"/>
      <c r="ENW41" s="261"/>
      <c r="ENX41" s="261"/>
      <c r="ENY41" s="261"/>
      <c r="ENZ41" s="261"/>
      <c r="EOA41" s="261"/>
      <c r="EOB41" s="261"/>
      <c r="EOC41" s="261"/>
      <c r="EOD41" s="261"/>
      <c r="EOE41" s="261"/>
      <c r="EOF41" s="261"/>
      <c r="EOG41" s="261"/>
      <c r="EOH41" s="261"/>
      <c r="EOI41" s="261"/>
      <c r="EOJ41" s="261"/>
      <c r="EOK41" s="261"/>
      <c r="EOL41" s="261"/>
      <c r="EOM41" s="261"/>
      <c r="EON41" s="261"/>
      <c r="EOO41" s="261"/>
      <c r="EOP41" s="261"/>
      <c r="EOQ41" s="261"/>
      <c r="EOR41" s="261"/>
      <c r="EOS41" s="261"/>
      <c r="EOT41" s="261"/>
      <c r="EOU41" s="261"/>
      <c r="EOV41" s="261"/>
      <c r="EOW41" s="261"/>
      <c r="EOX41" s="261"/>
      <c r="EOY41" s="261"/>
      <c r="EOZ41" s="261"/>
      <c r="EPA41" s="261"/>
      <c r="EPB41" s="261"/>
      <c r="EPC41" s="261"/>
      <c r="EPD41" s="261"/>
      <c r="EPE41" s="261"/>
      <c r="EPF41" s="261"/>
      <c r="EPG41" s="261"/>
      <c r="EPH41" s="261"/>
      <c r="EPI41" s="261"/>
      <c r="EPJ41" s="261"/>
      <c r="EPK41" s="261"/>
      <c r="EPL41" s="261"/>
      <c r="EPM41" s="261"/>
      <c r="EPN41" s="261"/>
      <c r="EPO41" s="261"/>
      <c r="EPP41" s="261"/>
      <c r="EPQ41" s="261"/>
      <c r="EPR41" s="261"/>
      <c r="EPS41" s="261"/>
      <c r="EPT41" s="261"/>
      <c r="EPU41" s="261"/>
      <c r="EPV41" s="261"/>
      <c r="EPW41" s="261"/>
      <c r="EPX41" s="261"/>
      <c r="EPY41" s="261"/>
      <c r="EPZ41" s="261"/>
      <c r="EQA41" s="261"/>
      <c r="EQB41" s="261"/>
      <c r="EQC41" s="261"/>
      <c r="EQD41" s="261"/>
      <c r="EQE41" s="261"/>
      <c r="EQF41" s="261"/>
      <c r="EQG41" s="261"/>
      <c r="EQH41" s="261"/>
      <c r="EQI41" s="261"/>
      <c r="EQJ41" s="261"/>
      <c r="EQK41" s="261"/>
      <c r="EQL41" s="261"/>
      <c r="EQM41" s="261"/>
      <c r="EQN41" s="261"/>
      <c r="EQO41" s="261"/>
      <c r="EQP41" s="261"/>
      <c r="EQQ41" s="261"/>
      <c r="EQR41" s="261"/>
      <c r="EQS41" s="261"/>
      <c r="EQT41" s="261"/>
      <c r="EQU41" s="261"/>
      <c r="EQV41" s="261"/>
      <c r="EQW41" s="261"/>
      <c r="EQX41" s="261"/>
      <c r="EQY41" s="261"/>
      <c r="EQZ41" s="261"/>
      <c r="ERA41" s="261"/>
      <c r="ERB41" s="261"/>
      <c r="ERC41" s="261"/>
      <c r="ERD41" s="261"/>
      <c r="ERE41" s="261"/>
      <c r="ERF41" s="261"/>
      <c r="ERG41" s="261"/>
      <c r="ERH41" s="261"/>
      <c r="ERI41" s="261"/>
      <c r="ERJ41" s="261"/>
      <c r="ERK41" s="261"/>
      <c r="ERL41" s="261"/>
      <c r="ERM41" s="261"/>
      <c r="ERN41" s="261"/>
      <c r="ERO41" s="261"/>
      <c r="ERP41" s="261"/>
      <c r="ERQ41" s="261"/>
      <c r="ERR41" s="261"/>
      <c r="ERS41" s="261"/>
      <c r="ERT41" s="261"/>
      <c r="ERU41" s="261"/>
      <c r="ERV41" s="261"/>
      <c r="ERW41" s="261"/>
      <c r="ERX41" s="261"/>
      <c r="ERY41" s="261"/>
      <c r="ERZ41" s="261"/>
      <c r="ESA41" s="261"/>
      <c r="ESB41" s="261"/>
      <c r="ESC41" s="261"/>
      <c r="ESD41" s="261"/>
      <c r="ESE41" s="261"/>
      <c r="ESF41" s="261"/>
      <c r="ESG41" s="261"/>
      <c r="ESH41" s="261"/>
      <c r="ESI41" s="261"/>
      <c r="ESJ41" s="261"/>
      <c r="ESK41" s="261"/>
      <c r="ESL41" s="261"/>
      <c r="ESM41" s="261"/>
      <c r="ESN41" s="261"/>
      <c r="ESO41" s="261"/>
      <c r="ESP41" s="261"/>
      <c r="ESQ41" s="261"/>
      <c r="ESR41" s="261"/>
      <c r="ESS41" s="261"/>
      <c r="EST41" s="261"/>
      <c r="ESU41" s="261"/>
      <c r="ESV41" s="261"/>
      <c r="ESW41" s="261"/>
      <c r="ESX41" s="261"/>
      <c r="ESY41" s="261"/>
      <c r="ESZ41" s="261"/>
      <c r="ETA41" s="261"/>
      <c r="ETB41" s="261"/>
      <c r="ETC41" s="261"/>
      <c r="ETD41" s="261"/>
      <c r="ETE41" s="261"/>
      <c r="ETF41" s="261"/>
      <c r="ETG41" s="261"/>
      <c r="ETH41" s="261"/>
      <c r="ETI41" s="261"/>
      <c r="ETJ41" s="261"/>
      <c r="ETK41" s="261"/>
      <c r="ETL41" s="261"/>
      <c r="ETM41" s="261"/>
      <c r="ETN41" s="261"/>
      <c r="ETO41" s="261"/>
      <c r="ETP41" s="261"/>
      <c r="ETQ41" s="261"/>
      <c r="ETR41" s="261"/>
      <c r="ETS41" s="261"/>
      <c r="ETT41" s="261"/>
      <c r="ETU41" s="261"/>
      <c r="ETV41" s="261"/>
      <c r="ETW41" s="261"/>
      <c r="ETX41" s="261"/>
      <c r="ETY41" s="261"/>
      <c r="ETZ41" s="261"/>
      <c r="EUA41" s="261"/>
      <c r="EUB41" s="261"/>
      <c r="EUC41" s="261"/>
      <c r="EUD41" s="261"/>
      <c r="EUE41" s="261"/>
      <c r="EUF41" s="261"/>
      <c r="EUG41" s="261"/>
      <c r="EUH41" s="261"/>
      <c r="EUI41" s="261"/>
      <c r="EUJ41" s="261"/>
      <c r="EUK41" s="261"/>
      <c r="EUL41" s="261"/>
      <c r="EUM41" s="261"/>
      <c r="EUN41" s="261"/>
      <c r="EUO41" s="261"/>
      <c r="EUP41" s="261"/>
      <c r="EUQ41" s="261"/>
      <c r="EUR41" s="261"/>
      <c r="EUS41" s="261"/>
      <c r="EUT41" s="261"/>
      <c r="EUU41" s="261"/>
      <c r="EUV41" s="261"/>
      <c r="EUW41" s="261"/>
      <c r="EUX41" s="261"/>
      <c r="EUY41" s="261"/>
      <c r="EUZ41" s="261"/>
      <c r="EVA41" s="261"/>
      <c r="EVB41" s="261"/>
      <c r="EVC41" s="261"/>
      <c r="EVD41" s="261"/>
      <c r="EVE41" s="261"/>
      <c r="EVF41" s="261"/>
      <c r="EVG41" s="261"/>
      <c r="EVH41" s="261"/>
      <c r="EVI41" s="261"/>
      <c r="EVJ41" s="261"/>
      <c r="EVK41" s="261"/>
      <c r="EVL41" s="261"/>
      <c r="EVM41" s="261"/>
      <c r="EVN41" s="261"/>
      <c r="EVO41" s="261"/>
      <c r="EVP41" s="261"/>
      <c r="EVQ41" s="261"/>
      <c r="EVR41" s="261"/>
      <c r="EVS41" s="261"/>
      <c r="EVT41" s="261"/>
      <c r="EVU41" s="261"/>
      <c r="EVV41" s="261"/>
      <c r="EVW41" s="261"/>
      <c r="EVX41" s="261"/>
      <c r="EVY41" s="261"/>
      <c r="EVZ41" s="261"/>
      <c r="EWA41" s="261"/>
      <c r="EWB41" s="261"/>
      <c r="EWC41" s="261"/>
      <c r="EWD41" s="261"/>
      <c r="EWE41" s="261"/>
      <c r="EWF41" s="261"/>
      <c r="EWG41" s="261"/>
      <c r="EWH41" s="261"/>
      <c r="EWI41" s="261"/>
      <c r="EWJ41" s="261"/>
      <c r="EWK41" s="261"/>
      <c r="EWL41" s="261"/>
      <c r="EWM41" s="261"/>
      <c r="EWN41" s="261"/>
      <c r="EWO41" s="261"/>
      <c r="EWP41" s="261"/>
      <c r="EWQ41" s="261"/>
      <c r="EWR41" s="261"/>
      <c r="EWS41" s="261"/>
      <c r="EWT41" s="261"/>
      <c r="EWU41" s="261"/>
      <c r="EWV41" s="261"/>
      <c r="EWW41" s="261"/>
      <c r="EWX41" s="261"/>
      <c r="EWY41" s="261"/>
      <c r="EWZ41" s="261"/>
      <c r="EXA41" s="261"/>
      <c r="EXB41" s="261"/>
      <c r="EXC41" s="261"/>
      <c r="EXD41" s="261"/>
      <c r="EXE41" s="261"/>
      <c r="EXF41" s="261"/>
      <c r="EXG41" s="261"/>
      <c r="EXH41" s="261"/>
      <c r="EXI41" s="261"/>
      <c r="EXJ41" s="261"/>
      <c r="EXK41" s="261"/>
      <c r="EXL41" s="261"/>
      <c r="EXM41" s="261"/>
      <c r="EXN41" s="261"/>
      <c r="EXO41" s="261"/>
      <c r="EXP41" s="261"/>
      <c r="EXQ41" s="261"/>
      <c r="EXR41" s="261"/>
      <c r="EXS41" s="261"/>
      <c r="EXT41" s="261"/>
      <c r="EXU41" s="261"/>
      <c r="EXV41" s="261"/>
      <c r="EXW41" s="261"/>
      <c r="EXX41" s="261"/>
      <c r="EXY41" s="261"/>
      <c r="EXZ41" s="261"/>
      <c r="EYA41" s="261"/>
      <c r="EYB41" s="261"/>
      <c r="EYC41" s="261"/>
      <c r="EYD41" s="261"/>
      <c r="EYE41" s="261"/>
      <c r="EYF41" s="261"/>
      <c r="EYG41" s="261"/>
      <c r="EYH41" s="261"/>
      <c r="EYI41" s="261"/>
      <c r="EYJ41" s="261"/>
      <c r="EYK41" s="261"/>
      <c r="EYL41" s="261"/>
      <c r="EYM41" s="261"/>
      <c r="EYN41" s="261"/>
      <c r="EYO41" s="261"/>
      <c r="EYP41" s="261"/>
      <c r="EYQ41" s="261"/>
      <c r="EYR41" s="261"/>
      <c r="EYS41" s="261"/>
      <c r="EYT41" s="261"/>
      <c r="EYU41" s="261"/>
      <c r="EYV41" s="261"/>
      <c r="EYW41" s="261"/>
      <c r="EYX41" s="261"/>
      <c r="EYY41" s="261"/>
      <c r="EYZ41" s="261"/>
      <c r="EZA41" s="261"/>
      <c r="EZB41" s="261"/>
      <c r="EZC41" s="261"/>
      <c r="EZD41" s="261"/>
      <c r="EZE41" s="261"/>
      <c r="EZF41" s="261"/>
      <c r="EZG41" s="261"/>
      <c r="EZH41" s="261"/>
      <c r="EZI41" s="261"/>
      <c r="EZJ41" s="261"/>
      <c r="EZK41" s="261"/>
      <c r="EZL41" s="261"/>
      <c r="EZM41" s="261"/>
      <c r="EZN41" s="261"/>
      <c r="EZO41" s="261"/>
      <c r="EZP41" s="261"/>
      <c r="EZQ41" s="261"/>
      <c r="EZR41" s="261"/>
      <c r="EZS41" s="261"/>
      <c r="EZT41" s="261"/>
      <c r="EZU41" s="261"/>
      <c r="EZV41" s="261"/>
      <c r="EZW41" s="261"/>
      <c r="EZX41" s="261"/>
      <c r="EZY41" s="261"/>
      <c r="EZZ41" s="261"/>
      <c r="FAA41" s="261"/>
      <c r="FAB41" s="261"/>
      <c r="FAC41" s="261"/>
      <c r="FAD41" s="261"/>
      <c r="FAE41" s="261"/>
      <c r="FAF41" s="261"/>
      <c r="FAG41" s="261"/>
      <c r="FAH41" s="261"/>
      <c r="FAI41" s="261"/>
      <c r="FAJ41" s="261"/>
      <c r="FAK41" s="261"/>
      <c r="FAL41" s="261"/>
      <c r="FAM41" s="261"/>
      <c r="FAN41" s="261"/>
      <c r="FAO41" s="261"/>
      <c r="FAP41" s="261"/>
      <c r="FAQ41" s="261"/>
      <c r="FAR41" s="261"/>
      <c r="FAS41" s="261"/>
      <c r="FAT41" s="261"/>
      <c r="FAU41" s="261"/>
      <c r="FAV41" s="261"/>
      <c r="FAW41" s="261"/>
      <c r="FAX41" s="261"/>
      <c r="FAY41" s="261"/>
      <c r="FAZ41" s="261"/>
      <c r="FBA41" s="261"/>
      <c r="FBB41" s="261"/>
      <c r="FBC41" s="261"/>
      <c r="FBD41" s="261"/>
      <c r="FBE41" s="261"/>
      <c r="FBF41" s="261"/>
      <c r="FBG41" s="261"/>
      <c r="FBH41" s="261"/>
      <c r="FBI41" s="261"/>
      <c r="FBJ41" s="261"/>
      <c r="FBK41" s="261"/>
      <c r="FBL41" s="261"/>
      <c r="FBM41" s="261"/>
      <c r="FBN41" s="261"/>
      <c r="FBO41" s="261"/>
      <c r="FBP41" s="261"/>
      <c r="FBQ41" s="261"/>
      <c r="FBR41" s="261"/>
      <c r="FBS41" s="261"/>
      <c r="FBT41" s="261"/>
      <c r="FBU41" s="261"/>
      <c r="FBV41" s="261"/>
      <c r="FBW41" s="261"/>
      <c r="FBX41" s="261"/>
      <c r="FBY41" s="261"/>
      <c r="FBZ41" s="261"/>
      <c r="FCA41" s="261"/>
      <c r="FCB41" s="261"/>
      <c r="FCC41" s="261"/>
      <c r="FCD41" s="261"/>
      <c r="FCE41" s="261"/>
      <c r="FCF41" s="261"/>
      <c r="FCG41" s="261"/>
      <c r="FCH41" s="261"/>
      <c r="FCI41" s="261"/>
      <c r="FCJ41" s="261"/>
      <c r="FCK41" s="261"/>
      <c r="FCL41" s="261"/>
      <c r="FCM41" s="261"/>
      <c r="FCN41" s="261"/>
      <c r="FCO41" s="261"/>
      <c r="FCP41" s="261"/>
      <c r="FCQ41" s="261"/>
      <c r="FCR41" s="261"/>
      <c r="FCS41" s="261"/>
      <c r="FCT41" s="261"/>
      <c r="FCU41" s="261"/>
      <c r="FCV41" s="261"/>
      <c r="FCW41" s="261"/>
      <c r="FCX41" s="261"/>
      <c r="FCY41" s="261"/>
      <c r="FCZ41" s="261"/>
      <c r="FDA41" s="261"/>
      <c r="FDB41" s="261"/>
      <c r="FDC41" s="261"/>
      <c r="FDD41" s="261"/>
      <c r="FDE41" s="261"/>
      <c r="FDF41" s="261"/>
      <c r="FDG41" s="261"/>
      <c r="FDH41" s="261"/>
      <c r="FDI41" s="261"/>
      <c r="FDJ41" s="261"/>
      <c r="FDK41" s="261"/>
      <c r="FDL41" s="261"/>
      <c r="FDM41" s="261"/>
      <c r="FDN41" s="261"/>
      <c r="FDO41" s="261"/>
      <c r="FDP41" s="261"/>
      <c r="FDQ41" s="261"/>
      <c r="FDR41" s="261"/>
      <c r="FDS41" s="261"/>
      <c r="FDT41" s="261"/>
      <c r="FDU41" s="261"/>
      <c r="FDV41" s="261"/>
      <c r="FDW41" s="261"/>
      <c r="FDX41" s="261"/>
      <c r="FDY41" s="261"/>
      <c r="FDZ41" s="261"/>
      <c r="FEA41" s="261"/>
      <c r="FEB41" s="261"/>
      <c r="FEC41" s="261"/>
      <c r="FED41" s="261"/>
      <c r="FEE41" s="261"/>
      <c r="FEF41" s="261"/>
      <c r="FEG41" s="261"/>
      <c r="FEH41" s="261"/>
      <c r="FEI41" s="261"/>
      <c r="FEJ41" s="261"/>
      <c r="FEK41" s="261"/>
      <c r="FEL41" s="261"/>
      <c r="FEM41" s="261"/>
      <c r="FEN41" s="261"/>
      <c r="FEO41" s="261"/>
      <c r="FEP41" s="261"/>
      <c r="FEQ41" s="261"/>
      <c r="FER41" s="261"/>
      <c r="FES41" s="261"/>
      <c r="FET41" s="261"/>
      <c r="FEU41" s="261"/>
      <c r="FEV41" s="261"/>
      <c r="FEW41" s="261"/>
      <c r="FEX41" s="261"/>
      <c r="FEY41" s="261"/>
      <c r="FEZ41" s="261"/>
      <c r="FFA41" s="261"/>
      <c r="FFB41" s="261"/>
      <c r="FFC41" s="261"/>
      <c r="FFD41" s="261"/>
      <c r="FFE41" s="261"/>
      <c r="FFF41" s="261"/>
      <c r="FFG41" s="261"/>
      <c r="FFH41" s="261"/>
      <c r="FFI41" s="261"/>
      <c r="FFJ41" s="261"/>
      <c r="FFK41" s="261"/>
      <c r="FFL41" s="261"/>
      <c r="FFM41" s="261"/>
      <c r="FFN41" s="261"/>
      <c r="FFO41" s="261"/>
      <c r="FFP41" s="261"/>
      <c r="FFQ41" s="261"/>
      <c r="FFR41" s="261"/>
      <c r="FFS41" s="261"/>
      <c r="FFT41" s="261"/>
      <c r="FFU41" s="261"/>
      <c r="FFV41" s="261"/>
      <c r="FFW41" s="261"/>
      <c r="FFX41" s="261"/>
      <c r="FFY41" s="261"/>
      <c r="FFZ41" s="261"/>
      <c r="FGA41" s="261"/>
      <c r="FGB41" s="261"/>
      <c r="FGC41" s="261"/>
      <c r="FGD41" s="261"/>
      <c r="FGE41" s="261"/>
      <c r="FGF41" s="261"/>
      <c r="FGG41" s="261"/>
      <c r="FGH41" s="261"/>
      <c r="FGI41" s="261"/>
      <c r="FGJ41" s="261"/>
      <c r="FGK41" s="261"/>
      <c r="FGL41" s="261"/>
      <c r="FGM41" s="261"/>
      <c r="FGN41" s="261"/>
      <c r="FGO41" s="261"/>
      <c r="FGP41" s="261"/>
      <c r="FGQ41" s="261"/>
      <c r="FGR41" s="261"/>
      <c r="FGS41" s="261"/>
      <c r="FGT41" s="261"/>
      <c r="FGU41" s="261"/>
      <c r="FGV41" s="261"/>
      <c r="FGW41" s="261"/>
      <c r="FGX41" s="261"/>
      <c r="FGY41" s="261"/>
      <c r="FGZ41" s="261"/>
      <c r="FHA41" s="261"/>
      <c r="FHB41" s="261"/>
      <c r="FHC41" s="261"/>
      <c r="FHD41" s="261"/>
      <c r="FHE41" s="261"/>
      <c r="FHF41" s="261"/>
      <c r="FHG41" s="261"/>
      <c r="FHH41" s="261"/>
      <c r="FHI41" s="261"/>
      <c r="FHJ41" s="261"/>
      <c r="FHK41" s="261"/>
      <c r="FHL41" s="261"/>
      <c r="FHM41" s="261"/>
      <c r="FHN41" s="261"/>
      <c r="FHO41" s="261"/>
      <c r="FHP41" s="261"/>
      <c r="FHQ41" s="261"/>
      <c r="FHR41" s="261"/>
      <c r="FHS41" s="261"/>
      <c r="FHT41" s="261"/>
      <c r="FHU41" s="261"/>
      <c r="FHV41" s="261"/>
      <c r="FHW41" s="261"/>
      <c r="FHX41" s="261"/>
      <c r="FHY41" s="261"/>
      <c r="FHZ41" s="261"/>
      <c r="FIA41" s="261"/>
      <c r="FIB41" s="261"/>
      <c r="FIC41" s="261"/>
      <c r="FID41" s="261"/>
      <c r="FIE41" s="261"/>
      <c r="FIF41" s="261"/>
      <c r="FIG41" s="261"/>
      <c r="FIH41" s="261"/>
      <c r="FII41" s="261"/>
      <c r="FIJ41" s="261"/>
      <c r="FIK41" s="261"/>
      <c r="FIL41" s="261"/>
      <c r="FIM41" s="261"/>
      <c r="FIN41" s="261"/>
      <c r="FIO41" s="261"/>
      <c r="FIP41" s="261"/>
      <c r="FIQ41" s="261"/>
      <c r="FIR41" s="261"/>
      <c r="FIS41" s="261"/>
      <c r="FIT41" s="261"/>
      <c r="FIU41" s="261"/>
      <c r="FIV41" s="261"/>
      <c r="FIW41" s="261"/>
      <c r="FIX41" s="261"/>
      <c r="FIY41" s="261"/>
      <c r="FIZ41" s="261"/>
      <c r="FJA41" s="261"/>
      <c r="FJB41" s="261"/>
      <c r="FJC41" s="261"/>
      <c r="FJD41" s="261"/>
      <c r="FJE41" s="261"/>
      <c r="FJF41" s="261"/>
      <c r="FJG41" s="261"/>
      <c r="FJH41" s="261"/>
      <c r="FJI41" s="261"/>
      <c r="FJJ41" s="261"/>
      <c r="FJK41" s="261"/>
      <c r="FJL41" s="261"/>
      <c r="FJM41" s="261"/>
      <c r="FJN41" s="261"/>
      <c r="FJO41" s="261"/>
      <c r="FJP41" s="261"/>
      <c r="FJQ41" s="261"/>
      <c r="FJR41" s="261"/>
      <c r="FJS41" s="261"/>
      <c r="FJT41" s="261"/>
      <c r="FJU41" s="261"/>
      <c r="FJV41" s="261"/>
      <c r="FJW41" s="261"/>
      <c r="FJX41" s="261"/>
      <c r="FJY41" s="261"/>
      <c r="FJZ41" s="261"/>
      <c r="FKA41" s="261"/>
      <c r="FKB41" s="261"/>
      <c r="FKC41" s="261"/>
      <c r="FKD41" s="261"/>
      <c r="FKE41" s="261"/>
      <c r="FKF41" s="261"/>
      <c r="FKG41" s="261"/>
      <c r="FKH41" s="261"/>
      <c r="FKI41" s="261"/>
      <c r="FKJ41" s="261"/>
      <c r="FKK41" s="261"/>
      <c r="FKL41" s="261"/>
      <c r="FKM41" s="261"/>
      <c r="FKN41" s="261"/>
      <c r="FKO41" s="261"/>
      <c r="FKP41" s="261"/>
      <c r="FKQ41" s="261"/>
      <c r="FKR41" s="261"/>
      <c r="FKS41" s="261"/>
      <c r="FKT41" s="261"/>
      <c r="FKU41" s="261"/>
      <c r="FKV41" s="261"/>
      <c r="FKW41" s="261"/>
      <c r="FKX41" s="261"/>
      <c r="FKY41" s="261"/>
      <c r="FKZ41" s="261"/>
      <c r="FLA41" s="261"/>
      <c r="FLB41" s="261"/>
      <c r="FLC41" s="261"/>
      <c r="FLD41" s="261"/>
      <c r="FLE41" s="261"/>
      <c r="FLF41" s="261"/>
      <c r="FLG41" s="261"/>
      <c r="FLH41" s="261"/>
      <c r="FLI41" s="261"/>
      <c r="FLJ41" s="261"/>
      <c r="FLK41" s="261"/>
      <c r="FLL41" s="261"/>
      <c r="FLM41" s="261"/>
      <c r="FLN41" s="261"/>
      <c r="FLO41" s="261"/>
      <c r="FLP41" s="261"/>
      <c r="FLQ41" s="261"/>
      <c r="FLR41" s="261"/>
      <c r="FLS41" s="261"/>
      <c r="FLT41" s="261"/>
      <c r="FLU41" s="261"/>
      <c r="FLV41" s="261"/>
      <c r="FLW41" s="261"/>
      <c r="FLX41" s="261"/>
      <c r="FLY41" s="261"/>
      <c r="FLZ41" s="261"/>
      <c r="FMA41" s="261"/>
      <c r="FMB41" s="261"/>
      <c r="FMC41" s="261"/>
      <c r="FMD41" s="261"/>
      <c r="FME41" s="261"/>
      <c r="FMF41" s="261"/>
      <c r="FMG41" s="261"/>
      <c r="FMH41" s="261"/>
      <c r="FMI41" s="261"/>
      <c r="FMJ41" s="261"/>
      <c r="FMK41" s="261"/>
      <c r="FML41" s="261"/>
      <c r="FMM41" s="261"/>
      <c r="FMN41" s="261"/>
      <c r="FMO41" s="261"/>
      <c r="FMP41" s="261"/>
      <c r="FMQ41" s="261"/>
      <c r="FMR41" s="261"/>
      <c r="FMS41" s="261"/>
      <c r="FMT41" s="261"/>
      <c r="FMU41" s="261"/>
      <c r="FMV41" s="261"/>
      <c r="FMW41" s="261"/>
      <c r="FMX41" s="261"/>
      <c r="FMY41" s="261"/>
      <c r="FMZ41" s="261"/>
      <c r="FNA41" s="261"/>
      <c r="FNB41" s="261"/>
      <c r="FNC41" s="261"/>
      <c r="FND41" s="261"/>
      <c r="FNE41" s="261"/>
      <c r="FNF41" s="261"/>
      <c r="FNG41" s="261"/>
      <c r="FNH41" s="261"/>
      <c r="FNI41" s="261"/>
      <c r="FNJ41" s="261"/>
      <c r="FNK41" s="261"/>
      <c r="FNL41" s="261"/>
      <c r="FNM41" s="261"/>
      <c r="FNN41" s="261"/>
      <c r="FNO41" s="261"/>
      <c r="FNP41" s="261"/>
      <c r="FNQ41" s="261"/>
      <c r="FNR41" s="261"/>
      <c r="FNS41" s="261"/>
      <c r="FNT41" s="261"/>
      <c r="FNU41" s="261"/>
      <c r="FNV41" s="261"/>
      <c r="FNW41" s="261"/>
      <c r="FNX41" s="261"/>
      <c r="FNY41" s="261"/>
      <c r="FNZ41" s="261"/>
      <c r="FOA41" s="261"/>
      <c r="FOB41" s="261"/>
      <c r="FOC41" s="261"/>
      <c r="FOD41" s="261"/>
      <c r="FOE41" s="261"/>
      <c r="FOF41" s="261"/>
      <c r="FOG41" s="261"/>
      <c r="FOH41" s="261"/>
      <c r="FOI41" s="261"/>
      <c r="FOJ41" s="261"/>
      <c r="FOK41" s="261"/>
      <c r="FOL41" s="261"/>
      <c r="FOM41" s="261"/>
      <c r="FON41" s="261"/>
      <c r="FOO41" s="261"/>
      <c r="FOP41" s="261"/>
      <c r="FOQ41" s="261"/>
      <c r="FOR41" s="261"/>
      <c r="FOS41" s="261"/>
      <c r="FOT41" s="261"/>
      <c r="FOU41" s="261"/>
      <c r="FOV41" s="261"/>
      <c r="FOW41" s="261"/>
      <c r="FOX41" s="261"/>
      <c r="FOY41" s="261"/>
      <c r="FOZ41" s="261"/>
      <c r="FPA41" s="261"/>
      <c r="FPB41" s="261"/>
      <c r="FPC41" s="261"/>
      <c r="FPD41" s="261"/>
      <c r="FPE41" s="261"/>
      <c r="FPF41" s="261"/>
      <c r="FPG41" s="261"/>
      <c r="FPH41" s="261"/>
      <c r="FPI41" s="261"/>
      <c r="FPJ41" s="261"/>
      <c r="FPK41" s="261"/>
      <c r="FPL41" s="261"/>
      <c r="FPM41" s="261"/>
      <c r="FPN41" s="261"/>
      <c r="FPO41" s="261"/>
      <c r="FPP41" s="261"/>
      <c r="FPQ41" s="261"/>
      <c r="FPR41" s="261"/>
      <c r="FPS41" s="261"/>
      <c r="FPT41" s="261"/>
      <c r="FPU41" s="261"/>
      <c r="FPV41" s="261"/>
      <c r="FPW41" s="261"/>
      <c r="FPX41" s="261"/>
      <c r="FPY41" s="261"/>
      <c r="FPZ41" s="261"/>
      <c r="FQA41" s="261"/>
      <c r="FQB41" s="261"/>
      <c r="FQC41" s="261"/>
      <c r="FQD41" s="261"/>
      <c r="FQE41" s="261"/>
      <c r="FQF41" s="261"/>
      <c r="FQG41" s="261"/>
      <c r="FQH41" s="261"/>
      <c r="FQI41" s="261"/>
      <c r="FQJ41" s="261"/>
      <c r="FQK41" s="261"/>
      <c r="FQL41" s="261"/>
      <c r="FQM41" s="261"/>
      <c r="FQN41" s="261"/>
      <c r="FQO41" s="261"/>
      <c r="FQP41" s="261"/>
      <c r="FQQ41" s="261"/>
      <c r="FQR41" s="261"/>
      <c r="FQS41" s="261"/>
      <c r="FQT41" s="261"/>
      <c r="FQU41" s="261"/>
      <c r="FQV41" s="261"/>
      <c r="FQW41" s="261"/>
      <c r="FQX41" s="261"/>
      <c r="FQY41" s="261"/>
      <c r="FQZ41" s="261"/>
      <c r="FRA41" s="261"/>
      <c r="FRB41" s="261"/>
      <c r="FRC41" s="261"/>
      <c r="FRD41" s="261"/>
      <c r="FRE41" s="261"/>
      <c r="FRF41" s="261"/>
      <c r="FRG41" s="261"/>
      <c r="FRH41" s="261"/>
      <c r="FRI41" s="261"/>
      <c r="FRJ41" s="261"/>
      <c r="FRK41" s="261"/>
      <c r="FRL41" s="261"/>
      <c r="FRM41" s="261"/>
      <c r="FRN41" s="261"/>
      <c r="FRO41" s="261"/>
      <c r="FRP41" s="261"/>
      <c r="FRQ41" s="261"/>
      <c r="FRR41" s="261"/>
      <c r="FRS41" s="261"/>
      <c r="FRT41" s="261"/>
      <c r="FRU41" s="261"/>
      <c r="FRV41" s="261"/>
      <c r="FRW41" s="261"/>
      <c r="FRX41" s="261"/>
      <c r="FRY41" s="261"/>
      <c r="FRZ41" s="261"/>
      <c r="FSA41" s="261"/>
      <c r="FSB41" s="261"/>
      <c r="FSC41" s="261"/>
      <c r="FSD41" s="261"/>
      <c r="FSE41" s="261"/>
      <c r="FSF41" s="261"/>
      <c r="FSG41" s="261"/>
      <c r="FSH41" s="261"/>
      <c r="FSI41" s="261"/>
      <c r="FSJ41" s="261"/>
      <c r="FSK41" s="261"/>
      <c r="FSL41" s="261"/>
      <c r="FSM41" s="261"/>
      <c r="FSN41" s="261"/>
      <c r="FSO41" s="261"/>
      <c r="FSP41" s="261"/>
      <c r="FSQ41" s="261"/>
      <c r="FSR41" s="261"/>
      <c r="FSS41" s="261"/>
      <c r="FST41" s="261"/>
      <c r="FSU41" s="261"/>
      <c r="FSV41" s="261"/>
      <c r="FSW41" s="261"/>
      <c r="FSX41" s="261"/>
      <c r="FSY41" s="261"/>
      <c r="FSZ41" s="261"/>
      <c r="FTA41" s="261"/>
      <c r="FTB41" s="261"/>
      <c r="FTC41" s="261"/>
      <c r="FTD41" s="261"/>
      <c r="FTE41" s="261"/>
      <c r="FTF41" s="261"/>
      <c r="FTG41" s="261"/>
      <c r="FTH41" s="261"/>
      <c r="FTI41" s="261"/>
      <c r="FTJ41" s="261"/>
      <c r="FTK41" s="261"/>
      <c r="FTL41" s="261"/>
      <c r="FTM41" s="261"/>
      <c r="FTN41" s="261"/>
      <c r="FTO41" s="261"/>
      <c r="FTP41" s="261"/>
      <c r="FTQ41" s="261"/>
      <c r="FTR41" s="261"/>
      <c r="FTS41" s="261"/>
      <c r="FTT41" s="261"/>
      <c r="FTU41" s="261"/>
      <c r="FTV41" s="261"/>
      <c r="FTW41" s="261"/>
      <c r="FTX41" s="261"/>
      <c r="FTY41" s="261"/>
      <c r="FTZ41" s="261"/>
      <c r="FUA41" s="261"/>
      <c r="FUB41" s="261"/>
      <c r="FUC41" s="261"/>
      <c r="FUD41" s="261"/>
      <c r="FUE41" s="261"/>
      <c r="FUF41" s="261"/>
      <c r="FUG41" s="261"/>
      <c r="FUH41" s="261"/>
      <c r="FUI41" s="261"/>
      <c r="FUJ41" s="261"/>
      <c r="FUK41" s="261"/>
      <c r="FUL41" s="261"/>
      <c r="FUM41" s="261"/>
      <c r="FUN41" s="261"/>
      <c r="FUO41" s="261"/>
      <c r="FUP41" s="261"/>
      <c r="FUQ41" s="261"/>
      <c r="FUR41" s="261"/>
      <c r="FUS41" s="261"/>
      <c r="FUT41" s="261"/>
      <c r="FUU41" s="261"/>
      <c r="FUV41" s="261"/>
      <c r="FUW41" s="261"/>
      <c r="FUX41" s="261"/>
      <c r="FUY41" s="261"/>
      <c r="FUZ41" s="261"/>
      <c r="FVA41" s="261"/>
      <c r="FVB41" s="261"/>
      <c r="FVC41" s="261"/>
      <c r="FVD41" s="261"/>
      <c r="FVE41" s="261"/>
      <c r="FVF41" s="261"/>
      <c r="FVG41" s="261"/>
      <c r="FVH41" s="261"/>
      <c r="FVI41" s="261"/>
      <c r="FVJ41" s="261"/>
      <c r="FVK41" s="261"/>
      <c r="FVL41" s="261"/>
      <c r="FVM41" s="261"/>
      <c r="FVN41" s="261"/>
      <c r="FVO41" s="261"/>
      <c r="FVP41" s="261"/>
      <c r="FVQ41" s="261"/>
      <c r="FVR41" s="261"/>
      <c r="FVS41" s="261"/>
      <c r="FVT41" s="261"/>
      <c r="FVU41" s="261"/>
      <c r="FVV41" s="261"/>
      <c r="FVW41" s="261"/>
      <c r="FVX41" s="261"/>
      <c r="FVY41" s="261"/>
      <c r="FVZ41" s="261"/>
      <c r="FWA41" s="261"/>
      <c r="FWB41" s="261"/>
      <c r="FWC41" s="261"/>
      <c r="FWD41" s="261"/>
      <c r="FWE41" s="261"/>
      <c r="FWF41" s="261"/>
      <c r="FWG41" s="261"/>
      <c r="FWH41" s="261"/>
      <c r="FWI41" s="261"/>
      <c r="FWJ41" s="261"/>
      <c r="FWK41" s="261"/>
      <c r="FWL41" s="261"/>
      <c r="FWM41" s="261"/>
      <c r="FWN41" s="261"/>
      <c r="FWO41" s="261"/>
      <c r="FWP41" s="261"/>
      <c r="FWQ41" s="261"/>
      <c r="FWR41" s="261"/>
      <c r="FWS41" s="261"/>
      <c r="FWT41" s="261"/>
      <c r="FWU41" s="261"/>
      <c r="FWV41" s="261"/>
      <c r="FWW41" s="261"/>
      <c r="FWX41" s="261"/>
      <c r="FWY41" s="261"/>
      <c r="FWZ41" s="261"/>
      <c r="FXA41" s="261"/>
      <c r="FXB41" s="261"/>
      <c r="FXC41" s="261"/>
      <c r="FXD41" s="261"/>
      <c r="FXE41" s="261"/>
      <c r="FXF41" s="261"/>
      <c r="FXG41" s="261"/>
      <c r="FXH41" s="261"/>
      <c r="FXI41" s="261"/>
      <c r="FXJ41" s="261"/>
      <c r="FXK41" s="261"/>
      <c r="FXL41" s="261"/>
      <c r="FXM41" s="261"/>
      <c r="FXN41" s="261"/>
      <c r="FXO41" s="261"/>
      <c r="FXP41" s="261"/>
      <c r="FXQ41" s="261"/>
      <c r="FXR41" s="261"/>
      <c r="FXS41" s="261"/>
      <c r="FXT41" s="261"/>
      <c r="FXU41" s="261"/>
      <c r="FXV41" s="261"/>
      <c r="FXW41" s="261"/>
      <c r="FXX41" s="261"/>
      <c r="FXY41" s="261"/>
      <c r="FXZ41" s="261"/>
      <c r="FYA41" s="261"/>
      <c r="FYB41" s="261"/>
      <c r="FYC41" s="261"/>
      <c r="FYD41" s="261"/>
      <c r="FYE41" s="261"/>
      <c r="FYF41" s="261"/>
      <c r="FYG41" s="261"/>
      <c r="FYH41" s="261"/>
      <c r="FYI41" s="261"/>
      <c r="FYJ41" s="261"/>
      <c r="FYK41" s="261"/>
      <c r="FYL41" s="261"/>
      <c r="FYM41" s="261"/>
      <c r="FYN41" s="261"/>
      <c r="FYO41" s="261"/>
      <c r="FYP41" s="261"/>
      <c r="FYQ41" s="261"/>
      <c r="FYR41" s="261"/>
      <c r="FYS41" s="261"/>
      <c r="FYT41" s="261"/>
      <c r="FYU41" s="261"/>
      <c r="FYV41" s="261"/>
      <c r="FYW41" s="261"/>
      <c r="FYX41" s="261"/>
      <c r="FYY41" s="261"/>
      <c r="FYZ41" s="261"/>
      <c r="FZA41" s="261"/>
      <c r="FZB41" s="261"/>
      <c r="FZC41" s="261"/>
      <c r="FZD41" s="261"/>
      <c r="FZE41" s="261"/>
      <c r="FZF41" s="261"/>
      <c r="FZG41" s="261"/>
      <c r="FZH41" s="261"/>
      <c r="FZI41" s="261"/>
      <c r="FZJ41" s="261"/>
      <c r="FZK41" s="261"/>
      <c r="FZL41" s="261"/>
      <c r="FZM41" s="261"/>
      <c r="FZN41" s="261"/>
      <c r="FZO41" s="261"/>
      <c r="FZP41" s="261"/>
      <c r="FZQ41" s="261"/>
      <c r="FZR41" s="261"/>
      <c r="FZS41" s="261"/>
      <c r="FZT41" s="261"/>
      <c r="FZU41" s="261"/>
      <c r="FZV41" s="261"/>
      <c r="FZW41" s="261"/>
      <c r="FZX41" s="261"/>
      <c r="FZY41" s="261"/>
      <c r="FZZ41" s="261"/>
      <c r="GAA41" s="261"/>
      <c r="GAB41" s="261"/>
      <c r="GAC41" s="261"/>
      <c r="GAD41" s="261"/>
      <c r="GAE41" s="261"/>
      <c r="GAF41" s="261"/>
      <c r="GAG41" s="261"/>
      <c r="GAH41" s="261"/>
      <c r="GAI41" s="261"/>
      <c r="GAJ41" s="261"/>
      <c r="GAK41" s="261"/>
      <c r="GAL41" s="261"/>
      <c r="GAM41" s="261"/>
      <c r="GAN41" s="261"/>
      <c r="GAO41" s="261"/>
      <c r="GAP41" s="261"/>
      <c r="GAQ41" s="261"/>
      <c r="GAR41" s="261"/>
      <c r="GAS41" s="261"/>
      <c r="GAT41" s="261"/>
      <c r="GAU41" s="261"/>
      <c r="GAV41" s="261"/>
      <c r="GAW41" s="261"/>
      <c r="GAX41" s="261"/>
      <c r="GAY41" s="261"/>
      <c r="GAZ41" s="261"/>
      <c r="GBA41" s="261"/>
      <c r="GBB41" s="261"/>
      <c r="GBC41" s="261"/>
      <c r="GBD41" s="261"/>
      <c r="GBE41" s="261"/>
      <c r="GBF41" s="261"/>
      <c r="GBG41" s="261"/>
      <c r="GBH41" s="261"/>
      <c r="GBI41" s="261"/>
      <c r="GBJ41" s="261"/>
      <c r="GBK41" s="261"/>
      <c r="GBL41" s="261"/>
      <c r="GBM41" s="261"/>
      <c r="GBN41" s="261"/>
      <c r="GBO41" s="261"/>
      <c r="GBP41" s="261"/>
      <c r="GBQ41" s="261"/>
      <c r="GBR41" s="261"/>
      <c r="GBS41" s="261"/>
      <c r="GBT41" s="261"/>
      <c r="GBU41" s="261"/>
      <c r="GBV41" s="261"/>
      <c r="GBW41" s="261"/>
      <c r="GBX41" s="261"/>
      <c r="GBY41" s="261"/>
      <c r="GBZ41" s="261"/>
      <c r="GCA41" s="261"/>
      <c r="GCB41" s="261"/>
      <c r="GCC41" s="261"/>
      <c r="GCD41" s="261"/>
      <c r="GCE41" s="261"/>
      <c r="GCF41" s="261"/>
      <c r="GCG41" s="261"/>
      <c r="GCH41" s="261"/>
      <c r="GCI41" s="261"/>
      <c r="GCJ41" s="261"/>
      <c r="GCK41" s="261"/>
      <c r="GCL41" s="261"/>
      <c r="GCM41" s="261"/>
      <c r="GCN41" s="261"/>
      <c r="GCO41" s="261"/>
      <c r="GCP41" s="261"/>
      <c r="GCQ41" s="261"/>
      <c r="GCR41" s="261"/>
      <c r="GCS41" s="261"/>
      <c r="GCT41" s="261"/>
      <c r="GCU41" s="261"/>
      <c r="GCV41" s="261"/>
      <c r="GCW41" s="261"/>
      <c r="GCX41" s="261"/>
      <c r="GCY41" s="261"/>
      <c r="GCZ41" s="261"/>
      <c r="GDA41" s="261"/>
      <c r="GDB41" s="261"/>
      <c r="GDC41" s="261"/>
      <c r="GDD41" s="261"/>
      <c r="GDE41" s="261"/>
      <c r="GDF41" s="261"/>
      <c r="GDG41" s="261"/>
      <c r="GDH41" s="261"/>
      <c r="GDI41" s="261"/>
      <c r="GDJ41" s="261"/>
      <c r="GDK41" s="261"/>
      <c r="GDL41" s="261"/>
      <c r="GDM41" s="261"/>
      <c r="GDN41" s="261"/>
      <c r="GDO41" s="261"/>
      <c r="GDP41" s="261"/>
      <c r="GDQ41" s="261"/>
      <c r="GDR41" s="261"/>
      <c r="GDS41" s="261"/>
      <c r="GDT41" s="261"/>
      <c r="GDU41" s="261"/>
      <c r="GDV41" s="261"/>
      <c r="GDW41" s="261"/>
      <c r="GDX41" s="261"/>
      <c r="GDY41" s="261"/>
      <c r="GDZ41" s="261"/>
      <c r="GEA41" s="261"/>
      <c r="GEB41" s="261"/>
      <c r="GEC41" s="261"/>
      <c r="GED41" s="261"/>
      <c r="GEE41" s="261"/>
      <c r="GEF41" s="261"/>
      <c r="GEG41" s="261"/>
      <c r="GEH41" s="261"/>
      <c r="GEI41" s="261"/>
      <c r="GEJ41" s="261"/>
      <c r="GEK41" s="261"/>
      <c r="GEL41" s="261"/>
      <c r="GEM41" s="261"/>
      <c r="GEN41" s="261"/>
      <c r="GEO41" s="261"/>
      <c r="GEP41" s="261"/>
      <c r="GEQ41" s="261"/>
      <c r="GER41" s="261"/>
      <c r="GES41" s="261"/>
      <c r="GET41" s="261"/>
      <c r="GEU41" s="261"/>
      <c r="GEV41" s="261"/>
      <c r="GEW41" s="261"/>
      <c r="GEX41" s="261"/>
      <c r="GEY41" s="261"/>
      <c r="GEZ41" s="261"/>
      <c r="GFA41" s="261"/>
      <c r="GFB41" s="261"/>
      <c r="GFC41" s="261"/>
      <c r="GFD41" s="261"/>
      <c r="GFE41" s="261"/>
      <c r="GFF41" s="261"/>
      <c r="GFG41" s="261"/>
      <c r="GFH41" s="261"/>
      <c r="GFI41" s="261"/>
      <c r="GFJ41" s="261"/>
      <c r="GFK41" s="261"/>
      <c r="GFL41" s="261"/>
      <c r="GFM41" s="261"/>
      <c r="GFN41" s="261"/>
      <c r="GFO41" s="261"/>
      <c r="GFP41" s="261"/>
      <c r="GFQ41" s="261"/>
      <c r="GFR41" s="261"/>
      <c r="GFS41" s="261"/>
      <c r="GFT41" s="261"/>
      <c r="GFU41" s="261"/>
      <c r="GFV41" s="261"/>
      <c r="GFW41" s="261"/>
      <c r="GFX41" s="261"/>
      <c r="GFY41" s="261"/>
      <c r="GFZ41" s="261"/>
      <c r="GGA41" s="261"/>
      <c r="GGB41" s="261"/>
      <c r="GGC41" s="261"/>
      <c r="GGD41" s="261"/>
      <c r="GGE41" s="261"/>
      <c r="GGF41" s="261"/>
      <c r="GGG41" s="261"/>
      <c r="GGH41" s="261"/>
      <c r="GGI41" s="261"/>
      <c r="GGJ41" s="261"/>
      <c r="GGK41" s="261"/>
      <c r="GGL41" s="261"/>
      <c r="GGM41" s="261"/>
      <c r="GGN41" s="261"/>
      <c r="GGO41" s="261"/>
      <c r="GGP41" s="261"/>
      <c r="GGQ41" s="261"/>
      <c r="GGR41" s="261"/>
      <c r="GGS41" s="261"/>
      <c r="GGT41" s="261"/>
      <c r="GGU41" s="261"/>
      <c r="GGV41" s="261"/>
      <c r="GGW41" s="261"/>
      <c r="GGX41" s="261"/>
      <c r="GGY41" s="261"/>
      <c r="GGZ41" s="261"/>
      <c r="GHA41" s="261"/>
      <c r="GHB41" s="261"/>
      <c r="GHC41" s="261"/>
      <c r="GHD41" s="261"/>
      <c r="GHE41" s="261"/>
      <c r="GHF41" s="261"/>
      <c r="GHG41" s="261"/>
      <c r="GHH41" s="261"/>
      <c r="GHI41" s="261"/>
      <c r="GHJ41" s="261"/>
      <c r="GHK41" s="261"/>
      <c r="GHL41" s="261"/>
      <c r="GHM41" s="261"/>
      <c r="GHN41" s="261"/>
      <c r="GHO41" s="261"/>
      <c r="GHP41" s="261"/>
      <c r="GHQ41" s="261"/>
      <c r="GHR41" s="261"/>
      <c r="GHS41" s="261"/>
      <c r="GHT41" s="261"/>
      <c r="GHU41" s="261"/>
      <c r="GHV41" s="261"/>
      <c r="GHW41" s="261"/>
      <c r="GHX41" s="261"/>
      <c r="GHY41" s="261"/>
      <c r="GHZ41" s="261"/>
      <c r="GIA41" s="261"/>
      <c r="GIB41" s="261"/>
      <c r="GIC41" s="261"/>
      <c r="GID41" s="261"/>
      <c r="GIE41" s="261"/>
      <c r="GIF41" s="261"/>
      <c r="GIG41" s="261"/>
      <c r="GIH41" s="261"/>
      <c r="GII41" s="261"/>
      <c r="GIJ41" s="261"/>
      <c r="GIK41" s="261"/>
      <c r="GIL41" s="261"/>
      <c r="GIM41" s="261"/>
      <c r="GIN41" s="261"/>
      <c r="GIO41" s="261"/>
      <c r="GIP41" s="261"/>
      <c r="GIQ41" s="261"/>
      <c r="GIR41" s="261"/>
      <c r="GIS41" s="261"/>
      <c r="GIT41" s="261"/>
      <c r="GIU41" s="261"/>
      <c r="GIV41" s="261"/>
      <c r="GIW41" s="261"/>
      <c r="GIX41" s="261"/>
      <c r="GIY41" s="261"/>
      <c r="GIZ41" s="261"/>
      <c r="GJA41" s="261"/>
      <c r="GJB41" s="261"/>
      <c r="GJC41" s="261"/>
      <c r="GJD41" s="261"/>
      <c r="GJE41" s="261"/>
      <c r="GJF41" s="261"/>
      <c r="GJG41" s="261"/>
      <c r="GJH41" s="261"/>
      <c r="GJI41" s="261"/>
      <c r="GJJ41" s="261"/>
      <c r="GJK41" s="261"/>
      <c r="GJL41" s="261"/>
      <c r="GJM41" s="261"/>
      <c r="GJN41" s="261"/>
      <c r="GJO41" s="261"/>
      <c r="GJP41" s="261"/>
      <c r="GJQ41" s="261"/>
      <c r="GJR41" s="261"/>
      <c r="GJS41" s="261"/>
      <c r="GJT41" s="261"/>
      <c r="GJU41" s="261"/>
      <c r="GJV41" s="261"/>
      <c r="GJW41" s="261"/>
      <c r="GJX41" s="261"/>
      <c r="GJY41" s="261"/>
      <c r="GJZ41" s="261"/>
      <c r="GKA41" s="261"/>
      <c r="GKB41" s="261"/>
      <c r="GKC41" s="261"/>
      <c r="GKD41" s="261"/>
      <c r="GKE41" s="261"/>
      <c r="GKF41" s="261"/>
      <c r="GKG41" s="261"/>
      <c r="GKH41" s="261"/>
      <c r="GKI41" s="261"/>
      <c r="GKJ41" s="261"/>
      <c r="GKK41" s="261"/>
      <c r="GKL41" s="261"/>
      <c r="GKM41" s="261"/>
      <c r="GKN41" s="261"/>
      <c r="GKO41" s="261"/>
      <c r="GKP41" s="261"/>
      <c r="GKQ41" s="261"/>
      <c r="GKR41" s="261"/>
      <c r="GKS41" s="261"/>
      <c r="GKT41" s="261"/>
      <c r="GKU41" s="261"/>
      <c r="GKV41" s="261"/>
      <c r="GKW41" s="261"/>
      <c r="GKX41" s="261"/>
      <c r="GKY41" s="261"/>
      <c r="GKZ41" s="261"/>
      <c r="GLA41" s="261"/>
      <c r="GLB41" s="261"/>
      <c r="GLC41" s="261"/>
      <c r="GLD41" s="261"/>
      <c r="GLE41" s="261"/>
      <c r="GLF41" s="261"/>
      <c r="GLG41" s="261"/>
      <c r="GLH41" s="261"/>
      <c r="GLI41" s="261"/>
      <c r="GLJ41" s="261"/>
      <c r="GLK41" s="261"/>
      <c r="GLL41" s="261"/>
      <c r="GLM41" s="261"/>
      <c r="GLN41" s="261"/>
      <c r="GLO41" s="261"/>
      <c r="GLP41" s="261"/>
      <c r="GLQ41" s="261"/>
      <c r="GLR41" s="261"/>
      <c r="GLS41" s="261"/>
      <c r="GLT41" s="261"/>
      <c r="GLU41" s="261"/>
      <c r="GLV41" s="261"/>
      <c r="GLW41" s="261"/>
      <c r="GLX41" s="261"/>
      <c r="GLY41" s="261"/>
      <c r="GLZ41" s="261"/>
      <c r="GMA41" s="261"/>
      <c r="GMB41" s="261"/>
      <c r="GMC41" s="261"/>
      <c r="GMD41" s="261"/>
      <c r="GME41" s="261"/>
      <c r="GMF41" s="261"/>
      <c r="GMG41" s="261"/>
      <c r="GMH41" s="261"/>
      <c r="GMI41" s="261"/>
      <c r="GMJ41" s="261"/>
      <c r="GMK41" s="261"/>
      <c r="GML41" s="261"/>
      <c r="GMM41" s="261"/>
      <c r="GMN41" s="261"/>
      <c r="GMO41" s="261"/>
      <c r="GMP41" s="261"/>
      <c r="GMQ41" s="261"/>
      <c r="GMR41" s="261"/>
      <c r="GMS41" s="261"/>
      <c r="GMT41" s="261"/>
      <c r="GMU41" s="261"/>
      <c r="GMV41" s="261"/>
      <c r="GMW41" s="261"/>
      <c r="GMX41" s="261"/>
      <c r="GMY41" s="261"/>
      <c r="GMZ41" s="261"/>
      <c r="GNA41" s="261"/>
      <c r="GNB41" s="261"/>
      <c r="GNC41" s="261"/>
      <c r="GND41" s="261"/>
      <c r="GNE41" s="261"/>
      <c r="GNF41" s="261"/>
      <c r="GNG41" s="261"/>
      <c r="GNH41" s="261"/>
      <c r="GNI41" s="261"/>
      <c r="GNJ41" s="261"/>
      <c r="GNK41" s="261"/>
      <c r="GNL41" s="261"/>
      <c r="GNM41" s="261"/>
      <c r="GNN41" s="261"/>
      <c r="GNO41" s="261"/>
      <c r="GNP41" s="261"/>
      <c r="GNQ41" s="261"/>
      <c r="GNR41" s="261"/>
      <c r="GNS41" s="261"/>
      <c r="GNT41" s="261"/>
      <c r="GNU41" s="261"/>
      <c r="GNV41" s="261"/>
      <c r="GNW41" s="261"/>
      <c r="GNX41" s="261"/>
      <c r="GNY41" s="261"/>
      <c r="GNZ41" s="261"/>
      <c r="GOA41" s="261"/>
      <c r="GOB41" s="261"/>
      <c r="GOC41" s="261"/>
      <c r="GOD41" s="261"/>
      <c r="GOE41" s="261"/>
      <c r="GOF41" s="261"/>
      <c r="GOG41" s="261"/>
      <c r="GOH41" s="261"/>
      <c r="GOI41" s="261"/>
      <c r="GOJ41" s="261"/>
      <c r="GOK41" s="261"/>
      <c r="GOL41" s="261"/>
      <c r="GOM41" s="261"/>
      <c r="GON41" s="261"/>
      <c r="GOO41" s="261"/>
      <c r="GOP41" s="261"/>
      <c r="GOQ41" s="261"/>
      <c r="GOR41" s="261"/>
      <c r="GOS41" s="261"/>
      <c r="GOT41" s="261"/>
      <c r="GOU41" s="261"/>
      <c r="GOV41" s="261"/>
      <c r="GOW41" s="261"/>
      <c r="GOX41" s="261"/>
      <c r="GOY41" s="261"/>
      <c r="GOZ41" s="261"/>
      <c r="GPA41" s="261"/>
      <c r="GPB41" s="261"/>
      <c r="GPC41" s="261"/>
      <c r="GPD41" s="261"/>
      <c r="GPE41" s="261"/>
      <c r="GPF41" s="261"/>
      <c r="GPG41" s="261"/>
      <c r="GPH41" s="261"/>
      <c r="GPI41" s="261"/>
      <c r="GPJ41" s="261"/>
      <c r="GPK41" s="261"/>
      <c r="GPL41" s="261"/>
      <c r="GPM41" s="261"/>
      <c r="GPN41" s="261"/>
      <c r="GPO41" s="261"/>
      <c r="GPP41" s="261"/>
      <c r="GPQ41" s="261"/>
      <c r="GPR41" s="261"/>
      <c r="GPS41" s="261"/>
      <c r="GPT41" s="261"/>
      <c r="GPU41" s="261"/>
      <c r="GPV41" s="261"/>
      <c r="GPW41" s="261"/>
      <c r="GPX41" s="261"/>
      <c r="GPY41" s="261"/>
      <c r="GPZ41" s="261"/>
      <c r="GQA41" s="261"/>
      <c r="GQB41" s="261"/>
      <c r="GQC41" s="261"/>
      <c r="GQD41" s="261"/>
      <c r="GQE41" s="261"/>
      <c r="GQF41" s="261"/>
      <c r="GQG41" s="261"/>
      <c r="GQH41" s="261"/>
      <c r="GQI41" s="261"/>
      <c r="GQJ41" s="261"/>
      <c r="GQK41" s="261"/>
      <c r="GQL41" s="261"/>
      <c r="GQM41" s="261"/>
      <c r="GQN41" s="261"/>
      <c r="GQO41" s="261"/>
      <c r="GQP41" s="261"/>
      <c r="GQQ41" s="261"/>
      <c r="GQR41" s="261"/>
      <c r="GQS41" s="261"/>
      <c r="GQT41" s="261"/>
      <c r="GQU41" s="261"/>
      <c r="GQV41" s="261"/>
      <c r="GQW41" s="261"/>
      <c r="GQX41" s="261"/>
      <c r="GQY41" s="261"/>
      <c r="GQZ41" s="261"/>
      <c r="GRA41" s="261"/>
      <c r="GRB41" s="261"/>
      <c r="GRC41" s="261"/>
      <c r="GRD41" s="261"/>
      <c r="GRE41" s="261"/>
      <c r="GRF41" s="261"/>
      <c r="GRG41" s="261"/>
      <c r="GRH41" s="261"/>
      <c r="GRI41" s="261"/>
      <c r="GRJ41" s="261"/>
      <c r="GRK41" s="261"/>
      <c r="GRL41" s="261"/>
      <c r="GRM41" s="261"/>
      <c r="GRN41" s="261"/>
      <c r="GRO41" s="261"/>
      <c r="GRP41" s="261"/>
      <c r="GRQ41" s="261"/>
      <c r="GRR41" s="261"/>
      <c r="GRS41" s="261"/>
      <c r="GRT41" s="261"/>
      <c r="GRU41" s="261"/>
      <c r="GRV41" s="261"/>
      <c r="GRW41" s="261"/>
      <c r="GRX41" s="261"/>
      <c r="GRY41" s="261"/>
      <c r="GRZ41" s="261"/>
      <c r="GSA41" s="261"/>
      <c r="GSB41" s="261"/>
      <c r="GSC41" s="261"/>
      <c r="GSD41" s="261"/>
      <c r="GSE41" s="261"/>
      <c r="GSF41" s="261"/>
      <c r="GSG41" s="261"/>
      <c r="GSH41" s="261"/>
      <c r="GSI41" s="261"/>
      <c r="GSJ41" s="261"/>
      <c r="GSK41" s="261"/>
      <c r="GSL41" s="261"/>
      <c r="GSM41" s="261"/>
      <c r="GSN41" s="261"/>
      <c r="GSO41" s="261"/>
      <c r="GSP41" s="261"/>
      <c r="GSQ41" s="261"/>
      <c r="GSR41" s="261"/>
      <c r="GSS41" s="261"/>
      <c r="GST41" s="261"/>
      <c r="GSU41" s="261"/>
      <c r="GSV41" s="261"/>
      <c r="GSW41" s="261"/>
      <c r="GSX41" s="261"/>
      <c r="GSY41" s="261"/>
      <c r="GSZ41" s="261"/>
      <c r="GTA41" s="261"/>
      <c r="GTB41" s="261"/>
      <c r="GTC41" s="261"/>
      <c r="GTD41" s="261"/>
      <c r="GTE41" s="261"/>
      <c r="GTF41" s="261"/>
      <c r="GTG41" s="261"/>
      <c r="GTH41" s="261"/>
      <c r="GTI41" s="261"/>
      <c r="GTJ41" s="261"/>
      <c r="GTK41" s="261"/>
      <c r="GTL41" s="261"/>
      <c r="GTM41" s="261"/>
      <c r="GTN41" s="261"/>
      <c r="GTO41" s="261"/>
      <c r="GTP41" s="261"/>
      <c r="GTQ41" s="261"/>
      <c r="GTR41" s="261"/>
      <c r="GTS41" s="261"/>
      <c r="GTT41" s="261"/>
      <c r="GTU41" s="261"/>
      <c r="GTV41" s="261"/>
      <c r="GTW41" s="261"/>
      <c r="GTX41" s="261"/>
      <c r="GTY41" s="261"/>
      <c r="GTZ41" s="261"/>
      <c r="GUA41" s="261"/>
      <c r="GUB41" s="261"/>
      <c r="GUC41" s="261"/>
      <c r="GUD41" s="261"/>
      <c r="GUE41" s="261"/>
      <c r="GUF41" s="261"/>
      <c r="GUG41" s="261"/>
      <c r="GUH41" s="261"/>
      <c r="GUI41" s="261"/>
      <c r="GUJ41" s="261"/>
      <c r="GUK41" s="261"/>
      <c r="GUL41" s="261"/>
      <c r="GUM41" s="261"/>
      <c r="GUN41" s="261"/>
      <c r="GUO41" s="261"/>
      <c r="GUP41" s="261"/>
      <c r="GUQ41" s="261"/>
      <c r="GUR41" s="261"/>
      <c r="GUS41" s="261"/>
      <c r="GUT41" s="261"/>
      <c r="GUU41" s="261"/>
      <c r="GUV41" s="261"/>
      <c r="GUW41" s="261"/>
      <c r="GUX41" s="261"/>
      <c r="GUY41" s="261"/>
      <c r="GUZ41" s="261"/>
      <c r="GVA41" s="261"/>
      <c r="GVB41" s="261"/>
      <c r="GVC41" s="261"/>
      <c r="GVD41" s="261"/>
      <c r="GVE41" s="261"/>
      <c r="GVF41" s="261"/>
      <c r="GVG41" s="261"/>
      <c r="GVH41" s="261"/>
      <c r="GVI41" s="261"/>
      <c r="GVJ41" s="261"/>
      <c r="GVK41" s="261"/>
      <c r="GVL41" s="261"/>
      <c r="GVM41" s="261"/>
      <c r="GVN41" s="261"/>
      <c r="GVO41" s="261"/>
      <c r="GVP41" s="261"/>
      <c r="GVQ41" s="261"/>
      <c r="GVR41" s="261"/>
      <c r="GVS41" s="261"/>
      <c r="GVT41" s="261"/>
      <c r="GVU41" s="261"/>
      <c r="GVV41" s="261"/>
      <c r="GVW41" s="261"/>
      <c r="GVX41" s="261"/>
      <c r="GVY41" s="261"/>
      <c r="GVZ41" s="261"/>
      <c r="GWA41" s="261"/>
      <c r="GWB41" s="261"/>
      <c r="GWC41" s="261"/>
      <c r="GWD41" s="261"/>
      <c r="GWE41" s="261"/>
      <c r="GWF41" s="261"/>
      <c r="GWG41" s="261"/>
      <c r="GWH41" s="261"/>
      <c r="GWI41" s="261"/>
      <c r="GWJ41" s="261"/>
      <c r="GWK41" s="261"/>
      <c r="GWL41" s="261"/>
      <c r="GWM41" s="261"/>
      <c r="GWN41" s="261"/>
      <c r="GWO41" s="261"/>
      <c r="GWP41" s="261"/>
      <c r="GWQ41" s="261"/>
      <c r="GWR41" s="261"/>
      <c r="GWS41" s="261"/>
      <c r="GWT41" s="261"/>
      <c r="GWU41" s="261"/>
      <c r="GWV41" s="261"/>
      <c r="GWW41" s="261"/>
      <c r="GWX41" s="261"/>
      <c r="GWY41" s="261"/>
      <c r="GWZ41" s="261"/>
      <c r="GXA41" s="261"/>
      <c r="GXB41" s="261"/>
      <c r="GXC41" s="261"/>
      <c r="GXD41" s="261"/>
      <c r="GXE41" s="261"/>
      <c r="GXF41" s="261"/>
      <c r="GXG41" s="261"/>
      <c r="GXH41" s="261"/>
      <c r="GXI41" s="261"/>
      <c r="GXJ41" s="261"/>
      <c r="GXK41" s="261"/>
      <c r="GXL41" s="261"/>
      <c r="GXM41" s="261"/>
      <c r="GXN41" s="261"/>
      <c r="GXO41" s="261"/>
      <c r="GXP41" s="261"/>
      <c r="GXQ41" s="261"/>
      <c r="GXR41" s="261"/>
      <c r="GXS41" s="261"/>
      <c r="GXT41" s="261"/>
      <c r="GXU41" s="261"/>
      <c r="GXV41" s="261"/>
      <c r="GXW41" s="261"/>
      <c r="GXX41" s="261"/>
      <c r="GXY41" s="261"/>
      <c r="GXZ41" s="261"/>
      <c r="GYA41" s="261"/>
      <c r="GYB41" s="261"/>
      <c r="GYC41" s="261"/>
      <c r="GYD41" s="261"/>
      <c r="GYE41" s="261"/>
      <c r="GYF41" s="261"/>
      <c r="GYG41" s="261"/>
      <c r="GYH41" s="261"/>
      <c r="GYI41" s="261"/>
      <c r="GYJ41" s="261"/>
      <c r="GYK41" s="261"/>
      <c r="GYL41" s="261"/>
      <c r="GYM41" s="261"/>
      <c r="GYN41" s="261"/>
      <c r="GYO41" s="261"/>
      <c r="GYP41" s="261"/>
      <c r="GYQ41" s="261"/>
      <c r="GYR41" s="261"/>
      <c r="GYS41" s="261"/>
      <c r="GYT41" s="261"/>
      <c r="GYU41" s="261"/>
      <c r="GYV41" s="261"/>
      <c r="GYW41" s="261"/>
      <c r="GYX41" s="261"/>
      <c r="GYY41" s="261"/>
      <c r="GYZ41" s="261"/>
      <c r="GZA41" s="261"/>
      <c r="GZB41" s="261"/>
      <c r="GZC41" s="261"/>
      <c r="GZD41" s="261"/>
      <c r="GZE41" s="261"/>
      <c r="GZF41" s="261"/>
      <c r="GZG41" s="261"/>
      <c r="GZH41" s="261"/>
      <c r="GZI41" s="261"/>
      <c r="GZJ41" s="261"/>
      <c r="GZK41" s="261"/>
      <c r="GZL41" s="261"/>
      <c r="GZM41" s="261"/>
      <c r="GZN41" s="261"/>
      <c r="GZO41" s="261"/>
      <c r="GZP41" s="261"/>
      <c r="GZQ41" s="261"/>
      <c r="GZR41" s="261"/>
      <c r="GZS41" s="261"/>
      <c r="GZT41" s="261"/>
      <c r="GZU41" s="261"/>
      <c r="GZV41" s="261"/>
      <c r="GZW41" s="261"/>
      <c r="GZX41" s="261"/>
      <c r="GZY41" s="261"/>
      <c r="GZZ41" s="261"/>
      <c r="HAA41" s="261"/>
      <c r="HAB41" s="261"/>
      <c r="HAC41" s="261"/>
      <c r="HAD41" s="261"/>
      <c r="HAE41" s="261"/>
      <c r="HAF41" s="261"/>
      <c r="HAG41" s="261"/>
      <c r="HAH41" s="261"/>
      <c r="HAI41" s="261"/>
      <c r="HAJ41" s="261"/>
      <c r="HAK41" s="261"/>
      <c r="HAL41" s="261"/>
      <c r="HAM41" s="261"/>
      <c r="HAN41" s="261"/>
      <c r="HAO41" s="261"/>
      <c r="HAP41" s="261"/>
      <c r="HAQ41" s="261"/>
      <c r="HAR41" s="261"/>
      <c r="HAS41" s="261"/>
      <c r="HAT41" s="261"/>
      <c r="HAU41" s="261"/>
      <c r="HAV41" s="261"/>
      <c r="HAW41" s="261"/>
      <c r="HAX41" s="261"/>
      <c r="HAY41" s="261"/>
      <c r="HAZ41" s="261"/>
      <c r="HBA41" s="261"/>
      <c r="HBB41" s="261"/>
      <c r="HBC41" s="261"/>
      <c r="HBD41" s="261"/>
      <c r="HBE41" s="261"/>
      <c r="HBF41" s="261"/>
      <c r="HBG41" s="261"/>
      <c r="HBH41" s="261"/>
      <c r="HBI41" s="261"/>
      <c r="HBJ41" s="261"/>
      <c r="HBK41" s="261"/>
      <c r="HBL41" s="261"/>
      <c r="HBM41" s="261"/>
      <c r="HBN41" s="261"/>
      <c r="HBO41" s="261"/>
      <c r="HBP41" s="261"/>
      <c r="HBQ41" s="261"/>
      <c r="HBR41" s="261"/>
      <c r="HBS41" s="261"/>
      <c r="HBT41" s="261"/>
      <c r="HBU41" s="261"/>
      <c r="HBV41" s="261"/>
      <c r="HBW41" s="261"/>
      <c r="HBX41" s="261"/>
      <c r="HBY41" s="261"/>
      <c r="HBZ41" s="261"/>
      <c r="HCA41" s="261"/>
      <c r="HCB41" s="261"/>
      <c r="HCC41" s="261"/>
      <c r="HCD41" s="261"/>
      <c r="HCE41" s="261"/>
      <c r="HCF41" s="261"/>
      <c r="HCG41" s="261"/>
      <c r="HCH41" s="261"/>
      <c r="HCI41" s="261"/>
      <c r="HCJ41" s="261"/>
      <c r="HCK41" s="261"/>
      <c r="HCL41" s="261"/>
      <c r="HCM41" s="261"/>
      <c r="HCN41" s="261"/>
      <c r="HCO41" s="261"/>
      <c r="HCP41" s="261"/>
      <c r="HCQ41" s="261"/>
      <c r="HCR41" s="261"/>
      <c r="HCS41" s="261"/>
      <c r="HCT41" s="261"/>
      <c r="HCU41" s="261"/>
      <c r="HCV41" s="261"/>
      <c r="HCW41" s="261"/>
      <c r="HCX41" s="261"/>
      <c r="HCY41" s="261"/>
      <c r="HCZ41" s="261"/>
      <c r="HDA41" s="261"/>
      <c r="HDB41" s="261"/>
      <c r="HDC41" s="261"/>
      <c r="HDD41" s="261"/>
      <c r="HDE41" s="261"/>
      <c r="HDF41" s="261"/>
      <c r="HDG41" s="261"/>
      <c r="HDH41" s="261"/>
      <c r="HDI41" s="261"/>
      <c r="HDJ41" s="261"/>
      <c r="HDK41" s="261"/>
      <c r="HDL41" s="261"/>
      <c r="HDM41" s="261"/>
      <c r="HDN41" s="261"/>
      <c r="HDO41" s="261"/>
      <c r="HDP41" s="261"/>
      <c r="HDQ41" s="261"/>
      <c r="HDR41" s="261"/>
      <c r="HDS41" s="261"/>
      <c r="HDT41" s="261"/>
      <c r="HDU41" s="261"/>
      <c r="HDV41" s="261"/>
      <c r="HDW41" s="261"/>
      <c r="HDX41" s="261"/>
      <c r="HDY41" s="261"/>
      <c r="HDZ41" s="261"/>
      <c r="HEA41" s="261"/>
      <c r="HEB41" s="261"/>
      <c r="HEC41" s="261"/>
      <c r="HED41" s="261"/>
      <c r="HEE41" s="261"/>
      <c r="HEF41" s="261"/>
      <c r="HEG41" s="261"/>
      <c r="HEH41" s="261"/>
      <c r="HEI41" s="261"/>
      <c r="HEJ41" s="261"/>
      <c r="HEK41" s="261"/>
      <c r="HEL41" s="261"/>
      <c r="HEM41" s="261"/>
      <c r="HEN41" s="261"/>
      <c r="HEO41" s="261"/>
      <c r="HEP41" s="261"/>
      <c r="HEQ41" s="261"/>
      <c r="HER41" s="261"/>
      <c r="HES41" s="261"/>
      <c r="HET41" s="261"/>
      <c r="HEU41" s="261"/>
      <c r="HEV41" s="261"/>
      <c r="HEW41" s="261"/>
      <c r="HEX41" s="261"/>
      <c r="HEY41" s="261"/>
      <c r="HEZ41" s="261"/>
      <c r="HFA41" s="261"/>
      <c r="HFB41" s="261"/>
      <c r="HFC41" s="261"/>
      <c r="HFD41" s="261"/>
      <c r="HFE41" s="261"/>
      <c r="HFF41" s="261"/>
      <c r="HFG41" s="261"/>
      <c r="HFH41" s="261"/>
      <c r="HFI41" s="261"/>
      <c r="HFJ41" s="261"/>
      <c r="HFK41" s="261"/>
      <c r="HFL41" s="261"/>
      <c r="HFM41" s="261"/>
      <c r="HFN41" s="261"/>
      <c r="HFO41" s="261"/>
      <c r="HFP41" s="261"/>
      <c r="HFQ41" s="261"/>
      <c r="HFR41" s="261"/>
      <c r="HFS41" s="261"/>
      <c r="HFT41" s="261"/>
      <c r="HFU41" s="261"/>
      <c r="HFV41" s="261"/>
      <c r="HFW41" s="261"/>
      <c r="HFX41" s="261"/>
      <c r="HFY41" s="261"/>
      <c r="HFZ41" s="261"/>
      <c r="HGA41" s="261"/>
      <c r="HGB41" s="261"/>
      <c r="HGC41" s="261"/>
      <c r="HGD41" s="261"/>
      <c r="HGE41" s="261"/>
      <c r="HGF41" s="261"/>
      <c r="HGG41" s="261"/>
      <c r="HGH41" s="261"/>
      <c r="HGI41" s="261"/>
      <c r="HGJ41" s="261"/>
      <c r="HGK41" s="261"/>
      <c r="HGL41" s="261"/>
      <c r="HGM41" s="261"/>
      <c r="HGN41" s="261"/>
      <c r="HGO41" s="261"/>
      <c r="HGP41" s="261"/>
      <c r="HGQ41" s="261"/>
      <c r="HGR41" s="261"/>
      <c r="HGS41" s="261"/>
      <c r="HGT41" s="261"/>
      <c r="HGU41" s="261"/>
      <c r="HGV41" s="261"/>
      <c r="HGW41" s="261"/>
      <c r="HGX41" s="261"/>
      <c r="HGY41" s="261"/>
      <c r="HGZ41" s="261"/>
      <c r="HHA41" s="261"/>
      <c r="HHB41" s="261"/>
      <c r="HHC41" s="261"/>
      <c r="HHD41" s="261"/>
      <c r="HHE41" s="261"/>
      <c r="HHF41" s="261"/>
      <c r="HHG41" s="261"/>
      <c r="HHH41" s="261"/>
      <c r="HHI41" s="261"/>
      <c r="HHJ41" s="261"/>
      <c r="HHK41" s="261"/>
      <c r="HHL41" s="261"/>
      <c r="HHM41" s="261"/>
      <c r="HHN41" s="261"/>
      <c r="HHO41" s="261"/>
      <c r="HHP41" s="261"/>
      <c r="HHQ41" s="261"/>
      <c r="HHR41" s="261"/>
      <c r="HHS41" s="261"/>
      <c r="HHT41" s="261"/>
      <c r="HHU41" s="261"/>
      <c r="HHV41" s="261"/>
      <c r="HHW41" s="261"/>
      <c r="HHX41" s="261"/>
      <c r="HHY41" s="261"/>
      <c r="HHZ41" s="261"/>
      <c r="HIA41" s="261"/>
      <c r="HIB41" s="261"/>
      <c r="HIC41" s="261"/>
      <c r="HID41" s="261"/>
      <c r="HIE41" s="261"/>
      <c r="HIF41" s="261"/>
      <c r="HIG41" s="261"/>
      <c r="HIH41" s="261"/>
      <c r="HII41" s="261"/>
      <c r="HIJ41" s="261"/>
      <c r="HIK41" s="261"/>
      <c r="HIL41" s="261"/>
      <c r="HIM41" s="261"/>
      <c r="HIN41" s="261"/>
      <c r="HIO41" s="261"/>
      <c r="HIP41" s="261"/>
      <c r="HIQ41" s="261"/>
      <c r="HIR41" s="261"/>
      <c r="HIS41" s="261"/>
      <c r="HIT41" s="261"/>
      <c r="HIU41" s="261"/>
      <c r="HIV41" s="261"/>
      <c r="HIW41" s="261"/>
      <c r="HIX41" s="261"/>
      <c r="HIY41" s="261"/>
      <c r="HIZ41" s="261"/>
      <c r="HJA41" s="261"/>
      <c r="HJB41" s="261"/>
      <c r="HJC41" s="261"/>
      <c r="HJD41" s="261"/>
      <c r="HJE41" s="261"/>
      <c r="HJF41" s="261"/>
      <c r="HJG41" s="261"/>
      <c r="HJH41" s="261"/>
      <c r="HJI41" s="261"/>
      <c r="HJJ41" s="261"/>
      <c r="HJK41" s="261"/>
      <c r="HJL41" s="261"/>
      <c r="HJM41" s="261"/>
      <c r="HJN41" s="261"/>
      <c r="HJO41" s="261"/>
      <c r="HJP41" s="261"/>
      <c r="HJQ41" s="261"/>
      <c r="HJR41" s="261"/>
      <c r="HJS41" s="261"/>
      <c r="HJT41" s="261"/>
      <c r="HJU41" s="261"/>
      <c r="HJV41" s="261"/>
      <c r="HJW41" s="261"/>
      <c r="HJX41" s="261"/>
      <c r="HJY41" s="261"/>
      <c r="HJZ41" s="261"/>
      <c r="HKA41" s="261"/>
      <c r="HKB41" s="261"/>
      <c r="HKC41" s="261"/>
      <c r="HKD41" s="261"/>
      <c r="HKE41" s="261"/>
      <c r="HKF41" s="261"/>
      <c r="HKG41" s="261"/>
      <c r="HKH41" s="261"/>
      <c r="HKI41" s="261"/>
      <c r="HKJ41" s="261"/>
      <c r="HKK41" s="261"/>
      <c r="HKL41" s="261"/>
      <c r="HKM41" s="261"/>
      <c r="HKN41" s="261"/>
      <c r="HKO41" s="261"/>
      <c r="HKP41" s="261"/>
      <c r="HKQ41" s="261"/>
      <c r="HKR41" s="261"/>
      <c r="HKS41" s="261"/>
      <c r="HKT41" s="261"/>
      <c r="HKU41" s="261"/>
      <c r="HKV41" s="261"/>
      <c r="HKW41" s="261"/>
      <c r="HKX41" s="261"/>
      <c r="HKY41" s="261"/>
      <c r="HKZ41" s="261"/>
      <c r="HLA41" s="261"/>
      <c r="HLB41" s="261"/>
      <c r="HLC41" s="261"/>
      <c r="HLD41" s="261"/>
      <c r="HLE41" s="261"/>
      <c r="HLF41" s="261"/>
      <c r="HLG41" s="261"/>
      <c r="HLH41" s="261"/>
      <c r="HLI41" s="261"/>
      <c r="HLJ41" s="261"/>
      <c r="HLK41" s="261"/>
      <c r="HLL41" s="261"/>
      <c r="HLM41" s="261"/>
      <c r="HLN41" s="261"/>
      <c r="HLO41" s="261"/>
      <c r="HLP41" s="261"/>
      <c r="HLQ41" s="261"/>
      <c r="HLR41" s="261"/>
      <c r="HLS41" s="261"/>
      <c r="HLT41" s="261"/>
      <c r="HLU41" s="261"/>
      <c r="HLV41" s="261"/>
      <c r="HLW41" s="261"/>
      <c r="HLX41" s="261"/>
      <c r="HLY41" s="261"/>
      <c r="HLZ41" s="261"/>
      <c r="HMA41" s="261"/>
      <c r="HMB41" s="261"/>
      <c r="HMC41" s="261"/>
      <c r="HMD41" s="261"/>
      <c r="HME41" s="261"/>
      <c r="HMF41" s="261"/>
      <c r="HMG41" s="261"/>
      <c r="HMH41" s="261"/>
      <c r="HMI41" s="261"/>
      <c r="HMJ41" s="261"/>
      <c r="HMK41" s="261"/>
      <c r="HML41" s="261"/>
      <c r="HMM41" s="261"/>
      <c r="HMN41" s="261"/>
      <c r="HMO41" s="261"/>
      <c r="HMP41" s="261"/>
      <c r="HMQ41" s="261"/>
      <c r="HMR41" s="261"/>
      <c r="HMS41" s="261"/>
      <c r="HMT41" s="261"/>
      <c r="HMU41" s="261"/>
      <c r="HMV41" s="261"/>
      <c r="HMW41" s="261"/>
      <c r="HMX41" s="261"/>
      <c r="HMY41" s="261"/>
      <c r="HMZ41" s="261"/>
      <c r="HNA41" s="261"/>
      <c r="HNB41" s="261"/>
      <c r="HNC41" s="261"/>
      <c r="HND41" s="261"/>
      <c r="HNE41" s="261"/>
      <c r="HNF41" s="261"/>
      <c r="HNG41" s="261"/>
      <c r="HNH41" s="261"/>
      <c r="HNI41" s="261"/>
      <c r="HNJ41" s="261"/>
      <c r="HNK41" s="261"/>
      <c r="HNL41" s="261"/>
      <c r="HNM41" s="261"/>
      <c r="HNN41" s="261"/>
      <c r="HNO41" s="261"/>
      <c r="HNP41" s="261"/>
      <c r="HNQ41" s="261"/>
      <c r="HNR41" s="261"/>
      <c r="HNS41" s="261"/>
      <c r="HNT41" s="261"/>
      <c r="HNU41" s="261"/>
      <c r="HNV41" s="261"/>
      <c r="HNW41" s="261"/>
      <c r="HNX41" s="261"/>
      <c r="HNY41" s="261"/>
      <c r="HNZ41" s="261"/>
      <c r="HOA41" s="261"/>
      <c r="HOB41" s="261"/>
      <c r="HOC41" s="261"/>
      <c r="HOD41" s="261"/>
      <c r="HOE41" s="261"/>
      <c r="HOF41" s="261"/>
      <c r="HOG41" s="261"/>
      <c r="HOH41" s="261"/>
      <c r="HOI41" s="261"/>
      <c r="HOJ41" s="261"/>
      <c r="HOK41" s="261"/>
      <c r="HOL41" s="261"/>
      <c r="HOM41" s="261"/>
      <c r="HON41" s="261"/>
      <c r="HOO41" s="261"/>
      <c r="HOP41" s="261"/>
      <c r="HOQ41" s="261"/>
      <c r="HOR41" s="261"/>
      <c r="HOS41" s="261"/>
      <c r="HOT41" s="261"/>
      <c r="HOU41" s="261"/>
      <c r="HOV41" s="261"/>
      <c r="HOW41" s="261"/>
      <c r="HOX41" s="261"/>
      <c r="HOY41" s="261"/>
      <c r="HOZ41" s="261"/>
      <c r="HPA41" s="261"/>
      <c r="HPB41" s="261"/>
      <c r="HPC41" s="261"/>
      <c r="HPD41" s="261"/>
      <c r="HPE41" s="261"/>
      <c r="HPF41" s="261"/>
      <c r="HPG41" s="261"/>
      <c r="HPH41" s="261"/>
      <c r="HPI41" s="261"/>
      <c r="HPJ41" s="261"/>
      <c r="HPK41" s="261"/>
      <c r="HPL41" s="261"/>
      <c r="HPM41" s="261"/>
      <c r="HPN41" s="261"/>
      <c r="HPO41" s="261"/>
      <c r="HPP41" s="261"/>
      <c r="HPQ41" s="261"/>
      <c r="HPR41" s="261"/>
      <c r="HPS41" s="261"/>
      <c r="HPT41" s="261"/>
      <c r="HPU41" s="261"/>
      <c r="HPV41" s="261"/>
      <c r="HPW41" s="261"/>
      <c r="HPX41" s="261"/>
      <c r="HPY41" s="261"/>
      <c r="HPZ41" s="261"/>
      <c r="HQA41" s="261"/>
      <c r="HQB41" s="261"/>
      <c r="HQC41" s="261"/>
      <c r="HQD41" s="261"/>
      <c r="HQE41" s="261"/>
      <c r="HQF41" s="261"/>
      <c r="HQG41" s="261"/>
      <c r="HQH41" s="261"/>
      <c r="HQI41" s="261"/>
      <c r="HQJ41" s="261"/>
      <c r="HQK41" s="261"/>
      <c r="HQL41" s="261"/>
      <c r="HQM41" s="261"/>
      <c r="HQN41" s="261"/>
      <c r="HQO41" s="261"/>
      <c r="HQP41" s="261"/>
      <c r="HQQ41" s="261"/>
      <c r="HQR41" s="261"/>
      <c r="HQS41" s="261"/>
      <c r="HQT41" s="261"/>
      <c r="HQU41" s="261"/>
      <c r="HQV41" s="261"/>
      <c r="HQW41" s="261"/>
      <c r="HQX41" s="261"/>
      <c r="HQY41" s="261"/>
      <c r="HQZ41" s="261"/>
      <c r="HRA41" s="261"/>
      <c r="HRB41" s="261"/>
      <c r="HRC41" s="261"/>
      <c r="HRD41" s="261"/>
      <c r="HRE41" s="261"/>
      <c r="HRF41" s="261"/>
      <c r="HRG41" s="261"/>
      <c r="HRH41" s="261"/>
      <c r="HRI41" s="261"/>
      <c r="HRJ41" s="261"/>
      <c r="HRK41" s="261"/>
      <c r="HRL41" s="261"/>
      <c r="HRM41" s="261"/>
      <c r="HRN41" s="261"/>
      <c r="HRO41" s="261"/>
      <c r="HRP41" s="261"/>
      <c r="HRQ41" s="261"/>
      <c r="HRR41" s="261"/>
      <c r="HRS41" s="261"/>
      <c r="HRT41" s="261"/>
      <c r="HRU41" s="261"/>
      <c r="HRV41" s="261"/>
      <c r="HRW41" s="261"/>
      <c r="HRX41" s="261"/>
      <c r="HRY41" s="261"/>
      <c r="HRZ41" s="261"/>
      <c r="HSA41" s="261"/>
      <c r="HSB41" s="261"/>
      <c r="HSC41" s="261"/>
      <c r="HSD41" s="261"/>
      <c r="HSE41" s="261"/>
      <c r="HSF41" s="261"/>
      <c r="HSG41" s="261"/>
      <c r="HSH41" s="261"/>
      <c r="HSI41" s="261"/>
      <c r="HSJ41" s="261"/>
      <c r="HSK41" s="261"/>
      <c r="HSL41" s="261"/>
      <c r="HSM41" s="261"/>
      <c r="HSN41" s="261"/>
      <c r="HSO41" s="261"/>
      <c r="HSP41" s="261"/>
      <c r="HSQ41" s="261"/>
      <c r="HSR41" s="261"/>
      <c r="HSS41" s="261"/>
      <c r="HST41" s="261"/>
      <c r="HSU41" s="261"/>
      <c r="HSV41" s="261"/>
      <c r="HSW41" s="261"/>
      <c r="HSX41" s="261"/>
      <c r="HSY41" s="261"/>
      <c r="HSZ41" s="261"/>
      <c r="HTA41" s="261"/>
      <c r="HTB41" s="261"/>
      <c r="HTC41" s="261"/>
      <c r="HTD41" s="261"/>
      <c r="HTE41" s="261"/>
      <c r="HTF41" s="261"/>
      <c r="HTG41" s="261"/>
      <c r="HTH41" s="261"/>
      <c r="HTI41" s="261"/>
      <c r="HTJ41" s="261"/>
      <c r="HTK41" s="261"/>
      <c r="HTL41" s="261"/>
      <c r="HTM41" s="261"/>
      <c r="HTN41" s="261"/>
      <c r="HTO41" s="261"/>
      <c r="HTP41" s="261"/>
      <c r="HTQ41" s="261"/>
      <c r="HTR41" s="261"/>
      <c r="HTS41" s="261"/>
      <c r="HTT41" s="261"/>
      <c r="HTU41" s="261"/>
      <c r="HTV41" s="261"/>
      <c r="HTW41" s="261"/>
      <c r="HTX41" s="261"/>
      <c r="HTY41" s="261"/>
      <c r="HTZ41" s="261"/>
      <c r="HUA41" s="261"/>
      <c r="HUB41" s="261"/>
      <c r="HUC41" s="261"/>
      <c r="HUD41" s="261"/>
      <c r="HUE41" s="261"/>
      <c r="HUF41" s="261"/>
      <c r="HUG41" s="261"/>
      <c r="HUH41" s="261"/>
      <c r="HUI41" s="261"/>
      <c r="HUJ41" s="261"/>
      <c r="HUK41" s="261"/>
      <c r="HUL41" s="261"/>
      <c r="HUM41" s="261"/>
      <c r="HUN41" s="261"/>
      <c r="HUO41" s="261"/>
      <c r="HUP41" s="261"/>
      <c r="HUQ41" s="261"/>
      <c r="HUR41" s="261"/>
      <c r="HUS41" s="261"/>
      <c r="HUT41" s="261"/>
      <c r="HUU41" s="261"/>
      <c r="HUV41" s="261"/>
      <c r="HUW41" s="261"/>
      <c r="HUX41" s="261"/>
      <c r="HUY41" s="261"/>
      <c r="HUZ41" s="261"/>
      <c r="HVA41" s="261"/>
      <c r="HVB41" s="261"/>
      <c r="HVC41" s="261"/>
      <c r="HVD41" s="261"/>
      <c r="HVE41" s="261"/>
      <c r="HVF41" s="261"/>
      <c r="HVG41" s="261"/>
      <c r="HVH41" s="261"/>
      <c r="HVI41" s="261"/>
      <c r="HVJ41" s="261"/>
      <c r="HVK41" s="261"/>
      <c r="HVL41" s="261"/>
      <c r="HVM41" s="261"/>
      <c r="HVN41" s="261"/>
      <c r="HVO41" s="261"/>
      <c r="HVP41" s="261"/>
      <c r="HVQ41" s="261"/>
      <c r="HVR41" s="261"/>
      <c r="HVS41" s="261"/>
      <c r="HVT41" s="261"/>
      <c r="HVU41" s="261"/>
      <c r="HVV41" s="261"/>
      <c r="HVW41" s="261"/>
      <c r="HVX41" s="261"/>
      <c r="HVY41" s="261"/>
      <c r="HVZ41" s="261"/>
      <c r="HWA41" s="261"/>
      <c r="HWB41" s="261"/>
      <c r="HWC41" s="261"/>
      <c r="HWD41" s="261"/>
      <c r="HWE41" s="261"/>
      <c r="HWF41" s="261"/>
      <c r="HWG41" s="261"/>
      <c r="HWH41" s="261"/>
      <c r="HWI41" s="261"/>
      <c r="HWJ41" s="261"/>
      <c r="HWK41" s="261"/>
      <c r="HWL41" s="261"/>
      <c r="HWM41" s="261"/>
      <c r="HWN41" s="261"/>
      <c r="HWO41" s="261"/>
      <c r="HWP41" s="261"/>
      <c r="HWQ41" s="261"/>
      <c r="HWR41" s="261"/>
      <c r="HWS41" s="261"/>
      <c r="HWT41" s="261"/>
      <c r="HWU41" s="261"/>
      <c r="HWV41" s="261"/>
      <c r="HWW41" s="261"/>
      <c r="HWX41" s="261"/>
      <c r="HWY41" s="261"/>
      <c r="HWZ41" s="261"/>
      <c r="HXA41" s="261"/>
      <c r="HXB41" s="261"/>
      <c r="HXC41" s="261"/>
      <c r="HXD41" s="261"/>
      <c r="HXE41" s="261"/>
      <c r="HXF41" s="261"/>
      <c r="HXG41" s="261"/>
      <c r="HXH41" s="261"/>
      <c r="HXI41" s="261"/>
      <c r="HXJ41" s="261"/>
      <c r="HXK41" s="261"/>
      <c r="HXL41" s="261"/>
      <c r="HXM41" s="261"/>
      <c r="HXN41" s="261"/>
      <c r="HXO41" s="261"/>
      <c r="HXP41" s="261"/>
      <c r="HXQ41" s="261"/>
      <c r="HXR41" s="261"/>
      <c r="HXS41" s="261"/>
      <c r="HXT41" s="261"/>
      <c r="HXU41" s="261"/>
      <c r="HXV41" s="261"/>
      <c r="HXW41" s="261"/>
      <c r="HXX41" s="261"/>
      <c r="HXY41" s="261"/>
      <c r="HXZ41" s="261"/>
      <c r="HYA41" s="261"/>
      <c r="HYB41" s="261"/>
      <c r="HYC41" s="261"/>
      <c r="HYD41" s="261"/>
      <c r="HYE41" s="261"/>
      <c r="HYF41" s="261"/>
      <c r="HYG41" s="261"/>
      <c r="HYH41" s="261"/>
      <c r="HYI41" s="261"/>
      <c r="HYJ41" s="261"/>
      <c r="HYK41" s="261"/>
      <c r="HYL41" s="261"/>
      <c r="HYM41" s="261"/>
      <c r="HYN41" s="261"/>
      <c r="HYO41" s="261"/>
      <c r="HYP41" s="261"/>
      <c r="HYQ41" s="261"/>
      <c r="HYR41" s="261"/>
      <c r="HYS41" s="261"/>
      <c r="HYT41" s="261"/>
      <c r="HYU41" s="261"/>
      <c r="HYV41" s="261"/>
      <c r="HYW41" s="261"/>
      <c r="HYX41" s="261"/>
      <c r="HYY41" s="261"/>
      <c r="HYZ41" s="261"/>
      <c r="HZA41" s="261"/>
      <c r="HZB41" s="261"/>
      <c r="HZC41" s="261"/>
      <c r="HZD41" s="261"/>
      <c r="HZE41" s="261"/>
      <c r="HZF41" s="261"/>
      <c r="HZG41" s="261"/>
      <c r="HZH41" s="261"/>
      <c r="HZI41" s="261"/>
      <c r="HZJ41" s="261"/>
      <c r="HZK41" s="261"/>
      <c r="HZL41" s="261"/>
      <c r="HZM41" s="261"/>
      <c r="HZN41" s="261"/>
      <c r="HZO41" s="261"/>
      <c r="HZP41" s="261"/>
      <c r="HZQ41" s="261"/>
      <c r="HZR41" s="261"/>
      <c r="HZS41" s="261"/>
      <c r="HZT41" s="261"/>
      <c r="HZU41" s="261"/>
      <c r="HZV41" s="261"/>
      <c r="HZW41" s="261"/>
      <c r="HZX41" s="261"/>
      <c r="HZY41" s="261"/>
      <c r="HZZ41" s="261"/>
      <c r="IAA41" s="261"/>
      <c r="IAB41" s="261"/>
      <c r="IAC41" s="261"/>
      <c r="IAD41" s="261"/>
      <c r="IAE41" s="261"/>
      <c r="IAF41" s="261"/>
      <c r="IAG41" s="261"/>
      <c r="IAH41" s="261"/>
      <c r="IAI41" s="261"/>
      <c r="IAJ41" s="261"/>
      <c r="IAK41" s="261"/>
      <c r="IAL41" s="261"/>
      <c r="IAM41" s="261"/>
      <c r="IAN41" s="261"/>
      <c r="IAO41" s="261"/>
      <c r="IAP41" s="261"/>
      <c r="IAQ41" s="261"/>
      <c r="IAR41" s="261"/>
      <c r="IAS41" s="261"/>
      <c r="IAT41" s="261"/>
      <c r="IAU41" s="261"/>
      <c r="IAV41" s="261"/>
      <c r="IAW41" s="261"/>
      <c r="IAX41" s="261"/>
      <c r="IAY41" s="261"/>
      <c r="IAZ41" s="261"/>
      <c r="IBA41" s="261"/>
      <c r="IBB41" s="261"/>
      <c r="IBC41" s="261"/>
      <c r="IBD41" s="261"/>
      <c r="IBE41" s="261"/>
      <c r="IBF41" s="261"/>
      <c r="IBG41" s="261"/>
      <c r="IBH41" s="261"/>
      <c r="IBI41" s="261"/>
      <c r="IBJ41" s="261"/>
      <c r="IBK41" s="261"/>
      <c r="IBL41" s="261"/>
      <c r="IBM41" s="261"/>
      <c r="IBN41" s="261"/>
      <c r="IBO41" s="261"/>
      <c r="IBP41" s="261"/>
      <c r="IBQ41" s="261"/>
      <c r="IBR41" s="261"/>
      <c r="IBS41" s="261"/>
      <c r="IBT41" s="261"/>
      <c r="IBU41" s="261"/>
      <c r="IBV41" s="261"/>
      <c r="IBW41" s="261"/>
      <c r="IBX41" s="261"/>
      <c r="IBY41" s="261"/>
      <c r="IBZ41" s="261"/>
      <c r="ICA41" s="261"/>
      <c r="ICB41" s="261"/>
      <c r="ICC41" s="261"/>
      <c r="ICD41" s="261"/>
      <c r="ICE41" s="261"/>
      <c r="ICF41" s="261"/>
      <c r="ICG41" s="261"/>
      <c r="ICH41" s="261"/>
      <c r="ICI41" s="261"/>
      <c r="ICJ41" s="261"/>
      <c r="ICK41" s="261"/>
      <c r="ICL41" s="261"/>
      <c r="ICM41" s="261"/>
      <c r="ICN41" s="261"/>
      <c r="ICO41" s="261"/>
      <c r="ICP41" s="261"/>
      <c r="ICQ41" s="261"/>
      <c r="ICR41" s="261"/>
      <c r="ICS41" s="261"/>
      <c r="ICT41" s="261"/>
      <c r="ICU41" s="261"/>
      <c r="ICV41" s="261"/>
      <c r="ICW41" s="261"/>
      <c r="ICX41" s="261"/>
      <c r="ICY41" s="261"/>
      <c r="ICZ41" s="261"/>
      <c r="IDA41" s="261"/>
      <c r="IDB41" s="261"/>
      <c r="IDC41" s="261"/>
      <c r="IDD41" s="261"/>
      <c r="IDE41" s="261"/>
      <c r="IDF41" s="261"/>
      <c r="IDG41" s="261"/>
      <c r="IDH41" s="261"/>
      <c r="IDI41" s="261"/>
      <c r="IDJ41" s="261"/>
      <c r="IDK41" s="261"/>
      <c r="IDL41" s="261"/>
      <c r="IDM41" s="261"/>
      <c r="IDN41" s="261"/>
      <c r="IDO41" s="261"/>
      <c r="IDP41" s="261"/>
      <c r="IDQ41" s="261"/>
      <c r="IDR41" s="261"/>
      <c r="IDS41" s="261"/>
      <c r="IDT41" s="261"/>
      <c r="IDU41" s="261"/>
      <c r="IDV41" s="261"/>
      <c r="IDW41" s="261"/>
      <c r="IDX41" s="261"/>
      <c r="IDY41" s="261"/>
      <c r="IDZ41" s="261"/>
      <c r="IEA41" s="261"/>
      <c r="IEB41" s="261"/>
      <c r="IEC41" s="261"/>
      <c r="IED41" s="261"/>
      <c r="IEE41" s="261"/>
      <c r="IEF41" s="261"/>
      <c r="IEG41" s="261"/>
      <c r="IEH41" s="261"/>
      <c r="IEI41" s="261"/>
      <c r="IEJ41" s="261"/>
      <c r="IEK41" s="261"/>
      <c r="IEL41" s="261"/>
      <c r="IEM41" s="261"/>
      <c r="IEN41" s="261"/>
      <c r="IEO41" s="261"/>
      <c r="IEP41" s="261"/>
      <c r="IEQ41" s="261"/>
      <c r="IER41" s="261"/>
      <c r="IES41" s="261"/>
      <c r="IET41" s="261"/>
      <c r="IEU41" s="261"/>
      <c r="IEV41" s="261"/>
      <c r="IEW41" s="261"/>
      <c r="IEX41" s="261"/>
      <c r="IEY41" s="261"/>
      <c r="IEZ41" s="261"/>
      <c r="IFA41" s="261"/>
      <c r="IFB41" s="261"/>
      <c r="IFC41" s="261"/>
      <c r="IFD41" s="261"/>
      <c r="IFE41" s="261"/>
      <c r="IFF41" s="261"/>
      <c r="IFG41" s="261"/>
      <c r="IFH41" s="261"/>
      <c r="IFI41" s="261"/>
      <c r="IFJ41" s="261"/>
      <c r="IFK41" s="261"/>
      <c r="IFL41" s="261"/>
      <c r="IFM41" s="261"/>
      <c r="IFN41" s="261"/>
      <c r="IFO41" s="261"/>
      <c r="IFP41" s="261"/>
      <c r="IFQ41" s="261"/>
      <c r="IFR41" s="261"/>
      <c r="IFS41" s="261"/>
      <c r="IFT41" s="261"/>
      <c r="IFU41" s="261"/>
      <c r="IFV41" s="261"/>
      <c r="IFW41" s="261"/>
      <c r="IFX41" s="261"/>
      <c r="IFY41" s="261"/>
      <c r="IFZ41" s="261"/>
      <c r="IGA41" s="261"/>
      <c r="IGB41" s="261"/>
      <c r="IGC41" s="261"/>
      <c r="IGD41" s="261"/>
      <c r="IGE41" s="261"/>
      <c r="IGF41" s="261"/>
      <c r="IGG41" s="261"/>
      <c r="IGH41" s="261"/>
      <c r="IGI41" s="261"/>
      <c r="IGJ41" s="261"/>
      <c r="IGK41" s="261"/>
      <c r="IGL41" s="261"/>
      <c r="IGM41" s="261"/>
      <c r="IGN41" s="261"/>
      <c r="IGO41" s="261"/>
      <c r="IGP41" s="261"/>
      <c r="IGQ41" s="261"/>
      <c r="IGR41" s="261"/>
      <c r="IGS41" s="261"/>
      <c r="IGT41" s="261"/>
      <c r="IGU41" s="261"/>
      <c r="IGV41" s="261"/>
      <c r="IGW41" s="261"/>
      <c r="IGX41" s="261"/>
      <c r="IGY41" s="261"/>
      <c r="IGZ41" s="261"/>
      <c r="IHA41" s="261"/>
      <c r="IHB41" s="261"/>
      <c r="IHC41" s="261"/>
      <c r="IHD41" s="261"/>
      <c r="IHE41" s="261"/>
      <c r="IHF41" s="261"/>
      <c r="IHG41" s="261"/>
      <c r="IHH41" s="261"/>
      <c r="IHI41" s="261"/>
      <c r="IHJ41" s="261"/>
      <c r="IHK41" s="261"/>
      <c r="IHL41" s="261"/>
      <c r="IHM41" s="261"/>
      <c r="IHN41" s="261"/>
      <c r="IHO41" s="261"/>
      <c r="IHP41" s="261"/>
      <c r="IHQ41" s="261"/>
      <c r="IHR41" s="261"/>
      <c r="IHS41" s="261"/>
      <c r="IHT41" s="261"/>
      <c r="IHU41" s="261"/>
      <c r="IHV41" s="261"/>
      <c r="IHW41" s="261"/>
      <c r="IHX41" s="261"/>
      <c r="IHY41" s="261"/>
      <c r="IHZ41" s="261"/>
      <c r="IIA41" s="261"/>
      <c r="IIB41" s="261"/>
      <c r="IIC41" s="261"/>
      <c r="IID41" s="261"/>
      <c r="IIE41" s="261"/>
      <c r="IIF41" s="261"/>
      <c r="IIG41" s="261"/>
      <c r="IIH41" s="261"/>
      <c r="III41" s="261"/>
      <c r="IIJ41" s="261"/>
      <c r="IIK41" s="261"/>
      <c r="IIL41" s="261"/>
      <c r="IIM41" s="261"/>
      <c r="IIN41" s="261"/>
      <c r="IIO41" s="261"/>
      <c r="IIP41" s="261"/>
      <c r="IIQ41" s="261"/>
      <c r="IIR41" s="261"/>
      <c r="IIS41" s="261"/>
      <c r="IIT41" s="261"/>
      <c r="IIU41" s="261"/>
      <c r="IIV41" s="261"/>
      <c r="IIW41" s="261"/>
      <c r="IIX41" s="261"/>
      <c r="IIY41" s="261"/>
      <c r="IIZ41" s="261"/>
      <c r="IJA41" s="261"/>
      <c r="IJB41" s="261"/>
      <c r="IJC41" s="261"/>
      <c r="IJD41" s="261"/>
      <c r="IJE41" s="261"/>
      <c r="IJF41" s="261"/>
      <c r="IJG41" s="261"/>
      <c r="IJH41" s="261"/>
      <c r="IJI41" s="261"/>
      <c r="IJJ41" s="261"/>
      <c r="IJK41" s="261"/>
      <c r="IJL41" s="261"/>
      <c r="IJM41" s="261"/>
      <c r="IJN41" s="261"/>
      <c r="IJO41" s="261"/>
      <c r="IJP41" s="261"/>
      <c r="IJQ41" s="261"/>
      <c r="IJR41" s="261"/>
      <c r="IJS41" s="261"/>
      <c r="IJT41" s="261"/>
      <c r="IJU41" s="261"/>
      <c r="IJV41" s="261"/>
      <c r="IJW41" s="261"/>
      <c r="IJX41" s="261"/>
      <c r="IJY41" s="261"/>
      <c r="IJZ41" s="261"/>
      <c r="IKA41" s="261"/>
      <c r="IKB41" s="261"/>
      <c r="IKC41" s="261"/>
      <c r="IKD41" s="261"/>
      <c r="IKE41" s="261"/>
      <c r="IKF41" s="261"/>
      <c r="IKG41" s="261"/>
      <c r="IKH41" s="261"/>
      <c r="IKI41" s="261"/>
      <c r="IKJ41" s="261"/>
      <c r="IKK41" s="261"/>
      <c r="IKL41" s="261"/>
      <c r="IKM41" s="261"/>
      <c r="IKN41" s="261"/>
      <c r="IKO41" s="261"/>
      <c r="IKP41" s="261"/>
      <c r="IKQ41" s="261"/>
      <c r="IKR41" s="261"/>
      <c r="IKS41" s="261"/>
      <c r="IKT41" s="261"/>
      <c r="IKU41" s="261"/>
      <c r="IKV41" s="261"/>
      <c r="IKW41" s="261"/>
      <c r="IKX41" s="261"/>
      <c r="IKY41" s="261"/>
      <c r="IKZ41" s="261"/>
      <c r="ILA41" s="261"/>
      <c r="ILB41" s="261"/>
      <c r="ILC41" s="261"/>
      <c r="ILD41" s="261"/>
      <c r="ILE41" s="261"/>
      <c r="ILF41" s="261"/>
      <c r="ILG41" s="261"/>
      <c r="ILH41" s="261"/>
      <c r="ILI41" s="261"/>
      <c r="ILJ41" s="261"/>
      <c r="ILK41" s="261"/>
      <c r="ILL41" s="261"/>
      <c r="ILM41" s="261"/>
      <c r="ILN41" s="261"/>
      <c r="ILO41" s="261"/>
      <c r="ILP41" s="261"/>
      <c r="ILQ41" s="261"/>
      <c r="ILR41" s="261"/>
      <c r="ILS41" s="261"/>
      <c r="ILT41" s="261"/>
      <c r="ILU41" s="261"/>
      <c r="ILV41" s="261"/>
      <c r="ILW41" s="261"/>
      <c r="ILX41" s="261"/>
      <c r="ILY41" s="261"/>
      <c r="ILZ41" s="261"/>
      <c r="IMA41" s="261"/>
      <c r="IMB41" s="261"/>
      <c r="IMC41" s="261"/>
      <c r="IMD41" s="261"/>
      <c r="IME41" s="261"/>
      <c r="IMF41" s="261"/>
      <c r="IMG41" s="261"/>
      <c r="IMH41" s="261"/>
      <c r="IMI41" s="261"/>
      <c r="IMJ41" s="261"/>
      <c r="IMK41" s="261"/>
      <c r="IML41" s="261"/>
      <c r="IMM41" s="261"/>
      <c r="IMN41" s="261"/>
      <c r="IMO41" s="261"/>
      <c r="IMP41" s="261"/>
      <c r="IMQ41" s="261"/>
      <c r="IMR41" s="261"/>
      <c r="IMS41" s="261"/>
      <c r="IMT41" s="261"/>
      <c r="IMU41" s="261"/>
      <c r="IMV41" s="261"/>
      <c r="IMW41" s="261"/>
      <c r="IMX41" s="261"/>
      <c r="IMY41" s="261"/>
      <c r="IMZ41" s="261"/>
      <c r="INA41" s="261"/>
      <c r="INB41" s="261"/>
      <c r="INC41" s="261"/>
      <c r="IND41" s="261"/>
      <c r="INE41" s="261"/>
      <c r="INF41" s="261"/>
      <c r="ING41" s="261"/>
      <c r="INH41" s="261"/>
      <c r="INI41" s="261"/>
      <c r="INJ41" s="261"/>
      <c r="INK41" s="261"/>
      <c r="INL41" s="261"/>
      <c r="INM41" s="261"/>
      <c r="INN41" s="261"/>
      <c r="INO41" s="261"/>
      <c r="INP41" s="261"/>
      <c r="INQ41" s="261"/>
      <c r="INR41" s="261"/>
      <c r="INS41" s="261"/>
      <c r="INT41" s="261"/>
      <c r="INU41" s="261"/>
      <c r="INV41" s="261"/>
      <c r="INW41" s="261"/>
      <c r="INX41" s="261"/>
      <c r="INY41" s="261"/>
      <c r="INZ41" s="261"/>
      <c r="IOA41" s="261"/>
      <c r="IOB41" s="261"/>
      <c r="IOC41" s="261"/>
      <c r="IOD41" s="261"/>
      <c r="IOE41" s="261"/>
      <c r="IOF41" s="261"/>
      <c r="IOG41" s="261"/>
      <c r="IOH41" s="261"/>
      <c r="IOI41" s="261"/>
      <c r="IOJ41" s="261"/>
      <c r="IOK41" s="261"/>
      <c r="IOL41" s="261"/>
      <c r="IOM41" s="261"/>
      <c r="ION41" s="261"/>
      <c r="IOO41" s="261"/>
      <c r="IOP41" s="261"/>
      <c r="IOQ41" s="261"/>
      <c r="IOR41" s="261"/>
      <c r="IOS41" s="261"/>
      <c r="IOT41" s="261"/>
      <c r="IOU41" s="261"/>
      <c r="IOV41" s="261"/>
      <c r="IOW41" s="261"/>
      <c r="IOX41" s="261"/>
      <c r="IOY41" s="261"/>
      <c r="IOZ41" s="261"/>
      <c r="IPA41" s="261"/>
      <c r="IPB41" s="261"/>
      <c r="IPC41" s="261"/>
      <c r="IPD41" s="261"/>
      <c r="IPE41" s="261"/>
      <c r="IPF41" s="261"/>
      <c r="IPG41" s="261"/>
      <c r="IPH41" s="261"/>
      <c r="IPI41" s="261"/>
      <c r="IPJ41" s="261"/>
      <c r="IPK41" s="261"/>
      <c r="IPL41" s="261"/>
      <c r="IPM41" s="261"/>
      <c r="IPN41" s="261"/>
      <c r="IPO41" s="261"/>
      <c r="IPP41" s="261"/>
      <c r="IPQ41" s="261"/>
      <c r="IPR41" s="261"/>
      <c r="IPS41" s="261"/>
      <c r="IPT41" s="261"/>
      <c r="IPU41" s="261"/>
      <c r="IPV41" s="261"/>
      <c r="IPW41" s="261"/>
      <c r="IPX41" s="261"/>
      <c r="IPY41" s="261"/>
      <c r="IPZ41" s="261"/>
      <c r="IQA41" s="261"/>
      <c r="IQB41" s="261"/>
      <c r="IQC41" s="261"/>
      <c r="IQD41" s="261"/>
      <c r="IQE41" s="261"/>
      <c r="IQF41" s="261"/>
      <c r="IQG41" s="261"/>
      <c r="IQH41" s="261"/>
      <c r="IQI41" s="261"/>
      <c r="IQJ41" s="261"/>
      <c r="IQK41" s="261"/>
      <c r="IQL41" s="261"/>
      <c r="IQM41" s="261"/>
      <c r="IQN41" s="261"/>
      <c r="IQO41" s="261"/>
      <c r="IQP41" s="261"/>
      <c r="IQQ41" s="261"/>
      <c r="IQR41" s="261"/>
      <c r="IQS41" s="261"/>
      <c r="IQT41" s="261"/>
      <c r="IQU41" s="261"/>
      <c r="IQV41" s="261"/>
      <c r="IQW41" s="261"/>
      <c r="IQX41" s="261"/>
      <c r="IQY41" s="261"/>
      <c r="IQZ41" s="261"/>
      <c r="IRA41" s="261"/>
      <c r="IRB41" s="261"/>
      <c r="IRC41" s="261"/>
      <c r="IRD41" s="261"/>
      <c r="IRE41" s="261"/>
      <c r="IRF41" s="261"/>
      <c r="IRG41" s="261"/>
      <c r="IRH41" s="261"/>
      <c r="IRI41" s="261"/>
      <c r="IRJ41" s="261"/>
      <c r="IRK41" s="261"/>
      <c r="IRL41" s="261"/>
      <c r="IRM41" s="261"/>
      <c r="IRN41" s="261"/>
      <c r="IRO41" s="261"/>
      <c r="IRP41" s="261"/>
      <c r="IRQ41" s="261"/>
      <c r="IRR41" s="261"/>
      <c r="IRS41" s="261"/>
      <c r="IRT41" s="261"/>
      <c r="IRU41" s="261"/>
      <c r="IRV41" s="261"/>
      <c r="IRW41" s="261"/>
      <c r="IRX41" s="261"/>
      <c r="IRY41" s="261"/>
      <c r="IRZ41" s="261"/>
      <c r="ISA41" s="261"/>
      <c r="ISB41" s="261"/>
      <c r="ISC41" s="261"/>
      <c r="ISD41" s="261"/>
      <c r="ISE41" s="261"/>
      <c r="ISF41" s="261"/>
      <c r="ISG41" s="261"/>
      <c r="ISH41" s="261"/>
      <c r="ISI41" s="261"/>
      <c r="ISJ41" s="261"/>
      <c r="ISK41" s="261"/>
      <c r="ISL41" s="261"/>
      <c r="ISM41" s="261"/>
      <c r="ISN41" s="261"/>
      <c r="ISO41" s="261"/>
      <c r="ISP41" s="261"/>
      <c r="ISQ41" s="261"/>
      <c r="ISR41" s="261"/>
      <c r="ISS41" s="261"/>
      <c r="IST41" s="261"/>
      <c r="ISU41" s="261"/>
      <c r="ISV41" s="261"/>
      <c r="ISW41" s="261"/>
      <c r="ISX41" s="261"/>
      <c r="ISY41" s="261"/>
      <c r="ISZ41" s="261"/>
      <c r="ITA41" s="261"/>
      <c r="ITB41" s="261"/>
      <c r="ITC41" s="261"/>
      <c r="ITD41" s="261"/>
      <c r="ITE41" s="261"/>
      <c r="ITF41" s="261"/>
      <c r="ITG41" s="261"/>
      <c r="ITH41" s="261"/>
      <c r="ITI41" s="261"/>
      <c r="ITJ41" s="261"/>
      <c r="ITK41" s="261"/>
      <c r="ITL41" s="261"/>
      <c r="ITM41" s="261"/>
      <c r="ITN41" s="261"/>
      <c r="ITO41" s="261"/>
      <c r="ITP41" s="261"/>
      <c r="ITQ41" s="261"/>
      <c r="ITR41" s="261"/>
      <c r="ITS41" s="261"/>
      <c r="ITT41" s="261"/>
      <c r="ITU41" s="261"/>
      <c r="ITV41" s="261"/>
      <c r="ITW41" s="261"/>
      <c r="ITX41" s="261"/>
      <c r="ITY41" s="261"/>
      <c r="ITZ41" s="261"/>
      <c r="IUA41" s="261"/>
      <c r="IUB41" s="261"/>
      <c r="IUC41" s="261"/>
      <c r="IUD41" s="261"/>
      <c r="IUE41" s="261"/>
      <c r="IUF41" s="261"/>
      <c r="IUG41" s="261"/>
      <c r="IUH41" s="261"/>
      <c r="IUI41" s="261"/>
      <c r="IUJ41" s="261"/>
      <c r="IUK41" s="261"/>
      <c r="IUL41" s="261"/>
      <c r="IUM41" s="261"/>
      <c r="IUN41" s="261"/>
      <c r="IUO41" s="261"/>
      <c r="IUP41" s="261"/>
      <c r="IUQ41" s="261"/>
      <c r="IUR41" s="261"/>
      <c r="IUS41" s="261"/>
      <c r="IUT41" s="261"/>
      <c r="IUU41" s="261"/>
      <c r="IUV41" s="261"/>
      <c r="IUW41" s="261"/>
      <c r="IUX41" s="261"/>
      <c r="IUY41" s="261"/>
      <c r="IUZ41" s="261"/>
      <c r="IVA41" s="261"/>
      <c r="IVB41" s="261"/>
      <c r="IVC41" s="261"/>
      <c r="IVD41" s="261"/>
      <c r="IVE41" s="261"/>
      <c r="IVF41" s="261"/>
      <c r="IVG41" s="261"/>
      <c r="IVH41" s="261"/>
      <c r="IVI41" s="261"/>
      <c r="IVJ41" s="261"/>
      <c r="IVK41" s="261"/>
      <c r="IVL41" s="261"/>
      <c r="IVM41" s="261"/>
      <c r="IVN41" s="261"/>
      <c r="IVO41" s="261"/>
      <c r="IVP41" s="261"/>
      <c r="IVQ41" s="261"/>
      <c r="IVR41" s="261"/>
      <c r="IVS41" s="261"/>
      <c r="IVT41" s="261"/>
      <c r="IVU41" s="261"/>
      <c r="IVV41" s="261"/>
      <c r="IVW41" s="261"/>
      <c r="IVX41" s="261"/>
      <c r="IVY41" s="261"/>
      <c r="IVZ41" s="261"/>
      <c r="IWA41" s="261"/>
      <c r="IWB41" s="261"/>
      <c r="IWC41" s="261"/>
      <c r="IWD41" s="261"/>
      <c r="IWE41" s="261"/>
      <c r="IWF41" s="261"/>
      <c r="IWG41" s="261"/>
      <c r="IWH41" s="261"/>
      <c r="IWI41" s="261"/>
      <c r="IWJ41" s="261"/>
      <c r="IWK41" s="261"/>
      <c r="IWL41" s="261"/>
      <c r="IWM41" s="261"/>
      <c r="IWN41" s="261"/>
      <c r="IWO41" s="261"/>
      <c r="IWP41" s="261"/>
      <c r="IWQ41" s="261"/>
      <c r="IWR41" s="261"/>
      <c r="IWS41" s="261"/>
      <c r="IWT41" s="261"/>
      <c r="IWU41" s="261"/>
      <c r="IWV41" s="261"/>
      <c r="IWW41" s="261"/>
      <c r="IWX41" s="261"/>
      <c r="IWY41" s="261"/>
      <c r="IWZ41" s="261"/>
      <c r="IXA41" s="261"/>
      <c r="IXB41" s="261"/>
      <c r="IXC41" s="261"/>
      <c r="IXD41" s="261"/>
      <c r="IXE41" s="261"/>
      <c r="IXF41" s="261"/>
      <c r="IXG41" s="261"/>
      <c r="IXH41" s="261"/>
      <c r="IXI41" s="261"/>
      <c r="IXJ41" s="261"/>
      <c r="IXK41" s="261"/>
      <c r="IXL41" s="261"/>
      <c r="IXM41" s="261"/>
      <c r="IXN41" s="261"/>
      <c r="IXO41" s="261"/>
      <c r="IXP41" s="261"/>
      <c r="IXQ41" s="261"/>
      <c r="IXR41" s="261"/>
      <c r="IXS41" s="261"/>
      <c r="IXT41" s="261"/>
      <c r="IXU41" s="261"/>
      <c r="IXV41" s="261"/>
      <c r="IXW41" s="261"/>
      <c r="IXX41" s="261"/>
      <c r="IXY41" s="261"/>
      <c r="IXZ41" s="261"/>
      <c r="IYA41" s="261"/>
      <c r="IYB41" s="261"/>
      <c r="IYC41" s="261"/>
      <c r="IYD41" s="261"/>
      <c r="IYE41" s="261"/>
      <c r="IYF41" s="261"/>
      <c r="IYG41" s="261"/>
      <c r="IYH41" s="261"/>
      <c r="IYI41" s="261"/>
      <c r="IYJ41" s="261"/>
      <c r="IYK41" s="261"/>
      <c r="IYL41" s="261"/>
      <c r="IYM41" s="261"/>
      <c r="IYN41" s="261"/>
      <c r="IYO41" s="261"/>
      <c r="IYP41" s="261"/>
      <c r="IYQ41" s="261"/>
      <c r="IYR41" s="261"/>
      <c r="IYS41" s="261"/>
      <c r="IYT41" s="261"/>
      <c r="IYU41" s="261"/>
      <c r="IYV41" s="261"/>
      <c r="IYW41" s="261"/>
      <c r="IYX41" s="261"/>
      <c r="IYY41" s="261"/>
      <c r="IYZ41" s="261"/>
      <c r="IZA41" s="261"/>
      <c r="IZB41" s="261"/>
      <c r="IZC41" s="261"/>
      <c r="IZD41" s="261"/>
      <c r="IZE41" s="261"/>
      <c r="IZF41" s="261"/>
      <c r="IZG41" s="261"/>
      <c r="IZH41" s="261"/>
      <c r="IZI41" s="261"/>
      <c r="IZJ41" s="261"/>
      <c r="IZK41" s="261"/>
      <c r="IZL41" s="261"/>
      <c r="IZM41" s="261"/>
      <c r="IZN41" s="261"/>
      <c r="IZO41" s="261"/>
      <c r="IZP41" s="261"/>
      <c r="IZQ41" s="261"/>
      <c r="IZR41" s="261"/>
      <c r="IZS41" s="261"/>
      <c r="IZT41" s="261"/>
      <c r="IZU41" s="261"/>
      <c r="IZV41" s="261"/>
      <c r="IZW41" s="261"/>
      <c r="IZX41" s="261"/>
      <c r="IZY41" s="261"/>
      <c r="IZZ41" s="261"/>
      <c r="JAA41" s="261"/>
      <c r="JAB41" s="261"/>
      <c r="JAC41" s="261"/>
      <c r="JAD41" s="261"/>
      <c r="JAE41" s="261"/>
      <c r="JAF41" s="261"/>
      <c r="JAG41" s="261"/>
      <c r="JAH41" s="261"/>
      <c r="JAI41" s="261"/>
      <c r="JAJ41" s="261"/>
      <c r="JAK41" s="261"/>
      <c r="JAL41" s="261"/>
      <c r="JAM41" s="261"/>
      <c r="JAN41" s="261"/>
      <c r="JAO41" s="261"/>
      <c r="JAP41" s="261"/>
      <c r="JAQ41" s="261"/>
      <c r="JAR41" s="261"/>
      <c r="JAS41" s="261"/>
      <c r="JAT41" s="261"/>
      <c r="JAU41" s="261"/>
      <c r="JAV41" s="261"/>
      <c r="JAW41" s="261"/>
      <c r="JAX41" s="261"/>
      <c r="JAY41" s="261"/>
      <c r="JAZ41" s="261"/>
      <c r="JBA41" s="261"/>
      <c r="JBB41" s="261"/>
      <c r="JBC41" s="261"/>
      <c r="JBD41" s="261"/>
      <c r="JBE41" s="261"/>
      <c r="JBF41" s="261"/>
      <c r="JBG41" s="261"/>
      <c r="JBH41" s="261"/>
      <c r="JBI41" s="261"/>
      <c r="JBJ41" s="261"/>
      <c r="JBK41" s="261"/>
      <c r="JBL41" s="261"/>
      <c r="JBM41" s="261"/>
      <c r="JBN41" s="261"/>
      <c r="JBO41" s="261"/>
      <c r="JBP41" s="261"/>
      <c r="JBQ41" s="261"/>
      <c r="JBR41" s="261"/>
      <c r="JBS41" s="261"/>
      <c r="JBT41" s="261"/>
      <c r="JBU41" s="261"/>
      <c r="JBV41" s="261"/>
      <c r="JBW41" s="261"/>
      <c r="JBX41" s="261"/>
      <c r="JBY41" s="261"/>
      <c r="JBZ41" s="261"/>
      <c r="JCA41" s="261"/>
      <c r="JCB41" s="261"/>
      <c r="JCC41" s="261"/>
      <c r="JCD41" s="261"/>
      <c r="JCE41" s="261"/>
      <c r="JCF41" s="261"/>
      <c r="JCG41" s="261"/>
      <c r="JCH41" s="261"/>
      <c r="JCI41" s="261"/>
      <c r="JCJ41" s="261"/>
      <c r="JCK41" s="261"/>
      <c r="JCL41" s="261"/>
      <c r="JCM41" s="261"/>
      <c r="JCN41" s="261"/>
      <c r="JCO41" s="261"/>
      <c r="JCP41" s="261"/>
      <c r="JCQ41" s="261"/>
      <c r="JCR41" s="261"/>
      <c r="JCS41" s="261"/>
      <c r="JCT41" s="261"/>
      <c r="JCU41" s="261"/>
      <c r="JCV41" s="261"/>
      <c r="JCW41" s="261"/>
      <c r="JCX41" s="261"/>
      <c r="JCY41" s="261"/>
      <c r="JCZ41" s="261"/>
      <c r="JDA41" s="261"/>
      <c r="JDB41" s="261"/>
      <c r="JDC41" s="261"/>
      <c r="JDD41" s="261"/>
      <c r="JDE41" s="261"/>
      <c r="JDF41" s="261"/>
      <c r="JDG41" s="261"/>
      <c r="JDH41" s="261"/>
      <c r="JDI41" s="261"/>
      <c r="JDJ41" s="261"/>
      <c r="JDK41" s="261"/>
      <c r="JDL41" s="261"/>
      <c r="JDM41" s="261"/>
      <c r="JDN41" s="261"/>
      <c r="JDO41" s="261"/>
      <c r="JDP41" s="261"/>
      <c r="JDQ41" s="261"/>
      <c r="JDR41" s="261"/>
      <c r="JDS41" s="261"/>
      <c r="JDT41" s="261"/>
      <c r="JDU41" s="261"/>
      <c r="JDV41" s="261"/>
      <c r="JDW41" s="261"/>
      <c r="JDX41" s="261"/>
      <c r="JDY41" s="261"/>
      <c r="JDZ41" s="261"/>
      <c r="JEA41" s="261"/>
      <c r="JEB41" s="261"/>
      <c r="JEC41" s="261"/>
      <c r="JED41" s="261"/>
      <c r="JEE41" s="261"/>
      <c r="JEF41" s="261"/>
      <c r="JEG41" s="261"/>
      <c r="JEH41" s="261"/>
      <c r="JEI41" s="261"/>
      <c r="JEJ41" s="261"/>
      <c r="JEK41" s="261"/>
      <c r="JEL41" s="261"/>
      <c r="JEM41" s="261"/>
      <c r="JEN41" s="261"/>
      <c r="JEO41" s="261"/>
      <c r="JEP41" s="261"/>
      <c r="JEQ41" s="261"/>
      <c r="JER41" s="261"/>
      <c r="JES41" s="261"/>
      <c r="JET41" s="261"/>
      <c r="JEU41" s="261"/>
      <c r="JEV41" s="261"/>
      <c r="JEW41" s="261"/>
      <c r="JEX41" s="261"/>
      <c r="JEY41" s="261"/>
      <c r="JEZ41" s="261"/>
      <c r="JFA41" s="261"/>
      <c r="JFB41" s="261"/>
      <c r="JFC41" s="261"/>
      <c r="JFD41" s="261"/>
      <c r="JFE41" s="261"/>
      <c r="JFF41" s="261"/>
      <c r="JFG41" s="261"/>
      <c r="JFH41" s="261"/>
      <c r="JFI41" s="261"/>
      <c r="JFJ41" s="261"/>
      <c r="JFK41" s="261"/>
      <c r="JFL41" s="261"/>
      <c r="JFM41" s="261"/>
      <c r="JFN41" s="261"/>
      <c r="JFO41" s="261"/>
      <c r="JFP41" s="261"/>
      <c r="JFQ41" s="261"/>
      <c r="JFR41" s="261"/>
      <c r="JFS41" s="261"/>
      <c r="JFT41" s="261"/>
      <c r="JFU41" s="261"/>
      <c r="JFV41" s="261"/>
      <c r="JFW41" s="261"/>
      <c r="JFX41" s="261"/>
      <c r="JFY41" s="261"/>
      <c r="JFZ41" s="261"/>
      <c r="JGA41" s="261"/>
      <c r="JGB41" s="261"/>
      <c r="JGC41" s="261"/>
      <c r="JGD41" s="261"/>
      <c r="JGE41" s="261"/>
      <c r="JGF41" s="261"/>
      <c r="JGG41" s="261"/>
      <c r="JGH41" s="261"/>
      <c r="JGI41" s="261"/>
      <c r="JGJ41" s="261"/>
      <c r="JGK41" s="261"/>
      <c r="JGL41" s="261"/>
      <c r="JGM41" s="261"/>
      <c r="JGN41" s="261"/>
      <c r="JGO41" s="261"/>
      <c r="JGP41" s="261"/>
      <c r="JGQ41" s="261"/>
      <c r="JGR41" s="261"/>
      <c r="JGS41" s="261"/>
      <c r="JGT41" s="261"/>
      <c r="JGU41" s="261"/>
      <c r="JGV41" s="261"/>
      <c r="JGW41" s="261"/>
      <c r="JGX41" s="261"/>
      <c r="JGY41" s="261"/>
      <c r="JGZ41" s="261"/>
      <c r="JHA41" s="261"/>
      <c r="JHB41" s="261"/>
      <c r="JHC41" s="261"/>
      <c r="JHD41" s="261"/>
      <c r="JHE41" s="261"/>
      <c r="JHF41" s="261"/>
      <c r="JHG41" s="261"/>
      <c r="JHH41" s="261"/>
      <c r="JHI41" s="261"/>
      <c r="JHJ41" s="261"/>
      <c r="JHK41" s="261"/>
      <c r="JHL41" s="261"/>
      <c r="JHM41" s="261"/>
      <c r="JHN41" s="261"/>
      <c r="JHO41" s="261"/>
      <c r="JHP41" s="261"/>
      <c r="JHQ41" s="261"/>
      <c r="JHR41" s="261"/>
      <c r="JHS41" s="261"/>
      <c r="JHT41" s="261"/>
      <c r="JHU41" s="261"/>
      <c r="JHV41" s="261"/>
      <c r="JHW41" s="261"/>
      <c r="JHX41" s="261"/>
      <c r="JHY41" s="261"/>
      <c r="JHZ41" s="261"/>
      <c r="JIA41" s="261"/>
      <c r="JIB41" s="261"/>
      <c r="JIC41" s="261"/>
      <c r="JID41" s="261"/>
      <c r="JIE41" s="261"/>
      <c r="JIF41" s="261"/>
      <c r="JIG41" s="261"/>
      <c r="JIH41" s="261"/>
      <c r="JII41" s="261"/>
      <c r="JIJ41" s="261"/>
      <c r="JIK41" s="261"/>
      <c r="JIL41" s="261"/>
      <c r="JIM41" s="261"/>
      <c r="JIN41" s="261"/>
      <c r="JIO41" s="261"/>
      <c r="JIP41" s="261"/>
      <c r="JIQ41" s="261"/>
      <c r="JIR41" s="261"/>
      <c r="JIS41" s="261"/>
      <c r="JIT41" s="261"/>
      <c r="JIU41" s="261"/>
      <c r="JIV41" s="261"/>
      <c r="JIW41" s="261"/>
      <c r="JIX41" s="261"/>
      <c r="JIY41" s="261"/>
      <c r="JIZ41" s="261"/>
      <c r="JJA41" s="261"/>
      <c r="JJB41" s="261"/>
      <c r="JJC41" s="261"/>
      <c r="JJD41" s="261"/>
      <c r="JJE41" s="261"/>
      <c r="JJF41" s="261"/>
      <c r="JJG41" s="261"/>
      <c r="JJH41" s="261"/>
      <c r="JJI41" s="261"/>
      <c r="JJJ41" s="261"/>
      <c r="JJK41" s="261"/>
      <c r="JJL41" s="261"/>
      <c r="JJM41" s="261"/>
      <c r="JJN41" s="261"/>
      <c r="JJO41" s="261"/>
      <c r="JJP41" s="261"/>
      <c r="JJQ41" s="261"/>
      <c r="JJR41" s="261"/>
      <c r="JJS41" s="261"/>
      <c r="JJT41" s="261"/>
      <c r="JJU41" s="261"/>
      <c r="JJV41" s="261"/>
      <c r="JJW41" s="261"/>
      <c r="JJX41" s="261"/>
      <c r="JJY41" s="261"/>
      <c r="JJZ41" s="261"/>
      <c r="JKA41" s="261"/>
      <c r="JKB41" s="261"/>
      <c r="JKC41" s="261"/>
      <c r="JKD41" s="261"/>
      <c r="JKE41" s="261"/>
      <c r="JKF41" s="261"/>
      <c r="JKG41" s="261"/>
      <c r="JKH41" s="261"/>
      <c r="JKI41" s="261"/>
      <c r="JKJ41" s="261"/>
      <c r="JKK41" s="261"/>
      <c r="JKL41" s="261"/>
      <c r="JKM41" s="261"/>
      <c r="JKN41" s="261"/>
      <c r="JKO41" s="261"/>
      <c r="JKP41" s="261"/>
      <c r="JKQ41" s="261"/>
      <c r="JKR41" s="261"/>
      <c r="JKS41" s="261"/>
      <c r="JKT41" s="261"/>
      <c r="JKU41" s="261"/>
      <c r="JKV41" s="261"/>
      <c r="JKW41" s="261"/>
      <c r="JKX41" s="261"/>
      <c r="JKY41" s="261"/>
      <c r="JKZ41" s="261"/>
      <c r="JLA41" s="261"/>
      <c r="JLB41" s="261"/>
      <c r="JLC41" s="261"/>
      <c r="JLD41" s="261"/>
      <c r="JLE41" s="261"/>
      <c r="JLF41" s="261"/>
      <c r="JLG41" s="261"/>
      <c r="JLH41" s="261"/>
      <c r="JLI41" s="261"/>
      <c r="JLJ41" s="261"/>
      <c r="JLK41" s="261"/>
      <c r="JLL41" s="261"/>
      <c r="JLM41" s="261"/>
      <c r="JLN41" s="261"/>
      <c r="JLO41" s="261"/>
      <c r="JLP41" s="261"/>
      <c r="JLQ41" s="261"/>
      <c r="JLR41" s="261"/>
      <c r="JLS41" s="261"/>
      <c r="JLT41" s="261"/>
      <c r="JLU41" s="261"/>
      <c r="JLV41" s="261"/>
      <c r="JLW41" s="261"/>
      <c r="JLX41" s="261"/>
      <c r="JLY41" s="261"/>
      <c r="JLZ41" s="261"/>
      <c r="JMA41" s="261"/>
      <c r="JMB41" s="261"/>
      <c r="JMC41" s="261"/>
      <c r="JMD41" s="261"/>
      <c r="JME41" s="261"/>
      <c r="JMF41" s="261"/>
      <c r="JMG41" s="261"/>
      <c r="JMH41" s="261"/>
      <c r="JMI41" s="261"/>
      <c r="JMJ41" s="261"/>
      <c r="JMK41" s="261"/>
      <c r="JML41" s="261"/>
      <c r="JMM41" s="261"/>
      <c r="JMN41" s="261"/>
      <c r="JMO41" s="261"/>
      <c r="JMP41" s="261"/>
      <c r="JMQ41" s="261"/>
      <c r="JMR41" s="261"/>
      <c r="JMS41" s="261"/>
      <c r="JMT41" s="261"/>
      <c r="JMU41" s="261"/>
      <c r="JMV41" s="261"/>
      <c r="JMW41" s="261"/>
      <c r="JMX41" s="261"/>
      <c r="JMY41" s="261"/>
      <c r="JMZ41" s="261"/>
      <c r="JNA41" s="261"/>
      <c r="JNB41" s="261"/>
      <c r="JNC41" s="261"/>
      <c r="JND41" s="261"/>
      <c r="JNE41" s="261"/>
      <c r="JNF41" s="261"/>
      <c r="JNG41" s="261"/>
      <c r="JNH41" s="261"/>
      <c r="JNI41" s="261"/>
      <c r="JNJ41" s="261"/>
      <c r="JNK41" s="261"/>
      <c r="JNL41" s="261"/>
      <c r="JNM41" s="261"/>
      <c r="JNN41" s="261"/>
      <c r="JNO41" s="261"/>
      <c r="JNP41" s="261"/>
      <c r="JNQ41" s="261"/>
      <c r="JNR41" s="261"/>
      <c r="JNS41" s="261"/>
      <c r="JNT41" s="261"/>
      <c r="JNU41" s="261"/>
      <c r="JNV41" s="261"/>
      <c r="JNW41" s="261"/>
      <c r="JNX41" s="261"/>
      <c r="JNY41" s="261"/>
      <c r="JNZ41" s="261"/>
      <c r="JOA41" s="261"/>
      <c r="JOB41" s="261"/>
      <c r="JOC41" s="261"/>
      <c r="JOD41" s="261"/>
      <c r="JOE41" s="261"/>
      <c r="JOF41" s="261"/>
      <c r="JOG41" s="261"/>
      <c r="JOH41" s="261"/>
      <c r="JOI41" s="261"/>
      <c r="JOJ41" s="261"/>
      <c r="JOK41" s="261"/>
      <c r="JOL41" s="261"/>
      <c r="JOM41" s="261"/>
      <c r="JON41" s="261"/>
      <c r="JOO41" s="261"/>
      <c r="JOP41" s="261"/>
      <c r="JOQ41" s="261"/>
      <c r="JOR41" s="261"/>
      <c r="JOS41" s="261"/>
      <c r="JOT41" s="261"/>
      <c r="JOU41" s="261"/>
      <c r="JOV41" s="261"/>
      <c r="JOW41" s="261"/>
      <c r="JOX41" s="261"/>
      <c r="JOY41" s="261"/>
      <c r="JOZ41" s="261"/>
      <c r="JPA41" s="261"/>
      <c r="JPB41" s="261"/>
      <c r="JPC41" s="261"/>
      <c r="JPD41" s="261"/>
      <c r="JPE41" s="261"/>
      <c r="JPF41" s="261"/>
      <c r="JPG41" s="261"/>
      <c r="JPH41" s="261"/>
      <c r="JPI41" s="261"/>
      <c r="JPJ41" s="261"/>
      <c r="JPK41" s="261"/>
      <c r="JPL41" s="261"/>
      <c r="JPM41" s="261"/>
      <c r="JPN41" s="261"/>
      <c r="JPO41" s="261"/>
      <c r="JPP41" s="261"/>
      <c r="JPQ41" s="261"/>
      <c r="JPR41" s="261"/>
      <c r="JPS41" s="261"/>
      <c r="JPT41" s="261"/>
      <c r="JPU41" s="261"/>
      <c r="JPV41" s="261"/>
      <c r="JPW41" s="261"/>
      <c r="JPX41" s="261"/>
      <c r="JPY41" s="261"/>
      <c r="JPZ41" s="261"/>
      <c r="JQA41" s="261"/>
      <c r="JQB41" s="261"/>
      <c r="JQC41" s="261"/>
      <c r="JQD41" s="261"/>
      <c r="JQE41" s="261"/>
      <c r="JQF41" s="261"/>
      <c r="JQG41" s="261"/>
      <c r="JQH41" s="261"/>
      <c r="JQI41" s="261"/>
      <c r="JQJ41" s="261"/>
      <c r="JQK41" s="261"/>
      <c r="JQL41" s="261"/>
      <c r="JQM41" s="261"/>
      <c r="JQN41" s="261"/>
      <c r="JQO41" s="261"/>
      <c r="JQP41" s="261"/>
      <c r="JQQ41" s="261"/>
      <c r="JQR41" s="261"/>
      <c r="JQS41" s="261"/>
      <c r="JQT41" s="261"/>
      <c r="JQU41" s="261"/>
      <c r="JQV41" s="261"/>
      <c r="JQW41" s="261"/>
      <c r="JQX41" s="261"/>
      <c r="JQY41" s="261"/>
      <c r="JQZ41" s="261"/>
      <c r="JRA41" s="261"/>
      <c r="JRB41" s="261"/>
      <c r="JRC41" s="261"/>
      <c r="JRD41" s="261"/>
      <c r="JRE41" s="261"/>
      <c r="JRF41" s="261"/>
      <c r="JRG41" s="261"/>
      <c r="JRH41" s="261"/>
      <c r="JRI41" s="261"/>
      <c r="JRJ41" s="261"/>
      <c r="JRK41" s="261"/>
      <c r="JRL41" s="261"/>
      <c r="JRM41" s="261"/>
      <c r="JRN41" s="261"/>
      <c r="JRO41" s="261"/>
      <c r="JRP41" s="261"/>
      <c r="JRQ41" s="261"/>
      <c r="JRR41" s="261"/>
      <c r="JRS41" s="261"/>
      <c r="JRT41" s="261"/>
      <c r="JRU41" s="261"/>
      <c r="JRV41" s="261"/>
      <c r="JRW41" s="261"/>
      <c r="JRX41" s="261"/>
      <c r="JRY41" s="261"/>
      <c r="JRZ41" s="261"/>
      <c r="JSA41" s="261"/>
      <c r="JSB41" s="261"/>
      <c r="JSC41" s="261"/>
      <c r="JSD41" s="261"/>
      <c r="JSE41" s="261"/>
      <c r="JSF41" s="261"/>
      <c r="JSG41" s="261"/>
      <c r="JSH41" s="261"/>
      <c r="JSI41" s="261"/>
      <c r="JSJ41" s="261"/>
      <c r="JSK41" s="261"/>
      <c r="JSL41" s="261"/>
      <c r="JSM41" s="261"/>
      <c r="JSN41" s="261"/>
      <c r="JSO41" s="261"/>
      <c r="JSP41" s="261"/>
      <c r="JSQ41" s="261"/>
      <c r="JSR41" s="261"/>
      <c r="JSS41" s="261"/>
      <c r="JST41" s="261"/>
      <c r="JSU41" s="261"/>
      <c r="JSV41" s="261"/>
      <c r="JSW41" s="261"/>
      <c r="JSX41" s="261"/>
      <c r="JSY41" s="261"/>
      <c r="JSZ41" s="261"/>
      <c r="JTA41" s="261"/>
      <c r="JTB41" s="261"/>
      <c r="JTC41" s="261"/>
      <c r="JTD41" s="261"/>
      <c r="JTE41" s="261"/>
      <c r="JTF41" s="261"/>
      <c r="JTG41" s="261"/>
      <c r="JTH41" s="261"/>
      <c r="JTI41" s="261"/>
      <c r="JTJ41" s="261"/>
      <c r="JTK41" s="261"/>
      <c r="JTL41" s="261"/>
      <c r="JTM41" s="261"/>
      <c r="JTN41" s="261"/>
      <c r="JTO41" s="261"/>
      <c r="JTP41" s="261"/>
      <c r="JTQ41" s="261"/>
      <c r="JTR41" s="261"/>
      <c r="JTS41" s="261"/>
      <c r="JTT41" s="261"/>
      <c r="JTU41" s="261"/>
      <c r="JTV41" s="261"/>
      <c r="JTW41" s="261"/>
      <c r="JTX41" s="261"/>
      <c r="JTY41" s="261"/>
      <c r="JTZ41" s="261"/>
      <c r="JUA41" s="261"/>
      <c r="JUB41" s="261"/>
      <c r="JUC41" s="261"/>
      <c r="JUD41" s="261"/>
      <c r="JUE41" s="261"/>
      <c r="JUF41" s="261"/>
      <c r="JUG41" s="261"/>
      <c r="JUH41" s="261"/>
      <c r="JUI41" s="261"/>
      <c r="JUJ41" s="261"/>
      <c r="JUK41" s="261"/>
      <c r="JUL41" s="261"/>
      <c r="JUM41" s="261"/>
      <c r="JUN41" s="261"/>
      <c r="JUO41" s="261"/>
      <c r="JUP41" s="261"/>
      <c r="JUQ41" s="261"/>
      <c r="JUR41" s="261"/>
      <c r="JUS41" s="261"/>
      <c r="JUT41" s="261"/>
      <c r="JUU41" s="261"/>
      <c r="JUV41" s="261"/>
      <c r="JUW41" s="261"/>
      <c r="JUX41" s="261"/>
      <c r="JUY41" s="261"/>
      <c r="JUZ41" s="261"/>
      <c r="JVA41" s="261"/>
      <c r="JVB41" s="261"/>
      <c r="JVC41" s="261"/>
      <c r="JVD41" s="261"/>
      <c r="JVE41" s="261"/>
      <c r="JVF41" s="261"/>
      <c r="JVG41" s="261"/>
      <c r="JVH41" s="261"/>
      <c r="JVI41" s="261"/>
      <c r="JVJ41" s="261"/>
      <c r="JVK41" s="261"/>
      <c r="JVL41" s="261"/>
      <c r="JVM41" s="261"/>
      <c r="JVN41" s="261"/>
      <c r="JVO41" s="261"/>
      <c r="JVP41" s="261"/>
      <c r="JVQ41" s="261"/>
      <c r="JVR41" s="261"/>
      <c r="JVS41" s="261"/>
      <c r="JVT41" s="261"/>
      <c r="JVU41" s="261"/>
      <c r="JVV41" s="261"/>
      <c r="JVW41" s="261"/>
      <c r="JVX41" s="261"/>
      <c r="JVY41" s="261"/>
      <c r="JVZ41" s="261"/>
      <c r="JWA41" s="261"/>
      <c r="JWB41" s="261"/>
      <c r="JWC41" s="261"/>
      <c r="JWD41" s="261"/>
      <c r="JWE41" s="261"/>
      <c r="JWF41" s="261"/>
      <c r="JWG41" s="261"/>
      <c r="JWH41" s="261"/>
      <c r="JWI41" s="261"/>
      <c r="JWJ41" s="261"/>
      <c r="JWK41" s="261"/>
      <c r="JWL41" s="261"/>
      <c r="JWM41" s="261"/>
      <c r="JWN41" s="261"/>
      <c r="JWO41" s="261"/>
      <c r="JWP41" s="261"/>
      <c r="JWQ41" s="261"/>
      <c r="JWR41" s="261"/>
      <c r="JWS41" s="261"/>
      <c r="JWT41" s="261"/>
      <c r="JWU41" s="261"/>
      <c r="JWV41" s="261"/>
      <c r="JWW41" s="261"/>
      <c r="JWX41" s="261"/>
      <c r="JWY41" s="261"/>
      <c r="JWZ41" s="261"/>
      <c r="JXA41" s="261"/>
      <c r="JXB41" s="261"/>
      <c r="JXC41" s="261"/>
      <c r="JXD41" s="261"/>
      <c r="JXE41" s="261"/>
      <c r="JXF41" s="261"/>
      <c r="JXG41" s="261"/>
      <c r="JXH41" s="261"/>
      <c r="JXI41" s="261"/>
      <c r="JXJ41" s="261"/>
      <c r="JXK41" s="261"/>
      <c r="JXL41" s="261"/>
      <c r="JXM41" s="261"/>
      <c r="JXN41" s="261"/>
      <c r="JXO41" s="261"/>
      <c r="JXP41" s="261"/>
      <c r="JXQ41" s="261"/>
      <c r="JXR41" s="261"/>
      <c r="JXS41" s="261"/>
      <c r="JXT41" s="261"/>
      <c r="JXU41" s="261"/>
      <c r="JXV41" s="261"/>
      <c r="JXW41" s="261"/>
      <c r="JXX41" s="261"/>
      <c r="JXY41" s="261"/>
      <c r="JXZ41" s="261"/>
      <c r="JYA41" s="261"/>
      <c r="JYB41" s="261"/>
      <c r="JYC41" s="261"/>
      <c r="JYD41" s="261"/>
      <c r="JYE41" s="261"/>
      <c r="JYF41" s="261"/>
      <c r="JYG41" s="261"/>
      <c r="JYH41" s="261"/>
      <c r="JYI41" s="261"/>
      <c r="JYJ41" s="261"/>
      <c r="JYK41" s="261"/>
      <c r="JYL41" s="261"/>
      <c r="JYM41" s="261"/>
      <c r="JYN41" s="261"/>
      <c r="JYO41" s="261"/>
      <c r="JYP41" s="261"/>
      <c r="JYQ41" s="261"/>
      <c r="JYR41" s="261"/>
      <c r="JYS41" s="261"/>
      <c r="JYT41" s="261"/>
      <c r="JYU41" s="261"/>
      <c r="JYV41" s="261"/>
      <c r="JYW41" s="261"/>
      <c r="JYX41" s="261"/>
      <c r="JYY41" s="261"/>
      <c r="JYZ41" s="261"/>
      <c r="JZA41" s="261"/>
      <c r="JZB41" s="261"/>
      <c r="JZC41" s="261"/>
      <c r="JZD41" s="261"/>
      <c r="JZE41" s="261"/>
      <c r="JZF41" s="261"/>
      <c r="JZG41" s="261"/>
      <c r="JZH41" s="261"/>
      <c r="JZI41" s="261"/>
      <c r="JZJ41" s="261"/>
      <c r="JZK41" s="261"/>
      <c r="JZL41" s="261"/>
      <c r="JZM41" s="261"/>
      <c r="JZN41" s="261"/>
      <c r="JZO41" s="261"/>
      <c r="JZP41" s="261"/>
      <c r="JZQ41" s="261"/>
      <c r="JZR41" s="261"/>
      <c r="JZS41" s="261"/>
      <c r="JZT41" s="261"/>
      <c r="JZU41" s="261"/>
      <c r="JZV41" s="261"/>
      <c r="JZW41" s="261"/>
      <c r="JZX41" s="261"/>
      <c r="JZY41" s="261"/>
      <c r="JZZ41" s="261"/>
      <c r="KAA41" s="261"/>
      <c r="KAB41" s="261"/>
      <c r="KAC41" s="261"/>
      <c r="KAD41" s="261"/>
      <c r="KAE41" s="261"/>
      <c r="KAF41" s="261"/>
      <c r="KAG41" s="261"/>
      <c r="KAH41" s="261"/>
      <c r="KAI41" s="261"/>
      <c r="KAJ41" s="261"/>
      <c r="KAK41" s="261"/>
      <c r="KAL41" s="261"/>
      <c r="KAM41" s="261"/>
      <c r="KAN41" s="261"/>
      <c r="KAO41" s="261"/>
      <c r="KAP41" s="261"/>
      <c r="KAQ41" s="261"/>
      <c r="KAR41" s="261"/>
      <c r="KAS41" s="261"/>
      <c r="KAT41" s="261"/>
      <c r="KAU41" s="261"/>
      <c r="KAV41" s="261"/>
      <c r="KAW41" s="261"/>
      <c r="KAX41" s="261"/>
      <c r="KAY41" s="261"/>
      <c r="KAZ41" s="261"/>
      <c r="KBA41" s="261"/>
      <c r="KBB41" s="261"/>
      <c r="KBC41" s="261"/>
      <c r="KBD41" s="261"/>
      <c r="KBE41" s="261"/>
      <c r="KBF41" s="261"/>
      <c r="KBG41" s="261"/>
      <c r="KBH41" s="261"/>
      <c r="KBI41" s="261"/>
      <c r="KBJ41" s="261"/>
      <c r="KBK41" s="261"/>
      <c r="KBL41" s="261"/>
      <c r="KBM41" s="261"/>
      <c r="KBN41" s="261"/>
      <c r="KBO41" s="261"/>
      <c r="KBP41" s="261"/>
      <c r="KBQ41" s="261"/>
      <c r="KBR41" s="261"/>
      <c r="KBS41" s="261"/>
      <c r="KBT41" s="261"/>
      <c r="KBU41" s="261"/>
      <c r="KBV41" s="261"/>
      <c r="KBW41" s="261"/>
      <c r="KBX41" s="261"/>
      <c r="KBY41" s="261"/>
      <c r="KBZ41" s="261"/>
      <c r="KCA41" s="261"/>
      <c r="KCB41" s="261"/>
      <c r="KCC41" s="261"/>
      <c r="KCD41" s="261"/>
      <c r="KCE41" s="261"/>
      <c r="KCF41" s="261"/>
      <c r="KCG41" s="261"/>
      <c r="KCH41" s="261"/>
      <c r="KCI41" s="261"/>
      <c r="KCJ41" s="261"/>
      <c r="KCK41" s="261"/>
      <c r="KCL41" s="261"/>
      <c r="KCM41" s="261"/>
      <c r="KCN41" s="261"/>
      <c r="KCO41" s="261"/>
      <c r="KCP41" s="261"/>
      <c r="KCQ41" s="261"/>
      <c r="KCR41" s="261"/>
      <c r="KCS41" s="261"/>
      <c r="KCT41" s="261"/>
      <c r="KCU41" s="261"/>
      <c r="KCV41" s="261"/>
      <c r="KCW41" s="261"/>
      <c r="KCX41" s="261"/>
      <c r="KCY41" s="261"/>
      <c r="KCZ41" s="261"/>
      <c r="KDA41" s="261"/>
      <c r="KDB41" s="261"/>
      <c r="KDC41" s="261"/>
      <c r="KDD41" s="261"/>
      <c r="KDE41" s="261"/>
      <c r="KDF41" s="261"/>
      <c r="KDG41" s="261"/>
      <c r="KDH41" s="261"/>
      <c r="KDI41" s="261"/>
      <c r="KDJ41" s="261"/>
      <c r="KDK41" s="261"/>
      <c r="KDL41" s="261"/>
      <c r="KDM41" s="261"/>
      <c r="KDN41" s="261"/>
      <c r="KDO41" s="261"/>
      <c r="KDP41" s="261"/>
      <c r="KDQ41" s="261"/>
      <c r="KDR41" s="261"/>
      <c r="KDS41" s="261"/>
      <c r="KDT41" s="261"/>
      <c r="KDU41" s="261"/>
      <c r="KDV41" s="261"/>
      <c r="KDW41" s="261"/>
      <c r="KDX41" s="261"/>
      <c r="KDY41" s="261"/>
      <c r="KDZ41" s="261"/>
      <c r="KEA41" s="261"/>
      <c r="KEB41" s="261"/>
      <c r="KEC41" s="261"/>
      <c r="KED41" s="261"/>
      <c r="KEE41" s="261"/>
      <c r="KEF41" s="261"/>
      <c r="KEG41" s="261"/>
      <c r="KEH41" s="261"/>
      <c r="KEI41" s="261"/>
      <c r="KEJ41" s="261"/>
      <c r="KEK41" s="261"/>
      <c r="KEL41" s="261"/>
      <c r="KEM41" s="261"/>
      <c r="KEN41" s="261"/>
      <c r="KEO41" s="261"/>
      <c r="KEP41" s="261"/>
      <c r="KEQ41" s="261"/>
      <c r="KER41" s="261"/>
      <c r="KES41" s="261"/>
      <c r="KET41" s="261"/>
      <c r="KEU41" s="261"/>
      <c r="KEV41" s="261"/>
      <c r="KEW41" s="261"/>
      <c r="KEX41" s="261"/>
      <c r="KEY41" s="261"/>
      <c r="KEZ41" s="261"/>
      <c r="KFA41" s="261"/>
      <c r="KFB41" s="261"/>
      <c r="KFC41" s="261"/>
      <c r="KFD41" s="261"/>
      <c r="KFE41" s="261"/>
      <c r="KFF41" s="261"/>
      <c r="KFG41" s="261"/>
      <c r="KFH41" s="261"/>
      <c r="KFI41" s="261"/>
      <c r="KFJ41" s="261"/>
      <c r="KFK41" s="261"/>
      <c r="KFL41" s="261"/>
      <c r="KFM41" s="261"/>
      <c r="KFN41" s="261"/>
      <c r="KFO41" s="261"/>
      <c r="KFP41" s="261"/>
      <c r="KFQ41" s="261"/>
      <c r="KFR41" s="261"/>
      <c r="KFS41" s="261"/>
      <c r="KFT41" s="261"/>
      <c r="KFU41" s="261"/>
      <c r="KFV41" s="261"/>
      <c r="KFW41" s="261"/>
      <c r="KFX41" s="261"/>
      <c r="KFY41" s="261"/>
      <c r="KFZ41" s="261"/>
      <c r="KGA41" s="261"/>
      <c r="KGB41" s="261"/>
      <c r="KGC41" s="261"/>
      <c r="KGD41" s="261"/>
      <c r="KGE41" s="261"/>
      <c r="KGF41" s="261"/>
      <c r="KGG41" s="261"/>
      <c r="KGH41" s="261"/>
      <c r="KGI41" s="261"/>
      <c r="KGJ41" s="261"/>
      <c r="KGK41" s="261"/>
      <c r="KGL41" s="261"/>
      <c r="KGM41" s="261"/>
      <c r="KGN41" s="261"/>
      <c r="KGO41" s="261"/>
      <c r="KGP41" s="261"/>
      <c r="KGQ41" s="261"/>
      <c r="KGR41" s="261"/>
      <c r="KGS41" s="261"/>
      <c r="KGT41" s="261"/>
      <c r="KGU41" s="261"/>
      <c r="KGV41" s="261"/>
      <c r="KGW41" s="261"/>
      <c r="KGX41" s="261"/>
      <c r="KGY41" s="261"/>
      <c r="KGZ41" s="261"/>
      <c r="KHA41" s="261"/>
      <c r="KHB41" s="261"/>
      <c r="KHC41" s="261"/>
      <c r="KHD41" s="261"/>
      <c r="KHE41" s="261"/>
      <c r="KHF41" s="261"/>
      <c r="KHG41" s="261"/>
      <c r="KHH41" s="261"/>
      <c r="KHI41" s="261"/>
      <c r="KHJ41" s="261"/>
      <c r="KHK41" s="261"/>
      <c r="KHL41" s="261"/>
      <c r="KHM41" s="261"/>
      <c r="KHN41" s="261"/>
      <c r="KHO41" s="261"/>
      <c r="KHP41" s="261"/>
      <c r="KHQ41" s="261"/>
      <c r="KHR41" s="261"/>
      <c r="KHS41" s="261"/>
      <c r="KHT41" s="261"/>
      <c r="KHU41" s="261"/>
      <c r="KHV41" s="261"/>
      <c r="KHW41" s="261"/>
      <c r="KHX41" s="261"/>
      <c r="KHY41" s="261"/>
      <c r="KHZ41" s="261"/>
      <c r="KIA41" s="261"/>
      <c r="KIB41" s="261"/>
      <c r="KIC41" s="261"/>
      <c r="KID41" s="261"/>
      <c r="KIE41" s="261"/>
      <c r="KIF41" s="261"/>
      <c r="KIG41" s="261"/>
      <c r="KIH41" s="261"/>
      <c r="KII41" s="261"/>
      <c r="KIJ41" s="261"/>
      <c r="KIK41" s="261"/>
      <c r="KIL41" s="261"/>
      <c r="KIM41" s="261"/>
      <c r="KIN41" s="261"/>
      <c r="KIO41" s="261"/>
      <c r="KIP41" s="261"/>
      <c r="KIQ41" s="261"/>
      <c r="KIR41" s="261"/>
      <c r="KIS41" s="261"/>
      <c r="KIT41" s="261"/>
      <c r="KIU41" s="261"/>
      <c r="KIV41" s="261"/>
      <c r="KIW41" s="261"/>
      <c r="KIX41" s="261"/>
      <c r="KIY41" s="261"/>
      <c r="KIZ41" s="261"/>
      <c r="KJA41" s="261"/>
      <c r="KJB41" s="261"/>
      <c r="KJC41" s="261"/>
      <c r="KJD41" s="261"/>
      <c r="KJE41" s="261"/>
      <c r="KJF41" s="261"/>
      <c r="KJG41" s="261"/>
      <c r="KJH41" s="261"/>
      <c r="KJI41" s="261"/>
      <c r="KJJ41" s="261"/>
      <c r="KJK41" s="261"/>
      <c r="KJL41" s="261"/>
      <c r="KJM41" s="261"/>
      <c r="KJN41" s="261"/>
      <c r="KJO41" s="261"/>
      <c r="KJP41" s="261"/>
      <c r="KJQ41" s="261"/>
      <c r="KJR41" s="261"/>
      <c r="KJS41" s="261"/>
      <c r="KJT41" s="261"/>
      <c r="KJU41" s="261"/>
      <c r="KJV41" s="261"/>
      <c r="KJW41" s="261"/>
      <c r="KJX41" s="261"/>
      <c r="KJY41" s="261"/>
      <c r="KJZ41" s="261"/>
      <c r="KKA41" s="261"/>
      <c r="KKB41" s="261"/>
      <c r="KKC41" s="261"/>
      <c r="KKD41" s="261"/>
      <c r="KKE41" s="261"/>
      <c r="KKF41" s="261"/>
      <c r="KKG41" s="261"/>
      <c r="KKH41" s="261"/>
      <c r="KKI41" s="261"/>
      <c r="KKJ41" s="261"/>
      <c r="KKK41" s="261"/>
      <c r="KKL41" s="261"/>
      <c r="KKM41" s="261"/>
      <c r="KKN41" s="261"/>
      <c r="KKO41" s="261"/>
      <c r="KKP41" s="261"/>
      <c r="KKQ41" s="261"/>
      <c r="KKR41" s="261"/>
      <c r="KKS41" s="261"/>
      <c r="KKT41" s="261"/>
      <c r="KKU41" s="261"/>
      <c r="KKV41" s="261"/>
      <c r="KKW41" s="261"/>
      <c r="KKX41" s="261"/>
      <c r="KKY41" s="261"/>
      <c r="KKZ41" s="261"/>
      <c r="KLA41" s="261"/>
      <c r="KLB41" s="261"/>
      <c r="KLC41" s="261"/>
      <c r="KLD41" s="261"/>
      <c r="KLE41" s="261"/>
      <c r="KLF41" s="261"/>
      <c r="KLG41" s="261"/>
      <c r="KLH41" s="261"/>
      <c r="KLI41" s="261"/>
      <c r="KLJ41" s="261"/>
      <c r="KLK41" s="261"/>
      <c r="KLL41" s="261"/>
      <c r="KLM41" s="261"/>
      <c r="KLN41" s="261"/>
      <c r="KLO41" s="261"/>
      <c r="KLP41" s="261"/>
      <c r="KLQ41" s="261"/>
      <c r="KLR41" s="261"/>
      <c r="KLS41" s="261"/>
      <c r="KLT41" s="261"/>
      <c r="KLU41" s="261"/>
      <c r="KLV41" s="261"/>
      <c r="KLW41" s="261"/>
      <c r="KLX41" s="261"/>
      <c r="KLY41" s="261"/>
      <c r="KLZ41" s="261"/>
      <c r="KMA41" s="261"/>
      <c r="KMB41" s="261"/>
      <c r="KMC41" s="261"/>
      <c r="KMD41" s="261"/>
      <c r="KME41" s="261"/>
      <c r="KMF41" s="261"/>
      <c r="KMG41" s="261"/>
      <c r="KMH41" s="261"/>
      <c r="KMI41" s="261"/>
      <c r="KMJ41" s="261"/>
      <c r="KMK41" s="261"/>
      <c r="KML41" s="261"/>
      <c r="KMM41" s="261"/>
      <c r="KMN41" s="261"/>
      <c r="KMO41" s="261"/>
      <c r="KMP41" s="261"/>
      <c r="KMQ41" s="261"/>
      <c r="KMR41" s="261"/>
      <c r="KMS41" s="261"/>
      <c r="KMT41" s="261"/>
      <c r="KMU41" s="261"/>
      <c r="KMV41" s="261"/>
      <c r="KMW41" s="261"/>
      <c r="KMX41" s="261"/>
      <c r="KMY41" s="261"/>
      <c r="KMZ41" s="261"/>
      <c r="KNA41" s="261"/>
      <c r="KNB41" s="261"/>
      <c r="KNC41" s="261"/>
      <c r="KND41" s="261"/>
      <c r="KNE41" s="261"/>
      <c r="KNF41" s="261"/>
      <c r="KNG41" s="261"/>
      <c r="KNH41" s="261"/>
      <c r="KNI41" s="261"/>
      <c r="KNJ41" s="261"/>
      <c r="KNK41" s="261"/>
      <c r="KNL41" s="261"/>
      <c r="KNM41" s="261"/>
      <c r="KNN41" s="261"/>
      <c r="KNO41" s="261"/>
      <c r="KNP41" s="261"/>
      <c r="KNQ41" s="261"/>
      <c r="KNR41" s="261"/>
      <c r="KNS41" s="261"/>
      <c r="KNT41" s="261"/>
      <c r="KNU41" s="261"/>
      <c r="KNV41" s="261"/>
      <c r="KNW41" s="261"/>
      <c r="KNX41" s="261"/>
      <c r="KNY41" s="261"/>
      <c r="KNZ41" s="261"/>
      <c r="KOA41" s="261"/>
      <c r="KOB41" s="261"/>
      <c r="KOC41" s="261"/>
      <c r="KOD41" s="261"/>
      <c r="KOE41" s="261"/>
      <c r="KOF41" s="261"/>
      <c r="KOG41" s="261"/>
      <c r="KOH41" s="261"/>
      <c r="KOI41" s="261"/>
      <c r="KOJ41" s="261"/>
      <c r="KOK41" s="261"/>
      <c r="KOL41" s="261"/>
      <c r="KOM41" s="261"/>
      <c r="KON41" s="261"/>
      <c r="KOO41" s="261"/>
      <c r="KOP41" s="261"/>
      <c r="KOQ41" s="261"/>
      <c r="KOR41" s="261"/>
      <c r="KOS41" s="261"/>
      <c r="KOT41" s="261"/>
      <c r="KOU41" s="261"/>
      <c r="KOV41" s="261"/>
      <c r="KOW41" s="261"/>
      <c r="KOX41" s="261"/>
      <c r="KOY41" s="261"/>
      <c r="KOZ41" s="261"/>
      <c r="KPA41" s="261"/>
      <c r="KPB41" s="261"/>
      <c r="KPC41" s="261"/>
      <c r="KPD41" s="261"/>
      <c r="KPE41" s="261"/>
      <c r="KPF41" s="261"/>
      <c r="KPG41" s="261"/>
      <c r="KPH41" s="261"/>
      <c r="KPI41" s="261"/>
      <c r="KPJ41" s="261"/>
      <c r="KPK41" s="261"/>
      <c r="KPL41" s="261"/>
      <c r="KPM41" s="261"/>
      <c r="KPN41" s="261"/>
      <c r="KPO41" s="261"/>
      <c r="KPP41" s="261"/>
      <c r="KPQ41" s="261"/>
      <c r="KPR41" s="261"/>
      <c r="KPS41" s="261"/>
      <c r="KPT41" s="261"/>
      <c r="KPU41" s="261"/>
      <c r="KPV41" s="261"/>
      <c r="KPW41" s="261"/>
      <c r="KPX41" s="261"/>
      <c r="KPY41" s="261"/>
      <c r="KPZ41" s="261"/>
      <c r="KQA41" s="261"/>
      <c r="KQB41" s="261"/>
      <c r="KQC41" s="261"/>
      <c r="KQD41" s="261"/>
      <c r="KQE41" s="261"/>
      <c r="KQF41" s="261"/>
      <c r="KQG41" s="261"/>
      <c r="KQH41" s="261"/>
      <c r="KQI41" s="261"/>
      <c r="KQJ41" s="261"/>
      <c r="KQK41" s="261"/>
      <c r="KQL41" s="261"/>
      <c r="KQM41" s="261"/>
      <c r="KQN41" s="261"/>
      <c r="KQO41" s="261"/>
      <c r="KQP41" s="261"/>
      <c r="KQQ41" s="261"/>
      <c r="KQR41" s="261"/>
      <c r="KQS41" s="261"/>
      <c r="KQT41" s="261"/>
      <c r="KQU41" s="261"/>
      <c r="KQV41" s="261"/>
      <c r="KQW41" s="261"/>
      <c r="KQX41" s="261"/>
      <c r="KQY41" s="261"/>
      <c r="KQZ41" s="261"/>
      <c r="KRA41" s="261"/>
      <c r="KRB41" s="261"/>
      <c r="KRC41" s="261"/>
      <c r="KRD41" s="261"/>
      <c r="KRE41" s="261"/>
      <c r="KRF41" s="261"/>
      <c r="KRG41" s="261"/>
      <c r="KRH41" s="261"/>
      <c r="KRI41" s="261"/>
      <c r="KRJ41" s="261"/>
      <c r="KRK41" s="261"/>
      <c r="KRL41" s="261"/>
      <c r="KRM41" s="261"/>
      <c r="KRN41" s="261"/>
      <c r="KRO41" s="261"/>
      <c r="KRP41" s="261"/>
      <c r="KRQ41" s="261"/>
      <c r="KRR41" s="261"/>
      <c r="KRS41" s="261"/>
      <c r="KRT41" s="261"/>
      <c r="KRU41" s="261"/>
      <c r="KRV41" s="261"/>
      <c r="KRW41" s="261"/>
      <c r="KRX41" s="261"/>
      <c r="KRY41" s="261"/>
      <c r="KRZ41" s="261"/>
      <c r="KSA41" s="261"/>
      <c r="KSB41" s="261"/>
      <c r="KSC41" s="261"/>
      <c r="KSD41" s="261"/>
      <c r="KSE41" s="261"/>
      <c r="KSF41" s="261"/>
      <c r="KSG41" s="261"/>
      <c r="KSH41" s="261"/>
      <c r="KSI41" s="261"/>
      <c r="KSJ41" s="261"/>
      <c r="KSK41" s="261"/>
      <c r="KSL41" s="261"/>
      <c r="KSM41" s="261"/>
      <c r="KSN41" s="261"/>
      <c r="KSO41" s="261"/>
      <c r="KSP41" s="261"/>
      <c r="KSQ41" s="261"/>
      <c r="KSR41" s="261"/>
      <c r="KSS41" s="261"/>
      <c r="KST41" s="261"/>
      <c r="KSU41" s="261"/>
      <c r="KSV41" s="261"/>
      <c r="KSW41" s="261"/>
      <c r="KSX41" s="261"/>
      <c r="KSY41" s="261"/>
      <c r="KSZ41" s="261"/>
      <c r="KTA41" s="261"/>
      <c r="KTB41" s="261"/>
      <c r="KTC41" s="261"/>
      <c r="KTD41" s="261"/>
      <c r="KTE41" s="261"/>
      <c r="KTF41" s="261"/>
      <c r="KTG41" s="261"/>
      <c r="KTH41" s="261"/>
      <c r="KTI41" s="261"/>
      <c r="KTJ41" s="261"/>
      <c r="KTK41" s="261"/>
      <c r="KTL41" s="261"/>
      <c r="KTM41" s="261"/>
      <c r="KTN41" s="261"/>
      <c r="KTO41" s="261"/>
      <c r="KTP41" s="261"/>
      <c r="KTQ41" s="261"/>
      <c r="KTR41" s="261"/>
      <c r="KTS41" s="261"/>
      <c r="KTT41" s="261"/>
      <c r="KTU41" s="261"/>
      <c r="KTV41" s="261"/>
      <c r="KTW41" s="261"/>
      <c r="KTX41" s="261"/>
      <c r="KTY41" s="261"/>
      <c r="KTZ41" s="261"/>
      <c r="KUA41" s="261"/>
      <c r="KUB41" s="261"/>
      <c r="KUC41" s="261"/>
      <c r="KUD41" s="261"/>
      <c r="KUE41" s="261"/>
      <c r="KUF41" s="261"/>
      <c r="KUG41" s="261"/>
      <c r="KUH41" s="261"/>
      <c r="KUI41" s="261"/>
      <c r="KUJ41" s="261"/>
      <c r="KUK41" s="261"/>
      <c r="KUL41" s="261"/>
      <c r="KUM41" s="261"/>
      <c r="KUN41" s="261"/>
      <c r="KUO41" s="261"/>
      <c r="KUP41" s="261"/>
      <c r="KUQ41" s="261"/>
      <c r="KUR41" s="261"/>
      <c r="KUS41" s="261"/>
      <c r="KUT41" s="261"/>
      <c r="KUU41" s="261"/>
      <c r="KUV41" s="261"/>
      <c r="KUW41" s="261"/>
      <c r="KUX41" s="261"/>
      <c r="KUY41" s="261"/>
      <c r="KUZ41" s="261"/>
      <c r="KVA41" s="261"/>
      <c r="KVB41" s="261"/>
      <c r="KVC41" s="261"/>
      <c r="KVD41" s="261"/>
      <c r="KVE41" s="261"/>
      <c r="KVF41" s="261"/>
      <c r="KVG41" s="261"/>
      <c r="KVH41" s="261"/>
      <c r="KVI41" s="261"/>
      <c r="KVJ41" s="261"/>
      <c r="KVK41" s="261"/>
      <c r="KVL41" s="261"/>
      <c r="KVM41" s="261"/>
      <c r="KVN41" s="261"/>
      <c r="KVO41" s="261"/>
      <c r="KVP41" s="261"/>
      <c r="KVQ41" s="261"/>
      <c r="KVR41" s="261"/>
      <c r="KVS41" s="261"/>
      <c r="KVT41" s="261"/>
      <c r="KVU41" s="261"/>
      <c r="KVV41" s="261"/>
      <c r="KVW41" s="261"/>
      <c r="KVX41" s="261"/>
      <c r="KVY41" s="261"/>
      <c r="KVZ41" s="261"/>
      <c r="KWA41" s="261"/>
      <c r="KWB41" s="261"/>
      <c r="KWC41" s="261"/>
      <c r="KWD41" s="261"/>
      <c r="KWE41" s="261"/>
      <c r="KWF41" s="261"/>
      <c r="KWG41" s="261"/>
      <c r="KWH41" s="261"/>
      <c r="KWI41" s="261"/>
      <c r="KWJ41" s="261"/>
      <c r="KWK41" s="261"/>
      <c r="KWL41" s="261"/>
      <c r="KWM41" s="261"/>
      <c r="KWN41" s="261"/>
      <c r="KWO41" s="261"/>
      <c r="KWP41" s="261"/>
      <c r="KWQ41" s="261"/>
      <c r="KWR41" s="261"/>
      <c r="KWS41" s="261"/>
      <c r="KWT41" s="261"/>
      <c r="KWU41" s="261"/>
      <c r="KWV41" s="261"/>
      <c r="KWW41" s="261"/>
      <c r="KWX41" s="261"/>
      <c r="KWY41" s="261"/>
      <c r="KWZ41" s="261"/>
      <c r="KXA41" s="261"/>
      <c r="KXB41" s="261"/>
      <c r="KXC41" s="261"/>
      <c r="KXD41" s="261"/>
      <c r="KXE41" s="261"/>
      <c r="KXF41" s="261"/>
      <c r="KXG41" s="261"/>
      <c r="KXH41" s="261"/>
      <c r="KXI41" s="261"/>
      <c r="KXJ41" s="261"/>
      <c r="KXK41" s="261"/>
      <c r="KXL41" s="261"/>
      <c r="KXM41" s="261"/>
      <c r="KXN41" s="261"/>
      <c r="KXO41" s="261"/>
      <c r="KXP41" s="261"/>
      <c r="KXQ41" s="261"/>
      <c r="KXR41" s="261"/>
      <c r="KXS41" s="261"/>
      <c r="KXT41" s="261"/>
      <c r="KXU41" s="261"/>
      <c r="KXV41" s="261"/>
      <c r="KXW41" s="261"/>
      <c r="KXX41" s="261"/>
      <c r="KXY41" s="261"/>
      <c r="KXZ41" s="261"/>
      <c r="KYA41" s="261"/>
      <c r="KYB41" s="261"/>
      <c r="KYC41" s="261"/>
      <c r="KYD41" s="261"/>
      <c r="KYE41" s="261"/>
      <c r="KYF41" s="261"/>
      <c r="KYG41" s="261"/>
      <c r="KYH41" s="261"/>
      <c r="KYI41" s="261"/>
      <c r="KYJ41" s="261"/>
      <c r="KYK41" s="261"/>
      <c r="KYL41" s="261"/>
      <c r="KYM41" s="261"/>
      <c r="KYN41" s="261"/>
      <c r="KYO41" s="261"/>
      <c r="KYP41" s="261"/>
      <c r="KYQ41" s="261"/>
      <c r="KYR41" s="261"/>
      <c r="KYS41" s="261"/>
      <c r="KYT41" s="261"/>
      <c r="KYU41" s="261"/>
      <c r="KYV41" s="261"/>
      <c r="KYW41" s="261"/>
      <c r="KYX41" s="261"/>
      <c r="KYY41" s="261"/>
      <c r="KYZ41" s="261"/>
      <c r="KZA41" s="261"/>
      <c r="KZB41" s="261"/>
      <c r="KZC41" s="261"/>
      <c r="KZD41" s="261"/>
      <c r="KZE41" s="261"/>
      <c r="KZF41" s="261"/>
      <c r="KZG41" s="261"/>
      <c r="KZH41" s="261"/>
      <c r="KZI41" s="261"/>
      <c r="KZJ41" s="261"/>
      <c r="KZK41" s="261"/>
      <c r="KZL41" s="261"/>
      <c r="KZM41" s="261"/>
      <c r="KZN41" s="261"/>
      <c r="KZO41" s="261"/>
      <c r="KZP41" s="261"/>
      <c r="KZQ41" s="261"/>
      <c r="KZR41" s="261"/>
      <c r="KZS41" s="261"/>
      <c r="KZT41" s="261"/>
      <c r="KZU41" s="261"/>
      <c r="KZV41" s="261"/>
      <c r="KZW41" s="261"/>
      <c r="KZX41" s="261"/>
      <c r="KZY41" s="261"/>
      <c r="KZZ41" s="261"/>
      <c r="LAA41" s="261"/>
      <c r="LAB41" s="261"/>
      <c r="LAC41" s="261"/>
      <c r="LAD41" s="261"/>
      <c r="LAE41" s="261"/>
      <c r="LAF41" s="261"/>
      <c r="LAG41" s="261"/>
      <c r="LAH41" s="261"/>
      <c r="LAI41" s="261"/>
      <c r="LAJ41" s="261"/>
      <c r="LAK41" s="261"/>
      <c r="LAL41" s="261"/>
      <c r="LAM41" s="261"/>
      <c r="LAN41" s="261"/>
      <c r="LAO41" s="261"/>
      <c r="LAP41" s="261"/>
      <c r="LAQ41" s="261"/>
      <c r="LAR41" s="261"/>
      <c r="LAS41" s="261"/>
      <c r="LAT41" s="261"/>
      <c r="LAU41" s="261"/>
      <c r="LAV41" s="261"/>
      <c r="LAW41" s="261"/>
      <c r="LAX41" s="261"/>
      <c r="LAY41" s="261"/>
      <c r="LAZ41" s="261"/>
      <c r="LBA41" s="261"/>
      <c r="LBB41" s="261"/>
      <c r="LBC41" s="261"/>
      <c r="LBD41" s="261"/>
      <c r="LBE41" s="261"/>
      <c r="LBF41" s="261"/>
      <c r="LBG41" s="261"/>
      <c r="LBH41" s="261"/>
      <c r="LBI41" s="261"/>
      <c r="LBJ41" s="261"/>
      <c r="LBK41" s="261"/>
      <c r="LBL41" s="261"/>
      <c r="LBM41" s="261"/>
      <c r="LBN41" s="261"/>
      <c r="LBO41" s="261"/>
      <c r="LBP41" s="261"/>
      <c r="LBQ41" s="261"/>
      <c r="LBR41" s="261"/>
      <c r="LBS41" s="261"/>
      <c r="LBT41" s="261"/>
      <c r="LBU41" s="261"/>
      <c r="LBV41" s="261"/>
      <c r="LBW41" s="261"/>
      <c r="LBX41" s="261"/>
      <c r="LBY41" s="261"/>
      <c r="LBZ41" s="261"/>
      <c r="LCA41" s="261"/>
      <c r="LCB41" s="261"/>
      <c r="LCC41" s="261"/>
      <c r="LCD41" s="261"/>
      <c r="LCE41" s="261"/>
      <c r="LCF41" s="261"/>
      <c r="LCG41" s="261"/>
      <c r="LCH41" s="261"/>
      <c r="LCI41" s="261"/>
      <c r="LCJ41" s="261"/>
      <c r="LCK41" s="261"/>
      <c r="LCL41" s="261"/>
      <c r="LCM41" s="261"/>
      <c r="LCN41" s="261"/>
      <c r="LCO41" s="261"/>
      <c r="LCP41" s="261"/>
      <c r="LCQ41" s="261"/>
      <c r="LCR41" s="261"/>
      <c r="LCS41" s="261"/>
      <c r="LCT41" s="261"/>
      <c r="LCU41" s="261"/>
      <c r="LCV41" s="261"/>
      <c r="LCW41" s="261"/>
      <c r="LCX41" s="261"/>
      <c r="LCY41" s="261"/>
      <c r="LCZ41" s="261"/>
      <c r="LDA41" s="261"/>
      <c r="LDB41" s="261"/>
      <c r="LDC41" s="261"/>
      <c r="LDD41" s="261"/>
      <c r="LDE41" s="261"/>
      <c r="LDF41" s="261"/>
      <c r="LDG41" s="261"/>
      <c r="LDH41" s="261"/>
      <c r="LDI41" s="261"/>
      <c r="LDJ41" s="261"/>
      <c r="LDK41" s="261"/>
      <c r="LDL41" s="261"/>
      <c r="LDM41" s="261"/>
      <c r="LDN41" s="261"/>
      <c r="LDO41" s="261"/>
      <c r="LDP41" s="261"/>
      <c r="LDQ41" s="261"/>
      <c r="LDR41" s="261"/>
      <c r="LDS41" s="261"/>
      <c r="LDT41" s="261"/>
      <c r="LDU41" s="261"/>
      <c r="LDV41" s="261"/>
      <c r="LDW41" s="261"/>
      <c r="LDX41" s="261"/>
      <c r="LDY41" s="261"/>
      <c r="LDZ41" s="261"/>
      <c r="LEA41" s="261"/>
      <c r="LEB41" s="261"/>
      <c r="LEC41" s="261"/>
      <c r="LED41" s="261"/>
      <c r="LEE41" s="261"/>
      <c r="LEF41" s="261"/>
      <c r="LEG41" s="261"/>
      <c r="LEH41" s="261"/>
      <c r="LEI41" s="261"/>
      <c r="LEJ41" s="261"/>
      <c r="LEK41" s="261"/>
      <c r="LEL41" s="261"/>
      <c r="LEM41" s="261"/>
      <c r="LEN41" s="261"/>
      <c r="LEO41" s="261"/>
      <c r="LEP41" s="261"/>
      <c r="LEQ41" s="261"/>
      <c r="LER41" s="261"/>
      <c r="LES41" s="261"/>
      <c r="LET41" s="261"/>
      <c r="LEU41" s="261"/>
      <c r="LEV41" s="261"/>
      <c r="LEW41" s="261"/>
      <c r="LEX41" s="261"/>
      <c r="LEY41" s="261"/>
      <c r="LEZ41" s="261"/>
      <c r="LFA41" s="261"/>
      <c r="LFB41" s="261"/>
      <c r="LFC41" s="261"/>
      <c r="LFD41" s="261"/>
      <c r="LFE41" s="261"/>
      <c r="LFF41" s="261"/>
      <c r="LFG41" s="261"/>
      <c r="LFH41" s="261"/>
      <c r="LFI41" s="261"/>
      <c r="LFJ41" s="261"/>
      <c r="LFK41" s="261"/>
      <c r="LFL41" s="261"/>
      <c r="LFM41" s="261"/>
      <c r="LFN41" s="261"/>
      <c r="LFO41" s="261"/>
      <c r="LFP41" s="261"/>
      <c r="LFQ41" s="261"/>
      <c r="LFR41" s="261"/>
      <c r="LFS41" s="261"/>
      <c r="LFT41" s="261"/>
      <c r="LFU41" s="261"/>
      <c r="LFV41" s="261"/>
      <c r="LFW41" s="261"/>
      <c r="LFX41" s="261"/>
      <c r="LFY41" s="261"/>
      <c r="LFZ41" s="261"/>
      <c r="LGA41" s="261"/>
      <c r="LGB41" s="261"/>
      <c r="LGC41" s="261"/>
      <c r="LGD41" s="261"/>
      <c r="LGE41" s="261"/>
      <c r="LGF41" s="261"/>
      <c r="LGG41" s="261"/>
      <c r="LGH41" s="261"/>
      <c r="LGI41" s="261"/>
      <c r="LGJ41" s="261"/>
      <c r="LGK41" s="261"/>
      <c r="LGL41" s="261"/>
      <c r="LGM41" s="261"/>
      <c r="LGN41" s="261"/>
      <c r="LGO41" s="261"/>
      <c r="LGP41" s="261"/>
      <c r="LGQ41" s="261"/>
      <c r="LGR41" s="261"/>
      <c r="LGS41" s="261"/>
      <c r="LGT41" s="261"/>
      <c r="LGU41" s="261"/>
      <c r="LGV41" s="261"/>
      <c r="LGW41" s="261"/>
      <c r="LGX41" s="261"/>
      <c r="LGY41" s="261"/>
      <c r="LGZ41" s="261"/>
      <c r="LHA41" s="261"/>
      <c r="LHB41" s="261"/>
      <c r="LHC41" s="261"/>
      <c r="LHD41" s="261"/>
      <c r="LHE41" s="261"/>
      <c r="LHF41" s="261"/>
      <c r="LHG41" s="261"/>
      <c r="LHH41" s="261"/>
      <c r="LHI41" s="261"/>
      <c r="LHJ41" s="261"/>
      <c r="LHK41" s="261"/>
      <c r="LHL41" s="261"/>
      <c r="LHM41" s="261"/>
      <c r="LHN41" s="261"/>
      <c r="LHO41" s="261"/>
      <c r="LHP41" s="261"/>
      <c r="LHQ41" s="261"/>
      <c r="LHR41" s="261"/>
      <c r="LHS41" s="261"/>
      <c r="LHT41" s="261"/>
      <c r="LHU41" s="261"/>
      <c r="LHV41" s="261"/>
      <c r="LHW41" s="261"/>
      <c r="LHX41" s="261"/>
      <c r="LHY41" s="261"/>
      <c r="LHZ41" s="261"/>
      <c r="LIA41" s="261"/>
      <c r="LIB41" s="261"/>
      <c r="LIC41" s="261"/>
      <c r="LID41" s="261"/>
      <c r="LIE41" s="261"/>
      <c r="LIF41" s="261"/>
      <c r="LIG41" s="261"/>
      <c r="LIH41" s="261"/>
      <c r="LII41" s="261"/>
      <c r="LIJ41" s="261"/>
      <c r="LIK41" s="261"/>
      <c r="LIL41" s="261"/>
      <c r="LIM41" s="261"/>
      <c r="LIN41" s="261"/>
      <c r="LIO41" s="261"/>
      <c r="LIP41" s="261"/>
      <c r="LIQ41" s="261"/>
      <c r="LIR41" s="261"/>
      <c r="LIS41" s="261"/>
      <c r="LIT41" s="261"/>
      <c r="LIU41" s="261"/>
      <c r="LIV41" s="261"/>
      <c r="LIW41" s="261"/>
      <c r="LIX41" s="261"/>
      <c r="LIY41" s="261"/>
      <c r="LIZ41" s="261"/>
      <c r="LJA41" s="261"/>
      <c r="LJB41" s="261"/>
      <c r="LJC41" s="261"/>
      <c r="LJD41" s="261"/>
      <c r="LJE41" s="261"/>
      <c r="LJF41" s="261"/>
      <c r="LJG41" s="261"/>
      <c r="LJH41" s="261"/>
      <c r="LJI41" s="261"/>
      <c r="LJJ41" s="261"/>
      <c r="LJK41" s="261"/>
      <c r="LJL41" s="261"/>
      <c r="LJM41" s="261"/>
      <c r="LJN41" s="261"/>
      <c r="LJO41" s="261"/>
      <c r="LJP41" s="261"/>
      <c r="LJQ41" s="261"/>
      <c r="LJR41" s="261"/>
      <c r="LJS41" s="261"/>
      <c r="LJT41" s="261"/>
      <c r="LJU41" s="261"/>
      <c r="LJV41" s="261"/>
      <c r="LJW41" s="261"/>
      <c r="LJX41" s="261"/>
      <c r="LJY41" s="261"/>
      <c r="LJZ41" s="261"/>
      <c r="LKA41" s="261"/>
      <c r="LKB41" s="261"/>
      <c r="LKC41" s="261"/>
      <c r="LKD41" s="261"/>
      <c r="LKE41" s="261"/>
      <c r="LKF41" s="261"/>
      <c r="LKG41" s="261"/>
      <c r="LKH41" s="261"/>
      <c r="LKI41" s="261"/>
      <c r="LKJ41" s="261"/>
      <c r="LKK41" s="261"/>
      <c r="LKL41" s="261"/>
      <c r="LKM41" s="261"/>
      <c r="LKN41" s="261"/>
      <c r="LKO41" s="261"/>
      <c r="LKP41" s="261"/>
      <c r="LKQ41" s="261"/>
      <c r="LKR41" s="261"/>
      <c r="LKS41" s="261"/>
      <c r="LKT41" s="261"/>
      <c r="LKU41" s="261"/>
      <c r="LKV41" s="261"/>
      <c r="LKW41" s="261"/>
      <c r="LKX41" s="261"/>
      <c r="LKY41" s="261"/>
      <c r="LKZ41" s="261"/>
      <c r="LLA41" s="261"/>
      <c r="LLB41" s="261"/>
      <c r="LLC41" s="261"/>
      <c r="LLD41" s="261"/>
      <c r="LLE41" s="261"/>
      <c r="LLF41" s="261"/>
      <c r="LLG41" s="261"/>
      <c r="LLH41" s="261"/>
      <c r="LLI41" s="261"/>
      <c r="LLJ41" s="261"/>
      <c r="LLK41" s="261"/>
      <c r="LLL41" s="261"/>
      <c r="LLM41" s="261"/>
      <c r="LLN41" s="261"/>
      <c r="LLO41" s="261"/>
      <c r="LLP41" s="261"/>
      <c r="LLQ41" s="261"/>
      <c r="LLR41" s="261"/>
      <c r="LLS41" s="261"/>
      <c r="LLT41" s="261"/>
      <c r="LLU41" s="261"/>
      <c r="LLV41" s="261"/>
      <c r="LLW41" s="261"/>
      <c r="LLX41" s="261"/>
      <c r="LLY41" s="261"/>
      <c r="LLZ41" s="261"/>
      <c r="LMA41" s="261"/>
      <c r="LMB41" s="261"/>
      <c r="LMC41" s="261"/>
      <c r="LMD41" s="261"/>
      <c r="LME41" s="261"/>
      <c r="LMF41" s="261"/>
      <c r="LMG41" s="261"/>
      <c r="LMH41" s="261"/>
      <c r="LMI41" s="261"/>
      <c r="LMJ41" s="261"/>
      <c r="LMK41" s="261"/>
      <c r="LML41" s="261"/>
      <c r="LMM41" s="261"/>
      <c r="LMN41" s="261"/>
      <c r="LMO41" s="261"/>
      <c r="LMP41" s="261"/>
      <c r="LMQ41" s="261"/>
      <c r="LMR41" s="261"/>
      <c r="LMS41" s="261"/>
      <c r="LMT41" s="261"/>
      <c r="LMU41" s="261"/>
      <c r="LMV41" s="261"/>
      <c r="LMW41" s="261"/>
      <c r="LMX41" s="261"/>
      <c r="LMY41" s="261"/>
      <c r="LMZ41" s="261"/>
      <c r="LNA41" s="261"/>
      <c r="LNB41" s="261"/>
      <c r="LNC41" s="261"/>
      <c r="LND41" s="261"/>
      <c r="LNE41" s="261"/>
      <c r="LNF41" s="261"/>
      <c r="LNG41" s="261"/>
      <c r="LNH41" s="261"/>
      <c r="LNI41" s="261"/>
      <c r="LNJ41" s="261"/>
      <c r="LNK41" s="261"/>
      <c r="LNL41" s="261"/>
      <c r="LNM41" s="261"/>
      <c r="LNN41" s="261"/>
      <c r="LNO41" s="261"/>
      <c r="LNP41" s="261"/>
      <c r="LNQ41" s="261"/>
      <c r="LNR41" s="261"/>
      <c r="LNS41" s="261"/>
      <c r="LNT41" s="261"/>
      <c r="LNU41" s="261"/>
      <c r="LNV41" s="261"/>
      <c r="LNW41" s="261"/>
      <c r="LNX41" s="261"/>
      <c r="LNY41" s="261"/>
      <c r="LNZ41" s="261"/>
      <c r="LOA41" s="261"/>
      <c r="LOB41" s="261"/>
      <c r="LOC41" s="261"/>
      <c r="LOD41" s="261"/>
      <c r="LOE41" s="261"/>
      <c r="LOF41" s="261"/>
      <c r="LOG41" s="261"/>
      <c r="LOH41" s="261"/>
      <c r="LOI41" s="261"/>
      <c r="LOJ41" s="261"/>
      <c r="LOK41" s="261"/>
      <c r="LOL41" s="261"/>
      <c r="LOM41" s="261"/>
      <c r="LON41" s="261"/>
      <c r="LOO41" s="261"/>
      <c r="LOP41" s="261"/>
      <c r="LOQ41" s="261"/>
      <c r="LOR41" s="261"/>
      <c r="LOS41" s="261"/>
      <c r="LOT41" s="261"/>
      <c r="LOU41" s="261"/>
      <c r="LOV41" s="261"/>
      <c r="LOW41" s="261"/>
      <c r="LOX41" s="261"/>
      <c r="LOY41" s="261"/>
      <c r="LOZ41" s="261"/>
      <c r="LPA41" s="261"/>
      <c r="LPB41" s="261"/>
      <c r="LPC41" s="261"/>
      <c r="LPD41" s="261"/>
      <c r="LPE41" s="261"/>
      <c r="LPF41" s="261"/>
      <c r="LPG41" s="261"/>
      <c r="LPH41" s="261"/>
      <c r="LPI41" s="261"/>
      <c r="LPJ41" s="261"/>
      <c r="LPK41" s="261"/>
      <c r="LPL41" s="261"/>
      <c r="LPM41" s="261"/>
      <c r="LPN41" s="261"/>
      <c r="LPO41" s="261"/>
      <c r="LPP41" s="261"/>
      <c r="LPQ41" s="261"/>
      <c r="LPR41" s="261"/>
      <c r="LPS41" s="261"/>
      <c r="LPT41" s="261"/>
      <c r="LPU41" s="261"/>
      <c r="LPV41" s="261"/>
      <c r="LPW41" s="261"/>
      <c r="LPX41" s="261"/>
      <c r="LPY41" s="261"/>
      <c r="LPZ41" s="261"/>
      <c r="LQA41" s="261"/>
      <c r="LQB41" s="261"/>
      <c r="LQC41" s="261"/>
      <c r="LQD41" s="261"/>
      <c r="LQE41" s="261"/>
      <c r="LQF41" s="261"/>
      <c r="LQG41" s="261"/>
      <c r="LQH41" s="261"/>
      <c r="LQI41" s="261"/>
      <c r="LQJ41" s="261"/>
      <c r="LQK41" s="261"/>
      <c r="LQL41" s="261"/>
      <c r="LQM41" s="261"/>
      <c r="LQN41" s="261"/>
      <c r="LQO41" s="261"/>
      <c r="LQP41" s="261"/>
      <c r="LQQ41" s="261"/>
      <c r="LQR41" s="261"/>
      <c r="LQS41" s="261"/>
      <c r="LQT41" s="261"/>
      <c r="LQU41" s="261"/>
      <c r="LQV41" s="261"/>
      <c r="LQW41" s="261"/>
      <c r="LQX41" s="261"/>
      <c r="LQY41" s="261"/>
      <c r="LQZ41" s="261"/>
      <c r="LRA41" s="261"/>
      <c r="LRB41" s="261"/>
      <c r="LRC41" s="261"/>
      <c r="LRD41" s="261"/>
      <c r="LRE41" s="261"/>
      <c r="LRF41" s="261"/>
      <c r="LRG41" s="261"/>
      <c r="LRH41" s="261"/>
      <c r="LRI41" s="261"/>
      <c r="LRJ41" s="261"/>
      <c r="LRK41" s="261"/>
      <c r="LRL41" s="261"/>
      <c r="LRM41" s="261"/>
      <c r="LRN41" s="261"/>
      <c r="LRO41" s="261"/>
      <c r="LRP41" s="261"/>
      <c r="LRQ41" s="261"/>
      <c r="LRR41" s="261"/>
      <c r="LRS41" s="261"/>
      <c r="LRT41" s="261"/>
      <c r="LRU41" s="261"/>
      <c r="LRV41" s="261"/>
      <c r="LRW41" s="261"/>
      <c r="LRX41" s="261"/>
      <c r="LRY41" s="261"/>
      <c r="LRZ41" s="261"/>
      <c r="LSA41" s="261"/>
      <c r="LSB41" s="261"/>
      <c r="LSC41" s="261"/>
      <c r="LSD41" s="261"/>
      <c r="LSE41" s="261"/>
      <c r="LSF41" s="261"/>
      <c r="LSG41" s="261"/>
      <c r="LSH41" s="261"/>
      <c r="LSI41" s="261"/>
      <c r="LSJ41" s="261"/>
      <c r="LSK41" s="261"/>
      <c r="LSL41" s="261"/>
      <c r="LSM41" s="261"/>
      <c r="LSN41" s="261"/>
      <c r="LSO41" s="261"/>
      <c r="LSP41" s="261"/>
      <c r="LSQ41" s="261"/>
      <c r="LSR41" s="261"/>
      <c r="LSS41" s="261"/>
      <c r="LST41" s="261"/>
      <c r="LSU41" s="261"/>
      <c r="LSV41" s="261"/>
      <c r="LSW41" s="261"/>
      <c r="LSX41" s="261"/>
      <c r="LSY41" s="261"/>
      <c r="LSZ41" s="261"/>
      <c r="LTA41" s="261"/>
      <c r="LTB41" s="261"/>
      <c r="LTC41" s="261"/>
      <c r="LTD41" s="261"/>
      <c r="LTE41" s="261"/>
      <c r="LTF41" s="261"/>
      <c r="LTG41" s="261"/>
      <c r="LTH41" s="261"/>
      <c r="LTI41" s="261"/>
      <c r="LTJ41" s="261"/>
      <c r="LTK41" s="261"/>
      <c r="LTL41" s="261"/>
      <c r="LTM41" s="261"/>
      <c r="LTN41" s="261"/>
      <c r="LTO41" s="261"/>
      <c r="LTP41" s="261"/>
      <c r="LTQ41" s="261"/>
      <c r="LTR41" s="261"/>
      <c r="LTS41" s="261"/>
      <c r="LTT41" s="261"/>
      <c r="LTU41" s="261"/>
      <c r="LTV41" s="261"/>
      <c r="LTW41" s="261"/>
      <c r="LTX41" s="261"/>
      <c r="LTY41" s="261"/>
      <c r="LTZ41" s="261"/>
      <c r="LUA41" s="261"/>
      <c r="LUB41" s="261"/>
      <c r="LUC41" s="261"/>
      <c r="LUD41" s="261"/>
      <c r="LUE41" s="261"/>
      <c r="LUF41" s="261"/>
      <c r="LUG41" s="261"/>
      <c r="LUH41" s="261"/>
      <c r="LUI41" s="261"/>
      <c r="LUJ41" s="261"/>
      <c r="LUK41" s="261"/>
      <c r="LUL41" s="261"/>
      <c r="LUM41" s="261"/>
      <c r="LUN41" s="261"/>
      <c r="LUO41" s="261"/>
      <c r="LUP41" s="261"/>
      <c r="LUQ41" s="261"/>
      <c r="LUR41" s="261"/>
      <c r="LUS41" s="261"/>
      <c r="LUT41" s="261"/>
      <c r="LUU41" s="261"/>
      <c r="LUV41" s="261"/>
      <c r="LUW41" s="261"/>
      <c r="LUX41" s="261"/>
      <c r="LUY41" s="261"/>
      <c r="LUZ41" s="261"/>
      <c r="LVA41" s="261"/>
      <c r="LVB41" s="261"/>
      <c r="LVC41" s="261"/>
      <c r="LVD41" s="261"/>
      <c r="LVE41" s="261"/>
      <c r="LVF41" s="261"/>
      <c r="LVG41" s="261"/>
      <c r="LVH41" s="261"/>
      <c r="LVI41" s="261"/>
      <c r="LVJ41" s="261"/>
      <c r="LVK41" s="261"/>
      <c r="LVL41" s="261"/>
      <c r="LVM41" s="261"/>
      <c r="LVN41" s="261"/>
      <c r="LVO41" s="261"/>
      <c r="LVP41" s="261"/>
      <c r="LVQ41" s="261"/>
      <c r="LVR41" s="261"/>
      <c r="LVS41" s="261"/>
      <c r="LVT41" s="261"/>
      <c r="LVU41" s="261"/>
      <c r="LVV41" s="261"/>
      <c r="LVW41" s="261"/>
      <c r="LVX41" s="261"/>
      <c r="LVY41" s="261"/>
      <c r="LVZ41" s="261"/>
      <c r="LWA41" s="261"/>
      <c r="LWB41" s="261"/>
      <c r="LWC41" s="261"/>
      <c r="LWD41" s="261"/>
      <c r="LWE41" s="261"/>
      <c r="LWF41" s="261"/>
      <c r="LWG41" s="261"/>
      <c r="LWH41" s="261"/>
      <c r="LWI41" s="261"/>
      <c r="LWJ41" s="261"/>
      <c r="LWK41" s="261"/>
      <c r="LWL41" s="261"/>
      <c r="LWM41" s="261"/>
      <c r="LWN41" s="261"/>
      <c r="LWO41" s="261"/>
      <c r="LWP41" s="261"/>
      <c r="LWQ41" s="261"/>
      <c r="LWR41" s="261"/>
      <c r="LWS41" s="261"/>
      <c r="LWT41" s="261"/>
      <c r="LWU41" s="261"/>
      <c r="LWV41" s="261"/>
      <c r="LWW41" s="261"/>
      <c r="LWX41" s="261"/>
      <c r="LWY41" s="261"/>
      <c r="LWZ41" s="261"/>
      <c r="LXA41" s="261"/>
      <c r="LXB41" s="261"/>
      <c r="LXC41" s="261"/>
      <c r="LXD41" s="261"/>
      <c r="LXE41" s="261"/>
      <c r="LXF41" s="261"/>
      <c r="LXG41" s="261"/>
      <c r="LXH41" s="261"/>
      <c r="LXI41" s="261"/>
      <c r="LXJ41" s="261"/>
      <c r="LXK41" s="261"/>
      <c r="LXL41" s="261"/>
      <c r="LXM41" s="261"/>
      <c r="LXN41" s="261"/>
      <c r="LXO41" s="261"/>
      <c r="LXP41" s="261"/>
      <c r="LXQ41" s="261"/>
      <c r="LXR41" s="261"/>
      <c r="LXS41" s="261"/>
      <c r="LXT41" s="261"/>
      <c r="LXU41" s="261"/>
      <c r="LXV41" s="261"/>
      <c r="LXW41" s="261"/>
      <c r="LXX41" s="261"/>
      <c r="LXY41" s="261"/>
      <c r="LXZ41" s="261"/>
      <c r="LYA41" s="261"/>
      <c r="LYB41" s="261"/>
      <c r="LYC41" s="261"/>
      <c r="LYD41" s="261"/>
      <c r="LYE41" s="261"/>
      <c r="LYF41" s="261"/>
      <c r="LYG41" s="261"/>
      <c r="LYH41" s="261"/>
      <c r="LYI41" s="261"/>
      <c r="LYJ41" s="261"/>
      <c r="LYK41" s="261"/>
      <c r="LYL41" s="261"/>
      <c r="LYM41" s="261"/>
      <c r="LYN41" s="261"/>
      <c r="LYO41" s="261"/>
      <c r="LYP41" s="261"/>
      <c r="LYQ41" s="261"/>
      <c r="LYR41" s="261"/>
      <c r="LYS41" s="261"/>
      <c r="LYT41" s="261"/>
      <c r="LYU41" s="261"/>
      <c r="LYV41" s="261"/>
      <c r="LYW41" s="261"/>
      <c r="LYX41" s="261"/>
      <c r="LYY41" s="261"/>
      <c r="LYZ41" s="261"/>
      <c r="LZA41" s="261"/>
      <c r="LZB41" s="261"/>
      <c r="LZC41" s="261"/>
      <c r="LZD41" s="261"/>
      <c r="LZE41" s="261"/>
      <c r="LZF41" s="261"/>
      <c r="LZG41" s="261"/>
      <c r="LZH41" s="261"/>
      <c r="LZI41" s="261"/>
      <c r="LZJ41" s="261"/>
      <c r="LZK41" s="261"/>
      <c r="LZL41" s="261"/>
      <c r="LZM41" s="261"/>
      <c r="LZN41" s="261"/>
      <c r="LZO41" s="261"/>
      <c r="LZP41" s="261"/>
      <c r="LZQ41" s="261"/>
      <c r="LZR41" s="261"/>
      <c r="LZS41" s="261"/>
      <c r="LZT41" s="261"/>
      <c r="LZU41" s="261"/>
      <c r="LZV41" s="261"/>
      <c r="LZW41" s="261"/>
      <c r="LZX41" s="261"/>
      <c r="LZY41" s="261"/>
      <c r="LZZ41" s="261"/>
      <c r="MAA41" s="261"/>
      <c r="MAB41" s="261"/>
      <c r="MAC41" s="261"/>
      <c r="MAD41" s="261"/>
      <c r="MAE41" s="261"/>
      <c r="MAF41" s="261"/>
      <c r="MAG41" s="261"/>
      <c r="MAH41" s="261"/>
      <c r="MAI41" s="261"/>
      <c r="MAJ41" s="261"/>
      <c r="MAK41" s="261"/>
      <c r="MAL41" s="261"/>
      <c r="MAM41" s="261"/>
      <c r="MAN41" s="261"/>
      <c r="MAO41" s="261"/>
      <c r="MAP41" s="261"/>
      <c r="MAQ41" s="261"/>
      <c r="MAR41" s="261"/>
      <c r="MAS41" s="261"/>
      <c r="MAT41" s="261"/>
      <c r="MAU41" s="261"/>
      <c r="MAV41" s="261"/>
      <c r="MAW41" s="261"/>
      <c r="MAX41" s="261"/>
      <c r="MAY41" s="261"/>
      <c r="MAZ41" s="261"/>
      <c r="MBA41" s="261"/>
      <c r="MBB41" s="261"/>
      <c r="MBC41" s="261"/>
      <c r="MBD41" s="261"/>
      <c r="MBE41" s="261"/>
      <c r="MBF41" s="261"/>
      <c r="MBG41" s="261"/>
      <c r="MBH41" s="261"/>
      <c r="MBI41" s="261"/>
      <c r="MBJ41" s="261"/>
      <c r="MBK41" s="261"/>
      <c r="MBL41" s="261"/>
      <c r="MBM41" s="261"/>
      <c r="MBN41" s="261"/>
      <c r="MBO41" s="261"/>
      <c r="MBP41" s="261"/>
      <c r="MBQ41" s="261"/>
      <c r="MBR41" s="261"/>
      <c r="MBS41" s="261"/>
      <c r="MBT41" s="261"/>
      <c r="MBU41" s="261"/>
      <c r="MBV41" s="261"/>
      <c r="MBW41" s="261"/>
      <c r="MBX41" s="261"/>
      <c r="MBY41" s="261"/>
      <c r="MBZ41" s="261"/>
      <c r="MCA41" s="261"/>
      <c r="MCB41" s="261"/>
      <c r="MCC41" s="261"/>
      <c r="MCD41" s="261"/>
      <c r="MCE41" s="261"/>
      <c r="MCF41" s="261"/>
      <c r="MCG41" s="261"/>
      <c r="MCH41" s="261"/>
      <c r="MCI41" s="261"/>
      <c r="MCJ41" s="261"/>
      <c r="MCK41" s="261"/>
      <c r="MCL41" s="261"/>
      <c r="MCM41" s="261"/>
      <c r="MCN41" s="261"/>
      <c r="MCO41" s="261"/>
      <c r="MCP41" s="261"/>
      <c r="MCQ41" s="261"/>
      <c r="MCR41" s="261"/>
      <c r="MCS41" s="261"/>
      <c r="MCT41" s="261"/>
      <c r="MCU41" s="261"/>
      <c r="MCV41" s="261"/>
      <c r="MCW41" s="261"/>
      <c r="MCX41" s="261"/>
      <c r="MCY41" s="261"/>
      <c r="MCZ41" s="261"/>
      <c r="MDA41" s="261"/>
      <c r="MDB41" s="261"/>
      <c r="MDC41" s="261"/>
      <c r="MDD41" s="261"/>
      <c r="MDE41" s="261"/>
      <c r="MDF41" s="261"/>
      <c r="MDG41" s="261"/>
      <c r="MDH41" s="261"/>
      <c r="MDI41" s="261"/>
      <c r="MDJ41" s="261"/>
      <c r="MDK41" s="261"/>
      <c r="MDL41" s="261"/>
      <c r="MDM41" s="261"/>
      <c r="MDN41" s="261"/>
      <c r="MDO41" s="261"/>
      <c r="MDP41" s="261"/>
      <c r="MDQ41" s="261"/>
      <c r="MDR41" s="261"/>
      <c r="MDS41" s="261"/>
      <c r="MDT41" s="261"/>
      <c r="MDU41" s="261"/>
      <c r="MDV41" s="261"/>
      <c r="MDW41" s="261"/>
      <c r="MDX41" s="261"/>
      <c r="MDY41" s="261"/>
      <c r="MDZ41" s="261"/>
      <c r="MEA41" s="261"/>
      <c r="MEB41" s="261"/>
      <c r="MEC41" s="261"/>
      <c r="MED41" s="261"/>
      <c r="MEE41" s="261"/>
      <c r="MEF41" s="261"/>
      <c r="MEG41" s="261"/>
      <c r="MEH41" s="261"/>
      <c r="MEI41" s="261"/>
      <c r="MEJ41" s="261"/>
      <c r="MEK41" s="261"/>
      <c r="MEL41" s="261"/>
      <c r="MEM41" s="261"/>
      <c r="MEN41" s="261"/>
      <c r="MEO41" s="261"/>
      <c r="MEP41" s="261"/>
      <c r="MEQ41" s="261"/>
      <c r="MER41" s="261"/>
      <c r="MES41" s="261"/>
      <c r="MET41" s="261"/>
      <c r="MEU41" s="261"/>
      <c r="MEV41" s="261"/>
      <c r="MEW41" s="261"/>
      <c r="MEX41" s="261"/>
      <c r="MEY41" s="261"/>
      <c r="MEZ41" s="261"/>
      <c r="MFA41" s="261"/>
      <c r="MFB41" s="261"/>
      <c r="MFC41" s="261"/>
      <c r="MFD41" s="261"/>
      <c r="MFE41" s="261"/>
      <c r="MFF41" s="261"/>
      <c r="MFG41" s="261"/>
      <c r="MFH41" s="261"/>
      <c r="MFI41" s="261"/>
      <c r="MFJ41" s="261"/>
      <c r="MFK41" s="261"/>
      <c r="MFL41" s="261"/>
      <c r="MFM41" s="261"/>
      <c r="MFN41" s="261"/>
      <c r="MFO41" s="261"/>
      <c r="MFP41" s="261"/>
      <c r="MFQ41" s="261"/>
      <c r="MFR41" s="261"/>
      <c r="MFS41" s="261"/>
      <c r="MFT41" s="261"/>
      <c r="MFU41" s="261"/>
      <c r="MFV41" s="261"/>
      <c r="MFW41" s="261"/>
      <c r="MFX41" s="261"/>
      <c r="MFY41" s="261"/>
      <c r="MFZ41" s="261"/>
      <c r="MGA41" s="261"/>
      <c r="MGB41" s="261"/>
      <c r="MGC41" s="261"/>
      <c r="MGD41" s="261"/>
      <c r="MGE41" s="261"/>
      <c r="MGF41" s="261"/>
      <c r="MGG41" s="261"/>
      <c r="MGH41" s="261"/>
      <c r="MGI41" s="261"/>
      <c r="MGJ41" s="261"/>
      <c r="MGK41" s="261"/>
      <c r="MGL41" s="261"/>
      <c r="MGM41" s="261"/>
      <c r="MGN41" s="261"/>
      <c r="MGO41" s="261"/>
      <c r="MGP41" s="261"/>
      <c r="MGQ41" s="261"/>
      <c r="MGR41" s="261"/>
      <c r="MGS41" s="261"/>
      <c r="MGT41" s="261"/>
      <c r="MGU41" s="261"/>
      <c r="MGV41" s="261"/>
      <c r="MGW41" s="261"/>
      <c r="MGX41" s="261"/>
      <c r="MGY41" s="261"/>
      <c r="MGZ41" s="261"/>
      <c r="MHA41" s="261"/>
      <c r="MHB41" s="261"/>
      <c r="MHC41" s="261"/>
      <c r="MHD41" s="261"/>
      <c r="MHE41" s="261"/>
      <c r="MHF41" s="261"/>
      <c r="MHG41" s="261"/>
      <c r="MHH41" s="261"/>
      <c r="MHI41" s="261"/>
      <c r="MHJ41" s="261"/>
      <c r="MHK41" s="261"/>
      <c r="MHL41" s="261"/>
      <c r="MHM41" s="261"/>
      <c r="MHN41" s="261"/>
      <c r="MHO41" s="261"/>
      <c r="MHP41" s="261"/>
      <c r="MHQ41" s="261"/>
      <c r="MHR41" s="261"/>
      <c r="MHS41" s="261"/>
      <c r="MHT41" s="261"/>
      <c r="MHU41" s="261"/>
      <c r="MHV41" s="261"/>
      <c r="MHW41" s="261"/>
      <c r="MHX41" s="261"/>
      <c r="MHY41" s="261"/>
      <c r="MHZ41" s="261"/>
      <c r="MIA41" s="261"/>
      <c r="MIB41" s="261"/>
      <c r="MIC41" s="261"/>
      <c r="MID41" s="261"/>
      <c r="MIE41" s="261"/>
      <c r="MIF41" s="261"/>
      <c r="MIG41" s="261"/>
      <c r="MIH41" s="261"/>
      <c r="MII41" s="261"/>
      <c r="MIJ41" s="261"/>
      <c r="MIK41" s="261"/>
      <c r="MIL41" s="261"/>
      <c r="MIM41" s="261"/>
      <c r="MIN41" s="261"/>
      <c r="MIO41" s="261"/>
      <c r="MIP41" s="261"/>
      <c r="MIQ41" s="261"/>
      <c r="MIR41" s="261"/>
      <c r="MIS41" s="261"/>
      <c r="MIT41" s="261"/>
      <c r="MIU41" s="261"/>
      <c r="MIV41" s="261"/>
      <c r="MIW41" s="261"/>
      <c r="MIX41" s="261"/>
      <c r="MIY41" s="261"/>
      <c r="MIZ41" s="261"/>
      <c r="MJA41" s="261"/>
      <c r="MJB41" s="261"/>
      <c r="MJC41" s="261"/>
      <c r="MJD41" s="261"/>
      <c r="MJE41" s="261"/>
      <c r="MJF41" s="261"/>
      <c r="MJG41" s="261"/>
      <c r="MJH41" s="261"/>
      <c r="MJI41" s="261"/>
      <c r="MJJ41" s="261"/>
      <c r="MJK41" s="261"/>
      <c r="MJL41" s="261"/>
      <c r="MJM41" s="261"/>
      <c r="MJN41" s="261"/>
      <c r="MJO41" s="261"/>
      <c r="MJP41" s="261"/>
      <c r="MJQ41" s="261"/>
      <c r="MJR41" s="261"/>
      <c r="MJS41" s="261"/>
      <c r="MJT41" s="261"/>
      <c r="MJU41" s="261"/>
      <c r="MJV41" s="261"/>
      <c r="MJW41" s="261"/>
      <c r="MJX41" s="261"/>
      <c r="MJY41" s="261"/>
      <c r="MJZ41" s="261"/>
      <c r="MKA41" s="261"/>
      <c r="MKB41" s="261"/>
      <c r="MKC41" s="261"/>
      <c r="MKD41" s="261"/>
      <c r="MKE41" s="261"/>
      <c r="MKF41" s="261"/>
      <c r="MKG41" s="261"/>
      <c r="MKH41" s="261"/>
      <c r="MKI41" s="261"/>
      <c r="MKJ41" s="261"/>
      <c r="MKK41" s="261"/>
      <c r="MKL41" s="261"/>
      <c r="MKM41" s="261"/>
      <c r="MKN41" s="261"/>
      <c r="MKO41" s="261"/>
      <c r="MKP41" s="261"/>
      <c r="MKQ41" s="261"/>
      <c r="MKR41" s="261"/>
      <c r="MKS41" s="261"/>
      <c r="MKT41" s="261"/>
      <c r="MKU41" s="261"/>
      <c r="MKV41" s="261"/>
      <c r="MKW41" s="261"/>
      <c r="MKX41" s="261"/>
      <c r="MKY41" s="261"/>
      <c r="MKZ41" s="261"/>
      <c r="MLA41" s="261"/>
      <c r="MLB41" s="261"/>
      <c r="MLC41" s="261"/>
      <c r="MLD41" s="261"/>
      <c r="MLE41" s="261"/>
      <c r="MLF41" s="261"/>
      <c r="MLG41" s="261"/>
      <c r="MLH41" s="261"/>
      <c r="MLI41" s="261"/>
      <c r="MLJ41" s="261"/>
      <c r="MLK41" s="261"/>
      <c r="MLL41" s="261"/>
      <c r="MLM41" s="261"/>
      <c r="MLN41" s="261"/>
      <c r="MLO41" s="261"/>
      <c r="MLP41" s="261"/>
      <c r="MLQ41" s="261"/>
      <c r="MLR41" s="261"/>
      <c r="MLS41" s="261"/>
      <c r="MLT41" s="261"/>
      <c r="MLU41" s="261"/>
      <c r="MLV41" s="261"/>
      <c r="MLW41" s="261"/>
      <c r="MLX41" s="261"/>
      <c r="MLY41" s="261"/>
      <c r="MLZ41" s="261"/>
      <c r="MMA41" s="261"/>
      <c r="MMB41" s="261"/>
      <c r="MMC41" s="261"/>
      <c r="MMD41" s="261"/>
      <c r="MME41" s="261"/>
      <c r="MMF41" s="261"/>
      <c r="MMG41" s="261"/>
      <c r="MMH41" s="261"/>
      <c r="MMI41" s="261"/>
      <c r="MMJ41" s="261"/>
      <c r="MMK41" s="261"/>
      <c r="MML41" s="261"/>
      <c r="MMM41" s="261"/>
      <c r="MMN41" s="261"/>
      <c r="MMO41" s="261"/>
      <c r="MMP41" s="261"/>
      <c r="MMQ41" s="261"/>
      <c r="MMR41" s="261"/>
      <c r="MMS41" s="261"/>
      <c r="MMT41" s="261"/>
      <c r="MMU41" s="261"/>
      <c r="MMV41" s="261"/>
      <c r="MMW41" s="261"/>
      <c r="MMX41" s="261"/>
      <c r="MMY41" s="261"/>
      <c r="MMZ41" s="261"/>
      <c r="MNA41" s="261"/>
      <c r="MNB41" s="261"/>
      <c r="MNC41" s="261"/>
      <c r="MND41" s="261"/>
      <c r="MNE41" s="261"/>
      <c r="MNF41" s="261"/>
      <c r="MNG41" s="261"/>
      <c r="MNH41" s="261"/>
      <c r="MNI41" s="261"/>
      <c r="MNJ41" s="261"/>
      <c r="MNK41" s="261"/>
      <c r="MNL41" s="261"/>
      <c r="MNM41" s="261"/>
      <c r="MNN41" s="261"/>
      <c r="MNO41" s="261"/>
      <c r="MNP41" s="261"/>
      <c r="MNQ41" s="261"/>
      <c r="MNR41" s="261"/>
      <c r="MNS41" s="261"/>
      <c r="MNT41" s="261"/>
      <c r="MNU41" s="261"/>
      <c r="MNV41" s="261"/>
      <c r="MNW41" s="261"/>
      <c r="MNX41" s="261"/>
      <c r="MNY41" s="261"/>
      <c r="MNZ41" s="261"/>
      <c r="MOA41" s="261"/>
      <c r="MOB41" s="261"/>
      <c r="MOC41" s="261"/>
      <c r="MOD41" s="261"/>
      <c r="MOE41" s="261"/>
      <c r="MOF41" s="261"/>
      <c r="MOG41" s="261"/>
      <c r="MOH41" s="261"/>
      <c r="MOI41" s="261"/>
      <c r="MOJ41" s="261"/>
      <c r="MOK41" s="261"/>
      <c r="MOL41" s="261"/>
      <c r="MOM41" s="261"/>
      <c r="MON41" s="261"/>
      <c r="MOO41" s="261"/>
      <c r="MOP41" s="261"/>
      <c r="MOQ41" s="261"/>
      <c r="MOR41" s="261"/>
      <c r="MOS41" s="261"/>
      <c r="MOT41" s="261"/>
      <c r="MOU41" s="261"/>
      <c r="MOV41" s="261"/>
      <c r="MOW41" s="261"/>
      <c r="MOX41" s="261"/>
      <c r="MOY41" s="261"/>
      <c r="MOZ41" s="261"/>
      <c r="MPA41" s="261"/>
      <c r="MPB41" s="261"/>
      <c r="MPC41" s="261"/>
      <c r="MPD41" s="261"/>
      <c r="MPE41" s="261"/>
      <c r="MPF41" s="261"/>
      <c r="MPG41" s="261"/>
      <c r="MPH41" s="261"/>
      <c r="MPI41" s="261"/>
      <c r="MPJ41" s="261"/>
      <c r="MPK41" s="261"/>
      <c r="MPL41" s="261"/>
      <c r="MPM41" s="261"/>
      <c r="MPN41" s="261"/>
      <c r="MPO41" s="261"/>
      <c r="MPP41" s="261"/>
      <c r="MPQ41" s="261"/>
      <c r="MPR41" s="261"/>
      <c r="MPS41" s="261"/>
      <c r="MPT41" s="261"/>
      <c r="MPU41" s="261"/>
      <c r="MPV41" s="261"/>
      <c r="MPW41" s="261"/>
      <c r="MPX41" s="261"/>
      <c r="MPY41" s="261"/>
      <c r="MPZ41" s="261"/>
      <c r="MQA41" s="261"/>
      <c r="MQB41" s="261"/>
      <c r="MQC41" s="261"/>
      <c r="MQD41" s="261"/>
      <c r="MQE41" s="261"/>
      <c r="MQF41" s="261"/>
      <c r="MQG41" s="261"/>
      <c r="MQH41" s="261"/>
      <c r="MQI41" s="261"/>
      <c r="MQJ41" s="261"/>
      <c r="MQK41" s="261"/>
      <c r="MQL41" s="261"/>
      <c r="MQM41" s="261"/>
      <c r="MQN41" s="261"/>
      <c r="MQO41" s="261"/>
      <c r="MQP41" s="261"/>
      <c r="MQQ41" s="261"/>
      <c r="MQR41" s="261"/>
      <c r="MQS41" s="261"/>
      <c r="MQT41" s="261"/>
      <c r="MQU41" s="261"/>
      <c r="MQV41" s="261"/>
      <c r="MQW41" s="261"/>
      <c r="MQX41" s="261"/>
      <c r="MQY41" s="261"/>
      <c r="MQZ41" s="261"/>
      <c r="MRA41" s="261"/>
      <c r="MRB41" s="261"/>
      <c r="MRC41" s="261"/>
      <c r="MRD41" s="261"/>
      <c r="MRE41" s="261"/>
      <c r="MRF41" s="261"/>
      <c r="MRG41" s="261"/>
      <c r="MRH41" s="261"/>
      <c r="MRI41" s="261"/>
      <c r="MRJ41" s="261"/>
      <c r="MRK41" s="261"/>
      <c r="MRL41" s="261"/>
      <c r="MRM41" s="261"/>
      <c r="MRN41" s="261"/>
      <c r="MRO41" s="261"/>
      <c r="MRP41" s="261"/>
      <c r="MRQ41" s="261"/>
      <c r="MRR41" s="261"/>
      <c r="MRS41" s="261"/>
      <c r="MRT41" s="261"/>
      <c r="MRU41" s="261"/>
      <c r="MRV41" s="261"/>
      <c r="MRW41" s="261"/>
      <c r="MRX41" s="261"/>
      <c r="MRY41" s="261"/>
      <c r="MRZ41" s="261"/>
      <c r="MSA41" s="261"/>
      <c r="MSB41" s="261"/>
      <c r="MSC41" s="261"/>
      <c r="MSD41" s="261"/>
      <c r="MSE41" s="261"/>
      <c r="MSF41" s="261"/>
      <c r="MSG41" s="261"/>
      <c r="MSH41" s="261"/>
      <c r="MSI41" s="261"/>
      <c r="MSJ41" s="261"/>
      <c r="MSK41" s="261"/>
      <c r="MSL41" s="261"/>
      <c r="MSM41" s="261"/>
      <c r="MSN41" s="261"/>
      <c r="MSO41" s="261"/>
      <c r="MSP41" s="261"/>
      <c r="MSQ41" s="261"/>
      <c r="MSR41" s="261"/>
      <c r="MSS41" s="261"/>
      <c r="MST41" s="261"/>
      <c r="MSU41" s="261"/>
      <c r="MSV41" s="261"/>
      <c r="MSW41" s="261"/>
      <c r="MSX41" s="261"/>
      <c r="MSY41" s="261"/>
      <c r="MSZ41" s="261"/>
      <c r="MTA41" s="261"/>
      <c r="MTB41" s="261"/>
      <c r="MTC41" s="261"/>
      <c r="MTD41" s="261"/>
      <c r="MTE41" s="261"/>
      <c r="MTF41" s="261"/>
      <c r="MTG41" s="261"/>
      <c r="MTH41" s="261"/>
      <c r="MTI41" s="261"/>
      <c r="MTJ41" s="261"/>
      <c r="MTK41" s="261"/>
      <c r="MTL41" s="261"/>
      <c r="MTM41" s="261"/>
      <c r="MTN41" s="261"/>
      <c r="MTO41" s="261"/>
      <c r="MTP41" s="261"/>
      <c r="MTQ41" s="261"/>
      <c r="MTR41" s="261"/>
      <c r="MTS41" s="261"/>
      <c r="MTT41" s="261"/>
      <c r="MTU41" s="261"/>
      <c r="MTV41" s="261"/>
      <c r="MTW41" s="261"/>
      <c r="MTX41" s="261"/>
      <c r="MTY41" s="261"/>
      <c r="MTZ41" s="261"/>
      <c r="MUA41" s="261"/>
      <c r="MUB41" s="261"/>
      <c r="MUC41" s="261"/>
      <c r="MUD41" s="261"/>
      <c r="MUE41" s="261"/>
      <c r="MUF41" s="261"/>
      <c r="MUG41" s="261"/>
      <c r="MUH41" s="261"/>
      <c r="MUI41" s="261"/>
      <c r="MUJ41" s="261"/>
      <c r="MUK41" s="261"/>
      <c r="MUL41" s="261"/>
      <c r="MUM41" s="261"/>
      <c r="MUN41" s="261"/>
      <c r="MUO41" s="261"/>
      <c r="MUP41" s="261"/>
      <c r="MUQ41" s="261"/>
      <c r="MUR41" s="261"/>
      <c r="MUS41" s="261"/>
      <c r="MUT41" s="261"/>
      <c r="MUU41" s="261"/>
      <c r="MUV41" s="261"/>
      <c r="MUW41" s="261"/>
      <c r="MUX41" s="261"/>
      <c r="MUY41" s="261"/>
      <c r="MUZ41" s="261"/>
      <c r="MVA41" s="261"/>
      <c r="MVB41" s="261"/>
      <c r="MVC41" s="261"/>
      <c r="MVD41" s="261"/>
      <c r="MVE41" s="261"/>
      <c r="MVF41" s="261"/>
      <c r="MVG41" s="261"/>
      <c r="MVH41" s="261"/>
      <c r="MVI41" s="261"/>
      <c r="MVJ41" s="261"/>
      <c r="MVK41" s="261"/>
      <c r="MVL41" s="261"/>
      <c r="MVM41" s="261"/>
      <c r="MVN41" s="261"/>
      <c r="MVO41" s="261"/>
      <c r="MVP41" s="261"/>
      <c r="MVQ41" s="261"/>
      <c r="MVR41" s="261"/>
      <c r="MVS41" s="261"/>
      <c r="MVT41" s="261"/>
      <c r="MVU41" s="261"/>
      <c r="MVV41" s="261"/>
      <c r="MVW41" s="261"/>
      <c r="MVX41" s="261"/>
      <c r="MVY41" s="261"/>
      <c r="MVZ41" s="261"/>
      <c r="MWA41" s="261"/>
      <c r="MWB41" s="261"/>
      <c r="MWC41" s="261"/>
      <c r="MWD41" s="261"/>
      <c r="MWE41" s="261"/>
      <c r="MWF41" s="261"/>
      <c r="MWG41" s="261"/>
      <c r="MWH41" s="261"/>
      <c r="MWI41" s="261"/>
      <c r="MWJ41" s="261"/>
      <c r="MWK41" s="261"/>
      <c r="MWL41" s="261"/>
      <c r="MWM41" s="261"/>
      <c r="MWN41" s="261"/>
      <c r="MWO41" s="261"/>
      <c r="MWP41" s="261"/>
      <c r="MWQ41" s="261"/>
      <c r="MWR41" s="261"/>
      <c r="MWS41" s="261"/>
      <c r="MWT41" s="261"/>
      <c r="MWU41" s="261"/>
      <c r="MWV41" s="261"/>
      <c r="MWW41" s="261"/>
      <c r="MWX41" s="261"/>
      <c r="MWY41" s="261"/>
      <c r="MWZ41" s="261"/>
      <c r="MXA41" s="261"/>
      <c r="MXB41" s="261"/>
      <c r="MXC41" s="261"/>
      <c r="MXD41" s="261"/>
      <c r="MXE41" s="261"/>
      <c r="MXF41" s="261"/>
      <c r="MXG41" s="261"/>
      <c r="MXH41" s="261"/>
      <c r="MXI41" s="261"/>
      <c r="MXJ41" s="261"/>
      <c r="MXK41" s="261"/>
      <c r="MXL41" s="261"/>
      <c r="MXM41" s="261"/>
      <c r="MXN41" s="261"/>
      <c r="MXO41" s="261"/>
      <c r="MXP41" s="261"/>
      <c r="MXQ41" s="261"/>
      <c r="MXR41" s="261"/>
      <c r="MXS41" s="261"/>
      <c r="MXT41" s="261"/>
      <c r="MXU41" s="261"/>
      <c r="MXV41" s="261"/>
      <c r="MXW41" s="261"/>
      <c r="MXX41" s="261"/>
      <c r="MXY41" s="261"/>
      <c r="MXZ41" s="261"/>
      <c r="MYA41" s="261"/>
      <c r="MYB41" s="261"/>
      <c r="MYC41" s="261"/>
      <c r="MYD41" s="261"/>
      <c r="MYE41" s="261"/>
      <c r="MYF41" s="261"/>
      <c r="MYG41" s="261"/>
      <c r="MYH41" s="261"/>
      <c r="MYI41" s="261"/>
      <c r="MYJ41" s="261"/>
      <c r="MYK41" s="261"/>
      <c r="MYL41" s="261"/>
      <c r="MYM41" s="261"/>
      <c r="MYN41" s="261"/>
      <c r="MYO41" s="261"/>
      <c r="MYP41" s="261"/>
      <c r="MYQ41" s="261"/>
      <c r="MYR41" s="261"/>
      <c r="MYS41" s="261"/>
      <c r="MYT41" s="261"/>
      <c r="MYU41" s="261"/>
      <c r="MYV41" s="261"/>
      <c r="MYW41" s="261"/>
      <c r="MYX41" s="261"/>
      <c r="MYY41" s="261"/>
      <c r="MYZ41" s="261"/>
      <c r="MZA41" s="261"/>
      <c r="MZB41" s="261"/>
      <c r="MZC41" s="261"/>
      <c r="MZD41" s="261"/>
      <c r="MZE41" s="261"/>
      <c r="MZF41" s="261"/>
      <c r="MZG41" s="261"/>
      <c r="MZH41" s="261"/>
      <c r="MZI41" s="261"/>
      <c r="MZJ41" s="261"/>
      <c r="MZK41" s="261"/>
      <c r="MZL41" s="261"/>
      <c r="MZM41" s="261"/>
      <c r="MZN41" s="261"/>
      <c r="MZO41" s="261"/>
      <c r="MZP41" s="261"/>
      <c r="MZQ41" s="261"/>
      <c r="MZR41" s="261"/>
      <c r="MZS41" s="261"/>
      <c r="MZT41" s="261"/>
      <c r="MZU41" s="261"/>
      <c r="MZV41" s="261"/>
      <c r="MZW41" s="261"/>
      <c r="MZX41" s="261"/>
      <c r="MZY41" s="261"/>
      <c r="MZZ41" s="261"/>
      <c r="NAA41" s="261"/>
      <c r="NAB41" s="261"/>
      <c r="NAC41" s="261"/>
      <c r="NAD41" s="261"/>
      <c r="NAE41" s="261"/>
      <c r="NAF41" s="261"/>
      <c r="NAG41" s="261"/>
      <c r="NAH41" s="261"/>
      <c r="NAI41" s="261"/>
      <c r="NAJ41" s="261"/>
      <c r="NAK41" s="261"/>
      <c r="NAL41" s="261"/>
      <c r="NAM41" s="261"/>
      <c r="NAN41" s="261"/>
      <c r="NAO41" s="261"/>
      <c r="NAP41" s="261"/>
      <c r="NAQ41" s="261"/>
      <c r="NAR41" s="261"/>
      <c r="NAS41" s="261"/>
      <c r="NAT41" s="261"/>
      <c r="NAU41" s="261"/>
      <c r="NAV41" s="261"/>
      <c r="NAW41" s="261"/>
      <c r="NAX41" s="261"/>
      <c r="NAY41" s="261"/>
      <c r="NAZ41" s="261"/>
      <c r="NBA41" s="261"/>
      <c r="NBB41" s="261"/>
      <c r="NBC41" s="261"/>
      <c r="NBD41" s="261"/>
      <c r="NBE41" s="261"/>
      <c r="NBF41" s="261"/>
      <c r="NBG41" s="261"/>
      <c r="NBH41" s="261"/>
      <c r="NBI41" s="261"/>
      <c r="NBJ41" s="261"/>
      <c r="NBK41" s="261"/>
      <c r="NBL41" s="261"/>
      <c r="NBM41" s="261"/>
      <c r="NBN41" s="261"/>
      <c r="NBO41" s="261"/>
      <c r="NBP41" s="261"/>
      <c r="NBQ41" s="261"/>
      <c r="NBR41" s="261"/>
      <c r="NBS41" s="261"/>
      <c r="NBT41" s="261"/>
      <c r="NBU41" s="261"/>
      <c r="NBV41" s="261"/>
      <c r="NBW41" s="261"/>
      <c r="NBX41" s="261"/>
      <c r="NBY41" s="261"/>
      <c r="NBZ41" s="261"/>
      <c r="NCA41" s="261"/>
      <c r="NCB41" s="261"/>
      <c r="NCC41" s="261"/>
      <c r="NCD41" s="261"/>
      <c r="NCE41" s="261"/>
      <c r="NCF41" s="261"/>
      <c r="NCG41" s="261"/>
      <c r="NCH41" s="261"/>
      <c r="NCI41" s="261"/>
      <c r="NCJ41" s="261"/>
      <c r="NCK41" s="261"/>
      <c r="NCL41" s="261"/>
      <c r="NCM41" s="261"/>
      <c r="NCN41" s="261"/>
      <c r="NCO41" s="261"/>
      <c r="NCP41" s="261"/>
      <c r="NCQ41" s="261"/>
      <c r="NCR41" s="261"/>
      <c r="NCS41" s="261"/>
      <c r="NCT41" s="261"/>
      <c r="NCU41" s="261"/>
      <c r="NCV41" s="261"/>
      <c r="NCW41" s="261"/>
      <c r="NCX41" s="261"/>
      <c r="NCY41" s="261"/>
      <c r="NCZ41" s="261"/>
      <c r="NDA41" s="261"/>
      <c r="NDB41" s="261"/>
      <c r="NDC41" s="261"/>
      <c r="NDD41" s="261"/>
      <c r="NDE41" s="261"/>
      <c r="NDF41" s="261"/>
      <c r="NDG41" s="261"/>
      <c r="NDH41" s="261"/>
      <c r="NDI41" s="261"/>
      <c r="NDJ41" s="261"/>
      <c r="NDK41" s="261"/>
      <c r="NDL41" s="261"/>
      <c r="NDM41" s="261"/>
      <c r="NDN41" s="261"/>
      <c r="NDO41" s="261"/>
      <c r="NDP41" s="261"/>
      <c r="NDQ41" s="261"/>
      <c r="NDR41" s="261"/>
      <c r="NDS41" s="261"/>
      <c r="NDT41" s="261"/>
      <c r="NDU41" s="261"/>
      <c r="NDV41" s="261"/>
      <c r="NDW41" s="261"/>
      <c r="NDX41" s="261"/>
      <c r="NDY41" s="261"/>
      <c r="NDZ41" s="261"/>
      <c r="NEA41" s="261"/>
      <c r="NEB41" s="261"/>
      <c r="NEC41" s="261"/>
      <c r="NED41" s="261"/>
      <c r="NEE41" s="261"/>
      <c r="NEF41" s="261"/>
      <c r="NEG41" s="261"/>
      <c r="NEH41" s="261"/>
      <c r="NEI41" s="261"/>
      <c r="NEJ41" s="261"/>
      <c r="NEK41" s="261"/>
      <c r="NEL41" s="261"/>
      <c r="NEM41" s="261"/>
      <c r="NEN41" s="261"/>
      <c r="NEO41" s="261"/>
      <c r="NEP41" s="261"/>
      <c r="NEQ41" s="261"/>
      <c r="NER41" s="261"/>
      <c r="NES41" s="261"/>
      <c r="NET41" s="261"/>
      <c r="NEU41" s="261"/>
      <c r="NEV41" s="261"/>
      <c r="NEW41" s="261"/>
      <c r="NEX41" s="261"/>
      <c r="NEY41" s="261"/>
      <c r="NEZ41" s="261"/>
      <c r="NFA41" s="261"/>
      <c r="NFB41" s="261"/>
      <c r="NFC41" s="261"/>
      <c r="NFD41" s="261"/>
      <c r="NFE41" s="261"/>
      <c r="NFF41" s="261"/>
      <c r="NFG41" s="261"/>
      <c r="NFH41" s="261"/>
      <c r="NFI41" s="261"/>
      <c r="NFJ41" s="261"/>
      <c r="NFK41" s="261"/>
      <c r="NFL41" s="261"/>
      <c r="NFM41" s="261"/>
      <c r="NFN41" s="261"/>
      <c r="NFO41" s="261"/>
      <c r="NFP41" s="261"/>
      <c r="NFQ41" s="261"/>
      <c r="NFR41" s="261"/>
      <c r="NFS41" s="261"/>
      <c r="NFT41" s="261"/>
      <c r="NFU41" s="261"/>
      <c r="NFV41" s="261"/>
      <c r="NFW41" s="261"/>
      <c r="NFX41" s="261"/>
      <c r="NFY41" s="261"/>
      <c r="NFZ41" s="261"/>
      <c r="NGA41" s="261"/>
      <c r="NGB41" s="261"/>
      <c r="NGC41" s="261"/>
      <c r="NGD41" s="261"/>
      <c r="NGE41" s="261"/>
      <c r="NGF41" s="261"/>
      <c r="NGG41" s="261"/>
      <c r="NGH41" s="261"/>
      <c r="NGI41" s="261"/>
      <c r="NGJ41" s="261"/>
      <c r="NGK41" s="261"/>
      <c r="NGL41" s="261"/>
      <c r="NGM41" s="261"/>
      <c r="NGN41" s="261"/>
      <c r="NGO41" s="261"/>
      <c r="NGP41" s="261"/>
      <c r="NGQ41" s="261"/>
      <c r="NGR41" s="261"/>
      <c r="NGS41" s="261"/>
      <c r="NGT41" s="261"/>
      <c r="NGU41" s="261"/>
      <c r="NGV41" s="261"/>
      <c r="NGW41" s="261"/>
      <c r="NGX41" s="261"/>
      <c r="NGY41" s="261"/>
      <c r="NGZ41" s="261"/>
      <c r="NHA41" s="261"/>
      <c r="NHB41" s="261"/>
      <c r="NHC41" s="261"/>
      <c r="NHD41" s="261"/>
      <c r="NHE41" s="261"/>
      <c r="NHF41" s="261"/>
      <c r="NHG41" s="261"/>
      <c r="NHH41" s="261"/>
      <c r="NHI41" s="261"/>
      <c r="NHJ41" s="261"/>
      <c r="NHK41" s="261"/>
      <c r="NHL41" s="261"/>
      <c r="NHM41" s="261"/>
      <c r="NHN41" s="261"/>
      <c r="NHO41" s="261"/>
      <c r="NHP41" s="261"/>
      <c r="NHQ41" s="261"/>
      <c r="NHR41" s="261"/>
      <c r="NHS41" s="261"/>
      <c r="NHT41" s="261"/>
      <c r="NHU41" s="261"/>
      <c r="NHV41" s="261"/>
      <c r="NHW41" s="261"/>
      <c r="NHX41" s="261"/>
      <c r="NHY41" s="261"/>
      <c r="NHZ41" s="261"/>
      <c r="NIA41" s="261"/>
      <c r="NIB41" s="261"/>
      <c r="NIC41" s="261"/>
      <c r="NID41" s="261"/>
      <c r="NIE41" s="261"/>
      <c r="NIF41" s="261"/>
      <c r="NIG41" s="261"/>
      <c r="NIH41" s="261"/>
      <c r="NII41" s="261"/>
      <c r="NIJ41" s="261"/>
      <c r="NIK41" s="261"/>
      <c r="NIL41" s="261"/>
      <c r="NIM41" s="261"/>
      <c r="NIN41" s="261"/>
      <c r="NIO41" s="261"/>
      <c r="NIP41" s="261"/>
      <c r="NIQ41" s="261"/>
      <c r="NIR41" s="261"/>
      <c r="NIS41" s="261"/>
      <c r="NIT41" s="261"/>
      <c r="NIU41" s="261"/>
      <c r="NIV41" s="261"/>
      <c r="NIW41" s="261"/>
      <c r="NIX41" s="261"/>
      <c r="NIY41" s="261"/>
      <c r="NIZ41" s="261"/>
      <c r="NJA41" s="261"/>
      <c r="NJB41" s="261"/>
      <c r="NJC41" s="261"/>
      <c r="NJD41" s="261"/>
      <c r="NJE41" s="261"/>
      <c r="NJF41" s="261"/>
      <c r="NJG41" s="261"/>
      <c r="NJH41" s="261"/>
      <c r="NJI41" s="261"/>
      <c r="NJJ41" s="261"/>
      <c r="NJK41" s="261"/>
      <c r="NJL41" s="261"/>
      <c r="NJM41" s="261"/>
      <c r="NJN41" s="261"/>
      <c r="NJO41" s="261"/>
      <c r="NJP41" s="261"/>
      <c r="NJQ41" s="261"/>
      <c r="NJR41" s="261"/>
      <c r="NJS41" s="261"/>
      <c r="NJT41" s="261"/>
      <c r="NJU41" s="261"/>
      <c r="NJV41" s="261"/>
      <c r="NJW41" s="261"/>
      <c r="NJX41" s="261"/>
      <c r="NJY41" s="261"/>
      <c r="NJZ41" s="261"/>
      <c r="NKA41" s="261"/>
      <c r="NKB41" s="261"/>
      <c r="NKC41" s="261"/>
      <c r="NKD41" s="261"/>
      <c r="NKE41" s="261"/>
      <c r="NKF41" s="261"/>
      <c r="NKG41" s="261"/>
      <c r="NKH41" s="261"/>
      <c r="NKI41" s="261"/>
      <c r="NKJ41" s="261"/>
      <c r="NKK41" s="261"/>
      <c r="NKL41" s="261"/>
      <c r="NKM41" s="261"/>
      <c r="NKN41" s="261"/>
      <c r="NKO41" s="261"/>
      <c r="NKP41" s="261"/>
      <c r="NKQ41" s="261"/>
      <c r="NKR41" s="261"/>
      <c r="NKS41" s="261"/>
      <c r="NKT41" s="261"/>
      <c r="NKU41" s="261"/>
      <c r="NKV41" s="261"/>
      <c r="NKW41" s="261"/>
      <c r="NKX41" s="261"/>
      <c r="NKY41" s="261"/>
      <c r="NKZ41" s="261"/>
      <c r="NLA41" s="261"/>
      <c r="NLB41" s="261"/>
      <c r="NLC41" s="261"/>
      <c r="NLD41" s="261"/>
      <c r="NLE41" s="261"/>
      <c r="NLF41" s="261"/>
      <c r="NLG41" s="261"/>
      <c r="NLH41" s="261"/>
      <c r="NLI41" s="261"/>
      <c r="NLJ41" s="261"/>
      <c r="NLK41" s="261"/>
      <c r="NLL41" s="261"/>
      <c r="NLM41" s="261"/>
      <c r="NLN41" s="261"/>
      <c r="NLO41" s="261"/>
      <c r="NLP41" s="261"/>
      <c r="NLQ41" s="261"/>
      <c r="NLR41" s="261"/>
      <c r="NLS41" s="261"/>
      <c r="NLT41" s="261"/>
      <c r="NLU41" s="261"/>
      <c r="NLV41" s="261"/>
      <c r="NLW41" s="261"/>
      <c r="NLX41" s="261"/>
      <c r="NLY41" s="261"/>
      <c r="NLZ41" s="261"/>
      <c r="NMA41" s="261"/>
      <c r="NMB41" s="261"/>
      <c r="NMC41" s="261"/>
      <c r="NMD41" s="261"/>
      <c r="NME41" s="261"/>
      <c r="NMF41" s="261"/>
      <c r="NMG41" s="261"/>
      <c r="NMH41" s="261"/>
      <c r="NMI41" s="261"/>
      <c r="NMJ41" s="261"/>
      <c r="NMK41" s="261"/>
      <c r="NML41" s="261"/>
      <c r="NMM41" s="261"/>
      <c r="NMN41" s="261"/>
      <c r="NMO41" s="261"/>
      <c r="NMP41" s="261"/>
      <c r="NMQ41" s="261"/>
      <c r="NMR41" s="261"/>
      <c r="NMS41" s="261"/>
      <c r="NMT41" s="261"/>
      <c r="NMU41" s="261"/>
      <c r="NMV41" s="261"/>
      <c r="NMW41" s="261"/>
      <c r="NMX41" s="261"/>
      <c r="NMY41" s="261"/>
      <c r="NMZ41" s="261"/>
      <c r="NNA41" s="261"/>
      <c r="NNB41" s="261"/>
      <c r="NNC41" s="261"/>
      <c r="NND41" s="261"/>
      <c r="NNE41" s="261"/>
      <c r="NNF41" s="261"/>
      <c r="NNG41" s="261"/>
      <c r="NNH41" s="261"/>
      <c r="NNI41" s="261"/>
      <c r="NNJ41" s="261"/>
      <c r="NNK41" s="261"/>
      <c r="NNL41" s="261"/>
      <c r="NNM41" s="261"/>
      <c r="NNN41" s="261"/>
      <c r="NNO41" s="261"/>
      <c r="NNP41" s="261"/>
      <c r="NNQ41" s="261"/>
      <c r="NNR41" s="261"/>
      <c r="NNS41" s="261"/>
      <c r="NNT41" s="261"/>
      <c r="NNU41" s="261"/>
      <c r="NNV41" s="261"/>
      <c r="NNW41" s="261"/>
      <c r="NNX41" s="261"/>
      <c r="NNY41" s="261"/>
      <c r="NNZ41" s="261"/>
      <c r="NOA41" s="261"/>
      <c r="NOB41" s="261"/>
      <c r="NOC41" s="261"/>
      <c r="NOD41" s="261"/>
      <c r="NOE41" s="261"/>
      <c r="NOF41" s="261"/>
      <c r="NOG41" s="261"/>
      <c r="NOH41" s="261"/>
      <c r="NOI41" s="261"/>
      <c r="NOJ41" s="261"/>
      <c r="NOK41" s="261"/>
      <c r="NOL41" s="261"/>
      <c r="NOM41" s="261"/>
      <c r="NON41" s="261"/>
      <c r="NOO41" s="261"/>
      <c r="NOP41" s="261"/>
      <c r="NOQ41" s="261"/>
      <c r="NOR41" s="261"/>
      <c r="NOS41" s="261"/>
      <c r="NOT41" s="261"/>
      <c r="NOU41" s="261"/>
      <c r="NOV41" s="261"/>
      <c r="NOW41" s="261"/>
      <c r="NOX41" s="261"/>
      <c r="NOY41" s="261"/>
      <c r="NOZ41" s="261"/>
      <c r="NPA41" s="261"/>
      <c r="NPB41" s="261"/>
      <c r="NPC41" s="261"/>
      <c r="NPD41" s="261"/>
      <c r="NPE41" s="261"/>
      <c r="NPF41" s="261"/>
      <c r="NPG41" s="261"/>
      <c r="NPH41" s="261"/>
      <c r="NPI41" s="261"/>
      <c r="NPJ41" s="261"/>
      <c r="NPK41" s="261"/>
      <c r="NPL41" s="261"/>
      <c r="NPM41" s="261"/>
      <c r="NPN41" s="261"/>
      <c r="NPO41" s="261"/>
      <c r="NPP41" s="261"/>
      <c r="NPQ41" s="261"/>
      <c r="NPR41" s="261"/>
      <c r="NPS41" s="261"/>
      <c r="NPT41" s="261"/>
      <c r="NPU41" s="261"/>
      <c r="NPV41" s="261"/>
      <c r="NPW41" s="261"/>
      <c r="NPX41" s="261"/>
      <c r="NPY41" s="261"/>
      <c r="NPZ41" s="261"/>
      <c r="NQA41" s="261"/>
      <c r="NQB41" s="261"/>
      <c r="NQC41" s="261"/>
      <c r="NQD41" s="261"/>
      <c r="NQE41" s="261"/>
      <c r="NQF41" s="261"/>
      <c r="NQG41" s="261"/>
      <c r="NQH41" s="261"/>
      <c r="NQI41" s="261"/>
      <c r="NQJ41" s="261"/>
      <c r="NQK41" s="261"/>
      <c r="NQL41" s="261"/>
      <c r="NQM41" s="261"/>
      <c r="NQN41" s="261"/>
      <c r="NQO41" s="261"/>
      <c r="NQP41" s="261"/>
      <c r="NQQ41" s="261"/>
      <c r="NQR41" s="261"/>
      <c r="NQS41" s="261"/>
      <c r="NQT41" s="261"/>
      <c r="NQU41" s="261"/>
      <c r="NQV41" s="261"/>
      <c r="NQW41" s="261"/>
      <c r="NQX41" s="261"/>
      <c r="NQY41" s="261"/>
      <c r="NQZ41" s="261"/>
      <c r="NRA41" s="261"/>
      <c r="NRB41" s="261"/>
      <c r="NRC41" s="261"/>
      <c r="NRD41" s="261"/>
      <c r="NRE41" s="261"/>
      <c r="NRF41" s="261"/>
      <c r="NRG41" s="261"/>
      <c r="NRH41" s="261"/>
      <c r="NRI41" s="261"/>
      <c r="NRJ41" s="261"/>
      <c r="NRK41" s="261"/>
      <c r="NRL41" s="261"/>
      <c r="NRM41" s="261"/>
      <c r="NRN41" s="261"/>
      <c r="NRO41" s="261"/>
      <c r="NRP41" s="261"/>
      <c r="NRQ41" s="261"/>
      <c r="NRR41" s="261"/>
      <c r="NRS41" s="261"/>
      <c r="NRT41" s="261"/>
      <c r="NRU41" s="261"/>
      <c r="NRV41" s="261"/>
      <c r="NRW41" s="261"/>
      <c r="NRX41" s="261"/>
      <c r="NRY41" s="261"/>
      <c r="NRZ41" s="261"/>
      <c r="NSA41" s="261"/>
      <c r="NSB41" s="261"/>
      <c r="NSC41" s="261"/>
      <c r="NSD41" s="261"/>
      <c r="NSE41" s="261"/>
      <c r="NSF41" s="261"/>
      <c r="NSG41" s="261"/>
      <c r="NSH41" s="261"/>
      <c r="NSI41" s="261"/>
      <c r="NSJ41" s="261"/>
      <c r="NSK41" s="261"/>
      <c r="NSL41" s="261"/>
      <c r="NSM41" s="261"/>
      <c r="NSN41" s="261"/>
      <c r="NSO41" s="261"/>
      <c r="NSP41" s="261"/>
      <c r="NSQ41" s="261"/>
      <c r="NSR41" s="261"/>
      <c r="NSS41" s="261"/>
      <c r="NST41" s="261"/>
      <c r="NSU41" s="261"/>
      <c r="NSV41" s="261"/>
      <c r="NSW41" s="261"/>
      <c r="NSX41" s="261"/>
      <c r="NSY41" s="261"/>
      <c r="NSZ41" s="261"/>
      <c r="NTA41" s="261"/>
      <c r="NTB41" s="261"/>
      <c r="NTC41" s="261"/>
      <c r="NTD41" s="261"/>
      <c r="NTE41" s="261"/>
      <c r="NTF41" s="261"/>
      <c r="NTG41" s="261"/>
      <c r="NTH41" s="261"/>
      <c r="NTI41" s="261"/>
      <c r="NTJ41" s="261"/>
      <c r="NTK41" s="261"/>
      <c r="NTL41" s="261"/>
      <c r="NTM41" s="261"/>
      <c r="NTN41" s="261"/>
      <c r="NTO41" s="261"/>
      <c r="NTP41" s="261"/>
      <c r="NTQ41" s="261"/>
      <c r="NTR41" s="261"/>
      <c r="NTS41" s="261"/>
      <c r="NTT41" s="261"/>
      <c r="NTU41" s="261"/>
      <c r="NTV41" s="261"/>
      <c r="NTW41" s="261"/>
      <c r="NTX41" s="261"/>
      <c r="NTY41" s="261"/>
      <c r="NTZ41" s="261"/>
      <c r="NUA41" s="261"/>
      <c r="NUB41" s="261"/>
      <c r="NUC41" s="261"/>
      <c r="NUD41" s="261"/>
      <c r="NUE41" s="261"/>
      <c r="NUF41" s="261"/>
      <c r="NUG41" s="261"/>
      <c r="NUH41" s="261"/>
      <c r="NUI41" s="261"/>
      <c r="NUJ41" s="261"/>
      <c r="NUK41" s="261"/>
      <c r="NUL41" s="261"/>
      <c r="NUM41" s="261"/>
      <c r="NUN41" s="261"/>
      <c r="NUO41" s="261"/>
      <c r="NUP41" s="261"/>
      <c r="NUQ41" s="261"/>
      <c r="NUR41" s="261"/>
      <c r="NUS41" s="261"/>
      <c r="NUT41" s="261"/>
      <c r="NUU41" s="261"/>
      <c r="NUV41" s="261"/>
      <c r="NUW41" s="261"/>
      <c r="NUX41" s="261"/>
      <c r="NUY41" s="261"/>
      <c r="NUZ41" s="261"/>
      <c r="NVA41" s="261"/>
      <c r="NVB41" s="261"/>
      <c r="NVC41" s="261"/>
      <c r="NVD41" s="261"/>
      <c r="NVE41" s="261"/>
      <c r="NVF41" s="261"/>
      <c r="NVG41" s="261"/>
      <c r="NVH41" s="261"/>
      <c r="NVI41" s="261"/>
      <c r="NVJ41" s="261"/>
      <c r="NVK41" s="261"/>
      <c r="NVL41" s="261"/>
      <c r="NVM41" s="261"/>
      <c r="NVN41" s="261"/>
      <c r="NVO41" s="261"/>
      <c r="NVP41" s="261"/>
      <c r="NVQ41" s="261"/>
      <c r="NVR41" s="261"/>
      <c r="NVS41" s="261"/>
      <c r="NVT41" s="261"/>
      <c r="NVU41" s="261"/>
      <c r="NVV41" s="261"/>
      <c r="NVW41" s="261"/>
      <c r="NVX41" s="261"/>
      <c r="NVY41" s="261"/>
      <c r="NVZ41" s="261"/>
      <c r="NWA41" s="261"/>
      <c r="NWB41" s="261"/>
      <c r="NWC41" s="261"/>
      <c r="NWD41" s="261"/>
      <c r="NWE41" s="261"/>
      <c r="NWF41" s="261"/>
      <c r="NWG41" s="261"/>
      <c r="NWH41" s="261"/>
      <c r="NWI41" s="261"/>
      <c r="NWJ41" s="261"/>
      <c r="NWK41" s="261"/>
      <c r="NWL41" s="261"/>
      <c r="NWM41" s="261"/>
      <c r="NWN41" s="261"/>
      <c r="NWO41" s="261"/>
      <c r="NWP41" s="261"/>
      <c r="NWQ41" s="261"/>
      <c r="NWR41" s="261"/>
      <c r="NWS41" s="261"/>
      <c r="NWT41" s="261"/>
      <c r="NWU41" s="261"/>
      <c r="NWV41" s="261"/>
      <c r="NWW41" s="261"/>
      <c r="NWX41" s="261"/>
      <c r="NWY41" s="261"/>
      <c r="NWZ41" s="261"/>
      <c r="NXA41" s="261"/>
      <c r="NXB41" s="261"/>
      <c r="NXC41" s="261"/>
      <c r="NXD41" s="261"/>
      <c r="NXE41" s="261"/>
      <c r="NXF41" s="261"/>
      <c r="NXG41" s="261"/>
      <c r="NXH41" s="261"/>
      <c r="NXI41" s="261"/>
      <c r="NXJ41" s="261"/>
      <c r="NXK41" s="261"/>
      <c r="NXL41" s="261"/>
      <c r="NXM41" s="261"/>
      <c r="NXN41" s="261"/>
      <c r="NXO41" s="261"/>
      <c r="NXP41" s="261"/>
      <c r="NXQ41" s="261"/>
      <c r="NXR41" s="261"/>
      <c r="NXS41" s="261"/>
      <c r="NXT41" s="261"/>
      <c r="NXU41" s="261"/>
      <c r="NXV41" s="261"/>
      <c r="NXW41" s="261"/>
      <c r="NXX41" s="261"/>
      <c r="NXY41" s="261"/>
      <c r="NXZ41" s="261"/>
      <c r="NYA41" s="261"/>
      <c r="NYB41" s="261"/>
      <c r="NYC41" s="261"/>
      <c r="NYD41" s="261"/>
      <c r="NYE41" s="261"/>
      <c r="NYF41" s="261"/>
      <c r="NYG41" s="261"/>
      <c r="NYH41" s="261"/>
      <c r="NYI41" s="261"/>
      <c r="NYJ41" s="261"/>
      <c r="NYK41" s="261"/>
      <c r="NYL41" s="261"/>
      <c r="NYM41" s="261"/>
      <c r="NYN41" s="261"/>
      <c r="NYO41" s="261"/>
      <c r="NYP41" s="261"/>
      <c r="NYQ41" s="261"/>
      <c r="NYR41" s="261"/>
      <c r="NYS41" s="261"/>
      <c r="NYT41" s="261"/>
      <c r="NYU41" s="261"/>
      <c r="NYV41" s="261"/>
      <c r="NYW41" s="261"/>
      <c r="NYX41" s="261"/>
      <c r="NYY41" s="261"/>
      <c r="NYZ41" s="261"/>
      <c r="NZA41" s="261"/>
      <c r="NZB41" s="261"/>
      <c r="NZC41" s="261"/>
      <c r="NZD41" s="261"/>
      <c r="NZE41" s="261"/>
      <c r="NZF41" s="261"/>
      <c r="NZG41" s="261"/>
      <c r="NZH41" s="261"/>
      <c r="NZI41" s="261"/>
      <c r="NZJ41" s="261"/>
      <c r="NZK41" s="261"/>
      <c r="NZL41" s="261"/>
      <c r="NZM41" s="261"/>
      <c r="NZN41" s="261"/>
      <c r="NZO41" s="261"/>
      <c r="NZP41" s="261"/>
      <c r="NZQ41" s="261"/>
      <c r="NZR41" s="261"/>
      <c r="NZS41" s="261"/>
      <c r="NZT41" s="261"/>
      <c r="NZU41" s="261"/>
      <c r="NZV41" s="261"/>
      <c r="NZW41" s="261"/>
      <c r="NZX41" s="261"/>
      <c r="NZY41" s="261"/>
      <c r="NZZ41" s="261"/>
      <c r="OAA41" s="261"/>
      <c r="OAB41" s="261"/>
      <c r="OAC41" s="261"/>
      <c r="OAD41" s="261"/>
      <c r="OAE41" s="261"/>
      <c r="OAF41" s="261"/>
      <c r="OAG41" s="261"/>
      <c r="OAH41" s="261"/>
      <c r="OAI41" s="261"/>
      <c r="OAJ41" s="261"/>
      <c r="OAK41" s="261"/>
      <c r="OAL41" s="261"/>
      <c r="OAM41" s="261"/>
      <c r="OAN41" s="261"/>
      <c r="OAO41" s="261"/>
      <c r="OAP41" s="261"/>
      <c r="OAQ41" s="261"/>
      <c r="OAR41" s="261"/>
      <c r="OAS41" s="261"/>
      <c r="OAT41" s="261"/>
      <c r="OAU41" s="261"/>
      <c r="OAV41" s="261"/>
      <c r="OAW41" s="261"/>
      <c r="OAX41" s="261"/>
      <c r="OAY41" s="261"/>
      <c r="OAZ41" s="261"/>
      <c r="OBA41" s="261"/>
      <c r="OBB41" s="261"/>
      <c r="OBC41" s="261"/>
      <c r="OBD41" s="261"/>
      <c r="OBE41" s="261"/>
      <c r="OBF41" s="261"/>
      <c r="OBG41" s="261"/>
      <c r="OBH41" s="261"/>
      <c r="OBI41" s="261"/>
      <c r="OBJ41" s="261"/>
      <c r="OBK41" s="261"/>
      <c r="OBL41" s="261"/>
      <c r="OBM41" s="261"/>
      <c r="OBN41" s="261"/>
      <c r="OBO41" s="261"/>
      <c r="OBP41" s="261"/>
      <c r="OBQ41" s="261"/>
      <c r="OBR41" s="261"/>
      <c r="OBS41" s="261"/>
      <c r="OBT41" s="261"/>
      <c r="OBU41" s="261"/>
      <c r="OBV41" s="261"/>
      <c r="OBW41" s="261"/>
      <c r="OBX41" s="261"/>
      <c r="OBY41" s="261"/>
      <c r="OBZ41" s="261"/>
      <c r="OCA41" s="261"/>
      <c r="OCB41" s="261"/>
      <c r="OCC41" s="261"/>
      <c r="OCD41" s="261"/>
      <c r="OCE41" s="261"/>
      <c r="OCF41" s="261"/>
      <c r="OCG41" s="261"/>
      <c r="OCH41" s="261"/>
      <c r="OCI41" s="261"/>
      <c r="OCJ41" s="261"/>
      <c r="OCK41" s="261"/>
      <c r="OCL41" s="261"/>
      <c r="OCM41" s="261"/>
      <c r="OCN41" s="261"/>
      <c r="OCO41" s="261"/>
      <c r="OCP41" s="261"/>
      <c r="OCQ41" s="261"/>
      <c r="OCR41" s="261"/>
      <c r="OCS41" s="261"/>
      <c r="OCT41" s="261"/>
      <c r="OCU41" s="261"/>
      <c r="OCV41" s="261"/>
      <c r="OCW41" s="261"/>
      <c r="OCX41" s="261"/>
      <c r="OCY41" s="261"/>
      <c r="OCZ41" s="261"/>
      <c r="ODA41" s="261"/>
      <c r="ODB41" s="261"/>
      <c r="ODC41" s="261"/>
      <c r="ODD41" s="261"/>
      <c r="ODE41" s="261"/>
      <c r="ODF41" s="261"/>
      <c r="ODG41" s="261"/>
      <c r="ODH41" s="261"/>
      <c r="ODI41" s="261"/>
      <c r="ODJ41" s="261"/>
      <c r="ODK41" s="261"/>
      <c r="ODL41" s="261"/>
      <c r="ODM41" s="261"/>
      <c r="ODN41" s="261"/>
      <c r="ODO41" s="261"/>
      <c r="ODP41" s="261"/>
      <c r="ODQ41" s="261"/>
      <c r="ODR41" s="261"/>
      <c r="ODS41" s="261"/>
      <c r="ODT41" s="261"/>
      <c r="ODU41" s="261"/>
      <c r="ODV41" s="261"/>
      <c r="ODW41" s="261"/>
      <c r="ODX41" s="261"/>
      <c r="ODY41" s="261"/>
      <c r="ODZ41" s="261"/>
      <c r="OEA41" s="261"/>
      <c r="OEB41" s="261"/>
      <c r="OEC41" s="261"/>
      <c r="OED41" s="261"/>
      <c r="OEE41" s="261"/>
      <c r="OEF41" s="261"/>
      <c r="OEG41" s="261"/>
      <c r="OEH41" s="261"/>
      <c r="OEI41" s="261"/>
      <c r="OEJ41" s="261"/>
      <c r="OEK41" s="261"/>
      <c r="OEL41" s="261"/>
      <c r="OEM41" s="261"/>
      <c r="OEN41" s="261"/>
      <c r="OEO41" s="261"/>
      <c r="OEP41" s="261"/>
      <c r="OEQ41" s="261"/>
      <c r="OER41" s="261"/>
      <c r="OES41" s="261"/>
      <c r="OET41" s="261"/>
      <c r="OEU41" s="261"/>
      <c r="OEV41" s="261"/>
      <c r="OEW41" s="261"/>
      <c r="OEX41" s="261"/>
      <c r="OEY41" s="261"/>
      <c r="OEZ41" s="261"/>
      <c r="OFA41" s="261"/>
      <c r="OFB41" s="261"/>
      <c r="OFC41" s="261"/>
      <c r="OFD41" s="261"/>
      <c r="OFE41" s="261"/>
      <c r="OFF41" s="261"/>
      <c r="OFG41" s="261"/>
      <c r="OFH41" s="261"/>
      <c r="OFI41" s="261"/>
      <c r="OFJ41" s="261"/>
      <c r="OFK41" s="261"/>
      <c r="OFL41" s="261"/>
      <c r="OFM41" s="261"/>
      <c r="OFN41" s="261"/>
      <c r="OFO41" s="261"/>
      <c r="OFP41" s="261"/>
      <c r="OFQ41" s="261"/>
      <c r="OFR41" s="261"/>
      <c r="OFS41" s="261"/>
      <c r="OFT41" s="261"/>
      <c r="OFU41" s="261"/>
      <c r="OFV41" s="261"/>
      <c r="OFW41" s="261"/>
      <c r="OFX41" s="261"/>
      <c r="OFY41" s="261"/>
      <c r="OFZ41" s="261"/>
      <c r="OGA41" s="261"/>
      <c r="OGB41" s="261"/>
      <c r="OGC41" s="261"/>
      <c r="OGD41" s="261"/>
      <c r="OGE41" s="261"/>
      <c r="OGF41" s="261"/>
      <c r="OGG41" s="261"/>
      <c r="OGH41" s="261"/>
      <c r="OGI41" s="261"/>
      <c r="OGJ41" s="261"/>
      <c r="OGK41" s="261"/>
      <c r="OGL41" s="261"/>
      <c r="OGM41" s="261"/>
      <c r="OGN41" s="261"/>
      <c r="OGO41" s="261"/>
      <c r="OGP41" s="261"/>
      <c r="OGQ41" s="261"/>
      <c r="OGR41" s="261"/>
      <c r="OGS41" s="261"/>
      <c r="OGT41" s="261"/>
      <c r="OGU41" s="261"/>
      <c r="OGV41" s="261"/>
      <c r="OGW41" s="261"/>
      <c r="OGX41" s="261"/>
      <c r="OGY41" s="261"/>
      <c r="OGZ41" s="261"/>
      <c r="OHA41" s="261"/>
      <c r="OHB41" s="261"/>
      <c r="OHC41" s="261"/>
      <c r="OHD41" s="261"/>
      <c r="OHE41" s="261"/>
      <c r="OHF41" s="261"/>
      <c r="OHG41" s="261"/>
      <c r="OHH41" s="261"/>
      <c r="OHI41" s="261"/>
      <c r="OHJ41" s="261"/>
      <c r="OHK41" s="261"/>
      <c r="OHL41" s="261"/>
      <c r="OHM41" s="261"/>
      <c r="OHN41" s="261"/>
      <c r="OHO41" s="261"/>
      <c r="OHP41" s="261"/>
      <c r="OHQ41" s="261"/>
      <c r="OHR41" s="261"/>
      <c r="OHS41" s="261"/>
      <c r="OHT41" s="261"/>
      <c r="OHU41" s="261"/>
      <c r="OHV41" s="261"/>
      <c r="OHW41" s="261"/>
      <c r="OHX41" s="261"/>
      <c r="OHY41" s="261"/>
      <c r="OHZ41" s="261"/>
      <c r="OIA41" s="261"/>
      <c r="OIB41" s="261"/>
      <c r="OIC41" s="261"/>
      <c r="OID41" s="261"/>
      <c r="OIE41" s="261"/>
      <c r="OIF41" s="261"/>
      <c r="OIG41" s="261"/>
      <c r="OIH41" s="261"/>
      <c r="OII41" s="261"/>
      <c r="OIJ41" s="261"/>
      <c r="OIK41" s="261"/>
      <c r="OIL41" s="261"/>
      <c r="OIM41" s="261"/>
      <c r="OIN41" s="261"/>
      <c r="OIO41" s="261"/>
      <c r="OIP41" s="261"/>
      <c r="OIQ41" s="261"/>
      <c r="OIR41" s="261"/>
      <c r="OIS41" s="261"/>
      <c r="OIT41" s="261"/>
      <c r="OIU41" s="261"/>
      <c r="OIV41" s="261"/>
      <c r="OIW41" s="261"/>
      <c r="OIX41" s="261"/>
      <c r="OIY41" s="261"/>
      <c r="OIZ41" s="261"/>
      <c r="OJA41" s="261"/>
      <c r="OJB41" s="261"/>
      <c r="OJC41" s="261"/>
      <c r="OJD41" s="261"/>
      <c r="OJE41" s="261"/>
      <c r="OJF41" s="261"/>
      <c r="OJG41" s="261"/>
      <c r="OJH41" s="261"/>
      <c r="OJI41" s="261"/>
      <c r="OJJ41" s="261"/>
      <c r="OJK41" s="261"/>
      <c r="OJL41" s="261"/>
      <c r="OJM41" s="261"/>
      <c r="OJN41" s="261"/>
      <c r="OJO41" s="261"/>
      <c r="OJP41" s="261"/>
      <c r="OJQ41" s="261"/>
      <c r="OJR41" s="261"/>
      <c r="OJS41" s="261"/>
      <c r="OJT41" s="261"/>
      <c r="OJU41" s="261"/>
      <c r="OJV41" s="261"/>
      <c r="OJW41" s="261"/>
      <c r="OJX41" s="261"/>
      <c r="OJY41" s="261"/>
      <c r="OJZ41" s="261"/>
      <c r="OKA41" s="261"/>
      <c r="OKB41" s="261"/>
      <c r="OKC41" s="261"/>
      <c r="OKD41" s="261"/>
      <c r="OKE41" s="261"/>
      <c r="OKF41" s="261"/>
      <c r="OKG41" s="261"/>
      <c r="OKH41" s="261"/>
      <c r="OKI41" s="261"/>
      <c r="OKJ41" s="261"/>
      <c r="OKK41" s="261"/>
      <c r="OKL41" s="261"/>
      <c r="OKM41" s="261"/>
      <c r="OKN41" s="261"/>
      <c r="OKO41" s="261"/>
      <c r="OKP41" s="261"/>
      <c r="OKQ41" s="261"/>
      <c r="OKR41" s="261"/>
      <c r="OKS41" s="261"/>
      <c r="OKT41" s="261"/>
      <c r="OKU41" s="261"/>
      <c r="OKV41" s="261"/>
      <c r="OKW41" s="261"/>
      <c r="OKX41" s="261"/>
      <c r="OKY41" s="261"/>
      <c r="OKZ41" s="261"/>
      <c r="OLA41" s="261"/>
      <c r="OLB41" s="261"/>
      <c r="OLC41" s="261"/>
      <c r="OLD41" s="261"/>
      <c r="OLE41" s="261"/>
      <c r="OLF41" s="261"/>
      <c r="OLG41" s="261"/>
      <c r="OLH41" s="261"/>
      <c r="OLI41" s="261"/>
      <c r="OLJ41" s="261"/>
      <c r="OLK41" s="261"/>
      <c r="OLL41" s="261"/>
      <c r="OLM41" s="261"/>
      <c r="OLN41" s="261"/>
      <c r="OLO41" s="261"/>
      <c r="OLP41" s="261"/>
      <c r="OLQ41" s="261"/>
      <c r="OLR41" s="261"/>
      <c r="OLS41" s="261"/>
      <c r="OLT41" s="261"/>
      <c r="OLU41" s="261"/>
      <c r="OLV41" s="261"/>
      <c r="OLW41" s="261"/>
      <c r="OLX41" s="261"/>
      <c r="OLY41" s="261"/>
      <c r="OLZ41" s="261"/>
      <c r="OMA41" s="261"/>
      <c r="OMB41" s="261"/>
      <c r="OMC41" s="261"/>
      <c r="OMD41" s="261"/>
      <c r="OME41" s="261"/>
      <c r="OMF41" s="261"/>
      <c r="OMG41" s="261"/>
      <c r="OMH41" s="261"/>
      <c r="OMI41" s="261"/>
      <c r="OMJ41" s="261"/>
      <c r="OMK41" s="261"/>
      <c r="OML41" s="261"/>
      <c r="OMM41" s="261"/>
      <c r="OMN41" s="261"/>
      <c r="OMO41" s="261"/>
      <c r="OMP41" s="261"/>
      <c r="OMQ41" s="261"/>
      <c r="OMR41" s="261"/>
      <c r="OMS41" s="261"/>
      <c r="OMT41" s="261"/>
      <c r="OMU41" s="261"/>
      <c r="OMV41" s="261"/>
      <c r="OMW41" s="261"/>
      <c r="OMX41" s="261"/>
      <c r="OMY41" s="261"/>
      <c r="OMZ41" s="261"/>
      <c r="ONA41" s="261"/>
      <c r="ONB41" s="261"/>
      <c r="ONC41" s="261"/>
      <c r="OND41" s="261"/>
      <c r="ONE41" s="261"/>
      <c r="ONF41" s="261"/>
      <c r="ONG41" s="261"/>
      <c r="ONH41" s="261"/>
      <c r="ONI41" s="261"/>
      <c r="ONJ41" s="261"/>
      <c r="ONK41" s="261"/>
      <c r="ONL41" s="261"/>
      <c r="ONM41" s="261"/>
      <c r="ONN41" s="261"/>
      <c r="ONO41" s="261"/>
      <c r="ONP41" s="261"/>
      <c r="ONQ41" s="261"/>
      <c r="ONR41" s="261"/>
      <c r="ONS41" s="261"/>
      <c r="ONT41" s="261"/>
      <c r="ONU41" s="261"/>
      <c r="ONV41" s="261"/>
      <c r="ONW41" s="261"/>
      <c r="ONX41" s="261"/>
      <c r="ONY41" s="261"/>
      <c r="ONZ41" s="261"/>
      <c r="OOA41" s="261"/>
      <c r="OOB41" s="261"/>
      <c r="OOC41" s="261"/>
      <c r="OOD41" s="261"/>
      <c r="OOE41" s="261"/>
      <c r="OOF41" s="261"/>
      <c r="OOG41" s="261"/>
      <c r="OOH41" s="261"/>
      <c r="OOI41" s="261"/>
      <c r="OOJ41" s="261"/>
      <c r="OOK41" s="261"/>
      <c r="OOL41" s="261"/>
      <c r="OOM41" s="261"/>
      <c r="OON41" s="261"/>
      <c r="OOO41" s="261"/>
      <c r="OOP41" s="261"/>
      <c r="OOQ41" s="261"/>
      <c r="OOR41" s="261"/>
      <c r="OOS41" s="261"/>
      <c r="OOT41" s="261"/>
      <c r="OOU41" s="261"/>
      <c r="OOV41" s="261"/>
      <c r="OOW41" s="261"/>
      <c r="OOX41" s="261"/>
      <c r="OOY41" s="261"/>
      <c r="OOZ41" s="261"/>
      <c r="OPA41" s="261"/>
      <c r="OPB41" s="261"/>
      <c r="OPC41" s="261"/>
      <c r="OPD41" s="261"/>
      <c r="OPE41" s="261"/>
      <c r="OPF41" s="261"/>
      <c r="OPG41" s="261"/>
      <c r="OPH41" s="261"/>
      <c r="OPI41" s="261"/>
      <c r="OPJ41" s="261"/>
      <c r="OPK41" s="261"/>
      <c r="OPL41" s="261"/>
      <c r="OPM41" s="261"/>
      <c r="OPN41" s="261"/>
      <c r="OPO41" s="261"/>
      <c r="OPP41" s="261"/>
      <c r="OPQ41" s="261"/>
      <c r="OPR41" s="261"/>
      <c r="OPS41" s="261"/>
      <c r="OPT41" s="261"/>
      <c r="OPU41" s="261"/>
      <c r="OPV41" s="261"/>
      <c r="OPW41" s="261"/>
      <c r="OPX41" s="261"/>
      <c r="OPY41" s="261"/>
      <c r="OPZ41" s="261"/>
      <c r="OQA41" s="261"/>
      <c r="OQB41" s="261"/>
      <c r="OQC41" s="261"/>
      <c r="OQD41" s="261"/>
      <c r="OQE41" s="261"/>
      <c r="OQF41" s="261"/>
      <c r="OQG41" s="261"/>
      <c r="OQH41" s="261"/>
      <c r="OQI41" s="261"/>
      <c r="OQJ41" s="261"/>
      <c r="OQK41" s="261"/>
      <c r="OQL41" s="261"/>
      <c r="OQM41" s="261"/>
      <c r="OQN41" s="261"/>
      <c r="OQO41" s="261"/>
      <c r="OQP41" s="261"/>
      <c r="OQQ41" s="261"/>
      <c r="OQR41" s="261"/>
      <c r="OQS41" s="261"/>
      <c r="OQT41" s="261"/>
      <c r="OQU41" s="261"/>
      <c r="OQV41" s="261"/>
      <c r="OQW41" s="261"/>
      <c r="OQX41" s="261"/>
      <c r="OQY41" s="261"/>
      <c r="OQZ41" s="261"/>
      <c r="ORA41" s="261"/>
      <c r="ORB41" s="261"/>
      <c r="ORC41" s="261"/>
      <c r="ORD41" s="261"/>
      <c r="ORE41" s="261"/>
      <c r="ORF41" s="261"/>
      <c r="ORG41" s="261"/>
      <c r="ORH41" s="261"/>
      <c r="ORI41" s="261"/>
      <c r="ORJ41" s="261"/>
      <c r="ORK41" s="261"/>
      <c r="ORL41" s="261"/>
      <c r="ORM41" s="261"/>
      <c r="ORN41" s="261"/>
      <c r="ORO41" s="261"/>
      <c r="ORP41" s="261"/>
      <c r="ORQ41" s="261"/>
      <c r="ORR41" s="261"/>
      <c r="ORS41" s="261"/>
      <c r="ORT41" s="261"/>
      <c r="ORU41" s="261"/>
      <c r="ORV41" s="261"/>
      <c r="ORW41" s="261"/>
      <c r="ORX41" s="261"/>
      <c r="ORY41" s="261"/>
      <c r="ORZ41" s="261"/>
      <c r="OSA41" s="261"/>
      <c r="OSB41" s="261"/>
      <c r="OSC41" s="261"/>
      <c r="OSD41" s="261"/>
      <c r="OSE41" s="261"/>
      <c r="OSF41" s="261"/>
      <c r="OSG41" s="261"/>
      <c r="OSH41" s="261"/>
      <c r="OSI41" s="261"/>
      <c r="OSJ41" s="261"/>
      <c r="OSK41" s="261"/>
      <c r="OSL41" s="261"/>
      <c r="OSM41" s="261"/>
      <c r="OSN41" s="261"/>
      <c r="OSO41" s="261"/>
      <c r="OSP41" s="261"/>
      <c r="OSQ41" s="261"/>
      <c r="OSR41" s="261"/>
      <c r="OSS41" s="261"/>
      <c r="OST41" s="261"/>
      <c r="OSU41" s="261"/>
      <c r="OSV41" s="261"/>
      <c r="OSW41" s="261"/>
      <c r="OSX41" s="261"/>
      <c r="OSY41" s="261"/>
      <c r="OSZ41" s="261"/>
      <c r="OTA41" s="261"/>
      <c r="OTB41" s="261"/>
      <c r="OTC41" s="261"/>
      <c r="OTD41" s="261"/>
      <c r="OTE41" s="261"/>
      <c r="OTF41" s="261"/>
      <c r="OTG41" s="261"/>
      <c r="OTH41" s="261"/>
      <c r="OTI41" s="261"/>
      <c r="OTJ41" s="261"/>
      <c r="OTK41" s="261"/>
      <c r="OTL41" s="261"/>
      <c r="OTM41" s="261"/>
      <c r="OTN41" s="261"/>
      <c r="OTO41" s="261"/>
      <c r="OTP41" s="261"/>
      <c r="OTQ41" s="261"/>
      <c r="OTR41" s="261"/>
      <c r="OTS41" s="261"/>
      <c r="OTT41" s="261"/>
      <c r="OTU41" s="261"/>
      <c r="OTV41" s="261"/>
      <c r="OTW41" s="261"/>
      <c r="OTX41" s="261"/>
      <c r="OTY41" s="261"/>
      <c r="OTZ41" s="261"/>
      <c r="OUA41" s="261"/>
      <c r="OUB41" s="261"/>
      <c r="OUC41" s="261"/>
      <c r="OUD41" s="261"/>
      <c r="OUE41" s="261"/>
      <c r="OUF41" s="261"/>
      <c r="OUG41" s="261"/>
      <c r="OUH41" s="261"/>
      <c r="OUI41" s="261"/>
      <c r="OUJ41" s="261"/>
      <c r="OUK41" s="261"/>
      <c r="OUL41" s="261"/>
      <c r="OUM41" s="261"/>
      <c r="OUN41" s="261"/>
      <c r="OUO41" s="261"/>
      <c r="OUP41" s="261"/>
      <c r="OUQ41" s="261"/>
      <c r="OUR41" s="261"/>
      <c r="OUS41" s="261"/>
      <c r="OUT41" s="261"/>
      <c r="OUU41" s="261"/>
      <c r="OUV41" s="261"/>
      <c r="OUW41" s="261"/>
      <c r="OUX41" s="261"/>
      <c r="OUY41" s="261"/>
      <c r="OUZ41" s="261"/>
      <c r="OVA41" s="261"/>
      <c r="OVB41" s="261"/>
      <c r="OVC41" s="261"/>
      <c r="OVD41" s="261"/>
      <c r="OVE41" s="261"/>
      <c r="OVF41" s="261"/>
      <c r="OVG41" s="261"/>
      <c r="OVH41" s="261"/>
      <c r="OVI41" s="261"/>
      <c r="OVJ41" s="261"/>
      <c r="OVK41" s="261"/>
      <c r="OVL41" s="261"/>
      <c r="OVM41" s="261"/>
      <c r="OVN41" s="261"/>
      <c r="OVO41" s="261"/>
      <c r="OVP41" s="261"/>
      <c r="OVQ41" s="261"/>
      <c r="OVR41" s="261"/>
      <c r="OVS41" s="261"/>
      <c r="OVT41" s="261"/>
      <c r="OVU41" s="261"/>
      <c r="OVV41" s="261"/>
      <c r="OVW41" s="261"/>
      <c r="OVX41" s="261"/>
      <c r="OVY41" s="261"/>
      <c r="OVZ41" s="261"/>
      <c r="OWA41" s="261"/>
      <c r="OWB41" s="261"/>
      <c r="OWC41" s="261"/>
      <c r="OWD41" s="261"/>
      <c r="OWE41" s="261"/>
      <c r="OWF41" s="261"/>
      <c r="OWG41" s="261"/>
      <c r="OWH41" s="261"/>
      <c r="OWI41" s="261"/>
      <c r="OWJ41" s="261"/>
      <c r="OWK41" s="261"/>
      <c r="OWL41" s="261"/>
      <c r="OWM41" s="261"/>
      <c r="OWN41" s="261"/>
      <c r="OWO41" s="261"/>
      <c r="OWP41" s="261"/>
      <c r="OWQ41" s="261"/>
      <c r="OWR41" s="261"/>
      <c r="OWS41" s="261"/>
      <c r="OWT41" s="261"/>
      <c r="OWU41" s="261"/>
      <c r="OWV41" s="261"/>
      <c r="OWW41" s="261"/>
      <c r="OWX41" s="261"/>
      <c r="OWY41" s="261"/>
      <c r="OWZ41" s="261"/>
      <c r="OXA41" s="261"/>
      <c r="OXB41" s="261"/>
      <c r="OXC41" s="261"/>
      <c r="OXD41" s="261"/>
      <c r="OXE41" s="261"/>
      <c r="OXF41" s="261"/>
      <c r="OXG41" s="261"/>
      <c r="OXH41" s="261"/>
      <c r="OXI41" s="261"/>
      <c r="OXJ41" s="261"/>
      <c r="OXK41" s="261"/>
      <c r="OXL41" s="261"/>
      <c r="OXM41" s="261"/>
      <c r="OXN41" s="261"/>
      <c r="OXO41" s="261"/>
      <c r="OXP41" s="261"/>
      <c r="OXQ41" s="261"/>
      <c r="OXR41" s="261"/>
      <c r="OXS41" s="261"/>
      <c r="OXT41" s="261"/>
      <c r="OXU41" s="261"/>
      <c r="OXV41" s="261"/>
      <c r="OXW41" s="261"/>
      <c r="OXX41" s="261"/>
      <c r="OXY41" s="261"/>
      <c r="OXZ41" s="261"/>
      <c r="OYA41" s="261"/>
      <c r="OYB41" s="261"/>
      <c r="OYC41" s="261"/>
      <c r="OYD41" s="261"/>
      <c r="OYE41" s="261"/>
      <c r="OYF41" s="261"/>
      <c r="OYG41" s="261"/>
      <c r="OYH41" s="261"/>
      <c r="OYI41" s="261"/>
      <c r="OYJ41" s="261"/>
      <c r="OYK41" s="261"/>
      <c r="OYL41" s="261"/>
      <c r="OYM41" s="261"/>
      <c r="OYN41" s="261"/>
      <c r="OYO41" s="261"/>
      <c r="OYP41" s="261"/>
      <c r="OYQ41" s="261"/>
      <c r="OYR41" s="261"/>
      <c r="OYS41" s="261"/>
      <c r="OYT41" s="261"/>
      <c r="OYU41" s="261"/>
      <c r="OYV41" s="261"/>
      <c r="OYW41" s="261"/>
      <c r="OYX41" s="261"/>
      <c r="OYY41" s="261"/>
      <c r="OYZ41" s="261"/>
      <c r="OZA41" s="261"/>
      <c r="OZB41" s="261"/>
      <c r="OZC41" s="261"/>
      <c r="OZD41" s="261"/>
      <c r="OZE41" s="261"/>
      <c r="OZF41" s="261"/>
      <c r="OZG41" s="261"/>
      <c r="OZH41" s="261"/>
      <c r="OZI41" s="261"/>
      <c r="OZJ41" s="261"/>
      <c r="OZK41" s="261"/>
      <c r="OZL41" s="261"/>
      <c r="OZM41" s="261"/>
      <c r="OZN41" s="261"/>
      <c r="OZO41" s="261"/>
      <c r="OZP41" s="261"/>
      <c r="OZQ41" s="261"/>
      <c r="OZR41" s="261"/>
      <c r="OZS41" s="261"/>
      <c r="OZT41" s="261"/>
      <c r="OZU41" s="261"/>
      <c r="OZV41" s="261"/>
      <c r="OZW41" s="261"/>
      <c r="OZX41" s="261"/>
      <c r="OZY41" s="261"/>
      <c r="OZZ41" s="261"/>
      <c r="PAA41" s="261"/>
      <c r="PAB41" s="261"/>
      <c r="PAC41" s="261"/>
      <c r="PAD41" s="261"/>
      <c r="PAE41" s="261"/>
      <c r="PAF41" s="261"/>
      <c r="PAG41" s="261"/>
      <c r="PAH41" s="261"/>
      <c r="PAI41" s="261"/>
      <c r="PAJ41" s="261"/>
      <c r="PAK41" s="261"/>
      <c r="PAL41" s="261"/>
      <c r="PAM41" s="261"/>
      <c r="PAN41" s="261"/>
      <c r="PAO41" s="261"/>
      <c r="PAP41" s="261"/>
      <c r="PAQ41" s="261"/>
      <c r="PAR41" s="261"/>
      <c r="PAS41" s="261"/>
      <c r="PAT41" s="261"/>
      <c r="PAU41" s="261"/>
      <c r="PAV41" s="261"/>
      <c r="PAW41" s="261"/>
      <c r="PAX41" s="261"/>
      <c r="PAY41" s="261"/>
      <c r="PAZ41" s="261"/>
      <c r="PBA41" s="261"/>
      <c r="PBB41" s="261"/>
      <c r="PBC41" s="261"/>
      <c r="PBD41" s="261"/>
      <c r="PBE41" s="261"/>
      <c r="PBF41" s="261"/>
      <c r="PBG41" s="261"/>
      <c r="PBH41" s="261"/>
      <c r="PBI41" s="261"/>
      <c r="PBJ41" s="261"/>
      <c r="PBK41" s="261"/>
      <c r="PBL41" s="261"/>
      <c r="PBM41" s="261"/>
      <c r="PBN41" s="261"/>
      <c r="PBO41" s="261"/>
      <c r="PBP41" s="261"/>
      <c r="PBQ41" s="261"/>
      <c r="PBR41" s="261"/>
      <c r="PBS41" s="261"/>
      <c r="PBT41" s="261"/>
      <c r="PBU41" s="261"/>
      <c r="PBV41" s="261"/>
      <c r="PBW41" s="261"/>
      <c r="PBX41" s="261"/>
      <c r="PBY41" s="261"/>
      <c r="PBZ41" s="261"/>
      <c r="PCA41" s="261"/>
      <c r="PCB41" s="261"/>
      <c r="PCC41" s="261"/>
      <c r="PCD41" s="261"/>
      <c r="PCE41" s="261"/>
      <c r="PCF41" s="261"/>
      <c r="PCG41" s="261"/>
      <c r="PCH41" s="261"/>
      <c r="PCI41" s="261"/>
      <c r="PCJ41" s="261"/>
      <c r="PCK41" s="261"/>
      <c r="PCL41" s="261"/>
      <c r="PCM41" s="261"/>
      <c r="PCN41" s="261"/>
      <c r="PCO41" s="261"/>
      <c r="PCP41" s="261"/>
      <c r="PCQ41" s="261"/>
      <c r="PCR41" s="261"/>
      <c r="PCS41" s="261"/>
      <c r="PCT41" s="261"/>
      <c r="PCU41" s="261"/>
      <c r="PCV41" s="261"/>
      <c r="PCW41" s="261"/>
      <c r="PCX41" s="261"/>
      <c r="PCY41" s="261"/>
      <c r="PCZ41" s="261"/>
      <c r="PDA41" s="261"/>
      <c r="PDB41" s="261"/>
      <c r="PDC41" s="261"/>
      <c r="PDD41" s="261"/>
      <c r="PDE41" s="261"/>
      <c r="PDF41" s="261"/>
      <c r="PDG41" s="261"/>
      <c r="PDH41" s="261"/>
      <c r="PDI41" s="261"/>
      <c r="PDJ41" s="261"/>
      <c r="PDK41" s="261"/>
      <c r="PDL41" s="261"/>
      <c r="PDM41" s="261"/>
      <c r="PDN41" s="261"/>
      <c r="PDO41" s="261"/>
      <c r="PDP41" s="261"/>
      <c r="PDQ41" s="261"/>
      <c r="PDR41" s="261"/>
      <c r="PDS41" s="261"/>
      <c r="PDT41" s="261"/>
      <c r="PDU41" s="261"/>
      <c r="PDV41" s="261"/>
      <c r="PDW41" s="261"/>
      <c r="PDX41" s="261"/>
      <c r="PDY41" s="261"/>
      <c r="PDZ41" s="261"/>
      <c r="PEA41" s="261"/>
      <c r="PEB41" s="261"/>
      <c r="PEC41" s="261"/>
      <c r="PED41" s="261"/>
      <c r="PEE41" s="261"/>
      <c r="PEF41" s="261"/>
      <c r="PEG41" s="261"/>
      <c r="PEH41" s="261"/>
      <c r="PEI41" s="261"/>
      <c r="PEJ41" s="261"/>
      <c r="PEK41" s="261"/>
      <c r="PEL41" s="261"/>
      <c r="PEM41" s="261"/>
      <c r="PEN41" s="261"/>
      <c r="PEO41" s="261"/>
      <c r="PEP41" s="261"/>
      <c r="PEQ41" s="261"/>
      <c r="PER41" s="261"/>
      <c r="PES41" s="261"/>
      <c r="PET41" s="261"/>
      <c r="PEU41" s="261"/>
      <c r="PEV41" s="261"/>
      <c r="PEW41" s="261"/>
      <c r="PEX41" s="261"/>
      <c r="PEY41" s="261"/>
      <c r="PEZ41" s="261"/>
      <c r="PFA41" s="261"/>
      <c r="PFB41" s="261"/>
      <c r="PFC41" s="261"/>
      <c r="PFD41" s="261"/>
      <c r="PFE41" s="261"/>
      <c r="PFF41" s="261"/>
      <c r="PFG41" s="261"/>
      <c r="PFH41" s="261"/>
      <c r="PFI41" s="261"/>
      <c r="PFJ41" s="261"/>
      <c r="PFK41" s="261"/>
      <c r="PFL41" s="261"/>
      <c r="PFM41" s="261"/>
      <c r="PFN41" s="261"/>
      <c r="PFO41" s="261"/>
      <c r="PFP41" s="261"/>
      <c r="PFQ41" s="261"/>
      <c r="PFR41" s="261"/>
      <c r="PFS41" s="261"/>
      <c r="PFT41" s="261"/>
      <c r="PFU41" s="261"/>
      <c r="PFV41" s="261"/>
      <c r="PFW41" s="261"/>
      <c r="PFX41" s="261"/>
      <c r="PFY41" s="261"/>
      <c r="PFZ41" s="261"/>
      <c r="PGA41" s="261"/>
      <c r="PGB41" s="261"/>
      <c r="PGC41" s="261"/>
      <c r="PGD41" s="261"/>
      <c r="PGE41" s="261"/>
      <c r="PGF41" s="261"/>
      <c r="PGG41" s="261"/>
      <c r="PGH41" s="261"/>
      <c r="PGI41" s="261"/>
      <c r="PGJ41" s="261"/>
      <c r="PGK41" s="261"/>
      <c r="PGL41" s="261"/>
      <c r="PGM41" s="261"/>
      <c r="PGN41" s="261"/>
      <c r="PGO41" s="261"/>
      <c r="PGP41" s="261"/>
      <c r="PGQ41" s="261"/>
      <c r="PGR41" s="261"/>
      <c r="PGS41" s="261"/>
      <c r="PGT41" s="261"/>
      <c r="PGU41" s="261"/>
      <c r="PGV41" s="261"/>
      <c r="PGW41" s="261"/>
      <c r="PGX41" s="261"/>
      <c r="PGY41" s="261"/>
      <c r="PGZ41" s="261"/>
      <c r="PHA41" s="261"/>
      <c r="PHB41" s="261"/>
      <c r="PHC41" s="261"/>
      <c r="PHD41" s="261"/>
      <c r="PHE41" s="261"/>
      <c r="PHF41" s="261"/>
      <c r="PHG41" s="261"/>
      <c r="PHH41" s="261"/>
      <c r="PHI41" s="261"/>
      <c r="PHJ41" s="261"/>
      <c r="PHK41" s="261"/>
      <c r="PHL41" s="261"/>
      <c r="PHM41" s="261"/>
      <c r="PHN41" s="261"/>
      <c r="PHO41" s="261"/>
      <c r="PHP41" s="261"/>
      <c r="PHQ41" s="261"/>
      <c r="PHR41" s="261"/>
      <c r="PHS41" s="261"/>
      <c r="PHT41" s="261"/>
      <c r="PHU41" s="261"/>
      <c r="PHV41" s="261"/>
      <c r="PHW41" s="261"/>
      <c r="PHX41" s="261"/>
      <c r="PHY41" s="261"/>
      <c r="PHZ41" s="261"/>
      <c r="PIA41" s="261"/>
      <c r="PIB41" s="261"/>
      <c r="PIC41" s="261"/>
      <c r="PID41" s="261"/>
      <c r="PIE41" s="261"/>
      <c r="PIF41" s="261"/>
      <c r="PIG41" s="261"/>
      <c r="PIH41" s="261"/>
      <c r="PII41" s="261"/>
      <c r="PIJ41" s="261"/>
      <c r="PIK41" s="261"/>
      <c r="PIL41" s="261"/>
      <c r="PIM41" s="261"/>
      <c r="PIN41" s="261"/>
      <c r="PIO41" s="261"/>
      <c r="PIP41" s="261"/>
      <c r="PIQ41" s="261"/>
      <c r="PIR41" s="261"/>
      <c r="PIS41" s="261"/>
      <c r="PIT41" s="261"/>
      <c r="PIU41" s="261"/>
      <c r="PIV41" s="261"/>
      <c r="PIW41" s="261"/>
      <c r="PIX41" s="261"/>
      <c r="PIY41" s="261"/>
      <c r="PIZ41" s="261"/>
      <c r="PJA41" s="261"/>
      <c r="PJB41" s="261"/>
      <c r="PJC41" s="261"/>
      <c r="PJD41" s="261"/>
      <c r="PJE41" s="261"/>
      <c r="PJF41" s="261"/>
      <c r="PJG41" s="261"/>
      <c r="PJH41" s="261"/>
      <c r="PJI41" s="261"/>
      <c r="PJJ41" s="261"/>
      <c r="PJK41" s="261"/>
      <c r="PJL41" s="261"/>
      <c r="PJM41" s="261"/>
      <c r="PJN41" s="261"/>
      <c r="PJO41" s="261"/>
      <c r="PJP41" s="261"/>
      <c r="PJQ41" s="261"/>
      <c r="PJR41" s="261"/>
      <c r="PJS41" s="261"/>
      <c r="PJT41" s="261"/>
      <c r="PJU41" s="261"/>
      <c r="PJV41" s="261"/>
      <c r="PJW41" s="261"/>
      <c r="PJX41" s="261"/>
      <c r="PJY41" s="261"/>
      <c r="PJZ41" s="261"/>
      <c r="PKA41" s="261"/>
      <c r="PKB41" s="261"/>
      <c r="PKC41" s="261"/>
      <c r="PKD41" s="261"/>
      <c r="PKE41" s="261"/>
      <c r="PKF41" s="261"/>
      <c r="PKG41" s="261"/>
      <c r="PKH41" s="261"/>
      <c r="PKI41" s="261"/>
      <c r="PKJ41" s="261"/>
      <c r="PKK41" s="261"/>
      <c r="PKL41" s="261"/>
      <c r="PKM41" s="261"/>
      <c r="PKN41" s="261"/>
      <c r="PKO41" s="261"/>
      <c r="PKP41" s="261"/>
      <c r="PKQ41" s="261"/>
      <c r="PKR41" s="261"/>
      <c r="PKS41" s="261"/>
      <c r="PKT41" s="261"/>
      <c r="PKU41" s="261"/>
      <c r="PKV41" s="261"/>
      <c r="PKW41" s="261"/>
      <c r="PKX41" s="261"/>
      <c r="PKY41" s="261"/>
      <c r="PKZ41" s="261"/>
      <c r="PLA41" s="261"/>
      <c r="PLB41" s="261"/>
      <c r="PLC41" s="261"/>
      <c r="PLD41" s="261"/>
      <c r="PLE41" s="261"/>
      <c r="PLF41" s="261"/>
      <c r="PLG41" s="261"/>
      <c r="PLH41" s="261"/>
      <c r="PLI41" s="261"/>
      <c r="PLJ41" s="261"/>
      <c r="PLK41" s="261"/>
      <c r="PLL41" s="261"/>
      <c r="PLM41" s="261"/>
      <c r="PLN41" s="261"/>
      <c r="PLO41" s="261"/>
      <c r="PLP41" s="261"/>
      <c r="PLQ41" s="261"/>
      <c r="PLR41" s="261"/>
      <c r="PLS41" s="261"/>
      <c r="PLT41" s="261"/>
      <c r="PLU41" s="261"/>
      <c r="PLV41" s="261"/>
      <c r="PLW41" s="261"/>
      <c r="PLX41" s="261"/>
      <c r="PLY41" s="261"/>
      <c r="PLZ41" s="261"/>
      <c r="PMA41" s="261"/>
      <c r="PMB41" s="261"/>
      <c r="PMC41" s="261"/>
      <c r="PMD41" s="261"/>
      <c r="PME41" s="261"/>
      <c r="PMF41" s="261"/>
      <c r="PMG41" s="261"/>
      <c r="PMH41" s="261"/>
      <c r="PMI41" s="261"/>
      <c r="PMJ41" s="261"/>
      <c r="PMK41" s="261"/>
      <c r="PML41" s="261"/>
      <c r="PMM41" s="261"/>
      <c r="PMN41" s="261"/>
      <c r="PMO41" s="261"/>
      <c r="PMP41" s="261"/>
      <c r="PMQ41" s="261"/>
      <c r="PMR41" s="261"/>
      <c r="PMS41" s="261"/>
      <c r="PMT41" s="261"/>
      <c r="PMU41" s="261"/>
      <c r="PMV41" s="261"/>
      <c r="PMW41" s="261"/>
      <c r="PMX41" s="261"/>
      <c r="PMY41" s="261"/>
      <c r="PMZ41" s="261"/>
      <c r="PNA41" s="261"/>
      <c r="PNB41" s="261"/>
      <c r="PNC41" s="261"/>
      <c r="PND41" s="261"/>
      <c r="PNE41" s="261"/>
      <c r="PNF41" s="261"/>
      <c r="PNG41" s="261"/>
      <c r="PNH41" s="261"/>
      <c r="PNI41" s="261"/>
      <c r="PNJ41" s="261"/>
      <c r="PNK41" s="261"/>
      <c r="PNL41" s="261"/>
      <c r="PNM41" s="261"/>
      <c r="PNN41" s="261"/>
      <c r="PNO41" s="261"/>
      <c r="PNP41" s="261"/>
      <c r="PNQ41" s="261"/>
      <c r="PNR41" s="261"/>
      <c r="PNS41" s="261"/>
      <c r="PNT41" s="261"/>
      <c r="PNU41" s="261"/>
      <c r="PNV41" s="261"/>
      <c r="PNW41" s="261"/>
      <c r="PNX41" s="261"/>
      <c r="PNY41" s="261"/>
      <c r="PNZ41" s="261"/>
      <c r="POA41" s="261"/>
      <c r="POB41" s="261"/>
      <c r="POC41" s="261"/>
      <c r="POD41" s="261"/>
      <c r="POE41" s="261"/>
      <c r="POF41" s="261"/>
      <c r="POG41" s="261"/>
      <c r="POH41" s="261"/>
      <c r="POI41" s="261"/>
      <c r="POJ41" s="261"/>
      <c r="POK41" s="261"/>
      <c r="POL41" s="261"/>
      <c r="POM41" s="261"/>
      <c r="PON41" s="261"/>
      <c r="POO41" s="261"/>
      <c r="POP41" s="261"/>
      <c r="POQ41" s="261"/>
      <c r="POR41" s="261"/>
      <c r="POS41" s="261"/>
      <c r="POT41" s="261"/>
      <c r="POU41" s="261"/>
      <c r="POV41" s="261"/>
      <c r="POW41" s="261"/>
      <c r="POX41" s="261"/>
      <c r="POY41" s="261"/>
      <c r="POZ41" s="261"/>
      <c r="PPA41" s="261"/>
      <c r="PPB41" s="261"/>
      <c r="PPC41" s="261"/>
      <c r="PPD41" s="261"/>
      <c r="PPE41" s="261"/>
      <c r="PPF41" s="261"/>
      <c r="PPG41" s="261"/>
      <c r="PPH41" s="261"/>
      <c r="PPI41" s="261"/>
      <c r="PPJ41" s="261"/>
      <c r="PPK41" s="261"/>
      <c r="PPL41" s="261"/>
      <c r="PPM41" s="261"/>
      <c r="PPN41" s="261"/>
      <c r="PPO41" s="261"/>
      <c r="PPP41" s="261"/>
      <c r="PPQ41" s="261"/>
      <c r="PPR41" s="261"/>
      <c r="PPS41" s="261"/>
      <c r="PPT41" s="261"/>
      <c r="PPU41" s="261"/>
      <c r="PPV41" s="261"/>
      <c r="PPW41" s="261"/>
      <c r="PPX41" s="261"/>
      <c r="PPY41" s="261"/>
      <c r="PPZ41" s="261"/>
      <c r="PQA41" s="261"/>
      <c r="PQB41" s="261"/>
      <c r="PQC41" s="261"/>
      <c r="PQD41" s="261"/>
      <c r="PQE41" s="261"/>
      <c r="PQF41" s="261"/>
      <c r="PQG41" s="261"/>
      <c r="PQH41" s="261"/>
      <c r="PQI41" s="261"/>
      <c r="PQJ41" s="261"/>
      <c r="PQK41" s="261"/>
      <c r="PQL41" s="261"/>
      <c r="PQM41" s="261"/>
      <c r="PQN41" s="261"/>
      <c r="PQO41" s="261"/>
      <c r="PQP41" s="261"/>
      <c r="PQQ41" s="261"/>
      <c r="PQR41" s="261"/>
      <c r="PQS41" s="261"/>
      <c r="PQT41" s="261"/>
      <c r="PQU41" s="261"/>
      <c r="PQV41" s="261"/>
      <c r="PQW41" s="261"/>
      <c r="PQX41" s="261"/>
      <c r="PQY41" s="261"/>
      <c r="PQZ41" s="261"/>
      <c r="PRA41" s="261"/>
      <c r="PRB41" s="261"/>
      <c r="PRC41" s="261"/>
      <c r="PRD41" s="261"/>
      <c r="PRE41" s="261"/>
      <c r="PRF41" s="261"/>
      <c r="PRG41" s="261"/>
      <c r="PRH41" s="261"/>
      <c r="PRI41" s="261"/>
      <c r="PRJ41" s="261"/>
      <c r="PRK41" s="261"/>
      <c r="PRL41" s="261"/>
      <c r="PRM41" s="261"/>
      <c r="PRN41" s="261"/>
      <c r="PRO41" s="261"/>
      <c r="PRP41" s="261"/>
      <c r="PRQ41" s="261"/>
      <c r="PRR41" s="261"/>
      <c r="PRS41" s="261"/>
      <c r="PRT41" s="261"/>
      <c r="PRU41" s="261"/>
      <c r="PRV41" s="261"/>
      <c r="PRW41" s="261"/>
      <c r="PRX41" s="261"/>
      <c r="PRY41" s="261"/>
      <c r="PRZ41" s="261"/>
      <c r="PSA41" s="261"/>
      <c r="PSB41" s="261"/>
      <c r="PSC41" s="261"/>
      <c r="PSD41" s="261"/>
      <c r="PSE41" s="261"/>
      <c r="PSF41" s="261"/>
      <c r="PSG41" s="261"/>
      <c r="PSH41" s="261"/>
      <c r="PSI41" s="261"/>
      <c r="PSJ41" s="261"/>
      <c r="PSK41" s="261"/>
      <c r="PSL41" s="261"/>
      <c r="PSM41" s="261"/>
      <c r="PSN41" s="261"/>
      <c r="PSO41" s="261"/>
      <c r="PSP41" s="261"/>
      <c r="PSQ41" s="261"/>
      <c r="PSR41" s="261"/>
      <c r="PSS41" s="261"/>
      <c r="PST41" s="261"/>
      <c r="PSU41" s="261"/>
      <c r="PSV41" s="261"/>
      <c r="PSW41" s="261"/>
      <c r="PSX41" s="261"/>
      <c r="PSY41" s="261"/>
      <c r="PSZ41" s="261"/>
      <c r="PTA41" s="261"/>
      <c r="PTB41" s="261"/>
      <c r="PTC41" s="261"/>
      <c r="PTD41" s="261"/>
      <c r="PTE41" s="261"/>
      <c r="PTF41" s="261"/>
      <c r="PTG41" s="261"/>
      <c r="PTH41" s="261"/>
      <c r="PTI41" s="261"/>
      <c r="PTJ41" s="261"/>
      <c r="PTK41" s="261"/>
      <c r="PTL41" s="261"/>
      <c r="PTM41" s="261"/>
      <c r="PTN41" s="261"/>
      <c r="PTO41" s="261"/>
      <c r="PTP41" s="261"/>
      <c r="PTQ41" s="261"/>
      <c r="PTR41" s="261"/>
      <c r="PTS41" s="261"/>
      <c r="PTT41" s="261"/>
      <c r="PTU41" s="261"/>
      <c r="PTV41" s="261"/>
      <c r="PTW41" s="261"/>
      <c r="PTX41" s="261"/>
      <c r="PTY41" s="261"/>
      <c r="PTZ41" s="261"/>
      <c r="PUA41" s="261"/>
      <c r="PUB41" s="261"/>
      <c r="PUC41" s="261"/>
      <c r="PUD41" s="261"/>
      <c r="PUE41" s="261"/>
      <c r="PUF41" s="261"/>
      <c r="PUG41" s="261"/>
      <c r="PUH41" s="261"/>
      <c r="PUI41" s="261"/>
      <c r="PUJ41" s="261"/>
      <c r="PUK41" s="261"/>
      <c r="PUL41" s="261"/>
      <c r="PUM41" s="261"/>
      <c r="PUN41" s="261"/>
      <c r="PUO41" s="261"/>
      <c r="PUP41" s="261"/>
      <c r="PUQ41" s="261"/>
      <c r="PUR41" s="261"/>
      <c r="PUS41" s="261"/>
      <c r="PUT41" s="261"/>
      <c r="PUU41" s="261"/>
      <c r="PUV41" s="261"/>
      <c r="PUW41" s="261"/>
      <c r="PUX41" s="261"/>
      <c r="PUY41" s="261"/>
      <c r="PUZ41" s="261"/>
      <c r="PVA41" s="261"/>
      <c r="PVB41" s="261"/>
      <c r="PVC41" s="261"/>
      <c r="PVD41" s="261"/>
      <c r="PVE41" s="261"/>
      <c r="PVF41" s="261"/>
      <c r="PVG41" s="261"/>
      <c r="PVH41" s="261"/>
      <c r="PVI41" s="261"/>
      <c r="PVJ41" s="261"/>
      <c r="PVK41" s="261"/>
      <c r="PVL41" s="261"/>
      <c r="PVM41" s="261"/>
      <c r="PVN41" s="261"/>
      <c r="PVO41" s="261"/>
      <c r="PVP41" s="261"/>
      <c r="PVQ41" s="261"/>
      <c r="PVR41" s="261"/>
      <c r="PVS41" s="261"/>
      <c r="PVT41" s="261"/>
      <c r="PVU41" s="261"/>
      <c r="PVV41" s="261"/>
      <c r="PVW41" s="261"/>
      <c r="PVX41" s="261"/>
      <c r="PVY41" s="261"/>
      <c r="PVZ41" s="261"/>
      <c r="PWA41" s="261"/>
      <c r="PWB41" s="261"/>
      <c r="PWC41" s="261"/>
      <c r="PWD41" s="261"/>
      <c r="PWE41" s="261"/>
      <c r="PWF41" s="261"/>
      <c r="PWG41" s="261"/>
      <c r="PWH41" s="261"/>
      <c r="PWI41" s="261"/>
      <c r="PWJ41" s="261"/>
      <c r="PWK41" s="261"/>
      <c r="PWL41" s="261"/>
      <c r="PWM41" s="261"/>
      <c r="PWN41" s="261"/>
      <c r="PWO41" s="261"/>
      <c r="PWP41" s="261"/>
      <c r="PWQ41" s="261"/>
      <c r="PWR41" s="261"/>
      <c r="PWS41" s="261"/>
      <c r="PWT41" s="261"/>
      <c r="PWU41" s="261"/>
      <c r="PWV41" s="261"/>
      <c r="PWW41" s="261"/>
      <c r="PWX41" s="261"/>
      <c r="PWY41" s="261"/>
      <c r="PWZ41" s="261"/>
      <c r="PXA41" s="261"/>
      <c r="PXB41" s="261"/>
      <c r="PXC41" s="261"/>
      <c r="PXD41" s="261"/>
      <c r="PXE41" s="261"/>
      <c r="PXF41" s="261"/>
      <c r="PXG41" s="261"/>
      <c r="PXH41" s="261"/>
      <c r="PXI41" s="261"/>
      <c r="PXJ41" s="261"/>
      <c r="PXK41" s="261"/>
      <c r="PXL41" s="261"/>
      <c r="PXM41" s="261"/>
      <c r="PXN41" s="261"/>
      <c r="PXO41" s="261"/>
      <c r="PXP41" s="261"/>
      <c r="PXQ41" s="261"/>
      <c r="PXR41" s="261"/>
      <c r="PXS41" s="261"/>
      <c r="PXT41" s="261"/>
      <c r="PXU41" s="261"/>
      <c r="PXV41" s="261"/>
      <c r="PXW41" s="261"/>
      <c r="PXX41" s="261"/>
      <c r="PXY41" s="261"/>
      <c r="PXZ41" s="261"/>
      <c r="PYA41" s="261"/>
      <c r="PYB41" s="261"/>
      <c r="PYC41" s="261"/>
      <c r="PYD41" s="261"/>
      <c r="PYE41" s="261"/>
      <c r="PYF41" s="261"/>
      <c r="PYG41" s="261"/>
      <c r="PYH41" s="261"/>
      <c r="PYI41" s="261"/>
      <c r="PYJ41" s="261"/>
      <c r="PYK41" s="261"/>
      <c r="PYL41" s="261"/>
      <c r="PYM41" s="261"/>
      <c r="PYN41" s="261"/>
      <c r="PYO41" s="261"/>
      <c r="PYP41" s="261"/>
      <c r="PYQ41" s="261"/>
      <c r="PYR41" s="261"/>
      <c r="PYS41" s="261"/>
      <c r="PYT41" s="261"/>
      <c r="PYU41" s="261"/>
      <c r="PYV41" s="261"/>
      <c r="PYW41" s="261"/>
      <c r="PYX41" s="261"/>
      <c r="PYY41" s="261"/>
      <c r="PYZ41" s="261"/>
      <c r="PZA41" s="261"/>
      <c r="PZB41" s="261"/>
      <c r="PZC41" s="261"/>
      <c r="PZD41" s="261"/>
      <c r="PZE41" s="261"/>
      <c r="PZF41" s="261"/>
      <c r="PZG41" s="261"/>
      <c r="PZH41" s="261"/>
      <c r="PZI41" s="261"/>
      <c r="PZJ41" s="261"/>
      <c r="PZK41" s="261"/>
      <c r="PZL41" s="261"/>
      <c r="PZM41" s="261"/>
      <c r="PZN41" s="261"/>
      <c r="PZO41" s="261"/>
      <c r="PZP41" s="261"/>
      <c r="PZQ41" s="261"/>
      <c r="PZR41" s="261"/>
      <c r="PZS41" s="261"/>
      <c r="PZT41" s="261"/>
      <c r="PZU41" s="261"/>
      <c r="PZV41" s="261"/>
      <c r="PZW41" s="261"/>
      <c r="PZX41" s="261"/>
      <c r="PZY41" s="261"/>
      <c r="PZZ41" s="261"/>
      <c r="QAA41" s="261"/>
      <c r="QAB41" s="261"/>
      <c r="QAC41" s="261"/>
      <c r="QAD41" s="261"/>
      <c r="QAE41" s="261"/>
      <c r="QAF41" s="261"/>
      <c r="QAG41" s="261"/>
      <c r="QAH41" s="261"/>
      <c r="QAI41" s="261"/>
      <c r="QAJ41" s="261"/>
      <c r="QAK41" s="261"/>
      <c r="QAL41" s="261"/>
      <c r="QAM41" s="261"/>
      <c r="QAN41" s="261"/>
      <c r="QAO41" s="261"/>
      <c r="QAP41" s="261"/>
      <c r="QAQ41" s="261"/>
      <c r="QAR41" s="261"/>
      <c r="QAS41" s="261"/>
      <c r="QAT41" s="261"/>
      <c r="QAU41" s="261"/>
      <c r="QAV41" s="261"/>
      <c r="QAW41" s="261"/>
      <c r="QAX41" s="261"/>
      <c r="QAY41" s="261"/>
      <c r="QAZ41" s="261"/>
      <c r="QBA41" s="261"/>
      <c r="QBB41" s="261"/>
      <c r="QBC41" s="261"/>
      <c r="QBD41" s="261"/>
      <c r="QBE41" s="261"/>
      <c r="QBF41" s="261"/>
      <c r="QBG41" s="261"/>
      <c r="QBH41" s="261"/>
      <c r="QBI41" s="261"/>
      <c r="QBJ41" s="261"/>
      <c r="QBK41" s="261"/>
      <c r="QBL41" s="261"/>
      <c r="QBM41" s="261"/>
      <c r="QBN41" s="261"/>
      <c r="QBO41" s="261"/>
      <c r="QBP41" s="261"/>
      <c r="QBQ41" s="261"/>
      <c r="QBR41" s="261"/>
      <c r="QBS41" s="261"/>
      <c r="QBT41" s="261"/>
      <c r="QBU41" s="261"/>
      <c r="QBV41" s="261"/>
      <c r="QBW41" s="261"/>
      <c r="QBX41" s="261"/>
      <c r="QBY41" s="261"/>
      <c r="QBZ41" s="261"/>
      <c r="QCA41" s="261"/>
      <c r="QCB41" s="261"/>
      <c r="QCC41" s="261"/>
      <c r="QCD41" s="261"/>
      <c r="QCE41" s="261"/>
      <c r="QCF41" s="261"/>
      <c r="QCG41" s="261"/>
      <c r="QCH41" s="261"/>
      <c r="QCI41" s="261"/>
      <c r="QCJ41" s="261"/>
      <c r="QCK41" s="261"/>
      <c r="QCL41" s="261"/>
      <c r="QCM41" s="261"/>
      <c r="QCN41" s="261"/>
      <c r="QCO41" s="261"/>
      <c r="QCP41" s="261"/>
      <c r="QCQ41" s="261"/>
      <c r="QCR41" s="261"/>
      <c r="QCS41" s="261"/>
      <c r="QCT41" s="261"/>
      <c r="QCU41" s="261"/>
      <c r="QCV41" s="261"/>
      <c r="QCW41" s="261"/>
      <c r="QCX41" s="261"/>
      <c r="QCY41" s="261"/>
      <c r="QCZ41" s="261"/>
      <c r="QDA41" s="261"/>
      <c r="QDB41" s="261"/>
      <c r="QDC41" s="261"/>
      <c r="QDD41" s="261"/>
      <c r="QDE41" s="261"/>
      <c r="QDF41" s="261"/>
      <c r="QDG41" s="261"/>
      <c r="QDH41" s="261"/>
      <c r="QDI41" s="261"/>
      <c r="QDJ41" s="261"/>
      <c r="QDK41" s="261"/>
      <c r="QDL41" s="261"/>
      <c r="QDM41" s="261"/>
      <c r="QDN41" s="261"/>
      <c r="QDO41" s="261"/>
      <c r="QDP41" s="261"/>
      <c r="QDQ41" s="261"/>
      <c r="QDR41" s="261"/>
      <c r="QDS41" s="261"/>
      <c r="QDT41" s="261"/>
      <c r="QDU41" s="261"/>
      <c r="QDV41" s="261"/>
      <c r="QDW41" s="261"/>
      <c r="QDX41" s="261"/>
      <c r="QDY41" s="261"/>
      <c r="QDZ41" s="261"/>
      <c r="QEA41" s="261"/>
      <c r="QEB41" s="261"/>
      <c r="QEC41" s="261"/>
      <c r="QED41" s="261"/>
      <c r="QEE41" s="261"/>
      <c r="QEF41" s="261"/>
      <c r="QEG41" s="261"/>
      <c r="QEH41" s="261"/>
      <c r="QEI41" s="261"/>
      <c r="QEJ41" s="261"/>
      <c r="QEK41" s="261"/>
      <c r="QEL41" s="261"/>
      <c r="QEM41" s="261"/>
      <c r="QEN41" s="261"/>
      <c r="QEO41" s="261"/>
      <c r="QEP41" s="261"/>
      <c r="QEQ41" s="261"/>
      <c r="QER41" s="261"/>
      <c r="QES41" s="261"/>
      <c r="QET41" s="261"/>
      <c r="QEU41" s="261"/>
      <c r="QEV41" s="261"/>
      <c r="QEW41" s="261"/>
      <c r="QEX41" s="261"/>
      <c r="QEY41" s="261"/>
      <c r="QEZ41" s="261"/>
      <c r="QFA41" s="261"/>
      <c r="QFB41" s="261"/>
      <c r="QFC41" s="261"/>
      <c r="QFD41" s="261"/>
      <c r="QFE41" s="261"/>
      <c r="QFF41" s="261"/>
      <c r="QFG41" s="261"/>
      <c r="QFH41" s="261"/>
      <c r="QFI41" s="261"/>
      <c r="QFJ41" s="261"/>
      <c r="QFK41" s="261"/>
      <c r="QFL41" s="261"/>
      <c r="QFM41" s="261"/>
      <c r="QFN41" s="261"/>
      <c r="QFO41" s="261"/>
      <c r="QFP41" s="261"/>
      <c r="QFQ41" s="261"/>
      <c r="QFR41" s="261"/>
      <c r="QFS41" s="261"/>
      <c r="QFT41" s="261"/>
      <c r="QFU41" s="261"/>
      <c r="QFV41" s="261"/>
      <c r="QFW41" s="261"/>
      <c r="QFX41" s="261"/>
      <c r="QFY41" s="261"/>
      <c r="QFZ41" s="261"/>
      <c r="QGA41" s="261"/>
      <c r="QGB41" s="261"/>
      <c r="QGC41" s="261"/>
      <c r="QGD41" s="261"/>
      <c r="QGE41" s="261"/>
      <c r="QGF41" s="261"/>
      <c r="QGG41" s="261"/>
      <c r="QGH41" s="261"/>
      <c r="QGI41" s="261"/>
      <c r="QGJ41" s="261"/>
      <c r="QGK41" s="261"/>
      <c r="QGL41" s="261"/>
      <c r="QGM41" s="261"/>
      <c r="QGN41" s="261"/>
      <c r="QGO41" s="261"/>
      <c r="QGP41" s="261"/>
      <c r="QGQ41" s="261"/>
      <c r="QGR41" s="261"/>
      <c r="QGS41" s="261"/>
      <c r="QGT41" s="261"/>
      <c r="QGU41" s="261"/>
      <c r="QGV41" s="261"/>
      <c r="QGW41" s="261"/>
      <c r="QGX41" s="261"/>
      <c r="QGY41" s="261"/>
      <c r="QGZ41" s="261"/>
      <c r="QHA41" s="261"/>
      <c r="QHB41" s="261"/>
      <c r="QHC41" s="261"/>
      <c r="QHD41" s="261"/>
      <c r="QHE41" s="261"/>
      <c r="QHF41" s="261"/>
      <c r="QHG41" s="261"/>
      <c r="QHH41" s="261"/>
      <c r="QHI41" s="261"/>
      <c r="QHJ41" s="261"/>
      <c r="QHK41" s="261"/>
      <c r="QHL41" s="261"/>
      <c r="QHM41" s="261"/>
      <c r="QHN41" s="261"/>
      <c r="QHO41" s="261"/>
      <c r="QHP41" s="261"/>
      <c r="QHQ41" s="261"/>
      <c r="QHR41" s="261"/>
      <c r="QHS41" s="261"/>
      <c r="QHT41" s="261"/>
      <c r="QHU41" s="261"/>
      <c r="QHV41" s="261"/>
      <c r="QHW41" s="261"/>
      <c r="QHX41" s="261"/>
      <c r="QHY41" s="261"/>
      <c r="QHZ41" s="261"/>
      <c r="QIA41" s="261"/>
      <c r="QIB41" s="261"/>
      <c r="QIC41" s="261"/>
      <c r="QID41" s="261"/>
      <c r="QIE41" s="261"/>
      <c r="QIF41" s="261"/>
      <c r="QIG41" s="261"/>
      <c r="QIH41" s="261"/>
      <c r="QII41" s="261"/>
      <c r="QIJ41" s="261"/>
      <c r="QIK41" s="261"/>
      <c r="QIL41" s="261"/>
      <c r="QIM41" s="261"/>
      <c r="QIN41" s="261"/>
      <c r="QIO41" s="261"/>
      <c r="QIP41" s="261"/>
      <c r="QIQ41" s="261"/>
      <c r="QIR41" s="261"/>
      <c r="QIS41" s="261"/>
      <c r="QIT41" s="261"/>
      <c r="QIU41" s="261"/>
      <c r="QIV41" s="261"/>
      <c r="QIW41" s="261"/>
      <c r="QIX41" s="261"/>
      <c r="QIY41" s="261"/>
      <c r="QIZ41" s="261"/>
      <c r="QJA41" s="261"/>
      <c r="QJB41" s="261"/>
      <c r="QJC41" s="261"/>
      <c r="QJD41" s="261"/>
      <c r="QJE41" s="261"/>
      <c r="QJF41" s="261"/>
      <c r="QJG41" s="261"/>
      <c r="QJH41" s="261"/>
      <c r="QJI41" s="261"/>
      <c r="QJJ41" s="261"/>
      <c r="QJK41" s="261"/>
      <c r="QJL41" s="261"/>
      <c r="QJM41" s="261"/>
      <c r="QJN41" s="261"/>
      <c r="QJO41" s="261"/>
      <c r="QJP41" s="261"/>
      <c r="QJQ41" s="261"/>
      <c r="QJR41" s="261"/>
      <c r="QJS41" s="261"/>
      <c r="QJT41" s="261"/>
      <c r="QJU41" s="261"/>
      <c r="QJV41" s="261"/>
      <c r="QJW41" s="261"/>
      <c r="QJX41" s="261"/>
      <c r="QJY41" s="261"/>
      <c r="QJZ41" s="261"/>
      <c r="QKA41" s="261"/>
      <c r="QKB41" s="261"/>
      <c r="QKC41" s="261"/>
      <c r="QKD41" s="261"/>
      <c r="QKE41" s="261"/>
      <c r="QKF41" s="261"/>
      <c r="QKG41" s="261"/>
      <c r="QKH41" s="261"/>
      <c r="QKI41" s="261"/>
      <c r="QKJ41" s="261"/>
      <c r="QKK41" s="261"/>
      <c r="QKL41" s="261"/>
      <c r="QKM41" s="261"/>
      <c r="QKN41" s="261"/>
      <c r="QKO41" s="261"/>
      <c r="QKP41" s="261"/>
      <c r="QKQ41" s="261"/>
      <c r="QKR41" s="261"/>
      <c r="QKS41" s="261"/>
      <c r="QKT41" s="261"/>
      <c r="QKU41" s="261"/>
      <c r="QKV41" s="261"/>
      <c r="QKW41" s="261"/>
      <c r="QKX41" s="261"/>
      <c r="QKY41" s="261"/>
      <c r="QKZ41" s="261"/>
      <c r="QLA41" s="261"/>
      <c r="QLB41" s="261"/>
      <c r="QLC41" s="261"/>
      <c r="QLD41" s="261"/>
      <c r="QLE41" s="261"/>
      <c r="QLF41" s="261"/>
      <c r="QLG41" s="261"/>
      <c r="QLH41" s="261"/>
      <c r="QLI41" s="261"/>
      <c r="QLJ41" s="261"/>
      <c r="QLK41" s="261"/>
      <c r="QLL41" s="261"/>
      <c r="QLM41" s="261"/>
      <c r="QLN41" s="261"/>
      <c r="QLO41" s="261"/>
      <c r="QLP41" s="261"/>
      <c r="QLQ41" s="261"/>
      <c r="QLR41" s="261"/>
      <c r="QLS41" s="261"/>
      <c r="QLT41" s="261"/>
      <c r="QLU41" s="261"/>
      <c r="QLV41" s="261"/>
      <c r="QLW41" s="261"/>
      <c r="QLX41" s="261"/>
      <c r="QLY41" s="261"/>
      <c r="QLZ41" s="261"/>
      <c r="QMA41" s="261"/>
      <c r="QMB41" s="261"/>
      <c r="QMC41" s="261"/>
      <c r="QMD41" s="261"/>
      <c r="QME41" s="261"/>
      <c r="QMF41" s="261"/>
      <c r="QMG41" s="261"/>
      <c r="QMH41" s="261"/>
      <c r="QMI41" s="261"/>
      <c r="QMJ41" s="261"/>
      <c r="QMK41" s="261"/>
      <c r="QML41" s="261"/>
      <c r="QMM41" s="261"/>
      <c r="QMN41" s="261"/>
      <c r="QMO41" s="261"/>
      <c r="QMP41" s="261"/>
      <c r="QMQ41" s="261"/>
      <c r="QMR41" s="261"/>
      <c r="QMS41" s="261"/>
      <c r="QMT41" s="261"/>
      <c r="QMU41" s="261"/>
      <c r="QMV41" s="261"/>
      <c r="QMW41" s="261"/>
      <c r="QMX41" s="261"/>
      <c r="QMY41" s="261"/>
      <c r="QMZ41" s="261"/>
      <c r="QNA41" s="261"/>
      <c r="QNB41" s="261"/>
      <c r="QNC41" s="261"/>
      <c r="QND41" s="261"/>
      <c r="QNE41" s="261"/>
      <c r="QNF41" s="261"/>
      <c r="QNG41" s="261"/>
      <c r="QNH41" s="261"/>
      <c r="QNI41" s="261"/>
      <c r="QNJ41" s="261"/>
      <c r="QNK41" s="261"/>
      <c r="QNL41" s="261"/>
      <c r="QNM41" s="261"/>
      <c r="QNN41" s="261"/>
      <c r="QNO41" s="261"/>
      <c r="QNP41" s="261"/>
      <c r="QNQ41" s="261"/>
      <c r="QNR41" s="261"/>
      <c r="QNS41" s="261"/>
      <c r="QNT41" s="261"/>
      <c r="QNU41" s="261"/>
      <c r="QNV41" s="261"/>
      <c r="QNW41" s="261"/>
      <c r="QNX41" s="261"/>
      <c r="QNY41" s="261"/>
      <c r="QNZ41" s="261"/>
      <c r="QOA41" s="261"/>
      <c r="QOB41" s="261"/>
      <c r="QOC41" s="261"/>
      <c r="QOD41" s="261"/>
      <c r="QOE41" s="261"/>
      <c r="QOF41" s="261"/>
      <c r="QOG41" s="261"/>
      <c r="QOH41" s="261"/>
      <c r="QOI41" s="261"/>
      <c r="QOJ41" s="261"/>
      <c r="QOK41" s="261"/>
      <c r="QOL41" s="261"/>
      <c r="QOM41" s="261"/>
      <c r="QON41" s="261"/>
      <c r="QOO41" s="261"/>
      <c r="QOP41" s="261"/>
      <c r="QOQ41" s="261"/>
      <c r="QOR41" s="261"/>
      <c r="QOS41" s="261"/>
      <c r="QOT41" s="261"/>
      <c r="QOU41" s="261"/>
      <c r="QOV41" s="261"/>
      <c r="QOW41" s="261"/>
      <c r="QOX41" s="261"/>
      <c r="QOY41" s="261"/>
      <c r="QOZ41" s="261"/>
      <c r="QPA41" s="261"/>
      <c r="QPB41" s="261"/>
      <c r="QPC41" s="261"/>
      <c r="QPD41" s="261"/>
      <c r="QPE41" s="261"/>
      <c r="QPF41" s="261"/>
      <c r="QPG41" s="261"/>
      <c r="QPH41" s="261"/>
      <c r="QPI41" s="261"/>
      <c r="QPJ41" s="261"/>
      <c r="QPK41" s="261"/>
      <c r="QPL41" s="261"/>
      <c r="QPM41" s="261"/>
      <c r="QPN41" s="261"/>
      <c r="QPO41" s="261"/>
      <c r="QPP41" s="261"/>
      <c r="QPQ41" s="261"/>
      <c r="QPR41" s="261"/>
      <c r="QPS41" s="261"/>
      <c r="QPT41" s="261"/>
      <c r="QPU41" s="261"/>
      <c r="QPV41" s="261"/>
      <c r="QPW41" s="261"/>
      <c r="QPX41" s="261"/>
      <c r="QPY41" s="261"/>
      <c r="QPZ41" s="261"/>
      <c r="QQA41" s="261"/>
      <c r="QQB41" s="261"/>
      <c r="QQC41" s="261"/>
      <c r="QQD41" s="261"/>
      <c r="QQE41" s="261"/>
      <c r="QQF41" s="261"/>
      <c r="QQG41" s="261"/>
      <c r="QQH41" s="261"/>
      <c r="QQI41" s="261"/>
      <c r="QQJ41" s="261"/>
      <c r="QQK41" s="261"/>
      <c r="QQL41" s="261"/>
      <c r="QQM41" s="261"/>
      <c r="QQN41" s="261"/>
      <c r="QQO41" s="261"/>
      <c r="QQP41" s="261"/>
      <c r="QQQ41" s="261"/>
      <c r="QQR41" s="261"/>
      <c r="QQS41" s="261"/>
      <c r="QQT41" s="261"/>
      <c r="QQU41" s="261"/>
      <c r="QQV41" s="261"/>
      <c r="QQW41" s="261"/>
      <c r="QQX41" s="261"/>
      <c r="QQY41" s="261"/>
      <c r="QQZ41" s="261"/>
      <c r="QRA41" s="261"/>
      <c r="QRB41" s="261"/>
      <c r="QRC41" s="261"/>
      <c r="QRD41" s="261"/>
      <c r="QRE41" s="261"/>
      <c r="QRF41" s="261"/>
      <c r="QRG41" s="261"/>
      <c r="QRH41" s="261"/>
      <c r="QRI41" s="261"/>
      <c r="QRJ41" s="261"/>
      <c r="QRK41" s="261"/>
      <c r="QRL41" s="261"/>
      <c r="QRM41" s="261"/>
      <c r="QRN41" s="261"/>
      <c r="QRO41" s="261"/>
      <c r="QRP41" s="261"/>
      <c r="QRQ41" s="261"/>
      <c r="QRR41" s="261"/>
      <c r="QRS41" s="261"/>
      <c r="QRT41" s="261"/>
      <c r="QRU41" s="261"/>
      <c r="QRV41" s="261"/>
      <c r="QRW41" s="261"/>
      <c r="QRX41" s="261"/>
      <c r="QRY41" s="261"/>
      <c r="QRZ41" s="261"/>
      <c r="QSA41" s="261"/>
      <c r="QSB41" s="261"/>
      <c r="QSC41" s="261"/>
      <c r="QSD41" s="261"/>
      <c r="QSE41" s="261"/>
      <c r="QSF41" s="261"/>
      <c r="QSG41" s="261"/>
      <c r="QSH41" s="261"/>
      <c r="QSI41" s="261"/>
      <c r="QSJ41" s="261"/>
      <c r="QSK41" s="261"/>
      <c r="QSL41" s="261"/>
      <c r="QSM41" s="261"/>
      <c r="QSN41" s="261"/>
      <c r="QSO41" s="261"/>
      <c r="QSP41" s="261"/>
      <c r="QSQ41" s="261"/>
      <c r="QSR41" s="261"/>
      <c r="QSS41" s="261"/>
      <c r="QST41" s="261"/>
      <c r="QSU41" s="261"/>
      <c r="QSV41" s="261"/>
      <c r="QSW41" s="261"/>
      <c r="QSX41" s="261"/>
      <c r="QSY41" s="261"/>
      <c r="QSZ41" s="261"/>
      <c r="QTA41" s="261"/>
      <c r="QTB41" s="261"/>
      <c r="QTC41" s="261"/>
      <c r="QTD41" s="261"/>
      <c r="QTE41" s="261"/>
      <c r="QTF41" s="261"/>
      <c r="QTG41" s="261"/>
      <c r="QTH41" s="261"/>
      <c r="QTI41" s="261"/>
      <c r="QTJ41" s="261"/>
      <c r="QTK41" s="261"/>
      <c r="QTL41" s="261"/>
      <c r="QTM41" s="261"/>
      <c r="QTN41" s="261"/>
      <c r="QTO41" s="261"/>
      <c r="QTP41" s="261"/>
      <c r="QTQ41" s="261"/>
      <c r="QTR41" s="261"/>
      <c r="QTS41" s="261"/>
      <c r="QTT41" s="261"/>
      <c r="QTU41" s="261"/>
      <c r="QTV41" s="261"/>
      <c r="QTW41" s="261"/>
      <c r="QTX41" s="261"/>
      <c r="QTY41" s="261"/>
      <c r="QTZ41" s="261"/>
      <c r="QUA41" s="261"/>
      <c r="QUB41" s="261"/>
      <c r="QUC41" s="261"/>
      <c r="QUD41" s="261"/>
      <c r="QUE41" s="261"/>
      <c r="QUF41" s="261"/>
      <c r="QUG41" s="261"/>
      <c r="QUH41" s="261"/>
      <c r="QUI41" s="261"/>
      <c r="QUJ41" s="261"/>
      <c r="QUK41" s="261"/>
      <c r="QUL41" s="261"/>
      <c r="QUM41" s="261"/>
      <c r="QUN41" s="261"/>
      <c r="QUO41" s="261"/>
      <c r="QUP41" s="261"/>
      <c r="QUQ41" s="261"/>
      <c r="QUR41" s="261"/>
      <c r="QUS41" s="261"/>
      <c r="QUT41" s="261"/>
      <c r="QUU41" s="261"/>
      <c r="QUV41" s="261"/>
      <c r="QUW41" s="261"/>
      <c r="QUX41" s="261"/>
      <c r="QUY41" s="261"/>
      <c r="QUZ41" s="261"/>
      <c r="QVA41" s="261"/>
      <c r="QVB41" s="261"/>
      <c r="QVC41" s="261"/>
      <c r="QVD41" s="261"/>
      <c r="QVE41" s="261"/>
      <c r="QVF41" s="261"/>
      <c r="QVG41" s="261"/>
      <c r="QVH41" s="261"/>
      <c r="QVI41" s="261"/>
      <c r="QVJ41" s="261"/>
      <c r="QVK41" s="261"/>
      <c r="QVL41" s="261"/>
      <c r="QVM41" s="261"/>
      <c r="QVN41" s="261"/>
      <c r="QVO41" s="261"/>
      <c r="QVP41" s="261"/>
      <c r="QVQ41" s="261"/>
      <c r="QVR41" s="261"/>
      <c r="QVS41" s="261"/>
      <c r="QVT41" s="261"/>
      <c r="QVU41" s="261"/>
      <c r="QVV41" s="261"/>
      <c r="QVW41" s="261"/>
      <c r="QVX41" s="261"/>
      <c r="QVY41" s="261"/>
      <c r="QVZ41" s="261"/>
      <c r="QWA41" s="261"/>
      <c r="QWB41" s="261"/>
      <c r="QWC41" s="261"/>
      <c r="QWD41" s="261"/>
      <c r="QWE41" s="261"/>
      <c r="QWF41" s="261"/>
      <c r="QWG41" s="261"/>
      <c r="QWH41" s="261"/>
      <c r="QWI41" s="261"/>
      <c r="QWJ41" s="261"/>
      <c r="QWK41" s="261"/>
      <c r="QWL41" s="261"/>
      <c r="QWM41" s="261"/>
      <c r="QWN41" s="261"/>
      <c r="QWO41" s="261"/>
      <c r="QWP41" s="261"/>
      <c r="QWQ41" s="261"/>
      <c r="QWR41" s="261"/>
      <c r="QWS41" s="261"/>
      <c r="QWT41" s="261"/>
      <c r="QWU41" s="261"/>
      <c r="QWV41" s="261"/>
      <c r="QWW41" s="261"/>
      <c r="QWX41" s="261"/>
      <c r="QWY41" s="261"/>
      <c r="QWZ41" s="261"/>
      <c r="QXA41" s="261"/>
      <c r="QXB41" s="261"/>
      <c r="QXC41" s="261"/>
      <c r="QXD41" s="261"/>
      <c r="QXE41" s="261"/>
      <c r="QXF41" s="261"/>
      <c r="QXG41" s="261"/>
      <c r="QXH41" s="261"/>
      <c r="QXI41" s="261"/>
      <c r="QXJ41" s="261"/>
      <c r="QXK41" s="261"/>
      <c r="QXL41" s="261"/>
      <c r="QXM41" s="261"/>
      <c r="QXN41" s="261"/>
      <c r="QXO41" s="261"/>
      <c r="QXP41" s="261"/>
      <c r="QXQ41" s="261"/>
      <c r="QXR41" s="261"/>
      <c r="QXS41" s="261"/>
      <c r="QXT41" s="261"/>
      <c r="QXU41" s="261"/>
      <c r="QXV41" s="261"/>
      <c r="QXW41" s="261"/>
      <c r="QXX41" s="261"/>
      <c r="QXY41" s="261"/>
      <c r="QXZ41" s="261"/>
      <c r="QYA41" s="261"/>
      <c r="QYB41" s="261"/>
      <c r="QYC41" s="261"/>
      <c r="QYD41" s="261"/>
      <c r="QYE41" s="261"/>
      <c r="QYF41" s="261"/>
      <c r="QYG41" s="261"/>
      <c r="QYH41" s="261"/>
      <c r="QYI41" s="261"/>
      <c r="QYJ41" s="261"/>
      <c r="QYK41" s="261"/>
      <c r="QYL41" s="261"/>
      <c r="QYM41" s="261"/>
      <c r="QYN41" s="261"/>
      <c r="QYO41" s="261"/>
      <c r="QYP41" s="261"/>
      <c r="QYQ41" s="261"/>
      <c r="QYR41" s="261"/>
      <c r="QYS41" s="261"/>
      <c r="QYT41" s="261"/>
      <c r="QYU41" s="261"/>
      <c r="QYV41" s="261"/>
      <c r="QYW41" s="261"/>
      <c r="QYX41" s="261"/>
      <c r="QYY41" s="261"/>
      <c r="QYZ41" s="261"/>
      <c r="QZA41" s="261"/>
      <c r="QZB41" s="261"/>
      <c r="QZC41" s="261"/>
      <c r="QZD41" s="261"/>
      <c r="QZE41" s="261"/>
      <c r="QZF41" s="261"/>
      <c r="QZG41" s="261"/>
      <c r="QZH41" s="261"/>
      <c r="QZI41" s="261"/>
      <c r="QZJ41" s="261"/>
      <c r="QZK41" s="261"/>
      <c r="QZL41" s="261"/>
      <c r="QZM41" s="261"/>
      <c r="QZN41" s="261"/>
      <c r="QZO41" s="261"/>
      <c r="QZP41" s="261"/>
      <c r="QZQ41" s="261"/>
      <c r="QZR41" s="261"/>
      <c r="QZS41" s="261"/>
      <c r="QZT41" s="261"/>
      <c r="QZU41" s="261"/>
      <c r="QZV41" s="261"/>
      <c r="QZW41" s="261"/>
      <c r="QZX41" s="261"/>
      <c r="QZY41" s="261"/>
      <c r="QZZ41" s="261"/>
      <c r="RAA41" s="261"/>
      <c r="RAB41" s="261"/>
      <c r="RAC41" s="261"/>
      <c r="RAD41" s="261"/>
      <c r="RAE41" s="261"/>
      <c r="RAF41" s="261"/>
      <c r="RAG41" s="261"/>
      <c r="RAH41" s="261"/>
      <c r="RAI41" s="261"/>
      <c r="RAJ41" s="261"/>
      <c r="RAK41" s="261"/>
      <c r="RAL41" s="261"/>
      <c r="RAM41" s="261"/>
      <c r="RAN41" s="261"/>
      <c r="RAO41" s="261"/>
      <c r="RAP41" s="261"/>
      <c r="RAQ41" s="261"/>
      <c r="RAR41" s="261"/>
      <c r="RAS41" s="261"/>
      <c r="RAT41" s="261"/>
      <c r="RAU41" s="261"/>
      <c r="RAV41" s="261"/>
      <c r="RAW41" s="261"/>
      <c r="RAX41" s="261"/>
      <c r="RAY41" s="261"/>
      <c r="RAZ41" s="261"/>
      <c r="RBA41" s="261"/>
      <c r="RBB41" s="261"/>
      <c r="RBC41" s="261"/>
      <c r="RBD41" s="261"/>
      <c r="RBE41" s="261"/>
      <c r="RBF41" s="261"/>
      <c r="RBG41" s="261"/>
      <c r="RBH41" s="261"/>
      <c r="RBI41" s="261"/>
      <c r="RBJ41" s="261"/>
      <c r="RBK41" s="261"/>
      <c r="RBL41" s="261"/>
      <c r="RBM41" s="261"/>
      <c r="RBN41" s="261"/>
      <c r="RBO41" s="261"/>
      <c r="RBP41" s="261"/>
      <c r="RBQ41" s="261"/>
      <c r="RBR41" s="261"/>
      <c r="RBS41" s="261"/>
      <c r="RBT41" s="261"/>
      <c r="RBU41" s="261"/>
      <c r="RBV41" s="261"/>
      <c r="RBW41" s="261"/>
      <c r="RBX41" s="261"/>
      <c r="RBY41" s="261"/>
      <c r="RBZ41" s="261"/>
      <c r="RCA41" s="261"/>
      <c r="RCB41" s="261"/>
      <c r="RCC41" s="261"/>
      <c r="RCD41" s="261"/>
      <c r="RCE41" s="261"/>
      <c r="RCF41" s="261"/>
      <c r="RCG41" s="261"/>
      <c r="RCH41" s="261"/>
      <c r="RCI41" s="261"/>
      <c r="RCJ41" s="261"/>
      <c r="RCK41" s="261"/>
      <c r="RCL41" s="261"/>
      <c r="RCM41" s="261"/>
      <c r="RCN41" s="261"/>
      <c r="RCO41" s="261"/>
      <c r="RCP41" s="261"/>
      <c r="RCQ41" s="261"/>
      <c r="RCR41" s="261"/>
      <c r="RCS41" s="261"/>
      <c r="RCT41" s="261"/>
      <c r="RCU41" s="261"/>
      <c r="RCV41" s="261"/>
      <c r="RCW41" s="261"/>
      <c r="RCX41" s="261"/>
      <c r="RCY41" s="261"/>
      <c r="RCZ41" s="261"/>
      <c r="RDA41" s="261"/>
      <c r="RDB41" s="261"/>
      <c r="RDC41" s="261"/>
      <c r="RDD41" s="261"/>
      <c r="RDE41" s="261"/>
      <c r="RDF41" s="261"/>
      <c r="RDG41" s="261"/>
      <c r="RDH41" s="261"/>
      <c r="RDI41" s="261"/>
      <c r="RDJ41" s="261"/>
      <c r="RDK41" s="261"/>
      <c r="RDL41" s="261"/>
      <c r="RDM41" s="261"/>
      <c r="RDN41" s="261"/>
      <c r="RDO41" s="261"/>
      <c r="RDP41" s="261"/>
      <c r="RDQ41" s="261"/>
      <c r="RDR41" s="261"/>
      <c r="RDS41" s="261"/>
      <c r="RDT41" s="261"/>
      <c r="RDU41" s="261"/>
      <c r="RDV41" s="261"/>
      <c r="RDW41" s="261"/>
      <c r="RDX41" s="261"/>
      <c r="RDY41" s="261"/>
      <c r="RDZ41" s="261"/>
      <c r="REA41" s="261"/>
      <c r="REB41" s="261"/>
      <c r="REC41" s="261"/>
      <c r="RED41" s="261"/>
      <c r="REE41" s="261"/>
      <c r="REF41" s="261"/>
      <c r="REG41" s="261"/>
      <c r="REH41" s="261"/>
      <c r="REI41" s="261"/>
      <c r="REJ41" s="261"/>
      <c r="REK41" s="261"/>
      <c r="REL41" s="261"/>
      <c r="REM41" s="261"/>
      <c r="REN41" s="261"/>
      <c r="REO41" s="261"/>
      <c r="REP41" s="261"/>
      <c r="REQ41" s="261"/>
      <c r="RER41" s="261"/>
      <c r="RES41" s="261"/>
      <c r="RET41" s="261"/>
      <c r="REU41" s="261"/>
      <c r="REV41" s="261"/>
      <c r="REW41" s="261"/>
      <c r="REX41" s="261"/>
      <c r="REY41" s="261"/>
      <c r="REZ41" s="261"/>
      <c r="RFA41" s="261"/>
      <c r="RFB41" s="261"/>
      <c r="RFC41" s="261"/>
      <c r="RFD41" s="261"/>
      <c r="RFE41" s="261"/>
      <c r="RFF41" s="261"/>
      <c r="RFG41" s="261"/>
      <c r="RFH41" s="261"/>
      <c r="RFI41" s="261"/>
      <c r="RFJ41" s="261"/>
      <c r="RFK41" s="261"/>
      <c r="RFL41" s="261"/>
      <c r="RFM41" s="261"/>
      <c r="RFN41" s="261"/>
      <c r="RFO41" s="261"/>
      <c r="RFP41" s="261"/>
      <c r="RFQ41" s="261"/>
      <c r="RFR41" s="261"/>
      <c r="RFS41" s="261"/>
      <c r="RFT41" s="261"/>
      <c r="RFU41" s="261"/>
      <c r="RFV41" s="261"/>
      <c r="RFW41" s="261"/>
      <c r="RFX41" s="261"/>
      <c r="RFY41" s="261"/>
      <c r="RFZ41" s="261"/>
      <c r="RGA41" s="261"/>
      <c r="RGB41" s="261"/>
      <c r="RGC41" s="261"/>
      <c r="RGD41" s="261"/>
      <c r="RGE41" s="261"/>
      <c r="RGF41" s="261"/>
      <c r="RGG41" s="261"/>
      <c r="RGH41" s="261"/>
      <c r="RGI41" s="261"/>
      <c r="RGJ41" s="261"/>
      <c r="RGK41" s="261"/>
      <c r="RGL41" s="261"/>
      <c r="RGM41" s="261"/>
      <c r="RGN41" s="261"/>
      <c r="RGO41" s="261"/>
      <c r="RGP41" s="261"/>
      <c r="RGQ41" s="261"/>
      <c r="RGR41" s="261"/>
      <c r="RGS41" s="261"/>
      <c r="RGT41" s="261"/>
      <c r="RGU41" s="261"/>
      <c r="RGV41" s="261"/>
      <c r="RGW41" s="261"/>
      <c r="RGX41" s="261"/>
      <c r="RGY41" s="261"/>
      <c r="RGZ41" s="261"/>
      <c r="RHA41" s="261"/>
      <c r="RHB41" s="261"/>
      <c r="RHC41" s="261"/>
      <c r="RHD41" s="261"/>
      <c r="RHE41" s="261"/>
      <c r="RHF41" s="261"/>
      <c r="RHG41" s="261"/>
      <c r="RHH41" s="261"/>
      <c r="RHI41" s="261"/>
      <c r="RHJ41" s="261"/>
      <c r="RHK41" s="261"/>
      <c r="RHL41" s="261"/>
      <c r="RHM41" s="261"/>
      <c r="RHN41" s="261"/>
      <c r="RHO41" s="261"/>
      <c r="RHP41" s="261"/>
      <c r="RHQ41" s="261"/>
      <c r="RHR41" s="261"/>
      <c r="RHS41" s="261"/>
      <c r="RHT41" s="261"/>
      <c r="RHU41" s="261"/>
      <c r="RHV41" s="261"/>
      <c r="RHW41" s="261"/>
      <c r="RHX41" s="261"/>
      <c r="RHY41" s="261"/>
      <c r="RHZ41" s="261"/>
      <c r="RIA41" s="261"/>
      <c r="RIB41" s="261"/>
      <c r="RIC41" s="261"/>
      <c r="RID41" s="261"/>
      <c r="RIE41" s="261"/>
      <c r="RIF41" s="261"/>
      <c r="RIG41" s="261"/>
      <c r="RIH41" s="261"/>
      <c r="RII41" s="261"/>
      <c r="RIJ41" s="261"/>
      <c r="RIK41" s="261"/>
      <c r="RIL41" s="261"/>
      <c r="RIM41" s="261"/>
      <c r="RIN41" s="261"/>
      <c r="RIO41" s="261"/>
      <c r="RIP41" s="261"/>
      <c r="RIQ41" s="261"/>
      <c r="RIR41" s="261"/>
      <c r="RIS41" s="261"/>
      <c r="RIT41" s="261"/>
      <c r="RIU41" s="261"/>
      <c r="RIV41" s="261"/>
      <c r="RIW41" s="261"/>
      <c r="RIX41" s="261"/>
      <c r="RIY41" s="261"/>
      <c r="RIZ41" s="261"/>
      <c r="RJA41" s="261"/>
      <c r="RJB41" s="261"/>
      <c r="RJC41" s="261"/>
      <c r="RJD41" s="261"/>
      <c r="RJE41" s="261"/>
      <c r="RJF41" s="261"/>
      <c r="RJG41" s="261"/>
      <c r="RJH41" s="261"/>
      <c r="RJI41" s="261"/>
      <c r="RJJ41" s="261"/>
      <c r="RJK41" s="261"/>
      <c r="RJL41" s="261"/>
      <c r="RJM41" s="261"/>
      <c r="RJN41" s="261"/>
      <c r="RJO41" s="261"/>
      <c r="RJP41" s="261"/>
      <c r="RJQ41" s="261"/>
      <c r="RJR41" s="261"/>
      <c r="RJS41" s="261"/>
      <c r="RJT41" s="261"/>
      <c r="RJU41" s="261"/>
      <c r="RJV41" s="261"/>
      <c r="RJW41" s="261"/>
      <c r="RJX41" s="261"/>
      <c r="RJY41" s="261"/>
      <c r="RJZ41" s="261"/>
      <c r="RKA41" s="261"/>
      <c r="RKB41" s="261"/>
      <c r="RKC41" s="261"/>
      <c r="RKD41" s="261"/>
      <c r="RKE41" s="261"/>
      <c r="RKF41" s="261"/>
      <c r="RKG41" s="261"/>
      <c r="RKH41" s="261"/>
      <c r="RKI41" s="261"/>
      <c r="RKJ41" s="261"/>
      <c r="RKK41" s="261"/>
      <c r="RKL41" s="261"/>
      <c r="RKM41" s="261"/>
      <c r="RKN41" s="261"/>
      <c r="RKO41" s="261"/>
      <c r="RKP41" s="261"/>
      <c r="RKQ41" s="261"/>
      <c r="RKR41" s="261"/>
      <c r="RKS41" s="261"/>
      <c r="RKT41" s="261"/>
      <c r="RKU41" s="261"/>
      <c r="RKV41" s="261"/>
      <c r="RKW41" s="261"/>
      <c r="RKX41" s="261"/>
      <c r="RKY41" s="261"/>
      <c r="RKZ41" s="261"/>
      <c r="RLA41" s="261"/>
      <c r="RLB41" s="261"/>
      <c r="RLC41" s="261"/>
      <c r="RLD41" s="261"/>
      <c r="RLE41" s="261"/>
      <c r="RLF41" s="261"/>
      <c r="RLG41" s="261"/>
      <c r="RLH41" s="261"/>
      <c r="RLI41" s="261"/>
      <c r="RLJ41" s="261"/>
      <c r="RLK41" s="261"/>
      <c r="RLL41" s="261"/>
      <c r="RLM41" s="261"/>
      <c r="RLN41" s="261"/>
      <c r="RLO41" s="261"/>
      <c r="RLP41" s="261"/>
      <c r="RLQ41" s="261"/>
      <c r="RLR41" s="261"/>
      <c r="RLS41" s="261"/>
      <c r="RLT41" s="261"/>
      <c r="RLU41" s="261"/>
      <c r="RLV41" s="261"/>
      <c r="RLW41" s="261"/>
      <c r="RLX41" s="261"/>
      <c r="RLY41" s="261"/>
      <c r="RLZ41" s="261"/>
      <c r="RMA41" s="261"/>
      <c r="RMB41" s="261"/>
      <c r="RMC41" s="261"/>
      <c r="RMD41" s="261"/>
      <c r="RME41" s="261"/>
      <c r="RMF41" s="261"/>
      <c r="RMG41" s="261"/>
      <c r="RMH41" s="261"/>
      <c r="RMI41" s="261"/>
      <c r="RMJ41" s="261"/>
      <c r="RMK41" s="261"/>
      <c r="RML41" s="261"/>
      <c r="RMM41" s="261"/>
      <c r="RMN41" s="261"/>
      <c r="RMO41" s="261"/>
      <c r="RMP41" s="261"/>
      <c r="RMQ41" s="261"/>
      <c r="RMR41" s="261"/>
      <c r="RMS41" s="261"/>
      <c r="RMT41" s="261"/>
      <c r="RMU41" s="261"/>
      <c r="RMV41" s="261"/>
      <c r="RMW41" s="261"/>
      <c r="RMX41" s="261"/>
      <c r="RMY41" s="261"/>
      <c r="RMZ41" s="261"/>
      <c r="RNA41" s="261"/>
      <c r="RNB41" s="261"/>
      <c r="RNC41" s="261"/>
      <c r="RND41" s="261"/>
      <c r="RNE41" s="261"/>
      <c r="RNF41" s="261"/>
      <c r="RNG41" s="261"/>
      <c r="RNH41" s="261"/>
      <c r="RNI41" s="261"/>
      <c r="RNJ41" s="261"/>
      <c r="RNK41" s="261"/>
      <c r="RNL41" s="261"/>
      <c r="RNM41" s="261"/>
      <c r="RNN41" s="261"/>
      <c r="RNO41" s="261"/>
      <c r="RNP41" s="261"/>
      <c r="RNQ41" s="261"/>
      <c r="RNR41" s="261"/>
      <c r="RNS41" s="261"/>
      <c r="RNT41" s="261"/>
      <c r="RNU41" s="261"/>
      <c r="RNV41" s="261"/>
      <c r="RNW41" s="261"/>
      <c r="RNX41" s="261"/>
      <c r="RNY41" s="261"/>
      <c r="RNZ41" s="261"/>
      <c r="ROA41" s="261"/>
      <c r="ROB41" s="261"/>
      <c r="ROC41" s="261"/>
      <c r="ROD41" s="261"/>
      <c r="ROE41" s="261"/>
      <c r="ROF41" s="261"/>
      <c r="ROG41" s="261"/>
      <c r="ROH41" s="261"/>
      <c r="ROI41" s="261"/>
      <c r="ROJ41" s="261"/>
      <c r="ROK41" s="261"/>
      <c r="ROL41" s="261"/>
      <c r="ROM41" s="261"/>
      <c r="RON41" s="261"/>
      <c r="ROO41" s="261"/>
      <c r="ROP41" s="261"/>
      <c r="ROQ41" s="261"/>
      <c r="ROR41" s="261"/>
      <c r="ROS41" s="261"/>
      <c r="ROT41" s="261"/>
      <c r="ROU41" s="261"/>
      <c r="ROV41" s="261"/>
      <c r="ROW41" s="261"/>
      <c r="ROX41" s="261"/>
      <c r="ROY41" s="261"/>
      <c r="ROZ41" s="261"/>
      <c r="RPA41" s="261"/>
      <c r="RPB41" s="261"/>
      <c r="RPC41" s="261"/>
      <c r="RPD41" s="261"/>
      <c r="RPE41" s="261"/>
      <c r="RPF41" s="261"/>
      <c r="RPG41" s="261"/>
      <c r="RPH41" s="261"/>
      <c r="RPI41" s="261"/>
      <c r="RPJ41" s="261"/>
      <c r="RPK41" s="261"/>
      <c r="RPL41" s="261"/>
      <c r="RPM41" s="261"/>
      <c r="RPN41" s="261"/>
      <c r="RPO41" s="261"/>
      <c r="RPP41" s="261"/>
      <c r="RPQ41" s="261"/>
      <c r="RPR41" s="261"/>
      <c r="RPS41" s="261"/>
      <c r="RPT41" s="261"/>
      <c r="RPU41" s="261"/>
      <c r="RPV41" s="261"/>
      <c r="RPW41" s="261"/>
      <c r="RPX41" s="261"/>
      <c r="RPY41" s="261"/>
      <c r="RPZ41" s="261"/>
      <c r="RQA41" s="261"/>
      <c r="RQB41" s="261"/>
      <c r="RQC41" s="261"/>
      <c r="RQD41" s="261"/>
      <c r="RQE41" s="261"/>
      <c r="RQF41" s="261"/>
      <c r="RQG41" s="261"/>
      <c r="RQH41" s="261"/>
      <c r="RQI41" s="261"/>
      <c r="RQJ41" s="261"/>
      <c r="RQK41" s="261"/>
      <c r="RQL41" s="261"/>
      <c r="RQM41" s="261"/>
      <c r="RQN41" s="261"/>
      <c r="RQO41" s="261"/>
      <c r="RQP41" s="261"/>
      <c r="RQQ41" s="261"/>
      <c r="RQR41" s="261"/>
      <c r="RQS41" s="261"/>
      <c r="RQT41" s="261"/>
      <c r="RQU41" s="261"/>
      <c r="RQV41" s="261"/>
      <c r="RQW41" s="261"/>
      <c r="RQX41" s="261"/>
      <c r="RQY41" s="261"/>
      <c r="RQZ41" s="261"/>
      <c r="RRA41" s="261"/>
      <c r="RRB41" s="261"/>
      <c r="RRC41" s="261"/>
      <c r="RRD41" s="261"/>
      <c r="RRE41" s="261"/>
      <c r="RRF41" s="261"/>
      <c r="RRG41" s="261"/>
      <c r="RRH41" s="261"/>
      <c r="RRI41" s="261"/>
      <c r="RRJ41" s="261"/>
      <c r="RRK41" s="261"/>
      <c r="RRL41" s="261"/>
      <c r="RRM41" s="261"/>
      <c r="RRN41" s="261"/>
      <c r="RRO41" s="261"/>
      <c r="RRP41" s="261"/>
      <c r="RRQ41" s="261"/>
      <c r="RRR41" s="261"/>
      <c r="RRS41" s="261"/>
      <c r="RRT41" s="261"/>
      <c r="RRU41" s="261"/>
      <c r="RRV41" s="261"/>
      <c r="RRW41" s="261"/>
      <c r="RRX41" s="261"/>
      <c r="RRY41" s="261"/>
      <c r="RRZ41" s="261"/>
      <c r="RSA41" s="261"/>
      <c r="RSB41" s="261"/>
      <c r="RSC41" s="261"/>
      <c r="RSD41" s="261"/>
      <c r="RSE41" s="261"/>
      <c r="RSF41" s="261"/>
      <c r="RSG41" s="261"/>
      <c r="RSH41" s="261"/>
      <c r="RSI41" s="261"/>
      <c r="RSJ41" s="261"/>
      <c r="RSK41" s="261"/>
      <c r="RSL41" s="261"/>
      <c r="RSM41" s="261"/>
      <c r="RSN41" s="261"/>
      <c r="RSO41" s="261"/>
      <c r="RSP41" s="261"/>
      <c r="RSQ41" s="261"/>
      <c r="RSR41" s="261"/>
      <c r="RSS41" s="261"/>
      <c r="RST41" s="261"/>
      <c r="RSU41" s="261"/>
      <c r="RSV41" s="261"/>
      <c r="RSW41" s="261"/>
      <c r="RSX41" s="261"/>
      <c r="RSY41" s="261"/>
      <c r="RSZ41" s="261"/>
      <c r="RTA41" s="261"/>
      <c r="RTB41" s="261"/>
      <c r="RTC41" s="261"/>
      <c r="RTD41" s="261"/>
      <c r="RTE41" s="261"/>
      <c r="RTF41" s="261"/>
      <c r="RTG41" s="261"/>
      <c r="RTH41" s="261"/>
      <c r="RTI41" s="261"/>
      <c r="RTJ41" s="261"/>
      <c r="RTK41" s="261"/>
      <c r="RTL41" s="261"/>
      <c r="RTM41" s="261"/>
      <c r="RTN41" s="261"/>
      <c r="RTO41" s="261"/>
      <c r="RTP41" s="261"/>
      <c r="RTQ41" s="261"/>
      <c r="RTR41" s="261"/>
      <c r="RTS41" s="261"/>
      <c r="RTT41" s="261"/>
      <c r="RTU41" s="261"/>
      <c r="RTV41" s="261"/>
      <c r="RTW41" s="261"/>
      <c r="RTX41" s="261"/>
      <c r="RTY41" s="261"/>
      <c r="RTZ41" s="261"/>
      <c r="RUA41" s="261"/>
      <c r="RUB41" s="261"/>
      <c r="RUC41" s="261"/>
      <c r="RUD41" s="261"/>
      <c r="RUE41" s="261"/>
      <c r="RUF41" s="261"/>
      <c r="RUG41" s="261"/>
      <c r="RUH41" s="261"/>
      <c r="RUI41" s="261"/>
      <c r="RUJ41" s="261"/>
      <c r="RUK41" s="261"/>
      <c r="RUL41" s="261"/>
      <c r="RUM41" s="261"/>
      <c r="RUN41" s="261"/>
      <c r="RUO41" s="261"/>
      <c r="RUP41" s="261"/>
      <c r="RUQ41" s="261"/>
      <c r="RUR41" s="261"/>
      <c r="RUS41" s="261"/>
      <c r="RUT41" s="261"/>
      <c r="RUU41" s="261"/>
      <c r="RUV41" s="261"/>
      <c r="RUW41" s="261"/>
      <c r="RUX41" s="261"/>
      <c r="RUY41" s="261"/>
      <c r="RUZ41" s="261"/>
      <c r="RVA41" s="261"/>
      <c r="RVB41" s="261"/>
      <c r="RVC41" s="261"/>
      <c r="RVD41" s="261"/>
      <c r="RVE41" s="261"/>
      <c r="RVF41" s="261"/>
      <c r="RVG41" s="261"/>
      <c r="RVH41" s="261"/>
      <c r="RVI41" s="261"/>
      <c r="RVJ41" s="261"/>
      <c r="RVK41" s="261"/>
      <c r="RVL41" s="261"/>
      <c r="RVM41" s="261"/>
      <c r="RVN41" s="261"/>
      <c r="RVO41" s="261"/>
      <c r="RVP41" s="261"/>
      <c r="RVQ41" s="261"/>
      <c r="RVR41" s="261"/>
      <c r="RVS41" s="261"/>
      <c r="RVT41" s="261"/>
      <c r="RVU41" s="261"/>
      <c r="RVV41" s="261"/>
      <c r="RVW41" s="261"/>
      <c r="RVX41" s="261"/>
      <c r="RVY41" s="261"/>
      <c r="RVZ41" s="261"/>
      <c r="RWA41" s="261"/>
      <c r="RWB41" s="261"/>
      <c r="RWC41" s="261"/>
      <c r="RWD41" s="261"/>
      <c r="RWE41" s="261"/>
      <c r="RWF41" s="261"/>
      <c r="RWG41" s="261"/>
      <c r="RWH41" s="261"/>
      <c r="RWI41" s="261"/>
      <c r="RWJ41" s="261"/>
      <c r="RWK41" s="261"/>
      <c r="RWL41" s="261"/>
      <c r="RWM41" s="261"/>
      <c r="RWN41" s="261"/>
      <c r="RWO41" s="261"/>
      <c r="RWP41" s="261"/>
      <c r="RWQ41" s="261"/>
      <c r="RWR41" s="261"/>
      <c r="RWS41" s="261"/>
      <c r="RWT41" s="261"/>
      <c r="RWU41" s="261"/>
      <c r="RWV41" s="261"/>
      <c r="RWW41" s="261"/>
      <c r="RWX41" s="261"/>
      <c r="RWY41" s="261"/>
      <c r="RWZ41" s="261"/>
      <c r="RXA41" s="261"/>
      <c r="RXB41" s="261"/>
      <c r="RXC41" s="261"/>
      <c r="RXD41" s="261"/>
      <c r="RXE41" s="261"/>
      <c r="RXF41" s="261"/>
      <c r="RXG41" s="261"/>
      <c r="RXH41" s="261"/>
      <c r="RXI41" s="261"/>
      <c r="RXJ41" s="261"/>
      <c r="RXK41" s="261"/>
      <c r="RXL41" s="261"/>
      <c r="RXM41" s="261"/>
      <c r="RXN41" s="261"/>
      <c r="RXO41" s="261"/>
      <c r="RXP41" s="261"/>
      <c r="RXQ41" s="261"/>
      <c r="RXR41" s="261"/>
      <c r="RXS41" s="261"/>
      <c r="RXT41" s="261"/>
      <c r="RXU41" s="261"/>
      <c r="RXV41" s="261"/>
      <c r="RXW41" s="261"/>
      <c r="RXX41" s="261"/>
      <c r="RXY41" s="261"/>
      <c r="RXZ41" s="261"/>
      <c r="RYA41" s="261"/>
      <c r="RYB41" s="261"/>
      <c r="RYC41" s="261"/>
      <c r="RYD41" s="261"/>
      <c r="RYE41" s="261"/>
      <c r="RYF41" s="261"/>
      <c r="RYG41" s="261"/>
      <c r="RYH41" s="261"/>
      <c r="RYI41" s="261"/>
      <c r="RYJ41" s="261"/>
      <c r="RYK41" s="261"/>
      <c r="RYL41" s="261"/>
      <c r="RYM41" s="261"/>
      <c r="RYN41" s="261"/>
      <c r="RYO41" s="261"/>
      <c r="RYP41" s="261"/>
      <c r="RYQ41" s="261"/>
      <c r="RYR41" s="261"/>
      <c r="RYS41" s="261"/>
      <c r="RYT41" s="261"/>
      <c r="RYU41" s="261"/>
      <c r="RYV41" s="261"/>
      <c r="RYW41" s="261"/>
      <c r="RYX41" s="261"/>
      <c r="RYY41" s="261"/>
      <c r="RYZ41" s="261"/>
      <c r="RZA41" s="261"/>
      <c r="RZB41" s="261"/>
      <c r="RZC41" s="261"/>
      <c r="RZD41" s="261"/>
      <c r="RZE41" s="261"/>
      <c r="RZF41" s="261"/>
      <c r="RZG41" s="261"/>
      <c r="RZH41" s="261"/>
      <c r="RZI41" s="261"/>
      <c r="RZJ41" s="261"/>
      <c r="RZK41" s="261"/>
      <c r="RZL41" s="261"/>
      <c r="RZM41" s="261"/>
      <c r="RZN41" s="261"/>
      <c r="RZO41" s="261"/>
      <c r="RZP41" s="261"/>
      <c r="RZQ41" s="261"/>
      <c r="RZR41" s="261"/>
      <c r="RZS41" s="261"/>
      <c r="RZT41" s="261"/>
      <c r="RZU41" s="261"/>
      <c r="RZV41" s="261"/>
      <c r="RZW41" s="261"/>
      <c r="RZX41" s="261"/>
      <c r="RZY41" s="261"/>
      <c r="RZZ41" s="261"/>
      <c r="SAA41" s="261"/>
      <c r="SAB41" s="261"/>
      <c r="SAC41" s="261"/>
      <c r="SAD41" s="261"/>
      <c r="SAE41" s="261"/>
      <c r="SAF41" s="261"/>
      <c r="SAG41" s="261"/>
      <c r="SAH41" s="261"/>
      <c r="SAI41" s="261"/>
      <c r="SAJ41" s="261"/>
      <c r="SAK41" s="261"/>
      <c r="SAL41" s="261"/>
      <c r="SAM41" s="261"/>
      <c r="SAN41" s="261"/>
      <c r="SAO41" s="261"/>
      <c r="SAP41" s="261"/>
      <c r="SAQ41" s="261"/>
      <c r="SAR41" s="261"/>
      <c r="SAS41" s="261"/>
      <c r="SAT41" s="261"/>
      <c r="SAU41" s="261"/>
      <c r="SAV41" s="261"/>
      <c r="SAW41" s="261"/>
      <c r="SAX41" s="261"/>
      <c r="SAY41" s="261"/>
      <c r="SAZ41" s="261"/>
      <c r="SBA41" s="261"/>
      <c r="SBB41" s="261"/>
      <c r="SBC41" s="261"/>
      <c r="SBD41" s="261"/>
      <c r="SBE41" s="261"/>
      <c r="SBF41" s="261"/>
      <c r="SBG41" s="261"/>
      <c r="SBH41" s="261"/>
      <c r="SBI41" s="261"/>
      <c r="SBJ41" s="261"/>
      <c r="SBK41" s="261"/>
      <c r="SBL41" s="261"/>
      <c r="SBM41" s="261"/>
      <c r="SBN41" s="261"/>
      <c r="SBO41" s="261"/>
      <c r="SBP41" s="261"/>
      <c r="SBQ41" s="261"/>
      <c r="SBR41" s="261"/>
      <c r="SBS41" s="261"/>
      <c r="SBT41" s="261"/>
      <c r="SBU41" s="261"/>
      <c r="SBV41" s="261"/>
      <c r="SBW41" s="261"/>
      <c r="SBX41" s="261"/>
      <c r="SBY41" s="261"/>
      <c r="SBZ41" s="261"/>
      <c r="SCA41" s="261"/>
      <c r="SCB41" s="261"/>
      <c r="SCC41" s="261"/>
      <c r="SCD41" s="261"/>
      <c r="SCE41" s="261"/>
      <c r="SCF41" s="261"/>
      <c r="SCG41" s="261"/>
      <c r="SCH41" s="261"/>
      <c r="SCI41" s="261"/>
      <c r="SCJ41" s="261"/>
      <c r="SCK41" s="261"/>
      <c r="SCL41" s="261"/>
      <c r="SCM41" s="261"/>
      <c r="SCN41" s="261"/>
      <c r="SCO41" s="261"/>
      <c r="SCP41" s="261"/>
      <c r="SCQ41" s="261"/>
      <c r="SCR41" s="261"/>
      <c r="SCS41" s="261"/>
      <c r="SCT41" s="261"/>
      <c r="SCU41" s="261"/>
      <c r="SCV41" s="261"/>
      <c r="SCW41" s="261"/>
      <c r="SCX41" s="261"/>
      <c r="SCY41" s="261"/>
      <c r="SCZ41" s="261"/>
      <c r="SDA41" s="261"/>
      <c r="SDB41" s="261"/>
      <c r="SDC41" s="261"/>
      <c r="SDD41" s="261"/>
      <c r="SDE41" s="261"/>
      <c r="SDF41" s="261"/>
      <c r="SDG41" s="261"/>
      <c r="SDH41" s="261"/>
      <c r="SDI41" s="261"/>
      <c r="SDJ41" s="261"/>
      <c r="SDK41" s="261"/>
      <c r="SDL41" s="261"/>
      <c r="SDM41" s="261"/>
      <c r="SDN41" s="261"/>
      <c r="SDO41" s="261"/>
      <c r="SDP41" s="261"/>
      <c r="SDQ41" s="261"/>
      <c r="SDR41" s="261"/>
      <c r="SDS41" s="261"/>
      <c r="SDT41" s="261"/>
      <c r="SDU41" s="261"/>
      <c r="SDV41" s="261"/>
      <c r="SDW41" s="261"/>
      <c r="SDX41" s="261"/>
      <c r="SDY41" s="261"/>
      <c r="SDZ41" s="261"/>
      <c r="SEA41" s="261"/>
      <c r="SEB41" s="261"/>
      <c r="SEC41" s="261"/>
      <c r="SED41" s="261"/>
      <c r="SEE41" s="261"/>
      <c r="SEF41" s="261"/>
      <c r="SEG41" s="261"/>
      <c r="SEH41" s="261"/>
      <c r="SEI41" s="261"/>
      <c r="SEJ41" s="261"/>
      <c r="SEK41" s="261"/>
      <c r="SEL41" s="261"/>
      <c r="SEM41" s="261"/>
      <c r="SEN41" s="261"/>
      <c r="SEO41" s="261"/>
      <c r="SEP41" s="261"/>
      <c r="SEQ41" s="261"/>
      <c r="SER41" s="261"/>
      <c r="SES41" s="261"/>
      <c r="SET41" s="261"/>
      <c r="SEU41" s="261"/>
      <c r="SEV41" s="261"/>
      <c r="SEW41" s="261"/>
      <c r="SEX41" s="261"/>
      <c r="SEY41" s="261"/>
      <c r="SEZ41" s="261"/>
      <c r="SFA41" s="261"/>
      <c r="SFB41" s="261"/>
      <c r="SFC41" s="261"/>
      <c r="SFD41" s="261"/>
      <c r="SFE41" s="261"/>
      <c r="SFF41" s="261"/>
      <c r="SFG41" s="261"/>
      <c r="SFH41" s="261"/>
      <c r="SFI41" s="261"/>
      <c r="SFJ41" s="261"/>
      <c r="SFK41" s="261"/>
      <c r="SFL41" s="261"/>
      <c r="SFM41" s="261"/>
      <c r="SFN41" s="261"/>
      <c r="SFO41" s="261"/>
      <c r="SFP41" s="261"/>
      <c r="SFQ41" s="261"/>
      <c r="SFR41" s="261"/>
      <c r="SFS41" s="261"/>
      <c r="SFT41" s="261"/>
      <c r="SFU41" s="261"/>
      <c r="SFV41" s="261"/>
      <c r="SFW41" s="261"/>
      <c r="SFX41" s="261"/>
      <c r="SFY41" s="261"/>
      <c r="SFZ41" s="261"/>
      <c r="SGA41" s="261"/>
      <c r="SGB41" s="261"/>
      <c r="SGC41" s="261"/>
      <c r="SGD41" s="261"/>
      <c r="SGE41" s="261"/>
      <c r="SGF41" s="261"/>
      <c r="SGG41" s="261"/>
      <c r="SGH41" s="261"/>
      <c r="SGI41" s="261"/>
      <c r="SGJ41" s="261"/>
      <c r="SGK41" s="261"/>
      <c r="SGL41" s="261"/>
      <c r="SGM41" s="261"/>
      <c r="SGN41" s="261"/>
      <c r="SGO41" s="261"/>
      <c r="SGP41" s="261"/>
      <c r="SGQ41" s="261"/>
      <c r="SGR41" s="261"/>
      <c r="SGS41" s="261"/>
      <c r="SGT41" s="261"/>
      <c r="SGU41" s="261"/>
      <c r="SGV41" s="261"/>
      <c r="SGW41" s="261"/>
      <c r="SGX41" s="261"/>
      <c r="SGY41" s="261"/>
      <c r="SGZ41" s="261"/>
      <c r="SHA41" s="261"/>
      <c r="SHB41" s="261"/>
      <c r="SHC41" s="261"/>
      <c r="SHD41" s="261"/>
      <c r="SHE41" s="261"/>
      <c r="SHF41" s="261"/>
      <c r="SHG41" s="261"/>
      <c r="SHH41" s="261"/>
      <c r="SHI41" s="261"/>
      <c r="SHJ41" s="261"/>
      <c r="SHK41" s="261"/>
      <c r="SHL41" s="261"/>
      <c r="SHM41" s="261"/>
      <c r="SHN41" s="261"/>
      <c r="SHO41" s="261"/>
      <c r="SHP41" s="261"/>
      <c r="SHQ41" s="261"/>
      <c r="SHR41" s="261"/>
      <c r="SHS41" s="261"/>
      <c r="SHT41" s="261"/>
      <c r="SHU41" s="261"/>
      <c r="SHV41" s="261"/>
      <c r="SHW41" s="261"/>
      <c r="SHX41" s="261"/>
      <c r="SHY41" s="261"/>
      <c r="SHZ41" s="261"/>
      <c r="SIA41" s="261"/>
      <c r="SIB41" s="261"/>
      <c r="SIC41" s="261"/>
      <c r="SID41" s="261"/>
      <c r="SIE41" s="261"/>
      <c r="SIF41" s="261"/>
      <c r="SIG41" s="261"/>
      <c r="SIH41" s="261"/>
      <c r="SII41" s="261"/>
      <c r="SIJ41" s="261"/>
      <c r="SIK41" s="261"/>
      <c r="SIL41" s="261"/>
      <c r="SIM41" s="261"/>
      <c r="SIN41" s="261"/>
      <c r="SIO41" s="261"/>
      <c r="SIP41" s="261"/>
      <c r="SIQ41" s="261"/>
      <c r="SIR41" s="261"/>
      <c r="SIS41" s="261"/>
      <c r="SIT41" s="261"/>
      <c r="SIU41" s="261"/>
      <c r="SIV41" s="261"/>
      <c r="SIW41" s="261"/>
      <c r="SIX41" s="261"/>
      <c r="SIY41" s="261"/>
      <c r="SIZ41" s="261"/>
      <c r="SJA41" s="261"/>
      <c r="SJB41" s="261"/>
      <c r="SJC41" s="261"/>
      <c r="SJD41" s="261"/>
      <c r="SJE41" s="261"/>
      <c r="SJF41" s="261"/>
      <c r="SJG41" s="261"/>
      <c r="SJH41" s="261"/>
      <c r="SJI41" s="261"/>
      <c r="SJJ41" s="261"/>
      <c r="SJK41" s="261"/>
      <c r="SJL41" s="261"/>
      <c r="SJM41" s="261"/>
      <c r="SJN41" s="261"/>
      <c r="SJO41" s="261"/>
      <c r="SJP41" s="261"/>
      <c r="SJQ41" s="261"/>
      <c r="SJR41" s="261"/>
      <c r="SJS41" s="261"/>
      <c r="SJT41" s="261"/>
      <c r="SJU41" s="261"/>
      <c r="SJV41" s="261"/>
      <c r="SJW41" s="261"/>
      <c r="SJX41" s="261"/>
      <c r="SJY41" s="261"/>
      <c r="SJZ41" s="261"/>
      <c r="SKA41" s="261"/>
      <c r="SKB41" s="261"/>
      <c r="SKC41" s="261"/>
      <c r="SKD41" s="261"/>
      <c r="SKE41" s="261"/>
      <c r="SKF41" s="261"/>
      <c r="SKG41" s="261"/>
      <c r="SKH41" s="261"/>
      <c r="SKI41" s="261"/>
      <c r="SKJ41" s="261"/>
      <c r="SKK41" s="261"/>
      <c r="SKL41" s="261"/>
      <c r="SKM41" s="261"/>
      <c r="SKN41" s="261"/>
      <c r="SKO41" s="261"/>
      <c r="SKP41" s="261"/>
      <c r="SKQ41" s="261"/>
      <c r="SKR41" s="261"/>
      <c r="SKS41" s="261"/>
      <c r="SKT41" s="261"/>
      <c r="SKU41" s="261"/>
      <c r="SKV41" s="261"/>
      <c r="SKW41" s="261"/>
      <c r="SKX41" s="261"/>
      <c r="SKY41" s="261"/>
      <c r="SKZ41" s="261"/>
      <c r="SLA41" s="261"/>
      <c r="SLB41" s="261"/>
      <c r="SLC41" s="261"/>
      <c r="SLD41" s="261"/>
      <c r="SLE41" s="261"/>
      <c r="SLF41" s="261"/>
      <c r="SLG41" s="261"/>
      <c r="SLH41" s="261"/>
      <c r="SLI41" s="261"/>
      <c r="SLJ41" s="261"/>
      <c r="SLK41" s="261"/>
      <c r="SLL41" s="261"/>
      <c r="SLM41" s="261"/>
      <c r="SLN41" s="261"/>
      <c r="SLO41" s="261"/>
      <c r="SLP41" s="261"/>
      <c r="SLQ41" s="261"/>
      <c r="SLR41" s="261"/>
      <c r="SLS41" s="261"/>
      <c r="SLT41" s="261"/>
      <c r="SLU41" s="261"/>
      <c r="SLV41" s="261"/>
      <c r="SLW41" s="261"/>
      <c r="SLX41" s="261"/>
      <c r="SLY41" s="261"/>
      <c r="SLZ41" s="261"/>
      <c r="SMA41" s="261"/>
      <c r="SMB41" s="261"/>
      <c r="SMC41" s="261"/>
      <c r="SMD41" s="261"/>
      <c r="SME41" s="261"/>
      <c r="SMF41" s="261"/>
      <c r="SMG41" s="261"/>
      <c r="SMH41" s="261"/>
      <c r="SMI41" s="261"/>
      <c r="SMJ41" s="261"/>
      <c r="SMK41" s="261"/>
      <c r="SML41" s="261"/>
      <c r="SMM41" s="261"/>
      <c r="SMN41" s="261"/>
      <c r="SMO41" s="261"/>
      <c r="SMP41" s="261"/>
      <c r="SMQ41" s="261"/>
      <c r="SMR41" s="261"/>
      <c r="SMS41" s="261"/>
      <c r="SMT41" s="261"/>
      <c r="SMU41" s="261"/>
      <c r="SMV41" s="261"/>
      <c r="SMW41" s="261"/>
      <c r="SMX41" s="261"/>
      <c r="SMY41" s="261"/>
      <c r="SMZ41" s="261"/>
      <c r="SNA41" s="261"/>
      <c r="SNB41" s="261"/>
      <c r="SNC41" s="261"/>
      <c r="SND41" s="261"/>
      <c r="SNE41" s="261"/>
      <c r="SNF41" s="261"/>
      <c r="SNG41" s="261"/>
      <c r="SNH41" s="261"/>
      <c r="SNI41" s="261"/>
      <c r="SNJ41" s="261"/>
      <c r="SNK41" s="261"/>
      <c r="SNL41" s="261"/>
      <c r="SNM41" s="261"/>
      <c r="SNN41" s="261"/>
      <c r="SNO41" s="261"/>
      <c r="SNP41" s="261"/>
      <c r="SNQ41" s="261"/>
      <c r="SNR41" s="261"/>
      <c r="SNS41" s="261"/>
      <c r="SNT41" s="261"/>
      <c r="SNU41" s="261"/>
      <c r="SNV41" s="261"/>
      <c r="SNW41" s="261"/>
      <c r="SNX41" s="261"/>
      <c r="SNY41" s="261"/>
      <c r="SNZ41" s="261"/>
      <c r="SOA41" s="261"/>
      <c r="SOB41" s="261"/>
      <c r="SOC41" s="261"/>
      <c r="SOD41" s="261"/>
      <c r="SOE41" s="261"/>
      <c r="SOF41" s="261"/>
      <c r="SOG41" s="261"/>
      <c r="SOH41" s="261"/>
      <c r="SOI41" s="261"/>
      <c r="SOJ41" s="261"/>
      <c r="SOK41" s="261"/>
      <c r="SOL41" s="261"/>
      <c r="SOM41" s="261"/>
      <c r="SON41" s="261"/>
      <c r="SOO41" s="261"/>
      <c r="SOP41" s="261"/>
      <c r="SOQ41" s="261"/>
      <c r="SOR41" s="261"/>
      <c r="SOS41" s="261"/>
      <c r="SOT41" s="261"/>
      <c r="SOU41" s="261"/>
      <c r="SOV41" s="261"/>
      <c r="SOW41" s="261"/>
      <c r="SOX41" s="261"/>
      <c r="SOY41" s="261"/>
      <c r="SOZ41" s="261"/>
      <c r="SPA41" s="261"/>
      <c r="SPB41" s="261"/>
      <c r="SPC41" s="261"/>
      <c r="SPD41" s="261"/>
      <c r="SPE41" s="261"/>
      <c r="SPF41" s="261"/>
      <c r="SPG41" s="261"/>
      <c r="SPH41" s="261"/>
      <c r="SPI41" s="261"/>
      <c r="SPJ41" s="261"/>
      <c r="SPK41" s="261"/>
      <c r="SPL41" s="261"/>
      <c r="SPM41" s="261"/>
      <c r="SPN41" s="261"/>
      <c r="SPO41" s="261"/>
      <c r="SPP41" s="261"/>
      <c r="SPQ41" s="261"/>
      <c r="SPR41" s="261"/>
      <c r="SPS41" s="261"/>
      <c r="SPT41" s="261"/>
      <c r="SPU41" s="261"/>
      <c r="SPV41" s="261"/>
      <c r="SPW41" s="261"/>
      <c r="SPX41" s="261"/>
      <c r="SPY41" s="261"/>
      <c r="SPZ41" s="261"/>
      <c r="SQA41" s="261"/>
      <c r="SQB41" s="261"/>
      <c r="SQC41" s="261"/>
      <c r="SQD41" s="261"/>
      <c r="SQE41" s="261"/>
      <c r="SQF41" s="261"/>
      <c r="SQG41" s="261"/>
      <c r="SQH41" s="261"/>
      <c r="SQI41" s="261"/>
      <c r="SQJ41" s="261"/>
      <c r="SQK41" s="261"/>
      <c r="SQL41" s="261"/>
      <c r="SQM41" s="261"/>
      <c r="SQN41" s="261"/>
      <c r="SQO41" s="261"/>
      <c r="SQP41" s="261"/>
      <c r="SQQ41" s="261"/>
      <c r="SQR41" s="261"/>
      <c r="SQS41" s="261"/>
      <c r="SQT41" s="261"/>
      <c r="SQU41" s="261"/>
      <c r="SQV41" s="261"/>
      <c r="SQW41" s="261"/>
      <c r="SQX41" s="261"/>
      <c r="SQY41" s="261"/>
      <c r="SQZ41" s="261"/>
      <c r="SRA41" s="261"/>
      <c r="SRB41" s="261"/>
      <c r="SRC41" s="261"/>
      <c r="SRD41" s="261"/>
      <c r="SRE41" s="261"/>
      <c r="SRF41" s="261"/>
      <c r="SRG41" s="261"/>
      <c r="SRH41" s="261"/>
      <c r="SRI41" s="261"/>
      <c r="SRJ41" s="261"/>
      <c r="SRK41" s="261"/>
      <c r="SRL41" s="261"/>
      <c r="SRM41" s="261"/>
      <c r="SRN41" s="261"/>
      <c r="SRO41" s="261"/>
      <c r="SRP41" s="261"/>
      <c r="SRQ41" s="261"/>
      <c r="SRR41" s="261"/>
      <c r="SRS41" s="261"/>
      <c r="SRT41" s="261"/>
      <c r="SRU41" s="261"/>
      <c r="SRV41" s="261"/>
      <c r="SRW41" s="261"/>
      <c r="SRX41" s="261"/>
      <c r="SRY41" s="261"/>
      <c r="SRZ41" s="261"/>
      <c r="SSA41" s="261"/>
      <c r="SSB41" s="261"/>
      <c r="SSC41" s="261"/>
      <c r="SSD41" s="261"/>
      <c r="SSE41" s="261"/>
      <c r="SSF41" s="261"/>
      <c r="SSG41" s="261"/>
      <c r="SSH41" s="261"/>
      <c r="SSI41" s="261"/>
      <c r="SSJ41" s="261"/>
      <c r="SSK41" s="261"/>
      <c r="SSL41" s="261"/>
      <c r="SSM41" s="261"/>
      <c r="SSN41" s="261"/>
      <c r="SSO41" s="261"/>
      <c r="SSP41" s="261"/>
      <c r="SSQ41" s="261"/>
      <c r="SSR41" s="261"/>
      <c r="SSS41" s="261"/>
      <c r="SST41" s="261"/>
      <c r="SSU41" s="261"/>
      <c r="SSV41" s="261"/>
      <c r="SSW41" s="261"/>
      <c r="SSX41" s="261"/>
      <c r="SSY41" s="261"/>
      <c r="SSZ41" s="261"/>
      <c r="STA41" s="261"/>
      <c r="STB41" s="261"/>
      <c r="STC41" s="261"/>
      <c r="STD41" s="261"/>
      <c r="STE41" s="261"/>
      <c r="STF41" s="261"/>
      <c r="STG41" s="261"/>
      <c r="STH41" s="261"/>
      <c r="STI41" s="261"/>
      <c r="STJ41" s="261"/>
      <c r="STK41" s="261"/>
      <c r="STL41" s="261"/>
      <c r="STM41" s="261"/>
      <c r="STN41" s="261"/>
      <c r="STO41" s="261"/>
      <c r="STP41" s="261"/>
      <c r="STQ41" s="261"/>
      <c r="STR41" s="261"/>
      <c r="STS41" s="261"/>
      <c r="STT41" s="261"/>
      <c r="STU41" s="261"/>
      <c r="STV41" s="261"/>
      <c r="STW41" s="261"/>
      <c r="STX41" s="261"/>
      <c r="STY41" s="261"/>
      <c r="STZ41" s="261"/>
      <c r="SUA41" s="261"/>
      <c r="SUB41" s="261"/>
      <c r="SUC41" s="261"/>
      <c r="SUD41" s="261"/>
      <c r="SUE41" s="261"/>
      <c r="SUF41" s="261"/>
      <c r="SUG41" s="261"/>
      <c r="SUH41" s="261"/>
      <c r="SUI41" s="261"/>
      <c r="SUJ41" s="261"/>
      <c r="SUK41" s="261"/>
      <c r="SUL41" s="261"/>
      <c r="SUM41" s="261"/>
      <c r="SUN41" s="261"/>
      <c r="SUO41" s="261"/>
      <c r="SUP41" s="261"/>
      <c r="SUQ41" s="261"/>
      <c r="SUR41" s="261"/>
      <c r="SUS41" s="261"/>
      <c r="SUT41" s="261"/>
      <c r="SUU41" s="261"/>
      <c r="SUV41" s="261"/>
      <c r="SUW41" s="261"/>
      <c r="SUX41" s="261"/>
      <c r="SUY41" s="261"/>
      <c r="SUZ41" s="261"/>
      <c r="SVA41" s="261"/>
      <c r="SVB41" s="261"/>
      <c r="SVC41" s="261"/>
      <c r="SVD41" s="261"/>
      <c r="SVE41" s="261"/>
      <c r="SVF41" s="261"/>
      <c r="SVG41" s="261"/>
      <c r="SVH41" s="261"/>
      <c r="SVI41" s="261"/>
      <c r="SVJ41" s="261"/>
      <c r="SVK41" s="261"/>
      <c r="SVL41" s="261"/>
      <c r="SVM41" s="261"/>
      <c r="SVN41" s="261"/>
      <c r="SVO41" s="261"/>
      <c r="SVP41" s="261"/>
      <c r="SVQ41" s="261"/>
      <c r="SVR41" s="261"/>
      <c r="SVS41" s="261"/>
      <c r="SVT41" s="261"/>
      <c r="SVU41" s="261"/>
      <c r="SVV41" s="261"/>
      <c r="SVW41" s="261"/>
      <c r="SVX41" s="261"/>
      <c r="SVY41" s="261"/>
      <c r="SVZ41" s="261"/>
      <c r="SWA41" s="261"/>
      <c r="SWB41" s="261"/>
      <c r="SWC41" s="261"/>
      <c r="SWD41" s="261"/>
      <c r="SWE41" s="261"/>
      <c r="SWF41" s="261"/>
      <c r="SWG41" s="261"/>
      <c r="SWH41" s="261"/>
      <c r="SWI41" s="261"/>
      <c r="SWJ41" s="261"/>
      <c r="SWK41" s="261"/>
      <c r="SWL41" s="261"/>
      <c r="SWM41" s="261"/>
      <c r="SWN41" s="261"/>
      <c r="SWO41" s="261"/>
      <c r="SWP41" s="261"/>
      <c r="SWQ41" s="261"/>
      <c r="SWR41" s="261"/>
      <c r="SWS41" s="261"/>
      <c r="SWT41" s="261"/>
      <c r="SWU41" s="261"/>
      <c r="SWV41" s="261"/>
      <c r="SWW41" s="261"/>
      <c r="SWX41" s="261"/>
      <c r="SWY41" s="261"/>
      <c r="SWZ41" s="261"/>
      <c r="SXA41" s="261"/>
      <c r="SXB41" s="261"/>
      <c r="SXC41" s="261"/>
      <c r="SXD41" s="261"/>
      <c r="SXE41" s="261"/>
      <c r="SXF41" s="261"/>
      <c r="SXG41" s="261"/>
      <c r="SXH41" s="261"/>
      <c r="SXI41" s="261"/>
      <c r="SXJ41" s="261"/>
      <c r="SXK41" s="261"/>
      <c r="SXL41" s="261"/>
      <c r="SXM41" s="261"/>
      <c r="SXN41" s="261"/>
      <c r="SXO41" s="261"/>
      <c r="SXP41" s="261"/>
      <c r="SXQ41" s="261"/>
      <c r="SXR41" s="261"/>
      <c r="SXS41" s="261"/>
      <c r="SXT41" s="261"/>
      <c r="SXU41" s="261"/>
      <c r="SXV41" s="261"/>
      <c r="SXW41" s="261"/>
      <c r="SXX41" s="261"/>
      <c r="SXY41" s="261"/>
      <c r="SXZ41" s="261"/>
      <c r="SYA41" s="261"/>
      <c r="SYB41" s="261"/>
      <c r="SYC41" s="261"/>
      <c r="SYD41" s="261"/>
      <c r="SYE41" s="261"/>
      <c r="SYF41" s="261"/>
      <c r="SYG41" s="261"/>
      <c r="SYH41" s="261"/>
      <c r="SYI41" s="261"/>
      <c r="SYJ41" s="261"/>
      <c r="SYK41" s="261"/>
      <c r="SYL41" s="261"/>
      <c r="SYM41" s="261"/>
      <c r="SYN41" s="261"/>
      <c r="SYO41" s="261"/>
      <c r="SYP41" s="261"/>
      <c r="SYQ41" s="261"/>
      <c r="SYR41" s="261"/>
      <c r="SYS41" s="261"/>
      <c r="SYT41" s="261"/>
      <c r="SYU41" s="261"/>
      <c r="SYV41" s="261"/>
      <c r="SYW41" s="261"/>
      <c r="SYX41" s="261"/>
      <c r="SYY41" s="261"/>
      <c r="SYZ41" s="261"/>
      <c r="SZA41" s="261"/>
      <c r="SZB41" s="261"/>
      <c r="SZC41" s="261"/>
      <c r="SZD41" s="261"/>
      <c r="SZE41" s="261"/>
      <c r="SZF41" s="261"/>
      <c r="SZG41" s="261"/>
      <c r="SZH41" s="261"/>
      <c r="SZI41" s="261"/>
      <c r="SZJ41" s="261"/>
      <c r="SZK41" s="261"/>
      <c r="SZL41" s="261"/>
      <c r="SZM41" s="261"/>
      <c r="SZN41" s="261"/>
      <c r="SZO41" s="261"/>
      <c r="SZP41" s="261"/>
      <c r="SZQ41" s="261"/>
      <c r="SZR41" s="261"/>
      <c r="SZS41" s="261"/>
      <c r="SZT41" s="261"/>
      <c r="SZU41" s="261"/>
      <c r="SZV41" s="261"/>
      <c r="SZW41" s="261"/>
      <c r="SZX41" s="261"/>
      <c r="SZY41" s="261"/>
      <c r="SZZ41" s="261"/>
      <c r="TAA41" s="261"/>
      <c r="TAB41" s="261"/>
      <c r="TAC41" s="261"/>
      <c r="TAD41" s="261"/>
      <c r="TAE41" s="261"/>
      <c r="TAF41" s="261"/>
      <c r="TAG41" s="261"/>
      <c r="TAH41" s="261"/>
      <c r="TAI41" s="261"/>
      <c r="TAJ41" s="261"/>
      <c r="TAK41" s="261"/>
      <c r="TAL41" s="261"/>
      <c r="TAM41" s="261"/>
      <c r="TAN41" s="261"/>
      <c r="TAO41" s="261"/>
      <c r="TAP41" s="261"/>
      <c r="TAQ41" s="261"/>
      <c r="TAR41" s="261"/>
      <c r="TAS41" s="261"/>
      <c r="TAT41" s="261"/>
      <c r="TAU41" s="261"/>
      <c r="TAV41" s="261"/>
      <c r="TAW41" s="261"/>
      <c r="TAX41" s="261"/>
      <c r="TAY41" s="261"/>
      <c r="TAZ41" s="261"/>
      <c r="TBA41" s="261"/>
      <c r="TBB41" s="261"/>
      <c r="TBC41" s="261"/>
      <c r="TBD41" s="261"/>
      <c r="TBE41" s="261"/>
      <c r="TBF41" s="261"/>
      <c r="TBG41" s="261"/>
      <c r="TBH41" s="261"/>
      <c r="TBI41" s="261"/>
      <c r="TBJ41" s="261"/>
      <c r="TBK41" s="261"/>
      <c r="TBL41" s="261"/>
      <c r="TBM41" s="261"/>
      <c r="TBN41" s="261"/>
      <c r="TBO41" s="261"/>
      <c r="TBP41" s="261"/>
      <c r="TBQ41" s="261"/>
      <c r="TBR41" s="261"/>
      <c r="TBS41" s="261"/>
      <c r="TBT41" s="261"/>
      <c r="TBU41" s="261"/>
      <c r="TBV41" s="261"/>
      <c r="TBW41" s="261"/>
      <c r="TBX41" s="261"/>
      <c r="TBY41" s="261"/>
      <c r="TBZ41" s="261"/>
      <c r="TCA41" s="261"/>
      <c r="TCB41" s="261"/>
      <c r="TCC41" s="261"/>
      <c r="TCD41" s="261"/>
      <c r="TCE41" s="261"/>
      <c r="TCF41" s="261"/>
      <c r="TCG41" s="261"/>
      <c r="TCH41" s="261"/>
      <c r="TCI41" s="261"/>
      <c r="TCJ41" s="261"/>
      <c r="TCK41" s="261"/>
      <c r="TCL41" s="261"/>
      <c r="TCM41" s="261"/>
      <c r="TCN41" s="261"/>
      <c r="TCO41" s="261"/>
      <c r="TCP41" s="261"/>
      <c r="TCQ41" s="261"/>
      <c r="TCR41" s="261"/>
      <c r="TCS41" s="261"/>
      <c r="TCT41" s="261"/>
      <c r="TCU41" s="261"/>
      <c r="TCV41" s="261"/>
      <c r="TCW41" s="261"/>
      <c r="TCX41" s="261"/>
      <c r="TCY41" s="261"/>
      <c r="TCZ41" s="261"/>
      <c r="TDA41" s="261"/>
      <c r="TDB41" s="261"/>
      <c r="TDC41" s="261"/>
      <c r="TDD41" s="261"/>
      <c r="TDE41" s="261"/>
      <c r="TDF41" s="261"/>
      <c r="TDG41" s="261"/>
      <c r="TDH41" s="261"/>
      <c r="TDI41" s="261"/>
      <c r="TDJ41" s="261"/>
      <c r="TDK41" s="261"/>
      <c r="TDL41" s="261"/>
      <c r="TDM41" s="261"/>
      <c r="TDN41" s="261"/>
      <c r="TDO41" s="261"/>
      <c r="TDP41" s="261"/>
      <c r="TDQ41" s="261"/>
      <c r="TDR41" s="261"/>
      <c r="TDS41" s="261"/>
      <c r="TDT41" s="261"/>
      <c r="TDU41" s="261"/>
      <c r="TDV41" s="261"/>
      <c r="TDW41" s="261"/>
      <c r="TDX41" s="261"/>
      <c r="TDY41" s="261"/>
      <c r="TDZ41" s="261"/>
      <c r="TEA41" s="261"/>
      <c r="TEB41" s="261"/>
      <c r="TEC41" s="261"/>
      <c r="TED41" s="261"/>
      <c r="TEE41" s="261"/>
      <c r="TEF41" s="261"/>
      <c r="TEG41" s="261"/>
      <c r="TEH41" s="261"/>
      <c r="TEI41" s="261"/>
      <c r="TEJ41" s="261"/>
      <c r="TEK41" s="261"/>
      <c r="TEL41" s="261"/>
      <c r="TEM41" s="261"/>
      <c r="TEN41" s="261"/>
      <c r="TEO41" s="261"/>
      <c r="TEP41" s="261"/>
      <c r="TEQ41" s="261"/>
      <c r="TER41" s="261"/>
      <c r="TES41" s="261"/>
      <c r="TET41" s="261"/>
      <c r="TEU41" s="261"/>
      <c r="TEV41" s="261"/>
      <c r="TEW41" s="261"/>
      <c r="TEX41" s="261"/>
      <c r="TEY41" s="261"/>
      <c r="TEZ41" s="261"/>
      <c r="TFA41" s="261"/>
      <c r="TFB41" s="261"/>
      <c r="TFC41" s="261"/>
      <c r="TFD41" s="261"/>
      <c r="TFE41" s="261"/>
      <c r="TFF41" s="261"/>
      <c r="TFG41" s="261"/>
      <c r="TFH41" s="261"/>
      <c r="TFI41" s="261"/>
      <c r="TFJ41" s="261"/>
      <c r="TFK41" s="261"/>
      <c r="TFL41" s="261"/>
      <c r="TFM41" s="261"/>
      <c r="TFN41" s="261"/>
      <c r="TFO41" s="261"/>
      <c r="TFP41" s="261"/>
      <c r="TFQ41" s="261"/>
      <c r="TFR41" s="261"/>
      <c r="TFS41" s="261"/>
      <c r="TFT41" s="261"/>
      <c r="TFU41" s="261"/>
      <c r="TFV41" s="261"/>
      <c r="TFW41" s="261"/>
      <c r="TFX41" s="261"/>
      <c r="TFY41" s="261"/>
      <c r="TFZ41" s="261"/>
      <c r="TGA41" s="261"/>
      <c r="TGB41" s="261"/>
      <c r="TGC41" s="261"/>
      <c r="TGD41" s="261"/>
      <c r="TGE41" s="261"/>
      <c r="TGF41" s="261"/>
      <c r="TGG41" s="261"/>
      <c r="TGH41" s="261"/>
      <c r="TGI41" s="261"/>
      <c r="TGJ41" s="261"/>
      <c r="TGK41" s="261"/>
      <c r="TGL41" s="261"/>
      <c r="TGM41" s="261"/>
      <c r="TGN41" s="261"/>
      <c r="TGO41" s="261"/>
      <c r="TGP41" s="261"/>
      <c r="TGQ41" s="261"/>
      <c r="TGR41" s="261"/>
      <c r="TGS41" s="261"/>
      <c r="TGT41" s="261"/>
      <c r="TGU41" s="261"/>
      <c r="TGV41" s="261"/>
      <c r="TGW41" s="261"/>
      <c r="TGX41" s="261"/>
      <c r="TGY41" s="261"/>
      <c r="TGZ41" s="261"/>
      <c r="THA41" s="261"/>
      <c r="THB41" s="261"/>
      <c r="THC41" s="261"/>
      <c r="THD41" s="261"/>
      <c r="THE41" s="261"/>
      <c r="THF41" s="261"/>
      <c r="THG41" s="261"/>
      <c r="THH41" s="261"/>
      <c r="THI41" s="261"/>
      <c r="THJ41" s="261"/>
      <c r="THK41" s="261"/>
      <c r="THL41" s="261"/>
      <c r="THM41" s="261"/>
      <c r="THN41" s="261"/>
      <c r="THO41" s="261"/>
      <c r="THP41" s="261"/>
      <c r="THQ41" s="261"/>
      <c r="THR41" s="261"/>
      <c r="THS41" s="261"/>
      <c r="THT41" s="261"/>
      <c r="THU41" s="261"/>
      <c r="THV41" s="261"/>
      <c r="THW41" s="261"/>
      <c r="THX41" s="261"/>
      <c r="THY41" s="261"/>
      <c r="THZ41" s="261"/>
      <c r="TIA41" s="261"/>
      <c r="TIB41" s="261"/>
      <c r="TIC41" s="261"/>
      <c r="TID41" s="261"/>
      <c r="TIE41" s="261"/>
      <c r="TIF41" s="261"/>
      <c r="TIG41" s="261"/>
      <c r="TIH41" s="261"/>
      <c r="TII41" s="261"/>
      <c r="TIJ41" s="261"/>
      <c r="TIK41" s="261"/>
      <c r="TIL41" s="261"/>
      <c r="TIM41" s="261"/>
      <c r="TIN41" s="261"/>
      <c r="TIO41" s="261"/>
      <c r="TIP41" s="261"/>
      <c r="TIQ41" s="261"/>
      <c r="TIR41" s="261"/>
      <c r="TIS41" s="261"/>
      <c r="TIT41" s="261"/>
      <c r="TIU41" s="261"/>
      <c r="TIV41" s="261"/>
      <c r="TIW41" s="261"/>
      <c r="TIX41" s="261"/>
      <c r="TIY41" s="261"/>
      <c r="TIZ41" s="261"/>
      <c r="TJA41" s="261"/>
      <c r="TJB41" s="261"/>
      <c r="TJC41" s="261"/>
      <c r="TJD41" s="261"/>
      <c r="TJE41" s="261"/>
      <c r="TJF41" s="261"/>
      <c r="TJG41" s="261"/>
      <c r="TJH41" s="261"/>
      <c r="TJI41" s="261"/>
      <c r="TJJ41" s="261"/>
      <c r="TJK41" s="261"/>
      <c r="TJL41" s="261"/>
      <c r="TJM41" s="261"/>
      <c r="TJN41" s="261"/>
      <c r="TJO41" s="261"/>
      <c r="TJP41" s="261"/>
      <c r="TJQ41" s="261"/>
      <c r="TJR41" s="261"/>
      <c r="TJS41" s="261"/>
      <c r="TJT41" s="261"/>
      <c r="TJU41" s="261"/>
      <c r="TJV41" s="261"/>
      <c r="TJW41" s="261"/>
      <c r="TJX41" s="261"/>
      <c r="TJY41" s="261"/>
      <c r="TJZ41" s="261"/>
      <c r="TKA41" s="261"/>
      <c r="TKB41" s="261"/>
      <c r="TKC41" s="261"/>
      <c r="TKD41" s="261"/>
      <c r="TKE41" s="261"/>
      <c r="TKF41" s="261"/>
      <c r="TKG41" s="261"/>
      <c r="TKH41" s="261"/>
      <c r="TKI41" s="261"/>
      <c r="TKJ41" s="261"/>
      <c r="TKK41" s="261"/>
      <c r="TKL41" s="261"/>
      <c r="TKM41" s="261"/>
      <c r="TKN41" s="261"/>
      <c r="TKO41" s="261"/>
      <c r="TKP41" s="261"/>
      <c r="TKQ41" s="261"/>
      <c r="TKR41" s="261"/>
      <c r="TKS41" s="261"/>
      <c r="TKT41" s="261"/>
      <c r="TKU41" s="261"/>
      <c r="TKV41" s="261"/>
      <c r="TKW41" s="261"/>
      <c r="TKX41" s="261"/>
      <c r="TKY41" s="261"/>
      <c r="TKZ41" s="261"/>
      <c r="TLA41" s="261"/>
      <c r="TLB41" s="261"/>
      <c r="TLC41" s="261"/>
      <c r="TLD41" s="261"/>
      <c r="TLE41" s="261"/>
      <c r="TLF41" s="261"/>
      <c r="TLG41" s="261"/>
      <c r="TLH41" s="261"/>
      <c r="TLI41" s="261"/>
      <c r="TLJ41" s="261"/>
      <c r="TLK41" s="261"/>
      <c r="TLL41" s="261"/>
      <c r="TLM41" s="261"/>
      <c r="TLN41" s="261"/>
      <c r="TLO41" s="261"/>
      <c r="TLP41" s="261"/>
      <c r="TLQ41" s="261"/>
      <c r="TLR41" s="261"/>
      <c r="TLS41" s="261"/>
      <c r="TLT41" s="261"/>
      <c r="TLU41" s="261"/>
      <c r="TLV41" s="261"/>
      <c r="TLW41" s="261"/>
      <c r="TLX41" s="261"/>
      <c r="TLY41" s="261"/>
      <c r="TLZ41" s="261"/>
      <c r="TMA41" s="261"/>
      <c r="TMB41" s="261"/>
      <c r="TMC41" s="261"/>
      <c r="TMD41" s="261"/>
      <c r="TME41" s="261"/>
      <c r="TMF41" s="261"/>
      <c r="TMG41" s="261"/>
      <c r="TMH41" s="261"/>
      <c r="TMI41" s="261"/>
      <c r="TMJ41" s="261"/>
      <c r="TMK41" s="261"/>
      <c r="TML41" s="261"/>
      <c r="TMM41" s="261"/>
      <c r="TMN41" s="261"/>
      <c r="TMO41" s="261"/>
      <c r="TMP41" s="261"/>
      <c r="TMQ41" s="261"/>
      <c r="TMR41" s="261"/>
      <c r="TMS41" s="261"/>
      <c r="TMT41" s="261"/>
      <c r="TMU41" s="261"/>
      <c r="TMV41" s="261"/>
      <c r="TMW41" s="261"/>
      <c r="TMX41" s="261"/>
      <c r="TMY41" s="261"/>
      <c r="TMZ41" s="261"/>
      <c r="TNA41" s="261"/>
      <c r="TNB41" s="261"/>
      <c r="TNC41" s="261"/>
      <c r="TND41" s="261"/>
      <c r="TNE41" s="261"/>
      <c r="TNF41" s="261"/>
      <c r="TNG41" s="261"/>
      <c r="TNH41" s="261"/>
      <c r="TNI41" s="261"/>
      <c r="TNJ41" s="261"/>
      <c r="TNK41" s="261"/>
      <c r="TNL41" s="261"/>
      <c r="TNM41" s="261"/>
      <c r="TNN41" s="261"/>
      <c r="TNO41" s="261"/>
      <c r="TNP41" s="261"/>
      <c r="TNQ41" s="261"/>
      <c r="TNR41" s="261"/>
      <c r="TNS41" s="261"/>
      <c r="TNT41" s="261"/>
      <c r="TNU41" s="261"/>
      <c r="TNV41" s="261"/>
      <c r="TNW41" s="261"/>
      <c r="TNX41" s="261"/>
      <c r="TNY41" s="261"/>
      <c r="TNZ41" s="261"/>
      <c r="TOA41" s="261"/>
      <c r="TOB41" s="261"/>
      <c r="TOC41" s="261"/>
      <c r="TOD41" s="261"/>
      <c r="TOE41" s="261"/>
      <c r="TOF41" s="261"/>
      <c r="TOG41" s="261"/>
      <c r="TOH41" s="261"/>
      <c r="TOI41" s="261"/>
      <c r="TOJ41" s="261"/>
      <c r="TOK41" s="261"/>
      <c r="TOL41" s="261"/>
      <c r="TOM41" s="261"/>
      <c r="TON41" s="261"/>
      <c r="TOO41" s="261"/>
      <c r="TOP41" s="261"/>
      <c r="TOQ41" s="261"/>
      <c r="TOR41" s="261"/>
      <c r="TOS41" s="261"/>
      <c r="TOT41" s="261"/>
      <c r="TOU41" s="261"/>
      <c r="TOV41" s="261"/>
      <c r="TOW41" s="261"/>
      <c r="TOX41" s="261"/>
      <c r="TOY41" s="261"/>
      <c r="TOZ41" s="261"/>
      <c r="TPA41" s="261"/>
      <c r="TPB41" s="261"/>
      <c r="TPC41" s="261"/>
      <c r="TPD41" s="261"/>
      <c r="TPE41" s="261"/>
      <c r="TPF41" s="261"/>
      <c r="TPG41" s="261"/>
      <c r="TPH41" s="261"/>
      <c r="TPI41" s="261"/>
      <c r="TPJ41" s="261"/>
      <c r="TPK41" s="261"/>
      <c r="TPL41" s="261"/>
      <c r="TPM41" s="261"/>
      <c r="TPN41" s="261"/>
      <c r="TPO41" s="261"/>
      <c r="TPP41" s="261"/>
      <c r="TPQ41" s="261"/>
      <c r="TPR41" s="261"/>
      <c r="TPS41" s="261"/>
      <c r="TPT41" s="261"/>
      <c r="TPU41" s="261"/>
      <c r="TPV41" s="261"/>
      <c r="TPW41" s="261"/>
      <c r="TPX41" s="261"/>
      <c r="TPY41" s="261"/>
      <c r="TPZ41" s="261"/>
      <c r="TQA41" s="261"/>
      <c r="TQB41" s="261"/>
      <c r="TQC41" s="261"/>
      <c r="TQD41" s="261"/>
      <c r="TQE41" s="261"/>
      <c r="TQF41" s="261"/>
      <c r="TQG41" s="261"/>
      <c r="TQH41" s="261"/>
      <c r="TQI41" s="261"/>
      <c r="TQJ41" s="261"/>
      <c r="TQK41" s="261"/>
      <c r="TQL41" s="261"/>
      <c r="TQM41" s="261"/>
      <c r="TQN41" s="261"/>
      <c r="TQO41" s="261"/>
      <c r="TQP41" s="261"/>
      <c r="TQQ41" s="261"/>
      <c r="TQR41" s="261"/>
      <c r="TQS41" s="261"/>
      <c r="TQT41" s="261"/>
      <c r="TQU41" s="261"/>
      <c r="TQV41" s="261"/>
      <c r="TQW41" s="261"/>
      <c r="TQX41" s="261"/>
      <c r="TQY41" s="261"/>
      <c r="TQZ41" s="261"/>
      <c r="TRA41" s="261"/>
      <c r="TRB41" s="261"/>
      <c r="TRC41" s="261"/>
      <c r="TRD41" s="261"/>
      <c r="TRE41" s="261"/>
      <c r="TRF41" s="261"/>
      <c r="TRG41" s="261"/>
      <c r="TRH41" s="261"/>
      <c r="TRI41" s="261"/>
      <c r="TRJ41" s="261"/>
      <c r="TRK41" s="261"/>
      <c r="TRL41" s="261"/>
      <c r="TRM41" s="261"/>
      <c r="TRN41" s="261"/>
      <c r="TRO41" s="261"/>
      <c r="TRP41" s="261"/>
      <c r="TRQ41" s="261"/>
      <c r="TRR41" s="261"/>
      <c r="TRS41" s="261"/>
      <c r="TRT41" s="261"/>
      <c r="TRU41" s="261"/>
      <c r="TRV41" s="261"/>
      <c r="TRW41" s="261"/>
      <c r="TRX41" s="261"/>
      <c r="TRY41" s="261"/>
      <c r="TRZ41" s="261"/>
      <c r="TSA41" s="261"/>
      <c r="TSB41" s="261"/>
      <c r="TSC41" s="261"/>
      <c r="TSD41" s="261"/>
      <c r="TSE41" s="261"/>
      <c r="TSF41" s="261"/>
      <c r="TSG41" s="261"/>
      <c r="TSH41" s="261"/>
      <c r="TSI41" s="261"/>
      <c r="TSJ41" s="261"/>
      <c r="TSK41" s="261"/>
      <c r="TSL41" s="261"/>
      <c r="TSM41" s="261"/>
      <c r="TSN41" s="261"/>
      <c r="TSO41" s="261"/>
      <c r="TSP41" s="261"/>
      <c r="TSQ41" s="261"/>
      <c r="TSR41" s="261"/>
      <c r="TSS41" s="261"/>
      <c r="TST41" s="261"/>
      <c r="TSU41" s="261"/>
      <c r="TSV41" s="261"/>
      <c r="TSW41" s="261"/>
      <c r="TSX41" s="261"/>
      <c r="TSY41" s="261"/>
      <c r="TSZ41" s="261"/>
      <c r="TTA41" s="261"/>
      <c r="TTB41" s="261"/>
      <c r="TTC41" s="261"/>
      <c r="TTD41" s="261"/>
      <c r="TTE41" s="261"/>
      <c r="TTF41" s="261"/>
      <c r="TTG41" s="261"/>
      <c r="TTH41" s="261"/>
      <c r="TTI41" s="261"/>
      <c r="TTJ41" s="261"/>
      <c r="TTK41" s="261"/>
      <c r="TTL41" s="261"/>
      <c r="TTM41" s="261"/>
      <c r="TTN41" s="261"/>
      <c r="TTO41" s="261"/>
      <c r="TTP41" s="261"/>
      <c r="TTQ41" s="261"/>
      <c r="TTR41" s="261"/>
      <c r="TTS41" s="261"/>
      <c r="TTT41" s="261"/>
      <c r="TTU41" s="261"/>
      <c r="TTV41" s="261"/>
      <c r="TTW41" s="261"/>
      <c r="TTX41" s="261"/>
      <c r="TTY41" s="261"/>
      <c r="TTZ41" s="261"/>
      <c r="TUA41" s="261"/>
      <c r="TUB41" s="261"/>
      <c r="TUC41" s="261"/>
      <c r="TUD41" s="261"/>
      <c r="TUE41" s="261"/>
      <c r="TUF41" s="261"/>
      <c r="TUG41" s="261"/>
      <c r="TUH41" s="261"/>
      <c r="TUI41" s="261"/>
      <c r="TUJ41" s="261"/>
      <c r="TUK41" s="261"/>
      <c r="TUL41" s="261"/>
      <c r="TUM41" s="261"/>
      <c r="TUN41" s="261"/>
      <c r="TUO41" s="261"/>
      <c r="TUP41" s="261"/>
      <c r="TUQ41" s="261"/>
      <c r="TUR41" s="261"/>
      <c r="TUS41" s="261"/>
      <c r="TUT41" s="261"/>
      <c r="TUU41" s="261"/>
      <c r="TUV41" s="261"/>
      <c r="TUW41" s="261"/>
      <c r="TUX41" s="261"/>
      <c r="TUY41" s="261"/>
      <c r="TUZ41" s="261"/>
      <c r="TVA41" s="261"/>
      <c r="TVB41" s="261"/>
      <c r="TVC41" s="261"/>
      <c r="TVD41" s="261"/>
      <c r="TVE41" s="261"/>
      <c r="TVF41" s="261"/>
      <c r="TVG41" s="261"/>
      <c r="TVH41" s="261"/>
      <c r="TVI41" s="261"/>
      <c r="TVJ41" s="261"/>
      <c r="TVK41" s="261"/>
      <c r="TVL41" s="261"/>
      <c r="TVM41" s="261"/>
      <c r="TVN41" s="261"/>
      <c r="TVO41" s="261"/>
      <c r="TVP41" s="261"/>
      <c r="TVQ41" s="261"/>
      <c r="TVR41" s="261"/>
      <c r="TVS41" s="261"/>
      <c r="TVT41" s="261"/>
      <c r="TVU41" s="261"/>
      <c r="TVV41" s="261"/>
      <c r="TVW41" s="261"/>
      <c r="TVX41" s="261"/>
      <c r="TVY41" s="261"/>
      <c r="TVZ41" s="261"/>
      <c r="TWA41" s="261"/>
      <c r="TWB41" s="261"/>
      <c r="TWC41" s="261"/>
      <c r="TWD41" s="261"/>
      <c r="TWE41" s="261"/>
      <c r="TWF41" s="261"/>
      <c r="TWG41" s="261"/>
      <c r="TWH41" s="261"/>
      <c r="TWI41" s="261"/>
      <c r="TWJ41" s="261"/>
      <c r="TWK41" s="261"/>
      <c r="TWL41" s="261"/>
      <c r="TWM41" s="261"/>
      <c r="TWN41" s="261"/>
      <c r="TWO41" s="261"/>
      <c r="TWP41" s="261"/>
      <c r="TWQ41" s="261"/>
      <c r="TWR41" s="261"/>
      <c r="TWS41" s="261"/>
      <c r="TWT41" s="261"/>
      <c r="TWU41" s="261"/>
      <c r="TWV41" s="261"/>
      <c r="TWW41" s="261"/>
      <c r="TWX41" s="261"/>
      <c r="TWY41" s="261"/>
      <c r="TWZ41" s="261"/>
      <c r="TXA41" s="261"/>
      <c r="TXB41" s="261"/>
      <c r="TXC41" s="261"/>
      <c r="TXD41" s="261"/>
      <c r="TXE41" s="261"/>
      <c r="TXF41" s="261"/>
      <c r="TXG41" s="261"/>
      <c r="TXH41" s="261"/>
      <c r="TXI41" s="261"/>
      <c r="TXJ41" s="261"/>
      <c r="TXK41" s="261"/>
      <c r="TXL41" s="261"/>
      <c r="TXM41" s="261"/>
      <c r="TXN41" s="261"/>
      <c r="TXO41" s="261"/>
      <c r="TXP41" s="261"/>
      <c r="TXQ41" s="261"/>
      <c r="TXR41" s="261"/>
      <c r="TXS41" s="261"/>
      <c r="TXT41" s="261"/>
      <c r="TXU41" s="261"/>
      <c r="TXV41" s="261"/>
      <c r="TXW41" s="261"/>
      <c r="TXX41" s="261"/>
      <c r="TXY41" s="261"/>
      <c r="TXZ41" s="261"/>
      <c r="TYA41" s="261"/>
      <c r="TYB41" s="261"/>
      <c r="TYC41" s="261"/>
      <c r="TYD41" s="261"/>
      <c r="TYE41" s="261"/>
      <c r="TYF41" s="261"/>
      <c r="TYG41" s="261"/>
      <c r="TYH41" s="261"/>
      <c r="TYI41" s="261"/>
      <c r="TYJ41" s="261"/>
      <c r="TYK41" s="261"/>
      <c r="TYL41" s="261"/>
      <c r="TYM41" s="261"/>
      <c r="TYN41" s="261"/>
      <c r="TYO41" s="261"/>
      <c r="TYP41" s="261"/>
      <c r="TYQ41" s="261"/>
      <c r="TYR41" s="261"/>
      <c r="TYS41" s="261"/>
      <c r="TYT41" s="261"/>
      <c r="TYU41" s="261"/>
      <c r="TYV41" s="261"/>
      <c r="TYW41" s="261"/>
      <c r="TYX41" s="261"/>
      <c r="TYY41" s="261"/>
      <c r="TYZ41" s="261"/>
      <c r="TZA41" s="261"/>
      <c r="TZB41" s="261"/>
      <c r="TZC41" s="261"/>
      <c r="TZD41" s="261"/>
      <c r="TZE41" s="261"/>
      <c r="TZF41" s="261"/>
      <c r="TZG41" s="261"/>
      <c r="TZH41" s="261"/>
      <c r="TZI41" s="261"/>
      <c r="TZJ41" s="261"/>
      <c r="TZK41" s="261"/>
      <c r="TZL41" s="261"/>
      <c r="TZM41" s="261"/>
      <c r="TZN41" s="261"/>
      <c r="TZO41" s="261"/>
      <c r="TZP41" s="261"/>
      <c r="TZQ41" s="261"/>
      <c r="TZR41" s="261"/>
      <c r="TZS41" s="261"/>
      <c r="TZT41" s="261"/>
      <c r="TZU41" s="261"/>
      <c r="TZV41" s="261"/>
      <c r="TZW41" s="261"/>
      <c r="TZX41" s="261"/>
      <c r="TZY41" s="261"/>
      <c r="TZZ41" s="261"/>
      <c r="UAA41" s="261"/>
      <c r="UAB41" s="261"/>
      <c r="UAC41" s="261"/>
      <c r="UAD41" s="261"/>
      <c r="UAE41" s="261"/>
      <c r="UAF41" s="261"/>
      <c r="UAG41" s="261"/>
      <c r="UAH41" s="261"/>
      <c r="UAI41" s="261"/>
      <c r="UAJ41" s="261"/>
      <c r="UAK41" s="261"/>
      <c r="UAL41" s="261"/>
      <c r="UAM41" s="261"/>
      <c r="UAN41" s="261"/>
      <c r="UAO41" s="261"/>
      <c r="UAP41" s="261"/>
      <c r="UAQ41" s="261"/>
      <c r="UAR41" s="261"/>
      <c r="UAS41" s="261"/>
      <c r="UAT41" s="261"/>
      <c r="UAU41" s="261"/>
      <c r="UAV41" s="261"/>
      <c r="UAW41" s="261"/>
      <c r="UAX41" s="261"/>
      <c r="UAY41" s="261"/>
      <c r="UAZ41" s="261"/>
      <c r="UBA41" s="261"/>
      <c r="UBB41" s="261"/>
      <c r="UBC41" s="261"/>
      <c r="UBD41" s="261"/>
      <c r="UBE41" s="261"/>
      <c r="UBF41" s="261"/>
      <c r="UBG41" s="261"/>
      <c r="UBH41" s="261"/>
      <c r="UBI41" s="261"/>
      <c r="UBJ41" s="261"/>
      <c r="UBK41" s="261"/>
      <c r="UBL41" s="261"/>
      <c r="UBM41" s="261"/>
      <c r="UBN41" s="261"/>
      <c r="UBO41" s="261"/>
      <c r="UBP41" s="261"/>
      <c r="UBQ41" s="261"/>
      <c r="UBR41" s="261"/>
      <c r="UBS41" s="261"/>
      <c r="UBT41" s="261"/>
      <c r="UBU41" s="261"/>
      <c r="UBV41" s="261"/>
      <c r="UBW41" s="261"/>
      <c r="UBX41" s="261"/>
      <c r="UBY41" s="261"/>
      <c r="UBZ41" s="261"/>
      <c r="UCA41" s="261"/>
      <c r="UCB41" s="261"/>
      <c r="UCC41" s="261"/>
      <c r="UCD41" s="261"/>
      <c r="UCE41" s="261"/>
      <c r="UCF41" s="261"/>
      <c r="UCG41" s="261"/>
      <c r="UCH41" s="261"/>
      <c r="UCI41" s="261"/>
      <c r="UCJ41" s="261"/>
      <c r="UCK41" s="261"/>
      <c r="UCL41" s="261"/>
      <c r="UCM41" s="261"/>
      <c r="UCN41" s="261"/>
      <c r="UCO41" s="261"/>
      <c r="UCP41" s="261"/>
      <c r="UCQ41" s="261"/>
      <c r="UCR41" s="261"/>
      <c r="UCS41" s="261"/>
      <c r="UCT41" s="261"/>
      <c r="UCU41" s="261"/>
      <c r="UCV41" s="261"/>
      <c r="UCW41" s="261"/>
      <c r="UCX41" s="261"/>
      <c r="UCY41" s="261"/>
      <c r="UCZ41" s="261"/>
      <c r="UDA41" s="261"/>
      <c r="UDB41" s="261"/>
      <c r="UDC41" s="261"/>
      <c r="UDD41" s="261"/>
      <c r="UDE41" s="261"/>
      <c r="UDF41" s="261"/>
      <c r="UDG41" s="261"/>
      <c r="UDH41" s="261"/>
      <c r="UDI41" s="261"/>
      <c r="UDJ41" s="261"/>
      <c r="UDK41" s="261"/>
      <c r="UDL41" s="261"/>
      <c r="UDM41" s="261"/>
      <c r="UDN41" s="261"/>
      <c r="UDO41" s="261"/>
      <c r="UDP41" s="261"/>
      <c r="UDQ41" s="261"/>
      <c r="UDR41" s="261"/>
      <c r="UDS41" s="261"/>
      <c r="UDT41" s="261"/>
      <c r="UDU41" s="261"/>
      <c r="UDV41" s="261"/>
      <c r="UDW41" s="261"/>
      <c r="UDX41" s="261"/>
      <c r="UDY41" s="261"/>
      <c r="UDZ41" s="261"/>
      <c r="UEA41" s="261"/>
      <c r="UEB41" s="261"/>
      <c r="UEC41" s="261"/>
      <c r="UED41" s="261"/>
      <c r="UEE41" s="261"/>
      <c r="UEF41" s="261"/>
      <c r="UEG41" s="261"/>
      <c r="UEH41" s="261"/>
      <c r="UEI41" s="261"/>
      <c r="UEJ41" s="261"/>
      <c r="UEK41" s="261"/>
      <c r="UEL41" s="261"/>
      <c r="UEM41" s="261"/>
      <c r="UEN41" s="261"/>
      <c r="UEO41" s="261"/>
      <c r="UEP41" s="261"/>
      <c r="UEQ41" s="261"/>
      <c r="UER41" s="261"/>
      <c r="UES41" s="261"/>
      <c r="UET41" s="261"/>
      <c r="UEU41" s="261"/>
      <c r="UEV41" s="261"/>
      <c r="UEW41" s="261"/>
      <c r="UEX41" s="261"/>
      <c r="UEY41" s="261"/>
      <c r="UEZ41" s="261"/>
      <c r="UFA41" s="261"/>
      <c r="UFB41" s="261"/>
      <c r="UFC41" s="261"/>
      <c r="UFD41" s="261"/>
      <c r="UFE41" s="261"/>
      <c r="UFF41" s="261"/>
      <c r="UFG41" s="261"/>
      <c r="UFH41" s="261"/>
      <c r="UFI41" s="261"/>
      <c r="UFJ41" s="261"/>
      <c r="UFK41" s="261"/>
      <c r="UFL41" s="261"/>
      <c r="UFM41" s="261"/>
      <c r="UFN41" s="261"/>
      <c r="UFO41" s="261"/>
      <c r="UFP41" s="261"/>
      <c r="UFQ41" s="261"/>
      <c r="UFR41" s="261"/>
      <c r="UFS41" s="261"/>
      <c r="UFT41" s="261"/>
      <c r="UFU41" s="261"/>
      <c r="UFV41" s="261"/>
      <c r="UFW41" s="261"/>
      <c r="UFX41" s="261"/>
      <c r="UFY41" s="261"/>
      <c r="UFZ41" s="261"/>
      <c r="UGA41" s="261"/>
      <c r="UGB41" s="261"/>
      <c r="UGC41" s="261"/>
      <c r="UGD41" s="261"/>
      <c r="UGE41" s="261"/>
      <c r="UGF41" s="261"/>
      <c r="UGG41" s="261"/>
      <c r="UGH41" s="261"/>
      <c r="UGI41" s="261"/>
      <c r="UGJ41" s="261"/>
      <c r="UGK41" s="261"/>
      <c r="UGL41" s="261"/>
      <c r="UGM41" s="261"/>
      <c r="UGN41" s="261"/>
      <c r="UGO41" s="261"/>
      <c r="UGP41" s="261"/>
      <c r="UGQ41" s="261"/>
      <c r="UGR41" s="261"/>
      <c r="UGS41" s="261"/>
      <c r="UGT41" s="261"/>
      <c r="UGU41" s="261"/>
      <c r="UGV41" s="261"/>
      <c r="UGW41" s="261"/>
      <c r="UGX41" s="261"/>
      <c r="UGY41" s="261"/>
      <c r="UGZ41" s="261"/>
      <c r="UHA41" s="261"/>
      <c r="UHB41" s="261"/>
      <c r="UHC41" s="261"/>
      <c r="UHD41" s="261"/>
      <c r="UHE41" s="261"/>
      <c r="UHF41" s="261"/>
      <c r="UHG41" s="261"/>
      <c r="UHH41" s="261"/>
      <c r="UHI41" s="261"/>
      <c r="UHJ41" s="261"/>
      <c r="UHK41" s="261"/>
      <c r="UHL41" s="261"/>
      <c r="UHM41" s="261"/>
      <c r="UHN41" s="261"/>
      <c r="UHO41" s="261"/>
      <c r="UHP41" s="261"/>
      <c r="UHQ41" s="261"/>
      <c r="UHR41" s="261"/>
      <c r="UHS41" s="261"/>
      <c r="UHT41" s="261"/>
      <c r="UHU41" s="261"/>
      <c r="UHV41" s="261"/>
      <c r="UHW41" s="261"/>
      <c r="UHX41" s="261"/>
      <c r="UHY41" s="261"/>
      <c r="UHZ41" s="261"/>
      <c r="UIA41" s="261"/>
      <c r="UIB41" s="261"/>
      <c r="UIC41" s="261"/>
      <c r="UID41" s="261"/>
      <c r="UIE41" s="261"/>
      <c r="UIF41" s="261"/>
      <c r="UIG41" s="261"/>
      <c r="UIH41" s="261"/>
      <c r="UII41" s="261"/>
      <c r="UIJ41" s="261"/>
      <c r="UIK41" s="261"/>
      <c r="UIL41" s="261"/>
      <c r="UIM41" s="261"/>
      <c r="UIN41" s="261"/>
      <c r="UIO41" s="261"/>
      <c r="UIP41" s="261"/>
      <c r="UIQ41" s="261"/>
      <c r="UIR41" s="261"/>
      <c r="UIS41" s="261"/>
      <c r="UIT41" s="261"/>
      <c r="UIU41" s="261"/>
      <c r="UIV41" s="261"/>
      <c r="UIW41" s="261"/>
      <c r="UIX41" s="261"/>
      <c r="UIY41" s="261"/>
      <c r="UIZ41" s="261"/>
      <c r="UJA41" s="261"/>
      <c r="UJB41" s="261"/>
      <c r="UJC41" s="261"/>
      <c r="UJD41" s="261"/>
      <c r="UJE41" s="261"/>
      <c r="UJF41" s="261"/>
      <c r="UJG41" s="261"/>
      <c r="UJH41" s="261"/>
      <c r="UJI41" s="261"/>
      <c r="UJJ41" s="261"/>
      <c r="UJK41" s="261"/>
      <c r="UJL41" s="261"/>
      <c r="UJM41" s="261"/>
      <c r="UJN41" s="261"/>
      <c r="UJO41" s="261"/>
      <c r="UJP41" s="261"/>
      <c r="UJQ41" s="261"/>
      <c r="UJR41" s="261"/>
      <c r="UJS41" s="261"/>
      <c r="UJT41" s="261"/>
      <c r="UJU41" s="261"/>
      <c r="UJV41" s="261"/>
      <c r="UJW41" s="261"/>
      <c r="UJX41" s="261"/>
      <c r="UJY41" s="261"/>
      <c r="UJZ41" s="261"/>
      <c r="UKA41" s="261"/>
      <c r="UKB41" s="261"/>
      <c r="UKC41" s="261"/>
      <c r="UKD41" s="261"/>
      <c r="UKE41" s="261"/>
      <c r="UKF41" s="261"/>
      <c r="UKG41" s="261"/>
      <c r="UKH41" s="261"/>
      <c r="UKI41" s="261"/>
      <c r="UKJ41" s="261"/>
      <c r="UKK41" s="261"/>
      <c r="UKL41" s="261"/>
      <c r="UKM41" s="261"/>
      <c r="UKN41" s="261"/>
      <c r="UKO41" s="261"/>
      <c r="UKP41" s="261"/>
      <c r="UKQ41" s="261"/>
      <c r="UKR41" s="261"/>
      <c r="UKS41" s="261"/>
      <c r="UKT41" s="261"/>
      <c r="UKU41" s="261"/>
      <c r="UKV41" s="261"/>
      <c r="UKW41" s="261"/>
      <c r="UKX41" s="261"/>
      <c r="UKY41" s="261"/>
      <c r="UKZ41" s="261"/>
      <c r="ULA41" s="261"/>
      <c r="ULB41" s="261"/>
      <c r="ULC41" s="261"/>
      <c r="ULD41" s="261"/>
      <c r="ULE41" s="261"/>
      <c r="ULF41" s="261"/>
      <c r="ULG41" s="261"/>
      <c r="ULH41" s="261"/>
      <c r="ULI41" s="261"/>
      <c r="ULJ41" s="261"/>
      <c r="ULK41" s="261"/>
      <c r="ULL41" s="261"/>
      <c r="ULM41" s="261"/>
      <c r="ULN41" s="261"/>
      <c r="ULO41" s="261"/>
      <c r="ULP41" s="261"/>
      <c r="ULQ41" s="261"/>
      <c r="ULR41" s="261"/>
      <c r="ULS41" s="261"/>
      <c r="ULT41" s="261"/>
      <c r="ULU41" s="261"/>
      <c r="ULV41" s="261"/>
      <c r="ULW41" s="261"/>
      <c r="ULX41" s="261"/>
      <c r="ULY41" s="261"/>
      <c r="ULZ41" s="261"/>
      <c r="UMA41" s="261"/>
      <c r="UMB41" s="261"/>
      <c r="UMC41" s="261"/>
      <c r="UMD41" s="261"/>
      <c r="UME41" s="261"/>
      <c r="UMF41" s="261"/>
      <c r="UMG41" s="261"/>
      <c r="UMH41" s="261"/>
      <c r="UMI41" s="261"/>
      <c r="UMJ41" s="261"/>
      <c r="UMK41" s="261"/>
      <c r="UML41" s="261"/>
      <c r="UMM41" s="261"/>
      <c r="UMN41" s="261"/>
      <c r="UMO41" s="261"/>
      <c r="UMP41" s="261"/>
      <c r="UMQ41" s="261"/>
      <c r="UMR41" s="261"/>
      <c r="UMS41" s="261"/>
      <c r="UMT41" s="261"/>
      <c r="UMU41" s="261"/>
      <c r="UMV41" s="261"/>
      <c r="UMW41" s="261"/>
      <c r="UMX41" s="261"/>
      <c r="UMY41" s="261"/>
      <c r="UMZ41" s="261"/>
      <c r="UNA41" s="261"/>
      <c r="UNB41" s="261"/>
      <c r="UNC41" s="261"/>
      <c r="UND41" s="261"/>
      <c r="UNE41" s="261"/>
      <c r="UNF41" s="261"/>
      <c r="UNG41" s="261"/>
      <c r="UNH41" s="261"/>
      <c r="UNI41" s="261"/>
      <c r="UNJ41" s="261"/>
      <c r="UNK41" s="261"/>
      <c r="UNL41" s="261"/>
      <c r="UNM41" s="261"/>
      <c r="UNN41" s="261"/>
      <c r="UNO41" s="261"/>
      <c r="UNP41" s="261"/>
      <c r="UNQ41" s="261"/>
      <c r="UNR41" s="261"/>
      <c r="UNS41" s="261"/>
      <c r="UNT41" s="261"/>
      <c r="UNU41" s="261"/>
      <c r="UNV41" s="261"/>
      <c r="UNW41" s="261"/>
      <c r="UNX41" s="261"/>
      <c r="UNY41" s="261"/>
      <c r="UNZ41" s="261"/>
      <c r="UOA41" s="261"/>
      <c r="UOB41" s="261"/>
      <c r="UOC41" s="261"/>
      <c r="UOD41" s="261"/>
      <c r="UOE41" s="261"/>
      <c r="UOF41" s="261"/>
      <c r="UOG41" s="261"/>
      <c r="UOH41" s="261"/>
      <c r="UOI41" s="261"/>
      <c r="UOJ41" s="261"/>
      <c r="UOK41" s="261"/>
      <c r="UOL41" s="261"/>
      <c r="UOM41" s="261"/>
      <c r="UON41" s="261"/>
      <c r="UOO41" s="261"/>
      <c r="UOP41" s="261"/>
      <c r="UOQ41" s="261"/>
      <c r="UOR41" s="261"/>
      <c r="UOS41" s="261"/>
      <c r="UOT41" s="261"/>
      <c r="UOU41" s="261"/>
      <c r="UOV41" s="261"/>
      <c r="UOW41" s="261"/>
      <c r="UOX41" s="261"/>
      <c r="UOY41" s="261"/>
      <c r="UOZ41" s="261"/>
      <c r="UPA41" s="261"/>
      <c r="UPB41" s="261"/>
      <c r="UPC41" s="261"/>
      <c r="UPD41" s="261"/>
      <c r="UPE41" s="261"/>
      <c r="UPF41" s="261"/>
      <c r="UPG41" s="261"/>
      <c r="UPH41" s="261"/>
      <c r="UPI41" s="261"/>
      <c r="UPJ41" s="261"/>
      <c r="UPK41" s="261"/>
      <c r="UPL41" s="261"/>
      <c r="UPM41" s="261"/>
      <c r="UPN41" s="261"/>
      <c r="UPO41" s="261"/>
      <c r="UPP41" s="261"/>
      <c r="UPQ41" s="261"/>
      <c r="UPR41" s="261"/>
      <c r="UPS41" s="261"/>
      <c r="UPT41" s="261"/>
      <c r="UPU41" s="261"/>
      <c r="UPV41" s="261"/>
      <c r="UPW41" s="261"/>
      <c r="UPX41" s="261"/>
      <c r="UPY41" s="261"/>
      <c r="UPZ41" s="261"/>
      <c r="UQA41" s="261"/>
      <c r="UQB41" s="261"/>
      <c r="UQC41" s="261"/>
      <c r="UQD41" s="261"/>
      <c r="UQE41" s="261"/>
      <c r="UQF41" s="261"/>
      <c r="UQG41" s="261"/>
      <c r="UQH41" s="261"/>
      <c r="UQI41" s="261"/>
      <c r="UQJ41" s="261"/>
      <c r="UQK41" s="261"/>
      <c r="UQL41" s="261"/>
      <c r="UQM41" s="261"/>
      <c r="UQN41" s="261"/>
      <c r="UQO41" s="261"/>
      <c r="UQP41" s="261"/>
      <c r="UQQ41" s="261"/>
      <c r="UQR41" s="261"/>
      <c r="UQS41" s="261"/>
      <c r="UQT41" s="261"/>
      <c r="UQU41" s="261"/>
      <c r="UQV41" s="261"/>
      <c r="UQW41" s="261"/>
      <c r="UQX41" s="261"/>
      <c r="UQY41" s="261"/>
      <c r="UQZ41" s="261"/>
      <c r="URA41" s="261"/>
      <c r="URB41" s="261"/>
      <c r="URC41" s="261"/>
      <c r="URD41" s="261"/>
      <c r="URE41" s="261"/>
      <c r="URF41" s="261"/>
      <c r="URG41" s="261"/>
      <c r="URH41" s="261"/>
      <c r="URI41" s="261"/>
      <c r="URJ41" s="261"/>
      <c r="URK41" s="261"/>
      <c r="URL41" s="261"/>
      <c r="URM41" s="261"/>
      <c r="URN41" s="261"/>
      <c r="URO41" s="261"/>
      <c r="URP41" s="261"/>
      <c r="URQ41" s="261"/>
      <c r="URR41" s="261"/>
      <c r="URS41" s="261"/>
      <c r="URT41" s="261"/>
      <c r="URU41" s="261"/>
      <c r="URV41" s="261"/>
      <c r="URW41" s="261"/>
      <c r="URX41" s="261"/>
      <c r="URY41" s="261"/>
      <c r="URZ41" s="261"/>
      <c r="USA41" s="261"/>
      <c r="USB41" s="261"/>
      <c r="USC41" s="261"/>
      <c r="USD41" s="261"/>
      <c r="USE41" s="261"/>
      <c r="USF41" s="261"/>
      <c r="USG41" s="261"/>
      <c r="USH41" s="261"/>
      <c r="USI41" s="261"/>
      <c r="USJ41" s="261"/>
      <c r="USK41" s="261"/>
      <c r="USL41" s="261"/>
      <c r="USM41" s="261"/>
      <c r="USN41" s="261"/>
      <c r="USO41" s="261"/>
      <c r="USP41" s="261"/>
      <c r="USQ41" s="261"/>
      <c r="USR41" s="261"/>
      <c r="USS41" s="261"/>
      <c r="UST41" s="261"/>
      <c r="USU41" s="261"/>
      <c r="USV41" s="261"/>
      <c r="USW41" s="261"/>
      <c r="USX41" s="261"/>
      <c r="USY41" s="261"/>
      <c r="USZ41" s="261"/>
      <c r="UTA41" s="261"/>
      <c r="UTB41" s="261"/>
      <c r="UTC41" s="261"/>
      <c r="UTD41" s="261"/>
      <c r="UTE41" s="261"/>
      <c r="UTF41" s="261"/>
      <c r="UTG41" s="261"/>
      <c r="UTH41" s="261"/>
      <c r="UTI41" s="261"/>
      <c r="UTJ41" s="261"/>
      <c r="UTK41" s="261"/>
      <c r="UTL41" s="261"/>
      <c r="UTM41" s="261"/>
      <c r="UTN41" s="261"/>
      <c r="UTO41" s="261"/>
      <c r="UTP41" s="261"/>
      <c r="UTQ41" s="261"/>
      <c r="UTR41" s="261"/>
      <c r="UTS41" s="261"/>
      <c r="UTT41" s="261"/>
      <c r="UTU41" s="261"/>
      <c r="UTV41" s="261"/>
      <c r="UTW41" s="261"/>
      <c r="UTX41" s="261"/>
      <c r="UTY41" s="261"/>
      <c r="UTZ41" s="261"/>
      <c r="UUA41" s="261"/>
      <c r="UUB41" s="261"/>
      <c r="UUC41" s="261"/>
      <c r="UUD41" s="261"/>
      <c r="UUE41" s="261"/>
      <c r="UUF41" s="261"/>
      <c r="UUG41" s="261"/>
      <c r="UUH41" s="261"/>
      <c r="UUI41" s="261"/>
      <c r="UUJ41" s="261"/>
      <c r="UUK41" s="261"/>
      <c r="UUL41" s="261"/>
      <c r="UUM41" s="261"/>
      <c r="UUN41" s="261"/>
      <c r="UUO41" s="261"/>
      <c r="UUP41" s="261"/>
      <c r="UUQ41" s="261"/>
      <c r="UUR41" s="261"/>
      <c r="UUS41" s="261"/>
      <c r="UUT41" s="261"/>
      <c r="UUU41" s="261"/>
      <c r="UUV41" s="261"/>
      <c r="UUW41" s="261"/>
      <c r="UUX41" s="261"/>
      <c r="UUY41" s="261"/>
      <c r="UUZ41" s="261"/>
      <c r="UVA41" s="261"/>
      <c r="UVB41" s="261"/>
      <c r="UVC41" s="261"/>
      <c r="UVD41" s="261"/>
      <c r="UVE41" s="261"/>
      <c r="UVF41" s="261"/>
      <c r="UVG41" s="261"/>
      <c r="UVH41" s="261"/>
      <c r="UVI41" s="261"/>
      <c r="UVJ41" s="261"/>
      <c r="UVK41" s="261"/>
      <c r="UVL41" s="261"/>
      <c r="UVM41" s="261"/>
      <c r="UVN41" s="261"/>
      <c r="UVO41" s="261"/>
      <c r="UVP41" s="261"/>
      <c r="UVQ41" s="261"/>
      <c r="UVR41" s="261"/>
      <c r="UVS41" s="261"/>
      <c r="UVT41" s="261"/>
      <c r="UVU41" s="261"/>
      <c r="UVV41" s="261"/>
      <c r="UVW41" s="261"/>
      <c r="UVX41" s="261"/>
      <c r="UVY41" s="261"/>
      <c r="UVZ41" s="261"/>
      <c r="UWA41" s="261"/>
      <c r="UWB41" s="261"/>
      <c r="UWC41" s="261"/>
      <c r="UWD41" s="261"/>
      <c r="UWE41" s="261"/>
      <c r="UWF41" s="261"/>
      <c r="UWG41" s="261"/>
      <c r="UWH41" s="261"/>
      <c r="UWI41" s="261"/>
      <c r="UWJ41" s="261"/>
      <c r="UWK41" s="261"/>
      <c r="UWL41" s="261"/>
      <c r="UWM41" s="261"/>
      <c r="UWN41" s="261"/>
      <c r="UWO41" s="261"/>
      <c r="UWP41" s="261"/>
      <c r="UWQ41" s="261"/>
      <c r="UWR41" s="261"/>
      <c r="UWS41" s="261"/>
      <c r="UWT41" s="261"/>
      <c r="UWU41" s="261"/>
      <c r="UWV41" s="261"/>
      <c r="UWW41" s="261"/>
      <c r="UWX41" s="261"/>
      <c r="UWY41" s="261"/>
      <c r="UWZ41" s="261"/>
      <c r="UXA41" s="261"/>
      <c r="UXB41" s="261"/>
      <c r="UXC41" s="261"/>
      <c r="UXD41" s="261"/>
      <c r="UXE41" s="261"/>
      <c r="UXF41" s="261"/>
      <c r="UXG41" s="261"/>
      <c r="UXH41" s="261"/>
      <c r="UXI41" s="261"/>
      <c r="UXJ41" s="261"/>
      <c r="UXK41" s="261"/>
      <c r="UXL41" s="261"/>
      <c r="UXM41" s="261"/>
      <c r="UXN41" s="261"/>
      <c r="UXO41" s="261"/>
      <c r="UXP41" s="261"/>
      <c r="UXQ41" s="261"/>
      <c r="UXR41" s="261"/>
      <c r="UXS41" s="261"/>
      <c r="UXT41" s="261"/>
      <c r="UXU41" s="261"/>
      <c r="UXV41" s="261"/>
      <c r="UXW41" s="261"/>
      <c r="UXX41" s="261"/>
      <c r="UXY41" s="261"/>
      <c r="UXZ41" s="261"/>
      <c r="UYA41" s="261"/>
      <c r="UYB41" s="261"/>
      <c r="UYC41" s="261"/>
      <c r="UYD41" s="261"/>
      <c r="UYE41" s="261"/>
      <c r="UYF41" s="261"/>
      <c r="UYG41" s="261"/>
      <c r="UYH41" s="261"/>
      <c r="UYI41" s="261"/>
      <c r="UYJ41" s="261"/>
      <c r="UYK41" s="261"/>
      <c r="UYL41" s="261"/>
      <c r="UYM41" s="261"/>
      <c r="UYN41" s="261"/>
      <c r="UYO41" s="261"/>
      <c r="UYP41" s="261"/>
      <c r="UYQ41" s="261"/>
      <c r="UYR41" s="261"/>
      <c r="UYS41" s="261"/>
      <c r="UYT41" s="261"/>
      <c r="UYU41" s="261"/>
      <c r="UYV41" s="261"/>
      <c r="UYW41" s="261"/>
      <c r="UYX41" s="261"/>
      <c r="UYY41" s="261"/>
      <c r="UYZ41" s="261"/>
      <c r="UZA41" s="261"/>
      <c r="UZB41" s="261"/>
      <c r="UZC41" s="261"/>
      <c r="UZD41" s="261"/>
      <c r="UZE41" s="261"/>
      <c r="UZF41" s="261"/>
      <c r="UZG41" s="261"/>
      <c r="UZH41" s="261"/>
      <c r="UZI41" s="261"/>
      <c r="UZJ41" s="261"/>
      <c r="UZK41" s="261"/>
      <c r="UZL41" s="261"/>
      <c r="UZM41" s="261"/>
      <c r="UZN41" s="261"/>
      <c r="UZO41" s="261"/>
      <c r="UZP41" s="261"/>
      <c r="UZQ41" s="261"/>
      <c r="UZR41" s="261"/>
      <c r="UZS41" s="261"/>
      <c r="UZT41" s="261"/>
      <c r="UZU41" s="261"/>
      <c r="UZV41" s="261"/>
      <c r="UZW41" s="261"/>
      <c r="UZX41" s="261"/>
      <c r="UZY41" s="261"/>
      <c r="UZZ41" s="261"/>
      <c r="VAA41" s="261"/>
      <c r="VAB41" s="261"/>
      <c r="VAC41" s="261"/>
      <c r="VAD41" s="261"/>
      <c r="VAE41" s="261"/>
      <c r="VAF41" s="261"/>
      <c r="VAG41" s="261"/>
      <c r="VAH41" s="261"/>
      <c r="VAI41" s="261"/>
      <c r="VAJ41" s="261"/>
      <c r="VAK41" s="261"/>
      <c r="VAL41" s="261"/>
      <c r="VAM41" s="261"/>
      <c r="VAN41" s="261"/>
      <c r="VAO41" s="261"/>
      <c r="VAP41" s="261"/>
      <c r="VAQ41" s="261"/>
      <c r="VAR41" s="261"/>
      <c r="VAS41" s="261"/>
      <c r="VAT41" s="261"/>
      <c r="VAU41" s="261"/>
      <c r="VAV41" s="261"/>
      <c r="VAW41" s="261"/>
      <c r="VAX41" s="261"/>
      <c r="VAY41" s="261"/>
      <c r="VAZ41" s="261"/>
      <c r="VBA41" s="261"/>
      <c r="VBB41" s="261"/>
      <c r="VBC41" s="261"/>
      <c r="VBD41" s="261"/>
      <c r="VBE41" s="261"/>
      <c r="VBF41" s="261"/>
      <c r="VBG41" s="261"/>
      <c r="VBH41" s="261"/>
      <c r="VBI41" s="261"/>
      <c r="VBJ41" s="261"/>
      <c r="VBK41" s="261"/>
      <c r="VBL41" s="261"/>
      <c r="VBM41" s="261"/>
      <c r="VBN41" s="261"/>
      <c r="VBO41" s="261"/>
      <c r="VBP41" s="261"/>
      <c r="VBQ41" s="261"/>
      <c r="VBR41" s="261"/>
      <c r="VBS41" s="261"/>
      <c r="VBT41" s="261"/>
      <c r="VBU41" s="261"/>
      <c r="VBV41" s="261"/>
      <c r="VBW41" s="261"/>
      <c r="VBX41" s="261"/>
      <c r="VBY41" s="261"/>
      <c r="VBZ41" s="261"/>
      <c r="VCA41" s="261"/>
      <c r="VCB41" s="261"/>
      <c r="VCC41" s="261"/>
      <c r="VCD41" s="261"/>
      <c r="VCE41" s="261"/>
      <c r="VCF41" s="261"/>
      <c r="VCG41" s="261"/>
      <c r="VCH41" s="261"/>
      <c r="VCI41" s="261"/>
      <c r="VCJ41" s="261"/>
      <c r="VCK41" s="261"/>
      <c r="VCL41" s="261"/>
      <c r="VCM41" s="261"/>
      <c r="VCN41" s="261"/>
      <c r="VCO41" s="261"/>
      <c r="VCP41" s="261"/>
      <c r="VCQ41" s="261"/>
      <c r="VCR41" s="261"/>
      <c r="VCS41" s="261"/>
      <c r="VCT41" s="261"/>
      <c r="VCU41" s="261"/>
      <c r="VCV41" s="261"/>
      <c r="VCW41" s="261"/>
      <c r="VCX41" s="261"/>
      <c r="VCY41" s="261"/>
      <c r="VCZ41" s="261"/>
      <c r="VDA41" s="261"/>
      <c r="VDB41" s="261"/>
      <c r="VDC41" s="261"/>
      <c r="VDD41" s="261"/>
      <c r="VDE41" s="261"/>
      <c r="VDF41" s="261"/>
      <c r="VDG41" s="261"/>
      <c r="VDH41" s="261"/>
      <c r="VDI41" s="261"/>
      <c r="VDJ41" s="261"/>
      <c r="VDK41" s="261"/>
      <c r="VDL41" s="261"/>
      <c r="VDM41" s="261"/>
      <c r="VDN41" s="261"/>
      <c r="VDO41" s="261"/>
      <c r="VDP41" s="261"/>
      <c r="VDQ41" s="261"/>
      <c r="VDR41" s="261"/>
      <c r="VDS41" s="261"/>
      <c r="VDT41" s="261"/>
      <c r="VDU41" s="261"/>
      <c r="VDV41" s="261"/>
      <c r="VDW41" s="261"/>
      <c r="VDX41" s="261"/>
      <c r="VDY41" s="261"/>
      <c r="VDZ41" s="261"/>
      <c r="VEA41" s="261"/>
      <c r="VEB41" s="261"/>
      <c r="VEC41" s="261"/>
      <c r="VED41" s="261"/>
      <c r="VEE41" s="261"/>
      <c r="VEF41" s="261"/>
      <c r="VEG41" s="261"/>
      <c r="VEH41" s="261"/>
      <c r="VEI41" s="261"/>
      <c r="VEJ41" s="261"/>
      <c r="VEK41" s="261"/>
      <c r="VEL41" s="261"/>
      <c r="VEM41" s="261"/>
      <c r="VEN41" s="261"/>
      <c r="VEO41" s="261"/>
      <c r="VEP41" s="261"/>
      <c r="VEQ41" s="261"/>
      <c r="VER41" s="261"/>
      <c r="VES41" s="261"/>
      <c r="VET41" s="261"/>
      <c r="VEU41" s="261"/>
      <c r="VEV41" s="261"/>
      <c r="VEW41" s="261"/>
      <c r="VEX41" s="261"/>
      <c r="VEY41" s="261"/>
      <c r="VEZ41" s="261"/>
      <c r="VFA41" s="261"/>
      <c r="VFB41" s="261"/>
      <c r="VFC41" s="261"/>
      <c r="VFD41" s="261"/>
      <c r="VFE41" s="261"/>
      <c r="VFF41" s="261"/>
      <c r="VFG41" s="261"/>
      <c r="VFH41" s="261"/>
      <c r="VFI41" s="261"/>
      <c r="VFJ41" s="261"/>
      <c r="VFK41" s="261"/>
      <c r="VFL41" s="261"/>
      <c r="VFM41" s="261"/>
      <c r="VFN41" s="261"/>
      <c r="VFO41" s="261"/>
      <c r="VFP41" s="261"/>
      <c r="VFQ41" s="261"/>
      <c r="VFR41" s="261"/>
      <c r="VFS41" s="261"/>
      <c r="VFT41" s="261"/>
      <c r="VFU41" s="261"/>
      <c r="VFV41" s="261"/>
      <c r="VFW41" s="261"/>
      <c r="VFX41" s="261"/>
      <c r="VFY41" s="261"/>
      <c r="VFZ41" s="261"/>
      <c r="VGA41" s="261"/>
      <c r="VGB41" s="261"/>
      <c r="VGC41" s="261"/>
      <c r="VGD41" s="261"/>
      <c r="VGE41" s="261"/>
      <c r="VGF41" s="261"/>
      <c r="VGG41" s="261"/>
      <c r="VGH41" s="261"/>
      <c r="VGI41" s="261"/>
      <c r="VGJ41" s="261"/>
      <c r="VGK41" s="261"/>
      <c r="VGL41" s="261"/>
      <c r="VGM41" s="261"/>
      <c r="VGN41" s="261"/>
      <c r="VGO41" s="261"/>
      <c r="VGP41" s="261"/>
      <c r="VGQ41" s="261"/>
      <c r="VGR41" s="261"/>
      <c r="VGS41" s="261"/>
      <c r="VGT41" s="261"/>
      <c r="VGU41" s="261"/>
      <c r="VGV41" s="261"/>
      <c r="VGW41" s="261"/>
      <c r="VGX41" s="261"/>
      <c r="VGY41" s="261"/>
      <c r="VGZ41" s="261"/>
      <c r="VHA41" s="261"/>
      <c r="VHB41" s="261"/>
      <c r="VHC41" s="261"/>
      <c r="VHD41" s="261"/>
      <c r="VHE41" s="261"/>
      <c r="VHF41" s="261"/>
      <c r="VHG41" s="261"/>
      <c r="VHH41" s="261"/>
      <c r="VHI41" s="261"/>
      <c r="VHJ41" s="261"/>
      <c r="VHK41" s="261"/>
      <c r="VHL41" s="261"/>
      <c r="VHM41" s="261"/>
      <c r="VHN41" s="261"/>
      <c r="VHO41" s="261"/>
      <c r="VHP41" s="261"/>
      <c r="VHQ41" s="261"/>
      <c r="VHR41" s="261"/>
      <c r="VHS41" s="261"/>
      <c r="VHT41" s="261"/>
      <c r="VHU41" s="261"/>
      <c r="VHV41" s="261"/>
      <c r="VHW41" s="261"/>
      <c r="VHX41" s="261"/>
      <c r="VHY41" s="261"/>
      <c r="VHZ41" s="261"/>
      <c r="VIA41" s="261"/>
      <c r="VIB41" s="261"/>
      <c r="VIC41" s="261"/>
      <c r="VID41" s="261"/>
      <c r="VIE41" s="261"/>
      <c r="VIF41" s="261"/>
      <c r="VIG41" s="261"/>
      <c r="VIH41" s="261"/>
      <c r="VII41" s="261"/>
      <c r="VIJ41" s="261"/>
      <c r="VIK41" s="261"/>
      <c r="VIL41" s="261"/>
      <c r="VIM41" s="261"/>
      <c r="VIN41" s="261"/>
      <c r="VIO41" s="261"/>
      <c r="VIP41" s="261"/>
      <c r="VIQ41" s="261"/>
      <c r="VIR41" s="261"/>
      <c r="VIS41" s="261"/>
      <c r="VIT41" s="261"/>
      <c r="VIU41" s="261"/>
      <c r="VIV41" s="261"/>
      <c r="VIW41" s="261"/>
      <c r="VIX41" s="261"/>
      <c r="VIY41" s="261"/>
      <c r="VIZ41" s="261"/>
      <c r="VJA41" s="261"/>
      <c r="VJB41" s="261"/>
      <c r="VJC41" s="261"/>
      <c r="VJD41" s="261"/>
      <c r="VJE41" s="261"/>
      <c r="VJF41" s="261"/>
      <c r="VJG41" s="261"/>
      <c r="VJH41" s="261"/>
      <c r="VJI41" s="261"/>
      <c r="VJJ41" s="261"/>
      <c r="VJK41" s="261"/>
      <c r="VJL41" s="261"/>
      <c r="VJM41" s="261"/>
      <c r="VJN41" s="261"/>
      <c r="VJO41" s="261"/>
      <c r="VJP41" s="261"/>
      <c r="VJQ41" s="261"/>
      <c r="VJR41" s="261"/>
      <c r="VJS41" s="261"/>
      <c r="VJT41" s="261"/>
      <c r="VJU41" s="261"/>
      <c r="VJV41" s="261"/>
      <c r="VJW41" s="261"/>
      <c r="VJX41" s="261"/>
      <c r="VJY41" s="261"/>
      <c r="VJZ41" s="261"/>
      <c r="VKA41" s="261"/>
      <c r="VKB41" s="261"/>
      <c r="VKC41" s="261"/>
      <c r="VKD41" s="261"/>
      <c r="VKE41" s="261"/>
      <c r="VKF41" s="261"/>
      <c r="VKG41" s="261"/>
      <c r="VKH41" s="261"/>
      <c r="VKI41" s="261"/>
      <c r="VKJ41" s="261"/>
      <c r="VKK41" s="261"/>
      <c r="VKL41" s="261"/>
      <c r="VKM41" s="261"/>
      <c r="VKN41" s="261"/>
      <c r="VKO41" s="261"/>
      <c r="VKP41" s="261"/>
      <c r="VKQ41" s="261"/>
      <c r="VKR41" s="261"/>
      <c r="VKS41" s="261"/>
      <c r="VKT41" s="261"/>
      <c r="VKU41" s="261"/>
      <c r="VKV41" s="261"/>
      <c r="VKW41" s="261"/>
      <c r="VKX41" s="261"/>
      <c r="VKY41" s="261"/>
      <c r="VKZ41" s="261"/>
      <c r="VLA41" s="261"/>
      <c r="VLB41" s="261"/>
      <c r="VLC41" s="261"/>
      <c r="VLD41" s="261"/>
      <c r="VLE41" s="261"/>
      <c r="VLF41" s="261"/>
      <c r="VLG41" s="261"/>
      <c r="VLH41" s="261"/>
      <c r="VLI41" s="261"/>
      <c r="VLJ41" s="261"/>
      <c r="VLK41" s="261"/>
      <c r="VLL41" s="261"/>
      <c r="VLM41" s="261"/>
      <c r="VLN41" s="261"/>
      <c r="VLO41" s="261"/>
      <c r="VLP41" s="261"/>
      <c r="VLQ41" s="261"/>
      <c r="VLR41" s="261"/>
      <c r="VLS41" s="261"/>
      <c r="VLT41" s="261"/>
      <c r="VLU41" s="261"/>
      <c r="VLV41" s="261"/>
      <c r="VLW41" s="261"/>
      <c r="VLX41" s="261"/>
      <c r="VLY41" s="261"/>
      <c r="VLZ41" s="261"/>
      <c r="VMA41" s="261"/>
      <c r="VMB41" s="261"/>
      <c r="VMC41" s="261"/>
      <c r="VMD41" s="261"/>
      <c r="VME41" s="261"/>
      <c r="VMF41" s="261"/>
      <c r="VMG41" s="261"/>
      <c r="VMH41" s="261"/>
      <c r="VMI41" s="261"/>
      <c r="VMJ41" s="261"/>
      <c r="VMK41" s="261"/>
      <c r="VML41" s="261"/>
      <c r="VMM41" s="261"/>
      <c r="VMN41" s="261"/>
      <c r="VMO41" s="261"/>
      <c r="VMP41" s="261"/>
      <c r="VMQ41" s="261"/>
      <c r="VMR41" s="261"/>
      <c r="VMS41" s="261"/>
      <c r="VMT41" s="261"/>
      <c r="VMU41" s="261"/>
      <c r="VMV41" s="261"/>
      <c r="VMW41" s="261"/>
      <c r="VMX41" s="261"/>
      <c r="VMY41" s="261"/>
      <c r="VMZ41" s="261"/>
      <c r="VNA41" s="261"/>
      <c r="VNB41" s="261"/>
      <c r="VNC41" s="261"/>
      <c r="VND41" s="261"/>
      <c r="VNE41" s="261"/>
      <c r="VNF41" s="261"/>
      <c r="VNG41" s="261"/>
      <c r="VNH41" s="261"/>
      <c r="VNI41" s="261"/>
      <c r="VNJ41" s="261"/>
      <c r="VNK41" s="261"/>
      <c r="VNL41" s="261"/>
      <c r="VNM41" s="261"/>
      <c r="VNN41" s="261"/>
      <c r="VNO41" s="261"/>
      <c r="VNP41" s="261"/>
      <c r="VNQ41" s="261"/>
      <c r="VNR41" s="261"/>
      <c r="VNS41" s="261"/>
      <c r="VNT41" s="261"/>
      <c r="VNU41" s="261"/>
      <c r="VNV41" s="261"/>
      <c r="VNW41" s="261"/>
      <c r="VNX41" s="261"/>
      <c r="VNY41" s="261"/>
      <c r="VNZ41" s="261"/>
      <c r="VOA41" s="261"/>
      <c r="VOB41" s="261"/>
      <c r="VOC41" s="261"/>
      <c r="VOD41" s="261"/>
      <c r="VOE41" s="261"/>
      <c r="VOF41" s="261"/>
      <c r="VOG41" s="261"/>
      <c r="VOH41" s="261"/>
      <c r="VOI41" s="261"/>
      <c r="VOJ41" s="261"/>
      <c r="VOK41" s="261"/>
      <c r="VOL41" s="261"/>
      <c r="VOM41" s="261"/>
      <c r="VON41" s="261"/>
      <c r="VOO41" s="261"/>
      <c r="VOP41" s="261"/>
      <c r="VOQ41" s="261"/>
      <c r="VOR41" s="261"/>
      <c r="VOS41" s="261"/>
      <c r="VOT41" s="261"/>
      <c r="VOU41" s="261"/>
      <c r="VOV41" s="261"/>
      <c r="VOW41" s="261"/>
      <c r="VOX41" s="261"/>
      <c r="VOY41" s="261"/>
      <c r="VOZ41" s="261"/>
      <c r="VPA41" s="261"/>
      <c r="VPB41" s="261"/>
      <c r="VPC41" s="261"/>
      <c r="VPD41" s="261"/>
      <c r="VPE41" s="261"/>
      <c r="VPF41" s="261"/>
      <c r="VPG41" s="261"/>
      <c r="VPH41" s="261"/>
      <c r="VPI41" s="261"/>
      <c r="VPJ41" s="261"/>
      <c r="VPK41" s="261"/>
      <c r="VPL41" s="261"/>
      <c r="VPM41" s="261"/>
      <c r="VPN41" s="261"/>
      <c r="VPO41" s="261"/>
      <c r="VPP41" s="261"/>
      <c r="VPQ41" s="261"/>
      <c r="VPR41" s="261"/>
      <c r="VPS41" s="261"/>
      <c r="VPT41" s="261"/>
      <c r="VPU41" s="261"/>
      <c r="VPV41" s="261"/>
      <c r="VPW41" s="261"/>
      <c r="VPX41" s="261"/>
      <c r="VPY41" s="261"/>
      <c r="VPZ41" s="261"/>
      <c r="VQA41" s="261"/>
      <c r="VQB41" s="261"/>
      <c r="VQC41" s="261"/>
      <c r="VQD41" s="261"/>
      <c r="VQE41" s="261"/>
      <c r="VQF41" s="261"/>
      <c r="VQG41" s="261"/>
      <c r="VQH41" s="261"/>
      <c r="VQI41" s="261"/>
      <c r="VQJ41" s="261"/>
      <c r="VQK41" s="261"/>
      <c r="VQL41" s="261"/>
      <c r="VQM41" s="261"/>
      <c r="VQN41" s="261"/>
      <c r="VQO41" s="261"/>
      <c r="VQP41" s="261"/>
      <c r="VQQ41" s="261"/>
      <c r="VQR41" s="261"/>
      <c r="VQS41" s="261"/>
      <c r="VQT41" s="261"/>
      <c r="VQU41" s="261"/>
      <c r="VQV41" s="261"/>
      <c r="VQW41" s="261"/>
      <c r="VQX41" s="261"/>
      <c r="VQY41" s="261"/>
      <c r="VQZ41" s="261"/>
      <c r="VRA41" s="261"/>
      <c r="VRB41" s="261"/>
      <c r="VRC41" s="261"/>
      <c r="VRD41" s="261"/>
      <c r="VRE41" s="261"/>
      <c r="VRF41" s="261"/>
      <c r="VRG41" s="261"/>
      <c r="VRH41" s="261"/>
      <c r="VRI41" s="261"/>
      <c r="VRJ41" s="261"/>
      <c r="VRK41" s="261"/>
      <c r="VRL41" s="261"/>
      <c r="VRM41" s="261"/>
      <c r="VRN41" s="261"/>
      <c r="VRO41" s="261"/>
      <c r="VRP41" s="261"/>
      <c r="VRQ41" s="261"/>
      <c r="VRR41" s="261"/>
      <c r="VRS41" s="261"/>
      <c r="VRT41" s="261"/>
      <c r="VRU41" s="261"/>
      <c r="VRV41" s="261"/>
      <c r="VRW41" s="261"/>
      <c r="VRX41" s="261"/>
      <c r="VRY41" s="261"/>
      <c r="VRZ41" s="261"/>
      <c r="VSA41" s="261"/>
      <c r="VSB41" s="261"/>
      <c r="VSC41" s="261"/>
      <c r="VSD41" s="261"/>
      <c r="VSE41" s="261"/>
      <c r="VSF41" s="261"/>
      <c r="VSG41" s="261"/>
      <c r="VSH41" s="261"/>
      <c r="VSI41" s="261"/>
      <c r="VSJ41" s="261"/>
      <c r="VSK41" s="261"/>
      <c r="VSL41" s="261"/>
      <c r="VSM41" s="261"/>
      <c r="VSN41" s="261"/>
      <c r="VSO41" s="261"/>
      <c r="VSP41" s="261"/>
      <c r="VSQ41" s="261"/>
      <c r="VSR41" s="261"/>
      <c r="VSS41" s="261"/>
      <c r="VST41" s="261"/>
      <c r="VSU41" s="261"/>
      <c r="VSV41" s="261"/>
      <c r="VSW41" s="261"/>
      <c r="VSX41" s="261"/>
      <c r="VSY41" s="261"/>
      <c r="VSZ41" s="261"/>
      <c r="VTA41" s="261"/>
      <c r="VTB41" s="261"/>
      <c r="VTC41" s="261"/>
      <c r="VTD41" s="261"/>
      <c r="VTE41" s="261"/>
      <c r="VTF41" s="261"/>
      <c r="VTG41" s="261"/>
      <c r="VTH41" s="261"/>
      <c r="VTI41" s="261"/>
      <c r="VTJ41" s="261"/>
      <c r="VTK41" s="261"/>
      <c r="VTL41" s="261"/>
      <c r="VTM41" s="261"/>
      <c r="VTN41" s="261"/>
      <c r="VTO41" s="261"/>
      <c r="VTP41" s="261"/>
      <c r="VTQ41" s="261"/>
      <c r="VTR41" s="261"/>
      <c r="VTS41" s="261"/>
      <c r="VTT41" s="261"/>
      <c r="VTU41" s="261"/>
      <c r="VTV41" s="261"/>
      <c r="VTW41" s="261"/>
      <c r="VTX41" s="261"/>
      <c r="VTY41" s="261"/>
      <c r="VTZ41" s="261"/>
      <c r="VUA41" s="261"/>
      <c r="VUB41" s="261"/>
      <c r="VUC41" s="261"/>
      <c r="VUD41" s="261"/>
      <c r="VUE41" s="261"/>
      <c r="VUF41" s="261"/>
      <c r="VUG41" s="261"/>
      <c r="VUH41" s="261"/>
      <c r="VUI41" s="261"/>
      <c r="VUJ41" s="261"/>
      <c r="VUK41" s="261"/>
      <c r="VUL41" s="261"/>
      <c r="VUM41" s="261"/>
      <c r="VUN41" s="261"/>
      <c r="VUO41" s="261"/>
      <c r="VUP41" s="261"/>
      <c r="VUQ41" s="261"/>
      <c r="VUR41" s="261"/>
      <c r="VUS41" s="261"/>
      <c r="VUT41" s="261"/>
      <c r="VUU41" s="261"/>
      <c r="VUV41" s="261"/>
      <c r="VUW41" s="261"/>
      <c r="VUX41" s="261"/>
      <c r="VUY41" s="261"/>
      <c r="VUZ41" s="261"/>
      <c r="VVA41" s="261"/>
      <c r="VVB41" s="261"/>
      <c r="VVC41" s="261"/>
      <c r="VVD41" s="261"/>
      <c r="VVE41" s="261"/>
      <c r="VVF41" s="261"/>
      <c r="VVG41" s="261"/>
      <c r="VVH41" s="261"/>
      <c r="VVI41" s="261"/>
      <c r="VVJ41" s="261"/>
      <c r="VVK41" s="261"/>
      <c r="VVL41" s="261"/>
      <c r="VVM41" s="261"/>
      <c r="VVN41" s="261"/>
      <c r="VVO41" s="261"/>
      <c r="VVP41" s="261"/>
      <c r="VVQ41" s="261"/>
      <c r="VVR41" s="261"/>
      <c r="VVS41" s="261"/>
      <c r="VVT41" s="261"/>
      <c r="VVU41" s="261"/>
      <c r="VVV41" s="261"/>
      <c r="VVW41" s="261"/>
      <c r="VVX41" s="261"/>
      <c r="VVY41" s="261"/>
      <c r="VVZ41" s="261"/>
      <c r="VWA41" s="261"/>
      <c r="VWB41" s="261"/>
      <c r="VWC41" s="261"/>
      <c r="VWD41" s="261"/>
      <c r="VWE41" s="261"/>
      <c r="VWF41" s="261"/>
      <c r="VWG41" s="261"/>
      <c r="VWH41" s="261"/>
      <c r="VWI41" s="261"/>
      <c r="VWJ41" s="261"/>
      <c r="VWK41" s="261"/>
      <c r="VWL41" s="261"/>
      <c r="VWM41" s="261"/>
      <c r="VWN41" s="261"/>
      <c r="VWO41" s="261"/>
      <c r="VWP41" s="261"/>
      <c r="VWQ41" s="261"/>
      <c r="VWR41" s="261"/>
      <c r="VWS41" s="261"/>
      <c r="VWT41" s="261"/>
      <c r="VWU41" s="261"/>
      <c r="VWV41" s="261"/>
      <c r="VWW41" s="261"/>
      <c r="VWX41" s="261"/>
      <c r="VWY41" s="261"/>
      <c r="VWZ41" s="261"/>
      <c r="VXA41" s="261"/>
      <c r="VXB41" s="261"/>
      <c r="VXC41" s="261"/>
      <c r="VXD41" s="261"/>
      <c r="VXE41" s="261"/>
      <c r="VXF41" s="261"/>
      <c r="VXG41" s="261"/>
      <c r="VXH41" s="261"/>
      <c r="VXI41" s="261"/>
      <c r="VXJ41" s="261"/>
      <c r="VXK41" s="261"/>
      <c r="VXL41" s="261"/>
      <c r="VXM41" s="261"/>
      <c r="VXN41" s="261"/>
      <c r="VXO41" s="261"/>
      <c r="VXP41" s="261"/>
      <c r="VXQ41" s="261"/>
      <c r="VXR41" s="261"/>
      <c r="VXS41" s="261"/>
      <c r="VXT41" s="261"/>
      <c r="VXU41" s="261"/>
      <c r="VXV41" s="261"/>
      <c r="VXW41" s="261"/>
      <c r="VXX41" s="261"/>
      <c r="VXY41" s="261"/>
      <c r="VXZ41" s="261"/>
      <c r="VYA41" s="261"/>
      <c r="VYB41" s="261"/>
      <c r="VYC41" s="261"/>
      <c r="VYD41" s="261"/>
      <c r="VYE41" s="261"/>
      <c r="VYF41" s="261"/>
      <c r="VYG41" s="261"/>
      <c r="VYH41" s="261"/>
      <c r="VYI41" s="261"/>
      <c r="VYJ41" s="261"/>
      <c r="VYK41" s="261"/>
      <c r="VYL41" s="261"/>
      <c r="VYM41" s="261"/>
      <c r="VYN41" s="261"/>
      <c r="VYO41" s="261"/>
      <c r="VYP41" s="261"/>
      <c r="VYQ41" s="261"/>
      <c r="VYR41" s="261"/>
      <c r="VYS41" s="261"/>
      <c r="VYT41" s="261"/>
      <c r="VYU41" s="261"/>
      <c r="VYV41" s="261"/>
      <c r="VYW41" s="261"/>
      <c r="VYX41" s="261"/>
      <c r="VYY41" s="261"/>
      <c r="VYZ41" s="261"/>
      <c r="VZA41" s="261"/>
      <c r="VZB41" s="261"/>
      <c r="VZC41" s="261"/>
      <c r="VZD41" s="261"/>
      <c r="VZE41" s="261"/>
      <c r="VZF41" s="261"/>
      <c r="VZG41" s="261"/>
      <c r="VZH41" s="261"/>
      <c r="VZI41" s="261"/>
      <c r="VZJ41" s="261"/>
      <c r="VZK41" s="261"/>
      <c r="VZL41" s="261"/>
      <c r="VZM41" s="261"/>
      <c r="VZN41" s="261"/>
      <c r="VZO41" s="261"/>
      <c r="VZP41" s="261"/>
      <c r="VZQ41" s="261"/>
      <c r="VZR41" s="261"/>
      <c r="VZS41" s="261"/>
      <c r="VZT41" s="261"/>
      <c r="VZU41" s="261"/>
      <c r="VZV41" s="261"/>
      <c r="VZW41" s="261"/>
      <c r="VZX41" s="261"/>
      <c r="VZY41" s="261"/>
      <c r="VZZ41" s="261"/>
      <c r="WAA41" s="261"/>
      <c r="WAB41" s="261"/>
      <c r="WAC41" s="261"/>
      <c r="WAD41" s="261"/>
      <c r="WAE41" s="261"/>
      <c r="WAF41" s="261"/>
      <c r="WAG41" s="261"/>
      <c r="WAH41" s="261"/>
      <c r="WAI41" s="261"/>
      <c r="WAJ41" s="261"/>
      <c r="WAK41" s="261"/>
      <c r="WAL41" s="261"/>
      <c r="WAM41" s="261"/>
      <c r="WAN41" s="261"/>
      <c r="WAO41" s="261"/>
      <c r="WAP41" s="261"/>
      <c r="WAQ41" s="261"/>
      <c r="WAR41" s="261"/>
      <c r="WAS41" s="261"/>
      <c r="WAT41" s="261"/>
      <c r="WAU41" s="261"/>
      <c r="WAV41" s="261"/>
      <c r="WAW41" s="261"/>
      <c r="WAX41" s="261"/>
      <c r="WAY41" s="261"/>
      <c r="WAZ41" s="261"/>
      <c r="WBA41" s="261"/>
      <c r="WBB41" s="261"/>
      <c r="WBC41" s="261"/>
      <c r="WBD41" s="261"/>
      <c r="WBE41" s="261"/>
      <c r="WBF41" s="261"/>
      <c r="WBG41" s="261"/>
      <c r="WBH41" s="261"/>
      <c r="WBI41" s="261"/>
      <c r="WBJ41" s="261"/>
      <c r="WBK41" s="261"/>
      <c r="WBL41" s="261"/>
      <c r="WBM41" s="261"/>
      <c r="WBN41" s="261"/>
      <c r="WBO41" s="261"/>
      <c r="WBP41" s="261"/>
      <c r="WBQ41" s="261"/>
      <c r="WBR41" s="261"/>
      <c r="WBS41" s="261"/>
      <c r="WBT41" s="261"/>
      <c r="WBU41" s="261"/>
      <c r="WBV41" s="261"/>
      <c r="WBW41" s="261"/>
      <c r="WBX41" s="261"/>
      <c r="WBY41" s="261"/>
      <c r="WBZ41" s="261"/>
      <c r="WCA41" s="261"/>
      <c r="WCB41" s="261"/>
      <c r="WCC41" s="261"/>
      <c r="WCD41" s="261"/>
      <c r="WCE41" s="261"/>
      <c r="WCF41" s="261"/>
      <c r="WCG41" s="261"/>
      <c r="WCH41" s="261"/>
      <c r="WCI41" s="261"/>
      <c r="WCJ41" s="261"/>
      <c r="WCK41" s="261"/>
      <c r="WCL41" s="261"/>
      <c r="WCM41" s="261"/>
      <c r="WCN41" s="261"/>
      <c r="WCO41" s="261"/>
      <c r="WCP41" s="261"/>
      <c r="WCQ41" s="261"/>
      <c r="WCR41" s="261"/>
      <c r="WCS41" s="261"/>
      <c r="WCT41" s="261"/>
      <c r="WCU41" s="261"/>
      <c r="WCV41" s="261"/>
      <c r="WCW41" s="261"/>
      <c r="WCX41" s="261"/>
      <c r="WCY41" s="261"/>
      <c r="WCZ41" s="261"/>
      <c r="WDA41" s="261"/>
      <c r="WDB41" s="261"/>
      <c r="WDC41" s="261"/>
      <c r="WDD41" s="261"/>
      <c r="WDE41" s="261"/>
      <c r="WDF41" s="261"/>
      <c r="WDG41" s="261"/>
      <c r="WDH41" s="261"/>
      <c r="WDI41" s="261"/>
      <c r="WDJ41" s="261"/>
      <c r="WDK41" s="261"/>
      <c r="WDL41" s="261"/>
      <c r="WDM41" s="261"/>
      <c r="WDN41" s="261"/>
      <c r="WDO41" s="261"/>
      <c r="WDP41" s="261"/>
      <c r="WDQ41" s="261"/>
      <c r="WDR41" s="261"/>
      <c r="WDS41" s="261"/>
      <c r="WDT41" s="261"/>
      <c r="WDU41" s="261"/>
      <c r="WDV41" s="261"/>
      <c r="WDW41" s="261"/>
      <c r="WDX41" s="261"/>
      <c r="WDY41" s="261"/>
      <c r="WDZ41" s="261"/>
      <c r="WEA41" s="261"/>
      <c r="WEB41" s="261"/>
      <c r="WEC41" s="261"/>
      <c r="WED41" s="261"/>
      <c r="WEE41" s="261"/>
      <c r="WEF41" s="261"/>
      <c r="WEG41" s="261"/>
      <c r="WEH41" s="261"/>
      <c r="WEI41" s="261"/>
      <c r="WEJ41" s="261"/>
      <c r="WEK41" s="261"/>
      <c r="WEL41" s="261"/>
      <c r="WEM41" s="261"/>
      <c r="WEN41" s="261"/>
      <c r="WEO41" s="261"/>
      <c r="WEP41" s="261"/>
      <c r="WEQ41" s="261"/>
      <c r="WER41" s="261"/>
      <c r="WES41" s="261"/>
      <c r="WET41" s="261"/>
      <c r="WEU41" s="261"/>
      <c r="WEV41" s="261"/>
      <c r="WEW41" s="261"/>
      <c r="WEX41" s="261"/>
      <c r="WEY41" s="261"/>
      <c r="WEZ41" s="261"/>
      <c r="WFA41" s="261"/>
      <c r="WFB41" s="261"/>
      <c r="WFC41" s="261"/>
      <c r="WFD41" s="261"/>
      <c r="WFE41" s="261"/>
      <c r="WFF41" s="261"/>
      <c r="WFG41" s="261"/>
      <c r="WFH41" s="261"/>
      <c r="WFI41" s="261"/>
      <c r="WFJ41" s="261"/>
      <c r="WFK41" s="261"/>
      <c r="WFL41" s="261"/>
      <c r="WFM41" s="261"/>
      <c r="WFN41" s="261"/>
      <c r="WFO41" s="261"/>
      <c r="WFP41" s="261"/>
      <c r="WFQ41" s="261"/>
      <c r="WFR41" s="261"/>
      <c r="WFS41" s="261"/>
      <c r="WFT41" s="261"/>
      <c r="WFU41" s="261"/>
      <c r="WFV41" s="261"/>
      <c r="WFW41" s="261"/>
      <c r="WFX41" s="261"/>
      <c r="WFY41" s="261"/>
      <c r="WFZ41" s="261"/>
      <c r="WGA41" s="261"/>
      <c r="WGB41" s="261"/>
      <c r="WGC41" s="261"/>
      <c r="WGD41" s="261"/>
      <c r="WGE41" s="261"/>
      <c r="WGF41" s="261"/>
      <c r="WGG41" s="261"/>
      <c r="WGH41" s="261"/>
      <c r="WGI41" s="261"/>
      <c r="WGJ41" s="261"/>
      <c r="WGK41" s="261"/>
      <c r="WGL41" s="261"/>
      <c r="WGM41" s="261"/>
      <c r="WGN41" s="261"/>
      <c r="WGO41" s="261"/>
      <c r="WGP41" s="261"/>
      <c r="WGQ41" s="261"/>
      <c r="WGR41" s="261"/>
      <c r="WGS41" s="261"/>
      <c r="WGT41" s="261"/>
      <c r="WGU41" s="261"/>
      <c r="WGV41" s="261"/>
      <c r="WGW41" s="261"/>
      <c r="WGX41" s="261"/>
      <c r="WGY41" s="261"/>
      <c r="WGZ41" s="261"/>
      <c r="WHA41" s="261"/>
      <c r="WHB41" s="261"/>
      <c r="WHC41" s="261"/>
      <c r="WHD41" s="261"/>
      <c r="WHE41" s="261"/>
      <c r="WHF41" s="261"/>
      <c r="WHG41" s="261"/>
      <c r="WHH41" s="261"/>
      <c r="WHI41" s="261"/>
      <c r="WHJ41" s="261"/>
      <c r="WHK41" s="261"/>
      <c r="WHL41" s="261"/>
      <c r="WHM41" s="261"/>
      <c r="WHN41" s="261"/>
      <c r="WHO41" s="261"/>
      <c r="WHP41" s="261"/>
      <c r="WHQ41" s="261"/>
      <c r="WHR41" s="261"/>
      <c r="WHS41" s="261"/>
      <c r="WHT41" s="261"/>
      <c r="WHU41" s="261"/>
      <c r="WHV41" s="261"/>
      <c r="WHW41" s="261"/>
      <c r="WHX41" s="261"/>
      <c r="WHY41" s="261"/>
      <c r="WHZ41" s="261"/>
      <c r="WIA41" s="261"/>
      <c r="WIB41" s="261"/>
      <c r="WIC41" s="261"/>
      <c r="WID41" s="261"/>
      <c r="WIE41" s="261"/>
      <c r="WIF41" s="261"/>
      <c r="WIG41" s="261"/>
      <c r="WIH41" s="261"/>
      <c r="WII41" s="261"/>
      <c r="WIJ41" s="261"/>
      <c r="WIK41" s="261"/>
      <c r="WIL41" s="261"/>
      <c r="WIM41" s="261"/>
      <c r="WIN41" s="261"/>
      <c r="WIO41" s="261"/>
      <c r="WIP41" s="261"/>
      <c r="WIQ41" s="261"/>
      <c r="WIR41" s="261"/>
      <c r="WIS41" s="261"/>
      <c r="WIT41" s="261"/>
      <c r="WIU41" s="261"/>
      <c r="WIV41" s="261"/>
      <c r="WIW41" s="261"/>
      <c r="WIX41" s="261"/>
      <c r="WIY41" s="261"/>
      <c r="WIZ41" s="261"/>
      <c r="WJA41" s="261"/>
      <c r="WJB41" s="261"/>
      <c r="WJC41" s="261"/>
      <c r="WJD41" s="261"/>
      <c r="WJE41" s="261"/>
      <c r="WJF41" s="261"/>
      <c r="WJG41" s="261"/>
      <c r="WJH41" s="261"/>
      <c r="WJI41" s="261"/>
      <c r="WJJ41" s="261"/>
      <c r="WJK41" s="261"/>
      <c r="WJL41" s="261"/>
      <c r="WJM41" s="261"/>
      <c r="WJN41" s="261"/>
      <c r="WJO41" s="261"/>
      <c r="WJP41" s="261"/>
      <c r="WJQ41" s="261"/>
      <c r="WJR41" s="261"/>
      <c r="WJS41" s="261"/>
      <c r="WJT41" s="261"/>
      <c r="WJU41" s="261"/>
      <c r="WJV41" s="261"/>
      <c r="WJW41" s="261"/>
      <c r="WJX41" s="261"/>
      <c r="WJY41" s="261"/>
      <c r="WJZ41" s="261"/>
      <c r="WKA41" s="261"/>
      <c r="WKB41" s="261"/>
      <c r="WKC41" s="261"/>
      <c r="WKD41" s="261"/>
      <c r="WKE41" s="261"/>
      <c r="WKF41" s="261"/>
      <c r="WKG41" s="261"/>
      <c r="WKH41" s="261"/>
      <c r="WKI41" s="261"/>
      <c r="WKJ41" s="261"/>
      <c r="WKK41" s="261"/>
      <c r="WKL41" s="261"/>
      <c r="WKM41" s="261"/>
      <c r="WKN41" s="261"/>
      <c r="WKO41" s="261"/>
      <c r="WKP41" s="261"/>
      <c r="WKQ41" s="261"/>
      <c r="WKR41" s="261"/>
      <c r="WKS41" s="261"/>
      <c r="WKT41" s="261"/>
      <c r="WKU41" s="261"/>
      <c r="WKV41" s="261"/>
      <c r="WKW41" s="261"/>
      <c r="WKX41" s="261"/>
      <c r="WKY41" s="261"/>
      <c r="WKZ41" s="261"/>
      <c r="WLA41" s="261"/>
      <c r="WLB41" s="261"/>
      <c r="WLC41" s="261"/>
      <c r="WLD41" s="261"/>
      <c r="WLE41" s="261"/>
      <c r="WLF41" s="261"/>
      <c r="WLG41" s="261"/>
      <c r="WLH41" s="261"/>
      <c r="WLI41" s="261"/>
      <c r="WLJ41" s="261"/>
      <c r="WLK41" s="261"/>
      <c r="WLL41" s="261"/>
      <c r="WLM41" s="261"/>
      <c r="WLN41" s="261"/>
      <c r="WLO41" s="261"/>
      <c r="WLP41" s="261"/>
      <c r="WLQ41" s="261"/>
      <c r="WLR41" s="261"/>
      <c r="WLS41" s="261"/>
      <c r="WLT41" s="261"/>
      <c r="WLU41" s="261"/>
      <c r="WLV41" s="261"/>
      <c r="WLW41" s="261"/>
      <c r="WLX41" s="261"/>
      <c r="WLY41" s="261"/>
      <c r="WLZ41" s="261"/>
      <c r="WMA41" s="261"/>
      <c r="WMB41" s="261"/>
      <c r="WMC41" s="261"/>
      <c r="WMD41" s="261"/>
      <c r="WME41" s="261"/>
      <c r="WMF41" s="261"/>
      <c r="WMG41" s="261"/>
      <c r="WMH41" s="261"/>
      <c r="WMI41" s="261"/>
      <c r="WMJ41" s="261"/>
      <c r="WMK41" s="261"/>
      <c r="WML41" s="261"/>
      <c r="WMM41" s="261"/>
      <c r="WMN41" s="261"/>
      <c r="WMO41" s="261"/>
      <c r="WMP41" s="261"/>
      <c r="WMQ41" s="261"/>
      <c r="WMR41" s="261"/>
      <c r="WMS41" s="261"/>
      <c r="WMT41" s="261"/>
      <c r="WMU41" s="261"/>
      <c r="WMV41" s="261"/>
      <c r="WMW41" s="261"/>
      <c r="WMX41" s="261"/>
      <c r="WMY41" s="261"/>
      <c r="WMZ41" s="261"/>
      <c r="WNA41" s="261"/>
      <c r="WNB41" s="261"/>
      <c r="WNC41" s="261"/>
      <c r="WND41" s="261"/>
      <c r="WNE41" s="261"/>
      <c r="WNF41" s="261"/>
      <c r="WNG41" s="261"/>
      <c r="WNH41" s="261"/>
      <c r="WNI41" s="261"/>
      <c r="WNJ41" s="261"/>
      <c r="WNK41" s="261"/>
      <c r="WNL41" s="261"/>
      <c r="WNM41" s="261"/>
      <c r="WNN41" s="261"/>
      <c r="WNO41" s="261"/>
      <c r="WNP41" s="261"/>
      <c r="WNQ41" s="261"/>
      <c r="WNR41" s="261"/>
      <c r="WNS41" s="261"/>
      <c r="WNT41" s="261"/>
      <c r="WNU41" s="261"/>
      <c r="WNV41" s="261"/>
      <c r="WNW41" s="261"/>
      <c r="WNX41" s="261"/>
      <c r="WNY41" s="261"/>
      <c r="WNZ41" s="261"/>
      <c r="WOA41" s="261"/>
      <c r="WOB41" s="261"/>
      <c r="WOC41" s="261"/>
      <c r="WOD41" s="261"/>
      <c r="WOE41" s="261"/>
      <c r="WOF41" s="261"/>
      <c r="WOG41" s="261"/>
      <c r="WOH41" s="261"/>
      <c r="WOI41" s="261"/>
      <c r="WOJ41" s="261"/>
      <c r="WOK41" s="261"/>
      <c r="WOL41" s="261"/>
      <c r="WOM41" s="261"/>
      <c r="WON41" s="261"/>
      <c r="WOO41" s="261"/>
      <c r="WOP41" s="261"/>
      <c r="WOQ41" s="261"/>
      <c r="WOR41" s="261"/>
      <c r="WOS41" s="261"/>
      <c r="WOT41" s="261"/>
      <c r="WOU41" s="261"/>
      <c r="WOV41" s="261"/>
      <c r="WOW41" s="261"/>
      <c r="WOX41" s="261"/>
      <c r="WOY41" s="261"/>
      <c r="WOZ41" s="261"/>
      <c r="WPA41" s="261"/>
      <c r="WPB41" s="261"/>
      <c r="WPC41" s="261"/>
      <c r="WPD41" s="261"/>
      <c r="WPE41" s="261"/>
      <c r="WPF41" s="261"/>
      <c r="WPG41" s="261"/>
      <c r="WPH41" s="261"/>
      <c r="WPI41" s="261"/>
      <c r="WPJ41" s="261"/>
      <c r="WPK41" s="261"/>
      <c r="WPL41" s="261"/>
      <c r="WPM41" s="261"/>
      <c r="WPN41" s="261"/>
      <c r="WPO41" s="261"/>
      <c r="WPP41" s="261"/>
      <c r="WPQ41" s="261"/>
      <c r="WPR41" s="261"/>
      <c r="WPS41" s="261"/>
      <c r="WPT41" s="261"/>
      <c r="WPU41" s="261"/>
      <c r="WPV41" s="261"/>
      <c r="WPW41" s="261"/>
      <c r="WPX41" s="261"/>
      <c r="WPY41" s="261"/>
      <c r="WPZ41" s="261"/>
      <c r="WQA41" s="261"/>
      <c r="WQB41" s="261"/>
      <c r="WQC41" s="261"/>
      <c r="WQD41" s="261"/>
      <c r="WQE41" s="261"/>
      <c r="WQF41" s="261"/>
      <c r="WQG41" s="261"/>
      <c r="WQH41" s="261"/>
      <c r="WQI41" s="261"/>
      <c r="WQJ41" s="261"/>
      <c r="WQK41" s="261"/>
      <c r="WQL41" s="261"/>
      <c r="WQM41" s="261"/>
      <c r="WQN41" s="261"/>
      <c r="WQO41" s="261"/>
      <c r="WQP41" s="261"/>
      <c r="WQQ41" s="261"/>
      <c r="WQR41" s="261"/>
      <c r="WQS41" s="261"/>
      <c r="WQT41" s="261"/>
      <c r="WQU41" s="261"/>
      <c r="WQV41" s="261"/>
      <c r="WQW41" s="261"/>
      <c r="WQX41" s="261"/>
      <c r="WQY41" s="261"/>
      <c r="WQZ41" s="261"/>
      <c r="WRA41" s="261"/>
      <c r="WRB41" s="261"/>
      <c r="WRC41" s="261"/>
      <c r="WRD41" s="261"/>
      <c r="WRE41" s="261"/>
      <c r="WRF41" s="261"/>
      <c r="WRG41" s="261"/>
      <c r="WRH41" s="261"/>
      <c r="WRI41" s="261"/>
      <c r="WRJ41" s="261"/>
      <c r="WRK41" s="261"/>
      <c r="WRL41" s="261"/>
      <c r="WRM41" s="261"/>
      <c r="WRN41" s="261"/>
      <c r="WRO41" s="261"/>
      <c r="WRP41" s="261"/>
      <c r="WRQ41" s="261"/>
      <c r="WRR41" s="261"/>
      <c r="WRS41" s="261"/>
      <c r="WRT41" s="261"/>
      <c r="WRU41" s="261"/>
      <c r="WRV41" s="261"/>
      <c r="WRW41" s="261"/>
      <c r="WRX41" s="261"/>
      <c r="WRY41" s="261"/>
      <c r="WRZ41" s="261"/>
      <c r="WSA41" s="261"/>
      <c r="WSB41" s="261"/>
      <c r="WSC41" s="261"/>
      <c r="WSD41" s="261"/>
      <c r="WSE41" s="261"/>
      <c r="WSF41" s="261"/>
      <c r="WSG41" s="261"/>
      <c r="WSH41" s="261"/>
      <c r="WSI41" s="261"/>
      <c r="WSJ41" s="261"/>
      <c r="WSK41" s="261"/>
      <c r="WSL41" s="261"/>
      <c r="WSM41" s="261"/>
      <c r="WSN41" s="261"/>
      <c r="WSO41" s="261"/>
      <c r="WSP41" s="261"/>
      <c r="WSQ41" s="261"/>
      <c r="WSR41" s="261"/>
      <c r="WSS41" s="261"/>
      <c r="WST41" s="261"/>
      <c r="WSU41" s="261"/>
      <c r="WSV41" s="261"/>
      <c r="WSW41" s="261"/>
      <c r="WSX41" s="261"/>
      <c r="WSY41" s="261"/>
      <c r="WSZ41" s="261"/>
      <c r="WTA41" s="261"/>
      <c r="WTB41" s="261"/>
      <c r="WTC41" s="261"/>
      <c r="WTD41" s="261"/>
      <c r="WTE41" s="261"/>
      <c r="WTF41" s="261"/>
      <c r="WTG41" s="261"/>
      <c r="WTH41" s="261"/>
      <c r="WTI41" s="261"/>
      <c r="WTJ41" s="261"/>
      <c r="WTK41" s="261"/>
      <c r="WTL41" s="261"/>
      <c r="WTM41" s="261"/>
      <c r="WTN41" s="261"/>
      <c r="WTO41" s="261"/>
      <c r="WTP41" s="261"/>
      <c r="WTQ41" s="261"/>
      <c r="WTR41" s="261"/>
      <c r="WTS41" s="261"/>
      <c r="WTT41" s="261"/>
      <c r="WTU41" s="261"/>
      <c r="WTV41" s="261"/>
      <c r="WTW41" s="261"/>
      <c r="WTX41" s="261"/>
      <c r="WTY41" s="261"/>
      <c r="WTZ41" s="261"/>
      <c r="WUA41" s="261"/>
      <c r="WUB41" s="261"/>
      <c r="WUC41" s="261"/>
      <c r="WUD41" s="261"/>
      <c r="WUE41" s="261"/>
      <c r="WUF41" s="261"/>
      <c r="WUG41" s="261"/>
      <c r="WUH41" s="261"/>
      <c r="WUI41" s="261"/>
      <c r="WUJ41" s="261"/>
      <c r="WUK41" s="261"/>
      <c r="WUL41" s="261"/>
      <c r="WUM41" s="261"/>
      <c r="WUN41" s="261"/>
      <c r="WUO41" s="261"/>
      <c r="WUP41" s="261"/>
      <c r="WUQ41" s="261"/>
      <c r="WUR41" s="261"/>
      <c r="WUS41" s="261"/>
      <c r="WUT41" s="261"/>
      <c r="WUU41" s="261"/>
      <c r="WUV41" s="261"/>
      <c r="WUW41" s="261"/>
      <c r="WUX41" s="261"/>
      <c r="WUY41" s="261"/>
      <c r="WUZ41" s="261"/>
      <c r="WVA41" s="261"/>
      <c r="WVB41" s="261"/>
      <c r="WVC41" s="261"/>
      <c r="WVD41" s="261"/>
      <c r="WVE41" s="261"/>
      <c r="WVF41" s="261"/>
      <c r="WVG41" s="261"/>
      <c r="WVH41" s="261"/>
      <c r="WVI41" s="261"/>
      <c r="WVJ41" s="261"/>
      <c r="WVK41" s="261"/>
      <c r="WVL41" s="261"/>
      <c r="WVM41" s="261"/>
      <c r="WVN41" s="261"/>
      <c r="WVO41" s="261"/>
      <c r="WVP41" s="261"/>
      <c r="WVQ41" s="261"/>
      <c r="WVR41" s="261"/>
      <c r="WVS41" s="261"/>
      <c r="WVT41" s="261"/>
      <c r="WVU41" s="261"/>
      <c r="WVV41" s="261"/>
      <c r="WVW41" s="261"/>
      <c r="WVX41" s="261"/>
      <c r="WVY41" s="261"/>
      <c r="WVZ41" s="261"/>
      <c r="WWA41" s="261"/>
      <c r="WWB41" s="261"/>
      <c r="WWC41" s="261"/>
      <c r="WWD41" s="261"/>
      <c r="WWE41" s="261"/>
      <c r="WWF41" s="261"/>
      <c r="WWG41" s="261"/>
      <c r="WWH41" s="261"/>
      <c r="WWI41" s="261"/>
      <c r="WWJ41" s="261"/>
      <c r="WWK41" s="261"/>
      <c r="WWL41" s="261"/>
      <c r="WWM41" s="261"/>
      <c r="WWN41" s="261"/>
      <c r="WWO41" s="261"/>
      <c r="WWP41" s="261"/>
      <c r="WWQ41" s="261"/>
      <c r="WWR41" s="261"/>
      <c r="WWS41" s="261"/>
      <c r="WWT41" s="261"/>
      <c r="WWU41" s="261"/>
      <c r="WWV41" s="261"/>
      <c r="WWW41" s="261"/>
      <c r="WWX41" s="261"/>
      <c r="WWY41" s="261"/>
      <c r="WWZ41" s="261"/>
      <c r="WXA41" s="261"/>
      <c r="WXB41" s="261"/>
      <c r="WXC41" s="261"/>
      <c r="WXD41" s="261"/>
      <c r="WXE41" s="261"/>
      <c r="WXF41" s="261"/>
      <c r="WXG41" s="261"/>
      <c r="WXH41" s="261"/>
      <c r="WXI41" s="261"/>
      <c r="WXJ41" s="261"/>
      <c r="WXK41" s="261"/>
      <c r="WXL41" s="261"/>
      <c r="WXM41" s="261"/>
      <c r="WXN41" s="261"/>
      <c r="WXO41" s="261"/>
      <c r="WXP41" s="261"/>
      <c r="WXQ41" s="261"/>
      <c r="WXR41" s="261"/>
      <c r="WXS41" s="261"/>
      <c r="WXT41" s="261"/>
      <c r="WXU41" s="261"/>
      <c r="WXV41" s="261"/>
      <c r="WXW41" s="261"/>
      <c r="WXX41" s="261"/>
      <c r="WXY41" s="261"/>
      <c r="WXZ41" s="261"/>
      <c r="WYA41" s="261"/>
      <c r="WYB41" s="261"/>
      <c r="WYC41" s="261"/>
      <c r="WYD41" s="261"/>
      <c r="WYE41" s="261"/>
      <c r="WYF41" s="261"/>
      <c r="WYG41" s="261"/>
      <c r="WYH41" s="261"/>
      <c r="WYI41" s="261"/>
      <c r="WYJ41" s="261"/>
      <c r="WYK41" s="261"/>
      <c r="WYL41" s="261"/>
      <c r="WYM41" s="261"/>
      <c r="WYN41" s="261"/>
      <c r="WYO41" s="261"/>
      <c r="WYP41" s="261"/>
      <c r="WYQ41" s="261"/>
      <c r="WYR41" s="261"/>
      <c r="WYS41" s="261"/>
      <c r="WYT41" s="261"/>
      <c r="WYU41" s="261"/>
      <c r="WYV41" s="261"/>
      <c r="WYW41" s="261"/>
      <c r="WYX41" s="261"/>
      <c r="WYY41" s="261"/>
      <c r="WYZ41" s="261"/>
      <c r="WZA41" s="261"/>
      <c r="WZB41" s="261"/>
      <c r="WZC41" s="261"/>
      <c r="WZD41" s="261"/>
      <c r="WZE41" s="261"/>
      <c r="WZF41" s="261"/>
      <c r="WZG41" s="261"/>
      <c r="WZH41" s="261"/>
      <c r="WZI41" s="261"/>
      <c r="WZJ41" s="261"/>
      <c r="WZK41" s="261"/>
      <c r="WZL41" s="261"/>
      <c r="WZM41" s="261"/>
      <c r="WZN41" s="261"/>
      <c r="WZO41" s="261"/>
      <c r="WZP41" s="261"/>
      <c r="WZQ41" s="261"/>
      <c r="WZR41" s="261"/>
      <c r="WZS41" s="261"/>
      <c r="WZT41" s="261"/>
      <c r="WZU41" s="261"/>
      <c r="WZV41" s="261"/>
      <c r="WZW41" s="261"/>
      <c r="WZX41" s="261"/>
      <c r="WZY41" s="261"/>
      <c r="WZZ41" s="261"/>
      <c r="XAA41" s="261"/>
      <c r="XAB41" s="261"/>
      <c r="XAC41" s="261"/>
      <c r="XAD41" s="261"/>
      <c r="XAE41" s="261"/>
      <c r="XAF41" s="261"/>
      <c r="XAG41" s="261"/>
      <c r="XAH41" s="261"/>
      <c r="XAI41" s="261"/>
      <c r="XAJ41" s="261"/>
      <c r="XAK41" s="261"/>
      <c r="XAL41" s="261"/>
      <c r="XAM41" s="261"/>
      <c r="XAN41" s="261"/>
      <c r="XAO41" s="261"/>
      <c r="XAP41" s="261"/>
      <c r="XAQ41" s="261"/>
      <c r="XAR41" s="261"/>
      <c r="XAS41" s="261"/>
      <c r="XAT41" s="261"/>
      <c r="XAU41" s="261"/>
      <c r="XAV41" s="261"/>
      <c r="XAW41" s="261"/>
      <c r="XAX41" s="261"/>
      <c r="XAY41" s="261"/>
      <c r="XAZ41" s="261"/>
      <c r="XBA41" s="261"/>
      <c r="XBB41" s="261"/>
      <c r="XBC41" s="261"/>
      <c r="XBD41" s="261"/>
      <c r="XBE41" s="261"/>
      <c r="XBF41" s="261"/>
      <c r="XBG41" s="261"/>
      <c r="XBH41" s="261"/>
      <c r="XBI41" s="261"/>
      <c r="XBJ41" s="261"/>
      <c r="XBK41" s="261"/>
      <c r="XBL41" s="261"/>
      <c r="XBM41" s="261"/>
      <c r="XBN41" s="261"/>
      <c r="XBO41" s="261"/>
      <c r="XBP41" s="261"/>
      <c r="XBQ41" s="261"/>
      <c r="XBR41" s="261"/>
      <c r="XBS41" s="261"/>
      <c r="XBT41" s="261"/>
      <c r="XBU41" s="261"/>
      <c r="XBV41" s="261"/>
      <c r="XBW41" s="261"/>
      <c r="XBX41" s="261"/>
      <c r="XBY41" s="261"/>
      <c r="XBZ41" s="261"/>
      <c r="XCA41" s="261"/>
      <c r="XCB41" s="261"/>
      <c r="XCC41" s="261"/>
      <c r="XCD41" s="261"/>
      <c r="XCE41" s="261"/>
      <c r="XCF41" s="261"/>
      <c r="XCG41" s="261"/>
      <c r="XCH41" s="261"/>
      <c r="XCI41" s="261"/>
      <c r="XCJ41" s="261"/>
      <c r="XCK41" s="261"/>
      <c r="XCL41" s="261"/>
      <c r="XCM41" s="261"/>
      <c r="XCN41" s="261"/>
      <c r="XCO41" s="261"/>
      <c r="XCP41" s="261"/>
      <c r="XCQ41" s="261"/>
      <c r="XCR41" s="261"/>
      <c r="XCS41" s="261"/>
      <c r="XCT41" s="261"/>
      <c r="XCU41" s="261"/>
      <c r="XCV41" s="261"/>
      <c r="XCW41" s="261"/>
      <c r="XCX41" s="261"/>
      <c r="XCY41" s="261"/>
      <c r="XCZ41" s="261"/>
      <c r="XDA41" s="261"/>
      <c r="XDB41" s="261"/>
      <c r="XDC41" s="261"/>
      <c r="XDD41" s="261"/>
      <c r="XDE41" s="261"/>
      <c r="XDF41" s="261"/>
      <c r="XDG41" s="261"/>
      <c r="XDH41" s="261"/>
      <c r="XDI41" s="261"/>
      <c r="XDJ41" s="261"/>
      <c r="XDK41" s="261"/>
      <c r="XDL41" s="261"/>
      <c r="XDM41" s="261"/>
      <c r="XDN41" s="261"/>
      <c r="XDO41" s="261"/>
      <c r="XDP41" s="261"/>
      <c r="XDQ41" s="261"/>
      <c r="XDR41" s="261"/>
      <c r="XDS41" s="261"/>
      <c r="XDT41" s="261"/>
      <c r="XDU41" s="261"/>
      <c r="XDV41" s="261"/>
      <c r="XDW41" s="261"/>
      <c r="XDX41" s="261"/>
      <c r="XDY41" s="261"/>
      <c r="XDZ41" s="261"/>
      <c r="XEA41" s="261"/>
      <c r="XEB41" s="261"/>
      <c r="XEC41" s="261"/>
      <c r="XED41" s="261"/>
      <c r="XEE41" s="261"/>
      <c r="XEF41" s="261"/>
      <c r="XEG41" s="261"/>
      <c r="XEH41" s="261"/>
      <c r="XEI41" s="261"/>
      <c r="XEJ41" s="261"/>
      <c r="XEK41" s="261"/>
      <c r="XEL41" s="261"/>
      <c r="XEM41" s="261"/>
      <c r="XEN41" s="261"/>
      <c r="XEO41" s="261"/>
      <c r="XEP41" s="261"/>
      <c r="XEQ41" s="261"/>
      <c r="XER41" s="261"/>
      <c r="XES41" s="261"/>
      <c r="XET41" s="261"/>
      <c r="XEU41" s="261"/>
      <c r="XEV41" s="261"/>
      <c r="XEW41" s="261"/>
      <c r="XEX41" s="261"/>
      <c r="XEY41" s="261"/>
      <c r="XEZ41" s="261"/>
      <c r="XFA41" s="261"/>
      <c r="XFB41" s="261"/>
      <c r="XFC41" s="261"/>
      <c r="XFD41" s="261"/>
    </row>
    <row r="42" spans="1:16384" s="4160" customFormat="1">
      <c r="A42" s="4159"/>
      <c r="C42" s="4159"/>
      <c r="D42" s="4159"/>
      <c r="E42" s="4159"/>
      <c r="F42" s="4159"/>
      <c r="J42" s="4159"/>
      <c r="Q42" s="261"/>
      <c r="R42" s="261"/>
      <c r="S42" s="261"/>
      <c r="T42" s="261"/>
      <c r="U42" s="261"/>
      <c r="V42" s="261"/>
      <c r="W42" s="261"/>
      <c r="X42" s="261"/>
      <c r="Y42" s="261"/>
      <c r="Z42" s="261"/>
      <c r="AA42" s="261"/>
      <c r="AB42" s="261"/>
      <c r="AC42" s="261"/>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1"/>
      <c r="BZ42" s="261"/>
      <c r="CA42" s="261"/>
      <c r="CB42" s="261"/>
      <c r="CC42" s="261"/>
      <c r="CD42" s="261"/>
      <c r="CE42" s="261"/>
      <c r="CF42" s="261"/>
      <c r="CG42" s="261"/>
      <c r="CH42" s="261"/>
      <c r="CI42" s="261"/>
      <c r="CJ42" s="261"/>
      <c r="CK42" s="261"/>
      <c r="CL42" s="261"/>
      <c r="CM42" s="261"/>
      <c r="CN42" s="261"/>
      <c r="CO42" s="261"/>
      <c r="CP42" s="261"/>
      <c r="CQ42" s="261"/>
      <c r="CR42" s="261"/>
      <c r="CS42" s="261"/>
      <c r="CT42" s="261"/>
      <c r="CU42" s="261"/>
      <c r="CV42" s="261"/>
      <c r="CW42" s="261"/>
      <c r="CX42" s="261"/>
      <c r="CY42" s="261"/>
      <c r="CZ42" s="261"/>
      <c r="DA42" s="261"/>
      <c r="DB42" s="261"/>
      <c r="DC42" s="261"/>
      <c r="DD42" s="261"/>
      <c r="DE42" s="261"/>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c r="EB42" s="261"/>
      <c r="EC42" s="261"/>
      <c r="ED42" s="261"/>
      <c r="EE42" s="261"/>
      <c r="EF42" s="261"/>
      <c r="EG42" s="261"/>
      <c r="EH42" s="261"/>
      <c r="EI42" s="261"/>
      <c r="EJ42" s="261"/>
      <c r="EK42" s="261"/>
      <c r="EL42" s="261"/>
      <c r="EM42" s="261"/>
      <c r="EN42" s="261"/>
      <c r="EO42" s="261"/>
      <c r="EP42" s="261"/>
      <c r="EQ42" s="261"/>
      <c r="ER42" s="261"/>
      <c r="ES42" s="261"/>
      <c r="ET42" s="261"/>
      <c r="EU42" s="261"/>
      <c r="EV42" s="261"/>
      <c r="EW42" s="261"/>
      <c r="EX42" s="261"/>
      <c r="EY42" s="261"/>
      <c r="EZ42" s="261"/>
      <c r="FA42" s="261"/>
      <c r="FB42" s="261"/>
      <c r="FC42" s="261"/>
      <c r="FD42" s="261"/>
      <c r="FE42" s="261"/>
      <c r="FF42" s="261"/>
      <c r="FG42" s="261"/>
      <c r="FH42" s="261"/>
      <c r="FI42" s="261"/>
      <c r="FJ42" s="261"/>
      <c r="FK42" s="261"/>
      <c r="FL42" s="261"/>
      <c r="FM42" s="261"/>
      <c r="FN42" s="261"/>
      <c r="FO42" s="261"/>
      <c r="FP42" s="261"/>
      <c r="FQ42" s="261"/>
      <c r="FR42" s="261"/>
      <c r="FS42" s="261"/>
      <c r="FT42" s="261"/>
      <c r="FU42" s="261"/>
      <c r="FV42" s="261"/>
      <c r="FW42" s="261"/>
      <c r="FX42" s="261"/>
      <c r="FY42" s="261"/>
      <c r="FZ42" s="261"/>
      <c r="GA42" s="261"/>
      <c r="GB42" s="261"/>
      <c r="GC42" s="261"/>
      <c r="GD42" s="261"/>
      <c r="GE42" s="261"/>
      <c r="GF42" s="261"/>
      <c r="GG42" s="261"/>
      <c r="GH42" s="261"/>
      <c r="GI42" s="261"/>
      <c r="GJ42" s="261"/>
      <c r="GK42" s="261"/>
      <c r="GL42" s="261"/>
      <c r="GM42" s="261"/>
      <c r="GN42" s="261"/>
      <c r="GO42" s="261"/>
      <c r="GP42" s="261"/>
      <c r="GQ42" s="261"/>
      <c r="GR42" s="261"/>
      <c r="GS42" s="261"/>
      <c r="GT42" s="261"/>
      <c r="GU42" s="261"/>
      <c r="GV42" s="261"/>
      <c r="GW42" s="261"/>
      <c r="GX42" s="261"/>
      <c r="GY42" s="261"/>
      <c r="GZ42" s="261"/>
      <c r="HA42" s="261"/>
      <c r="HB42" s="261"/>
      <c r="HC42" s="261"/>
      <c r="HD42" s="261"/>
      <c r="HE42" s="261"/>
      <c r="HF42" s="261"/>
      <c r="HG42" s="261"/>
      <c r="HH42" s="261"/>
      <c r="HI42" s="261"/>
      <c r="HJ42" s="261"/>
      <c r="HK42" s="261"/>
      <c r="HL42" s="261"/>
      <c r="HM42" s="261"/>
      <c r="HN42" s="261"/>
      <c r="HO42" s="261"/>
      <c r="HP42" s="261"/>
      <c r="HQ42" s="261"/>
      <c r="HR42" s="261"/>
      <c r="HS42" s="261"/>
      <c r="HT42" s="261"/>
      <c r="HU42" s="261"/>
      <c r="HV42" s="261"/>
      <c r="HW42" s="261"/>
      <c r="HX42" s="261"/>
      <c r="HY42" s="261"/>
      <c r="HZ42" s="261"/>
      <c r="IA42" s="261"/>
      <c r="IB42" s="261"/>
      <c r="IC42" s="261"/>
      <c r="ID42" s="261"/>
      <c r="IE42" s="261"/>
      <c r="IF42" s="261"/>
      <c r="IG42" s="261"/>
      <c r="IH42" s="261"/>
      <c r="II42" s="261"/>
      <c r="IJ42" s="261"/>
      <c r="IK42" s="261"/>
      <c r="IL42" s="261"/>
      <c r="IM42" s="261"/>
      <c r="IN42" s="261"/>
      <c r="IO42" s="261"/>
      <c r="IP42" s="261"/>
      <c r="IQ42" s="261"/>
      <c r="IR42" s="261"/>
      <c r="IS42" s="261"/>
      <c r="IT42" s="261"/>
      <c r="IU42" s="261"/>
      <c r="IV42" s="261"/>
      <c r="IW42" s="261"/>
      <c r="IX42" s="261"/>
      <c r="IY42" s="261"/>
      <c r="IZ42" s="261"/>
      <c r="JA42" s="261"/>
      <c r="JB42" s="261"/>
      <c r="JC42" s="261"/>
      <c r="JD42" s="261"/>
      <c r="JE42" s="261"/>
      <c r="JF42" s="261"/>
      <c r="JG42" s="261"/>
      <c r="JH42" s="261"/>
      <c r="JI42" s="261"/>
      <c r="JJ42" s="261"/>
      <c r="JK42" s="261"/>
      <c r="JL42" s="261"/>
      <c r="JM42" s="261"/>
      <c r="JN42" s="261"/>
      <c r="JO42" s="261"/>
      <c r="JP42" s="261"/>
      <c r="JQ42" s="261"/>
      <c r="JR42" s="261"/>
      <c r="JS42" s="261"/>
      <c r="JT42" s="261"/>
      <c r="JU42" s="261"/>
      <c r="JV42" s="261"/>
      <c r="JW42" s="261"/>
      <c r="JX42" s="261"/>
      <c r="JY42" s="261"/>
      <c r="JZ42" s="261"/>
      <c r="KA42" s="261"/>
      <c r="KB42" s="261"/>
      <c r="KC42" s="261"/>
      <c r="KD42" s="261"/>
      <c r="KE42" s="261"/>
      <c r="KF42" s="261"/>
      <c r="KG42" s="261"/>
      <c r="KH42" s="261"/>
      <c r="KI42" s="261"/>
      <c r="KJ42" s="261"/>
      <c r="KK42" s="261"/>
      <c r="KL42" s="261"/>
      <c r="KM42" s="261"/>
      <c r="KN42" s="261"/>
      <c r="KO42" s="261"/>
      <c r="KP42" s="261"/>
      <c r="KQ42" s="261"/>
      <c r="KR42" s="261"/>
      <c r="KS42" s="261"/>
      <c r="KT42" s="261"/>
      <c r="KU42" s="261"/>
      <c r="KV42" s="261"/>
      <c r="KW42" s="261"/>
      <c r="KX42" s="261"/>
      <c r="KY42" s="261"/>
      <c r="KZ42" s="261"/>
      <c r="LA42" s="261"/>
      <c r="LB42" s="261"/>
      <c r="LC42" s="261"/>
      <c r="LD42" s="261"/>
      <c r="LE42" s="261"/>
      <c r="LF42" s="261"/>
      <c r="LG42" s="261"/>
      <c r="LH42" s="261"/>
      <c r="LI42" s="261"/>
      <c r="LJ42" s="261"/>
      <c r="LK42" s="261"/>
      <c r="LL42" s="261"/>
      <c r="LM42" s="261"/>
      <c r="LN42" s="261"/>
      <c r="LO42" s="261"/>
      <c r="LP42" s="261"/>
      <c r="LQ42" s="261"/>
      <c r="LR42" s="261"/>
      <c r="LS42" s="261"/>
      <c r="LT42" s="261"/>
      <c r="LU42" s="261"/>
      <c r="LV42" s="261"/>
      <c r="LW42" s="261"/>
      <c r="LX42" s="261"/>
      <c r="LY42" s="261"/>
      <c r="LZ42" s="261"/>
      <c r="MA42" s="261"/>
      <c r="MB42" s="261"/>
      <c r="MC42" s="261"/>
      <c r="MD42" s="261"/>
      <c r="ME42" s="261"/>
      <c r="MF42" s="261"/>
      <c r="MG42" s="261"/>
      <c r="MH42" s="261"/>
      <c r="MI42" s="261"/>
      <c r="MJ42" s="261"/>
      <c r="MK42" s="261"/>
      <c r="ML42" s="261"/>
      <c r="MM42" s="261"/>
      <c r="MN42" s="261"/>
      <c r="MO42" s="261"/>
      <c r="MP42" s="261"/>
      <c r="MQ42" s="261"/>
      <c r="MR42" s="261"/>
      <c r="MS42" s="261"/>
      <c r="MT42" s="261"/>
      <c r="MU42" s="261"/>
      <c r="MV42" s="261"/>
      <c r="MW42" s="261"/>
      <c r="MX42" s="261"/>
      <c r="MY42" s="261"/>
      <c r="MZ42" s="261"/>
      <c r="NA42" s="261"/>
      <c r="NB42" s="261"/>
      <c r="NC42" s="261"/>
      <c r="ND42" s="261"/>
      <c r="NE42" s="261"/>
      <c r="NF42" s="261"/>
      <c r="NG42" s="261"/>
      <c r="NH42" s="261"/>
      <c r="NI42" s="261"/>
      <c r="NJ42" s="261"/>
      <c r="NK42" s="261"/>
      <c r="NL42" s="261"/>
      <c r="NM42" s="261"/>
      <c r="NN42" s="261"/>
      <c r="NO42" s="261"/>
      <c r="NP42" s="261"/>
      <c r="NQ42" s="261"/>
      <c r="NR42" s="261"/>
      <c r="NS42" s="261"/>
      <c r="NT42" s="261"/>
      <c r="NU42" s="261"/>
      <c r="NV42" s="261"/>
      <c r="NW42" s="261"/>
      <c r="NX42" s="261"/>
      <c r="NY42" s="261"/>
      <c r="NZ42" s="261"/>
      <c r="OA42" s="261"/>
      <c r="OB42" s="261"/>
      <c r="OC42" s="261"/>
      <c r="OD42" s="261"/>
      <c r="OE42" s="261"/>
      <c r="OF42" s="261"/>
      <c r="OG42" s="261"/>
      <c r="OH42" s="261"/>
      <c r="OI42" s="261"/>
      <c r="OJ42" s="261"/>
      <c r="OK42" s="261"/>
      <c r="OL42" s="261"/>
      <c r="OM42" s="261"/>
      <c r="ON42" s="261"/>
      <c r="OO42" s="261"/>
      <c r="OP42" s="261"/>
      <c r="OQ42" s="261"/>
      <c r="OR42" s="261"/>
      <c r="OS42" s="261"/>
      <c r="OT42" s="261"/>
      <c r="OU42" s="261"/>
      <c r="OV42" s="261"/>
      <c r="OW42" s="261"/>
      <c r="OX42" s="261"/>
      <c r="OY42" s="261"/>
      <c r="OZ42" s="261"/>
      <c r="PA42" s="261"/>
      <c r="PB42" s="261"/>
      <c r="PC42" s="261"/>
      <c r="PD42" s="261"/>
      <c r="PE42" s="261"/>
      <c r="PF42" s="261"/>
      <c r="PG42" s="261"/>
      <c r="PH42" s="261"/>
      <c r="PI42" s="261"/>
      <c r="PJ42" s="261"/>
      <c r="PK42" s="261"/>
      <c r="PL42" s="261"/>
      <c r="PM42" s="261"/>
      <c r="PN42" s="261"/>
      <c r="PO42" s="261"/>
      <c r="PP42" s="261"/>
      <c r="PQ42" s="261"/>
      <c r="PR42" s="261"/>
      <c r="PS42" s="261"/>
      <c r="PT42" s="261"/>
      <c r="PU42" s="261"/>
      <c r="PV42" s="261"/>
      <c r="PW42" s="261"/>
      <c r="PX42" s="261"/>
      <c r="PY42" s="261"/>
      <c r="PZ42" s="261"/>
      <c r="QA42" s="261"/>
      <c r="QB42" s="261"/>
      <c r="QC42" s="261"/>
      <c r="QD42" s="261"/>
      <c r="QE42" s="261"/>
      <c r="QF42" s="261"/>
      <c r="QG42" s="261"/>
      <c r="QH42" s="261"/>
      <c r="QI42" s="261"/>
      <c r="QJ42" s="261"/>
      <c r="QK42" s="261"/>
      <c r="QL42" s="261"/>
      <c r="QM42" s="261"/>
      <c r="QN42" s="261"/>
      <c r="QO42" s="261"/>
      <c r="QP42" s="261"/>
      <c r="QQ42" s="261"/>
      <c r="QR42" s="261"/>
      <c r="QS42" s="261"/>
      <c r="QT42" s="261"/>
      <c r="QU42" s="261"/>
      <c r="QV42" s="261"/>
      <c r="QW42" s="261"/>
      <c r="QX42" s="261"/>
      <c r="QY42" s="261"/>
      <c r="QZ42" s="261"/>
      <c r="RA42" s="261"/>
      <c r="RB42" s="261"/>
      <c r="RC42" s="261"/>
      <c r="RD42" s="261"/>
      <c r="RE42" s="261"/>
      <c r="RF42" s="261"/>
      <c r="RG42" s="261"/>
      <c r="RH42" s="261"/>
      <c r="RI42" s="261"/>
      <c r="RJ42" s="261"/>
      <c r="RK42" s="261"/>
      <c r="RL42" s="261"/>
      <c r="RM42" s="261"/>
      <c r="RN42" s="261"/>
      <c r="RO42" s="261"/>
      <c r="RP42" s="261"/>
      <c r="RQ42" s="261"/>
      <c r="RR42" s="261"/>
      <c r="RS42" s="261"/>
      <c r="RT42" s="261"/>
      <c r="RU42" s="261"/>
      <c r="RV42" s="261"/>
      <c r="RW42" s="261"/>
      <c r="RX42" s="261"/>
      <c r="RY42" s="261"/>
      <c r="RZ42" s="261"/>
      <c r="SA42" s="261"/>
      <c r="SB42" s="261"/>
      <c r="SC42" s="261"/>
      <c r="SD42" s="261"/>
      <c r="SE42" s="261"/>
      <c r="SF42" s="261"/>
      <c r="SG42" s="261"/>
      <c r="SH42" s="261"/>
      <c r="SI42" s="261"/>
      <c r="SJ42" s="261"/>
      <c r="SK42" s="261"/>
      <c r="SL42" s="261"/>
      <c r="SM42" s="261"/>
      <c r="SN42" s="261"/>
      <c r="SO42" s="261"/>
      <c r="SP42" s="261"/>
      <c r="SQ42" s="261"/>
      <c r="SR42" s="261"/>
      <c r="SS42" s="261"/>
      <c r="ST42" s="261"/>
      <c r="SU42" s="261"/>
      <c r="SV42" s="261"/>
      <c r="SW42" s="261"/>
      <c r="SX42" s="261"/>
      <c r="SY42" s="261"/>
      <c r="SZ42" s="261"/>
      <c r="TA42" s="261"/>
      <c r="TB42" s="261"/>
      <c r="TC42" s="261"/>
      <c r="TD42" s="261"/>
      <c r="TE42" s="261"/>
      <c r="TF42" s="261"/>
      <c r="TG42" s="261"/>
      <c r="TH42" s="261"/>
      <c r="TI42" s="261"/>
      <c r="TJ42" s="261"/>
      <c r="TK42" s="261"/>
      <c r="TL42" s="261"/>
      <c r="TM42" s="261"/>
      <c r="TN42" s="261"/>
      <c r="TO42" s="261"/>
      <c r="TP42" s="261"/>
      <c r="TQ42" s="261"/>
      <c r="TR42" s="261"/>
      <c r="TS42" s="261"/>
      <c r="TT42" s="261"/>
      <c r="TU42" s="261"/>
      <c r="TV42" s="261"/>
      <c r="TW42" s="261"/>
      <c r="TX42" s="261"/>
      <c r="TY42" s="261"/>
      <c r="TZ42" s="261"/>
      <c r="UA42" s="261"/>
      <c r="UB42" s="261"/>
      <c r="UC42" s="261"/>
      <c r="UD42" s="261"/>
      <c r="UE42" s="261"/>
      <c r="UF42" s="261"/>
      <c r="UG42" s="261"/>
      <c r="UH42" s="261"/>
      <c r="UI42" s="261"/>
      <c r="UJ42" s="261"/>
      <c r="UK42" s="261"/>
      <c r="UL42" s="261"/>
      <c r="UM42" s="261"/>
      <c r="UN42" s="261"/>
      <c r="UO42" s="261"/>
      <c r="UP42" s="261"/>
      <c r="UQ42" s="261"/>
      <c r="UR42" s="261"/>
      <c r="US42" s="261"/>
      <c r="UT42" s="261"/>
      <c r="UU42" s="261"/>
      <c r="UV42" s="261"/>
      <c r="UW42" s="261"/>
      <c r="UX42" s="261"/>
      <c r="UY42" s="261"/>
      <c r="UZ42" s="261"/>
      <c r="VA42" s="261"/>
      <c r="VB42" s="261"/>
      <c r="VC42" s="261"/>
      <c r="VD42" s="261"/>
      <c r="VE42" s="261"/>
      <c r="VF42" s="261"/>
      <c r="VG42" s="261"/>
      <c r="VH42" s="261"/>
      <c r="VI42" s="261"/>
      <c r="VJ42" s="261"/>
      <c r="VK42" s="261"/>
      <c r="VL42" s="261"/>
      <c r="VM42" s="261"/>
      <c r="VN42" s="261"/>
      <c r="VO42" s="261"/>
      <c r="VP42" s="261"/>
      <c r="VQ42" s="261"/>
      <c r="VR42" s="261"/>
      <c r="VS42" s="261"/>
      <c r="VT42" s="261"/>
      <c r="VU42" s="261"/>
      <c r="VV42" s="261"/>
      <c r="VW42" s="261"/>
      <c r="VX42" s="261"/>
      <c r="VY42" s="261"/>
      <c r="VZ42" s="261"/>
      <c r="WA42" s="261"/>
      <c r="WB42" s="261"/>
      <c r="WC42" s="261"/>
      <c r="WD42" s="261"/>
      <c r="WE42" s="261"/>
      <c r="WF42" s="261"/>
      <c r="WG42" s="261"/>
      <c r="WH42" s="261"/>
      <c r="WI42" s="261"/>
      <c r="WJ42" s="261"/>
      <c r="WK42" s="261"/>
      <c r="WL42" s="261"/>
      <c r="WM42" s="261"/>
      <c r="WN42" s="261"/>
      <c r="WO42" s="261"/>
      <c r="WP42" s="261"/>
      <c r="WQ42" s="261"/>
      <c r="WR42" s="261"/>
      <c r="WS42" s="261"/>
      <c r="WT42" s="261"/>
      <c r="WU42" s="261"/>
      <c r="WV42" s="261"/>
      <c r="WW42" s="261"/>
      <c r="WX42" s="261"/>
      <c r="WY42" s="261"/>
      <c r="WZ42" s="261"/>
      <c r="XA42" s="261"/>
      <c r="XB42" s="261"/>
      <c r="XC42" s="261"/>
      <c r="XD42" s="261"/>
      <c r="XE42" s="261"/>
      <c r="XF42" s="261"/>
      <c r="XG42" s="261"/>
      <c r="XH42" s="261"/>
      <c r="XI42" s="261"/>
      <c r="XJ42" s="261"/>
      <c r="XK42" s="261"/>
      <c r="XL42" s="261"/>
      <c r="XM42" s="261"/>
      <c r="XN42" s="261"/>
      <c r="XO42" s="261"/>
      <c r="XP42" s="261"/>
      <c r="XQ42" s="261"/>
      <c r="XR42" s="261"/>
      <c r="XS42" s="261"/>
      <c r="XT42" s="261"/>
      <c r="XU42" s="261"/>
      <c r="XV42" s="261"/>
      <c r="XW42" s="261"/>
      <c r="XX42" s="261"/>
      <c r="XY42" s="261"/>
      <c r="XZ42" s="261"/>
      <c r="YA42" s="261"/>
      <c r="YB42" s="261"/>
      <c r="YC42" s="261"/>
      <c r="YD42" s="261"/>
      <c r="YE42" s="261"/>
      <c r="YF42" s="261"/>
      <c r="YG42" s="261"/>
      <c r="YH42" s="261"/>
      <c r="YI42" s="261"/>
      <c r="YJ42" s="261"/>
      <c r="YK42" s="261"/>
      <c r="YL42" s="261"/>
      <c r="YM42" s="261"/>
      <c r="YN42" s="261"/>
      <c r="YO42" s="261"/>
      <c r="YP42" s="261"/>
      <c r="YQ42" s="261"/>
      <c r="YR42" s="261"/>
      <c r="YS42" s="261"/>
      <c r="YT42" s="261"/>
      <c r="YU42" s="261"/>
      <c r="YV42" s="261"/>
      <c r="YW42" s="261"/>
      <c r="YX42" s="261"/>
      <c r="YY42" s="261"/>
      <c r="YZ42" s="261"/>
      <c r="ZA42" s="261"/>
      <c r="ZB42" s="261"/>
      <c r="ZC42" s="261"/>
      <c r="ZD42" s="261"/>
      <c r="ZE42" s="261"/>
      <c r="ZF42" s="261"/>
      <c r="ZG42" s="261"/>
      <c r="ZH42" s="261"/>
      <c r="ZI42" s="261"/>
      <c r="ZJ42" s="261"/>
      <c r="ZK42" s="261"/>
      <c r="ZL42" s="261"/>
      <c r="ZM42" s="261"/>
      <c r="ZN42" s="261"/>
      <c r="ZO42" s="261"/>
      <c r="ZP42" s="261"/>
      <c r="ZQ42" s="261"/>
      <c r="ZR42" s="261"/>
      <c r="ZS42" s="261"/>
      <c r="ZT42" s="261"/>
      <c r="ZU42" s="261"/>
      <c r="ZV42" s="261"/>
      <c r="ZW42" s="261"/>
      <c r="ZX42" s="261"/>
      <c r="ZY42" s="261"/>
      <c r="ZZ42" s="261"/>
      <c r="AAA42" s="261"/>
      <c r="AAB42" s="261"/>
      <c r="AAC42" s="261"/>
      <c r="AAD42" s="261"/>
      <c r="AAE42" s="261"/>
      <c r="AAF42" s="261"/>
      <c r="AAG42" s="261"/>
      <c r="AAH42" s="261"/>
      <c r="AAI42" s="261"/>
      <c r="AAJ42" s="261"/>
      <c r="AAK42" s="261"/>
      <c r="AAL42" s="261"/>
      <c r="AAM42" s="261"/>
      <c r="AAN42" s="261"/>
      <c r="AAO42" s="261"/>
      <c r="AAP42" s="261"/>
      <c r="AAQ42" s="261"/>
      <c r="AAR42" s="261"/>
      <c r="AAS42" s="261"/>
      <c r="AAT42" s="261"/>
      <c r="AAU42" s="261"/>
      <c r="AAV42" s="261"/>
      <c r="AAW42" s="261"/>
      <c r="AAX42" s="261"/>
      <c r="AAY42" s="261"/>
      <c r="AAZ42" s="261"/>
      <c r="ABA42" s="261"/>
      <c r="ABB42" s="261"/>
      <c r="ABC42" s="261"/>
      <c r="ABD42" s="261"/>
      <c r="ABE42" s="261"/>
      <c r="ABF42" s="261"/>
      <c r="ABG42" s="261"/>
      <c r="ABH42" s="261"/>
      <c r="ABI42" s="261"/>
      <c r="ABJ42" s="261"/>
      <c r="ABK42" s="261"/>
      <c r="ABL42" s="261"/>
      <c r="ABM42" s="261"/>
      <c r="ABN42" s="261"/>
      <c r="ABO42" s="261"/>
      <c r="ABP42" s="261"/>
      <c r="ABQ42" s="261"/>
      <c r="ABR42" s="261"/>
      <c r="ABS42" s="261"/>
      <c r="ABT42" s="261"/>
      <c r="ABU42" s="261"/>
      <c r="ABV42" s="261"/>
      <c r="ABW42" s="261"/>
      <c r="ABX42" s="261"/>
      <c r="ABY42" s="261"/>
      <c r="ABZ42" s="261"/>
      <c r="ACA42" s="261"/>
      <c r="ACB42" s="261"/>
      <c r="ACC42" s="261"/>
      <c r="ACD42" s="261"/>
      <c r="ACE42" s="261"/>
      <c r="ACF42" s="261"/>
      <c r="ACG42" s="261"/>
      <c r="ACH42" s="261"/>
      <c r="ACI42" s="261"/>
      <c r="ACJ42" s="261"/>
      <c r="ACK42" s="261"/>
      <c r="ACL42" s="261"/>
      <c r="ACM42" s="261"/>
      <c r="ACN42" s="261"/>
      <c r="ACO42" s="261"/>
      <c r="ACP42" s="261"/>
      <c r="ACQ42" s="261"/>
      <c r="ACR42" s="261"/>
      <c r="ACS42" s="261"/>
      <c r="ACT42" s="261"/>
      <c r="ACU42" s="261"/>
      <c r="ACV42" s="261"/>
      <c r="ACW42" s="261"/>
      <c r="ACX42" s="261"/>
      <c r="ACY42" s="261"/>
      <c r="ACZ42" s="261"/>
      <c r="ADA42" s="261"/>
      <c r="ADB42" s="261"/>
      <c r="ADC42" s="261"/>
      <c r="ADD42" s="261"/>
      <c r="ADE42" s="261"/>
      <c r="ADF42" s="261"/>
      <c r="ADG42" s="261"/>
      <c r="ADH42" s="261"/>
      <c r="ADI42" s="261"/>
      <c r="ADJ42" s="261"/>
      <c r="ADK42" s="261"/>
      <c r="ADL42" s="261"/>
      <c r="ADM42" s="261"/>
      <c r="ADN42" s="261"/>
      <c r="ADO42" s="261"/>
      <c r="ADP42" s="261"/>
      <c r="ADQ42" s="261"/>
      <c r="ADR42" s="261"/>
      <c r="ADS42" s="261"/>
      <c r="ADT42" s="261"/>
      <c r="ADU42" s="261"/>
      <c r="ADV42" s="261"/>
      <c r="ADW42" s="261"/>
      <c r="ADX42" s="261"/>
      <c r="ADY42" s="261"/>
      <c r="ADZ42" s="261"/>
      <c r="AEA42" s="261"/>
      <c r="AEB42" s="261"/>
      <c r="AEC42" s="261"/>
      <c r="AED42" s="261"/>
      <c r="AEE42" s="261"/>
      <c r="AEF42" s="261"/>
      <c r="AEG42" s="261"/>
      <c r="AEH42" s="261"/>
      <c r="AEI42" s="261"/>
      <c r="AEJ42" s="261"/>
      <c r="AEK42" s="261"/>
      <c r="AEL42" s="261"/>
      <c r="AEM42" s="261"/>
      <c r="AEN42" s="261"/>
      <c r="AEO42" s="261"/>
      <c r="AEP42" s="261"/>
      <c r="AEQ42" s="261"/>
      <c r="AER42" s="261"/>
      <c r="AES42" s="261"/>
      <c r="AET42" s="261"/>
      <c r="AEU42" s="261"/>
      <c r="AEV42" s="261"/>
      <c r="AEW42" s="261"/>
      <c r="AEX42" s="261"/>
      <c r="AEY42" s="261"/>
      <c r="AEZ42" s="261"/>
      <c r="AFA42" s="261"/>
      <c r="AFB42" s="261"/>
      <c r="AFC42" s="261"/>
      <c r="AFD42" s="261"/>
      <c r="AFE42" s="261"/>
      <c r="AFF42" s="261"/>
      <c r="AFG42" s="261"/>
      <c r="AFH42" s="261"/>
      <c r="AFI42" s="261"/>
      <c r="AFJ42" s="261"/>
      <c r="AFK42" s="261"/>
      <c r="AFL42" s="261"/>
      <c r="AFM42" s="261"/>
      <c r="AFN42" s="261"/>
      <c r="AFO42" s="261"/>
      <c r="AFP42" s="261"/>
      <c r="AFQ42" s="261"/>
      <c r="AFR42" s="261"/>
      <c r="AFS42" s="261"/>
      <c r="AFT42" s="261"/>
      <c r="AFU42" s="261"/>
      <c r="AFV42" s="261"/>
      <c r="AFW42" s="261"/>
      <c r="AFX42" s="261"/>
      <c r="AFY42" s="261"/>
      <c r="AFZ42" s="261"/>
      <c r="AGA42" s="261"/>
      <c r="AGB42" s="261"/>
      <c r="AGC42" s="261"/>
      <c r="AGD42" s="261"/>
      <c r="AGE42" s="261"/>
      <c r="AGF42" s="261"/>
      <c r="AGG42" s="261"/>
      <c r="AGH42" s="261"/>
      <c r="AGI42" s="261"/>
      <c r="AGJ42" s="261"/>
      <c r="AGK42" s="261"/>
      <c r="AGL42" s="261"/>
      <c r="AGM42" s="261"/>
      <c r="AGN42" s="261"/>
      <c r="AGO42" s="261"/>
      <c r="AGP42" s="261"/>
      <c r="AGQ42" s="261"/>
      <c r="AGR42" s="261"/>
      <c r="AGS42" s="261"/>
      <c r="AGT42" s="261"/>
      <c r="AGU42" s="261"/>
      <c r="AGV42" s="261"/>
      <c r="AGW42" s="261"/>
      <c r="AGX42" s="261"/>
      <c r="AGY42" s="261"/>
      <c r="AGZ42" s="261"/>
      <c r="AHA42" s="261"/>
      <c r="AHB42" s="261"/>
      <c r="AHC42" s="261"/>
      <c r="AHD42" s="261"/>
      <c r="AHE42" s="261"/>
      <c r="AHF42" s="261"/>
      <c r="AHG42" s="261"/>
      <c r="AHH42" s="261"/>
      <c r="AHI42" s="261"/>
      <c r="AHJ42" s="261"/>
      <c r="AHK42" s="261"/>
      <c r="AHL42" s="261"/>
      <c r="AHM42" s="261"/>
      <c r="AHN42" s="261"/>
      <c r="AHO42" s="261"/>
      <c r="AHP42" s="261"/>
      <c r="AHQ42" s="261"/>
      <c r="AHR42" s="261"/>
      <c r="AHS42" s="261"/>
      <c r="AHT42" s="261"/>
      <c r="AHU42" s="261"/>
      <c r="AHV42" s="261"/>
      <c r="AHW42" s="261"/>
      <c r="AHX42" s="261"/>
      <c r="AHY42" s="261"/>
      <c r="AHZ42" s="261"/>
      <c r="AIA42" s="261"/>
      <c r="AIB42" s="261"/>
      <c r="AIC42" s="261"/>
      <c r="AID42" s="261"/>
      <c r="AIE42" s="261"/>
      <c r="AIF42" s="261"/>
      <c r="AIG42" s="261"/>
      <c r="AIH42" s="261"/>
      <c r="AII42" s="261"/>
      <c r="AIJ42" s="261"/>
      <c r="AIK42" s="261"/>
      <c r="AIL42" s="261"/>
      <c r="AIM42" s="261"/>
      <c r="AIN42" s="261"/>
      <c r="AIO42" s="261"/>
      <c r="AIP42" s="261"/>
      <c r="AIQ42" s="261"/>
      <c r="AIR42" s="261"/>
      <c r="AIS42" s="261"/>
      <c r="AIT42" s="261"/>
      <c r="AIU42" s="261"/>
      <c r="AIV42" s="261"/>
      <c r="AIW42" s="261"/>
      <c r="AIX42" s="261"/>
      <c r="AIY42" s="261"/>
      <c r="AIZ42" s="261"/>
      <c r="AJA42" s="261"/>
      <c r="AJB42" s="261"/>
      <c r="AJC42" s="261"/>
      <c r="AJD42" s="261"/>
      <c r="AJE42" s="261"/>
      <c r="AJF42" s="261"/>
      <c r="AJG42" s="261"/>
      <c r="AJH42" s="261"/>
      <c r="AJI42" s="261"/>
      <c r="AJJ42" s="261"/>
      <c r="AJK42" s="261"/>
      <c r="AJL42" s="261"/>
      <c r="AJM42" s="261"/>
      <c r="AJN42" s="261"/>
      <c r="AJO42" s="261"/>
      <c r="AJP42" s="261"/>
      <c r="AJQ42" s="261"/>
      <c r="AJR42" s="261"/>
      <c r="AJS42" s="261"/>
      <c r="AJT42" s="261"/>
      <c r="AJU42" s="261"/>
      <c r="AJV42" s="261"/>
      <c r="AJW42" s="261"/>
      <c r="AJX42" s="261"/>
      <c r="AJY42" s="261"/>
      <c r="AJZ42" s="261"/>
      <c r="AKA42" s="261"/>
      <c r="AKB42" s="261"/>
      <c r="AKC42" s="261"/>
      <c r="AKD42" s="261"/>
      <c r="AKE42" s="261"/>
      <c r="AKF42" s="261"/>
      <c r="AKG42" s="261"/>
      <c r="AKH42" s="261"/>
      <c r="AKI42" s="261"/>
      <c r="AKJ42" s="261"/>
      <c r="AKK42" s="261"/>
      <c r="AKL42" s="261"/>
      <c r="AKM42" s="261"/>
      <c r="AKN42" s="261"/>
      <c r="AKO42" s="261"/>
      <c r="AKP42" s="261"/>
      <c r="AKQ42" s="261"/>
      <c r="AKR42" s="261"/>
      <c r="AKS42" s="261"/>
      <c r="AKT42" s="261"/>
      <c r="AKU42" s="261"/>
      <c r="AKV42" s="261"/>
      <c r="AKW42" s="261"/>
      <c r="AKX42" s="261"/>
      <c r="AKY42" s="261"/>
      <c r="AKZ42" s="261"/>
      <c r="ALA42" s="261"/>
      <c r="ALB42" s="261"/>
      <c r="ALC42" s="261"/>
      <c r="ALD42" s="261"/>
      <c r="ALE42" s="261"/>
      <c r="ALF42" s="261"/>
      <c r="ALG42" s="261"/>
      <c r="ALH42" s="261"/>
      <c r="ALI42" s="261"/>
      <c r="ALJ42" s="261"/>
      <c r="ALK42" s="261"/>
      <c r="ALL42" s="261"/>
      <c r="ALM42" s="261"/>
      <c r="ALN42" s="261"/>
      <c r="ALO42" s="261"/>
      <c r="ALP42" s="261"/>
      <c r="ALQ42" s="261"/>
      <c r="ALR42" s="261"/>
      <c r="ALS42" s="261"/>
      <c r="ALT42" s="261"/>
      <c r="ALU42" s="261"/>
      <c r="ALV42" s="261"/>
      <c r="ALW42" s="261"/>
      <c r="ALX42" s="261"/>
      <c r="ALY42" s="261"/>
      <c r="ALZ42" s="261"/>
      <c r="AMA42" s="261"/>
      <c r="AMB42" s="261"/>
      <c r="AMC42" s="261"/>
      <c r="AMD42" s="261"/>
      <c r="AME42" s="261"/>
      <c r="AMF42" s="261"/>
      <c r="AMG42" s="261"/>
      <c r="AMH42" s="261"/>
      <c r="AMI42" s="261"/>
      <c r="AMJ42" s="261"/>
      <c r="AMK42" s="261"/>
      <c r="AML42" s="261"/>
      <c r="AMM42" s="261"/>
      <c r="AMN42" s="261"/>
      <c r="AMO42" s="261"/>
      <c r="AMP42" s="261"/>
      <c r="AMQ42" s="261"/>
      <c r="AMR42" s="261"/>
      <c r="AMS42" s="261"/>
      <c r="AMT42" s="261"/>
      <c r="AMU42" s="261"/>
      <c r="AMV42" s="261"/>
      <c r="AMW42" s="261"/>
      <c r="AMX42" s="261"/>
      <c r="AMY42" s="261"/>
      <c r="AMZ42" s="261"/>
      <c r="ANA42" s="261"/>
      <c r="ANB42" s="261"/>
      <c r="ANC42" s="261"/>
      <c r="AND42" s="261"/>
      <c r="ANE42" s="261"/>
      <c r="ANF42" s="261"/>
      <c r="ANG42" s="261"/>
      <c r="ANH42" s="261"/>
      <c r="ANI42" s="261"/>
      <c r="ANJ42" s="261"/>
      <c r="ANK42" s="261"/>
      <c r="ANL42" s="261"/>
      <c r="ANM42" s="261"/>
      <c r="ANN42" s="261"/>
      <c r="ANO42" s="261"/>
      <c r="ANP42" s="261"/>
      <c r="ANQ42" s="261"/>
      <c r="ANR42" s="261"/>
      <c r="ANS42" s="261"/>
      <c r="ANT42" s="261"/>
      <c r="ANU42" s="261"/>
      <c r="ANV42" s="261"/>
      <c r="ANW42" s="261"/>
      <c r="ANX42" s="261"/>
      <c r="ANY42" s="261"/>
      <c r="ANZ42" s="261"/>
      <c r="AOA42" s="261"/>
      <c r="AOB42" s="261"/>
      <c r="AOC42" s="261"/>
      <c r="AOD42" s="261"/>
      <c r="AOE42" s="261"/>
      <c r="AOF42" s="261"/>
      <c r="AOG42" s="261"/>
      <c r="AOH42" s="261"/>
      <c r="AOI42" s="261"/>
      <c r="AOJ42" s="261"/>
      <c r="AOK42" s="261"/>
      <c r="AOL42" s="261"/>
      <c r="AOM42" s="261"/>
      <c r="AON42" s="261"/>
      <c r="AOO42" s="261"/>
      <c r="AOP42" s="261"/>
      <c r="AOQ42" s="261"/>
      <c r="AOR42" s="261"/>
      <c r="AOS42" s="261"/>
      <c r="AOT42" s="261"/>
      <c r="AOU42" s="261"/>
      <c r="AOV42" s="261"/>
      <c r="AOW42" s="261"/>
      <c r="AOX42" s="261"/>
      <c r="AOY42" s="261"/>
      <c r="AOZ42" s="261"/>
      <c r="APA42" s="261"/>
      <c r="APB42" s="261"/>
      <c r="APC42" s="261"/>
      <c r="APD42" s="261"/>
      <c r="APE42" s="261"/>
      <c r="APF42" s="261"/>
      <c r="APG42" s="261"/>
      <c r="APH42" s="261"/>
      <c r="API42" s="261"/>
      <c r="APJ42" s="261"/>
      <c r="APK42" s="261"/>
      <c r="APL42" s="261"/>
      <c r="APM42" s="261"/>
      <c r="APN42" s="261"/>
      <c r="APO42" s="261"/>
      <c r="APP42" s="261"/>
      <c r="APQ42" s="261"/>
      <c r="APR42" s="261"/>
      <c r="APS42" s="261"/>
      <c r="APT42" s="261"/>
      <c r="APU42" s="261"/>
      <c r="APV42" s="261"/>
      <c r="APW42" s="261"/>
      <c r="APX42" s="261"/>
      <c r="APY42" s="261"/>
      <c r="APZ42" s="261"/>
      <c r="AQA42" s="261"/>
      <c r="AQB42" s="261"/>
      <c r="AQC42" s="261"/>
      <c r="AQD42" s="261"/>
      <c r="AQE42" s="261"/>
      <c r="AQF42" s="261"/>
      <c r="AQG42" s="261"/>
      <c r="AQH42" s="261"/>
      <c r="AQI42" s="261"/>
      <c r="AQJ42" s="261"/>
      <c r="AQK42" s="261"/>
      <c r="AQL42" s="261"/>
      <c r="AQM42" s="261"/>
      <c r="AQN42" s="261"/>
      <c r="AQO42" s="261"/>
      <c r="AQP42" s="261"/>
      <c r="AQQ42" s="261"/>
      <c r="AQR42" s="261"/>
      <c r="AQS42" s="261"/>
      <c r="AQT42" s="261"/>
      <c r="AQU42" s="261"/>
      <c r="AQV42" s="261"/>
      <c r="AQW42" s="261"/>
      <c r="AQX42" s="261"/>
      <c r="AQY42" s="261"/>
      <c r="AQZ42" s="261"/>
      <c r="ARA42" s="261"/>
      <c r="ARB42" s="261"/>
      <c r="ARC42" s="261"/>
      <c r="ARD42" s="261"/>
      <c r="ARE42" s="261"/>
      <c r="ARF42" s="261"/>
      <c r="ARG42" s="261"/>
      <c r="ARH42" s="261"/>
      <c r="ARI42" s="261"/>
      <c r="ARJ42" s="261"/>
      <c r="ARK42" s="261"/>
      <c r="ARL42" s="261"/>
      <c r="ARM42" s="261"/>
      <c r="ARN42" s="261"/>
      <c r="ARO42" s="261"/>
      <c r="ARP42" s="261"/>
      <c r="ARQ42" s="261"/>
      <c r="ARR42" s="261"/>
      <c r="ARS42" s="261"/>
      <c r="ART42" s="261"/>
      <c r="ARU42" s="261"/>
      <c r="ARV42" s="261"/>
      <c r="ARW42" s="261"/>
      <c r="ARX42" s="261"/>
      <c r="ARY42" s="261"/>
      <c r="ARZ42" s="261"/>
      <c r="ASA42" s="261"/>
      <c r="ASB42" s="261"/>
      <c r="ASC42" s="261"/>
      <c r="ASD42" s="261"/>
      <c r="ASE42" s="261"/>
      <c r="ASF42" s="261"/>
      <c r="ASG42" s="261"/>
      <c r="ASH42" s="261"/>
      <c r="ASI42" s="261"/>
      <c r="ASJ42" s="261"/>
      <c r="ASK42" s="261"/>
      <c r="ASL42" s="261"/>
      <c r="ASM42" s="261"/>
      <c r="ASN42" s="261"/>
      <c r="ASO42" s="261"/>
      <c r="ASP42" s="261"/>
      <c r="ASQ42" s="261"/>
      <c r="ASR42" s="261"/>
      <c r="ASS42" s="261"/>
      <c r="AST42" s="261"/>
      <c r="ASU42" s="261"/>
      <c r="ASV42" s="261"/>
      <c r="ASW42" s="261"/>
      <c r="ASX42" s="261"/>
      <c r="ASY42" s="261"/>
      <c r="ASZ42" s="261"/>
      <c r="ATA42" s="261"/>
      <c r="ATB42" s="261"/>
      <c r="ATC42" s="261"/>
      <c r="ATD42" s="261"/>
      <c r="ATE42" s="261"/>
      <c r="ATF42" s="261"/>
      <c r="ATG42" s="261"/>
      <c r="ATH42" s="261"/>
      <c r="ATI42" s="261"/>
      <c r="ATJ42" s="261"/>
      <c r="ATK42" s="261"/>
      <c r="ATL42" s="261"/>
      <c r="ATM42" s="261"/>
      <c r="ATN42" s="261"/>
      <c r="ATO42" s="261"/>
      <c r="ATP42" s="261"/>
      <c r="ATQ42" s="261"/>
      <c r="ATR42" s="261"/>
      <c r="ATS42" s="261"/>
      <c r="ATT42" s="261"/>
      <c r="ATU42" s="261"/>
      <c r="ATV42" s="261"/>
      <c r="ATW42" s="261"/>
      <c r="ATX42" s="261"/>
      <c r="ATY42" s="261"/>
      <c r="ATZ42" s="261"/>
      <c r="AUA42" s="261"/>
      <c r="AUB42" s="261"/>
      <c r="AUC42" s="261"/>
      <c r="AUD42" s="261"/>
      <c r="AUE42" s="261"/>
      <c r="AUF42" s="261"/>
      <c r="AUG42" s="261"/>
      <c r="AUH42" s="261"/>
      <c r="AUI42" s="261"/>
      <c r="AUJ42" s="261"/>
      <c r="AUK42" s="261"/>
      <c r="AUL42" s="261"/>
      <c r="AUM42" s="261"/>
      <c r="AUN42" s="261"/>
      <c r="AUO42" s="261"/>
      <c r="AUP42" s="261"/>
      <c r="AUQ42" s="261"/>
      <c r="AUR42" s="261"/>
      <c r="AUS42" s="261"/>
      <c r="AUT42" s="261"/>
      <c r="AUU42" s="261"/>
      <c r="AUV42" s="261"/>
      <c r="AUW42" s="261"/>
      <c r="AUX42" s="261"/>
      <c r="AUY42" s="261"/>
      <c r="AUZ42" s="261"/>
      <c r="AVA42" s="261"/>
      <c r="AVB42" s="261"/>
      <c r="AVC42" s="261"/>
      <c r="AVD42" s="261"/>
      <c r="AVE42" s="261"/>
      <c r="AVF42" s="261"/>
      <c r="AVG42" s="261"/>
      <c r="AVH42" s="261"/>
      <c r="AVI42" s="261"/>
      <c r="AVJ42" s="261"/>
      <c r="AVK42" s="261"/>
      <c r="AVL42" s="261"/>
      <c r="AVM42" s="261"/>
      <c r="AVN42" s="261"/>
      <c r="AVO42" s="261"/>
      <c r="AVP42" s="261"/>
      <c r="AVQ42" s="261"/>
      <c r="AVR42" s="261"/>
      <c r="AVS42" s="261"/>
      <c r="AVT42" s="261"/>
      <c r="AVU42" s="261"/>
      <c r="AVV42" s="261"/>
      <c r="AVW42" s="261"/>
      <c r="AVX42" s="261"/>
      <c r="AVY42" s="261"/>
      <c r="AVZ42" s="261"/>
      <c r="AWA42" s="261"/>
      <c r="AWB42" s="261"/>
      <c r="AWC42" s="261"/>
      <c r="AWD42" s="261"/>
      <c r="AWE42" s="261"/>
      <c r="AWF42" s="261"/>
      <c r="AWG42" s="261"/>
      <c r="AWH42" s="261"/>
      <c r="AWI42" s="261"/>
      <c r="AWJ42" s="261"/>
      <c r="AWK42" s="261"/>
      <c r="AWL42" s="261"/>
      <c r="AWM42" s="261"/>
      <c r="AWN42" s="261"/>
      <c r="AWO42" s="261"/>
      <c r="AWP42" s="261"/>
      <c r="AWQ42" s="261"/>
      <c r="AWR42" s="261"/>
      <c r="AWS42" s="261"/>
      <c r="AWT42" s="261"/>
      <c r="AWU42" s="261"/>
      <c r="AWV42" s="261"/>
      <c r="AWW42" s="261"/>
      <c r="AWX42" s="261"/>
      <c r="AWY42" s="261"/>
      <c r="AWZ42" s="261"/>
      <c r="AXA42" s="261"/>
      <c r="AXB42" s="261"/>
      <c r="AXC42" s="261"/>
      <c r="AXD42" s="261"/>
      <c r="AXE42" s="261"/>
      <c r="AXF42" s="261"/>
      <c r="AXG42" s="261"/>
      <c r="AXH42" s="261"/>
      <c r="AXI42" s="261"/>
      <c r="AXJ42" s="261"/>
      <c r="AXK42" s="261"/>
      <c r="AXL42" s="261"/>
      <c r="AXM42" s="261"/>
      <c r="AXN42" s="261"/>
      <c r="AXO42" s="261"/>
      <c r="AXP42" s="261"/>
      <c r="AXQ42" s="261"/>
      <c r="AXR42" s="261"/>
      <c r="AXS42" s="261"/>
      <c r="AXT42" s="261"/>
      <c r="AXU42" s="261"/>
      <c r="AXV42" s="261"/>
      <c r="AXW42" s="261"/>
      <c r="AXX42" s="261"/>
      <c r="AXY42" s="261"/>
      <c r="AXZ42" s="261"/>
      <c r="AYA42" s="261"/>
      <c r="AYB42" s="261"/>
      <c r="AYC42" s="261"/>
      <c r="AYD42" s="261"/>
      <c r="AYE42" s="261"/>
      <c r="AYF42" s="261"/>
      <c r="AYG42" s="261"/>
      <c r="AYH42" s="261"/>
      <c r="AYI42" s="261"/>
      <c r="AYJ42" s="261"/>
      <c r="AYK42" s="261"/>
      <c r="AYL42" s="261"/>
      <c r="AYM42" s="261"/>
      <c r="AYN42" s="261"/>
      <c r="AYO42" s="261"/>
      <c r="AYP42" s="261"/>
      <c r="AYQ42" s="261"/>
      <c r="AYR42" s="261"/>
      <c r="AYS42" s="261"/>
      <c r="AYT42" s="261"/>
      <c r="AYU42" s="261"/>
      <c r="AYV42" s="261"/>
      <c r="AYW42" s="261"/>
      <c r="AYX42" s="261"/>
      <c r="AYY42" s="261"/>
      <c r="AYZ42" s="261"/>
      <c r="AZA42" s="261"/>
      <c r="AZB42" s="261"/>
      <c r="AZC42" s="261"/>
      <c r="AZD42" s="261"/>
      <c r="AZE42" s="261"/>
      <c r="AZF42" s="261"/>
      <c r="AZG42" s="261"/>
      <c r="AZH42" s="261"/>
      <c r="AZI42" s="261"/>
      <c r="AZJ42" s="261"/>
      <c r="AZK42" s="261"/>
      <c r="AZL42" s="261"/>
      <c r="AZM42" s="261"/>
      <c r="AZN42" s="261"/>
      <c r="AZO42" s="261"/>
      <c r="AZP42" s="261"/>
      <c r="AZQ42" s="261"/>
      <c r="AZR42" s="261"/>
      <c r="AZS42" s="261"/>
      <c r="AZT42" s="261"/>
      <c r="AZU42" s="261"/>
      <c r="AZV42" s="261"/>
      <c r="AZW42" s="261"/>
      <c r="AZX42" s="261"/>
      <c r="AZY42" s="261"/>
      <c r="AZZ42" s="261"/>
      <c r="BAA42" s="261"/>
      <c r="BAB42" s="261"/>
      <c r="BAC42" s="261"/>
      <c r="BAD42" s="261"/>
      <c r="BAE42" s="261"/>
      <c r="BAF42" s="261"/>
      <c r="BAG42" s="261"/>
      <c r="BAH42" s="261"/>
      <c r="BAI42" s="261"/>
      <c r="BAJ42" s="261"/>
      <c r="BAK42" s="261"/>
      <c r="BAL42" s="261"/>
      <c r="BAM42" s="261"/>
      <c r="BAN42" s="261"/>
      <c r="BAO42" s="261"/>
      <c r="BAP42" s="261"/>
      <c r="BAQ42" s="261"/>
      <c r="BAR42" s="261"/>
      <c r="BAS42" s="261"/>
      <c r="BAT42" s="261"/>
      <c r="BAU42" s="261"/>
      <c r="BAV42" s="261"/>
      <c r="BAW42" s="261"/>
      <c r="BAX42" s="261"/>
      <c r="BAY42" s="261"/>
      <c r="BAZ42" s="261"/>
      <c r="BBA42" s="261"/>
      <c r="BBB42" s="261"/>
      <c r="BBC42" s="261"/>
      <c r="BBD42" s="261"/>
      <c r="BBE42" s="261"/>
      <c r="BBF42" s="261"/>
      <c r="BBG42" s="261"/>
      <c r="BBH42" s="261"/>
      <c r="BBI42" s="261"/>
      <c r="BBJ42" s="261"/>
      <c r="BBK42" s="261"/>
      <c r="BBL42" s="261"/>
      <c r="BBM42" s="261"/>
      <c r="BBN42" s="261"/>
      <c r="BBO42" s="261"/>
      <c r="BBP42" s="261"/>
      <c r="BBQ42" s="261"/>
      <c r="BBR42" s="261"/>
      <c r="BBS42" s="261"/>
      <c r="BBT42" s="261"/>
      <c r="BBU42" s="261"/>
      <c r="BBV42" s="261"/>
      <c r="BBW42" s="261"/>
      <c r="BBX42" s="261"/>
      <c r="BBY42" s="261"/>
      <c r="BBZ42" s="261"/>
      <c r="BCA42" s="261"/>
      <c r="BCB42" s="261"/>
      <c r="BCC42" s="261"/>
      <c r="BCD42" s="261"/>
      <c r="BCE42" s="261"/>
      <c r="BCF42" s="261"/>
      <c r="BCG42" s="261"/>
      <c r="BCH42" s="261"/>
      <c r="BCI42" s="261"/>
      <c r="BCJ42" s="261"/>
      <c r="BCK42" s="261"/>
      <c r="BCL42" s="261"/>
      <c r="BCM42" s="261"/>
      <c r="BCN42" s="261"/>
      <c r="BCO42" s="261"/>
      <c r="BCP42" s="261"/>
      <c r="BCQ42" s="261"/>
      <c r="BCR42" s="261"/>
      <c r="BCS42" s="261"/>
      <c r="BCT42" s="261"/>
      <c r="BCU42" s="261"/>
      <c r="BCV42" s="261"/>
      <c r="BCW42" s="261"/>
      <c r="BCX42" s="261"/>
      <c r="BCY42" s="261"/>
      <c r="BCZ42" s="261"/>
      <c r="BDA42" s="261"/>
      <c r="BDB42" s="261"/>
      <c r="BDC42" s="261"/>
      <c r="BDD42" s="261"/>
      <c r="BDE42" s="261"/>
      <c r="BDF42" s="261"/>
      <c r="BDG42" s="261"/>
      <c r="BDH42" s="261"/>
      <c r="BDI42" s="261"/>
      <c r="BDJ42" s="261"/>
      <c r="BDK42" s="261"/>
      <c r="BDL42" s="261"/>
      <c r="BDM42" s="261"/>
      <c r="BDN42" s="261"/>
      <c r="BDO42" s="261"/>
      <c r="BDP42" s="261"/>
      <c r="BDQ42" s="261"/>
      <c r="BDR42" s="261"/>
      <c r="BDS42" s="261"/>
      <c r="BDT42" s="261"/>
      <c r="BDU42" s="261"/>
      <c r="BDV42" s="261"/>
      <c r="BDW42" s="261"/>
      <c r="BDX42" s="261"/>
      <c r="BDY42" s="261"/>
      <c r="BDZ42" s="261"/>
      <c r="BEA42" s="261"/>
      <c r="BEB42" s="261"/>
      <c r="BEC42" s="261"/>
      <c r="BED42" s="261"/>
      <c r="BEE42" s="261"/>
      <c r="BEF42" s="261"/>
      <c r="BEG42" s="261"/>
      <c r="BEH42" s="261"/>
      <c r="BEI42" s="261"/>
      <c r="BEJ42" s="261"/>
      <c r="BEK42" s="261"/>
      <c r="BEL42" s="261"/>
      <c r="BEM42" s="261"/>
      <c r="BEN42" s="261"/>
      <c r="BEO42" s="261"/>
      <c r="BEP42" s="261"/>
      <c r="BEQ42" s="261"/>
      <c r="BER42" s="261"/>
      <c r="BES42" s="261"/>
      <c r="BET42" s="261"/>
      <c r="BEU42" s="261"/>
      <c r="BEV42" s="261"/>
      <c r="BEW42" s="261"/>
      <c r="BEX42" s="261"/>
      <c r="BEY42" s="261"/>
      <c r="BEZ42" s="261"/>
      <c r="BFA42" s="261"/>
      <c r="BFB42" s="261"/>
      <c r="BFC42" s="261"/>
      <c r="BFD42" s="261"/>
      <c r="BFE42" s="261"/>
      <c r="BFF42" s="261"/>
      <c r="BFG42" s="261"/>
      <c r="BFH42" s="261"/>
      <c r="BFI42" s="261"/>
      <c r="BFJ42" s="261"/>
      <c r="BFK42" s="261"/>
      <c r="BFL42" s="261"/>
      <c r="BFM42" s="261"/>
      <c r="BFN42" s="261"/>
      <c r="BFO42" s="261"/>
      <c r="BFP42" s="261"/>
      <c r="BFQ42" s="261"/>
      <c r="BFR42" s="261"/>
      <c r="BFS42" s="261"/>
      <c r="BFT42" s="261"/>
      <c r="BFU42" s="261"/>
      <c r="BFV42" s="261"/>
      <c r="BFW42" s="261"/>
      <c r="BFX42" s="261"/>
      <c r="BFY42" s="261"/>
      <c r="BFZ42" s="261"/>
      <c r="BGA42" s="261"/>
      <c r="BGB42" s="261"/>
      <c r="BGC42" s="261"/>
      <c r="BGD42" s="261"/>
      <c r="BGE42" s="261"/>
      <c r="BGF42" s="261"/>
      <c r="BGG42" s="261"/>
      <c r="BGH42" s="261"/>
      <c r="BGI42" s="261"/>
      <c r="BGJ42" s="261"/>
      <c r="BGK42" s="261"/>
      <c r="BGL42" s="261"/>
      <c r="BGM42" s="261"/>
      <c r="BGN42" s="261"/>
      <c r="BGO42" s="261"/>
      <c r="BGP42" s="261"/>
      <c r="BGQ42" s="261"/>
      <c r="BGR42" s="261"/>
      <c r="BGS42" s="261"/>
      <c r="BGT42" s="261"/>
      <c r="BGU42" s="261"/>
      <c r="BGV42" s="261"/>
      <c r="BGW42" s="261"/>
      <c r="BGX42" s="261"/>
      <c r="BGY42" s="261"/>
      <c r="BGZ42" s="261"/>
      <c r="BHA42" s="261"/>
      <c r="BHB42" s="261"/>
      <c r="BHC42" s="261"/>
      <c r="BHD42" s="261"/>
      <c r="BHE42" s="261"/>
      <c r="BHF42" s="261"/>
      <c r="BHG42" s="261"/>
      <c r="BHH42" s="261"/>
      <c r="BHI42" s="261"/>
      <c r="BHJ42" s="261"/>
      <c r="BHK42" s="261"/>
      <c r="BHL42" s="261"/>
      <c r="BHM42" s="261"/>
      <c r="BHN42" s="261"/>
      <c r="BHO42" s="261"/>
      <c r="BHP42" s="261"/>
      <c r="BHQ42" s="261"/>
      <c r="BHR42" s="261"/>
      <c r="BHS42" s="261"/>
      <c r="BHT42" s="261"/>
      <c r="BHU42" s="261"/>
      <c r="BHV42" s="261"/>
      <c r="BHW42" s="261"/>
      <c r="BHX42" s="261"/>
      <c r="BHY42" s="261"/>
      <c r="BHZ42" s="261"/>
      <c r="BIA42" s="261"/>
      <c r="BIB42" s="261"/>
      <c r="BIC42" s="261"/>
      <c r="BID42" s="261"/>
      <c r="BIE42" s="261"/>
      <c r="BIF42" s="261"/>
      <c r="BIG42" s="261"/>
      <c r="BIH42" s="261"/>
      <c r="BII42" s="261"/>
      <c r="BIJ42" s="261"/>
      <c r="BIK42" s="261"/>
      <c r="BIL42" s="261"/>
      <c r="BIM42" s="261"/>
      <c r="BIN42" s="261"/>
      <c r="BIO42" s="261"/>
      <c r="BIP42" s="261"/>
      <c r="BIQ42" s="261"/>
      <c r="BIR42" s="261"/>
      <c r="BIS42" s="261"/>
      <c r="BIT42" s="261"/>
      <c r="BIU42" s="261"/>
      <c r="BIV42" s="261"/>
      <c r="BIW42" s="261"/>
      <c r="BIX42" s="261"/>
      <c r="BIY42" s="261"/>
      <c r="BIZ42" s="261"/>
      <c r="BJA42" s="261"/>
      <c r="BJB42" s="261"/>
      <c r="BJC42" s="261"/>
      <c r="BJD42" s="261"/>
      <c r="BJE42" s="261"/>
      <c r="BJF42" s="261"/>
      <c r="BJG42" s="261"/>
      <c r="BJH42" s="261"/>
      <c r="BJI42" s="261"/>
      <c r="BJJ42" s="261"/>
      <c r="BJK42" s="261"/>
      <c r="BJL42" s="261"/>
      <c r="BJM42" s="261"/>
      <c r="BJN42" s="261"/>
      <c r="BJO42" s="261"/>
      <c r="BJP42" s="261"/>
      <c r="BJQ42" s="261"/>
      <c r="BJR42" s="261"/>
      <c r="BJS42" s="261"/>
      <c r="BJT42" s="261"/>
      <c r="BJU42" s="261"/>
      <c r="BJV42" s="261"/>
      <c r="BJW42" s="261"/>
      <c r="BJX42" s="261"/>
      <c r="BJY42" s="261"/>
      <c r="BJZ42" s="261"/>
      <c r="BKA42" s="261"/>
      <c r="BKB42" s="261"/>
      <c r="BKC42" s="261"/>
      <c r="BKD42" s="261"/>
      <c r="BKE42" s="261"/>
      <c r="BKF42" s="261"/>
      <c r="BKG42" s="261"/>
      <c r="BKH42" s="261"/>
      <c r="BKI42" s="261"/>
      <c r="BKJ42" s="261"/>
      <c r="BKK42" s="261"/>
      <c r="BKL42" s="261"/>
      <c r="BKM42" s="261"/>
      <c r="BKN42" s="261"/>
      <c r="BKO42" s="261"/>
      <c r="BKP42" s="261"/>
      <c r="BKQ42" s="261"/>
      <c r="BKR42" s="261"/>
      <c r="BKS42" s="261"/>
      <c r="BKT42" s="261"/>
      <c r="BKU42" s="261"/>
      <c r="BKV42" s="261"/>
      <c r="BKW42" s="261"/>
      <c r="BKX42" s="261"/>
      <c r="BKY42" s="261"/>
      <c r="BKZ42" s="261"/>
      <c r="BLA42" s="261"/>
      <c r="BLB42" s="261"/>
      <c r="BLC42" s="261"/>
      <c r="BLD42" s="261"/>
      <c r="BLE42" s="261"/>
      <c r="BLF42" s="261"/>
      <c r="BLG42" s="261"/>
      <c r="BLH42" s="261"/>
      <c r="BLI42" s="261"/>
      <c r="BLJ42" s="261"/>
      <c r="BLK42" s="261"/>
      <c r="BLL42" s="261"/>
      <c r="BLM42" s="261"/>
      <c r="BLN42" s="261"/>
      <c r="BLO42" s="261"/>
      <c r="BLP42" s="261"/>
      <c r="BLQ42" s="261"/>
      <c r="BLR42" s="261"/>
      <c r="BLS42" s="261"/>
      <c r="BLT42" s="261"/>
      <c r="BLU42" s="261"/>
      <c r="BLV42" s="261"/>
      <c r="BLW42" s="261"/>
      <c r="BLX42" s="261"/>
      <c r="BLY42" s="261"/>
      <c r="BLZ42" s="261"/>
      <c r="BMA42" s="261"/>
      <c r="BMB42" s="261"/>
      <c r="BMC42" s="261"/>
      <c r="BMD42" s="261"/>
      <c r="BME42" s="261"/>
      <c r="BMF42" s="261"/>
      <c r="BMG42" s="261"/>
      <c r="BMH42" s="261"/>
      <c r="BMI42" s="261"/>
      <c r="BMJ42" s="261"/>
      <c r="BMK42" s="261"/>
      <c r="BML42" s="261"/>
      <c r="BMM42" s="261"/>
      <c r="BMN42" s="261"/>
      <c r="BMO42" s="261"/>
      <c r="BMP42" s="261"/>
      <c r="BMQ42" s="261"/>
      <c r="BMR42" s="261"/>
      <c r="BMS42" s="261"/>
      <c r="BMT42" s="261"/>
      <c r="BMU42" s="261"/>
      <c r="BMV42" s="261"/>
      <c r="BMW42" s="261"/>
      <c r="BMX42" s="261"/>
      <c r="BMY42" s="261"/>
      <c r="BMZ42" s="261"/>
      <c r="BNA42" s="261"/>
      <c r="BNB42" s="261"/>
      <c r="BNC42" s="261"/>
      <c r="BND42" s="261"/>
      <c r="BNE42" s="261"/>
      <c r="BNF42" s="261"/>
      <c r="BNG42" s="261"/>
      <c r="BNH42" s="261"/>
      <c r="BNI42" s="261"/>
      <c r="BNJ42" s="261"/>
      <c r="BNK42" s="261"/>
      <c r="BNL42" s="261"/>
      <c r="BNM42" s="261"/>
      <c r="BNN42" s="261"/>
      <c r="BNO42" s="261"/>
      <c r="BNP42" s="261"/>
      <c r="BNQ42" s="261"/>
      <c r="BNR42" s="261"/>
      <c r="BNS42" s="261"/>
      <c r="BNT42" s="261"/>
      <c r="BNU42" s="261"/>
      <c r="BNV42" s="261"/>
      <c r="BNW42" s="261"/>
      <c r="BNX42" s="261"/>
      <c r="BNY42" s="261"/>
      <c r="BNZ42" s="261"/>
      <c r="BOA42" s="261"/>
      <c r="BOB42" s="261"/>
      <c r="BOC42" s="261"/>
      <c r="BOD42" s="261"/>
      <c r="BOE42" s="261"/>
      <c r="BOF42" s="261"/>
      <c r="BOG42" s="261"/>
      <c r="BOH42" s="261"/>
      <c r="BOI42" s="261"/>
      <c r="BOJ42" s="261"/>
      <c r="BOK42" s="261"/>
      <c r="BOL42" s="261"/>
      <c r="BOM42" s="261"/>
      <c r="BON42" s="261"/>
      <c r="BOO42" s="261"/>
      <c r="BOP42" s="261"/>
      <c r="BOQ42" s="261"/>
      <c r="BOR42" s="261"/>
      <c r="BOS42" s="261"/>
      <c r="BOT42" s="261"/>
      <c r="BOU42" s="261"/>
      <c r="BOV42" s="261"/>
      <c r="BOW42" s="261"/>
      <c r="BOX42" s="261"/>
      <c r="BOY42" s="261"/>
      <c r="BOZ42" s="261"/>
      <c r="BPA42" s="261"/>
      <c r="BPB42" s="261"/>
      <c r="BPC42" s="261"/>
      <c r="BPD42" s="261"/>
      <c r="BPE42" s="261"/>
      <c r="BPF42" s="261"/>
      <c r="BPG42" s="261"/>
      <c r="BPH42" s="261"/>
      <c r="BPI42" s="261"/>
      <c r="BPJ42" s="261"/>
      <c r="BPK42" s="261"/>
      <c r="BPL42" s="261"/>
      <c r="BPM42" s="261"/>
      <c r="BPN42" s="261"/>
      <c r="BPO42" s="261"/>
      <c r="BPP42" s="261"/>
      <c r="BPQ42" s="261"/>
      <c r="BPR42" s="261"/>
      <c r="BPS42" s="261"/>
      <c r="BPT42" s="261"/>
      <c r="BPU42" s="261"/>
      <c r="BPV42" s="261"/>
      <c r="BPW42" s="261"/>
      <c r="BPX42" s="261"/>
      <c r="BPY42" s="261"/>
      <c r="BPZ42" s="261"/>
      <c r="BQA42" s="261"/>
      <c r="BQB42" s="261"/>
      <c r="BQC42" s="261"/>
      <c r="BQD42" s="261"/>
      <c r="BQE42" s="261"/>
      <c r="BQF42" s="261"/>
      <c r="BQG42" s="261"/>
      <c r="BQH42" s="261"/>
      <c r="BQI42" s="261"/>
      <c r="BQJ42" s="261"/>
      <c r="BQK42" s="261"/>
      <c r="BQL42" s="261"/>
      <c r="BQM42" s="261"/>
      <c r="BQN42" s="261"/>
      <c r="BQO42" s="261"/>
      <c r="BQP42" s="261"/>
      <c r="BQQ42" s="261"/>
      <c r="BQR42" s="261"/>
      <c r="BQS42" s="261"/>
      <c r="BQT42" s="261"/>
      <c r="BQU42" s="261"/>
      <c r="BQV42" s="261"/>
      <c r="BQW42" s="261"/>
      <c r="BQX42" s="261"/>
      <c r="BQY42" s="261"/>
      <c r="BQZ42" s="261"/>
      <c r="BRA42" s="261"/>
      <c r="BRB42" s="261"/>
      <c r="BRC42" s="261"/>
      <c r="BRD42" s="261"/>
      <c r="BRE42" s="261"/>
      <c r="BRF42" s="261"/>
      <c r="BRG42" s="261"/>
      <c r="BRH42" s="261"/>
      <c r="BRI42" s="261"/>
      <c r="BRJ42" s="261"/>
      <c r="BRK42" s="261"/>
      <c r="BRL42" s="261"/>
      <c r="BRM42" s="261"/>
      <c r="BRN42" s="261"/>
      <c r="BRO42" s="261"/>
      <c r="BRP42" s="261"/>
      <c r="BRQ42" s="261"/>
      <c r="BRR42" s="261"/>
      <c r="BRS42" s="261"/>
      <c r="BRT42" s="261"/>
      <c r="BRU42" s="261"/>
      <c r="BRV42" s="261"/>
      <c r="BRW42" s="261"/>
      <c r="BRX42" s="261"/>
      <c r="BRY42" s="261"/>
      <c r="BRZ42" s="261"/>
      <c r="BSA42" s="261"/>
      <c r="BSB42" s="261"/>
      <c r="BSC42" s="261"/>
      <c r="BSD42" s="261"/>
      <c r="BSE42" s="261"/>
      <c r="BSF42" s="261"/>
      <c r="BSG42" s="261"/>
      <c r="BSH42" s="261"/>
      <c r="BSI42" s="261"/>
      <c r="BSJ42" s="261"/>
      <c r="BSK42" s="261"/>
      <c r="BSL42" s="261"/>
      <c r="BSM42" s="261"/>
      <c r="BSN42" s="261"/>
      <c r="BSO42" s="261"/>
      <c r="BSP42" s="261"/>
      <c r="BSQ42" s="261"/>
      <c r="BSR42" s="261"/>
      <c r="BSS42" s="261"/>
      <c r="BST42" s="261"/>
      <c r="BSU42" s="261"/>
      <c r="BSV42" s="261"/>
      <c r="BSW42" s="261"/>
      <c r="BSX42" s="261"/>
      <c r="BSY42" s="261"/>
      <c r="BSZ42" s="261"/>
      <c r="BTA42" s="261"/>
      <c r="BTB42" s="261"/>
      <c r="BTC42" s="261"/>
      <c r="BTD42" s="261"/>
      <c r="BTE42" s="261"/>
      <c r="BTF42" s="261"/>
      <c r="BTG42" s="261"/>
      <c r="BTH42" s="261"/>
      <c r="BTI42" s="261"/>
      <c r="BTJ42" s="261"/>
      <c r="BTK42" s="261"/>
      <c r="BTL42" s="261"/>
      <c r="BTM42" s="261"/>
      <c r="BTN42" s="261"/>
      <c r="BTO42" s="261"/>
      <c r="BTP42" s="261"/>
      <c r="BTQ42" s="261"/>
      <c r="BTR42" s="261"/>
      <c r="BTS42" s="261"/>
      <c r="BTT42" s="261"/>
      <c r="BTU42" s="261"/>
      <c r="BTV42" s="261"/>
      <c r="BTW42" s="261"/>
      <c r="BTX42" s="261"/>
      <c r="BTY42" s="261"/>
      <c r="BTZ42" s="261"/>
      <c r="BUA42" s="261"/>
      <c r="BUB42" s="261"/>
      <c r="BUC42" s="261"/>
      <c r="BUD42" s="261"/>
      <c r="BUE42" s="261"/>
      <c r="BUF42" s="261"/>
      <c r="BUG42" s="261"/>
      <c r="BUH42" s="261"/>
      <c r="BUI42" s="261"/>
      <c r="BUJ42" s="261"/>
      <c r="BUK42" s="261"/>
      <c r="BUL42" s="261"/>
      <c r="BUM42" s="261"/>
      <c r="BUN42" s="261"/>
      <c r="BUO42" s="261"/>
      <c r="BUP42" s="261"/>
      <c r="BUQ42" s="261"/>
      <c r="BUR42" s="261"/>
      <c r="BUS42" s="261"/>
      <c r="BUT42" s="261"/>
      <c r="BUU42" s="261"/>
      <c r="BUV42" s="261"/>
      <c r="BUW42" s="261"/>
      <c r="BUX42" s="261"/>
      <c r="BUY42" s="261"/>
      <c r="BUZ42" s="261"/>
      <c r="BVA42" s="261"/>
      <c r="BVB42" s="261"/>
      <c r="BVC42" s="261"/>
      <c r="BVD42" s="261"/>
      <c r="BVE42" s="261"/>
      <c r="BVF42" s="261"/>
      <c r="BVG42" s="261"/>
      <c r="BVH42" s="261"/>
      <c r="BVI42" s="261"/>
      <c r="BVJ42" s="261"/>
      <c r="BVK42" s="261"/>
      <c r="BVL42" s="261"/>
      <c r="BVM42" s="261"/>
      <c r="BVN42" s="261"/>
      <c r="BVO42" s="261"/>
      <c r="BVP42" s="261"/>
      <c r="BVQ42" s="261"/>
      <c r="BVR42" s="261"/>
      <c r="BVS42" s="261"/>
      <c r="BVT42" s="261"/>
      <c r="BVU42" s="261"/>
      <c r="BVV42" s="261"/>
      <c r="BVW42" s="261"/>
      <c r="BVX42" s="261"/>
      <c r="BVY42" s="261"/>
      <c r="BVZ42" s="261"/>
      <c r="BWA42" s="261"/>
      <c r="BWB42" s="261"/>
      <c r="BWC42" s="261"/>
      <c r="BWD42" s="261"/>
      <c r="BWE42" s="261"/>
      <c r="BWF42" s="261"/>
      <c r="BWG42" s="261"/>
      <c r="BWH42" s="261"/>
      <c r="BWI42" s="261"/>
      <c r="BWJ42" s="261"/>
      <c r="BWK42" s="261"/>
      <c r="BWL42" s="261"/>
      <c r="BWM42" s="261"/>
      <c r="BWN42" s="261"/>
      <c r="BWO42" s="261"/>
      <c r="BWP42" s="261"/>
      <c r="BWQ42" s="261"/>
      <c r="BWR42" s="261"/>
      <c r="BWS42" s="261"/>
      <c r="BWT42" s="261"/>
      <c r="BWU42" s="261"/>
      <c r="BWV42" s="261"/>
      <c r="BWW42" s="261"/>
      <c r="BWX42" s="261"/>
      <c r="BWY42" s="261"/>
      <c r="BWZ42" s="261"/>
      <c r="BXA42" s="261"/>
      <c r="BXB42" s="261"/>
      <c r="BXC42" s="261"/>
      <c r="BXD42" s="261"/>
      <c r="BXE42" s="261"/>
      <c r="BXF42" s="261"/>
      <c r="BXG42" s="261"/>
      <c r="BXH42" s="261"/>
      <c r="BXI42" s="261"/>
      <c r="BXJ42" s="261"/>
      <c r="BXK42" s="261"/>
      <c r="BXL42" s="261"/>
      <c r="BXM42" s="261"/>
      <c r="BXN42" s="261"/>
      <c r="BXO42" s="261"/>
      <c r="BXP42" s="261"/>
      <c r="BXQ42" s="261"/>
      <c r="BXR42" s="261"/>
      <c r="BXS42" s="261"/>
      <c r="BXT42" s="261"/>
      <c r="BXU42" s="261"/>
      <c r="BXV42" s="261"/>
      <c r="BXW42" s="261"/>
      <c r="BXX42" s="261"/>
      <c r="BXY42" s="261"/>
      <c r="BXZ42" s="261"/>
      <c r="BYA42" s="261"/>
      <c r="BYB42" s="261"/>
      <c r="BYC42" s="261"/>
      <c r="BYD42" s="261"/>
      <c r="BYE42" s="261"/>
      <c r="BYF42" s="261"/>
      <c r="BYG42" s="261"/>
      <c r="BYH42" s="261"/>
      <c r="BYI42" s="261"/>
      <c r="BYJ42" s="261"/>
      <c r="BYK42" s="261"/>
      <c r="BYL42" s="261"/>
      <c r="BYM42" s="261"/>
      <c r="BYN42" s="261"/>
      <c r="BYO42" s="261"/>
      <c r="BYP42" s="261"/>
      <c r="BYQ42" s="261"/>
      <c r="BYR42" s="261"/>
      <c r="BYS42" s="261"/>
      <c r="BYT42" s="261"/>
      <c r="BYU42" s="261"/>
      <c r="BYV42" s="261"/>
      <c r="BYW42" s="261"/>
      <c r="BYX42" s="261"/>
      <c r="BYY42" s="261"/>
      <c r="BYZ42" s="261"/>
      <c r="BZA42" s="261"/>
      <c r="BZB42" s="261"/>
      <c r="BZC42" s="261"/>
      <c r="BZD42" s="261"/>
      <c r="BZE42" s="261"/>
      <c r="BZF42" s="261"/>
      <c r="BZG42" s="261"/>
      <c r="BZH42" s="261"/>
      <c r="BZI42" s="261"/>
      <c r="BZJ42" s="261"/>
      <c r="BZK42" s="261"/>
      <c r="BZL42" s="261"/>
      <c r="BZM42" s="261"/>
      <c r="BZN42" s="261"/>
      <c r="BZO42" s="261"/>
      <c r="BZP42" s="261"/>
      <c r="BZQ42" s="261"/>
      <c r="BZR42" s="261"/>
      <c r="BZS42" s="261"/>
      <c r="BZT42" s="261"/>
      <c r="BZU42" s="261"/>
      <c r="BZV42" s="261"/>
      <c r="BZW42" s="261"/>
      <c r="BZX42" s="261"/>
      <c r="BZY42" s="261"/>
      <c r="BZZ42" s="261"/>
      <c r="CAA42" s="261"/>
      <c r="CAB42" s="261"/>
      <c r="CAC42" s="261"/>
      <c r="CAD42" s="261"/>
      <c r="CAE42" s="261"/>
      <c r="CAF42" s="261"/>
      <c r="CAG42" s="261"/>
      <c r="CAH42" s="261"/>
      <c r="CAI42" s="261"/>
      <c r="CAJ42" s="261"/>
      <c r="CAK42" s="261"/>
      <c r="CAL42" s="261"/>
      <c r="CAM42" s="261"/>
      <c r="CAN42" s="261"/>
      <c r="CAO42" s="261"/>
      <c r="CAP42" s="261"/>
      <c r="CAQ42" s="261"/>
      <c r="CAR42" s="261"/>
      <c r="CAS42" s="261"/>
      <c r="CAT42" s="261"/>
      <c r="CAU42" s="261"/>
      <c r="CAV42" s="261"/>
      <c r="CAW42" s="261"/>
      <c r="CAX42" s="261"/>
      <c r="CAY42" s="261"/>
      <c r="CAZ42" s="261"/>
      <c r="CBA42" s="261"/>
      <c r="CBB42" s="261"/>
      <c r="CBC42" s="261"/>
      <c r="CBD42" s="261"/>
      <c r="CBE42" s="261"/>
      <c r="CBF42" s="261"/>
      <c r="CBG42" s="261"/>
      <c r="CBH42" s="261"/>
      <c r="CBI42" s="261"/>
      <c r="CBJ42" s="261"/>
      <c r="CBK42" s="261"/>
      <c r="CBL42" s="261"/>
      <c r="CBM42" s="261"/>
      <c r="CBN42" s="261"/>
      <c r="CBO42" s="261"/>
      <c r="CBP42" s="261"/>
      <c r="CBQ42" s="261"/>
      <c r="CBR42" s="261"/>
      <c r="CBS42" s="261"/>
      <c r="CBT42" s="261"/>
      <c r="CBU42" s="261"/>
      <c r="CBV42" s="261"/>
      <c r="CBW42" s="261"/>
      <c r="CBX42" s="261"/>
      <c r="CBY42" s="261"/>
      <c r="CBZ42" s="261"/>
      <c r="CCA42" s="261"/>
      <c r="CCB42" s="261"/>
      <c r="CCC42" s="261"/>
      <c r="CCD42" s="261"/>
      <c r="CCE42" s="261"/>
      <c r="CCF42" s="261"/>
      <c r="CCG42" s="261"/>
      <c r="CCH42" s="261"/>
      <c r="CCI42" s="261"/>
      <c r="CCJ42" s="261"/>
      <c r="CCK42" s="261"/>
      <c r="CCL42" s="261"/>
      <c r="CCM42" s="261"/>
      <c r="CCN42" s="261"/>
      <c r="CCO42" s="261"/>
      <c r="CCP42" s="261"/>
      <c r="CCQ42" s="261"/>
      <c r="CCR42" s="261"/>
      <c r="CCS42" s="261"/>
      <c r="CCT42" s="261"/>
      <c r="CCU42" s="261"/>
      <c r="CCV42" s="261"/>
      <c r="CCW42" s="261"/>
      <c r="CCX42" s="261"/>
      <c r="CCY42" s="261"/>
      <c r="CCZ42" s="261"/>
      <c r="CDA42" s="261"/>
      <c r="CDB42" s="261"/>
      <c r="CDC42" s="261"/>
      <c r="CDD42" s="261"/>
      <c r="CDE42" s="261"/>
      <c r="CDF42" s="261"/>
      <c r="CDG42" s="261"/>
      <c r="CDH42" s="261"/>
      <c r="CDI42" s="261"/>
      <c r="CDJ42" s="261"/>
      <c r="CDK42" s="261"/>
      <c r="CDL42" s="261"/>
      <c r="CDM42" s="261"/>
      <c r="CDN42" s="261"/>
      <c r="CDO42" s="261"/>
      <c r="CDP42" s="261"/>
      <c r="CDQ42" s="261"/>
      <c r="CDR42" s="261"/>
      <c r="CDS42" s="261"/>
      <c r="CDT42" s="261"/>
      <c r="CDU42" s="261"/>
      <c r="CDV42" s="261"/>
      <c r="CDW42" s="261"/>
      <c r="CDX42" s="261"/>
      <c r="CDY42" s="261"/>
      <c r="CDZ42" s="261"/>
      <c r="CEA42" s="261"/>
      <c r="CEB42" s="261"/>
      <c r="CEC42" s="261"/>
      <c r="CED42" s="261"/>
      <c r="CEE42" s="261"/>
      <c r="CEF42" s="261"/>
      <c r="CEG42" s="261"/>
      <c r="CEH42" s="261"/>
      <c r="CEI42" s="261"/>
      <c r="CEJ42" s="261"/>
      <c r="CEK42" s="261"/>
      <c r="CEL42" s="261"/>
      <c r="CEM42" s="261"/>
      <c r="CEN42" s="261"/>
      <c r="CEO42" s="261"/>
      <c r="CEP42" s="261"/>
      <c r="CEQ42" s="261"/>
      <c r="CER42" s="261"/>
      <c r="CES42" s="261"/>
      <c r="CET42" s="261"/>
      <c r="CEU42" s="261"/>
      <c r="CEV42" s="261"/>
      <c r="CEW42" s="261"/>
      <c r="CEX42" s="261"/>
      <c r="CEY42" s="261"/>
      <c r="CEZ42" s="261"/>
      <c r="CFA42" s="261"/>
      <c r="CFB42" s="261"/>
      <c r="CFC42" s="261"/>
      <c r="CFD42" s="261"/>
      <c r="CFE42" s="261"/>
      <c r="CFF42" s="261"/>
      <c r="CFG42" s="261"/>
      <c r="CFH42" s="261"/>
      <c r="CFI42" s="261"/>
      <c r="CFJ42" s="261"/>
      <c r="CFK42" s="261"/>
      <c r="CFL42" s="261"/>
      <c r="CFM42" s="261"/>
      <c r="CFN42" s="261"/>
      <c r="CFO42" s="261"/>
      <c r="CFP42" s="261"/>
      <c r="CFQ42" s="261"/>
      <c r="CFR42" s="261"/>
      <c r="CFS42" s="261"/>
      <c r="CFT42" s="261"/>
      <c r="CFU42" s="261"/>
      <c r="CFV42" s="261"/>
      <c r="CFW42" s="261"/>
      <c r="CFX42" s="261"/>
      <c r="CFY42" s="261"/>
      <c r="CFZ42" s="261"/>
      <c r="CGA42" s="261"/>
      <c r="CGB42" s="261"/>
      <c r="CGC42" s="261"/>
      <c r="CGD42" s="261"/>
      <c r="CGE42" s="261"/>
      <c r="CGF42" s="261"/>
      <c r="CGG42" s="261"/>
      <c r="CGH42" s="261"/>
      <c r="CGI42" s="261"/>
      <c r="CGJ42" s="261"/>
      <c r="CGK42" s="261"/>
      <c r="CGL42" s="261"/>
      <c r="CGM42" s="261"/>
      <c r="CGN42" s="261"/>
      <c r="CGO42" s="261"/>
      <c r="CGP42" s="261"/>
      <c r="CGQ42" s="261"/>
      <c r="CGR42" s="261"/>
      <c r="CGS42" s="261"/>
      <c r="CGT42" s="261"/>
      <c r="CGU42" s="261"/>
      <c r="CGV42" s="261"/>
      <c r="CGW42" s="261"/>
      <c r="CGX42" s="261"/>
      <c r="CGY42" s="261"/>
      <c r="CGZ42" s="261"/>
      <c r="CHA42" s="261"/>
      <c r="CHB42" s="261"/>
      <c r="CHC42" s="261"/>
      <c r="CHD42" s="261"/>
      <c r="CHE42" s="261"/>
      <c r="CHF42" s="261"/>
      <c r="CHG42" s="261"/>
      <c r="CHH42" s="261"/>
      <c r="CHI42" s="261"/>
      <c r="CHJ42" s="261"/>
      <c r="CHK42" s="261"/>
      <c r="CHL42" s="261"/>
      <c r="CHM42" s="261"/>
      <c r="CHN42" s="261"/>
      <c r="CHO42" s="261"/>
      <c r="CHP42" s="261"/>
      <c r="CHQ42" s="261"/>
      <c r="CHR42" s="261"/>
      <c r="CHS42" s="261"/>
      <c r="CHT42" s="261"/>
      <c r="CHU42" s="261"/>
      <c r="CHV42" s="261"/>
      <c r="CHW42" s="261"/>
      <c r="CHX42" s="261"/>
      <c r="CHY42" s="261"/>
      <c r="CHZ42" s="261"/>
      <c r="CIA42" s="261"/>
      <c r="CIB42" s="261"/>
      <c r="CIC42" s="261"/>
      <c r="CID42" s="261"/>
      <c r="CIE42" s="261"/>
      <c r="CIF42" s="261"/>
      <c r="CIG42" s="261"/>
      <c r="CIH42" s="261"/>
      <c r="CII42" s="261"/>
      <c r="CIJ42" s="261"/>
      <c r="CIK42" s="261"/>
      <c r="CIL42" s="261"/>
      <c r="CIM42" s="261"/>
      <c r="CIN42" s="261"/>
      <c r="CIO42" s="261"/>
      <c r="CIP42" s="261"/>
      <c r="CIQ42" s="261"/>
      <c r="CIR42" s="261"/>
      <c r="CIS42" s="261"/>
      <c r="CIT42" s="261"/>
      <c r="CIU42" s="261"/>
      <c r="CIV42" s="261"/>
      <c r="CIW42" s="261"/>
      <c r="CIX42" s="261"/>
      <c r="CIY42" s="261"/>
      <c r="CIZ42" s="261"/>
      <c r="CJA42" s="261"/>
      <c r="CJB42" s="261"/>
      <c r="CJC42" s="261"/>
      <c r="CJD42" s="261"/>
      <c r="CJE42" s="261"/>
      <c r="CJF42" s="261"/>
      <c r="CJG42" s="261"/>
      <c r="CJH42" s="261"/>
      <c r="CJI42" s="261"/>
      <c r="CJJ42" s="261"/>
      <c r="CJK42" s="261"/>
      <c r="CJL42" s="261"/>
      <c r="CJM42" s="261"/>
      <c r="CJN42" s="261"/>
      <c r="CJO42" s="261"/>
      <c r="CJP42" s="261"/>
      <c r="CJQ42" s="261"/>
      <c r="CJR42" s="261"/>
      <c r="CJS42" s="261"/>
      <c r="CJT42" s="261"/>
      <c r="CJU42" s="261"/>
      <c r="CJV42" s="261"/>
      <c r="CJW42" s="261"/>
      <c r="CJX42" s="261"/>
      <c r="CJY42" s="261"/>
      <c r="CJZ42" s="261"/>
      <c r="CKA42" s="261"/>
      <c r="CKB42" s="261"/>
      <c r="CKC42" s="261"/>
      <c r="CKD42" s="261"/>
      <c r="CKE42" s="261"/>
      <c r="CKF42" s="261"/>
      <c r="CKG42" s="261"/>
      <c r="CKH42" s="261"/>
      <c r="CKI42" s="261"/>
      <c r="CKJ42" s="261"/>
      <c r="CKK42" s="261"/>
      <c r="CKL42" s="261"/>
      <c r="CKM42" s="261"/>
      <c r="CKN42" s="261"/>
      <c r="CKO42" s="261"/>
      <c r="CKP42" s="261"/>
      <c r="CKQ42" s="261"/>
      <c r="CKR42" s="261"/>
      <c r="CKS42" s="261"/>
      <c r="CKT42" s="261"/>
      <c r="CKU42" s="261"/>
      <c r="CKV42" s="261"/>
      <c r="CKW42" s="261"/>
      <c r="CKX42" s="261"/>
      <c r="CKY42" s="261"/>
      <c r="CKZ42" s="261"/>
      <c r="CLA42" s="261"/>
      <c r="CLB42" s="261"/>
      <c r="CLC42" s="261"/>
      <c r="CLD42" s="261"/>
      <c r="CLE42" s="261"/>
      <c r="CLF42" s="261"/>
      <c r="CLG42" s="261"/>
      <c r="CLH42" s="261"/>
      <c r="CLI42" s="261"/>
      <c r="CLJ42" s="261"/>
      <c r="CLK42" s="261"/>
      <c r="CLL42" s="261"/>
      <c r="CLM42" s="261"/>
      <c r="CLN42" s="261"/>
      <c r="CLO42" s="261"/>
      <c r="CLP42" s="261"/>
      <c r="CLQ42" s="261"/>
      <c r="CLR42" s="261"/>
      <c r="CLS42" s="261"/>
      <c r="CLT42" s="261"/>
      <c r="CLU42" s="261"/>
      <c r="CLV42" s="261"/>
      <c r="CLW42" s="261"/>
      <c r="CLX42" s="261"/>
      <c r="CLY42" s="261"/>
      <c r="CLZ42" s="261"/>
      <c r="CMA42" s="261"/>
      <c r="CMB42" s="261"/>
      <c r="CMC42" s="261"/>
      <c r="CMD42" s="261"/>
      <c r="CME42" s="261"/>
      <c r="CMF42" s="261"/>
      <c r="CMG42" s="261"/>
      <c r="CMH42" s="261"/>
      <c r="CMI42" s="261"/>
      <c r="CMJ42" s="261"/>
      <c r="CMK42" s="261"/>
      <c r="CML42" s="261"/>
      <c r="CMM42" s="261"/>
      <c r="CMN42" s="261"/>
      <c r="CMO42" s="261"/>
      <c r="CMP42" s="261"/>
      <c r="CMQ42" s="261"/>
      <c r="CMR42" s="261"/>
      <c r="CMS42" s="261"/>
      <c r="CMT42" s="261"/>
      <c r="CMU42" s="261"/>
      <c r="CMV42" s="261"/>
      <c r="CMW42" s="261"/>
      <c r="CMX42" s="261"/>
      <c r="CMY42" s="261"/>
      <c r="CMZ42" s="261"/>
      <c r="CNA42" s="261"/>
      <c r="CNB42" s="261"/>
      <c r="CNC42" s="261"/>
      <c r="CND42" s="261"/>
      <c r="CNE42" s="261"/>
      <c r="CNF42" s="261"/>
      <c r="CNG42" s="261"/>
      <c r="CNH42" s="261"/>
      <c r="CNI42" s="261"/>
      <c r="CNJ42" s="261"/>
      <c r="CNK42" s="261"/>
      <c r="CNL42" s="261"/>
      <c r="CNM42" s="261"/>
      <c r="CNN42" s="261"/>
      <c r="CNO42" s="261"/>
      <c r="CNP42" s="261"/>
      <c r="CNQ42" s="261"/>
      <c r="CNR42" s="261"/>
      <c r="CNS42" s="261"/>
      <c r="CNT42" s="261"/>
      <c r="CNU42" s="261"/>
      <c r="CNV42" s="261"/>
      <c r="CNW42" s="261"/>
      <c r="CNX42" s="261"/>
      <c r="CNY42" s="261"/>
      <c r="CNZ42" s="261"/>
      <c r="COA42" s="261"/>
      <c r="COB42" s="261"/>
      <c r="COC42" s="261"/>
      <c r="COD42" s="261"/>
      <c r="COE42" s="261"/>
      <c r="COF42" s="261"/>
      <c r="COG42" s="261"/>
      <c r="COH42" s="261"/>
      <c r="COI42" s="261"/>
      <c r="COJ42" s="261"/>
      <c r="COK42" s="261"/>
      <c r="COL42" s="261"/>
      <c r="COM42" s="261"/>
      <c r="CON42" s="261"/>
      <c r="COO42" s="261"/>
      <c r="COP42" s="261"/>
      <c r="COQ42" s="261"/>
      <c r="COR42" s="261"/>
      <c r="COS42" s="261"/>
      <c r="COT42" s="261"/>
      <c r="COU42" s="261"/>
      <c r="COV42" s="261"/>
      <c r="COW42" s="261"/>
      <c r="COX42" s="261"/>
      <c r="COY42" s="261"/>
      <c r="COZ42" s="261"/>
      <c r="CPA42" s="261"/>
      <c r="CPB42" s="261"/>
      <c r="CPC42" s="261"/>
      <c r="CPD42" s="261"/>
      <c r="CPE42" s="261"/>
      <c r="CPF42" s="261"/>
      <c r="CPG42" s="261"/>
      <c r="CPH42" s="261"/>
      <c r="CPI42" s="261"/>
      <c r="CPJ42" s="261"/>
      <c r="CPK42" s="261"/>
      <c r="CPL42" s="261"/>
      <c r="CPM42" s="261"/>
      <c r="CPN42" s="261"/>
      <c r="CPO42" s="261"/>
      <c r="CPP42" s="261"/>
      <c r="CPQ42" s="261"/>
      <c r="CPR42" s="261"/>
      <c r="CPS42" s="261"/>
      <c r="CPT42" s="261"/>
      <c r="CPU42" s="261"/>
      <c r="CPV42" s="261"/>
      <c r="CPW42" s="261"/>
      <c r="CPX42" s="261"/>
      <c r="CPY42" s="261"/>
      <c r="CPZ42" s="261"/>
      <c r="CQA42" s="261"/>
      <c r="CQB42" s="261"/>
      <c r="CQC42" s="261"/>
      <c r="CQD42" s="261"/>
      <c r="CQE42" s="261"/>
      <c r="CQF42" s="261"/>
      <c r="CQG42" s="261"/>
      <c r="CQH42" s="261"/>
      <c r="CQI42" s="261"/>
      <c r="CQJ42" s="261"/>
      <c r="CQK42" s="261"/>
      <c r="CQL42" s="261"/>
      <c r="CQM42" s="261"/>
      <c r="CQN42" s="261"/>
      <c r="CQO42" s="261"/>
      <c r="CQP42" s="261"/>
      <c r="CQQ42" s="261"/>
      <c r="CQR42" s="261"/>
      <c r="CQS42" s="261"/>
      <c r="CQT42" s="261"/>
      <c r="CQU42" s="261"/>
      <c r="CQV42" s="261"/>
      <c r="CQW42" s="261"/>
      <c r="CQX42" s="261"/>
      <c r="CQY42" s="261"/>
      <c r="CQZ42" s="261"/>
      <c r="CRA42" s="261"/>
      <c r="CRB42" s="261"/>
      <c r="CRC42" s="261"/>
      <c r="CRD42" s="261"/>
      <c r="CRE42" s="261"/>
      <c r="CRF42" s="261"/>
      <c r="CRG42" s="261"/>
      <c r="CRH42" s="261"/>
      <c r="CRI42" s="261"/>
      <c r="CRJ42" s="261"/>
      <c r="CRK42" s="261"/>
      <c r="CRL42" s="261"/>
      <c r="CRM42" s="261"/>
      <c r="CRN42" s="261"/>
      <c r="CRO42" s="261"/>
      <c r="CRP42" s="261"/>
      <c r="CRQ42" s="261"/>
      <c r="CRR42" s="261"/>
      <c r="CRS42" s="261"/>
      <c r="CRT42" s="261"/>
      <c r="CRU42" s="261"/>
      <c r="CRV42" s="261"/>
      <c r="CRW42" s="261"/>
      <c r="CRX42" s="261"/>
      <c r="CRY42" s="261"/>
      <c r="CRZ42" s="261"/>
      <c r="CSA42" s="261"/>
      <c r="CSB42" s="261"/>
      <c r="CSC42" s="261"/>
      <c r="CSD42" s="261"/>
      <c r="CSE42" s="261"/>
      <c r="CSF42" s="261"/>
      <c r="CSG42" s="261"/>
      <c r="CSH42" s="261"/>
      <c r="CSI42" s="261"/>
      <c r="CSJ42" s="261"/>
      <c r="CSK42" s="261"/>
      <c r="CSL42" s="261"/>
      <c r="CSM42" s="261"/>
      <c r="CSN42" s="261"/>
      <c r="CSO42" s="261"/>
      <c r="CSP42" s="261"/>
      <c r="CSQ42" s="261"/>
      <c r="CSR42" s="261"/>
      <c r="CSS42" s="261"/>
      <c r="CST42" s="261"/>
      <c r="CSU42" s="261"/>
      <c r="CSV42" s="261"/>
      <c r="CSW42" s="261"/>
      <c r="CSX42" s="261"/>
      <c r="CSY42" s="261"/>
      <c r="CSZ42" s="261"/>
      <c r="CTA42" s="261"/>
      <c r="CTB42" s="261"/>
      <c r="CTC42" s="261"/>
      <c r="CTD42" s="261"/>
      <c r="CTE42" s="261"/>
      <c r="CTF42" s="261"/>
      <c r="CTG42" s="261"/>
      <c r="CTH42" s="261"/>
      <c r="CTI42" s="261"/>
      <c r="CTJ42" s="261"/>
      <c r="CTK42" s="261"/>
      <c r="CTL42" s="261"/>
      <c r="CTM42" s="261"/>
      <c r="CTN42" s="261"/>
      <c r="CTO42" s="261"/>
      <c r="CTP42" s="261"/>
      <c r="CTQ42" s="261"/>
      <c r="CTR42" s="261"/>
      <c r="CTS42" s="261"/>
      <c r="CTT42" s="261"/>
      <c r="CTU42" s="261"/>
      <c r="CTV42" s="261"/>
      <c r="CTW42" s="261"/>
      <c r="CTX42" s="261"/>
      <c r="CTY42" s="261"/>
      <c r="CTZ42" s="261"/>
      <c r="CUA42" s="261"/>
      <c r="CUB42" s="261"/>
      <c r="CUC42" s="261"/>
      <c r="CUD42" s="261"/>
      <c r="CUE42" s="261"/>
      <c r="CUF42" s="261"/>
      <c r="CUG42" s="261"/>
      <c r="CUH42" s="261"/>
      <c r="CUI42" s="261"/>
      <c r="CUJ42" s="261"/>
      <c r="CUK42" s="261"/>
      <c r="CUL42" s="261"/>
      <c r="CUM42" s="261"/>
      <c r="CUN42" s="261"/>
      <c r="CUO42" s="261"/>
      <c r="CUP42" s="261"/>
      <c r="CUQ42" s="261"/>
      <c r="CUR42" s="261"/>
      <c r="CUS42" s="261"/>
      <c r="CUT42" s="261"/>
      <c r="CUU42" s="261"/>
      <c r="CUV42" s="261"/>
      <c r="CUW42" s="261"/>
      <c r="CUX42" s="261"/>
      <c r="CUY42" s="261"/>
      <c r="CUZ42" s="261"/>
      <c r="CVA42" s="261"/>
      <c r="CVB42" s="261"/>
      <c r="CVC42" s="261"/>
      <c r="CVD42" s="261"/>
      <c r="CVE42" s="261"/>
      <c r="CVF42" s="261"/>
      <c r="CVG42" s="261"/>
      <c r="CVH42" s="261"/>
      <c r="CVI42" s="261"/>
      <c r="CVJ42" s="261"/>
      <c r="CVK42" s="261"/>
      <c r="CVL42" s="261"/>
      <c r="CVM42" s="261"/>
      <c r="CVN42" s="261"/>
      <c r="CVO42" s="261"/>
      <c r="CVP42" s="261"/>
      <c r="CVQ42" s="261"/>
      <c r="CVR42" s="261"/>
      <c r="CVS42" s="261"/>
      <c r="CVT42" s="261"/>
      <c r="CVU42" s="261"/>
      <c r="CVV42" s="261"/>
      <c r="CVW42" s="261"/>
      <c r="CVX42" s="261"/>
      <c r="CVY42" s="261"/>
      <c r="CVZ42" s="261"/>
      <c r="CWA42" s="261"/>
      <c r="CWB42" s="261"/>
      <c r="CWC42" s="261"/>
      <c r="CWD42" s="261"/>
      <c r="CWE42" s="261"/>
      <c r="CWF42" s="261"/>
      <c r="CWG42" s="261"/>
      <c r="CWH42" s="261"/>
      <c r="CWI42" s="261"/>
      <c r="CWJ42" s="261"/>
      <c r="CWK42" s="261"/>
      <c r="CWL42" s="261"/>
      <c r="CWM42" s="261"/>
      <c r="CWN42" s="261"/>
      <c r="CWO42" s="261"/>
      <c r="CWP42" s="261"/>
      <c r="CWQ42" s="261"/>
      <c r="CWR42" s="261"/>
      <c r="CWS42" s="261"/>
      <c r="CWT42" s="261"/>
      <c r="CWU42" s="261"/>
      <c r="CWV42" s="261"/>
      <c r="CWW42" s="261"/>
      <c r="CWX42" s="261"/>
      <c r="CWY42" s="261"/>
      <c r="CWZ42" s="261"/>
      <c r="CXA42" s="261"/>
      <c r="CXB42" s="261"/>
      <c r="CXC42" s="261"/>
      <c r="CXD42" s="261"/>
      <c r="CXE42" s="261"/>
      <c r="CXF42" s="261"/>
      <c r="CXG42" s="261"/>
      <c r="CXH42" s="261"/>
      <c r="CXI42" s="261"/>
      <c r="CXJ42" s="261"/>
      <c r="CXK42" s="261"/>
      <c r="CXL42" s="261"/>
      <c r="CXM42" s="261"/>
      <c r="CXN42" s="261"/>
      <c r="CXO42" s="261"/>
      <c r="CXP42" s="261"/>
      <c r="CXQ42" s="261"/>
      <c r="CXR42" s="261"/>
      <c r="CXS42" s="261"/>
      <c r="CXT42" s="261"/>
      <c r="CXU42" s="261"/>
      <c r="CXV42" s="261"/>
      <c r="CXW42" s="261"/>
      <c r="CXX42" s="261"/>
      <c r="CXY42" s="261"/>
      <c r="CXZ42" s="261"/>
      <c r="CYA42" s="261"/>
      <c r="CYB42" s="261"/>
      <c r="CYC42" s="261"/>
      <c r="CYD42" s="261"/>
      <c r="CYE42" s="261"/>
      <c r="CYF42" s="261"/>
      <c r="CYG42" s="261"/>
      <c r="CYH42" s="261"/>
      <c r="CYI42" s="261"/>
      <c r="CYJ42" s="261"/>
      <c r="CYK42" s="261"/>
      <c r="CYL42" s="261"/>
      <c r="CYM42" s="261"/>
      <c r="CYN42" s="261"/>
      <c r="CYO42" s="261"/>
      <c r="CYP42" s="261"/>
      <c r="CYQ42" s="261"/>
      <c r="CYR42" s="261"/>
      <c r="CYS42" s="261"/>
      <c r="CYT42" s="261"/>
      <c r="CYU42" s="261"/>
      <c r="CYV42" s="261"/>
      <c r="CYW42" s="261"/>
      <c r="CYX42" s="261"/>
      <c r="CYY42" s="261"/>
      <c r="CYZ42" s="261"/>
      <c r="CZA42" s="261"/>
      <c r="CZB42" s="261"/>
      <c r="CZC42" s="261"/>
      <c r="CZD42" s="261"/>
      <c r="CZE42" s="261"/>
      <c r="CZF42" s="261"/>
      <c r="CZG42" s="261"/>
      <c r="CZH42" s="261"/>
      <c r="CZI42" s="261"/>
      <c r="CZJ42" s="261"/>
      <c r="CZK42" s="261"/>
      <c r="CZL42" s="261"/>
      <c r="CZM42" s="261"/>
      <c r="CZN42" s="261"/>
      <c r="CZO42" s="261"/>
      <c r="CZP42" s="261"/>
      <c r="CZQ42" s="261"/>
      <c r="CZR42" s="261"/>
      <c r="CZS42" s="261"/>
      <c r="CZT42" s="261"/>
      <c r="CZU42" s="261"/>
      <c r="CZV42" s="261"/>
      <c r="CZW42" s="261"/>
      <c r="CZX42" s="261"/>
      <c r="CZY42" s="261"/>
      <c r="CZZ42" s="261"/>
      <c r="DAA42" s="261"/>
      <c r="DAB42" s="261"/>
      <c r="DAC42" s="261"/>
      <c r="DAD42" s="261"/>
      <c r="DAE42" s="261"/>
      <c r="DAF42" s="261"/>
      <c r="DAG42" s="261"/>
      <c r="DAH42" s="261"/>
      <c r="DAI42" s="261"/>
      <c r="DAJ42" s="261"/>
      <c r="DAK42" s="261"/>
      <c r="DAL42" s="261"/>
      <c r="DAM42" s="261"/>
      <c r="DAN42" s="261"/>
      <c r="DAO42" s="261"/>
      <c r="DAP42" s="261"/>
      <c r="DAQ42" s="261"/>
      <c r="DAR42" s="261"/>
      <c r="DAS42" s="261"/>
      <c r="DAT42" s="261"/>
      <c r="DAU42" s="261"/>
      <c r="DAV42" s="261"/>
      <c r="DAW42" s="261"/>
      <c r="DAX42" s="261"/>
      <c r="DAY42" s="261"/>
      <c r="DAZ42" s="261"/>
      <c r="DBA42" s="261"/>
      <c r="DBB42" s="261"/>
      <c r="DBC42" s="261"/>
      <c r="DBD42" s="261"/>
      <c r="DBE42" s="261"/>
      <c r="DBF42" s="261"/>
      <c r="DBG42" s="261"/>
      <c r="DBH42" s="261"/>
      <c r="DBI42" s="261"/>
      <c r="DBJ42" s="261"/>
      <c r="DBK42" s="261"/>
      <c r="DBL42" s="261"/>
      <c r="DBM42" s="261"/>
      <c r="DBN42" s="261"/>
      <c r="DBO42" s="261"/>
      <c r="DBP42" s="261"/>
      <c r="DBQ42" s="261"/>
      <c r="DBR42" s="261"/>
      <c r="DBS42" s="261"/>
      <c r="DBT42" s="261"/>
      <c r="DBU42" s="261"/>
      <c r="DBV42" s="261"/>
      <c r="DBW42" s="261"/>
      <c r="DBX42" s="261"/>
      <c r="DBY42" s="261"/>
      <c r="DBZ42" s="261"/>
      <c r="DCA42" s="261"/>
      <c r="DCB42" s="261"/>
      <c r="DCC42" s="261"/>
      <c r="DCD42" s="261"/>
      <c r="DCE42" s="261"/>
      <c r="DCF42" s="261"/>
      <c r="DCG42" s="261"/>
      <c r="DCH42" s="261"/>
      <c r="DCI42" s="261"/>
      <c r="DCJ42" s="261"/>
      <c r="DCK42" s="261"/>
      <c r="DCL42" s="261"/>
      <c r="DCM42" s="261"/>
      <c r="DCN42" s="261"/>
      <c r="DCO42" s="261"/>
      <c r="DCP42" s="261"/>
      <c r="DCQ42" s="261"/>
      <c r="DCR42" s="261"/>
      <c r="DCS42" s="261"/>
      <c r="DCT42" s="261"/>
      <c r="DCU42" s="261"/>
      <c r="DCV42" s="261"/>
      <c r="DCW42" s="261"/>
      <c r="DCX42" s="261"/>
      <c r="DCY42" s="261"/>
      <c r="DCZ42" s="261"/>
      <c r="DDA42" s="261"/>
      <c r="DDB42" s="261"/>
      <c r="DDC42" s="261"/>
      <c r="DDD42" s="261"/>
      <c r="DDE42" s="261"/>
      <c r="DDF42" s="261"/>
      <c r="DDG42" s="261"/>
      <c r="DDH42" s="261"/>
      <c r="DDI42" s="261"/>
      <c r="DDJ42" s="261"/>
      <c r="DDK42" s="261"/>
      <c r="DDL42" s="261"/>
      <c r="DDM42" s="261"/>
      <c r="DDN42" s="261"/>
      <c r="DDO42" s="261"/>
      <c r="DDP42" s="261"/>
      <c r="DDQ42" s="261"/>
      <c r="DDR42" s="261"/>
      <c r="DDS42" s="261"/>
      <c r="DDT42" s="261"/>
      <c r="DDU42" s="261"/>
      <c r="DDV42" s="261"/>
      <c r="DDW42" s="261"/>
      <c r="DDX42" s="261"/>
      <c r="DDY42" s="261"/>
      <c r="DDZ42" s="261"/>
      <c r="DEA42" s="261"/>
      <c r="DEB42" s="261"/>
      <c r="DEC42" s="261"/>
      <c r="DED42" s="261"/>
      <c r="DEE42" s="261"/>
      <c r="DEF42" s="261"/>
      <c r="DEG42" s="261"/>
      <c r="DEH42" s="261"/>
      <c r="DEI42" s="261"/>
      <c r="DEJ42" s="261"/>
      <c r="DEK42" s="261"/>
      <c r="DEL42" s="261"/>
      <c r="DEM42" s="261"/>
      <c r="DEN42" s="261"/>
      <c r="DEO42" s="261"/>
      <c r="DEP42" s="261"/>
      <c r="DEQ42" s="261"/>
      <c r="DER42" s="261"/>
      <c r="DES42" s="261"/>
      <c r="DET42" s="261"/>
      <c r="DEU42" s="261"/>
      <c r="DEV42" s="261"/>
      <c r="DEW42" s="261"/>
      <c r="DEX42" s="261"/>
      <c r="DEY42" s="261"/>
      <c r="DEZ42" s="261"/>
      <c r="DFA42" s="261"/>
      <c r="DFB42" s="261"/>
      <c r="DFC42" s="261"/>
      <c r="DFD42" s="261"/>
      <c r="DFE42" s="261"/>
      <c r="DFF42" s="261"/>
      <c r="DFG42" s="261"/>
      <c r="DFH42" s="261"/>
      <c r="DFI42" s="261"/>
      <c r="DFJ42" s="261"/>
      <c r="DFK42" s="261"/>
      <c r="DFL42" s="261"/>
      <c r="DFM42" s="261"/>
      <c r="DFN42" s="261"/>
      <c r="DFO42" s="261"/>
      <c r="DFP42" s="261"/>
      <c r="DFQ42" s="261"/>
      <c r="DFR42" s="261"/>
      <c r="DFS42" s="261"/>
      <c r="DFT42" s="261"/>
      <c r="DFU42" s="261"/>
      <c r="DFV42" s="261"/>
      <c r="DFW42" s="261"/>
      <c r="DFX42" s="261"/>
      <c r="DFY42" s="261"/>
      <c r="DFZ42" s="261"/>
      <c r="DGA42" s="261"/>
      <c r="DGB42" s="261"/>
      <c r="DGC42" s="261"/>
      <c r="DGD42" s="261"/>
      <c r="DGE42" s="261"/>
      <c r="DGF42" s="261"/>
      <c r="DGG42" s="261"/>
      <c r="DGH42" s="261"/>
      <c r="DGI42" s="261"/>
      <c r="DGJ42" s="261"/>
      <c r="DGK42" s="261"/>
      <c r="DGL42" s="261"/>
      <c r="DGM42" s="261"/>
      <c r="DGN42" s="261"/>
      <c r="DGO42" s="261"/>
      <c r="DGP42" s="261"/>
      <c r="DGQ42" s="261"/>
      <c r="DGR42" s="261"/>
      <c r="DGS42" s="261"/>
      <c r="DGT42" s="261"/>
      <c r="DGU42" s="261"/>
      <c r="DGV42" s="261"/>
      <c r="DGW42" s="261"/>
      <c r="DGX42" s="261"/>
      <c r="DGY42" s="261"/>
      <c r="DGZ42" s="261"/>
      <c r="DHA42" s="261"/>
      <c r="DHB42" s="261"/>
      <c r="DHC42" s="261"/>
      <c r="DHD42" s="261"/>
      <c r="DHE42" s="261"/>
      <c r="DHF42" s="261"/>
      <c r="DHG42" s="261"/>
      <c r="DHH42" s="261"/>
      <c r="DHI42" s="261"/>
      <c r="DHJ42" s="261"/>
      <c r="DHK42" s="261"/>
      <c r="DHL42" s="261"/>
      <c r="DHM42" s="261"/>
      <c r="DHN42" s="261"/>
      <c r="DHO42" s="261"/>
      <c r="DHP42" s="261"/>
      <c r="DHQ42" s="261"/>
      <c r="DHR42" s="261"/>
      <c r="DHS42" s="261"/>
      <c r="DHT42" s="261"/>
      <c r="DHU42" s="261"/>
      <c r="DHV42" s="261"/>
      <c r="DHW42" s="261"/>
      <c r="DHX42" s="261"/>
      <c r="DHY42" s="261"/>
      <c r="DHZ42" s="261"/>
      <c r="DIA42" s="261"/>
      <c r="DIB42" s="261"/>
      <c r="DIC42" s="261"/>
      <c r="DID42" s="261"/>
      <c r="DIE42" s="261"/>
      <c r="DIF42" s="261"/>
      <c r="DIG42" s="261"/>
      <c r="DIH42" s="261"/>
      <c r="DII42" s="261"/>
      <c r="DIJ42" s="261"/>
      <c r="DIK42" s="261"/>
      <c r="DIL42" s="261"/>
      <c r="DIM42" s="261"/>
      <c r="DIN42" s="261"/>
      <c r="DIO42" s="261"/>
      <c r="DIP42" s="261"/>
      <c r="DIQ42" s="261"/>
      <c r="DIR42" s="261"/>
      <c r="DIS42" s="261"/>
      <c r="DIT42" s="261"/>
      <c r="DIU42" s="261"/>
      <c r="DIV42" s="261"/>
      <c r="DIW42" s="261"/>
      <c r="DIX42" s="261"/>
      <c r="DIY42" s="261"/>
      <c r="DIZ42" s="261"/>
      <c r="DJA42" s="261"/>
      <c r="DJB42" s="261"/>
      <c r="DJC42" s="261"/>
      <c r="DJD42" s="261"/>
      <c r="DJE42" s="261"/>
      <c r="DJF42" s="261"/>
      <c r="DJG42" s="261"/>
      <c r="DJH42" s="261"/>
      <c r="DJI42" s="261"/>
      <c r="DJJ42" s="261"/>
      <c r="DJK42" s="261"/>
      <c r="DJL42" s="261"/>
      <c r="DJM42" s="261"/>
      <c r="DJN42" s="261"/>
      <c r="DJO42" s="261"/>
      <c r="DJP42" s="261"/>
      <c r="DJQ42" s="261"/>
      <c r="DJR42" s="261"/>
      <c r="DJS42" s="261"/>
      <c r="DJT42" s="261"/>
      <c r="DJU42" s="261"/>
      <c r="DJV42" s="261"/>
      <c r="DJW42" s="261"/>
      <c r="DJX42" s="261"/>
      <c r="DJY42" s="261"/>
      <c r="DJZ42" s="261"/>
      <c r="DKA42" s="261"/>
      <c r="DKB42" s="261"/>
      <c r="DKC42" s="261"/>
      <c r="DKD42" s="261"/>
      <c r="DKE42" s="261"/>
      <c r="DKF42" s="261"/>
      <c r="DKG42" s="261"/>
      <c r="DKH42" s="261"/>
      <c r="DKI42" s="261"/>
      <c r="DKJ42" s="261"/>
      <c r="DKK42" s="261"/>
      <c r="DKL42" s="261"/>
      <c r="DKM42" s="261"/>
      <c r="DKN42" s="261"/>
      <c r="DKO42" s="261"/>
      <c r="DKP42" s="261"/>
      <c r="DKQ42" s="261"/>
      <c r="DKR42" s="261"/>
      <c r="DKS42" s="261"/>
      <c r="DKT42" s="261"/>
      <c r="DKU42" s="261"/>
      <c r="DKV42" s="261"/>
      <c r="DKW42" s="261"/>
      <c r="DKX42" s="261"/>
      <c r="DKY42" s="261"/>
      <c r="DKZ42" s="261"/>
      <c r="DLA42" s="261"/>
      <c r="DLB42" s="261"/>
      <c r="DLC42" s="261"/>
      <c r="DLD42" s="261"/>
      <c r="DLE42" s="261"/>
      <c r="DLF42" s="261"/>
      <c r="DLG42" s="261"/>
      <c r="DLH42" s="261"/>
      <c r="DLI42" s="261"/>
      <c r="DLJ42" s="261"/>
      <c r="DLK42" s="261"/>
      <c r="DLL42" s="261"/>
      <c r="DLM42" s="261"/>
      <c r="DLN42" s="261"/>
      <c r="DLO42" s="261"/>
      <c r="DLP42" s="261"/>
      <c r="DLQ42" s="261"/>
      <c r="DLR42" s="261"/>
      <c r="DLS42" s="261"/>
      <c r="DLT42" s="261"/>
      <c r="DLU42" s="261"/>
      <c r="DLV42" s="261"/>
      <c r="DLW42" s="261"/>
      <c r="DLX42" s="261"/>
      <c r="DLY42" s="261"/>
      <c r="DLZ42" s="261"/>
      <c r="DMA42" s="261"/>
      <c r="DMB42" s="261"/>
      <c r="DMC42" s="261"/>
      <c r="DMD42" s="261"/>
      <c r="DME42" s="261"/>
      <c r="DMF42" s="261"/>
      <c r="DMG42" s="261"/>
      <c r="DMH42" s="261"/>
      <c r="DMI42" s="261"/>
      <c r="DMJ42" s="261"/>
      <c r="DMK42" s="261"/>
      <c r="DML42" s="261"/>
      <c r="DMM42" s="261"/>
      <c r="DMN42" s="261"/>
      <c r="DMO42" s="261"/>
      <c r="DMP42" s="261"/>
      <c r="DMQ42" s="261"/>
      <c r="DMR42" s="261"/>
      <c r="DMS42" s="261"/>
      <c r="DMT42" s="261"/>
      <c r="DMU42" s="261"/>
      <c r="DMV42" s="261"/>
      <c r="DMW42" s="261"/>
      <c r="DMX42" s="261"/>
      <c r="DMY42" s="261"/>
      <c r="DMZ42" s="261"/>
      <c r="DNA42" s="261"/>
      <c r="DNB42" s="261"/>
      <c r="DNC42" s="261"/>
      <c r="DND42" s="261"/>
      <c r="DNE42" s="261"/>
      <c r="DNF42" s="261"/>
      <c r="DNG42" s="261"/>
      <c r="DNH42" s="261"/>
      <c r="DNI42" s="261"/>
      <c r="DNJ42" s="261"/>
      <c r="DNK42" s="261"/>
      <c r="DNL42" s="261"/>
      <c r="DNM42" s="261"/>
      <c r="DNN42" s="261"/>
      <c r="DNO42" s="261"/>
      <c r="DNP42" s="261"/>
      <c r="DNQ42" s="261"/>
      <c r="DNR42" s="261"/>
      <c r="DNS42" s="261"/>
      <c r="DNT42" s="261"/>
      <c r="DNU42" s="261"/>
      <c r="DNV42" s="261"/>
      <c r="DNW42" s="261"/>
      <c r="DNX42" s="261"/>
      <c r="DNY42" s="261"/>
      <c r="DNZ42" s="261"/>
      <c r="DOA42" s="261"/>
      <c r="DOB42" s="261"/>
      <c r="DOC42" s="261"/>
      <c r="DOD42" s="261"/>
      <c r="DOE42" s="261"/>
      <c r="DOF42" s="261"/>
      <c r="DOG42" s="261"/>
      <c r="DOH42" s="261"/>
      <c r="DOI42" s="261"/>
      <c r="DOJ42" s="261"/>
      <c r="DOK42" s="261"/>
      <c r="DOL42" s="261"/>
      <c r="DOM42" s="261"/>
      <c r="DON42" s="261"/>
      <c r="DOO42" s="261"/>
      <c r="DOP42" s="261"/>
      <c r="DOQ42" s="261"/>
      <c r="DOR42" s="261"/>
      <c r="DOS42" s="261"/>
      <c r="DOT42" s="261"/>
      <c r="DOU42" s="261"/>
      <c r="DOV42" s="261"/>
      <c r="DOW42" s="261"/>
      <c r="DOX42" s="261"/>
      <c r="DOY42" s="261"/>
      <c r="DOZ42" s="261"/>
      <c r="DPA42" s="261"/>
      <c r="DPB42" s="261"/>
      <c r="DPC42" s="261"/>
      <c r="DPD42" s="261"/>
      <c r="DPE42" s="261"/>
      <c r="DPF42" s="261"/>
      <c r="DPG42" s="261"/>
      <c r="DPH42" s="261"/>
      <c r="DPI42" s="261"/>
      <c r="DPJ42" s="261"/>
      <c r="DPK42" s="261"/>
      <c r="DPL42" s="261"/>
      <c r="DPM42" s="261"/>
      <c r="DPN42" s="261"/>
      <c r="DPO42" s="261"/>
      <c r="DPP42" s="261"/>
      <c r="DPQ42" s="261"/>
      <c r="DPR42" s="261"/>
      <c r="DPS42" s="261"/>
      <c r="DPT42" s="261"/>
      <c r="DPU42" s="261"/>
      <c r="DPV42" s="261"/>
      <c r="DPW42" s="261"/>
      <c r="DPX42" s="261"/>
      <c r="DPY42" s="261"/>
      <c r="DPZ42" s="261"/>
      <c r="DQA42" s="261"/>
      <c r="DQB42" s="261"/>
      <c r="DQC42" s="261"/>
      <c r="DQD42" s="261"/>
      <c r="DQE42" s="261"/>
      <c r="DQF42" s="261"/>
      <c r="DQG42" s="261"/>
      <c r="DQH42" s="261"/>
      <c r="DQI42" s="261"/>
      <c r="DQJ42" s="261"/>
      <c r="DQK42" s="261"/>
      <c r="DQL42" s="261"/>
      <c r="DQM42" s="261"/>
      <c r="DQN42" s="261"/>
      <c r="DQO42" s="261"/>
      <c r="DQP42" s="261"/>
      <c r="DQQ42" s="261"/>
      <c r="DQR42" s="261"/>
      <c r="DQS42" s="261"/>
      <c r="DQT42" s="261"/>
      <c r="DQU42" s="261"/>
      <c r="DQV42" s="261"/>
      <c r="DQW42" s="261"/>
      <c r="DQX42" s="261"/>
      <c r="DQY42" s="261"/>
      <c r="DQZ42" s="261"/>
      <c r="DRA42" s="261"/>
      <c r="DRB42" s="261"/>
      <c r="DRC42" s="261"/>
      <c r="DRD42" s="261"/>
      <c r="DRE42" s="261"/>
      <c r="DRF42" s="261"/>
      <c r="DRG42" s="261"/>
      <c r="DRH42" s="261"/>
      <c r="DRI42" s="261"/>
      <c r="DRJ42" s="261"/>
      <c r="DRK42" s="261"/>
      <c r="DRL42" s="261"/>
      <c r="DRM42" s="261"/>
      <c r="DRN42" s="261"/>
      <c r="DRO42" s="261"/>
      <c r="DRP42" s="261"/>
      <c r="DRQ42" s="261"/>
      <c r="DRR42" s="261"/>
      <c r="DRS42" s="261"/>
      <c r="DRT42" s="261"/>
      <c r="DRU42" s="261"/>
      <c r="DRV42" s="261"/>
      <c r="DRW42" s="261"/>
      <c r="DRX42" s="261"/>
      <c r="DRY42" s="261"/>
      <c r="DRZ42" s="261"/>
      <c r="DSA42" s="261"/>
      <c r="DSB42" s="261"/>
      <c r="DSC42" s="261"/>
      <c r="DSD42" s="261"/>
      <c r="DSE42" s="261"/>
      <c r="DSF42" s="261"/>
      <c r="DSG42" s="261"/>
      <c r="DSH42" s="261"/>
      <c r="DSI42" s="261"/>
      <c r="DSJ42" s="261"/>
      <c r="DSK42" s="261"/>
      <c r="DSL42" s="261"/>
      <c r="DSM42" s="261"/>
      <c r="DSN42" s="261"/>
      <c r="DSO42" s="261"/>
      <c r="DSP42" s="261"/>
      <c r="DSQ42" s="261"/>
      <c r="DSR42" s="261"/>
      <c r="DSS42" s="261"/>
      <c r="DST42" s="261"/>
      <c r="DSU42" s="261"/>
      <c r="DSV42" s="261"/>
      <c r="DSW42" s="261"/>
      <c r="DSX42" s="261"/>
      <c r="DSY42" s="261"/>
      <c r="DSZ42" s="261"/>
      <c r="DTA42" s="261"/>
      <c r="DTB42" s="261"/>
      <c r="DTC42" s="261"/>
      <c r="DTD42" s="261"/>
      <c r="DTE42" s="261"/>
      <c r="DTF42" s="261"/>
      <c r="DTG42" s="261"/>
      <c r="DTH42" s="261"/>
      <c r="DTI42" s="261"/>
      <c r="DTJ42" s="261"/>
      <c r="DTK42" s="261"/>
      <c r="DTL42" s="261"/>
      <c r="DTM42" s="261"/>
      <c r="DTN42" s="261"/>
      <c r="DTO42" s="261"/>
      <c r="DTP42" s="261"/>
      <c r="DTQ42" s="261"/>
      <c r="DTR42" s="261"/>
      <c r="DTS42" s="261"/>
      <c r="DTT42" s="261"/>
      <c r="DTU42" s="261"/>
      <c r="DTV42" s="261"/>
      <c r="DTW42" s="261"/>
      <c r="DTX42" s="261"/>
      <c r="DTY42" s="261"/>
      <c r="DTZ42" s="261"/>
      <c r="DUA42" s="261"/>
      <c r="DUB42" s="261"/>
      <c r="DUC42" s="261"/>
      <c r="DUD42" s="261"/>
      <c r="DUE42" s="261"/>
      <c r="DUF42" s="261"/>
      <c r="DUG42" s="261"/>
      <c r="DUH42" s="261"/>
      <c r="DUI42" s="261"/>
      <c r="DUJ42" s="261"/>
      <c r="DUK42" s="261"/>
      <c r="DUL42" s="261"/>
      <c r="DUM42" s="261"/>
      <c r="DUN42" s="261"/>
      <c r="DUO42" s="261"/>
      <c r="DUP42" s="261"/>
      <c r="DUQ42" s="261"/>
      <c r="DUR42" s="261"/>
      <c r="DUS42" s="261"/>
      <c r="DUT42" s="261"/>
      <c r="DUU42" s="261"/>
      <c r="DUV42" s="261"/>
      <c r="DUW42" s="261"/>
      <c r="DUX42" s="261"/>
      <c r="DUY42" s="261"/>
      <c r="DUZ42" s="261"/>
      <c r="DVA42" s="261"/>
      <c r="DVB42" s="261"/>
      <c r="DVC42" s="261"/>
      <c r="DVD42" s="261"/>
      <c r="DVE42" s="261"/>
      <c r="DVF42" s="261"/>
      <c r="DVG42" s="261"/>
      <c r="DVH42" s="261"/>
      <c r="DVI42" s="261"/>
      <c r="DVJ42" s="261"/>
      <c r="DVK42" s="261"/>
      <c r="DVL42" s="261"/>
      <c r="DVM42" s="261"/>
      <c r="DVN42" s="261"/>
      <c r="DVO42" s="261"/>
      <c r="DVP42" s="261"/>
      <c r="DVQ42" s="261"/>
      <c r="DVR42" s="261"/>
      <c r="DVS42" s="261"/>
      <c r="DVT42" s="261"/>
      <c r="DVU42" s="261"/>
      <c r="DVV42" s="261"/>
      <c r="DVW42" s="261"/>
      <c r="DVX42" s="261"/>
      <c r="DVY42" s="261"/>
      <c r="DVZ42" s="261"/>
      <c r="DWA42" s="261"/>
      <c r="DWB42" s="261"/>
      <c r="DWC42" s="261"/>
      <c r="DWD42" s="261"/>
      <c r="DWE42" s="261"/>
      <c r="DWF42" s="261"/>
      <c r="DWG42" s="261"/>
      <c r="DWH42" s="261"/>
      <c r="DWI42" s="261"/>
      <c r="DWJ42" s="261"/>
      <c r="DWK42" s="261"/>
      <c r="DWL42" s="261"/>
      <c r="DWM42" s="261"/>
      <c r="DWN42" s="261"/>
      <c r="DWO42" s="261"/>
      <c r="DWP42" s="261"/>
      <c r="DWQ42" s="261"/>
      <c r="DWR42" s="261"/>
      <c r="DWS42" s="261"/>
      <c r="DWT42" s="261"/>
      <c r="DWU42" s="261"/>
      <c r="DWV42" s="261"/>
      <c r="DWW42" s="261"/>
      <c r="DWX42" s="261"/>
      <c r="DWY42" s="261"/>
      <c r="DWZ42" s="261"/>
      <c r="DXA42" s="261"/>
      <c r="DXB42" s="261"/>
      <c r="DXC42" s="261"/>
      <c r="DXD42" s="261"/>
      <c r="DXE42" s="261"/>
      <c r="DXF42" s="261"/>
      <c r="DXG42" s="261"/>
      <c r="DXH42" s="261"/>
      <c r="DXI42" s="261"/>
      <c r="DXJ42" s="261"/>
      <c r="DXK42" s="261"/>
      <c r="DXL42" s="261"/>
      <c r="DXM42" s="261"/>
      <c r="DXN42" s="261"/>
      <c r="DXO42" s="261"/>
      <c r="DXP42" s="261"/>
      <c r="DXQ42" s="261"/>
      <c r="DXR42" s="261"/>
      <c r="DXS42" s="261"/>
      <c r="DXT42" s="261"/>
      <c r="DXU42" s="261"/>
      <c r="DXV42" s="261"/>
      <c r="DXW42" s="261"/>
      <c r="DXX42" s="261"/>
      <c r="DXY42" s="261"/>
      <c r="DXZ42" s="261"/>
      <c r="DYA42" s="261"/>
      <c r="DYB42" s="261"/>
      <c r="DYC42" s="261"/>
      <c r="DYD42" s="261"/>
      <c r="DYE42" s="261"/>
      <c r="DYF42" s="261"/>
      <c r="DYG42" s="261"/>
      <c r="DYH42" s="261"/>
      <c r="DYI42" s="261"/>
      <c r="DYJ42" s="261"/>
      <c r="DYK42" s="261"/>
      <c r="DYL42" s="261"/>
      <c r="DYM42" s="261"/>
      <c r="DYN42" s="261"/>
      <c r="DYO42" s="261"/>
      <c r="DYP42" s="261"/>
      <c r="DYQ42" s="261"/>
      <c r="DYR42" s="261"/>
      <c r="DYS42" s="261"/>
      <c r="DYT42" s="261"/>
      <c r="DYU42" s="261"/>
      <c r="DYV42" s="261"/>
      <c r="DYW42" s="261"/>
      <c r="DYX42" s="261"/>
      <c r="DYY42" s="261"/>
      <c r="DYZ42" s="261"/>
      <c r="DZA42" s="261"/>
      <c r="DZB42" s="261"/>
      <c r="DZC42" s="261"/>
      <c r="DZD42" s="261"/>
      <c r="DZE42" s="261"/>
      <c r="DZF42" s="261"/>
      <c r="DZG42" s="261"/>
      <c r="DZH42" s="261"/>
      <c r="DZI42" s="261"/>
      <c r="DZJ42" s="261"/>
      <c r="DZK42" s="261"/>
      <c r="DZL42" s="261"/>
      <c r="DZM42" s="261"/>
      <c r="DZN42" s="261"/>
      <c r="DZO42" s="261"/>
      <c r="DZP42" s="261"/>
      <c r="DZQ42" s="261"/>
      <c r="DZR42" s="261"/>
      <c r="DZS42" s="261"/>
      <c r="DZT42" s="261"/>
      <c r="DZU42" s="261"/>
      <c r="DZV42" s="261"/>
      <c r="DZW42" s="261"/>
      <c r="DZX42" s="261"/>
      <c r="DZY42" s="261"/>
      <c r="DZZ42" s="261"/>
      <c r="EAA42" s="261"/>
      <c r="EAB42" s="261"/>
      <c r="EAC42" s="261"/>
      <c r="EAD42" s="261"/>
      <c r="EAE42" s="261"/>
      <c r="EAF42" s="261"/>
      <c r="EAG42" s="261"/>
      <c r="EAH42" s="261"/>
      <c r="EAI42" s="261"/>
      <c r="EAJ42" s="261"/>
      <c r="EAK42" s="261"/>
      <c r="EAL42" s="261"/>
      <c r="EAM42" s="261"/>
      <c r="EAN42" s="261"/>
      <c r="EAO42" s="261"/>
      <c r="EAP42" s="261"/>
      <c r="EAQ42" s="261"/>
      <c r="EAR42" s="261"/>
      <c r="EAS42" s="261"/>
      <c r="EAT42" s="261"/>
      <c r="EAU42" s="261"/>
      <c r="EAV42" s="261"/>
      <c r="EAW42" s="261"/>
      <c r="EAX42" s="261"/>
      <c r="EAY42" s="261"/>
      <c r="EAZ42" s="261"/>
      <c r="EBA42" s="261"/>
      <c r="EBB42" s="261"/>
      <c r="EBC42" s="261"/>
      <c r="EBD42" s="261"/>
      <c r="EBE42" s="261"/>
      <c r="EBF42" s="261"/>
      <c r="EBG42" s="261"/>
      <c r="EBH42" s="261"/>
      <c r="EBI42" s="261"/>
      <c r="EBJ42" s="261"/>
      <c r="EBK42" s="261"/>
      <c r="EBL42" s="261"/>
      <c r="EBM42" s="261"/>
      <c r="EBN42" s="261"/>
      <c r="EBO42" s="261"/>
      <c r="EBP42" s="261"/>
      <c r="EBQ42" s="261"/>
      <c r="EBR42" s="261"/>
      <c r="EBS42" s="261"/>
      <c r="EBT42" s="261"/>
      <c r="EBU42" s="261"/>
      <c r="EBV42" s="261"/>
      <c r="EBW42" s="261"/>
      <c r="EBX42" s="261"/>
      <c r="EBY42" s="261"/>
      <c r="EBZ42" s="261"/>
      <c r="ECA42" s="261"/>
      <c r="ECB42" s="261"/>
      <c r="ECC42" s="261"/>
      <c r="ECD42" s="261"/>
      <c r="ECE42" s="261"/>
      <c r="ECF42" s="261"/>
      <c r="ECG42" s="261"/>
      <c r="ECH42" s="261"/>
      <c r="ECI42" s="261"/>
      <c r="ECJ42" s="261"/>
      <c r="ECK42" s="261"/>
      <c r="ECL42" s="261"/>
      <c r="ECM42" s="261"/>
      <c r="ECN42" s="261"/>
      <c r="ECO42" s="261"/>
      <c r="ECP42" s="261"/>
      <c r="ECQ42" s="261"/>
      <c r="ECR42" s="261"/>
      <c r="ECS42" s="261"/>
      <c r="ECT42" s="261"/>
      <c r="ECU42" s="261"/>
      <c r="ECV42" s="261"/>
      <c r="ECW42" s="261"/>
      <c r="ECX42" s="261"/>
      <c r="ECY42" s="261"/>
      <c r="ECZ42" s="261"/>
      <c r="EDA42" s="261"/>
      <c r="EDB42" s="261"/>
      <c r="EDC42" s="261"/>
      <c r="EDD42" s="261"/>
      <c r="EDE42" s="261"/>
      <c r="EDF42" s="261"/>
      <c r="EDG42" s="261"/>
      <c r="EDH42" s="261"/>
      <c r="EDI42" s="261"/>
      <c r="EDJ42" s="261"/>
      <c r="EDK42" s="261"/>
      <c r="EDL42" s="261"/>
      <c r="EDM42" s="261"/>
      <c r="EDN42" s="261"/>
      <c r="EDO42" s="261"/>
      <c r="EDP42" s="261"/>
      <c r="EDQ42" s="261"/>
      <c r="EDR42" s="261"/>
      <c r="EDS42" s="261"/>
      <c r="EDT42" s="261"/>
      <c r="EDU42" s="261"/>
      <c r="EDV42" s="261"/>
      <c r="EDW42" s="261"/>
      <c r="EDX42" s="261"/>
      <c r="EDY42" s="261"/>
      <c r="EDZ42" s="261"/>
      <c r="EEA42" s="261"/>
      <c r="EEB42" s="261"/>
      <c r="EEC42" s="261"/>
      <c r="EED42" s="261"/>
      <c r="EEE42" s="261"/>
      <c r="EEF42" s="261"/>
      <c r="EEG42" s="261"/>
      <c r="EEH42" s="261"/>
      <c r="EEI42" s="261"/>
      <c r="EEJ42" s="261"/>
      <c r="EEK42" s="261"/>
      <c r="EEL42" s="261"/>
      <c r="EEM42" s="261"/>
      <c r="EEN42" s="261"/>
      <c r="EEO42" s="261"/>
      <c r="EEP42" s="261"/>
      <c r="EEQ42" s="261"/>
      <c r="EER42" s="261"/>
      <c r="EES42" s="261"/>
      <c r="EET42" s="261"/>
      <c r="EEU42" s="261"/>
      <c r="EEV42" s="261"/>
      <c r="EEW42" s="261"/>
      <c r="EEX42" s="261"/>
      <c r="EEY42" s="261"/>
      <c r="EEZ42" s="261"/>
      <c r="EFA42" s="261"/>
      <c r="EFB42" s="261"/>
      <c r="EFC42" s="261"/>
      <c r="EFD42" s="261"/>
      <c r="EFE42" s="261"/>
      <c r="EFF42" s="261"/>
      <c r="EFG42" s="261"/>
      <c r="EFH42" s="261"/>
      <c r="EFI42" s="261"/>
      <c r="EFJ42" s="261"/>
      <c r="EFK42" s="261"/>
      <c r="EFL42" s="261"/>
      <c r="EFM42" s="261"/>
      <c r="EFN42" s="261"/>
      <c r="EFO42" s="261"/>
      <c r="EFP42" s="261"/>
      <c r="EFQ42" s="261"/>
      <c r="EFR42" s="261"/>
      <c r="EFS42" s="261"/>
      <c r="EFT42" s="261"/>
      <c r="EFU42" s="261"/>
      <c r="EFV42" s="261"/>
      <c r="EFW42" s="261"/>
      <c r="EFX42" s="261"/>
      <c r="EFY42" s="261"/>
      <c r="EFZ42" s="261"/>
      <c r="EGA42" s="261"/>
      <c r="EGB42" s="261"/>
      <c r="EGC42" s="261"/>
      <c r="EGD42" s="261"/>
      <c r="EGE42" s="261"/>
      <c r="EGF42" s="261"/>
      <c r="EGG42" s="261"/>
      <c r="EGH42" s="261"/>
      <c r="EGI42" s="261"/>
      <c r="EGJ42" s="261"/>
      <c r="EGK42" s="261"/>
      <c r="EGL42" s="261"/>
      <c r="EGM42" s="261"/>
      <c r="EGN42" s="261"/>
      <c r="EGO42" s="261"/>
      <c r="EGP42" s="261"/>
      <c r="EGQ42" s="261"/>
      <c r="EGR42" s="261"/>
      <c r="EGS42" s="261"/>
      <c r="EGT42" s="261"/>
      <c r="EGU42" s="261"/>
      <c r="EGV42" s="261"/>
      <c r="EGW42" s="261"/>
      <c r="EGX42" s="261"/>
      <c r="EGY42" s="261"/>
      <c r="EGZ42" s="261"/>
      <c r="EHA42" s="261"/>
      <c r="EHB42" s="261"/>
      <c r="EHC42" s="261"/>
      <c r="EHD42" s="261"/>
      <c r="EHE42" s="261"/>
      <c r="EHF42" s="261"/>
      <c r="EHG42" s="261"/>
      <c r="EHH42" s="261"/>
      <c r="EHI42" s="261"/>
      <c r="EHJ42" s="261"/>
      <c r="EHK42" s="261"/>
      <c r="EHL42" s="261"/>
      <c r="EHM42" s="261"/>
      <c r="EHN42" s="261"/>
      <c r="EHO42" s="261"/>
      <c r="EHP42" s="261"/>
      <c r="EHQ42" s="261"/>
      <c r="EHR42" s="261"/>
      <c r="EHS42" s="261"/>
      <c r="EHT42" s="261"/>
      <c r="EHU42" s="261"/>
      <c r="EHV42" s="261"/>
      <c r="EHW42" s="261"/>
      <c r="EHX42" s="261"/>
      <c r="EHY42" s="261"/>
      <c r="EHZ42" s="261"/>
      <c r="EIA42" s="261"/>
      <c r="EIB42" s="261"/>
      <c r="EIC42" s="261"/>
      <c r="EID42" s="261"/>
      <c r="EIE42" s="261"/>
      <c r="EIF42" s="261"/>
      <c r="EIG42" s="261"/>
      <c r="EIH42" s="261"/>
      <c r="EII42" s="261"/>
      <c r="EIJ42" s="261"/>
      <c r="EIK42" s="261"/>
      <c r="EIL42" s="261"/>
      <c r="EIM42" s="261"/>
      <c r="EIN42" s="261"/>
      <c r="EIO42" s="261"/>
      <c r="EIP42" s="261"/>
      <c r="EIQ42" s="261"/>
      <c r="EIR42" s="261"/>
      <c r="EIS42" s="261"/>
      <c r="EIT42" s="261"/>
      <c r="EIU42" s="261"/>
      <c r="EIV42" s="261"/>
      <c r="EIW42" s="261"/>
      <c r="EIX42" s="261"/>
      <c r="EIY42" s="261"/>
      <c r="EIZ42" s="261"/>
      <c r="EJA42" s="261"/>
      <c r="EJB42" s="261"/>
      <c r="EJC42" s="261"/>
      <c r="EJD42" s="261"/>
      <c r="EJE42" s="261"/>
      <c r="EJF42" s="261"/>
      <c r="EJG42" s="261"/>
      <c r="EJH42" s="261"/>
      <c r="EJI42" s="261"/>
      <c r="EJJ42" s="261"/>
      <c r="EJK42" s="261"/>
      <c r="EJL42" s="261"/>
      <c r="EJM42" s="261"/>
      <c r="EJN42" s="261"/>
      <c r="EJO42" s="261"/>
      <c r="EJP42" s="261"/>
      <c r="EJQ42" s="261"/>
      <c r="EJR42" s="261"/>
      <c r="EJS42" s="261"/>
      <c r="EJT42" s="261"/>
      <c r="EJU42" s="261"/>
      <c r="EJV42" s="261"/>
      <c r="EJW42" s="261"/>
      <c r="EJX42" s="261"/>
      <c r="EJY42" s="261"/>
      <c r="EJZ42" s="261"/>
      <c r="EKA42" s="261"/>
      <c r="EKB42" s="261"/>
      <c r="EKC42" s="261"/>
      <c r="EKD42" s="261"/>
      <c r="EKE42" s="261"/>
      <c r="EKF42" s="261"/>
      <c r="EKG42" s="261"/>
      <c r="EKH42" s="261"/>
      <c r="EKI42" s="261"/>
      <c r="EKJ42" s="261"/>
      <c r="EKK42" s="261"/>
      <c r="EKL42" s="261"/>
      <c r="EKM42" s="261"/>
      <c r="EKN42" s="261"/>
      <c r="EKO42" s="261"/>
      <c r="EKP42" s="261"/>
      <c r="EKQ42" s="261"/>
      <c r="EKR42" s="261"/>
      <c r="EKS42" s="261"/>
      <c r="EKT42" s="261"/>
      <c r="EKU42" s="261"/>
      <c r="EKV42" s="261"/>
      <c r="EKW42" s="261"/>
      <c r="EKX42" s="261"/>
      <c r="EKY42" s="261"/>
      <c r="EKZ42" s="261"/>
      <c r="ELA42" s="261"/>
      <c r="ELB42" s="261"/>
      <c r="ELC42" s="261"/>
      <c r="ELD42" s="261"/>
      <c r="ELE42" s="261"/>
      <c r="ELF42" s="261"/>
      <c r="ELG42" s="261"/>
      <c r="ELH42" s="261"/>
      <c r="ELI42" s="261"/>
      <c r="ELJ42" s="261"/>
      <c r="ELK42" s="261"/>
      <c r="ELL42" s="261"/>
      <c r="ELM42" s="261"/>
      <c r="ELN42" s="261"/>
      <c r="ELO42" s="261"/>
      <c r="ELP42" s="261"/>
      <c r="ELQ42" s="261"/>
      <c r="ELR42" s="261"/>
      <c r="ELS42" s="261"/>
      <c r="ELT42" s="261"/>
      <c r="ELU42" s="261"/>
      <c r="ELV42" s="261"/>
      <c r="ELW42" s="261"/>
      <c r="ELX42" s="261"/>
      <c r="ELY42" s="261"/>
      <c r="ELZ42" s="261"/>
      <c r="EMA42" s="261"/>
      <c r="EMB42" s="261"/>
      <c r="EMC42" s="261"/>
      <c r="EMD42" s="261"/>
      <c r="EME42" s="261"/>
      <c r="EMF42" s="261"/>
      <c r="EMG42" s="261"/>
      <c r="EMH42" s="261"/>
      <c r="EMI42" s="261"/>
      <c r="EMJ42" s="261"/>
      <c r="EMK42" s="261"/>
      <c r="EML42" s="261"/>
      <c r="EMM42" s="261"/>
      <c r="EMN42" s="261"/>
      <c r="EMO42" s="261"/>
      <c r="EMP42" s="261"/>
      <c r="EMQ42" s="261"/>
      <c r="EMR42" s="261"/>
      <c r="EMS42" s="261"/>
      <c r="EMT42" s="261"/>
      <c r="EMU42" s="261"/>
      <c r="EMV42" s="261"/>
      <c r="EMW42" s="261"/>
      <c r="EMX42" s="261"/>
      <c r="EMY42" s="261"/>
      <c r="EMZ42" s="261"/>
      <c r="ENA42" s="261"/>
      <c r="ENB42" s="261"/>
      <c r="ENC42" s="261"/>
      <c r="END42" s="261"/>
      <c r="ENE42" s="261"/>
      <c r="ENF42" s="261"/>
      <c r="ENG42" s="261"/>
      <c r="ENH42" s="261"/>
      <c r="ENI42" s="261"/>
      <c r="ENJ42" s="261"/>
      <c r="ENK42" s="261"/>
      <c r="ENL42" s="261"/>
      <c r="ENM42" s="261"/>
      <c r="ENN42" s="261"/>
      <c r="ENO42" s="261"/>
      <c r="ENP42" s="261"/>
      <c r="ENQ42" s="261"/>
      <c r="ENR42" s="261"/>
      <c r="ENS42" s="261"/>
      <c r="ENT42" s="261"/>
      <c r="ENU42" s="261"/>
      <c r="ENV42" s="261"/>
      <c r="ENW42" s="261"/>
      <c r="ENX42" s="261"/>
      <c r="ENY42" s="261"/>
      <c r="ENZ42" s="261"/>
      <c r="EOA42" s="261"/>
      <c r="EOB42" s="261"/>
      <c r="EOC42" s="261"/>
      <c r="EOD42" s="261"/>
      <c r="EOE42" s="261"/>
      <c r="EOF42" s="261"/>
      <c r="EOG42" s="261"/>
      <c r="EOH42" s="261"/>
      <c r="EOI42" s="261"/>
      <c r="EOJ42" s="261"/>
      <c r="EOK42" s="261"/>
      <c r="EOL42" s="261"/>
      <c r="EOM42" s="261"/>
      <c r="EON42" s="261"/>
      <c r="EOO42" s="261"/>
      <c r="EOP42" s="261"/>
      <c r="EOQ42" s="261"/>
      <c r="EOR42" s="261"/>
      <c r="EOS42" s="261"/>
      <c r="EOT42" s="261"/>
      <c r="EOU42" s="261"/>
      <c r="EOV42" s="261"/>
      <c r="EOW42" s="261"/>
      <c r="EOX42" s="261"/>
      <c r="EOY42" s="261"/>
      <c r="EOZ42" s="261"/>
      <c r="EPA42" s="261"/>
      <c r="EPB42" s="261"/>
      <c r="EPC42" s="261"/>
      <c r="EPD42" s="261"/>
      <c r="EPE42" s="261"/>
      <c r="EPF42" s="261"/>
      <c r="EPG42" s="261"/>
      <c r="EPH42" s="261"/>
      <c r="EPI42" s="261"/>
      <c r="EPJ42" s="261"/>
      <c r="EPK42" s="261"/>
      <c r="EPL42" s="261"/>
      <c r="EPM42" s="261"/>
      <c r="EPN42" s="261"/>
      <c r="EPO42" s="261"/>
      <c r="EPP42" s="261"/>
      <c r="EPQ42" s="261"/>
      <c r="EPR42" s="261"/>
      <c r="EPS42" s="261"/>
      <c r="EPT42" s="261"/>
      <c r="EPU42" s="261"/>
      <c r="EPV42" s="261"/>
      <c r="EPW42" s="261"/>
      <c r="EPX42" s="261"/>
      <c r="EPY42" s="261"/>
      <c r="EPZ42" s="261"/>
      <c r="EQA42" s="261"/>
      <c r="EQB42" s="261"/>
      <c r="EQC42" s="261"/>
      <c r="EQD42" s="261"/>
      <c r="EQE42" s="261"/>
      <c r="EQF42" s="261"/>
      <c r="EQG42" s="261"/>
      <c r="EQH42" s="261"/>
      <c r="EQI42" s="261"/>
      <c r="EQJ42" s="261"/>
      <c r="EQK42" s="261"/>
      <c r="EQL42" s="261"/>
      <c r="EQM42" s="261"/>
      <c r="EQN42" s="261"/>
      <c r="EQO42" s="261"/>
      <c r="EQP42" s="261"/>
      <c r="EQQ42" s="261"/>
      <c r="EQR42" s="261"/>
      <c r="EQS42" s="261"/>
      <c r="EQT42" s="261"/>
      <c r="EQU42" s="261"/>
      <c r="EQV42" s="261"/>
      <c r="EQW42" s="261"/>
      <c r="EQX42" s="261"/>
      <c r="EQY42" s="261"/>
      <c r="EQZ42" s="261"/>
      <c r="ERA42" s="261"/>
      <c r="ERB42" s="261"/>
      <c r="ERC42" s="261"/>
      <c r="ERD42" s="261"/>
      <c r="ERE42" s="261"/>
      <c r="ERF42" s="261"/>
      <c r="ERG42" s="261"/>
      <c r="ERH42" s="261"/>
      <c r="ERI42" s="261"/>
      <c r="ERJ42" s="261"/>
      <c r="ERK42" s="261"/>
      <c r="ERL42" s="261"/>
      <c r="ERM42" s="261"/>
      <c r="ERN42" s="261"/>
      <c r="ERO42" s="261"/>
      <c r="ERP42" s="261"/>
      <c r="ERQ42" s="261"/>
      <c r="ERR42" s="261"/>
      <c r="ERS42" s="261"/>
      <c r="ERT42" s="261"/>
      <c r="ERU42" s="261"/>
      <c r="ERV42" s="261"/>
      <c r="ERW42" s="261"/>
      <c r="ERX42" s="261"/>
      <c r="ERY42" s="261"/>
      <c r="ERZ42" s="261"/>
      <c r="ESA42" s="261"/>
      <c r="ESB42" s="261"/>
      <c r="ESC42" s="261"/>
      <c r="ESD42" s="261"/>
      <c r="ESE42" s="261"/>
      <c r="ESF42" s="261"/>
      <c r="ESG42" s="261"/>
      <c r="ESH42" s="261"/>
      <c r="ESI42" s="261"/>
      <c r="ESJ42" s="261"/>
      <c r="ESK42" s="261"/>
      <c r="ESL42" s="261"/>
      <c r="ESM42" s="261"/>
      <c r="ESN42" s="261"/>
      <c r="ESO42" s="261"/>
      <c r="ESP42" s="261"/>
      <c r="ESQ42" s="261"/>
      <c r="ESR42" s="261"/>
      <c r="ESS42" s="261"/>
      <c r="EST42" s="261"/>
      <c r="ESU42" s="261"/>
      <c r="ESV42" s="261"/>
      <c r="ESW42" s="261"/>
      <c r="ESX42" s="261"/>
      <c r="ESY42" s="261"/>
      <c r="ESZ42" s="261"/>
      <c r="ETA42" s="261"/>
      <c r="ETB42" s="261"/>
      <c r="ETC42" s="261"/>
      <c r="ETD42" s="261"/>
      <c r="ETE42" s="261"/>
      <c r="ETF42" s="261"/>
      <c r="ETG42" s="261"/>
      <c r="ETH42" s="261"/>
      <c r="ETI42" s="261"/>
      <c r="ETJ42" s="261"/>
      <c r="ETK42" s="261"/>
      <c r="ETL42" s="261"/>
      <c r="ETM42" s="261"/>
      <c r="ETN42" s="261"/>
      <c r="ETO42" s="261"/>
      <c r="ETP42" s="261"/>
      <c r="ETQ42" s="261"/>
      <c r="ETR42" s="261"/>
      <c r="ETS42" s="261"/>
      <c r="ETT42" s="261"/>
      <c r="ETU42" s="261"/>
      <c r="ETV42" s="261"/>
      <c r="ETW42" s="261"/>
      <c r="ETX42" s="261"/>
      <c r="ETY42" s="261"/>
      <c r="ETZ42" s="261"/>
      <c r="EUA42" s="261"/>
      <c r="EUB42" s="261"/>
      <c r="EUC42" s="261"/>
      <c r="EUD42" s="261"/>
      <c r="EUE42" s="261"/>
      <c r="EUF42" s="261"/>
      <c r="EUG42" s="261"/>
      <c r="EUH42" s="261"/>
      <c r="EUI42" s="261"/>
      <c r="EUJ42" s="261"/>
      <c r="EUK42" s="261"/>
      <c r="EUL42" s="261"/>
      <c r="EUM42" s="261"/>
      <c r="EUN42" s="261"/>
      <c r="EUO42" s="261"/>
      <c r="EUP42" s="261"/>
      <c r="EUQ42" s="261"/>
      <c r="EUR42" s="261"/>
      <c r="EUS42" s="261"/>
      <c r="EUT42" s="261"/>
      <c r="EUU42" s="261"/>
      <c r="EUV42" s="261"/>
      <c r="EUW42" s="261"/>
      <c r="EUX42" s="261"/>
      <c r="EUY42" s="261"/>
      <c r="EUZ42" s="261"/>
      <c r="EVA42" s="261"/>
      <c r="EVB42" s="261"/>
      <c r="EVC42" s="261"/>
      <c r="EVD42" s="261"/>
      <c r="EVE42" s="261"/>
      <c r="EVF42" s="261"/>
      <c r="EVG42" s="261"/>
      <c r="EVH42" s="261"/>
      <c r="EVI42" s="261"/>
      <c r="EVJ42" s="261"/>
      <c r="EVK42" s="261"/>
      <c r="EVL42" s="261"/>
      <c r="EVM42" s="261"/>
      <c r="EVN42" s="261"/>
      <c r="EVO42" s="261"/>
      <c r="EVP42" s="261"/>
      <c r="EVQ42" s="261"/>
      <c r="EVR42" s="261"/>
      <c r="EVS42" s="261"/>
      <c r="EVT42" s="261"/>
      <c r="EVU42" s="261"/>
      <c r="EVV42" s="261"/>
      <c r="EVW42" s="261"/>
      <c r="EVX42" s="261"/>
      <c r="EVY42" s="261"/>
      <c r="EVZ42" s="261"/>
      <c r="EWA42" s="261"/>
      <c r="EWB42" s="261"/>
      <c r="EWC42" s="261"/>
      <c r="EWD42" s="261"/>
      <c r="EWE42" s="261"/>
      <c r="EWF42" s="261"/>
      <c r="EWG42" s="261"/>
      <c r="EWH42" s="261"/>
      <c r="EWI42" s="261"/>
      <c r="EWJ42" s="261"/>
      <c r="EWK42" s="261"/>
      <c r="EWL42" s="261"/>
      <c r="EWM42" s="261"/>
      <c r="EWN42" s="261"/>
      <c r="EWO42" s="261"/>
      <c r="EWP42" s="261"/>
      <c r="EWQ42" s="261"/>
      <c r="EWR42" s="261"/>
      <c r="EWS42" s="261"/>
      <c r="EWT42" s="261"/>
      <c r="EWU42" s="261"/>
      <c r="EWV42" s="261"/>
      <c r="EWW42" s="261"/>
      <c r="EWX42" s="261"/>
      <c r="EWY42" s="261"/>
      <c r="EWZ42" s="261"/>
      <c r="EXA42" s="261"/>
      <c r="EXB42" s="261"/>
      <c r="EXC42" s="261"/>
      <c r="EXD42" s="261"/>
      <c r="EXE42" s="261"/>
      <c r="EXF42" s="261"/>
      <c r="EXG42" s="261"/>
      <c r="EXH42" s="261"/>
      <c r="EXI42" s="261"/>
      <c r="EXJ42" s="261"/>
      <c r="EXK42" s="261"/>
      <c r="EXL42" s="261"/>
      <c r="EXM42" s="261"/>
      <c r="EXN42" s="261"/>
      <c r="EXO42" s="261"/>
      <c r="EXP42" s="261"/>
      <c r="EXQ42" s="261"/>
      <c r="EXR42" s="261"/>
      <c r="EXS42" s="261"/>
      <c r="EXT42" s="261"/>
      <c r="EXU42" s="261"/>
      <c r="EXV42" s="261"/>
      <c r="EXW42" s="261"/>
      <c r="EXX42" s="261"/>
      <c r="EXY42" s="261"/>
      <c r="EXZ42" s="261"/>
      <c r="EYA42" s="261"/>
      <c r="EYB42" s="261"/>
      <c r="EYC42" s="261"/>
      <c r="EYD42" s="261"/>
      <c r="EYE42" s="261"/>
      <c r="EYF42" s="261"/>
      <c r="EYG42" s="261"/>
      <c r="EYH42" s="261"/>
      <c r="EYI42" s="261"/>
      <c r="EYJ42" s="261"/>
      <c r="EYK42" s="261"/>
      <c r="EYL42" s="261"/>
      <c r="EYM42" s="261"/>
      <c r="EYN42" s="261"/>
      <c r="EYO42" s="261"/>
      <c r="EYP42" s="261"/>
      <c r="EYQ42" s="261"/>
      <c r="EYR42" s="261"/>
      <c r="EYS42" s="261"/>
      <c r="EYT42" s="261"/>
      <c r="EYU42" s="261"/>
      <c r="EYV42" s="261"/>
      <c r="EYW42" s="261"/>
      <c r="EYX42" s="261"/>
      <c r="EYY42" s="261"/>
      <c r="EYZ42" s="261"/>
      <c r="EZA42" s="261"/>
      <c r="EZB42" s="261"/>
      <c r="EZC42" s="261"/>
      <c r="EZD42" s="261"/>
      <c r="EZE42" s="261"/>
      <c r="EZF42" s="261"/>
      <c r="EZG42" s="261"/>
      <c r="EZH42" s="261"/>
      <c r="EZI42" s="261"/>
      <c r="EZJ42" s="261"/>
      <c r="EZK42" s="261"/>
      <c r="EZL42" s="261"/>
      <c r="EZM42" s="261"/>
      <c r="EZN42" s="261"/>
      <c r="EZO42" s="261"/>
      <c r="EZP42" s="261"/>
      <c r="EZQ42" s="261"/>
      <c r="EZR42" s="261"/>
      <c r="EZS42" s="261"/>
      <c r="EZT42" s="261"/>
      <c r="EZU42" s="261"/>
      <c r="EZV42" s="261"/>
      <c r="EZW42" s="261"/>
      <c r="EZX42" s="261"/>
      <c r="EZY42" s="261"/>
      <c r="EZZ42" s="261"/>
      <c r="FAA42" s="261"/>
      <c r="FAB42" s="261"/>
      <c r="FAC42" s="261"/>
      <c r="FAD42" s="261"/>
      <c r="FAE42" s="261"/>
      <c r="FAF42" s="261"/>
      <c r="FAG42" s="261"/>
      <c r="FAH42" s="261"/>
      <c r="FAI42" s="261"/>
      <c r="FAJ42" s="261"/>
      <c r="FAK42" s="261"/>
      <c r="FAL42" s="261"/>
      <c r="FAM42" s="261"/>
      <c r="FAN42" s="261"/>
      <c r="FAO42" s="261"/>
      <c r="FAP42" s="261"/>
      <c r="FAQ42" s="261"/>
      <c r="FAR42" s="261"/>
      <c r="FAS42" s="261"/>
      <c r="FAT42" s="261"/>
      <c r="FAU42" s="261"/>
      <c r="FAV42" s="261"/>
      <c r="FAW42" s="261"/>
      <c r="FAX42" s="261"/>
      <c r="FAY42" s="261"/>
      <c r="FAZ42" s="261"/>
      <c r="FBA42" s="261"/>
      <c r="FBB42" s="261"/>
      <c r="FBC42" s="261"/>
      <c r="FBD42" s="261"/>
      <c r="FBE42" s="261"/>
      <c r="FBF42" s="261"/>
      <c r="FBG42" s="261"/>
      <c r="FBH42" s="261"/>
      <c r="FBI42" s="261"/>
      <c r="FBJ42" s="261"/>
      <c r="FBK42" s="261"/>
      <c r="FBL42" s="261"/>
      <c r="FBM42" s="261"/>
      <c r="FBN42" s="261"/>
      <c r="FBO42" s="261"/>
      <c r="FBP42" s="261"/>
      <c r="FBQ42" s="261"/>
      <c r="FBR42" s="261"/>
      <c r="FBS42" s="261"/>
      <c r="FBT42" s="261"/>
      <c r="FBU42" s="261"/>
      <c r="FBV42" s="261"/>
      <c r="FBW42" s="261"/>
      <c r="FBX42" s="261"/>
      <c r="FBY42" s="261"/>
      <c r="FBZ42" s="261"/>
      <c r="FCA42" s="261"/>
      <c r="FCB42" s="261"/>
      <c r="FCC42" s="261"/>
      <c r="FCD42" s="261"/>
      <c r="FCE42" s="261"/>
      <c r="FCF42" s="261"/>
      <c r="FCG42" s="261"/>
      <c r="FCH42" s="261"/>
      <c r="FCI42" s="261"/>
      <c r="FCJ42" s="261"/>
      <c r="FCK42" s="261"/>
      <c r="FCL42" s="261"/>
      <c r="FCM42" s="261"/>
      <c r="FCN42" s="261"/>
      <c r="FCO42" s="261"/>
      <c r="FCP42" s="261"/>
      <c r="FCQ42" s="261"/>
      <c r="FCR42" s="261"/>
      <c r="FCS42" s="261"/>
      <c r="FCT42" s="261"/>
      <c r="FCU42" s="261"/>
      <c r="FCV42" s="261"/>
      <c r="FCW42" s="261"/>
      <c r="FCX42" s="261"/>
      <c r="FCY42" s="261"/>
      <c r="FCZ42" s="261"/>
      <c r="FDA42" s="261"/>
      <c r="FDB42" s="261"/>
      <c r="FDC42" s="261"/>
      <c r="FDD42" s="261"/>
      <c r="FDE42" s="261"/>
      <c r="FDF42" s="261"/>
      <c r="FDG42" s="261"/>
      <c r="FDH42" s="261"/>
      <c r="FDI42" s="261"/>
      <c r="FDJ42" s="261"/>
      <c r="FDK42" s="261"/>
      <c r="FDL42" s="261"/>
      <c r="FDM42" s="261"/>
      <c r="FDN42" s="261"/>
      <c r="FDO42" s="261"/>
      <c r="FDP42" s="261"/>
      <c r="FDQ42" s="261"/>
      <c r="FDR42" s="261"/>
      <c r="FDS42" s="261"/>
      <c r="FDT42" s="261"/>
      <c r="FDU42" s="261"/>
      <c r="FDV42" s="261"/>
      <c r="FDW42" s="261"/>
      <c r="FDX42" s="261"/>
      <c r="FDY42" s="261"/>
      <c r="FDZ42" s="261"/>
      <c r="FEA42" s="261"/>
      <c r="FEB42" s="261"/>
      <c r="FEC42" s="261"/>
      <c r="FED42" s="261"/>
      <c r="FEE42" s="261"/>
      <c r="FEF42" s="261"/>
      <c r="FEG42" s="261"/>
      <c r="FEH42" s="261"/>
      <c r="FEI42" s="261"/>
      <c r="FEJ42" s="261"/>
      <c r="FEK42" s="261"/>
      <c r="FEL42" s="261"/>
      <c r="FEM42" s="261"/>
      <c r="FEN42" s="261"/>
      <c r="FEO42" s="261"/>
      <c r="FEP42" s="261"/>
      <c r="FEQ42" s="261"/>
      <c r="FER42" s="261"/>
      <c r="FES42" s="261"/>
      <c r="FET42" s="261"/>
      <c r="FEU42" s="261"/>
      <c r="FEV42" s="261"/>
      <c r="FEW42" s="261"/>
      <c r="FEX42" s="261"/>
      <c r="FEY42" s="261"/>
      <c r="FEZ42" s="261"/>
      <c r="FFA42" s="261"/>
      <c r="FFB42" s="261"/>
      <c r="FFC42" s="261"/>
      <c r="FFD42" s="261"/>
      <c r="FFE42" s="261"/>
      <c r="FFF42" s="261"/>
      <c r="FFG42" s="261"/>
      <c r="FFH42" s="261"/>
      <c r="FFI42" s="261"/>
      <c r="FFJ42" s="261"/>
      <c r="FFK42" s="261"/>
      <c r="FFL42" s="261"/>
      <c r="FFM42" s="261"/>
      <c r="FFN42" s="261"/>
      <c r="FFO42" s="261"/>
      <c r="FFP42" s="261"/>
      <c r="FFQ42" s="261"/>
      <c r="FFR42" s="261"/>
      <c r="FFS42" s="261"/>
      <c r="FFT42" s="261"/>
      <c r="FFU42" s="261"/>
      <c r="FFV42" s="261"/>
      <c r="FFW42" s="261"/>
      <c r="FFX42" s="261"/>
      <c r="FFY42" s="261"/>
      <c r="FFZ42" s="261"/>
      <c r="FGA42" s="261"/>
      <c r="FGB42" s="261"/>
      <c r="FGC42" s="261"/>
      <c r="FGD42" s="261"/>
      <c r="FGE42" s="261"/>
      <c r="FGF42" s="261"/>
      <c r="FGG42" s="261"/>
      <c r="FGH42" s="261"/>
      <c r="FGI42" s="261"/>
      <c r="FGJ42" s="261"/>
      <c r="FGK42" s="261"/>
      <c r="FGL42" s="261"/>
      <c r="FGM42" s="261"/>
      <c r="FGN42" s="261"/>
      <c r="FGO42" s="261"/>
      <c r="FGP42" s="261"/>
      <c r="FGQ42" s="261"/>
      <c r="FGR42" s="261"/>
      <c r="FGS42" s="261"/>
      <c r="FGT42" s="261"/>
      <c r="FGU42" s="261"/>
      <c r="FGV42" s="261"/>
      <c r="FGW42" s="261"/>
      <c r="FGX42" s="261"/>
      <c r="FGY42" s="261"/>
      <c r="FGZ42" s="261"/>
      <c r="FHA42" s="261"/>
      <c r="FHB42" s="261"/>
      <c r="FHC42" s="261"/>
      <c r="FHD42" s="261"/>
      <c r="FHE42" s="261"/>
      <c r="FHF42" s="261"/>
      <c r="FHG42" s="261"/>
      <c r="FHH42" s="261"/>
      <c r="FHI42" s="261"/>
      <c r="FHJ42" s="261"/>
      <c r="FHK42" s="261"/>
      <c r="FHL42" s="261"/>
      <c r="FHM42" s="261"/>
      <c r="FHN42" s="261"/>
      <c r="FHO42" s="261"/>
      <c r="FHP42" s="261"/>
      <c r="FHQ42" s="261"/>
      <c r="FHR42" s="261"/>
      <c r="FHS42" s="261"/>
      <c r="FHT42" s="261"/>
      <c r="FHU42" s="261"/>
      <c r="FHV42" s="261"/>
      <c r="FHW42" s="261"/>
      <c r="FHX42" s="261"/>
      <c r="FHY42" s="261"/>
      <c r="FHZ42" s="261"/>
      <c r="FIA42" s="261"/>
      <c r="FIB42" s="261"/>
      <c r="FIC42" s="261"/>
      <c r="FID42" s="261"/>
      <c r="FIE42" s="261"/>
      <c r="FIF42" s="261"/>
      <c r="FIG42" s="261"/>
      <c r="FIH42" s="261"/>
      <c r="FII42" s="261"/>
      <c r="FIJ42" s="261"/>
      <c r="FIK42" s="261"/>
      <c r="FIL42" s="261"/>
      <c r="FIM42" s="261"/>
      <c r="FIN42" s="261"/>
      <c r="FIO42" s="261"/>
      <c r="FIP42" s="261"/>
      <c r="FIQ42" s="261"/>
      <c r="FIR42" s="261"/>
      <c r="FIS42" s="261"/>
      <c r="FIT42" s="261"/>
      <c r="FIU42" s="261"/>
      <c r="FIV42" s="261"/>
      <c r="FIW42" s="261"/>
      <c r="FIX42" s="261"/>
      <c r="FIY42" s="261"/>
      <c r="FIZ42" s="261"/>
      <c r="FJA42" s="261"/>
      <c r="FJB42" s="261"/>
      <c r="FJC42" s="261"/>
      <c r="FJD42" s="261"/>
      <c r="FJE42" s="261"/>
      <c r="FJF42" s="261"/>
      <c r="FJG42" s="261"/>
      <c r="FJH42" s="261"/>
      <c r="FJI42" s="261"/>
      <c r="FJJ42" s="261"/>
      <c r="FJK42" s="261"/>
      <c r="FJL42" s="261"/>
      <c r="FJM42" s="261"/>
      <c r="FJN42" s="261"/>
      <c r="FJO42" s="261"/>
      <c r="FJP42" s="261"/>
      <c r="FJQ42" s="261"/>
      <c r="FJR42" s="261"/>
      <c r="FJS42" s="261"/>
      <c r="FJT42" s="261"/>
      <c r="FJU42" s="261"/>
      <c r="FJV42" s="261"/>
      <c r="FJW42" s="261"/>
      <c r="FJX42" s="261"/>
      <c r="FJY42" s="261"/>
      <c r="FJZ42" s="261"/>
      <c r="FKA42" s="261"/>
      <c r="FKB42" s="261"/>
      <c r="FKC42" s="261"/>
      <c r="FKD42" s="261"/>
      <c r="FKE42" s="261"/>
      <c r="FKF42" s="261"/>
      <c r="FKG42" s="261"/>
      <c r="FKH42" s="261"/>
      <c r="FKI42" s="261"/>
      <c r="FKJ42" s="261"/>
      <c r="FKK42" s="261"/>
      <c r="FKL42" s="261"/>
      <c r="FKM42" s="261"/>
      <c r="FKN42" s="261"/>
      <c r="FKO42" s="261"/>
      <c r="FKP42" s="261"/>
      <c r="FKQ42" s="261"/>
      <c r="FKR42" s="261"/>
      <c r="FKS42" s="261"/>
      <c r="FKT42" s="261"/>
      <c r="FKU42" s="261"/>
      <c r="FKV42" s="261"/>
      <c r="FKW42" s="261"/>
      <c r="FKX42" s="261"/>
      <c r="FKY42" s="261"/>
      <c r="FKZ42" s="261"/>
      <c r="FLA42" s="261"/>
      <c r="FLB42" s="261"/>
      <c r="FLC42" s="261"/>
      <c r="FLD42" s="261"/>
      <c r="FLE42" s="261"/>
      <c r="FLF42" s="261"/>
      <c r="FLG42" s="261"/>
      <c r="FLH42" s="261"/>
      <c r="FLI42" s="261"/>
      <c r="FLJ42" s="261"/>
      <c r="FLK42" s="261"/>
      <c r="FLL42" s="261"/>
      <c r="FLM42" s="261"/>
      <c r="FLN42" s="261"/>
      <c r="FLO42" s="261"/>
      <c r="FLP42" s="261"/>
      <c r="FLQ42" s="261"/>
      <c r="FLR42" s="261"/>
      <c r="FLS42" s="261"/>
      <c r="FLT42" s="261"/>
      <c r="FLU42" s="261"/>
      <c r="FLV42" s="261"/>
      <c r="FLW42" s="261"/>
      <c r="FLX42" s="261"/>
      <c r="FLY42" s="261"/>
      <c r="FLZ42" s="261"/>
      <c r="FMA42" s="261"/>
      <c r="FMB42" s="261"/>
      <c r="FMC42" s="261"/>
      <c r="FMD42" s="261"/>
      <c r="FME42" s="261"/>
      <c r="FMF42" s="261"/>
      <c r="FMG42" s="261"/>
      <c r="FMH42" s="261"/>
      <c r="FMI42" s="261"/>
      <c r="FMJ42" s="261"/>
      <c r="FMK42" s="261"/>
      <c r="FML42" s="261"/>
      <c r="FMM42" s="261"/>
      <c r="FMN42" s="261"/>
      <c r="FMO42" s="261"/>
      <c r="FMP42" s="261"/>
      <c r="FMQ42" s="261"/>
      <c r="FMR42" s="261"/>
      <c r="FMS42" s="261"/>
      <c r="FMT42" s="261"/>
      <c r="FMU42" s="261"/>
      <c r="FMV42" s="261"/>
      <c r="FMW42" s="261"/>
      <c r="FMX42" s="261"/>
      <c r="FMY42" s="261"/>
      <c r="FMZ42" s="261"/>
      <c r="FNA42" s="261"/>
      <c r="FNB42" s="261"/>
      <c r="FNC42" s="261"/>
      <c r="FND42" s="261"/>
      <c r="FNE42" s="261"/>
      <c r="FNF42" s="261"/>
      <c r="FNG42" s="261"/>
      <c r="FNH42" s="261"/>
      <c r="FNI42" s="261"/>
      <c r="FNJ42" s="261"/>
      <c r="FNK42" s="261"/>
      <c r="FNL42" s="261"/>
      <c r="FNM42" s="261"/>
      <c r="FNN42" s="261"/>
      <c r="FNO42" s="261"/>
      <c r="FNP42" s="261"/>
      <c r="FNQ42" s="261"/>
      <c r="FNR42" s="261"/>
      <c r="FNS42" s="261"/>
      <c r="FNT42" s="261"/>
      <c r="FNU42" s="261"/>
      <c r="FNV42" s="261"/>
      <c r="FNW42" s="261"/>
      <c r="FNX42" s="261"/>
      <c r="FNY42" s="261"/>
      <c r="FNZ42" s="261"/>
      <c r="FOA42" s="261"/>
      <c r="FOB42" s="261"/>
      <c r="FOC42" s="261"/>
      <c r="FOD42" s="261"/>
      <c r="FOE42" s="261"/>
      <c r="FOF42" s="261"/>
      <c r="FOG42" s="261"/>
      <c r="FOH42" s="261"/>
      <c r="FOI42" s="261"/>
      <c r="FOJ42" s="261"/>
      <c r="FOK42" s="261"/>
      <c r="FOL42" s="261"/>
      <c r="FOM42" s="261"/>
      <c r="FON42" s="261"/>
      <c r="FOO42" s="261"/>
      <c r="FOP42" s="261"/>
      <c r="FOQ42" s="261"/>
      <c r="FOR42" s="261"/>
      <c r="FOS42" s="261"/>
      <c r="FOT42" s="261"/>
      <c r="FOU42" s="261"/>
      <c r="FOV42" s="261"/>
      <c r="FOW42" s="261"/>
      <c r="FOX42" s="261"/>
      <c r="FOY42" s="261"/>
      <c r="FOZ42" s="261"/>
      <c r="FPA42" s="261"/>
      <c r="FPB42" s="261"/>
      <c r="FPC42" s="261"/>
      <c r="FPD42" s="261"/>
      <c r="FPE42" s="261"/>
      <c r="FPF42" s="261"/>
      <c r="FPG42" s="261"/>
      <c r="FPH42" s="261"/>
      <c r="FPI42" s="261"/>
      <c r="FPJ42" s="261"/>
      <c r="FPK42" s="261"/>
      <c r="FPL42" s="261"/>
      <c r="FPM42" s="261"/>
      <c r="FPN42" s="261"/>
      <c r="FPO42" s="261"/>
      <c r="FPP42" s="261"/>
      <c r="FPQ42" s="261"/>
      <c r="FPR42" s="261"/>
      <c r="FPS42" s="261"/>
      <c r="FPT42" s="261"/>
      <c r="FPU42" s="261"/>
      <c r="FPV42" s="261"/>
      <c r="FPW42" s="261"/>
      <c r="FPX42" s="261"/>
      <c r="FPY42" s="261"/>
      <c r="FPZ42" s="261"/>
      <c r="FQA42" s="261"/>
      <c r="FQB42" s="261"/>
      <c r="FQC42" s="261"/>
      <c r="FQD42" s="261"/>
      <c r="FQE42" s="261"/>
      <c r="FQF42" s="261"/>
      <c r="FQG42" s="261"/>
      <c r="FQH42" s="261"/>
      <c r="FQI42" s="261"/>
      <c r="FQJ42" s="261"/>
      <c r="FQK42" s="261"/>
      <c r="FQL42" s="261"/>
      <c r="FQM42" s="261"/>
      <c r="FQN42" s="261"/>
      <c r="FQO42" s="261"/>
      <c r="FQP42" s="261"/>
      <c r="FQQ42" s="261"/>
      <c r="FQR42" s="261"/>
      <c r="FQS42" s="261"/>
      <c r="FQT42" s="261"/>
      <c r="FQU42" s="261"/>
      <c r="FQV42" s="261"/>
      <c r="FQW42" s="261"/>
      <c r="FQX42" s="261"/>
      <c r="FQY42" s="261"/>
      <c r="FQZ42" s="261"/>
      <c r="FRA42" s="261"/>
      <c r="FRB42" s="261"/>
      <c r="FRC42" s="261"/>
      <c r="FRD42" s="261"/>
      <c r="FRE42" s="261"/>
      <c r="FRF42" s="261"/>
      <c r="FRG42" s="261"/>
      <c r="FRH42" s="261"/>
      <c r="FRI42" s="261"/>
      <c r="FRJ42" s="261"/>
      <c r="FRK42" s="261"/>
      <c r="FRL42" s="261"/>
      <c r="FRM42" s="261"/>
      <c r="FRN42" s="261"/>
      <c r="FRO42" s="261"/>
      <c r="FRP42" s="261"/>
      <c r="FRQ42" s="261"/>
      <c r="FRR42" s="261"/>
      <c r="FRS42" s="261"/>
      <c r="FRT42" s="261"/>
      <c r="FRU42" s="261"/>
      <c r="FRV42" s="261"/>
      <c r="FRW42" s="261"/>
      <c r="FRX42" s="261"/>
      <c r="FRY42" s="261"/>
      <c r="FRZ42" s="261"/>
      <c r="FSA42" s="261"/>
      <c r="FSB42" s="261"/>
      <c r="FSC42" s="261"/>
      <c r="FSD42" s="261"/>
      <c r="FSE42" s="261"/>
      <c r="FSF42" s="261"/>
      <c r="FSG42" s="261"/>
      <c r="FSH42" s="261"/>
      <c r="FSI42" s="261"/>
      <c r="FSJ42" s="261"/>
      <c r="FSK42" s="261"/>
      <c r="FSL42" s="261"/>
      <c r="FSM42" s="261"/>
      <c r="FSN42" s="261"/>
      <c r="FSO42" s="261"/>
      <c r="FSP42" s="261"/>
      <c r="FSQ42" s="261"/>
      <c r="FSR42" s="261"/>
      <c r="FSS42" s="261"/>
      <c r="FST42" s="261"/>
      <c r="FSU42" s="261"/>
      <c r="FSV42" s="261"/>
      <c r="FSW42" s="261"/>
      <c r="FSX42" s="261"/>
      <c r="FSY42" s="261"/>
      <c r="FSZ42" s="261"/>
      <c r="FTA42" s="261"/>
      <c r="FTB42" s="261"/>
      <c r="FTC42" s="261"/>
      <c r="FTD42" s="261"/>
      <c r="FTE42" s="261"/>
      <c r="FTF42" s="261"/>
      <c r="FTG42" s="261"/>
      <c r="FTH42" s="261"/>
      <c r="FTI42" s="261"/>
      <c r="FTJ42" s="261"/>
      <c r="FTK42" s="261"/>
      <c r="FTL42" s="261"/>
      <c r="FTM42" s="261"/>
      <c r="FTN42" s="261"/>
      <c r="FTO42" s="261"/>
      <c r="FTP42" s="261"/>
      <c r="FTQ42" s="261"/>
      <c r="FTR42" s="261"/>
      <c r="FTS42" s="261"/>
      <c r="FTT42" s="261"/>
      <c r="FTU42" s="261"/>
      <c r="FTV42" s="261"/>
      <c r="FTW42" s="261"/>
      <c r="FTX42" s="261"/>
      <c r="FTY42" s="261"/>
      <c r="FTZ42" s="261"/>
      <c r="FUA42" s="261"/>
      <c r="FUB42" s="261"/>
      <c r="FUC42" s="261"/>
      <c r="FUD42" s="261"/>
      <c r="FUE42" s="261"/>
      <c r="FUF42" s="261"/>
      <c r="FUG42" s="261"/>
      <c r="FUH42" s="261"/>
      <c r="FUI42" s="261"/>
      <c r="FUJ42" s="261"/>
      <c r="FUK42" s="261"/>
      <c r="FUL42" s="261"/>
      <c r="FUM42" s="261"/>
      <c r="FUN42" s="261"/>
      <c r="FUO42" s="261"/>
      <c r="FUP42" s="261"/>
      <c r="FUQ42" s="261"/>
      <c r="FUR42" s="261"/>
      <c r="FUS42" s="261"/>
      <c r="FUT42" s="261"/>
      <c r="FUU42" s="261"/>
      <c r="FUV42" s="261"/>
      <c r="FUW42" s="261"/>
      <c r="FUX42" s="261"/>
      <c r="FUY42" s="261"/>
      <c r="FUZ42" s="261"/>
      <c r="FVA42" s="261"/>
      <c r="FVB42" s="261"/>
      <c r="FVC42" s="261"/>
      <c r="FVD42" s="261"/>
      <c r="FVE42" s="261"/>
      <c r="FVF42" s="261"/>
      <c r="FVG42" s="261"/>
      <c r="FVH42" s="261"/>
      <c r="FVI42" s="261"/>
      <c r="FVJ42" s="261"/>
      <c r="FVK42" s="261"/>
      <c r="FVL42" s="261"/>
      <c r="FVM42" s="261"/>
      <c r="FVN42" s="261"/>
      <c r="FVO42" s="261"/>
      <c r="FVP42" s="261"/>
      <c r="FVQ42" s="261"/>
      <c r="FVR42" s="261"/>
      <c r="FVS42" s="261"/>
      <c r="FVT42" s="261"/>
      <c r="FVU42" s="261"/>
      <c r="FVV42" s="261"/>
      <c r="FVW42" s="261"/>
      <c r="FVX42" s="261"/>
      <c r="FVY42" s="261"/>
      <c r="FVZ42" s="261"/>
      <c r="FWA42" s="261"/>
      <c r="FWB42" s="261"/>
      <c r="FWC42" s="261"/>
      <c r="FWD42" s="261"/>
      <c r="FWE42" s="261"/>
      <c r="FWF42" s="261"/>
      <c r="FWG42" s="261"/>
      <c r="FWH42" s="261"/>
      <c r="FWI42" s="261"/>
      <c r="FWJ42" s="261"/>
      <c r="FWK42" s="261"/>
      <c r="FWL42" s="261"/>
      <c r="FWM42" s="261"/>
      <c r="FWN42" s="261"/>
      <c r="FWO42" s="261"/>
      <c r="FWP42" s="261"/>
      <c r="FWQ42" s="261"/>
      <c r="FWR42" s="261"/>
      <c r="FWS42" s="261"/>
      <c r="FWT42" s="261"/>
      <c r="FWU42" s="261"/>
      <c r="FWV42" s="261"/>
      <c r="FWW42" s="261"/>
      <c r="FWX42" s="261"/>
      <c r="FWY42" s="261"/>
      <c r="FWZ42" s="261"/>
      <c r="FXA42" s="261"/>
      <c r="FXB42" s="261"/>
      <c r="FXC42" s="261"/>
      <c r="FXD42" s="261"/>
      <c r="FXE42" s="261"/>
      <c r="FXF42" s="261"/>
      <c r="FXG42" s="261"/>
      <c r="FXH42" s="261"/>
      <c r="FXI42" s="261"/>
      <c r="FXJ42" s="261"/>
      <c r="FXK42" s="261"/>
      <c r="FXL42" s="261"/>
      <c r="FXM42" s="261"/>
      <c r="FXN42" s="261"/>
      <c r="FXO42" s="261"/>
      <c r="FXP42" s="261"/>
      <c r="FXQ42" s="261"/>
      <c r="FXR42" s="261"/>
      <c r="FXS42" s="261"/>
      <c r="FXT42" s="261"/>
      <c r="FXU42" s="261"/>
      <c r="FXV42" s="261"/>
      <c r="FXW42" s="261"/>
      <c r="FXX42" s="261"/>
      <c r="FXY42" s="261"/>
      <c r="FXZ42" s="261"/>
      <c r="FYA42" s="261"/>
      <c r="FYB42" s="261"/>
      <c r="FYC42" s="261"/>
      <c r="FYD42" s="261"/>
      <c r="FYE42" s="261"/>
      <c r="FYF42" s="261"/>
      <c r="FYG42" s="261"/>
      <c r="FYH42" s="261"/>
      <c r="FYI42" s="261"/>
      <c r="FYJ42" s="261"/>
      <c r="FYK42" s="261"/>
      <c r="FYL42" s="261"/>
      <c r="FYM42" s="261"/>
      <c r="FYN42" s="261"/>
      <c r="FYO42" s="261"/>
      <c r="FYP42" s="261"/>
      <c r="FYQ42" s="261"/>
      <c r="FYR42" s="261"/>
      <c r="FYS42" s="261"/>
      <c r="FYT42" s="261"/>
      <c r="FYU42" s="261"/>
      <c r="FYV42" s="261"/>
      <c r="FYW42" s="261"/>
      <c r="FYX42" s="261"/>
      <c r="FYY42" s="261"/>
      <c r="FYZ42" s="261"/>
      <c r="FZA42" s="261"/>
      <c r="FZB42" s="261"/>
      <c r="FZC42" s="261"/>
      <c r="FZD42" s="261"/>
      <c r="FZE42" s="261"/>
      <c r="FZF42" s="261"/>
      <c r="FZG42" s="261"/>
      <c r="FZH42" s="261"/>
      <c r="FZI42" s="261"/>
      <c r="FZJ42" s="261"/>
      <c r="FZK42" s="261"/>
      <c r="FZL42" s="261"/>
      <c r="FZM42" s="261"/>
      <c r="FZN42" s="261"/>
      <c r="FZO42" s="261"/>
      <c r="FZP42" s="261"/>
      <c r="FZQ42" s="261"/>
      <c r="FZR42" s="261"/>
      <c r="FZS42" s="261"/>
      <c r="FZT42" s="261"/>
      <c r="FZU42" s="261"/>
      <c r="FZV42" s="261"/>
      <c r="FZW42" s="261"/>
      <c r="FZX42" s="261"/>
      <c r="FZY42" s="261"/>
      <c r="FZZ42" s="261"/>
      <c r="GAA42" s="261"/>
      <c r="GAB42" s="261"/>
      <c r="GAC42" s="261"/>
      <c r="GAD42" s="261"/>
      <c r="GAE42" s="261"/>
      <c r="GAF42" s="261"/>
      <c r="GAG42" s="261"/>
      <c r="GAH42" s="261"/>
      <c r="GAI42" s="261"/>
      <c r="GAJ42" s="261"/>
      <c r="GAK42" s="261"/>
      <c r="GAL42" s="261"/>
      <c r="GAM42" s="261"/>
      <c r="GAN42" s="261"/>
      <c r="GAO42" s="261"/>
      <c r="GAP42" s="261"/>
      <c r="GAQ42" s="261"/>
      <c r="GAR42" s="261"/>
      <c r="GAS42" s="261"/>
      <c r="GAT42" s="261"/>
      <c r="GAU42" s="261"/>
      <c r="GAV42" s="261"/>
      <c r="GAW42" s="261"/>
      <c r="GAX42" s="261"/>
      <c r="GAY42" s="261"/>
      <c r="GAZ42" s="261"/>
      <c r="GBA42" s="261"/>
      <c r="GBB42" s="261"/>
      <c r="GBC42" s="261"/>
      <c r="GBD42" s="261"/>
      <c r="GBE42" s="261"/>
      <c r="GBF42" s="261"/>
      <c r="GBG42" s="261"/>
      <c r="GBH42" s="261"/>
      <c r="GBI42" s="261"/>
      <c r="GBJ42" s="261"/>
      <c r="GBK42" s="261"/>
      <c r="GBL42" s="261"/>
      <c r="GBM42" s="261"/>
      <c r="GBN42" s="261"/>
      <c r="GBO42" s="261"/>
      <c r="GBP42" s="261"/>
      <c r="GBQ42" s="261"/>
      <c r="GBR42" s="261"/>
      <c r="GBS42" s="261"/>
      <c r="GBT42" s="261"/>
      <c r="GBU42" s="261"/>
      <c r="GBV42" s="261"/>
      <c r="GBW42" s="261"/>
      <c r="GBX42" s="261"/>
      <c r="GBY42" s="261"/>
      <c r="GBZ42" s="261"/>
      <c r="GCA42" s="261"/>
      <c r="GCB42" s="261"/>
      <c r="GCC42" s="261"/>
      <c r="GCD42" s="261"/>
      <c r="GCE42" s="261"/>
      <c r="GCF42" s="261"/>
      <c r="GCG42" s="261"/>
      <c r="GCH42" s="261"/>
      <c r="GCI42" s="261"/>
      <c r="GCJ42" s="261"/>
      <c r="GCK42" s="261"/>
      <c r="GCL42" s="261"/>
      <c r="GCM42" s="261"/>
      <c r="GCN42" s="261"/>
      <c r="GCO42" s="261"/>
      <c r="GCP42" s="261"/>
      <c r="GCQ42" s="261"/>
      <c r="GCR42" s="261"/>
      <c r="GCS42" s="261"/>
      <c r="GCT42" s="261"/>
      <c r="GCU42" s="261"/>
      <c r="GCV42" s="261"/>
      <c r="GCW42" s="261"/>
      <c r="GCX42" s="261"/>
      <c r="GCY42" s="261"/>
      <c r="GCZ42" s="261"/>
      <c r="GDA42" s="261"/>
      <c r="GDB42" s="261"/>
      <c r="GDC42" s="261"/>
      <c r="GDD42" s="261"/>
      <c r="GDE42" s="261"/>
      <c r="GDF42" s="261"/>
      <c r="GDG42" s="261"/>
      <c r="GDH42" s="261"/>
      <c r="GDI42" s="261"/>
      <c r="GDJ42" s="261"/>
      <c r="GDK42" s="261"/>
      <c r="GDL42" s="261"/>
      <c r="GDM42" s="261"/>
      <c r="GDN42" s="261"/>
      <c r="GDO42" s="261"/>
      <c r="GDP42" s="261"/>
      <c r="GDQ42" s="261"/>
      <c r="GDR42" s="261"/>
      <c r="GDS42" s="261"/>
      <c r="GDT42" s="261"/>
      <c r="GDU42" s="261"/>
      <c r="GDV42" s="261"/>
      <c r="GDW42" s="261"/>
      <c r="GDX42" s="261"/>
      <c r="GDY42" s="261"/>
      <c r="GDZ42" s="261"/>
      <c r="GEA42" s="261"/>
      <c r="GEB42" s="261"/>
      <c r="GEC42" s="261"/>
      <c r="GED42" s="261"/>
      <c r="GEE42" s="261"/>
      <c r="GEF42" s="261"/>
      <c r="GEG42" s="261"/>
      <c r="GEH42" s="261"/>
      <c r="GEI42" s="261"/>
      <c r="GEJ42" s="261"/>
      <c r="GEK42" s="261"/>
      <c r="GEL42" s="261"/>
      <c r="GEM42" s="261"/>
      <c r="GEN42" s="261"/>
      <c r="GEO42" s="261"/>
      <c r="GEP42" s="261"/>
      <c r="GEQ42" s="261"/>
      <c r="GER42" s="261"/>
      <c r="GES42" s="261"/>
      <c r="GET42" s="261"/>
      <c r="GEU42" s="261"/>
      <c r="GEV42" s="261"/>
      <c r="GEW42" s="261"/>
      <c r="GEX42" s="261"/>
      <c r="GEY42" s="261"/>
      <c r="GEZ42" s="261"/>
      <c r="GFA42" s="261"/>
      <c r="GFB42" s="261"/>
      <c r="GFC42" s="261"/>
      <c r="GFD42" s="261"/>
      <c r="GFE42" s="261"/>
      <c r="GFF42" s="261"/>
      <c r="GFG42" s="261"/>
      <c r="GFH42" s="261"/>
      <c r="GFI42" s="261"/>
      <c r="GFJ42" s="261"/>
      <c r="GFK42" s="261"/>
      <c r="GFL42" s="261"/>
      <c r="GFM42" s="261"/>
      <c r="GFN42" s="261"/>
      <c r="GFO42" s="261"/>
      <c r="GFP42" s="261"/>
      <c r="GFQ42" s="261"/>
      <c r="GFR42" s="261"/>
      <c r="GFS42" s="261"/>
      <c r="GFT42" s="261"/>
      <c r="GFU42" s="261"/>
      <c r="GFV42" s="261"/>
      <c r="GFW42" s="261"/>
      <c r="GFX42" s="261"/>
      <c r="GFY42" s="261"/>
      <c r="GFZ42" s="261"/>
      <c r="GGA42" s="261"/>
      <c r="GGB42" s="261"/>
      <c r="GGC42" s="261"/>
      <c r="GGD42" s="261"/>
      <c r="GGE42" s="261"/>
      <c r="GGF42" s="261"/>
      <c r="GGG42" s="261"/>
      <c r="GGH42" s="261"/>
      <c r="GGI42" s="261"/>
      <c r="GGJ42" s="261"/>
      <c r="GGK42" s="261"/>
      <c r="GGL42" s="261"/>
      <c r="GGM42" s="261"/>
      <c r="GGN42" s="261"/>
      <c r="GGO42" s="261"/>
      <c r="GGP42" s="261"/>
      <c r="GGQ42" s="261"/>
      <c r="GGR42" s="261"/>
      <c r="GGS42" s="261"/>
      <c r="GGT42" s="261"/>
      <c r="GGU42" s="261"/>
      <c r="GGV42" s="261"/>
      <c r="GGW42" s="261"/>
      <c r="GGX42" s="261"/>
      <c r="GGY42" s="261"/>
      <c r="GGZ42" s="261"/>
      <c r="GHA42" s="261"/>
      <c r="GHB42" s="261"/>
      <c r="GHC42" s="261"/>
      <c r="GHD42" s="261"/>
      <c r="GHE42" s="261"/>
      <c r="GHF42" s="261"/>
      <c r="GHG42" s="261"/>
      <c r="GHH42" s="261"/>
      <c r="GHI42" s="261"/>
      <c r="GHJ42" s="261"/>
      <c r="GHK42" s="261"/>
      <c r="GHL42" s="261"/>
      <c r="GHM42" s="261"/>
      <c r="GHN42" s="261"/>
      <c r="GHO42" s="261"/>
      <c r="GHP42" s="261"/>
      <c r="GHQ42" s="261"/>
      <c r="GHR42" s="261"/>
      <c r="GHS42" s="261"/>
      <c r="GHT42" s="261"/>
      <c r="GHU42" s="261"/>
      <c r="GHV42" s="261"/>
      <c r="GHW42" s="261"/>
      <c r="GHX42" s="261"/>
      <c r="GHY42" s="261"/>
      <c r="GHZ42" s="261"/>
      <c r="GIA42" s="261"/>
      <c r="GIB42" s="261"/>
      <c r="GIC42" s="261"/>
      <c r="GID42" s="261"/>
      <c r="GIE42" s="261"/>
      <c r="GIF42" s="261"/>
      <c r="GIG42" s="261"/>
      <c r="GIH42" s="261"/>
      <c r="GII42" s="261"/>
      <c r="GIJ42" s="261"/>
      <c r="GIK42" s="261"/>
      <c r="GIL42" s="261"/>
      <c r="GIM42" s="261"/>
      <c r="GIN42" s="261"/>
      <c r="GIO42" s="261"/>
      <c r="GIP42" s="261"/>
      <c r="GIQ42" s="261"/>
      <c r="GIR42" s="261"/>
      <c r="GIS42" s="261"/>
      <c r="GIT42" s="261"/>
      <c r="GIU42" s="261"/>
      <c r="GIV42" s="261"/>
      <c r="GIW42" s="261"/>
      <c r="GIX42" s="261"/>
      <c r="GIY42" s="261"/>
      <c r="GIZ42" s="261"/>
      <c r="GJA42" s="261"/>
      <c r="GJB42" s="261"/>
      <c r="GJC42" s="261"/>
      <c r="GJD42" s="261"/>
      <c r="GJE42" s="261"/>
      <c r="GJF42" s="261"/>
      <c r="GJG42" s="261"/>
      <c r="GJH42" s="261"/>
      <c r="GJI42" s="261"/>
      <c r="GJJ42" s="261"/>
      <c r="GJK42" s="261"/>
      <c r="GJL42" s="261"/>
      <c r="GJM42" s="261"/>
      <c r="GJN42" s="261"/>
      <c r="GJO42" s="261"/>
      <c r="GJP42" s="261"/>
      <c r="GJQ42" s="261"/>
      <c r="GJR42" s="261"/>
      <c r="GJS42" s="261"/>
      <c r="GJT42" s="261"/>
      <c r="GJU42" s="261"/>
      <c r="GJV42" s="261"/>
      <c r="GJW42" s="261"/>
      <c r="GJX42" s="261"/>
      <c r="GJY42" s="261"/>
      <c r="GJZ42" s="261"/>
      <c r="GKA42" s="261"/>
      <c r="GKB42" s="261"/>
      <c r="GKC42" s="261"/>
      <c r="GKD42" s="261"/>
      <c r="GKE42" s="261"/>
      <c r="GKF42" s="261"/>
      <c r="GKG42" s="261"/>
      <c r="GKH42" s="261"/>
      <c r="GKI42" s="261"/>
      <c r="GKJ42" s="261"/>
      <c r="GKK42" s="261"/>
      <c r="GKL42" s="261"/>
      <c r="GKM42" s="261"/>
      <c r="GKN42" s="261"/>
      <c r="GKO42" s="261"/>
      <c r="GKP42" s="261"/>
      <c r="GKQ42" s="261"/>
      <c r="GKR42" s="261"/>
      <c r="GKS42" s="261"/>
      <c r="GKT42" s="261"/>
      <c r="GKU42" s="261"/>
      <c r="GKV42" s="261"/>
      <c r="GKW42" s="261"/>
      <c r="GKX42" s="261"/>
      <c r="GKY42" s="261"/>
      <c r="GKZ42" s="261"/>
      <c r="GLA42" s="261"/>
      <c r="GLB42" s="261"/>
      <c r="GLC42" s="261"/>
      <c r="GLD42" s="261"/>
      <c r="GLE42" s="261"/>
      <c r="GLF42" s="261"/>
      <c r="GLG42" s="261"/>
      <c r="GLH42" s="261"/>
      <c r="GLI42" s="261"/>
      <c r="GLJ42" s="261"/>
      <c r="GLK42" s="261"/>
      <c r="GLL42" s="261"/>
      <c r="GLM42" s="261"/>
      <c r="GLN42" s="261"/>
      <c r="GLO42" s="261"/>
      <c r="GLP42" s="261"/>
      <c r="GLQ42" s="261"/>
      <c r="GLR42" s="261"/>
      <c r="GLS42" s="261"/>
      <c r="GLT42" s="261"/>
      <c r="GLU42" s="261"/>
      <c r="GLV42" s="261"/>
      <c r="GLW42" s="261"/>
      <c r="GLX42" s="261"/>
      <c r="GLY42" s="261"/>
      <c r="GLZ42" s="261"/>
      <c r="GMA42" s="261"/>
      <c r="GMB42" s="261"/>
      <c r="GMC42" s="261"/>
      <c r="GMD42" s="261"/>
      <c r="GME42" s="261"/>
      <c r="GMF42" s="261"/>
      <c r="GMG42" s="261"/>
      <c r="GMH42" s="261"/>
      <c r="GMI42" s="261"/>
      <c r="GMJ42" s="261"/>
      <c r="GMK42" s="261"/>
      <c r="GML42" s="261"/>
      <c r="GMM42" s="261"/>
      <c r="GMN42" s="261"/>
      <c r="GMO42" s="261"/>
      <c r="GMP42" s="261"/>
      <c r="GMQ42" s="261"/>
      <c r="GMR42" s="261"/>
      <c r="GMS42" s="261"/>
      <c r="GMT42" s="261"/>
      <c r="GMU42" s="261"/>
      <c r="GMV42" s="261"/>
      <c r="GMW42" s="261"/>
      <c r="GMX42" s="261"/>
      <c r="GMY42" s="261"/>
      <c r="GMZ42" s="261"/>
      <c r="GNA42" s="261"/>
      <c r="GNB42" s="261"/>
      <c r="GNC42" s="261"/>
      <c r="GND42" s="261"/>
      <c r="GNE42" s="261"/>
      <c r="GNF42" s="261"/>
      <c r="GNG42" s="261"/>
      <c r="GNH42" s="261"/>
      <c r="GNI42" s="261"/>
      <c r="GNJ42" s="261"/>
      <c r="GNK42" s="261"/>
      <c r="GNL42" s="261"/>
      <c r="GNM42" s="261"/>
      <c r="GNN42" s="261"/>
      <c r="GNO42" s="261"/>
      <c r="GNP42" s="261"/>
      <c r="GNQ42" s="261"/>
      <c r="GNR42" s="261"/>
      <c r="GNS42" s="261"/>
      <c r="GNT42" s="261"/>
      <c r="GNU42" s="261"/>
      <c r="GNV42" s="261"/>
      <c r="GNW42" s="261"/>
      <c r="GNX42" s="261"/>
      <c r="GNY42" s="261"/>
      <c r="GNZ42" s="261"/>
      <c r="GOA42" s="261"/>
      <c r="GOB42" s="261"/>
      <c r="GOC42" s="261"/>
      <c r="GOD42" s="261"/>
      <c r="GOE42" s="261"/>
      <c r="GOF42" s="261"/>
      <c r="GOG42" s="261"/>
      <c r="GOH42" s="261"/>
      <c r="GOI42" s="261"/>
      <c r="GOJ42" s="261"/>
      <c r="GOK42" s="261"/>
      <c r="GOL42" s="261"/>
      <c r="GOM42" s="261"/>
      <c r="GON42" s="261"/>
      <c r="GOO42" s="261"/>
      <c r="GOP42" s="261"/>
      <c r="GOQ42" s="261"/>
      <c r="GOR42" s="261"/>
      <c r="GOS42" s="261"/>
      <c r="GOT42" s="261"/>
      <c r="GOU42" s="261"/>
      <c r="GOV42" s="261"/>
      <c r="GOW42" s="261"/>
      <c r="GOX42" s="261"/>
      <c r="GOY42" s="261"/>
      <c r="GOZ42" s="261"/>
      <c r="GPA42" s="261"/>
      <c r="GPB42" s="261"/>
      <c r="GPC42" s="261"/>
      <c r="GPD42" s="261"/>
      <c r="GPE42" s="261"/>
      <c r="GPF42" s="261"/>
      <c r="GPG42" s="261"/>
      <c r="GPH42" s="261"/>
      <c r="GPI42" s="261"/>
      <c r="GPJ42" s="261"/>
      <c r="GPK42" s="261"/>
      <c r="GPL42" s="261"/>
      <c r="GPM42" s="261"/>
      <c r="GPN42" s="261"/>
      <c r="GPO42" s="261"/>
      <c r="GPP42" s="261"/>
      <c r="GPQ42" s="261"/>
      <c r="GPR42" s="261"/>
      <c r="GPS42" s="261"/>
      <c r="GPT42" s="261"/>
      <c r="GPU42" s="261"/>
      <c r="GPV42" s="261"/>
      <c r="GPW42" s="261"/>
      <c r="GPX42" s="261"/>
      <c r="GPY42" s="261"/>
      <c r="GPZ42" s="261"/>
      <c r="GQA42" s="261"/>
      <c r="GQB42" s="261"/>
      <c r="GQC42" s="261"/>
      <c r="GQD42" s="261"/>
      <c r="GQE42" s="261"/>
      <c r="GQF42" s="261"/>
      <c r="GQG42" s="261"/>
      <c r="GQH42" s="261"/>
      <c r="GQI42" s="261"/>
      <c r="GQJ42" s="261"/>
      <c r="GQK42" s="261"/>
      <c r="GQL42" s="261"/>
      <c r="GQM42" s="261"/>
      <c r="GQN42" s="261"/>
      <c r="GQO42" s="261"/>
      <c r="GQP42" s="261"/>
      <c r="GQQ42" s="261"/>
      <c r="GQR42" s="261"/>
      <c r="GQS42" s="261"/>
      <c r="GQT42" s="261"/>
      <c r="GQU42" s="261"/>
      <c r="GQV42" s="261"/>
      <c r="GQW42" s="261"/>
      <c r="GQX42" s="261"/>
      <c r="GQY42" s="261"/>
      <c r="GQZ42" s="261"/>
      <c r="GRA42" s="261"/>
      <c r="GRB42" s="261"/>
      <c r="GRC42" s="261"/>
      <c r="GRD42" s="261"/>
      <c r="GRE42" s="261"/>
      <c r="GRF42" s="261"/>
      <c r="GRG42" s="261"/>
      <c r="GRH42" s="261"/>
      <c r="GRI42" s="261"/>
      <c r="GRJ42" s="261"/>
      <c r="GRK42" s="261"/>
      <c r="GRL42" s="261"/>
      <c r="GRM42" s="261"/>
      <c r="GRN42" s="261"/>
      <c r="GRO42" s="261"/>
      <c r="GRP42" s="261"/>
      <c r="GRQ42" s="261"/>
      <c r="GRR42" s="261"/>
      <c r="GRS42" s="261"/>
      <c r="GRT42" s="261"/>
      <c r="GRU42" s="261"/>
      <c r="GRV42" s="261"/>
      <c r="GRW42" s="261"/>
      <c r="GRX42" s="261"/>
      <c r="GRY42" s="261"/>
      <c r="GRZ42" s="261"/>
      <c r="GSA42" s="261"/>
      <c r="GSB42" s="261"/>
      <c r="GSC42" s="261"/>
      <c r="GSD42" s="261"/>
      <c r="GSE42" s="261"/>
      <c r="GSF42" s="261"/>
      <c r="GSG42" s="261"/>
      <c r="GSH42" s="261"/>
      <c r="GSI42" s="261"/>
      <c r="GSJ42" s="261"/>
      <c r="GSK42" s="261"/>
      <c r="GSL42" s="261"/>
      <c r="GSM42" s="261"/>
      <c r="GSN42" s="261"/>
      <c r="GSO42" s="261"/>
      <c r="GSP42" s="261"/>
      <c r="GSQ42" s="261"/>
      <c r="GSR42" s="261"/>
      <c r="GSS42" s="261"/>
      <c r="GST42" s="261"/>
      <c r="GSU42" s="261"/>
      <c r="GSV42" s="261"/>
      <c r="GSW42" s="261"/>
      <c r="GSX42" s="261"/>
      <c r="GSY42" s="261"/>
      <c r="GSZ42" s="261"/>
      <c r="GTA42" s="261"/>
      <c r="GTB42" s="261"/>
      <c r="GTC42" s="261"/>
      <c r="GTD42" s="261"/>
      <c r="GTE42" s="261"/>
      <c r="GTF42" s="261"/>
      <c r="GTG42" s="261"/>
      <c r="GTH42" s="261"/>
      <c r="GTI42" s="261"/>
      <c r="GTJ42" s="261"/>
      <c r="GTK42" s="261"/>
      <c r="GTL42" s="261"/>
      <c r="GTM42" s="261"/>
      <c r="GTN42" s="261"/>
      <c r="GTO42" s="261"/>
      <c r="GTP42" s="261"/>
      <c r="GTQ42" s="261"/>
      <c r="GTR42" s="261"/>
      <c r="GTS42" s="261"/>
      <c r="GTT42" s="261"/>
      <c r="GTU42" s="261"/>
      <c r="GTV42" s="261"/>
      <c r="GTW42" s="261"/>
      <c r="GTX42" s="261"/>
      <c r="GTY42" s="261"/>
      <c r="GTZ42" s="261"/>
      <c r="GUA42" s="261"/>
      <c r="GUB42" s="261"/>
      <c r="GUC42" s="261"/>
      <c r="GUD42" s="261"/>
      <c r="GUE42" s="261"/>
      <c r="GUF42" s="261"/>
      <c r="GUG42" s="261"/>
      <c r="GUH42" s="261"/>
      <c r="GUI42" s="261"/>
      <c r="GUJ42" s="261"/>
      <c r="GUK42" s="261"/>
      <c r="GUL42" s="261"/>
      <c r="GUM42" s="261"/>
      <c r="GUN42" s="261"/>
      <c r="GUO42" s="261"/>
      <c r="GUP42" s="261"/>
      <c r="GUQ42" s="261"/>
      <c r="GUR42" s="261"/>
      <c r="GUS42" s="261"/>
      <c r="GUT42" s="261"/>
      <c r="GUU42" s="261"/>
      <c r="GUV42" s="261"/>
      <c r="GUW42" s="261"/>
      <c r="GUX42" s="261"/>
      <c r="GUY42" s="261"/>
      <c r="GUZ42" s="261"/>
      <c r="GVA42" s="261"/>
      <c r="GVB42" s="261"/>
      <c r="GVC42" s="261"/>
      <c r="GVD42" s="261"/>
      <c r="GVE42" s="261"/>
      <c r="GVF42" s="261"/>
      <c r="GVG42" s="261"/>
      <c r="GVH42" s="261"/>
      <c r="GVI42" s="261"/>
      <c r="GVJ42" s="261"/>
      <c r="GVK42" s="261"/>
      <c r="GVL42" s="261"/>
      <c r="GVM42" s="261"/>
      <c r="GVN42" s="261"/>
      <c r="GVO42" s="261"/>
      <c r="GVP42" s="261"/>
      <c r="GVQ42" s="261"/>
      <c r="GVR42" s="261"/>
      <c r="GVS42" s="261"/>
      <c r="GVT42" s="261"/>
      <c r="GVU42" s="261"/>
      <c r="GVV42" s="261"/>
      <c r="GVW42" s="261"/>
      <c r="GVX42" s="261"/>
      <c r="GVY42" s="261"/>
      <c r="GVZ42" s="261"/>
      <c r="GWA42" s="261"/>
      <c r="GWB42" s="261"/>
      <c r="GWC42" s="261"/>
      <c r="GWD42" s="261"/>
      <c r="GWE42" s="261"/>
      <c r="GWF42" s="261"/>
      <c r="GWG42" s="261"/>
      <c r="GWH42" s="261"/>
      <c r="GWI42" s="261"/>
      <c r="GWJ42" s="261"/>
      <c r="GWK42" s="261"/>
      <c r="GWL42" s="261"/>
      <c r="GWM42" s="261"/>
      <c r="GWN42" s="261"/>
      <c r="GWO42" s="261"/>
      <c r="GWP42" s="261"/>
      <c r="GWQ42" s="261"/>
      <c r="GWR42" s="261"/>
      <c r="GWS42" s="261"/>
      <c r="GWT42" s="261"/>
      <c r="GWU42" s="261"/>
      <c r="GWV42" s="261"/>
      <c r="GWW42" s="261"/>
      <c r="GWX42" s="261"/>
      <c r="GWY42" s="261"/>
      <c r="GWZ42" s="261"/>
      <c r="GXA42" s="261"/>
      <c r="GXB42" s="261"/>
      <c r="GXC42" s="261"/>
      <c r="GXD42" s="261"/>
      <c r="GXE42" s="261"/>
      <c r="GXF42" s="261"/>
      <c r="GXG42" s="261"/>
      <c r="GXH42" s="261"/>
      <c r="GXI42" s="261"/>
      <c r="GXJ42" s="261"/>
      <c r="GXK42" s="261"/>
      <c r="GXL42" s="261"/>
      <c r="GXM42" s="261"/>
      <c r="GXN42" s="261"/>
      <c r="GXO42" s="261"/>
      <c r="GXP42" s="261"/>
      <c r="GXQ42" s="261"/>
      <c r="GXR42" s="261"/>
      <c r="GXS42" s="261"/>
      <c r="GXT42" s="261"/>
      <c r="GXU42" s="261"/>
      <c r="GXV42" s="261"/>
      <c r="GXW42" s="261"/>
      <c r="GXX42" s="261"/>
      <c r="GXY42" s="261"/>
      <c r="GXZ42" s="261"/>
      <c r="GYA42" s="261"/>
      <c r="GYB42" s="261"/>
      <c r="GYC42" s="261"/>
      <c r="GYD42" s="261"/>
      <c r="GYE42" s="261"/>
      <c r="GYF42" s="261"/>
      <c r="GYG42" s="261"/>
      <c r="GYH42" s="261"/>
      <c r="GYI42" s="261"/>
      <c r="GYJ42" s="261"/>
      <c r="GYK42" s="261"/>
      <c r="GYL42" s="261"/>
      <c r="GYM42" s="261"/>
      <c r="GYN42" s="261"/>
      <c r="GYO42" s="261"/>
      <c r="GYP42" s="261"/>
      <c r="GYQ42" s="261"/>
      <c r="GYR42" s="261"/>
      <c r="GYS42" s="261"/>
      <c r="GYT42" s="261"/>
      <c r="GYU42" s="261"/>
      <c r="GYV42" s="261"/>
      <c r="GYW42" s="261"/>
      <c r="GYX42" s="261"/>
      <c r="GYY42" s="261"/>
      <c r="GYZ42" s="261"/>
      <c r="GZA42" s="261"/>
      <c r="GZB42" s="261"/>
      <c r="GZC42" s="261"/>
      <c r="GZD42" s="261"/>
      <c r="GZE42" s="261"/>
      <c r="GZF42" s="261"/>
      <c r="GZG42" s="261"/>
      <c r="GZH42" s="261"/>
      <c r="GZI42" s="261"/>
      <c r="GZJ42" s="261"/>
      <c r="GZK42" s="261"/>
      <c r="GZL42" s="261"/>
      <c r="GZM42" s="261"/>
      <c r="GZN42" s="261"/>
      <c r="GZO42" s="261"/>
      <c r="GZP42" s="261"/>
      <c r="GZQ42" s="261"/>
      <c r="GZR42" s="261"/>
      <c r="GZS42" s="261"/>
      <c r="GZT42" s="261"/>
      <c r="GZU42" s="261"/>
      <c r="GZV42" s="261"/>
      <c r="GZW42" s="261"/>
      <c r="GZX42" s="261"/>
      <c r="GZY42" s="261"/>
      <c r="GZZ42" s="261"/>
      <c r="HAA42" s="261"/>
      <c r="HAB42" s="261"/>
      <c r="HAC42" s="261"/>
      <c r="HAD42" s="261"/>
      <c r="HAE42" s="261"/>
      <c r="HAF42" s="261"/>
      <c r="HAG42" s="261"/>
      <c r="HAH42" s="261"/>
      <c r="HAI42" s="261"/>
      <c r="HAJ42" s="261"/>
      <c r="HAK42" s="261"/>
      <c r="HAL42" s="261"/>
      <c r="HAM42" s="261"/>
      <c r="HAN42" s="261"/>
      <c r="HAO42" s="261"/>
      <c r="HAP42" s="261"/>
      <c r="HAQ42" s="261"/>
      <c r="HAR42" s="261"/>
      <c r="HAS42" s="261"/>
      <c r="HAT42" s="261"/>
      <c r="HAU42" s="261"/>
      <c r="HAV42" s="261"/>
      <c r="HAW42" s="261"/>
      <c r="HAX42" s="261"/>
      <c r="HAY42" s="261"/>
      <c r="HAZ42" s="261"/>
      <c r="HBA42" s="261"/>
      <c r="HBB42" s="261"/>
      <c r="HBC42" s="261"/>
      <c r="HBD42" s="261"/>
      <c r="HBE42" s="261"/>
      <c r="HBF42" s="261"/>
      <c r="HBG42" s="261"/>
      <c r="HBH42" s="261"/>
      <c r="HBI42" s="261"/>
      <c r="HBJ42" s="261"/>
      <c r="HBK42" s="261"/>
      <c r="HBL42" s="261"/>
      <c r="HBM42" s="261"/>
      <c r="HBN42" s="261"/>
      <c r="HBO42" s="261"/>
      <c r="HBP42" s="261"/>
      <c r="HBQ42" s="261"/>
      <c r="HBR42" s="261"/>
      <c r="HBS42" s="261"/>
      <c r="HBT42" s="261"/>
      <c r="HBU42" s="261"/>
      <c r="HBV42" s="261"/>
      <c r="HBW42" s="261"/>
      <c r="HBX42" s="261"/>
      <c r="HBY42" s="261"/>
      <c r="HBZ42" s="261"/>
      <c r="HCA42" s="261"/>
      <c r="HCB42" s="261"/>
      <c r="HCC42" s="261"/>
      <c r="HCD42" s="261"/>
      <c r="HCE42" s="261"/>
      <c r="HCF42" s="261"/>
      <c r="HCG42" s="261"/>
      <c r="HCH42" s="261"/>
      <c r="HCI42" s="261"/>
      <c r="HCJ42" s="261"/>
      <c r="HCK42" s="261"/>
      <c r="HCL42" s="261"/>
      <c r="HCM42" s="261"/>
      <c r="HCN42" s="261"/>
      <c r="HCO42" s="261"/>
      <c r="HCP42" s="261"/>
      <c r="HCQ42" s="261"/>
      <c r="HCR42" s="261"/>
      <c r="HCS42" s="261"/>
      <c r="HCT42" s="261"/>
      <c r="HCU42" s="261"/>
      <c r="HCV42" s="261"/>
      <c r="HCW42" s="261"/>
      <c r="HCX42" s="261"/>
      <c r="HCY42" s="261"/>
      <c r="HCZ42" s="261"/>
      <c r="HDA42" s="261"/>
      <c r="HDB42" s="261"/>
      <c r="HDC42" s="261"/>
      <c r="HDD42" s="261"/>
      <c r="HDE42" s="261"/>
      <c r="HDF42" s="261"/>
      <c r="HDG42" s="261"/>
      <c r="HDH42" s="261"/>
      <c r="HDI42" s="261"/>
      <c r="HDJ42" s="261"/>
      <c r="HDK42" s="261"/>
      <c r="HDL42" s="261"/>
      <c r="HDM42" s="261"/>
      <c r="HDN42" s="261"/>
      <c r="HDO42" s="261"/>
      <c r="HDP42" s="261"/>
      <c r="HDQ42" s="261"/>
      <c r="HDR42" s="261"/>
      <c r="HDS42" s="261"/>
      <c r="HDT42" s="261"/>
      <c r="HDU42" s="261"/>
      <c r="HDV42" s="261"/>
      <c r="HDW42" s="261"/>
      <c r="HDX42" s="261"/>
      <c r="HDY42" s="261"/>
      <c r="HDZ42" s="261"/>
      <c r="HEA42" s="261"/>
      <c r="HEB42" s="261"/>
      <c r="HEC42" s="261"/>
      <c r="HED42" s="261"/>
      <c r="HEE42" s="261"/>
      <c r="HEF42" s="261"/>
      <c r="HEG42" s="261"/>
      <c r="HEH42" s="261"/>
      <c r="HEI42" s="261"/>
      <c r="HEJ42" s="261"/>
      <c r="HEK42" s="261"/>
      <c r="HEL42" s="261"/>
      <c r="HEM42" s="261"/>
      <c r="HEN42" s="261"/>
      <c r="HEO42" s="261"/>
      <c r="HEP42" s="261"/>
      <c r="HEQ42" s="261"/>
      <c r="HER42" s="261"/>
      <c r="HES42" s="261"/>
      <c r="HET42" s="261"/>
      <c r="HEU42" s="261"/>
      <c r="HEV42" s="261"/>
      <c r="HEW42" s="261"/>
      <c r="HEX42" s="261"/>
      <c r="HEY42" s="261"/>
      <c r="HEZ42" s="261"/>
      <c r="HFA42" s="261"/>
      <c r="HFB42" s="261"/>
      <c r="HFC42" s="261"/>
      <c r="HFD42" s="261"/>
      <c r="HFE42" s="261"/>
      <c r="HFF42" s="261"/>
      <c r="HFG42" s="261"/>
      <c r="HFH42" s="261"/>
      <c r="HFI42" s="261"/>
      <c r="HFJ42" s="261"/>
      <c r="HFK42" s="261"/>
      <c r="HFL42" s="261"/>
      <c r="HFM42" s="261"/>
      <c r="HFN42" s="261"/>
      <c r="HFO42" s="261"/>
      <c r="HFP42" s="261"/>
      <c r="HFQ42" s="261"/>
      <c r="HFR42" s="261"/>
      <c r="HFS42" s="261"/>
      <c r="HFT42" s="261"/>
      <c r="HFU42" s="261"/>
      <c r="HFV42" s="261"/>
      <c r="HFW42" s="261"/>
      <c r="HFX42" s="261"/>
      <c r="HFY42" s="261"/>
      <c r="HFZ42" s="261"/>
      <c r="HGA42" s="261"/>
      <c r="HGB42" s="261"/>
      <c r="HGC42" s="261"/>
      <c r="HGD42" s="261"/>
      <c r="HGE42" s="261"/>
      <c r="HGF42" s="261"/>
      <c r="HGG42" s="261"/>
      <c r="HGH42" s="261"/>
      <c r="HGI42" s="261"/>
      <c r="HGJ42" s="261"/>
      <c r="HGK42" s="261"/>
      <c r="HGL42" s="261"/>
      <c r="HGM42" s="261"/>
      <c r="HGN42" s="261"/>
      <c r="HGO42" s="261"/>
      <c r="HGP42" s="261"/>
      <c r="HGQ42" s="261"/>
      <c r="HGR42" s="261"/>
      <c r="HGS42" s="261"/>
      <c r="HGT42" s="261"/>
      <c r="HGU42" s="261"/>
      <c r="HGV42" s="261"/>
      <c r="HGW42" s="261"/>
      <c r="HGX42" s="261"/>
      <c r="HGY42" s="261"/>
      <c r="HGZ42" s="261"/>
      <c r="HHA42" s="261"/>
      <c r="HHB42" s="261"/>
      <c r="HHC42" s="261"/>
      <c r="HHD42" s="261"/>
      <c r="HHE42" s="261"/>
      <c r="HHF42" s="261"/>
      <c r="HHG42" s="261"/>
      <c r="HHH42" s="261"/>
      <c r="HHI42" s="261"/>
      <c r="HHJ42" s="261"/>
      <c r="HHK42" s="261"/>
      <c r="HHL42" s="261"/>
      <c r="HHM42" s="261"/>
      <c r="HHN42" s="261"/>
      <c r="HHO42" s="261"/>
      <c r="HHP42" s="261"/>
      <c r="HHQ42" s="261"/>
      <c r="HHR42" s="261"/>
      <c r="HHS42" s="261"/>
      <c r="HHT42" s="261"/>
      <c r="HHU42" s="261"/>
      <c r="HHV42" s="261"/>
      <c r="HHW42" s="261"/>
      <c r="HHX42" s="261"/>
      <c r="HHY42" s="261"/>
      <c r="HHZ42" s="261"/>
      <c r="HIA42" s="261"/>
      <c r="HIB42" s="261"/>
      <c r="HIC42" s="261"/>
      <c r="HID42" s="261"/>
      <c r="HIE42" s="261"/>
      <c r="HIF42" s="261"/>
      <c r="HIG42" s="261"/>
      <c r="HIH42" s="261"/>
      <c r="HII42" s="261"/>
      <c r="HIJ42" s="261"/>
      <c r="HIK42" s="261"/>
      <c r="HIL42" s="261"/>
      <c r="HIM42" s="261"/>
      <c r="HIN42" s="261"/>
      <c r="HIO42" s="261"/>
      <c r="HIP42" s="261"/>
      <c r="HIQ42" s="261"/>
      <c r="HIR42" s="261"/>
      <c r="HIS42" s="261"/>
      <c r="HIT42" s="261"/>
      <c r="HIU42" s="261"/>
      <c r="HIV42" s="261"/>
      <c r="HIW42" s="261"/>
      <c r="HIX42" s="261"/>
      <c r="HIY42" s="261"/>
      <c r="HIZ42" s="261"/>
      <c r="HJA42" s="261"/>
      <c r="HJB42" s="261"/>
      <c r="HJC42" s="261"/>
      <c r="HJD42" s="261"/>
      <c r="HJE42" s="261"/>
      <c r="HJF42" s="261"/>
      <c r="HJG42" s="261"/>
      <c r="HJH42" s="261"/>
      <c r="HJI42" s="261"/>
      <c r="HJJ42" s="261"/>
      <c r="HJK42" s="261"/>
      <c r="HJL42" s="261"/>
      <c r="HJM42" s="261"/>
      <c r="HJN42" s="261"/>
      <c r="HJO42" s="261"/>
      <c r="HJP42" s="261"/>
      <c r="HJQ42" s="261"/>
      <c r="HJR42" s="261"/>
      <c r="HJS42" s="261"/>
      <c r="HJT42" s="261"/>
      <c r="HJU42" s="261"/>
      <c r="HJV42" s="261"/>
      <c r="HJW42" s="261"/>
      <c r="HJX42" s="261"/>
      <c r="HJY42" s="261"/>
      <c r="HJZ42" s="261"/>
      <c r="HKA42" s="261"/>
      <c r="HKB42" s="261"/>
      <c r="HKC42" s="261"/>
      <c r="HKD42" s="261"/>
      <c r="HKE42" s="261"/>
      <c r="HKF42" s="261"/>
      <c r="HKG42" s="261"/>
      <c r="HKH42" s="261"/>
      <c r="HKI42" s="261"/>
      <c r="HKJ42" s="261"/>
      <c r="HKK42" s="261"/>
      <c r="HKL42" s="261"/>
      <c r="HKM42" s="261"/>
      <c r="HKN42" s="261"/>
      <c r="HKO42" s="261"/>
      <c r="HKP42" s="261"/>
      <c r="HKQ42" s="261"/>
      <c r="HKR42" s="261"/>
      <c r="HKS42" s="261"/>
      <c r="HKT42" s="261"/>
      <c r="HKU42" s="261"/>
      <c r="HKV42" s="261"/>
      <c r="HKW42" s="261"/>
      <c r="HKX42" s="261"/>
      <c r="HKY42" s="261"/>
      <c r="HKZ42" s="261"/>
      <c r="HLA42" s="261"/>
      <c r="HLB42" s="261"/>
      <c r="HLC42" s="261"/>
      <c r="HLD42" s="261"/>
      <c r="HLE42" s="261"/>
      <c r="HLF42" s="261"/>
      <c r="HLG42" s="261"/>
      <c r="HLH42" s="261"/>
      <c r="HLI42" s="261"/>
      <c r="HLJ42" s="261"/>
      <c r="HLK42" s="261"/>
      <c r="HLL42" s="261"/>
      <c r="HLM42" s="261"/>
      <c r="HLN42" s="261"/>
      <c r="HLO42" s="261"/>
      <c r="HLP42" s="261"/>
      <c r="HLQ42" s="261"/>
      <c r="HLR42" s="261"/>
      <c r="HLS42" s="261"/>
      <c r="HLT42" s="261"/>
      <c r="HLU42" s="261"/>
      <c r="HLV42" s="261"/>
      <c r="HLW42" s="261"/>
      <c r="HLX42" s="261"/>
      <c r="HLY42" s="261"/>
      <c r="HLZ42" s="261"/>
      <c r="HMA42" s="261"/>
      <c r="HMB42" s="261"/>
      <c r="HMC42" s="261"/>
      <c r="HMD42" s="261"/>
      <c r="HME42" s="261"/>
      <c r="HMF42" s="261"/>
      <c r="HMG42" s="261"/>
      <c r="HMH42" s="261"/>
      <c r="HMI42" s="261"/>
      <c r="HMJ42" s="261"/>
      <c r="HMK42" s="261"/>
      <c r="HML42" s="261"/>
      <c r="HMM42" s="261"/>
      <c r="HMN42" s="261"/>
      <c r="HMO42" s="261"/>
      <c r="HMP42" s="261"/>
      <c r="HMQ42" s="261"/>
      <c r="HMR42" s="261"/>
      <c r="HMS42" s="261"/>
      <c r="HMT42" s="261"/>
      <c r="HMU42" s="261"/>
      <c r="HMV42" s="261"/>
      <c r="HMW42" s="261"/>
      <c r="HMX42" s="261"/>
      <c r="HMY42" s="261"/>
      <c r="HMZ42" s="261"/>
      <c r="HNA42" s="261"/>
      <c r="HNB42" s="261"/>
      <c r="HNC42" s="261"/>
      <c r="HND42" s="261"/>
      <c r="HNE42" s="261"/>
      <c r="HNF42" s="261"/>
      <c r="HNG42" s="261"/>
      <c r="HNH42" s="261"/>
      <c r="HNI42" s="261"/>
      <c r="HNJ42" s="261"/>
      <c r="HNK42" s="261"/>
      <c r="HNL42" s="261"/>
      <c r="HNM42" s="261"/>
      <c r="HNN42" s="261"/>
      <c r="HNO42" s="261"/>
      <c r="HNP42" s="261"/>
      <c r="HNQ42" s="261"/>
      <c r="HNR42" s="261"/>
      <c r="HNS42" s="261"/>
      <c r="HNT42" s="261"/>
      <c r="HNU42" s="261"/>
      <c r="HNV42" s="261"/>
      <c r="HNW42" s="261"/>
      <c r="HNX42" s="261"/>
      <c r="HNY42" s="261"/>
      <c r="HNZ42" s="261"/>
      <c r="HOA42" s="261"/>
      <c r="HOB42" s="261"/>
      <c r="HOC42" s="261"/>
      <c r="HOD42" s="261"/>
      <c r="HOE42" s="261"/>
      <c r="HOF42" s="261"/>
      <c r="HOG42" s="261"/>
      <c r="HOH42" s="261"/>
      <c r="HOI42" s="261"/>
      <c r="HOJ42" s="261"/>
      <c r="HOK42" s="261"/>
      <c r="HOL42" s="261"/>
      <c r="HOM42" s="261"/>
      <c r="HON42" s="261"/>
      <c r="HOO42" s="261"/>
      <c r="HOP42" s="261"/>
      <c r="HOQ42" s="261"/>
      <c r="HOR42" s="261"/>
      <c r="HOS42" s="261"/>
      <c r="HOT42" s="261"/>
      <c r="HOU42" s="261"/>
      <c r="HOV42" s="261"/>
      <c r="HOW42" s="261"/>
      <c r="HOX42" s="261"/>
      <c r="HOY42" s="261"/>
      <c r="HOZ42" s="261"/>
      <c r="HPA42" s="261"/>
      <c r="HPB42" s="261"/>
      <c r="HPC42" s="261"/>
      <c r="HPD42" s="261"/>
      <c r="HPE42" s="261"/>
      <c r="HPF42" s="261"/>
      <c r="HPG42" s="261"/>
      <c r="HPH42" s="261"/>
      <c r="HPI42" s="261"/>
      <c r="HPJ42" s="261"/>
      <c r="HPK42" s="261"/>
      <c r="HPL42" s="261"/>
      <c r="HPM42" s="261"/>
      <c r="HPN42" s="261"/>
      <c r="HPO42" s="261"/>
      <c r="HPP42" s="261"/>
      <c r="HPQ42" s="261"/>
      <c r="HPR42" s="261"/>
      <c r="HPS42" s="261"/>
      <c r="HPT42" s="261"/>
      <c r="HPU42" s="261"/>
      <c r="HPV42" s="261"/>
      <c r="HPW42" s="261"/>
      <c r="HPX42" s="261"/>
      <c r="HPY42" s="261"/>
      <c r="HPZ42" s="261"/>
      <c r="HQA42" s="261"/>
      <c r="HQB42" s="261"/>
      <c r="HQC42" s="261"/>
      <c r="HQD42" s="261"/>
      <c r="HQE42" s="261"/>
      <c r="HQF42" s="261"/>
      <c r="HQG42" s="261"/>
      <c r="HQH42" s="261"/>
      <c r="HQI42" s="261"/>
      <c r="HQJ42" s="261"/>
      <c r="HQK42" s="261"/>
      <c r="HQL42" s="261"/>
      <c r="HQM42" s="261"/>
      <c r="HQN42" s="261"/>
      <c r="HQO42" s="261"/>
      <c r="HQP42" s="261"/>
      <c r="HQQ42" s="261"/>
      <c r="HQR42" s="261"/>
      <c r="HQS42" s="261"/>
      <c r="HQT42" s="261"/>
      <c r="HQU42" s="261"/>
      <c r="HQV42" s="261"/>
      <c r="HQW42" s="261"/>
      <c r="HQX42" s="261"/>
      <c r="HQY42" s="261"/>
      <c r="HQZ42" s="261"/>
      <c r="HRA42" s="261"/>
      <c r="HRB42" s="261"/>
      <c r="HRC42" s="261"/>
      <c r="HRD42" s="261"/>
      <c r="HRE42" s="261"/>
      <c r="HRF42" s="261"/>
      <c r="HRG42" s="261"/>
      <c r="HRH42" s="261"/>
      <c r="HRI42" s="261"/>
      <c r="HRJ42" s="261"/>
      <c r="HRK42" s="261"/>
      <c r="HRL42" s="261"/>
      <c r="HRM42" s="261"/>
      <c r="HRN42" s="261"/>
      <c r="HRO42" s="261"/>
      <c r="HRP42" s="261"/>
      <c r="HRQ42" s="261"/>
      <c r="HRR42" s="261"/>
      <c r="HRS42" s="261"/>
      <c r="HRT42" s="261"/>
      <c r="HRU42" s="261"/>
      <c r="HRV42" s="261"/>
      <c r="HRW42" s="261"/>
      <c r="HRX42" s="261"/>
      <c r="HRY42" s="261"/>
      <c r="HRZ42" s="261"/>
      <c r="HSA42" s="261"/>
      <c r="HSB42" s="261"/>
      <c r="HSC42" s="261"/>
      <c r="HSD42" s="261"/>
      <c r="HSE42" s="261"/>
      <c r="HSF42" s="261"/>
      <c r="HSG42" s="261"/>
      <c r="HSH42" s="261"/>
      <c r="HSI42" s="261"/>
      <c r="HSJ42" s="261"/>
      <c r="HSK42" s="261"/>
      <c r="HSL42" s="261"/>
      <c r="HSM42" s="261"/>
      <c r="HSN42" s="261"/>
      <c r="HSO42" s="261"/>
      <c r="HSP42" s="261"/>
      <c r="HSQ42" s="261"/>
      <c r="HSR42" s="261"/>
      <c r="HSS42" s="261"/>
      <c r="HST42" s="261"/>
      <c r="HSU42" s="261"/>
      <c r="HSV42" s="261"/>
      <c r="HSW42" s="261"/>
      <c r="HSX42" s="261"/>
      <c r="HSY42" s="261"/>
      <c r="HSZ42" s="261"/>
      <c r="HTA42" s="261"/>
      <c r="HTB42" s="261"/>
      <c r="HTC42" s="261"/>
      <c r="HTD42" s="261"/>
      <c r="HTE42" s="261"/>
      <c r="HTF42" s="261"/>
      <c r="HTG42" s="261"/>
      <c r="HTH42" s="261"/>
      <c r="HTI42" s="261"/>
      <c r="HTJ42" s="261"/>
      <c r="HTK42" s="261"/>
      <c r="HTL42" s="261"/>
      <c r="HTM42" s="261"/>
      <c r="HTN42" s="261"/>
      <c r="HTO42" s="261"/>
      <c r="HTP42" s="261"/>
      <c r="HTQ42" s="261"/>
      <c r="HTR42" s="261"/>
      <c r="HTS42" s="261"/>
      <c r="HTT42" s="261"/>
      <c r="HTU42" s="261"/>
      <c r="HTV42" s="261"/>
      <c r="HTW42" s="261"/>
      <c r="HTX42" s="261"/>
      <c r="HTY42" s="261"/>
      <c r="HTZ42" s="261"/>
      <c r="HUA42" s="261"/>
      <c r="HUB42" s="261"/>
      <c r="HUC42" s="261"/>
      <c r="HUD42" s="261"/>
      <c r="HUE42" s="261"/>
      <c r="HUF42" s="261"/>
      <c r="HUG42" s="261"/>
      <c r="HUH42" s="261"/>
      <c r="HUI42" s="261"/>
      <c r="HUJ42" s="261"/>
      <c r="HUK42" s="261"/>
      <c r="HUL42" s="261"/>
      <c r="HUM42" s="261"/>
      <c r="HUN42" s="261"/>
      <c r="HUO42" s="261"/>
      <c r="HUP42" s="261"/>
      <c r="HUQ42" s="261"/>
      <c r="HUR42" s="261"/>
      <c r="HUS42" s="261"/>
      <c r="HUT42" s="261"/>
      <c r="HUU42" s="261"/>
      <c r="HUV42" s="261"/>
      <c r="HUW42" s="261"/>
      <c r="HUX42" s="261"/>
      <c r="HUY42" s="261"/>
      <c r="HUZ42" s="261"/>
      <c r="HVA42" s="261"/>
      <c r="HVB42" s="261"/>
      <c r="HVC42" s="261"/>
      <c r="HVD42" s="261"/>
      <c r="HVE42" s="261"/>
      <c r="HVF42" s="261"/>
      <c r="HVG42" s="261"/>
      <c r="HVH42" s="261"/>
      <c r="HVI42" s="261"/>
      <c r="HVJ42" s="261"/>
      <c r="HVK42" s="261"/>
      <c r="HVL42" s="261"/>
      <c r="HVM42" s="261"/>
      <c r="HVN42" s="261"/>
      <c r="HVO42" s="261"/>
      <c r="HVP42" s="261"/>
      <c r="HVQ42" s="261"/>
      <c r="HVR42" s="261"/>
      <c r="HVS42" s="261"/>
      <c r="HVT42" s="261"/>
      <c r="HVU42" s="261"/>
      <c r="HVV42" s="261"/>
      <c r="HVW42" s="261"/>
      <c r="HVX42" s="261"/>
      <c r="HVY42" s="261"/>
      <c r="HVZ42" s="261"/>
      <c r="HWA42" s="261"/>
      <c r="HWB42" s="261"/>
      <c r="HWC42" s="261"/>
      <c r="HWD42" s="261"/>
      <c r="HWE42" s="261"/>
      <c r="HWF42" s="261"/>
      <c r="HWG42" s="261"/>
      <c r="HWH42" s="261"/>
      <c r="HWI42" s="261"/>
      <c r="HWJ42" s="261"/>
      <c r="HWK42" s="261"/>
      <c r="HWL42" s="261"/>
      <c r="HWM42" s="261"/>
      <c r="HWN42" s="261"/>
      <c r="HWO42" s="261"/>
      <c r="HWP42" s="261"/>
      <c r="HWQ42" s="261"/>
      <c r="HWR42" s="261"/>
      <c r="HWS42" s="261"/>
      <c r="HWT42" s="261"/>
      <c r="HWU42" s="261"/>
      <c r="HWV42" s="261"/>
      <c r="HWW42" s="261"/>
      <c r="HWX42" s="261"/>
      <c r="HWY42" s="261"/>
      <c r="HWZ42" s="261"/>
      <c r="HXA42" s="261"/>
      <c r="HXB42" s="261"/>
      <c r="HXC42" s="261"/>
      <c r="HXD42" s="261"/>
      <c r="HXE42" s="261"/>
      <c r="HXF42" s="261"/>
      <c r="HXG42" s="261"/>
      <c r="HXH42" s="261"/>
      <c r="HXI42" s="261"/>
      <c r="HXJ42" s="261"/>
      <c r="HXK42" s="261"/>
      <c r="HXL42" s="261"/>
      <c r="HXM42" s="261"/>
      <c r="HXN42" s="261"/>
      <c r="HXO42" s="261"/>
      <c r="HXP42" s="261"/>
      <c r="HXQ42" s="261"/>
      <c r="HXR42" s="261"/>
      <c r="HXS42" s="261"/>
      <c r="HXT42" s="261"/>
      <c r="HXU42" s="261"/>
      <c r="HXV42" s="261"/>
      <c r="HXW42" s="261"/>
      <c r="HXX42" s="261"/>
      <c r="HXY42" s="261"/>
      <c r="HXZ42" s="261"/>
      <c r="HYA42" s="261"/>
      <c r="HYB42" s="261"/>
      <c r="HYC42" s="261"/>
      <c r="HYD42" s="261"/>
      <c r="HYE42" s="261"/>
      <c r="HYF42" s="261"/>
      <c r="HYG42" s="261"/>
      <c r="HYH42" s="261"/>
      <c r="HYI42" s="261"/>
      <c r="HYJ42" s="261"/>
      <c r="HYK42" s="261"/>
      <c r="HYL42" s="261"/>
      <c r="HYM42" s="261"/>
      <c r="HYN42" s="261"/>
      <c r="HYO42" s="261"/>
      <c r="HYP42" s="261"/>
      <c r="HYQ42" s="261"/>
      <c r="HYR42" s="261"/>
      <c r="HYS42" s="261"/>
      <c r="HYT42" s="261"/>
      <c r="HYU42" s="261"/>
      <c r="HYV42" s="261"/>
      <c r="HYW42" s="261"/>
      <c r="HYX42" s="261"/>
      <c r="HYY42" s="261"/>
      <c r="HYZ42" s="261"/>
      <c r="HZA42" s="261"/>
      <c r="HZB42" s="261"/>
      <c r="HZC42" s="261"/>
      <c r="HZD42" s="261"/>
      <c r="HZE42" s="261"/>
      <c r="HZF42" s="261"/>
      <c r="HZG42" s="261"/>
      <c r="HZH42" s="261"/>
      <c r="HZI42" s="261"/>
      <c r="HZJ42" s="261"/>
      <c r="HZK42" s="261"/>
      <c r="HZL42" s="261"/>
      <c r="HZM42" s="261"/>
      <c r="HZN42" s="261"/>
      <c r="HZO42" s="261"/>
      <c r="HZP42" s="261"/>
      <c r="HZQ42" s="261"/>
      <c r="HZR42" s="261"/>
      <c r="HZS42" s="261"/>
      <c r="HZT42" s="261"/>
      <c r="HZU42" s="261"/>
      <c r="HZV42" s="261"/>
      <c r="HZW42" s="261"/>
      <c r="HZX42" s="261"/>
      <c r="HZY42" s="261"/>
      <c r="HZZ42" s="261"/>
      <c r="IAA42" s="261"/>
      <c r="IAB42" s="261"/>
      <c r="IAC42" s="261"/>
      <c r="IAD42" s="261"/>
      <c r="IAE42" s="261"/>
      <c r="IAF42" s="261"/>
      <c r="IAG42" s="261"/>
      <c r="IAH42" s="261"/>
      <c r="IAI42" s="261"/>
      <c r="IAJ42" s="261"/>
      <c r="IAK42" s="261"/>
      <c r="IAL42" s="261"/>
      <c r="IAM42" s="261"/>
      <c r="IAN42" s="261"/>
      <c r="IAO42" s="261"/>
      <c r="IAP42" s="261"/>
      <c r="IAQ42" s="261"/>
      <c r="IAR42" s="261"/>
      <c r="IAS42" s="261"/>
      <c r="IAT42" s="261"/>
      <c r="IAU42" s="261"/>
      <c r="IAV42" s="261"/>
      <c r="IAW42" s="261"/>
      <c r="IAX42" s="261"/>
      <c r="IAY42" s="261"/>
      <c r="IAZ42" s="261"/>
      <c r="IBA42" s="261"/>
      <c r="IBB42" s="261"/>
      <c r="IBC42" s="261"/>
      <c r="IBD42" s="261"/>
      <c r="IBE42" s="261"/>
      <c r="IBF42" s="261"/>
      <c r="IBG42" s="261"/>
      <c r="IBH42" s="261"/>
      <c r="IBI42" s="261"/>
      <c r="IBJ42" s="261"/>
      <c r="IBK42" s="261"/>
      <c r="IBL42" s="261"/>
      <c r="IBM42" s="261"/>
      <c r="IBN42" s="261"/>
      <c r="IBO42" s="261"/>
      <c r="IBP42" s="261"/>
      <c r="IBQ42" s="261"/>
      <c r="IBR42" s="261"/>
      <c r="IBS42" s="261"/>
      <c r="IBT42" s="261"/>
      <c r="IBU42" s="261"/>
      <c r="IBV42" s="261"/>
      <c r="IBW42" s="261"/>
      <c r="IBX42" s="261"/>
      <c r="IBY42" s="261"/>
      <c r="IBZ42" s="261"/>
      <c r="ICA42" s="261"/>
      <c r="ICB42" s="261"/>
      <c r="ICC42" s="261"/>
      <c r="ICD42" s="261"/>
      <c r="ICE42" s="261"/>
      <c r="ICF42" s="261"/>
      <c r="ICG42" s="261"/>
      <c r="ICH42" s="261"/>
      <c r="ICI42" s="261"/>
      <c r="ICJ42" s="261"/>
      <c r="ICK42" s="261"/>
      <c r="ICL42" s="261"/>
      <c r="ICM42" s="261"/>
      <c r="ICN42" s="261"/>
      <c r="ICO42" s="261"/>
      <c r="ICP42" s="261"/>
      <c r="ICQ42" s="261"/>
      <c r="ICR42" s="261"/>
      <c r="ICS42" s="261"/>
      <c r="ICT42" s="261"/>
      <c r="ICU42" s="261"/>
      <c r="ICV42" s="261"/>
      <c r="ICW42" s="261"/>
      <c r="ICX42" s="261"/>
      <c r="ICY42" s="261"/>
      <c r="ICZ42" s="261"/>
      <c r="IDA42" s="261"/>
      <c r="IDB42" s="261"/>
      <c r="IDC42" s="261"/>
      <c r="IDD42" s="261"/>
      <c r="IDE42" s="261"/>
      <c r="IDF42" s="261"/>
      <c r="IDG42" s="261"/>
      <c r="IDH42" s="261"/>
      <c r="IDI42" s="261"/>
      <c r="IDJ42" s="261"/>
      <c r="IDK42" s="261"/>
      <c r="IDL42" s="261"/>
      <c r="IDM42" s="261"/>
      <c r="IDN42" s="261"/>
      <c r="IDO42" s="261"/>
      <c r="IDP42" s="261"/>
      <c r="IDQ42" s="261"/>
      <c r="IDR42" s="261"/>
      <c r="IDS42" s="261"/>
      <c r="IDT42" s="261"/>
      <c r="IDU42" s="261"/>
      <c r="IDV42" s="261"/>
      <c r="IDW42" s="261"/>
      <c r="IDX42" s="261"/>
      <c r="IDY42" s="261"/>
      <c r="IDZ42" s="261"/>
      <c r="IEA42" s="261"/>
      <c r="IEB42" s="261"/>
      <c r="IEC42" s="261"/>
      <c r="IED42" s="261"/>
      <c r="IEE42" s="261"/>
      <c r="IEF42" s="261"/>
      <c r="IEG42" s="261"/>
      <c r="IEH42" s="261"/>
      <c r="IEI42" s="261"/>
      <c r="IEJ42" s="261"/>
      <c r="IEK42" s="261"/>
      <c r="IEL42" s="261"/>
      <c r="IEM42" s="261"/>
      <c r="IEN42" s="261"/>
      <c r="IEO42" s="261"/>
      <c r="IEP42" s="261"/>
      <c r="IEQ42" s="261"/>
      <c r="IER42" s="261"/>
      <c r="IES42" s="261"/>
      <c r="IET42" s="261"/>
      <c r="IEU42" s="261"/>
      <c r="IEV42" s="261"/>
      <c r="IEW42" s="261"/>
      <c r="IEX42" s="261"/>
      <c r="IEY42" s="261"/>
      <c r="IEZ42" s="261"/>
      <c r="IFA42" s="261"/>
      <c r="IFB42" s="261"/>
      <c r="IFC42" s="261"/>
      <c r="IFD42" s="261"/>
      <c r="IFE42" s="261"/>
      <c r="IFF42" s="261"/>
      <c r="IFG42" s="261"/>
      <c r="IFH42" s="261"/>
      <c r="IFI42" s="261"/>
      <c r="IFJ42" s="261"/>
      <c r="IFK42" s="261"/>
      <c r="IFL42" s="261"/>
      <c r="IFM42" s="261"/>
      <c r="IFN42" s="261"/>
      <c r="IFO42" s="261"/>
      <c r="IFP42" s="261"/>
      <c r="IFQ42" s="261"/>
      <c r="IFR42" s="261"/>
      <c r="IFS42" s="261"/>
      <c r="IFT42" s="261"/>
      <c r="IFU42" s="261"/>
      <c r="IFV42" s="261"/>
      <c r="IFW42" s="261"/>
      <c r="IFX42" s="261"/>
      <c r="IFY42" s="261"/>
      <c r="IFZ42" s="261"/>
      <c r="IGA42" s="261"/>
      <c r="IGB42" s="261"/>
      <c r="IGC42" s="261"/>
      <c r="IGD42" s="261"/>
      <c r="IGE42" s="261"/>
      <c r="IGF42" s="261"/>
      <c r="IGG42" s="261"/>
      <c r="IGH42" s="261"/>
      <c r="IGI42" s="261"/>
      <c r="IGJ42" s="261"/>
      <c r="IGK42" s="261"/>
      <c r="IGL42" s="261"/>
      <c r="IGM42" s="261"/>
      <c r="IGN42" s="261"/>
      <c r="IGO42" s="261"/>
      <c r="IGP42" s="261"/>
      <c r="IGQ42" s="261"/>
      <c r="IGR42" s="261"/>
      <c r="IGS42" s="261"/>
      <c r="IGT42" s="261"/>
      <c r="IGU42" s="261"/>
      <c r="IGV42" s="261"/>
      <c r="IGW42" s="261"/>
      <c r="IGX42" s="261"/>
      <c r="IGY42" s="261"/>
      <c r="IGZ42" s="261"/>
      <c r="IHA42" s="261"/>
      <c r="IHB42" s="261"/>
      <c r="IHC42" s="261"/>
      <c r="IHD42" s="261"/>
      <c r="IHE42" s="261"/>
      <c r="IHF42" s="261"/>
      <c r="IHG42" s="261"/>
      <c r="IHH42" s="261"/>
      <c r="IHI42" s="261"/>
      <c r="IHJ42" s="261"/>
      <c r="IHK42" s="261"/>
      <c r="IHL42" s="261"/>
      <c r="IHM42" s="261"/>
      <c r="IHN42" s="261"/>
      <c r="IHO42" s="261"/>
      <c r="IHP42" s="261"/>
      <c r="IHQ42" s="261"/>
      <c r="IHR42" s="261"/>
      <c r="IHS42" s="261"/>
      <c r="IHT42" s="261"/>
      <c r="IHU42" s="261"/>
      <c r="IHV42" s="261"/>
      <c r="IHW42" s="261"/>
      <c r="IHX42" s="261"/>
      <c r="IHY42" s="261"/>
      <c r="IHZ42" s="261"/>
      <c r="IIA42" s="261"/>
      <c r="IIB42" s="261"/>
      <c r="IIC42" s="261"/>
      <c r="IID42" s="261"/>
      <c r="IIE42" s="261"/>
      <c r="IIF42" s="261"/>
      <c r="IIG42" s="261"/>
      <c r="IIH42" s="261"/>
      <c r="III42" s="261"/>
      <c r="IIJ42" s="261"/>
      <c r="IIK42" s="261"/>
      <c r="IIL42" s="261"/>
      <c r="IIM42" s="261"/>
      <c r="IIN42" s="261"/>
      <c r="IIO42" s="261"/>
      <c r="IIP42" s="261"/>
      <c r="IIQ42" s="261"/>
      <c r="IIR42" s="261"/>
      <c r="IIS42" s="261"/>
      <c r="IIT42" s="261"/>
      <c r="IIU42" s="261"/>
      <c r="IIV42" s="261"/>
      <c r="IIW42" s="261"/>
      <c r="IIX42" s="261"/>
      <c r="IIY42" s="261"/>
      <c r="IIZ42" s="261"/>
      <c r="IJA42" s="261"/>
      <c r="IJB42" s="261"/>
      <c r="IJC42" s="261"/>
      <c r="IJD42" s="261"/>
      <c r="IJE42" s="261"/>
      <c r="IJF42" s="261"/>
      <c r="IJG42" s="261"/>
      <c r="IJH42" s="261"/>
      <c r="IJI42" s="261"/>
      <c r="IJJ42" s="261"/>
      <c r="IJK42" s="261"/>
      <c r="IJL42" s="261"/>
      <c r="IJM42" s="261"/>
      <c r="IJN42" s="261"/>
      <c r="IJO42" s="261"/>
      <c r="IJP42" s="261"/>
      <c r="IJQ42" s="261"/>
      <c r="IJR42" s="261"/>
      <c r="IJS42" s="261"/>
      <c r="IJT42" s="261"/>
      <c r="IJU42" s="261"/>
      <c r="IJV42" s="261"/>
      <c r="IJW42" s="261"/>
      <c r="IJX42" s="261"/>
      <c r="IJY42" s="261"/>
      <c r="IJZ42" s="261"/>
      <c r="IKA42" s="261"/>
      <c r="IKB42" s="261"/>
      <c r="IKC42" s="261"/>
      <c r="IKD42" s="261"/>
      <c r="IKE42" s="261"/>
      <c r="IKF42" s="261"/>
      <c r="IKG42" s="261"/>
      <c r="IKH42" s="261"/>
      <c r="IKI42" s="261"/>
      <c r="IKJ42" s="261"/>
      <c r="IKK42" s="261"/>
      <c r="IKL42" s="261"/>
      <c r="IKM42" s="261"/>
      <c r="IKN42" s="261"/>
      <c r="IKO42" s="261"/>
      <c r="IKP42" s="261"/>
      <c r="IKQ42" s="261"/>
      <c r="IKR42" s="261"/>
      <c r="IKS42" s="261"/>
      <c r="IKT42" s="261"/>
      <c r="IKU42" s="261"/>
      <c r="IKV42" s="261"/>
      <c r="IKW42" s="261"/>
      <c r="IKX42" s="261"/>
      <c r="IKY42" s="261"/>
      <c r="IKZ42" s="261"/>
      <c r="ILA42" s="261"/>
      <c r="ILB42" s="261"/>
      <c r="ILC42" s="261"/>
      <c r="ILD42" s="261"/>
      <c r="ILE42" s="261"/>
      <c r="ILF42" s="261"/>
      <c r="ILG42" s="261"/>
      <c r="ILH42" s="261"/>
      <c r="ILI42" s="261"/>
      <c r="ILJ42" s="261"/>
      <c r="ILK42" s="261"/>
      <c r="ILL42" s="261"/>
      <c r="ILM42" s="261"/>
      <c r="ILN42" s="261"/>
      <c r="ILO42" s="261"/>
      <c r="ILP42" s="261"/>
      <c r="ILQ42" s="261"/>
      <c r="ILR42" s="261"/>
      <c r="ILS42" s="261"/>
      <c r="ILT42" s="261"/>
      <c r="ILU42" s="261"/>
      <c r="ILV42" s="261"/>
      <c r="ILW42" s="261"/>
      <c r="ILX42" s="261"/>
      <c r="ILY42" s="261"/>
      <c r="ILZ42" s="261"/>
      <c r="IMA42" s="261"/>
      <c r="IMB42" s="261"/>
      <c r="IMC42" s="261"/>
      <c r="IMD42" s="261"/>
      <c r="IME42" s="261"/>
      <c r="IMF42" s="261"/>
      <c r="IMG42" s="261"/>
      <c r="IMH42" s="261"/>
      <c r="IMI42" s="261"/>
      <c r="IMJ42" s="261"/>
      <c r="IMK42" s="261"/>
      <c r="IML42" s="261"/>
      <c r="IMM42" s="261"/>
      <c r="IMN42" s="261"/>
      <c r="IMO42" s="261"/>
      <c r="IMP42" s="261"/>
      <c r="IMQ42" s="261"/>
      <c r="IMR42" s="261"/>
      <c r="IMS42" s="261"/>
      <c r="IMT42" s="261"/>
      <c r="IMU42" s="261"/>
      <c r="IMV42" s="261"/>
      <c r="IMW42" s="261"/>
      <c r="IMX42" s="261"/>
      <c r="IMY42" s="261"/>
      <c r="IMZ42" s="261"/>
      <c r="INA42" s="261"/>
      <c r="INB42" s="261"/>
      <c r="INC42" s="261"/>
      <c r="IND42" s="261"/>
      <c r="INE42" s="261"/>
      <c r="INF42" s="261"/>
      <c r="ING42" s="261"/>
      <c r="INH42" s="261"/>
      <c r="INI42" s="261"/>
      <c r="INJ42" s="261"/>
      <c r="INK42" s="261"/>
      <c r="INL42" s="261"/>
      <c r="INM42" s="261"/>
      <c r="INN42" s="261"/>
      <c r="INO42" s="261"/>
      <c r="INP42" s="261"/>
      <c r="INQ42" s="261"/>
      <c r="INR42" s="261"/>
      <c r="INS42" s="261"/>
      <c r="INT42" s="261"/>
      <c r="INU42" s="261"/>
      <c r="INV42" s="261"/>
      <c r="INW42" s="261"/>
      <c r="INX42" s="261"/>
      <c r="INY42" s="261"/>
      <c r="INZ42" s="261"/>
      <c r="IOA42" s="261"/>
      <c r="IOB42" s="261"/>
      <c r="IOC42" s="261"/>
      <c r="IOD42" s="261"/>
      <c r="IOE42" s="261"/>
      <c r="IOF42" s="261"/>
      <c r="IOG42" s="261"/>
      <c r="IOH42" s="261"/>
      <c r="IOI42" s="261"/>
      <c r="IOJ42" s="261"/>
      <c r="IOK42" s="261"/>
      <c r="IOL42" s="261"/>
      <c r="IOM42" s="261"/>
      <c r="ION42" s="261"/>
      <c r="IOO42" s="261"/>
      <c r="IOP42" s="261"/>
      <c r="IOQ42" s="261"/>
      <c r="IOR42" s="261"/>
      <c r="IOS42" s="261"/>
      <c r="IOT42" s="261"/>
      <c r="IOU42" s="261"/>
      <c r="IOV42" s="261"/>
      <c r="IOW42" s="261"/>
      <c r="IOX42" s="261"/>
      <c r="IOY42" s="261"/>
      <c r="IOZ42" s="261"/>
      <c r="IPA42" s="261"/>
      <c r="IPB42" s="261"/>
      <c r="IPC42" s="261"/>
      <c r="IPD42" s="261"/>
      <c r="IPE42" s="261"/>
      <c r="IPF42" s="261"/>
      <c r="IPG42" s="261"/>
      <c r="IPH42" s="261"/>
      <c r="IPI42" s="261"/>
      <c r="IPJ42" s="261"/>
      <c r="IPK42" s="261"/>
      <c r="IPL42" s="261"/>
      <c r="IPM42" s="261"/>
      <c r="IPN42" s="261"/>
      <c r="IPO42" s="261"/>
      <c r="IPP42" s="261"/>
      <c r="IPQ42" s="261"/>
      <c r="IPR42" s="261"/>
      <c r="IPS42" s="261"/>
      <c r="IPT42" s="261"/>
      <c r="IPU42" s="261"/>
      <c r="IPV42" s="261"/>
      <c r="IPW42" s="261"/>
      <c r="IPX42" s="261"/>
      <c r="IPY42" s="261"/>
      <c r="IPZ42" s="261"/>
      <c r="IQA42" s="261"/>
      <c r="IQB42" s="261"/>
      <c r="IQC42" s="261"/>
      <c r="IQD42" s="261"/>
      <c r="IQE42" s="261"/>
      <c r="IQF42" s="261"/>
      <c r="IQG42" s="261"/>
      <c r="IQH42" s="261"/>
      <c r="IQI42" s="261"/>
      <c r="IQJ42" s="261"/>
      <c r="IQK42" s="261"/>
      <c r="IQL42" s="261"/>
      <c r="IQM42" s="261"/>
      <c r="IQN42" s="261"/>
      <c r="IQO42" s="261"/>
      <c r="IQP42" s="261"/>
      <c r="IQQ42" s="261"/>
      <c r="IQR42" s="261"/>
      <c r="IQS42" s="261"/>
      <c r="IQT42" s="261"/>
      <c r="IQU42" s="261"/>
      <c r="IQV42" s="261"/>
      <c r="IQW42" s="261"/>
      <c r="IQX42" s="261"/>
      <c r="IQY42" s="261"/>
      <c r="IQZ42" s="261"/>
      <c r="IRA42" s="261"/>
      <c r="IRB42" s="261"/>
      <c r="IRC42" s="261"/>
      <c r="IRD42" s="261"/>
      <c r="IRE42" s="261"/>
      <c r="IRF42" s="261"/>
      <c r="IRG42" s="261"/>
      <c r="IRH42" s="261"/>
      <c r="IRI42" s="261"/>
      <c r="IRJ42" s="261"/>
      <c r="IRK42" s="261"/>
      <c r="IRL42" s="261"/>
      <c r="IRM42" s="261"/>
      <c r="IRN42" s="261"/>
      <c r="IRO42" s="261"/>
      <c r="IRP42" s="261"/>
      <c r="IRQ42" s="261"/>
      <c r="IRR42" s="261"/>
      <c r="IRS42" s="261"/>
      <c r="IRT42" s="261"/>
      <c r="IRU42" s="261"/>
      <c r="IRV42" s="261"/>
      <c r="IRW42" s="261"/>
      <c r="IRX42" s="261"/>
      <c r="IRY42" s="261"/>
      <c r="IRZ42" s="261"/>
      <c r="ISA42" s="261"/>
      <c r="ISB42" s="261"/>
      <c r="ISC42" s="261"/>
      <c r="ISD42" s="261"/>
      <c r="ISE42" s="261"/>
      <c r="ISF42" s="261"/>
      <c r="ISG42" s="261"/>
      <c r="ISH42" s="261"/>
      <c r="ISI42" s="261"/>
      <c r="ISJ42" s="261"/>
      <c r="ISK42" s="261"/>
      <c r="ISL42" s="261"/>
      <c r="ISM42" s="261"/>
      <c r="ISN42" s="261"/>
      <c r="ISO42" s="261"/>
      <c r="ISP42" s="261"/>
      <c r="ISQ42" s="261"/>
      <c r="ISR42" s="261"/>
      <c r="ISS42" s="261"/>
      <c r="IST42" s="261"/>
      <c r="ISU42" s="261"/>
      <c r="ISV42" s="261"/>
      <c r="ISW42" s="261"/>
      <c r="ISX42" s="261"/>
      <c r="ISY42" s="261"/>
      <c r="ISZ42" s="261"/>
      <c r="ITA42" s="261"/>
      <c r="ITB42" s="261"/>
      <c r="ITC42" s="261"/>
      <c r="ITD42" s="261"/>
      <c r="ITE42" s="261"/>
      <c r="ITF42" s="261"/>
      <c r="ITG42" s="261"/>
      <c r="ITH42" s="261"/>
      <c r="ITI42" s="261"/>
      <c r="ITJ42" s="261"/>
      <c r="ITK42" s="261"/>
      <c r="ITL42" s="261"/>
      <c r="ITM42" s="261"/>
      <c r="ITN42" s="261"/>
      <c r="ITO42" s="261"/>
      <c r="ITP42" s="261"/>
      <c r="ITQ42" s="261"/>
      <c r="ITR42" s="261"/>
      <c r="ITS42" s="261"/>
      <c r="ITT42" s="261"/>
      <c r="ITU42" s="261"/>
      <c r="ITV42" s="261"/>
      <c r="ITW42" s="261"/>
      <c r="ITX42" s="261"/>
      <c r="ITY42" s="261"/>
      <c r="ITZ42" s="261"/>
      <c r="IUA42" s="261"/>
      <c r="IUB42" s="261"/>
      <c r="IUC42" s="261"/>
      <c r="IUD42" s="261"/>
      <c r="IUE42" s="261"/>
      <c r="IUF42" s="261"/>
      <c r="IUG42" s="261"/>
      <c r="IUH42" s="261"/>
      <c r="IUI42" s="261"/>
      <c r="IUJ42" s="261"/>
      <c r="IUK42" s="261"/>
      <c r="IUL42" s="261"/>
      <c r="IUM42" s="261"/>
      <c r="IUN42" s="261"/>
      <c r="IUO42" s="261"/>
      <c r="IUP42" s="261"/>
      <c r="IUQ42" s="261"/>
      <c r="IUR42" s="261"/>
      <c r="IUS42" s="261"/>
      <c r="IUT42" s="261"/>
      <c r="IUU42" s="261"/>
      <c r="IUV42" s="261"/>
      <c r="IUW42" s="261"/>
      <c r="IUX42" s="261"/>
      <c r="IUY42" s="261"/>
      <c r="IUZ42" s="261"/>
      <c r="IVA42" s="261"/>
      <c r="IVB42" s="261"/>
      <c r="IVC42" s="261"/>
      <c r="IVD42" s="261"/>
      <c r="IVE42" s="261"/>
      <c r="IVF42" s="261"/>
      <c r="IVG42" s="261"/>
      <c r="IVH42" s="261"/>
      <c r="IVI42" s="261"/>
      <c r="IVJ42" s="261"/>
      <c r="IVK42" s="261"/>
      <c r="IVL42" s="261"/>
      <c r="IVM42" s="261"/>
      <c r="IVN42" s="261"/>
      <c r="IVO42" s="261"/>
      <c r="IVP42" s="261"/>
      <c r="IVQ42" s="261"/>
      <c r="IVR42" s="261"/>
      <c r="IVS42" s="261"/>
      <c r="IVT42" s="261"/>
      <c r="IVU42" s="261"/>
      <c r="IVV42" s="261"/>
      <c r="IVW42" s="261"/>
      <c r="IVX42" s="261"/>
      <c r="IVY42" s="261"/>
      <c r="IVZ42" s="261"/>
      <c r="IWA42" s="261"/>
      <c r="IWB42" s="261"/>
      <c r="IWC42" s="261"/>
      <c r="IWD42" s="261"/>
      <c r="IWE42" s="261"/>
      <c r="IWF42" s="261"/>
      <c r="IWG42" s="261"/>
      <c r="IWH42" s="261"/>
      <c r="IWI42" s="261"/>
      <c r="IWJ42" s="261"/>
      <c r="IWK42" s="261"/>
      <c r="IWL42" s="261"/>
      <c r="IWM42" s="261"/>
      <c r="IWN42" s="261"/>
      <c r="IWO42" s="261"/>
      <c r="IWP42" s="261"/>
      <c r="IWQ42" s="261"/>
      <c r="IWR42" s="261"/>
      <c r="IWS42" s="261"/>
      <c r="IWT42" s="261"/>
      <c r="IWU42" s="261"/>
      <c r="IWV42" s="261"/>
      <c r="IWW42" s="261"/>
      <c r="IWX42" s="261"/>
      <c r="IWY42" s="261"/>
      <c r="IWZ42" s="261"/>
      <c r="IXA42" s="261"/>
      <c r="IXB42" s="261"/>
      <c r="IXC42" s="261"/>
      <c r="IXD42" s="261"/>
      <c r="IXE42" s="261"/>
      <c r="IXF42" s="261"/>
      <c r="IXG42" s="261"/>
      <c r="IXH42" s="261"/>
      <c r="IXI42" s="261"/>
      <c r="IXJ42" s="261"/>
      <c r="IXK42" s="261"/>
      <c r="IXL42" s="261"/>
      <c r="IXM42" s="261"/>
      <c r="IXN42" s="261"/>
      <c r="IXO42" s="261"/>
      <c r="IXP42" s="261"/>
      <c r="IXQ42" s="261"/>
      <c r="IXR42" s="261"/>
      <c r="IXS42" s="261"/>
      <c r="IXT42" s="261"/>
      <c r="IXU42" s="261"/>
      <c r="IXV42" s="261"/>
      <c r="IXW42" s="261"/>
      <c r="IXX42" s="261"/>
      <c r="IXY42" s="261"/>
      <c r="IXZ42" s="261"/>
      <c r="IYA42" s="261"/>
      <c r="IYB42" s="261"/>
      <c r="IYC42" s="261"/>
      <c r="IYD42" s="261"/>
      <c r="IYE42" s="261"/>
      <c r="IYF42" s="261"/>
      <c r="IYG42" s="261"/>
      <c r="IYH42" s="261"/>
      <c r="IYI42" s="261"/>
      <c r="IYJ42" s="261"/>
      <c r="IYK42" s="261"/>
      <c r="IYL42" s="261"/>
      <c r="IYM42" s="261"/>
      <c r="IYN42" s="261"/>
      <c r="IYO42" s="261"/>
      <c r="IYP42" s="261"/>
      <c r="IYQ42" s="261"/>
      <c r="IYR42" s="261"/>
      <c r="IYS42" s="261"/>
      <c r="IYT42" s="261"/>
      <c r="IYU42" s="261"/>
      <c r="IYV42" s="261"/>
      <c r="IYW42" s="261"/>
      <c r="IYX42" s="261"/>
      <c r="IYY42" s="261"/>
      <c r="IYZ42" s="261"/>
      <c r="IZA42" s="261"/>
      <c r="IZB42" s="261"/>
      <c r="IZC42" s="261"/>
      <c r="IZD42" s="261"/>
      <c r="IZE42" s="261"/>
      <c r="IZF42" s="261"/>
      <c r="IZG42" s="261"/>
      <c r="IZH42" s="261"/>
      <c r="IZI42" s="261"/>
      <c r="IZJ42" s="261"/>
      <c r="IZK42" s="261"/>
      <c r="IZL42" s="261"/>
      <c r="IZM42" s="261"/>
      <c r="IZN42" s="261"/>
      <c r="IZO42" s="261"/>
      <c r="IZP42" s="261"/>
      <c r="IZQ42" s="261"/>
      <c r="IZR42" s="261"/>
      <c r="IZS42" s="261"/>
      <c r="IZT42" s="261"/>
      <c r="IZU42" s="261"/>
      <c r="IZV42" s="261"/>
      <c r="IZW42" s="261"/>
      <c r="IZX42" s="261"/>
      <c r="IZY42" s="261"/>
      <c r="IZZ42" s="261"/>
      <c r="JAA42" s="261"/>
      <c r="JAB42" s="261"/>
      <c r="JAC42" s="261"/>
      <c r="JAD42" s="261"/>
      <c r="JAE42" s="261"/>
      <c r="JAF42" s="261"/>
      <c r="JAG42" s="261"/>
      <c r="JAH42" s="261"/>
      <c r="JAI42" s="261"/>
      <c r="JAJ42" s="261"/>
      <c r="JAK42" s="261"/>
      <c r="JAL42" s="261"/>
      <c r="JAM42" s="261"/>
      <c r="JAN42" s="261"/>
      <c r="JAO42" s="261"/>
      <c r="JAP42" s="261"/>
      <c r="JAQ42" s="261"/>
      <c r="JAR42" s="261"/>
      <c r="JAS42" s="261"/>
      <c r="JAT42" s="261"/>
      <c r="JAU42" s="261"/>
      <c r="JAV42" s="261"/>
      <c r="JAW42" s="261"/>
      <c r="JAX42" s="261"/>
      <c r="JAY42" s="261"/>
      <c r="JAZ42" s="261"/>
      <c r="JBA42" s="261"/>
      <c r="JBB42" s="261"/>
      <c r="JBC42" s="261"/>
      <c r="JBD42" s="261"/>
      <c r="JBE42" s="261"/>
      <c r="JBF42" s="261"/>
      <c r="JBG42" s="261"/>
      <c r="JBH42" s="261"/>
      <c r="JBI42" s="261"/>
      <c r="JBJ42" s="261"/>
      <c r="JBK42" s="261"/>
      <c r="JBL42" s="261"/>
      <c r="JBM42" s="261"/>
      <c r="JBN42" s="261"/>
      <c r="JBO42" s="261"/>
      <c r="JBP42" s="261"/>
      <c r="JBQ42" s="261"/>
      <c r="JBR42" s="261"/>
      <c r="JBS42" s="261"/>
      <c r="JBT42" s="261"/>
      <c r="JBU42" s="261"/>
      <c r="JBV42" s="261"/>
      <c r="JBW42" s="261"/>
      <c r="JBX42" s="261"/>
      <c r="JBY42" s="261"/>
      <c r="JBZ42" s="261"/>
      <c r="JCA42" s="261"/>
      <c r="JCB42" s="261"/>
      <c r="JCC42" s="261"/>
      <c r="JCD42" s="261"/>
      <c r="JCE42" s="261"/>
      <c r="JCF42" s="261"/>
      <c r="JCG42" s="261"/>
      <c r="JCH42" s="261"/>
      <c r="JCI42" s="261"/>
      <c r="JCJ42" s="261"/>
      <c r="JCK42" s="261"/>
      <c r="JCL42" s="261"/>
      <c r="JCM42" s="261"/>
      <c r="JCN42" s="261"/>
      <c r="JCO42" s="261"/>
      <c r="JCP42" s="261"/>
      <c r="JCQ42" s="261"/>
      <c r="JCR42" s="261"/>
      <c r="JCS42" s="261"/>
      <c r="JCT42" s="261"/>
      <c r="JCU42" s="261"/>
      <c r="JCV42" s="261"/>
      <c r="JCW42" s="261"/>
      <c r="JCX42" s="261"/>
      <c r="JCY42" s="261"/>
      <c r="JCZ42" s="261"/>
      <c r="JDA42" s="261"/>
      <c r="JDB42" s="261"/>
      <c r="JDC42" s="261"/>
      <c r="JDD42" s="261"/>
      <c r="JDE42" s="261"/>
      <c r="JDF42" s="261"/>
      <c r="JDG42" s="261"/>
      <c r="JDH42" s="261"/>
      <c r="JDI42" s="261"/>
      <c r="JDJ42" s="261"/>
      <c r="JDK42" s="261"/>
      <c r="JDL42" s="261"/>
      <c r="JDM42" s="261"/>
      <c r="JDN42" s="261"/>
      <c r="JDO42" s="261"/>
      <c r="JDP42" s="261"/>
      <c r="JDQ42" s="261"/>
      <c r="JDR42" s="261"/>
      <c r="JDS42" s="261"/>
      <c r="JDT42" s="261"/>
      <c r="JDU42" s="261"/>
      <c r="JDV42" s="261"/>
      <c r="JDW42" s="261"/>
      <c r="JDX42" s="261"/>
      <c r="JDY42" s="261"/>
      <c r="JDZ42" s="261"/>
      <c r="JEA42" s="261"/>
      <c r="JEB42" s="261"/>
      <c r="JEC42" s="261"/>
      <c r="JED42" s="261"/>
      <c r="JEE42" s="261"/>
      <c r="JEF42" s="261"/>
      <c r="JEG42" s="261"/>
      <c r="JEH42" s="261"/>
      <c r="JEI42" s="261"/>
      <c r="JEJ42" s="261"/>
      <c r="JEK42" s="261"/>
      <c r="JEL42" s="261"/>
      <c r="JEM42" s="261"/>
      <c r="JEN42" s="261"/>
      <c r="JEO42" s="261"/>
      <c r="JEP42" s="261"/>
      <c r="JEQ42" s="261"/>
      <c r="JER42" s="261"/>
      <c r="JES42" s="261"/>
      <c r="JET42" s="261"/>
      <c r="JEU42" s="261"/>
      <c r="JEV42" s="261"/>
      <c r="JEW42" s="261"/>
      <c r="JEX42" s="261"/>
      <c r="JEY42" s="261"/>
      <c r="JEZ42" s="261"/>
      <c r="JFA42" s="261"/>
      <c r="JFB42" s="261"/>
      <c r="JFC42" s="261"/>
      <c r="JFD42" s="261"/>
      <c r="JFE42" s="261"/>
      <c r="JFF42" s="261"/>
      <c r="JFG42" s="261"/>
      <c r="JFH42" s="261"/>
      <c r="JFI42" s="261"/>
      <c r="JFJ42" s="261"/>
      <c r="JFK42" s="261"/>
      <c r="JFL42" s="261"/>
      <c r="JFM42" s="261"/>
      <c r="JFN42" s="261"/>
      <c r="JFO42" s="261"/>
      <c r="JFP42" s="261"/>
      <c r="JFQ42" s="261"/>
      <c r="JFR42" s="261"/>
      <c r="JFS42" s="261"/>
      <c r="JFT42" s="261"/>
      <c r="JFU42" s="261"/>
      <c r="JFV42" s="261"/>
      <c r="JFW42" s="261"/>
      <c r="JFX42" s="261"/>
      <c r="JFY42" s="261"/>
      <c r="JFZ42" s="261"/>
      <c r="JGA42" s="261"/>
      <c r="JGB42" s="261"/>
      <c r="JGC42" s="261"/>
      <c r="JGD42" s="261"/>
      <c r="JGE42" s="261"/>
      <c r="JGF42" s="261"/>
      <c r="JGG42" s="261"/>
      <c r="JGH42" s="261"/>
      <c r="JGI42" s="261"/>
      <c r="JGJ42" s="261"/>
      <c r="JGK42" s="261"/>
      <c r="JGL42" s="261"/>
      <c r="JGM42" s="261"/>
      <c r="JGN42" s="261"/>
      <c r="JGO42" s="261"/>
      <c r="JGP42" s="261"/>
      <c r="JGQ42" s="261"/>
      <c r="JGR42" s="261"/>
      <c r="JGS42" s="261"/>
      <c r="JGT42" s="261"/>
      <c r="JGU42" s="261"/>
      <c r="JGV42" s="261"/>
      <c r="JGW42" s="261"/>
      <c r="JGX42" s="261"/>
      <c r="JGY42" s="261"/>
      <c r="JGZ42" s="261"/>
      <c r="JHA42" s="261"/>
      <c r="JHB42" s="261"/>
      <c r="JHC42" s="261"/>
      <c r="JHD42" s="261"/>
      <c r="JHE42" s="261"/>
      <c r="JHF42" s="261"/>
      <c r="JHG42" s="261"/>
      <c r="JHH42" s="261"/>
      <c r="JHI42" s="261"/>
      <c r="JHJ42" s="261"/>
      <c r="JHK42" s="261"/>
      <c r="JHL42" s="261"/>
      <c r="JHM42" s="261"/>
      <c r="JHN42" s="261"/>
      <c r="JHO42" s="261"/>
      <c r="JHP42" s="261"/>
      <c r="JHQ42" s="261"/>
      <c r="JHR42" s="261"/>
      <c r="JHS42" s="261"/>
      <c r="JHT42" s="261"/>
      <c r="JHU42" s="261"/>
      <c r="JHV42" s="261"/>
      <c r="JHW42" s="261"/>
      <c r="JHX42" s="261"/>
      <c r="JHY42" s="261"/>
      <c r="JHZ42" s="261"/>
      <c r="JIA42" s="261"/>
      <c r="JIB42" s="261"/>
      <c r="JIC42" s="261"/>
      <c r="JID42" s="261"/>
      <c r="JIE42" s="261"/>
      <c r="JIF42" s="261"/>
      <c r="JIG42" s="261"/>
      <c r="JIH42" s="261"/>
      <c r="JII42" s="261"/>
      <c r="JIJ42" s="261"/>
      <c r="JIK42" s="261"/>
      <c r="JIL42" s="261"/>
      <c r="JIM42" s="261"/>
      <c r="JIN42" s="261"/>
      <c r="JIO42" s="261"/>
      <c r="JIP42" s="261"/>
      <c r="JIQ42" s="261"/>
      <c r="JIR42" s="261"/>
      <c r="JIS42" s="261"/>
      <c r="JIT42" s="261"/>
      <c r="JIU42" s="261"/>
      <c r="JIV42" s="261"/>
      <c r="JIW42" s="261"/>
      <c r="JIX42" s="261"/>
      <c r="JIY42" s="261"/>
      <c r="JIZ42" s="261"/>
      <c r="JJA42" s="261"/>
      <c r="JJB42" s="261"/>
      <c r="JJC42" s="261"/>
      <c r="JJD42" s="261"/>
      <c r="JJE42" s="261"/>
      <c r="JJF42" s="261"/>
      <c r="JJG42" s="261"/>
      <c r="JJH42" s="261"/>
      <c r="JJI42" s="261"/>
      <c r="JJJ42" s="261"/>
      <c r="JJK42" s="261"/>
      <c r="JJL42" s="261"/>
      <c r="JJM42" s="261"/>
      <c r="JJN42" s="261"/>
      <c r="JJO42" s="261"/>
      <c r="JJP42" s="261"/>
      <c r="JJQ42" s="261"/>
      <c r="JJR42" s="261"/>
      <c r="JJS42" s="261"/>
      <c r="JJT42" s="261"/>
      <c r="JJU42" s="261"/>
      <c r="JJV42" s="261"/>
      <c r="JJW42" s="261"/>
      <c r="JJX42" s="261"/>
      <c r="JJY42" s="261"/>
      <c r="JJZ42" s="261"/>
      <c r="JKA42" s="261"/>
      <c r="JKB42" s="261"/>
      <c r="JKC42" s="261"/>
      <c r="JKD42" s="261"/>
      <c r="JKE42" s="261"/>
      <c r="JKF42" s="261"/>
      <c r="JKG42" s="261"/>
      <c r="JKH42" s="261"/>
      <c r="JKI42" s="261"/>
      <c r="JKJ42" s="261"/>
      <c r="JKK42" s="261"/>
      <c r="JKL42" s="261"/>
      <c r="JKM42" s="261"/>
      <c r="JKN42" s="261"/>
      <c r="JKO42" s="261"/>
      <c r="JKP42" s="261"/>
      <c r="JKQ42" s="261"/>
      <c r="JKR42" s="261"/>
      <c r="JKS42" s="261"/>
      <c r="JKT42" s="261"/>
      <c r="JKU42" s="261"/>
      <c r="JKV42" s="261"/>
      <c r="JKW42" s="261"/>
      <c r="JKX42" s="261"/>
      <c r="JKY42" s="261"/>
      <c r="JKZ42" s="261"/>
      <c r="JLA42" s="261"/>
      <c r="JLB42" s="261"/>
      <c r="JLC42" s="261"/>
      <c r="JLD42" s="261"/>
      <c r="JLE42" s="261"/>
      <c r="JLF42" s="261"/>
      <c r="JLG42" s="261"/>
      <c r="JLH42" s="261"/>
      <c r="JLI42" s="261"/>
      <c r="JLJ42" s="261"/>
      <c r="JLK42" s="261"/>
      <c r="JLL42" s="261"/>
      <c r="JLM42" s="261"/>
      <c r="JLN42" s="261"/>
      <c r="JLO42" s="261"/>
      <c r="JLP42" s="261"/>
      <c r="JLQ42" s="261"/>
      <c r="JLR42" s="261"/>
      <c r="JLS42" s="261"/>
      <c r="JLT42" s="261"/>
      <c r="JLU42" s="261"/>
      <c r="JLV42" s="261"/>
      <c r="JLW42" s="261"/>
      <c r="JLX42" s="261"/>
      <c r="JLY42" s="261"/>
      <c r="JLZ42" s="261"/>
      <c r="JMA42" s="261"/>
      <c r="JMB42" s="261"/>
      <c r="JMC42" s="261"/>
      <c r="JMD42" s="261"/>
      <c r="JME42" s="261"/>
      <c r="JMF42" s="261"/>
      <c r="JMG42" s="261"/>
      <c r="JMH42" s="261"/>
      <c r="JMI42" s="261"/>
      <c r="JMJ42" s="261"/>
      <c r="JMK42" s="261"/>
      <c r="JML42" s="261"/>
      <c r="JMM42" s="261"/>
      <c r="JMN42" s="261"/>
      <c r="JMO42" s="261"/>
      <c r="JMP42" s="261"/>
      <c r="JMQ42" s="261"/>
      <c r="JMR42" s="261"/>
      <c r="JMS42" s="261"/>
      <c r="JMT42" s="261"/>
      <c r="JMU42" s="261"/>
      <c r="JMV42" s="261"/>
      <c r="JMW42" s="261"/>
      <c r="JMX42" s="261"/>
      <c r="JMY42" s="261"/>
      <c r="JMZ42" s="261"/>
      <c r="JNA42" s="261"/>
      <c r="JNB42" s="261"/>
      <c r="JNC42" s="261"/>
      <c r="JND42" s="261"/>
      <c r="JNE42" s="261"/>
      <c r="JNF42" s="261"/>
      <c r="JNG42" s="261"/>
      <c r="JNH42" s="261"/>
      <c r="JNI42" s="261"/>
      <c r="JNJ42" s="261"/>
      <c r="JNK42" s="261"/>
      <c r="JNL42" s="261"/>
      <c r="JNM42" s="261"/>
      <c r="JNN42" s="261"/>
      <c r="JNO42" s="261"/>
      <c r="JNP42" s="261"/>
      <c r="JNQ42" s="261"/>
      <c r="JNR42" s="261"/>
      <c r="JNS42" s="261"/>
      <c r="JNT42" s="261"/>
      <c r="JNU42" s="261"/>
      <c r="JNV42" s="261"/>
      <c r="JNW42" s="261"/>
      <c r="JNX42" s="261"/>
      <c r="JNY42" s="261"/>
      <c r="JNZ42" s="261"/>
      <c r="JOA42" s="261"/>
      <c r="JOB42" s="261"/>
      <c r="JOC42" s="261"/>
      <c r="JOD42" s="261"/>
      <c r="JOE42" s="261"/>
      <c r="JOF42" s="261"/>
      <c r="JOG42" s="261"/>
      <c r="JOH42" s="261"/>
      <c r="JOI42" s="261"/>
      <c r="JOJ42" s="261"/>
      <c r="JOK42" s="261"/>
      <c r="JOL42" s="261"/>
      <c r="JOM42" s="261"/>
      <c r="JON42" s="261"/>
      <c r="JOO42" s="261"/>
      <c r="JOP42" s="261"/>
      <c r="JOQ42" s="261"/>
      <c r="JOR42" s="261"/>
      <c r="JOS42" s="261"/>
      <c r="JOT42" s="261"/>
      <c r="JOU42" s="261"/>
      <c r="JOV42" s="261"/>
      <c r="JOW42" s="261"/>
      <c r="JOX42" s="261"/>
      <c r="JOY42" s="261"/>
      <c r="JOZ42" s="261"/>
      <c r="JPA42" s="261"/>
      <c r="JPB42" s="261"/>
      <c r="JPC42" s="261"/>
      <c r="JPD42" s="261"/>
      <c r="JPE42" s="261"/>
      <c r="JPF42" s="261"/>
      <c r="JPG42" s="261"/>
      <c r="JPH42" s="261"/>
      <c r="JPI42" s="261"/>
      <c r="JPJ42" s="261"/>
      <c r="JPK42" s="261"/>
      <c r="JPL42" s="261"/>
      <c r="JPM42" s="261"/>
      <c r="JPN42" s="261"/>
      <c r="JPO42" s="261"/>
      <c r="JPP42" s="261"/>
      <c r="JPQ42" s="261"/>
      <c r="JPR42" s="261"/>
      <c r="JPS42" s="261"/>
      <c r="JPT42" s="261"/>
      <c r="JPU42" s="261"/>
      <c r="JPV42" s="261"/>
      <c r="JPW42" s="261"/>
      <c r="JPX42" s="261"/>
      <c r="JPY42" s="261"/>
      <c r="JPZ42" s="261"/>
      <c r="JQA42" s="261"/>
      <c r="JQB42" s="261"/>
      <c r="JQC42" s="261"/>
      <c r="JQD42" s="261"/>
      <c r="JQE42" s="261"/>
      <c r="JQF42" s="261"/>
      <c r="JQG42" s="261"/>
      <c r="JQH42" s="261"/>
      <c r="JQI42" s="261"/>
      <c r="JQJ42" s="261"/>
      <c r="JQK42" s="261"/>
      <c r="JQL42" s="261"/>
      <c r="JQM42" s="261"/>
      <c r="JQN42" s="261"/>
      <c r="JQO42" s="261"/>
      <c r="JQP42" s="261"/>
      <c r="JQQ42" s="261"/>
      <c r="JQR42" s="261"/>
      <c r="JQS42" s="261"/>
      <c r="JQT42" s="261"/>
      <c r="JQU42" s="261"/>
      <c r="JQV42" s="261"/>
      <c r="JQW42" s="261"/>
      <c r="JQX42" s="261"/>
      <c r="JQY42" s="261"/>
      <c r="JQZ42" s="261"/>
      <c r="JRA42" s="261"/>
      <c r="JRB42" s="261"/>
      <c r="JRC42" s="261"/>
      <c r="JRD42" s="261"/>
      <c r="JRE42" s="261"/>
      <c r="JRF42" s="261"/>
      <c r="JRG42" s="261"/>
      <c r="JRH42" s="261"/>
      <c r="JRI42" s="261"/>
      <c r="JRJ42" s="261"/>
      <c r="JRK42" s="261"/>
      <c r="JRL42" s="261"/>
      <c r="JRM42" s="261"/>
      <c r="JRN42" s="261"/>
      <c r="JRO42" s="261"/>
      <c r="JRP42" s="261"/>
      <c r="JRQ42" s="261"/>
      <c r="JRR42" s="261"/>
      <c r="JRS42" s="261"/>
      <c r="JRT42" s="261"/>
      <c r="JRU42" s="261"/>
      <c r="JRV42" s="261"/>
      <c r="JRW42" s="261"/>
      <c r="JRX42" s="261"/>
      <c r="JRY42" s="261"/>
      <c r="JRZ42" s="261"/>
      <c r="JSA42" s="261"/>
      <c r="JSB42" s="261"/>
      <c r="JSC42" s="261"/>
      <c r="JSD42" s="261"/>
      <c r="JSE42" s="261"/>
      <c r="JSF42" s="261"/>
      <c r="JSG42" s="261"/>
      <c r="JSH42" s="261"/>
      <c r="JSI42" s="261"/>
      <c r="JSJ42" s="261"/>
      <c r="JSK42" s="261"/>
      <c r="JSL42" s="261"/>
      <c r="JSM42" s="261"/>
      <c r="JSN42" s="261"/>
      <c r="JSO42" s="261"/>
      <c r="JSP42" s="261"/>
      <c r="JSQ42" s="261"/>
      <c r="JSR42" s="261"/>
      <c r="JSS42" s="261"/>
      <c r="JST42" s="261"/>
      <c r="JSU42" s="261"/>
      <c r="JSV42" s="261"/>
      <c r="JSW42" s="261"/>
      <c r="JSX42" s="261"/>
      <c r="JSY42" s="261"/>
      <c r="JSZ42" s="261"/>
      <c r="JTA42" s="261"/>
      <c r="JTB42" s="261"/>
      <c r="JTC42" s="261"/>
      <c r="JTD42" s="261"/>
      <c r="JTE42" s="261"/>
      <c r="JTF42" s="261"/>
      <c r="JTG42" s="261"/>
      <c r="JTH42" s="261"/>
      <c r="JTI42" s="261"/>
      <c r="JTJ42" s="261"/>
      <c r="JTK42" s="261"/>
      <c r="JTL42" s="261"/>
      <c r="JTM42" s="261"/>
      <c r="JTN42" s="261"/>
      <c r="JTO42" s="261"/>
      <c r="JTP42" s="261"/>
      <c r="JTQ42" s="261"/>
      <c r="JTR42" s="261"/>
      <c r="JTS42" s="261"/>
      <c r="JTT42" s="261"/>
      <c r="JTU42" s="261"/>
      <c r="JTV42" s="261"/>
      <c r="JTW42" s="261"/>
      <c r="JTX42" s="261"/>
      <c r="JTY42" s="261"/>
      <c r="JTZ42" s="261"/>
      <c r="JUA42" s="261"/>
      <c r="JUB42" s="261"/>
      <c r="JUC42" s="261"/>
      <c r="JUD42" s="261"/>
      <c r="JUE42" s="261"/>
      <c r="JUF42" s="261"/>
      <c r="JUG42" s="261"/>
      <c r="JUH42" s="261"/>
      <c r="JUI42" s="261"/>
      <c r="JUJ42" s="261"/>
      <c r="JUK42" s="261"/>
      <c r="JUL42" s="261"/>
      <c r="JUM42" s="261"/>
      <c r="JUN42" s="261"/>
      <c r="JUO42" s="261"/>
      <c r="JUP42" s="261"/>
      <c r="JUQ42" s="261"/>
      <c r="JUR42" s="261"/>
      <c r="JUS42" s="261"/>
      <c r="JUT42" s="261"/>
      <c r="JUU42" s="261"/>
      <c r="JUV42" s="261"/>
      <c r="JUW42" s="261"/>
      <c r="JUX42" s="261"/>
      <c r="JUY42" s="261"/>
      <c r="JUZ42" s="261"/>
      <c r="JVA42" s="261"/>
      <c r="JVB42" s="261"/>
      <c r="JVC42" s="261"/>
      <c r="JVD42" s="261"/>
      <c r="JVE42" s="261"/>
      <c r="JVF42" s="261"/>
      <c r="JVG42" s="261"/>
      <c r="JVH42" s="261"/>
      <c r="JVI42" s="261"/>
      <c r="JVJ42" s="261"/>
      <c r="JVK42" s="261"/>
      <c r="JVL42" s="261"/>
      <c r="JVM42" s="261"/>
      <c r="JVN42" s="261"/>
      <c r="JVO42" s="261"/>
      <c r="JVP42" s="261"/>
      <c r="JVQ42" s="261"/>
      <c r="JVR42" s="261"/>
      <c r="JVS42" s="261"/>
      <c r="JVT42" s="261"/>
      <c r="JVU42" s="261"/>
      <c r="JVV42" s="261"/>
      <c r="JVW42" s="261"/>
      <c r="JVX42" s="261"/>
      <c r="JVY42" s="261"/>
      <c r="JVZ42" s="261"/>
      <c r="JWA42" s="261"/>
      <c r="JWB42" s="261"/>
      <c r="JWC42" s="261"/>
      <c r="JWD42" s="261"/>
      <c r="JWE42" s="261"/>
      <c r="JWF42" s="261"/>
      <c r="JWG42" s="261"/>
      <c r="JWH42" s="261"/>
      <c r="JWI42" s="261"/>
      <c r="JWJ42" s="261"/>
      <c r="JWK42" s="261"/>
      <c r="JWL42" s="261"/>
      <c r="JWM42" s="261"/>
      <c r="JWN42" s="261"/>
      <c r="JWO42" s="261"/>
      <c r="JWP42" s="261"/>
      <c r="JWQ42" s="261"/>
      <c r="JWR42" s="261"/>
      <c r="JWS42" s="261"/>
      <c r="JWT42" s="261"/>
      <c r="JWU42" s="261"/>
      <c r="JWV42" s="261"/>
      <c r="JWW42" s="261"/>
      <c r="JWX42" s="261"/>
      <c r="JWY42" s="261"/>
      <c r="JWZ42" s="261"/>
      <c r="JXA42" s="261"/>
      <c r="JXB42" s="261"/>
      <c r="JXC42" s="261"/>
      <c r="JXD42" s="261"/>
      <c r="JXE42" s="261"/>
      <c r="JXF42" s="261"/>
      <c r="JXG42" s="261"/>
      <c r="JXH42" s="261"/>
      <c r="JXI42" s="261"/>
      <c r="JXJ42" s="261"/>
      <c r="JXK42" s="261"/>
      <c r="JXL42" s="261"/>
      <c r="JXM42" s="261"/>
      <c r="JXN42" s="261"/>
      <c r="JXO42" s="261"/>
      <c r="JXP42" s="261"/>
      <c r="JXQ42" s="261"/>
      <c r="JXR42" s="261"/>
      <c r="JXS42" s="261"/>
      <c r="JXT42" s="261"/>
      <c r="JXU42" s="261"/>
      <c r="JXV42" s="261"/>
      <c r="JXW42" s="261"/>
      <c r="JXX42" s="261"/>
      <c r="JXY42" s="261"/>
      <c r="JXZ42" s="261"/>
      <c r="JYA42" s="261"/>
      <c r="JYB42" s="261"/>
      <c r="JYC42" s="261"/>
      <c r="JYD42" s="261"/>
      <c r="JYE42" s="261"/>
      <c r="JYF42" s="261"/>
      <c r="JYG42" s="261"/>
      <c r="JYH42" s="261"/>
      <c r="JYI42" s="261"/>
      <c r="JYJ42" s="261"/>
      <c r="JYK42" s="261"/>
      <c r="JYL42" s="261"/>
      <c r="JYM42" s="261"/>
      <c r="JYN42" s="261"/>
      <c r="JYO42" s="261"/>
      <c r="JYP42" s="261"/>
      <c r="JYQ42" s="261"/>
      <c r="JYR42" s="261"/>
      <c r="JYS42" s="261"/>
      <c r="JYT42" s="261"/>
      <c r="JYU42" s="261"/>
      <c r="JYV42" s="261"/>
      <c r="JYW42" s="261"/>
      <c r="JYX42" s="261"/>
      <c r="JYY42" s="261"/>
      <c r="JYZ42" s="261"/>
      <c r="JZA42" s="261"/>
      <c r="JZB42" s="261"/>
      <c r="JZC42" s="261"/>
      <c r="JZD42" s="261"/>
      <c r="JZE42" s="261"/>
      <c r="JZF42" s="261"/>
      <c r="JZG42" s="261"/>
      <c r="JZH42" s="261"/>
      <c r="JZI42" s="261"/>
      <c r="JZJ42" s="261"/>
      <c r="JZK42" s="261"/>
      <c r="JZL42" s="261"/>
      <c r="JZM42" s="261"/>
      <c r="JZN42" s="261"/>
      <c r="JZO42" s="261"/>
      <c r="JZP42" s="261"/>
      <c r="JZQ42" s="261"/>
      <c r="JZR42" s="261"/>
      <c r="JZS42" s="261"/>
      <c r="JZT42" s="261"/>
      <c r="JZU42" s="261"/>
      <c r="JZV42" s="261"/>
      <c r="JZW42" s="261"/>
      <c r="JZX42" s="261"/>
      <c r="JZY42" s="261"/>
      <c r="JZZ42" s="261"/>
      <c r="KAA42" s="261"/>
      <c r="KAB42" s="261"/>
      <c r="KAC42" s="261"/>
      <c r="KAD42" s="261"/>
      <c r="KAE42" s="261"/>
      <c r="KAF42" s="261"/>
      <c r="KAG42" s="261"/>
      <c r="KAH42" s="261"/>
      <c r="KAI42" s="261"/>
      <c r="KAJ42" s="261"/>
      <c r="KAK42" s="261"/>
      <c r="KAL42" s="261"/>
      <c r="KAM42" s="261"/>
      <c r="KAN42" s="261"/>
      <c r="KAO42" s="261"/>
      <c r="KAP42" s="261"/>
      <c r="KAQ42" s="261"/>
      <c r="KAR42" s="261"/>
      <c r="KAS42" s="261"/>
      <c r="KAT42" s="261"/>
      <c r="KAU42" s="261"/>
      <c r="KAV42" s="261"/>
      <c r="KAW42" s="261"/>
      <c r="KAX42" s="261"/>
      <c r="KAY42" s="261"/>
      <c r="KAZ42" s="261"/>
      <c r="KBA42" s="261"/>
      <c r="KBB42" s="261"/>
      <c r="KBC42" s="261"/>
      <c r="KBD42" s="261"/>
      <c r="KBE42" s="261"/>
      <c r="KBF42" s="261"/>
      <c r="KBG42" s="261"/>
      <c r="KBH42" s="261"/>
      <c r="KBI42" s="261"/>
      <c r="KBJ42" s="261"/>
      <c r="KBK42" s="261"/>
      <c r="KBL42" s="261"/>
      <c r="KBM42" s="261"/>
      <c r="KBN42" s="261"/>
      <c r="KBO42" s="261"/>
      <c r="KBP42" s="261"/>
      <c r="KBQ42" s="261"/>
      <c r="KBR42" s="261"/>
      <c r="KBS42" s="261"/>
      <c r="KBT42" s="261"/>
      <c r="KBU42" s="261"/>
      <c r="KBV42" s="261"/>
      <c r="KBW42" s="261"/>
      <c r="KBX42" s="261"/>
      <c r="KBY42" s="261"/>
      <c r="KBZ42" s="261"/>
      <c r="KCA42" s="261"/>
      <c r="KCB42" s="261"/>
      <c r="KCC42" s="261"/>
      <c r="KCD42" s="261"/>
      <c r="KCE42" s="261"/>
      <c r="KCF42" s="261"/>
      <c r="KCG42" s="261"/>
      <c r="KCH42" s="261"/>
      <c r="KCI42" s="261"/>
      <c r="KCJ42" s="261"/>
      <c r="KCK42" s="261"/>
      <c r="KCL42" s="261"/>
      <c r="KCM42" s="261"/>
      <c r="KCN42" s="261"/>
      <c r="KCO42" s="261"/>
      <c r="KCP42" s="261"/>
      <c r="KCQ42" s="261"/>
      <c r="KCR42" s="261"/>
      <c r="KCS42" s="261"/>
      <c r="KCT42" s="261"/>
      <c r="KCU42" s="261"/>
      <c r="KCV42" s="261"/>
      <c r="KCW42" s="261"/>
      <c r="KCX42" s="261"/>
      <c r="KCY42" s="261"/>
      <c r="KCZ42" s="261"/>
      <c r="KDA42" s="261"/>
      <c r="KDB42" s="261"/>
      <c r="KDC42" s="261"/>
      <c r="KDD42" s="261"/>
      <c r="KDE42" s="261"/>
      <c r="KDF42" s="261"/>
      <c r="KDG42" s="261"/>
      <c r="KDH42" s="261"/>
      <c r="KDI42" s="261"/>
      <c r="KDJ42" s="261"/>
      <c r="KDK42" s="261"/>
      <c r="KDL42" s="261"/>
      <c r="KDM42" s="261"/>
      <c r="KDN42" s="261"/>
      <c r="KDO42" s="261"/>
      <c r="KDP42" s="261"/>
      <c r="KDQ42" s="261"/>
      <c r="KDR42" s="261"/>
      <c r="KDS42" s="261"/>
      <c r="KDT42" s="261"/>
      <c r="KDU42" s="261"/>
      <c r="KDV42" s="261"/>
      <c r="KDW42" s="261"/>
      <c r="KDX42" s="261"/>
      <c r="KDY42" s="261"/>
      <c r="KDZ42" s="261"/>
      <c r="KEA42" s="261"/>
      <c r="KEB42" s="261"/>
      <c r="KEC42" s="261"/>
      <c r="KED42" s="261"/>
      <c r="KEE42" s="261"/>
      <c r="KEF42" s="261"/>
      <c r="KEG42" s="261"/>
      <c r="KEH42" s="261"/>
      <c r="KEI42" s="261"/>
      <c r="KEJ42" s="261"/>
      <c r="KEK42" s="261"/>
      <c r="KEL42" s="261"/>
      <c r="KEM42" s="261"/>
      <c r="KEN42" s="261"/>
      <c r="KEO42" s="261"/>
      <c r="KEP42" s="261"/>
      <c r="KEQ42" s="261"/>
      <c r="KER42" s="261"/>
      <c r="KES42" s="261"/>
      <c r="KET42" s="261"/>
      <c r="KEU42" s="261"/>
      <c r="KEV42" s="261"/>
      <c r="KEW42" s="261"/>
      <c r="KEX42" s="261"/>
      <c r="KEY42" s="261"/>
      <c r="KEZ42" s="261"/>
      <c r="KFA42" s="261"/>
      <c r="KFB42" s="261"/>
      <c r="KFC42" s="261"/>
      <c r="KFD42" s="261"/>
      <c r="KFE42" s="261"/>
      <c r="KFF42" s="261"/>
      <c r="KFG42" s="261"/>
      <c r="KFH42" s="261"/>
      <c r="KFI42" s="261"/>
      <c r="KFJ42" s="261"/>
      <c r="KFK42" s="261"/>
      <c r="KFL42" s="261"/>
      <c r="KFM42" s="261"/>
      <c r="KFN42" s="261"/>
      <c r="KFO42" s="261"/>
      <c r="KFP42" s="261"/>
      <c r="KFQ42" s="261"/>
      <c r="KFR42" s="261"/>
      <c r="KFS42" s="261"/>
      <c r="KFT42" s="261"/>
      <c r="KFU42" s="261"/>
      <c r="KFV42" s="261"/>
      <c r="KFW42" s="261"/>
      <c r="KFX42" s="261"/>
      <c r="KFY42" s="261"/>
      <c r="KFZ42" s="261"/>
      <c r="KGA42" s="261"/>
      <c r="KGB42" s="261"/>
      <c r="KGC42" s="261"/>
      <c r="KGD42" s="261"/>
      <c r="KGE42" s="261"/>
      <c r="KGF42" s="261"/>
      <c r="KGG42" s="261"/>
      <c r="KGH42" s="261"/>
      <c r="KGI42" s="261"/>
      <c r="KGJ42" s="261"/>
      <c r="KGK42" s="261"/>
      <c r="KGL42" s="261"/>
      <c r="KGM42" s="261"/>
      <c r="KGN42" s="261"/>
      <c r="KGO42" s="261"/>
      <c r="KGP42" s="261"/>
      <c r="KGQ42" s="261"/>
      <c r="KGR42" s="261"/>
      <c r="KGS42" s="261"/>
      <c r="KGT42" s="261"/>
      <c r="KGU42" s="261"/>
      <c r="KGV42" s="261"/>
      <c r="KGW42" s="261"/>
      <c r="KGX42" s="261"/>
      <c r="KGY42" s="261"/>
      <c r="KGZ42" s="261"/>
      <c r="KHA42" s="261"/>
      <c r="KHB42" s="261"/>
      <c r="KHC42" s="261"/>
      <c r="KHD42" s="261"/>
      <c r="KHE42" s="261"/>
      <c r="KHF42" s="261"/>
      <c r="KHG42" s="261"/>
      <c r="KHH42" s="261"/>
      <c r="KHI42" s="261"/>
      <c r="KHJ42" s="261"/>
      <c r="KHK42" s="261"/>
      <c r="KHL42" s="261"/>
      <c r="KHM42" s="261"/>
      <c r="KHN42" s="261"/>
      <c r="KHO42" s="261"/>
      <c r="KHP42" s="261"/>
      <c r="KHQ42" s="261"/>
      <c r="KHR42" s="261"/>
      <c r="KHS42" s="261"/>
      <c r="KHT42" s="261"/>
      <c r="KHU42" s="261"/>
      <c r="KHV42" s="261"/>
      <c r="KHW42" s="261"/>
      <c r="KHX42" s="261"/>
      <c r="KHY42" s="261"/>
      <c r="KHZ42" s="261"/>
      <c r="KIA42" s="261"/>
      <c r="KIB42" s="261"/>
      <c r="KIC42" s="261"/>
      <c r="KID42" s="261"/>
      <c r="KIE42" s="261"/>
      <c r="KIF42" s="261"/>
      <c r="KIG42" s="261"/>
      <c r="KIH42" s="261"/>
      <c r="KII42" s="261"/>
      <c r="KIJ42" s="261"/>
      <c r="KIK42" s="261"/>
      <c r="KIL42" s="261"/>
      <c r="KIM42" s="261"/>
      <c r="KIN42" s="261"/>
      <c r="KIO42" s="261"/>
      <c r="KIP42" s="261"/>
      <c r="KIQ42" s="261"/>
      <c r="KIR42" s="261"/>
      <c r="KIS42" s="261"/>
      <c r="KIT42" s="261"/>
      <c r="KIU42" s="261"/>
      <c r="KIV42" s="261"/>
      <c r="KIW42" s="261"/>
      <c r="KIX42" s="261"/>
      <c r="KIY42" s="261"/>
      <c r="KIZ42" s="261"/>
      <c r="KJA42" s="261"/>
      <c r="KJB42" s="261"/>
      <c r="KJC42" s="261"/>
      <c r="KJD42" s="261"/>
      <c r="KJE42" s="261"/>
      <c r="KJF42" s="261"/>
      <c r="KJG42" s="261"/>
      <c r="KJH42" s="261"/>
      <c r="KJI42" s="261"/>
      <c r="KJJ42" s="261"/>
      <c r="KJK42" s="261"/>
      <c r="KJL42" s="261"/>
      <c r="KJM42" s="261"/>
      <c r="KJN42" s="261"/>
      <c r="KJO42" s="261"/>
      <c r="KJP42" s="261"/>
      <c r="KJQ42" s="261"/>
      <c r="KJR42" s="261"/>
      <c r="KJS42" s="261"/>
      <c r="KJT42" s="261"/>
      <c r="KJU42" s="261"/>
      <c r="KJV42" s="261"/>
      <c r="KJW42" s="261"/>
      <c r="KJX42" s="261"/>
      <c r="KJY42" s="261"/>
      <c r="KJZ42" s="261"/>
      <c r="KKA42" s="261"/>
      <c r="KKB42" s="261"/>
      <c r="KKC42" s="261"/>
      <c r="KKD42" s="261"/>
      <c r="KKE42" s="261"/>
      <c r="KKF42" s="261"/>
      <c r="KKG42" s="261"/>
      <c r="KKH42" s="261"/>
      <c r="KKI42" s="261"/>
      <c r="KKJ42" s="261"/>
      <c r="KKK42" s="261"/>
      <c r="KKL42" s="261"/>
      <c r="KKM42" s="261"/>
      <c r="KKN42" s="261"/>
      <c r="KKO42" s="261"/>
      <c r="KKP42" s="261"/>
      <c r="KKQ42" s="261"/>
      <c r="KKR42" s="261"/>
      <c r="KKS42" s="261"/>
      <c r="KKT42" s="261"/>
      <c r="KKU42" s="261"/>
      <c r="KKV42" s="261"/>
      <c r="KKW42" s="261"/>
      <c r="KKX42" s="261"/>
      <c r="KKY42" s="261"/>
      <c r="KKZ42" s="261"/>
      <c r="KLA42" s="261"/>
      <c r="KLB42" s="261"/>
      <c r="KLC42" s="261"/>
      <c r="KLD42" s="261"/>
      <c r="KLE42" s="261"/>
      <c r="KLF42" s="261"/>
      <c r="KLG42" s="261"/>
      <c r="KLH42" s="261"/>
      <c r="KLI42" s="261"/>
      <c r="KLJ42" s="261"/>
      <c r="KLK42" s="261"/>
      <c r="KLL42" s="261"/>
      <c r="KLM42" s="261"/>
      <c r="KLN42" s="261"/>
      <c r="KLO42" s="261"/>
      <c r="KLP42" s="261"/>
      <c r="KLQ42" s="261"/>
      <c r="KLR42" s="261"/>
      <c r="KLS42" s="261"/>
      <c r="KLT42" s="261"/>
      <c r="KLU42" s="261"/>
      <c r="KLV42" s="261"/>
      <c r="KLW42" s="261"/>
      <c r="KLX42" s="261"/>
      <c r="KLY42" s="261"/>
      <c r="KLZ42" s="261"/>
      <c r="KMA42" s="261"/>
      <c r="KMB42" s="261"/>
      <c r="KMC42" s="261"/>
      <c r="KMD42" s="261"/>
      <c r="KME42" s="261"/>
      <c r="KMF42" s="261"/>
      <c r="KMG42" s="261"/>
      <c r="KMH42" s="261"/>
      <c r="KMI42" s="261"/>
      <c r="KMJ42" s="261"/>
      <c r="KMK42" s="261"/>
      <c r="KML42" s="261"/>
      <c r="KMM42" s="261"/>
      <c r="KMN42" s="261"/>
      <c r="KMO42" s="261"/>
      <c r="KMP42" s="261"/>
      <c r="KMQ42" s="261"/>
      <c r="KMR42" s="261"/>
      <c r="KMS42" s="261"/>
      <c r="KMT42" s="261"/>
      <c r="KMU42" s="261"/>
      <c r="KMV42" s="261"/>
      <c r="KMW42" s="261"/>
      <c r="KMX42" s="261"/>
      <c r="KMY42" s="261"/>
      <c r="KMZ42" s="261"/>
      <c r="KNA42" s="261"/>
      <c r="KNB42" s="261"/>
      <c r="KNC42" s="261"/>
      <c r="KND42" s="261"/>
      <c r="KNE42" s="261"/>
      <c r="KNF42" s="261"/>
      <c r="KNG42" s="261"/>
      <c r="KNH42" s="261"/>
      <c r="KNI42" s="261"/>
      <c r="KNJ42" s="261"/>
      <c r="KNK42" s="261"/>
      <c r="KNL42" s="261"/>
      <c r="KNM42" s="261"/>
      <c r="KNN42" s="261"/>
      <c r="KNO42" s="261"/>
      <c r="KNP42" s="261"/>
      <c r="KNQ42" s="261"/>
      <c r="KNR42" s="261"/>
      <c r="KNS42" s="261"/>
      <c r="KNT42" s="261"/>
      <c r="KNU42" s="261"/>
      <c r="KNV42" s="261"/>
      <c r="KNW42" s="261"/>
      <c r="KNX42" s="261"/>
      <c r="KNY42" s="261"/>
      <c r="KNZ42" s="261"/>
      <c r="KOA42" s="261"/>
      <c r="KOB42" s="261"/>
      <c r="KOC42" s="261"/>
      <c r="KOD42" s="261"/>
      <c r="KOE42" s="261"/>
      <c r="KOF42" s="261"/>
      <c r="KOG42" s="261"/>
      <c r="KOH42" s="261"/>
      <c r="KOI42" s="261"/>
      <c r="KOJ42" s="261"/>
      <c r="KOK42" s="261"/>
      <c r="KOL42" s="261"/>
      <c r="KOM42" s="261"/>
      <c r="KON42" s="261"/>
      <c r="KOO42" s="261"/>
      <c r="KOP42" s="261"/>
      <c r="KOQ42" s="261"/>
      <c r="KOR42" s="261"/>
      <c r="KOS42" s="261"/>
      <c r="KOT42" s="261"/>
      <c r="KOU42" s="261"/>
      <c r="KOV42" s="261"/>
      <c r="KOW42" s="261"/>
      <c r="KOX42" s="261"/>
      <c r="KOY42" s="261"/>
      <c r="KOZ42" s="261"/>
      <c r="KPA42" s="261"/>
      <c r="KPB42" s="261"/>
      <c r="KPC42" s="261"/>
      <c r="KPD42" s="261"/>
      <c r="KPE42" s="261"/>
      <c r="KPF42" s="261"/>
      <c r="KPG42" s="261"/>
      <c r="KPH42" s="261"/>
      <c r="KPI42" s="261"/>
      <c r="KPJ42" s="261"/>
      <c r="KPK42" s="261"/>
      <c r="KPL42" s="261"/>
      <c r="KPM42" s="261"/>
      <c r="KPN42" s="261"/>
      <c r="KPO42" s="261"/>
      <c r="KPP42" s="261"/>
      <c r="KPQ42" s="261"/>
      <c r="KPR42" s="261"/>
      <c r="KPS42" s="261"/>
      <c r="KPT42" s="261"/>
      <c r="KPU42" s="261"/>
      <c r="KPV42" s="261"/>
      <c r="KPW42" s="261"/>
      <c r="KPX42" s="261"/>
      <c r="KPY42" s="261"/>
      <c r="KPZ42" s="261"/>
      <c r="KQA42" s="261"/>
      <c r="KQB42" s="261"/>
      <c r="KQC42" s="261"/>
      <c r="KQD42" s="261"/>
      <c r="KQE42" s="261"/>
      <c r="KQF42" s="261"/>
      <c r="KQG42" s="261"/>
      <c r="KQH42" s="261"/>
      <c r="KQI42" s="261"/>
      <c r="KQJ42" s="261"/>
      <c r="KQK42" s="261"/>
      <c r="KQL42" s="261"/>
      <c r="KQM42" s="261"/>
      <c r="KQN42" s="261"/>
      <c r="KQO42" s="261"/>
      <c r="KQP42" s="261"/>
      <c r="KQQ42" s="261"/>
      <c r="KQR42" s="261"/>
      <c r="KQS42" s="261"/>
      <c r="KQT42" s="261"/>
      <c r="KQU42" s="261"/>
      <c r="KQV42" s="261"/>
      <c r="KQW42" s="261"/>
      <c r="KQX42" s="261"/>
      <c r="KQY42" s="261"/>
      <c r="KQZ42" s="261"/>
      <c r="KRA42" s="261"/>
      <c r="KRB42" s="261"/>
      <c r="KRC42" s="261"/>
      <c r="KRD42" s="261"/>
      <c r="KRE42" s="261"/>
      <c r="KRF42" s="261"/>
      <c r="KRG42" s="261"/>
      <c r="KRH42" s="261"/>
      <c r="KRI42" s="261"/>
      <c r="KRJ42" s="261"/>
      <c r="KRK42" s="261"/>
      <c r="KRL42" s="261"/>
      <c r="KRM42" s="261"/>
      <c r="KRN42" s="261"/>
      <c r="KRO42" s="261"/>
      <c r="KRP42" s="261"/>
      <c r="KRQ42" s="261"/>
      <c r="KRR42" s="261"/>
      <c r="KRS42" s="261"/>
      <c r="KRT42" s="261"/>
      <c r="KRU42" s="261"/>
      <c r="KRV42" s="261"/>
      <c r="KRW42" s="261"/>
      <c r="KRX42" s="261"/>
      <c r="KRY42" s="261"/>
      <c r="KRZ42" s="261"/>
      <c r="KSA42" s="261"/>
      <c r="KSB42" s="261"/>
      <c r="KSC42" s="261"/>
      <c r="KSD42" s="261"/>
      <c r="KSE42" s="261"/>
      <c r="KSF42" s="261"/>
      <c r="KSG42" s="261"/>
      <c r="KSH42" s="261"/>
      <c r="KSI42" s="261"/>
      <c r="KSJ42" s="261"/>
      <c r="KSK42" s="261"/>
      <c r="KSL42" s="261"/>
      <c r="KSM42" s="261"/>
      <c r="KSN42" s="261"/>
      <c r="KSO42" s="261"/>
      <c r="KSP42" s="261"/>
      <c r="KSQ42" s="261"/>
      <c r="KSR42" s="261"/>
      <c r="KSS42" s="261"/>
      <c r="KST42" s="261"/>
      <c r="KSU42" s="261"/>
      <c r="KSV42" s="261"/>
      <c r="KSW42" s="261"/>
      <c r="KSX42" s="261"/>
      <c r="KSY42" s="261"/>
      <c r="KSZ42" s="261"/>
      <c r="KTA42" s="261"/>
      <c r="KTB42" s="261"/>
      <c r="KTC42" s="261"/>
      <c r="KTD42" s="261"/>
      <c r="KTE42" s="261"/>
      <c r="KTF42" s="261"/>
      <c r="KTG42" s="261"/>
      <c r="KTH42" s="261"/>
      <c r="KTI42" s="261"/>
      <c r="KTJ42" s="261"/>
      <c r="KTK42" s="261"/>
      <c r="KTL42" s="261"/>
      <c r="KTM42" s="261"/>
      <c r="KTN42" s="261"/>
      <c r="KTO42" s="261"/>
      <c r="KTP42" s="261"/>
      <c r="KTQ42" s="261"/>
      <c r="KTR42" s="261"/>
      <c r="KTS42" s="261"/>
      <c r="KTT42" s="261"/>
      <c r="KTU42" s="261"/>
      <c r="KTV42" s="261"/>
      <c r="KTW42" s="261"/>
      <c r="KTX42" s="261"/>
      <c r="KTY42" s="261"/>
      <c r="KTZ42" s="261"/>
      <c r="KUA42" s="261"/>
      <c r="KUB42" s="261"/>
      <c r="KUC42" s="261"/>
      <c r="KUD42" s="261"/>
      <c r="KUE42" s="261"/>
      <c r="KUF42" s="261"/>
      <c r="KUG42" s="261"/>
      <c r="KUH42" s="261"/>
      <c r="KUI42" s="261"/>
      <c r="KUJ42" s="261"/>
      <c r="KUK42" s="261"/>
      <c r="KUL42" s="261"/>
      <c r="KUM42" s="261"/>
      <c r="KUN42" s="261"/>
      <c r="KUO42" s="261"/>
      <c r="KUP42" s="261"/>
      <c r="KUQ42" s="261"/>
      <c r="KUR42" s="261"/>
      <c r="KUS42" s="261"/>
      <c r="KUT42" s="261"/>
      <c r="KUU42" s="261"/>
      <c r="KUV42" s="261"/>
      <c r="KUW42" s="261"/>
      <c r="KUX42" s="261"/>
      <c r="KUY42" s="261"/>
      <c r="KUZ42" s="261"/>
      <c r="KVA42" s="261"/>
      <c r="KVB42" s="261"/>
      <c r="KVC42" s="261"/>
      <c r="KVD42" s="261"/>
      <c r="KVE42" s="261"/>
      <c r="KVF42" s="261"/>
      <c r="KVG42" s="261"/>
      <c r="KVH42" s="261"/>
      <c r="KVI42" s="261"/>
      <c r="KVJ42" s="261"/>
      <c r="KVK42" s="261"/>
      <c r="KVL42" s="261"/>
      <c r="KVM42" s="261"/>
      <c r="KVN42" s="261"/>
      <c r="KVO42" s="261"/>
      <c r="KVP42" s="261"/>
      <c r="KVQ42" s="261"/>
      <c r="KVR42" s="261"/>
      <c r="KVS42" s="261"/>
      <c r="KVT42" s="261"/>
      <c r="KVU42" s="261"/>
      <c r="KVV42" s="261"/>
      <c r="KVW42" s="261"/>
      <c r="KVX42" s="261"/>
      <c r="KVY42" s="261"/>
      <c r="KVZ42" s="261"/>
      <c r="KWA42" s="261"/>
      <c r="KWB42" s="261"/>
      <c r="KWC42" s="261"/>
      <c r="KWD42" s="261"/>
      <c r="KWE42" s="261"/>
      <c r="KWF42" s="261"/>
      <c r="KWG42" s="261"/>
      <c r="KWH42" s="261"/>
      <c r="KWI42" s="261"/>
      <c r="KWJ42" s="261"/>
      <c r="KWK42" s="261"/>
      <c r="KWL42" s="261"/>
      <c r="KWM42" s="261"/>
      <c r="KWN42" s="261"/>
      <c r="KWO42" s="261"/>
      <c r="KWP42" s="261"/>
      <c r="KWQ42" s="261"/>
      <c r="KWR42" s="261"/>
      <c r="KWS42" s="261"/>
      <c r="KWT42" s="261"/>
      <c r="KWU42" s="261"/>
      <c r="KWV42" s="261"/>
      <c r="KWW42" s="261"/>
      <c r="KWX42" s="261"/>
      <c r="KWY42" s="261"/>
      <c r="KWZ42" s="261"/>
      <c r="KXA42" s="261"/>
      <c r="KXB42" s="261"/>
      <c r="KXC42" s="261"/>
      <c r="KXD42" s="261"/>
      <c r="KXE42" s="261"/>
      <c r="KXF42" s="261"/>
      <c r="KXG42" s="261"/>
      <c r="KXH42" s="261"/>
      <c r="KXI42" s="261"/>
      <c r="KXJ42" s="261"/>
      <c r="KXK42" s="261"/>
      <c r="KXL42" s="261"/>
      <c r="KXM42" s="261"/>
      <c r="KXN42" s="261"/>
      <c r="KXO42" s="261"/>
      <c r="KXP42" s="261"/>
      <c r="KXQ42" s="261"/>
      <c r="KXR42" s="261"/>
      <c r="KXS42" s="261"/>
      <c r="KXT42" s="261"/>
      <c r="KXU42" s="261"/>
      <c r="KXV42" s="261"/>
      <c r="KXW42" s="261"/>
      <c r="KXX42" s="261"/>
      <c r="KXY42" s="261"/>
      <c r="KXZ42" s="261"/>
      <c r="KYA42" s="261"/>
      <c r="KYB42" s="261"/>
      <c r="KYC42" s="261"/>
      <c r="KYD42" s="261"/>
      <c r="KYE42" s="261"/>
      <c r="KYF42" s="261"/>
      <c r="KYG42" s="261"/>
      <c r="KYH42" s="261"/>
      <c r="KYI42" s="261"/>
      <c r="KYJ42" s="261"/>
      <c r="KYK42" s="261"/>
      <c r="KYL42" s="261"/>
      <c r="KYM42" s="261"/>
      <c r="KYN42" s="261"/>
      <c r="KYO42" s="261"/>
      <c r="KYP42" s="261"/>
      <c r="KYQ42" s="261"/>
      <c r="KYR42" s="261"/>
      <c r="KYS42" s="261"/>
      <c r="KYT42" s="261"/>
      <c r="KYU42" s="261"/>
      <c r="KYV42" s="261"/>
      <c r="KYW42" s="261"/>
      <c r="KYX42" s="261"/>
      <c r="KYY42" s="261"/>
      <c r="KYZ42" s="261"/>
      <c r="KZA42" s="261"/>
      <c r="KZB42" s="261"/>
      <c r="KZC42" s="261"/>
      <c r="KZD42" s="261"/>
      <c r="KZE42" s="261"/>
      <c r="KZF42" s="261"/>
      <c r="KZG42" s="261"/>
      <c r="KZH42" s="261"/>
      <c r="KZI42" s="261"/>
      <c r="KZJ42" s="261"/>
      <c r="KZK42" s="261"/>
      <c r="KZL42" s="261"/>
      <c r="KZM42" s="261"/>
      <c r="KZN42" s="261"/>
      <c r="KZO42" s="261"/>
      <c r="KZP42" s="261"/>
      <c r="KZQ42" s="261"/>
      <c r="KZR42" s="261"/>
      <c r="KZS42" s="261"/>
      <c r="KZT42" s="261"/>
      <c r="KZU42" s="261"/>
      <c r="KZV42" s="261"/>
      <c r="KZW42" s="261"/>
      <c r="KZX42" s="261"/>
      <c r="KZY42" s="261"/>
      <c r="KZZ42" s="261"/>
      <c r="LAA42" s="261"/>
      <c r="LAB42" s="261"/>
      <c r="LAC42" s="261"/>
      <c r="LAD42" s="261"/>
      <c r="LAE42" s="261"/>
      <c r="LAF42" s="261"/>
      <c r="LAG42" s="261"/>
      <c r="LAH42" s="261"/>
      <c r="LAI42" s="261"/>
      <c r="LAJ42" s="261"/>
      <c r="LAK42" s="261"/>
      <c r="LAL42" s="261"/>
      <c r="LAM42" s="261"/>
      <c r="LAN42" s="261"/>
      <c r="LAO42" s="261"/>
      <c r="LAP42" s="261"/>
      <c r="LAQ42" s="261"/>
      <c r="LAR42" s="261"/>
      <c r="LAS42" s="261"/>
      <c r="LAT42" s="261"/>
      <c r="LAU42" s="261"/>
      <c r="LAV42" s="261"/>
      <c r="LAW42" s="261"/>
      <c r="LAX42" s="261"/>
      <c r="LAY42" s="261"/>
      <c r="LAZ42" s="261"/>
      <c r="LBA42" s="261"/>
      <c r="LBB42" s="261"/>
      <c r="LBC42" s="261"/>
      <c r="LBD42" s="261"/>
      <c r="LBE42" s="261"/>
      <c r="LBF42" s="261"/>
      <c r="LBG42" s="261"/>
      <c r="LBH42" s="261"/>
      <c r="LBI42" s="261"/>
      <c r="LBJ42" s="261"/>
      <c r="LBK42" s="261"/>
      <c r="LBL42" s="261"/>
      <c r="LBM42" s="261"/>
      <c r="LBN42" s="261"/>
      <c r="LBO42" s="261"/>
      <c r="LBP42" s="261"/>
      <c r="LBQ42" s="261"/>
      <c r="LBR42" s="261"/>
      <c r="LBS42" s="261"/>
      <c r="LBT42" s="261"/>
      <c r="LBU42" s="261"/>
      <c r="LBV42" s="261"/>
      <c r="LBW42" s="261"/>
      <c r="LBX42" s="261"/>
      <c r="LBY42" s="261"/>
      <c r="LBZ42" s="261"/>
      <c r="LCA42" s="261"/>
      <c r="LCB42" s="261"/>
      <c r="LCC42" s="261"/>
      <c r="LCD42" s="261"/>
      <c r="LCE42" s="261"/>
      <c r="LCF42" s="261"/>
      <c r="LCG42" s="261"/>
      <c r="LCH42" s="261"/>
      <c r="LCI42" s="261"/>
      <c r="LCJ42" s="261"/>
      <c r="LCK42" s="261"/>
      <c r="LCL42" s="261"/>
      <c r="LCM42" s="261"/>
      <c r="LCN42" s="261"/>
      <c r="LCO42" s="261"/>
      <c r="LCP42" s="261"/>
      <c r="LCQ42" s="261"/>
      <c r="LCR42" s="261"/>
      <c r="LCS42" s="261"/>
      <c r="LCT42" s="261"/>
      <c r="LCU42" s="261"/>
      <c r="LCV42" s="261"/>
      <c r="LCW42" s="261"/>
      <c r="LCX42" s="261"/>
      <c r="LCY42" s="261"/>
      <c r="LCZ42" s="261"/>
      <c r="LDA42" s="261"/>
      <c r="LDB42" s="261"/>
      <c r="LDC42" s="261"/>
      <c r="LDD42" s="261"/>
      <c r="LDE42" s="261"/>
      <c r="LDF42" s="261"/>
      <c r="LDG42" s="261"/>
      <c r="LDH42" s="261"/>
      <c r="LDI42" s="261"/>
      <c r="LDJ42" s="261"/>
      <c r="LDK42" s="261"/>
      <c r="LDL42" s="261"/>
      <c r="LDM42" s="261"/>
      <c r="LDN42" s="261"/>
      <c r="LDO42" s="261"/>
      <c r="LDP42" s="261"/>
      <c r="LDQ42" s="261"/>
      <c r="LDR42" s="261"/>
      <c r="LDS42" s="261"/>
      <c r="LDT42" s="261"/>
      <c r="LDU42" s="261"/>
      <c r="LDV42" s="261"/>
      <c r="LDW42" s="261"/>
      <c r="LDX42" s="261"/>
      <c r="LDY42" s="261"/>
      <c r="LDZ42" s="261"/>
      <c r="LEA42" s="261"/>
      <c r="LEB42" s="261"/>
      <c r="LEC42" s="261"/>
      <c r="LED42" s="261"/>
      <c r="LEE42" s="261"/>
      <c r="LEF42" s="261"/>
      <c r="LEG42" s="261"/>
      <c r="LEH42" s="261"/>
      <c r="LEI42" s="261"/>
      <c r="LEJ42" s="261"/>
      <c r="LEK42" s="261"/>
      <c r="LEL42" s="261"/>
      <c r="LEM42" s="261"/>
      <c r="LEN42" s="261"/>
      <c r="LEO42" s="261"/>
      <c r="LEP42" s="261"/>
      <c r="LEQ42" s="261"/>
      <c r="LER42" s="261"/>
      <c r="LES42" s="261"/>
      <c r="LET42" s="261"/>
      <c r="LEU42" s="261"/>
      <c r="LEV42" s="261"/>
      <c r="LEW42" s="261"/>
      <c r="LEX42" s="261"/>
      <c r="LEY42" s="261"/>
      <c r="LEZ42" s="261"/>
      <c r="LFA42" s="261"/>
      <c r="LFB42" s="261"/>
      <c r="LFC42" s="261"/>
      <c r="LFD42" s="261"/>
      <c r="LFE42" s="261"/>
      <c r="LFF42" s="261"/>
      <c r="LFG42" s="261"/>
      <c r="LFH42" s="261"/>
      <c r="LFI42" s="261"/>
      <c r="LFJ42" s="261"/>
      <c r="LFK42" s="261"/>
      <c r="LFL42" s="261"/>
      <c r="LFM42" s="261"/>
      <c r="LFN42" s="261"/>
      <c r="LFO42" s="261"/>
      <c r="LFP42" s="261"/>
      <c r="LFQ42" s="261"/>
      <c r="LFR42" s="261"/>
      <c r="LFS42" s="261"/>
      <c r="LFT42" s="261"/>
      <c r="LFU42" s="261"/>
      <c r="LFV42" s="261"/>
      <c r="LFW42" s="261"/>
      <c r="LFX42" s="261"/>
      <c r="LFY42" s="261"/>
      <c r="LFZ42" s="261"/>
      <c r="LGA42" s="261"/>
      <c r="LGB42" s="261"/>
      <c r="LGC42" s="261"/>
      <c r="LGD42" s="261"/>
      <c r="LGE42" s="261"/>
      <c r="LGF42" s="261"/>
      <c r="LGG42" s="261"/>
      <c r="LGH42" s="261"/>
      <c r="LGI42" s="261"/>
      <c r="LGJ42" s="261"/>
      <c r="LGK42" s="261"/>
      <c r="LGL42" s="261"/>
      <c r="LGM42" s="261"/>
      <c r="LGN42" s="261"/>
      <c r="LGO42" s="261"/>
      <c r="LGP42" s="261"/>
      <c r="LGQ42" s="261"/>
      <c r="LGR42" s="261"/>
      <c r="LGS42" s="261"/>
      <c r="LGT42" s="261"/>
      <c r="LGU42" s="261"/>
      <c r="LGV42" s="261"/>
      <c r="LGW42" s="261"/>
      <c r="LGX42" s="261"/>
      <c r="LGY42" s="261"/>
      <c r="LGZ42" s="261"/>
      <c r="LHA42" s="261"/>
      <c r="LHB42" s="261"/>
      <c r="LHC42" s="261"/>
      <c r="LHD42" s="261"/>
      <c r="LHE42" s="261"/>
      <c r="LHF42" s="261"/>
      <c r="LHG42" s="261"/>
      <c r="LHH42" s="261"/>
      <c r="LHI42" s="261"/>
      <c r="LHJ42" s="261"/>
      <c r="LHK42" s="261"/>
      <c r="LHL42" s="261"/>
      <c r="LHM42" s="261"/>
      <c r="LHN42" s="261"/>
      <c r="LHO42" s="261"/>
      <c r="LHP42" s="261"/>
      <c r="LHQ42" s="261"/>
      <c r="LHR42" s="261"/>
      <c r="LHS42" s="261"/>
      <c r="LHT42" s="261"/>
      <c r="LHU42" s="261"/>
      <c r="LHV42" s="261"/>
      <c r="LHW42" s="261"/>
      <c r="LHX42" s="261"/>
      <c r="LHY42" s="261"/>
      <c r="LHZ42" s="261"/>
      <c r="LIA42" s="261"/>
      <c r="LIB42" s="261"/>
      <c r="LIC42" s="261"/>
      <c r="LID42" s="261"/>
      <c r="LIE42" s="261"/>
      <c r="LIF42" s="261"/>
      <c r="LIG42" s="261"/>
      <c r="LIH42" s="261"/>
      <c r="LII42" s="261"/>
      <c r="LIJ42" s="261"/>
      <c r="LIK42" s="261"/>
      <c r="LIL42" s="261"/>
      <c r="LIM42" s="261"/>
      <c r="LIN42" s="261"/>
      <c r="LIO42" s="261"/>
      <c r="LIP42" s="261"/>
      <c r="LIQ42" s="261"/>
      <c r="LIR42" s="261"/>
      <c r="LIS42" s="261"/>
      <c r="LIT42" s="261"/>
      <c r="LIU42" s="261"/>
      <c r="LIV42" s="261"/>
      <c r="LIW42" s="261"/>
      <c r="LIX42" s="261"/>
      <c r="LIY42" s="261"/>
      <c r="LIZ42" s="261"/>
      <c r="LJA42" s="261"/>
      <c r="LJB42" s="261"/>
      <c r="LJC42" s="261"/>
      <c r="LJD42" s="261"/>
      <c r="LJE42" s="261"/>
      <c r="LJF42" s="261"/>
      <c r="LJG42" s="261"/>
      <c r="LJH42" s="261"/>
      <c r="LJI42" s="261"/>
      <c r="LJJ42" s="261"/>
      <c r="LJK42" s="261"/>
      <c r="LJL42" s="261"/>
      <c r="LJM42" s="261"/>
      <c r="LJN42" s="261"/>
      <c r="LJO42" s="261"/>
      <c r="LJP42" s="261"/>
      <c r="LJQ42" s="261"/>
      <c r="LJR42" s="261"/>
      <c r="LJS42" s="261"/>
      <c r="LJT42" s="261"/>
      <c r="LJU42" s="261"/>
      <c r="LJV42" s="261"/>
      <c r="LJW42" s="261"/>
      <c r="LJX42" s="261"/>
      <c r="LJY42" s="261"/>
      <c r="LJZ42" s="261"/>
      <c r="LKA42" s="261"/>
      <c r="LKB42" s="261"/>
      <c r="LKC42" s="261"/>
      <c r="LKD42" s="261"/>
      <c r="LKE42" s="261"/>
      <c r="LKF42" s="261"/>
      <c r="LKG42" s="261"/>
      <c r="LKH42" s="261"/>
      <c r="LKI42" s="261"/>
      <c r="LKJ42" s="261"/>
      <c r="LKK42" s="261"/>
      <c r="LKL42" s="261"/>
      <c r="LKM42" s="261"/>
      <c r="LKN42" s="261"/>
      <c r="LKO42" s="261"/>
      <c r="LKP42" s="261"/>
      <c r="LKQ42" s="261"/>
      <c r="LKR42" s="261"/>
      <c r="LKS42" s="261"/>
      <c r="LKT42" s="261"/>
      <c r="LKU42" s="261"/>
      <c r="LKV42" s="261"/>
      <c r="LKW42" s="261"/>
      <c r="LKX42" s="261"/>
      <c r="LKY42" s="261"/>
      <c r="LKZ42" s="261"/>
      <c r="LLA42" s="261"/>
      <c r="LLB42" s="261"/>
      <c r="LLC42" s="261"/>
      <c r="LLD42" s="261"/>
      <c r="LLE42" s="261"/>
      <c r="LLF42" s="261"/>
      <c r="LLG42" s="261"/>
      <c r="LLH42" s="261"/>
      <c r="LLI42" s="261"/>
      <c r="LLJ42" s="261"/>
      <c r="LLK42" s="261"/>
      <c r="LLL42" s="261"/>
      <c r="LLM42" s="261"/>
      <c r="LLN42" s="261"/>
      <c r="LLO42" s="261"/>
      <c r="LLP42" s="261"/>
      <c r="LLQ42" s="261"/>
      <c r="LLR42" s="261"/>
      <c r="LLS42" s="261"/>
      <c r="LLT42" s="261"/>
      <c r="LLU42" s="261"/>
      <c r="LLV42" s="261"/>
      <c r="LLW42" s="261"/>
      <c r="LLX42" s="261"/>
      <c r="LLY42" s="261"/>
      <c r="LLZ42" s="261"/>
      <c r="LMA42" s="261"/>
      <c r="LMB42" s="261"/>
      <c r="LMC42" s="261"/>
      <c r="LMD42" s="261"/>
      <c r="LME42" s="261"/>
      <c r="LMF42" s="261"/>
      <c r="LMG42" s="261"/>
      <c r="LMH42" s="261"/>
      <c r="LMI42" s="261"/>
      <c r="LMJ42" s="261"/>
      <c r="LMK42" s="261"/>
      <c r="LML42" s="261"/>
      <c r="LMM42" s="261"/>
      <c r="LMN42" s="261"/>
      <c r="LMO42" s="261"/>
      <c r="LMP42" s="261"/>
      <c r="LMQ42" s="261"/>
      <c r="LMR42" s="261"/>
      <c r="LMS42" s="261"/>
      <c r="LMT42" s="261"/>
      <c r="LMU42" s="261"/>
      <c r="LMV42" s="261"/>
      <c r="LMW42" s="261"/>
      <c r="LMX42" s="261"/>
      <c r="LMY42" s="261"/>
      <c r="LMZ42" s="261"/>
      <c r="LNA42" s="261"/>
      <c r="LNB42" s="261"/>
      <c r="LNC42" s="261"/>
      <c r="LND42" s="261"/>
      <c r="LNE42" s="261"/>
      <c r="LNF42" s="261"/>
      <c r="LNG42" s="261"/>
      <c r="LNH42" s="261"/>
      <c r="LNI42" s="261"/>
      <c r="LNJ42" s="261"/>
      <c r="LNK42" s="261"/>
      <c r="LNL42" s="261"/>
      <c r="LNM42" s="261"/>
      <c r="LNN42" s="261"/>
      <c r="LNO42" s="261"/>
      <c r="LNP42" s="261"/>
      <c r="LNQ42" s="261"/>
      <c r="LNR42" s="261"/>
      <c r="LNS42" s="261"/>
      <c r="LNT42" s="261"/>
      <c r="LNU42" s="261"/>
      <c r="LNV42" s="261"/>
      <c r="LNW42" s="261"/>
      <c r="LNX42" s="261"/>
      <c r="LNY42" s="261"/>
      <c r="LNZ42" s="261"/>
      <c r="LOA42" s="261"/>
      <c r="LOB42" s="261"/>
      <c r="LOC42" s="261"/>
      <c r="LOD42" s="261"/>
      <c r="LOE42" s="261"/>
      <c r="LOF42" s="261"/>
      <c r="LOG42" s="261"/>
      <c r="LOH42" s="261"/>
      <c r="LOI42" s="261"/>
      <c r="LOJ42" s="261"/>
      <c r="LOK42" s="261"/>
      <c r="LOL42" s="261"/>
      <c r="LOM42" s="261"/>
      <c r="LON42" s="261"/>
      <c r="LOO42" s="261"/>
      <c r="LOP42" s="261"/>
      <c r="LOQ42" s="261"/>
      <c r="LOR42" s="261"/>
      <c r="LOS42" s="261"/>
      <c r="LOT42" s="261"/>
      <c r="LOU42" s="261"/>
      <c r="LOV42" s="261"/>
      <c r="LOW42" s="261"/>
      <c r="LOX42" s="261"/>
      <c r="LOY42" s="261"/>
      <c r="LOZ42" s="261"/>
      <c r="LPA42" s="261"/>
      <c r="LPB42" s="261"/>
      <c r="LPC42" s="261"/>
      <c r="LPD42" s="261"/>
      <c r="LPE42" s="261"/>
      <c r="LPF42" s="261"/>
      <c r="LPG42" s="261"/>
      <c r="LPH42" s="261"/>
      <c r="LPI42" s="261"/>
      <c r="LPJ42" s="261"/>
      <c r="LPK42" s="261"/>
      <c r="LPL42" s="261"/>
      <c r="LPM42" s="261"/>
      <c r="LPN42" s="261"/>
      <c r="LPO42" s="261"/>
      <c r="LPP42" s="261"/>
      <c r="LPQ42" s="261"/>
      <c r="LPR42" s="261"/>
      <c r="LPS42" s="261"/>
      <c r="LPT42" s="261"/>
      <c r="LPU42" s="261"/>
      <c r="LPV42" s="261"/>
      <c r="LPW42" s="261"/>
      <c r="LPX42" s="261"/>
      <c r="LPY42" s="261"/>
      <c r="LPZ42" s="261"/>
      <c r="LQA42" s="261"/>
      <c r="LQB42" s="261"/>
      <c r="LQC42" s="261"/>
      <c r="LQD42" s="261"/>
      <c r="LQE42" s="261"/>
      <c r="LQF42" s="261"/>
      <c r="LQG42" s="261"/>
      <c r="LQH42" s="261"/>
      <c r="LQI42" s="261"/>
      <c r="LQJ42" s="261"/>
      <c r="LQK42" s="261"/>
      <c r="LQL42" s="261"/>
      <c r="LQM42" s="261"/>
      <c r="LQN42" s="261"/>
      <c r="LQO42" s="261"/>
      <c r="LQP42" s="261"/>
      <c r="LQQ42" s="261"/>
      <c r="LQR42" s="261"/>
      <c r="LQS42" s="261"/>
      <c r="LQT42" s="261"/>
      <c r="LQU42" s="261"/>
      <c r="LQV42" s="261"/>
      <c r="LQW42" s="261"/>
      <c r="LQX42" s="261"/>
      <c r="LQY42" s="261"/>
      <c r="LQZ42" s="261"/>
      <c r="LRA42" s="261"/>
      <c r="LRB42" s="261"/>
      <c r="LRC42" s="261"/>
      <c r="LRD42" s="261"/>
      <c r="LRE42" s="261"/>
      <c r="LRF42" s="261"/>
      <c r="LRG42" s="261"/>
      <c r="LRH42" s="261"/>
      <c r="LRI42" s="261"/>
      <c r="LRJ42" s="261"/>
      <c r="LRK42" s="261"/>
      <c r="LRL42" s="261"/>
      <c r="LRM42" s="261"/>
      <c r="LRN42" s="261"/>
      <c r="LRO42" s="261"/>
      <c r="LRP42" s="261"/>
      <c r="LRQ42" s="261"/>
      <c r="LRR42" s="261"/>
      <c r="LRS42" s="261"/>
      <c r="LRT42" s="261"/>
      <c r="LRU42" s="261"/>
      <c r="LRV42" s="261"/>
      <c r="LRW42" s="261"/>
      <c r="LRX42" s="261"/>
      <c r="LRY42" s="261"/>
      <c r="LRZ42" s="261"/>
      <c r="LSA42" s="261"/>
      <c r="LSB42" s="261"/>
      <c r="LSC42" s="261"/>
      <c r="LSD42" s="261"/>
      <c r="LSE42" s="261"/>
      <c r="LSF42" s="261"/>
      <c r="LSG42" s="261"/>
      <c r="LSH42" s="261"/>
      <c r="LSI42" s="261"/>
      <c r="LSJ42" s="261"/>
      <c r="LSK42" s="261"/>
      <c r="LSL42" s="261"/>
      <c r="LSM42" s="261"/>
      <c r="LSN42" s="261"/>
      <c r="LSO42" s="261"/>
      <c r="LSP42" s="261"/>
      <c r="LSQ42" s="261"/>
      <c r="LSR42" s="261"/>
      <c r="LSS42" s="261"/>
      <c r="LST42" s="261"/>
      <c r="LSU42" s="261"/>
      <c r="LSV42" s="261"/>
      <c r="LSW42" s="261"/>
      <c r="LSX42" s="261"/>
      <c r="LSY42" s="261"/>
      <c r="LSZ42" s="261"/>
      <c r="LTA42" s="261"/>
      <c r="LTB42" s="261"/>
      <c r="LTC42" s="261"/>
      <c r="LTD42" s="261"/>
      <c r="LTE42" s="261"/>
      <c r="LTF42" s="261"/>
      <c r="LTG42" s="261"/>
      <c r="LTH42" s="261"/>
      <c r="LTI42" s="261"/>
      <c r="LTJ42" s="261"/>
      <c r="LTK42" s="261"/>
      <c r="LTL42" s="261"/>
      <c r="LTM42" s="261"/>
      <c r="LTN42" s="261"/>
      <c r="LTO42" s="261"/>
      <c r="LTP42" s="261"/>
      <c r="LTQ42" s="261"/>
      <c r="LTR42" s="261"/>
      <c r="LTS42" s="261"/>
      <c r="LTT42" s="261"/>
      <c r="LTU42" s="261"/>
      <c r="LTV42" s="261"/>
      <c r="LTW42" s="261"/>
      <c r="LTX42" s="261"/>
      <c r="LTY42" s="261"/>
      <c r="LTZ42" s="261"/>
      <c r="LUA42" s="261"/>
      <c r="LUB42" s="261"/>
      <c r="LUC42" s="261"/>
      <c r="LUD42" s="261"/>
      <c r="LUE42" s="261"/>
      <c r="LUF42" s="261"/>
      <c r="LUG42" s="261"/>
      <c r="LUH42" s="261"/>
      <c r="LUI42" s="261"/>
      <c r="LUJ42" s="261"/>
      <c r="LUK42" s="261"/>
      <c r="LUL42" s="261"/>
      <c r="LUM42" s="261"/>
      <c r="LUN42" s="261"/>
      <c r="LUO42" s="261"/>
      <c r="LUP42" s="261"/>
      <c r="LUQ42" s="261"/>
      <c r="LUR42" s="261"/>
      <c r="LUS42" s="261"/>
      <c r="LUT42" s="261"/>
      <c r="LUU42" s="261"/>
      <c r="LUV42" s="261"/>
      <c r="LUW42" s="261"/>
      <c r="LUX42" s="261"/>
      <c r="LUY42" s="261"/>
      <c r="LUZ42" s="261"/>
      <c r="LVA42" s="261"/>
      <c r="LVB42" s="261"/>
      <c r="LVC42" s="261"/>
      <c r="LVD42" s="261"/>
      <c r="LVE42" s="261"/>
      <c r="LVF42" s="261"/>
      <c r="LVG42" s="261"/>
      <c r="LVH42" s="261"/>
      <c r="LVI42" s="261"/>
      <c r="LVJ42" s="261"/>
      <c r="LVK42" s="261"/>
      <c r="LVL42" s="261"/>
      <c r="LVM42" s="261"/>
      <c r="LVN42" s="261"/>
      <c r="LVO42" s="261"/>
      <c r="LVP42" s="261"/>
      <c r="LVQ42" s="261"/>
      <c r="LVR42" s="261"/>
      <c r="LVS42" s="261"/>
      <c r="LVT42" s="261"/>
      <c r="LVU42" s="261"/>
      <c r="LVV42" s="261"/>
      <c r="LVW42" s="261"/>
      <c r="LVX42" s="261"/>
      <c r="LVY42" s="261"/>
      <c r="LVZ42" s="261"/>
      <c r="LWA42" s="261"/>
      <c r="LWB42" s="261"/>
      <c r="LWC42" s="261"/>
      <c r="LWD42" s="261"/>
      <c r="LWE42" s="261"/>
      <c r="LWF42" s="261"/>
      <c r="LWG42" s="261"/>
      <c r="LWH42" s="261"/>
      <c r="LWI42" s="261"/>
      <c r="LWJ42" s="261"/>
      <c r="LWK42" s="261"/>
      <c r="LWL42" s="261"/>
      <c r="LWM42" s="261"/>
      <c r="LWN42" s="261"/>
      <c r="LWO42" s="261"/>
      <c r="LWP42" s="261"/>
      <c r="LWQ42" s="261"/>
      <c r="LWR42" s="261"/>
      <c r="LWS42" s="261"/>
      <c r="LWT42" s="261"/>
      <c r="LWU42" s="261"/>
      <c r="LWV42" s="261"/>
      <c r="LWW42" s="261"/>
      <c r="LWX42" s="261"/>
      <c r="LWY42" s="261"/>
      <c r="LWZ42" s="261"/>
      <c r="LXA42" s="261"/>
      <c r="LXB42" s="261"/>
      <c r="LXC42" s="261"/>
      <c r="LXD42" s="261"/>
      <c r="LXE42" s="261"/>
      <c r="LXF42" s="261"/>
      <c r="LXG42" s="261"/>
      <c r="LXH42" s="261"/>
      <c r="LXI42" s="261"/>
      <c r="LXJ42" s="261"/>
      <c r="LXK42" s="261"/>
      <c r="LXL42" s="261"/>
      <c r="LXM42" s="261"/>
      <c r="LXN42" s="261"/>
      <c r="LXO42" s="261"/>
      <c r="LXP42" s="261"/>
      <c r="LXQ42" s="261"/>
      <c r="LXR42" s="261"/>
      <c r="LXS42" s="261"/>
      <c r="LXT42" s="261"/>
      <c r="LXU42" s="261"/>
      <c r="LXV42" s="261"/>
      <c r="LXW42" s="261"/>
      <c r="LXX42" s="261"/>
      <c r="LXY42" s="261"/>
      <c r="LXZ42" s="261"/>
      <c r="LYA42" s="261"/>
      <c r="LYB42" s="261"/>
      <c r="LYC42" s="261"/>
      <c r="LYD42" s="261"/>
      <c r="LYE42" s="261"/>
      <c r="LYF42" s="261"/>
      <c r="LYG42" s="261"/>
      <c r="LYH42" s="261"/>
      <c r="LYI42" s="261"/>
      <c r="LYJ42" s="261"/>
      <c r="LYK42" s="261"/>
      <c r="LYL42" s="261"/>
      <c r="LYM42" s="261"/>
      <c r="LYN42" s="261"/>
      <c r="LYO42" s="261"/>
      <c r="LYP42" s="261"/>
      <c r="LYQ42" s="261"/>
      <c r="LYR42" s="261"/>
      <c r="LYS42" s="261"/>
      <c r="LYT42" s="261"/>
      <c r="LYU42" s="261"/>
      <c r="LYV42" s="261"/>
      <c r="LYW42" s="261"/>
      <c r="LYX42" s="261"/>
      <c r="LYY42" s="261"/>
      <c r="LYZ42" s="261"/>
      <c r="LZA42" s="261"/>
      <c r="LZB42" s="261"/>
      <c r="LZC42" s="261"/>
      <c r="LZD42" s="261"/>
      <c r="LZE42" s="261"/>
      <c r="LZF42" s="261"/>
      <c r="LZG42" s="261"/>
      <c r="LZH42" s="261"/>
      <c r="LZI42" s="261"/>
      <c r="LZJ42" s="261"/>
      <c r="LZK42" s="261"/>
      <c r="LZL42" s="261"/>
      <c r="LZM42" s="261"/>
      <c r="LZN42" s="261"/>
      <c r="LZO42" s="261"/>
      <c r="LZP42" s="261"/>
      <c r="LZQ42" s="261"/>
      <c r="LZR42" s="261"/>
      <c r="LZS42" s="261"/>
      <c r="LZT42" s="261"/>
      <c r="LZU42" s="261"/>
      <c r="LZV42" s="261"/>
      <c r="LZW42" s="261"/>
      <c r="LZX42" s="261"/>
      <c r="LZY42" s="261"/>
      <c r="LZZ42" s="261"/>
      <c r="MAA42" s="261"/>
      <c r="MAB42" s="261"/>
      <c r="MAC42" s="261"/>
      <c r="MAD42" s="261"/>
      <c r="MAE42" s="261"/>
      <c r="MAF42" s="261"/>
      <c r="MAG42" s="261"/>
      <c r="MAH42" s="261"/>
      <c r="MAI42" s="261"/>
      <c r="MAJ42" s="261"/>
      <c r="MAK42" s="261"/>
      <c r="MAL42" s="261"/>
      <c r="MAM42" s="261"/>
      <c r="MAN42" s="261"/>
      <c r="MAO42" s="261"/>
      <c r="MAP42" s="261"/>
      <c r="MAQ42" s="261"/>
      <c r="MAR42" s="261"/>
      <c r="MAS42" s="261"/>
      <c r="MAT42" s="261"/>
      <c r="MAU42" s="261"/>
      <c r="MAV42" s="261"/>
      <c r="MAW42" s="261"/>
      <c r="MAX42" s="261"/>
      <c r="MAY42" s="261"/>
      <c r="MAZ42" s="261"/>
      <c r="MBA42" s="261"/>
      <c r="MBB42" s="261"/>
      <c r="MBC42" s="261"/>
      <c r="MBD42" s="261"/>
      <c r="MBE42" s="261"/>
      <c r="MBF42" s="261"/>
      <c r="MBG42" s="261"/>
      <c r="MBH42" s="261"/>
      <c r="MBI42" s="261"/>
      <c r="MBJ42" s="261"/>
      <c r="MBK42" s="261"/>
      <c r="MBL42" s="261"/>
      <c r="MBM42" s="261"/>
      <c r="MBN42" s="261"/>
      <c r="MBO42" s="261"/>
      <c r="MBP42" s="261"/>
      <c r="MBQ42" s="261"/>
      <c r="MBR42" s="261"/>
      <c r="MBS42" s="261"/>
      <c r="MBT42" s="261"/>
      <c r="MBU42" s="261"/>
      <c r="MBV42" s="261"/>
      <c r="MBW42" s="261"/>
      <c r="MBX42" s="261"/>
      <c r="MBY42" s="261"/>
      <c r="MBZ42" s="261"/>
      <c r="MCA42" s="261"/>
      <c r="MCB42" s="261"/>
      <c r="MCC42" s="261"/>
      <c r="MCD42" s="261"/>
      <c r="MCE42" s="261"/>
      <c r="MCF42" s="261"/>
      <c r="MCG42" s="261"/>
      <c r="MCH42" s="261"/>
      <c r="MCI42" s="261"/>
      <c r="MCJ42" s="261"/>
      <c r="MCK42" s="261"/>
      <c r="MCL42" s="261"/>
      <c r="MCM42" s="261"/>
      <c r="MCN42" s="261"/>
      <c r="MCO42" s="261"/>
      <c r="MCP42" s="261"/>
      <c r="MCQ42" s="261"/>
      <c r="MCR42" s="261"/>
      <c r="MCS42" s="261"/>
      <c r="MCT42" s="261"/>
      <c r="MCU42" s="261"/>
      <c r="MCV42" s="261"/>
      <c r="MCW42" s="261"/>
      <c r="MCX42" s="261"/>
      <c r="MCY42" s="261"/>
      <c r="MCZ42" s="261"/>
      <c r="MDA42" s="261"/>
      <c r="MDB42" s="261"/>
      <c r="MDC42" s="261"/>
      <c r="MDD42" s="261"/>
      <c r="MDE42" s="261"/>
      <c r="MDF42" s="261"/>
      <c r="MDG42" s="261"/>
      <c r="MDH42" s="261"/>
      <c r="MDI42" s="261"/>
      <c r="MDJ42" s="261"/>
      <c r="MDK42" s="261"/>
      <c r="MDL42" s="261"/>
      <c r="MDM42" s="261"/>
      <c r="MDN42" s="261"/>
      <c r="MDO42" s="261"/>
      <c r="MDP42" s="261"/>
      <c r="MDQ42" s="261"/>
      <c r="MDR42" s="261"/>
      <c r="MDS42" s="261"/>
      <c r="MDT42" s="261"/>
      <c r="MDU42" s="261"/>
      <c r="MDV42" s="261"/>
      <c r="MDW42" s="261"/>
      <c r="MDX42" s="261"/>
      <c r="MDY42" s="261"/>
      <c r="MDZ42" s="261"/>
      <c r="MEA42" s="261"/>
      <c r="MEB42" s="261"/>
      <c r="MEC42" s="261"/>
      <c r="MED42" s="261"/>
      <c r="MEE42" s="261"/>
      <c r="MEF42" s="261"/>
      <c r="MEG42" s="261"/>
      <c r="MEH42" s="261"/>
      <c r="MEI42" s="261"/>
      <c r="MEJ42" s="261"/>
      <c r="MEK42" s="261"/>
      <c r="MEL42" s="261"/>
      <c r="MEM42" s="261"/>
      <c r="MEN42" s="261"/>
      <c r="MEO42" s="261"/>
      <c r="MEP42" s="261"/>
      <c r="MEQ42" s="261"/>
      <c r="MER42" s="261"/>
      <c r="MES42" s="261"/>
      <c r="MET42" s="261"/>
      <c r="MEU42" s="261"/>
      <c r="MEV42" s="261"/>
      <c r="MEW42" s="261"/>
      <c r="MEX42" s="261"/>
      <c r="MEY42" s="261"/>
      <c r="MEZ42" s="261"/>
      <c r="MFA42" s="261"/>
      <c r="MFB42" s="261"/>
      <c r="MFC42" s="261"/>
      <c r="MFD42" s="261"/>
      <c r="MFE42" s="261"/>
      <c r="MFF42" s="261"/>
      <c r="MFG42" s="261"/>
      <c r="MFH42" s="261"/>
      <c r="MFI42" s="261"/>
      <c r="MFJ42" s="261"/>
      <c r="MFK42" s="261"/>
      <c r="MFL42" s="261"/>
      <c r="MFM42" s="261"/>
      <c r="MFN42" s="261"/>
      <c r="MFO42" s="261"/>
      <c r="MFP42" s="261"/>
      <c r="MFQ42" s="261"/>
      <c r="MFR42" s="261"/>
      <c r="MFS42" s="261"/>
      <c r="MFT42" s="261"/>
      <c r="MFU42" s="261"/>
      <c r="MFV42" s="261"/>
      <c r="MFW42" s="261"/>
      <c r="MFX42" s="261"/>
      <c r="MFY42" s="261"/>
      <c r="MFZ42" s="261"/>
      <c r="MGA42" s="261"/>
      <c r="MGB42" s="261"/>
      <c r="MGC42" s="261"/>
      <c r="MGD42" s="261"/>
      <c r="MGE42" s="261"/>
      <c r="MGF42" s="261"/>
      <c r="MGG42" s="261"/>
      <c r="MGH42" s="261"/>
      <c r="MGI42" s="261"/>
      <c r="MGJ42" s="261"/>
      <c r="MGK42" s="261"/>
      <c r="MGL42" s="261"/>
      <c r="MGM42" s="261"/>
      <c r="MGN42" s="261"/>
      <c r="MGO42" s="261"/>
      <c r="MGP42" s="261"/>
      <c r="MGQ42" s="261"/>
      <c r="MGR42" s="261"/>
      <c r="MGS42" s="261"/>
      <c r="MGT42" s="261"/>
      <c r="MGU42" s="261"/>
      <c r="MGV42" s="261"/>
      <c r="MGW42" s="261"/>
      <c r="MGX42" s="261"/>
      <c r="MGY42" s="261"/>
      <c r="MGZ42" s="261"/>
      <c r="MHA42" s="261"/>
      <c r="MHB42" s="261"/>
      <c r="MHC42" s="261"/>
      <c r="MHD42" s="261"/>
      <c r="MHE42" s="261"/>
      <c r="MHF42" s="261"/>
      <c r="MHG42" s="261"/>
      <c r="MHH42" s="261"/>
      <c r="MHI42" s="261"/>
      <c r="MHJ42" s="261"/>
      <c r="MHK42" s="261"/>
      <c r="MHL42" s="261"/>
      <c r="MHM42" s="261"/>
      <c r="MHN42" s="261"/>
      <c r="MHO42" s="261"/>
      <c r="MHP42" s="261"/>
      <c r="MHQ42" s="261"/>
      <c r="MHR42" s="261"/>
      <c r="MHS42" s="261"/>
      <c r="MHT42" s="261"/>
      <c r="MHU42" s="261"/>
      <c r="MHV42" s="261"/>
      <c r="MHW42" s="261"/>
      <c r="MHX42" s="261"/>
      <c r="MHY42" s="261"/>
      <c r="MHZ42" s="261"/>
      <c r="MIA42" s="261"/>
      <c r="MIB42" s="261"/>
      <c r="MIC42" s="261"/>
      <c r="MID42" s="261"/>
      <c r="MIE42" s="261"/>
      <c r="MIF42" s="261"/>
      <c r="MIG42" s="261"/>
      <c r="MIH42" s="261"/>
      <c r="MII42" s="261"/>
      <c r="MIJ42" s="261"/>
      <c r="MIK42" s="261"/>
      <c r="MIL42" s="261"/>
      <c r="MIM42" s="261"/>
      <c r="MIN42" s="261"/>
      <c r="MIO42" s="261"/>
      <c r="MIP42" s="261"/>
      <c r="MIQ42" s="261"/>
      <c r="MIR42" s="261"/>
      <c r="MIS42" s="261"/>
      <c r="MIT42" s="261"/>
      <c r="MIU42" s="261"/>
      <c r="MIV42" s="261"/>
      <c r="MIW42" s="261"/>
      <c r="MIX42" s="261"/>
      <c r="MIY42" s="261"/>
      <c r="MIZ42" s="261"/>
      <c r="MJA42" s="261"/>
      <c r="MJB42" s="261"/>
      <c r="MJC42" s="261"/>
      <c r="MJD42" s="261"/>
      <c r="MJE42" s="261"/>
      <c r="MJF42" s="261"/>
      <c r="MJG42" s="261"/>
      <c r="MJH42" s="261"/>
      <c r="MJI42" s="261"/>
      <c r="MJJ42" s="261"/>
      <c r="MJK42" s="261"/>
      <c r="MJL42" s="261"/>
      <c r="MJM42" s="261"/>
      <c r="MJN42" s="261"/>
      <c r="MJO42" s="261"/>
      <c r="MJP42" s="261"/>
      <c r="MJQ42" s="261"/>
      <c r="MJR42" s="261"/>
      <c r="MJS42" s="261"/>
      <c r="MJT42" s="261"/>
      <c r="MJU42" s="261"/>
      <c r="MJV42" s="261"/>
      <c r="MJW42" s="261"/>
      <c r="MJX42" s="261"/>
      <c r="MJY42" s="261"/>
      <c r="MJZ42" s="261"/>
      <c r="MKA42" s="261"/>
      <c r="MKB42" s="261"/>
      <c r="MKC42" s="261"/>
      <c r="MKD42" s="261"/>
      <c r="MKE42" s="261"/>
      <c r="MKF42" s="261"/>
      <c r="MKG42" s="261"/>
      <c r="MKH42" s="261"/>
      <c r="MKI42" s="261"/>
      <c r="MKJ42" s="261"/>
      <c r="MKK42" s="261"/>
      <c r="MKL42" s="261"/>
      <c r="MKM42" s="261"/>
      <c r="MKN42" s="261"/>
      <c r="MKO42" s="261"/>
      <c r="MKP42" s="261"/>
      <c r="MKQ42" s="261"/>
      <c r="MKR42" s="261"/>
      <c r="MKS42" s="261"/>
      <c r="MKT42" s="261"/>
      <c r="MKU42" s="261"/>
      <c r="MKV42" s="261"/>
      <c r="MKW42" s="261"/>
      <c r="MKX42" s="261"/>
      <c r="MKY42" s="261"/>
      <c r="MKZ42" s="261"/>
      <c r="MLA42" s="261"/>
      <c r="MLB42" s="261"/>
      <c r="MLC42" s="261"/>
      <c r="MLD42" s="261"/>
      <c r="MLE42" s="261"/>
      <c r="MLF42" s="261"/>
      <c r="MLG42" s="261"/>
      <c r="MLH42" s="261"/>
      <c r="MLI42" s="261"/>
      <c r="MLJ42" s="261"/>
      <c r="MLK42" s="261"/>
      <c r="MLL42" s="261"/>
      <c r="MLM42" s="261"/>
      <c r="MLN42" s="261"/>
      <c r="MLO42" s="261"/>
      <c r="MLP42" s="261"/>
      <c r="MLQ42" s="261"/>
      <c r="MLR42" s="261"/>
      <c r="MLS42" s="261"/>
      <c r="MLT42" s="261"/>
      <c r="MLU42" s="261"/>
      <c r="MLV42" s="261"/>
      <c r="MLW42" s="261"/>
      <c r="MLX42" s="261"/>
      <c r="MLY42" s="261"/>
      <c r="MLZ42" s="261"/>
      <c r="MMA42" s="261"/>
      <c r="MMB42" s="261"/>
      <c r="MMC42" s="261"/>
      <c r="MMD42" s="261"/>
      <c r="MME42" s="261"/>
      <c r="MMF42" s="261"/>
      <c r="MMG42" s="261"/>
      <c r="MMH42" s="261"/>
      <c r="MMI42" s="261"/>
      <c r="MMJ42" s="261"/>
      <c r="MMK42" s="261"/>
      <c r="MML42" s="261"/>
      <c r="MMM42" s="261"/>
      <c r="MMN42" s="261"/>
      <c r="MMO42" s="261"/>
      <c r="MMP42" s="261"/>
      <c r="MMQ42" s="261"/>
      <c r="MMR42" s="261"/>
      <c r="MMS42" s="261"/>
      <c r="MMT42" s="261"/>
      <c r="MMU42" s="261"/>
      <c r="MMV42" s="261"/>
      <c r="MMW42" s="261"/>
      <c r="MMX42" s="261"/>
      <c r="MMY42" s="261"/>
      <c r="MMZ42" s="261"/>
      <c r="MNA42" s="261"/>
      <c r="MNB42" s="261"/>
      <c r="MNC42" s="261"/>
      <c r="MND42" s="261"/>
      <c r="MNE42" s="261"/>
      <c r="MNF42" s="261"/>
      <c r="MNG42" s="261"/>
      <c r="MNH42" s="261"/>
      <c r="MNI42" s="261"/>
      <c r="MNJ42" s="261"/>
      <c r="MNK42" s="261"/>
      <c r="MNL42" s="261"/>
      <c r="MNM42" s="261"/>
      <c r="MNN42" s="261"/>
      <c r="MNO42" s="261"/>
      <c r="MNP42" s="261"/>
      <c r="MNQ42" s="261"/>
      <c r="MNR42" s="261"/>
      <c r="MNS42" s="261"/>
      <c r="MNT42" s="261"/>
      <c r="MNU42" s="261"/>
      <c r="MNV42" s="261"/>
      <c r="MNW42" s="261"/>
      <c r="MNX42" s="261"/>
      <c r="MNY42" s="261"/>
      <c r="MNZ42" s="261"/>
      <c r="MOA42" s="261"/>
      <c r="MOB42" s="261"/>
      <c r="MOC42" s="261"/>
      <c r="MOD42" s="261"/>
      <c r="MOE42" s="261"/>
      <c r="MOF42" s="261"/>
      <c r="MOG42" s="261"/>
      <c r="MOH42" s="261"/>
      <c r="MOI42" s="261"/>
      <c r="MOJ42" s="261"/>
      <c r="MOK42" s="261"/>
      <c r="MOL42" s="261"/>
      <c r="MOM42" s="261"/>
      <c r="MON42" s="261"/>
      <c r="MOO42" s="261"/>
      <c r="MOP42" s="261"/>
      <c r="MOQ42" s="261"/>
      <c r="MOR42" s="261"/>
      <c r="MOS42" s="261"/>
      <c r="MOT42" s="261"/>
      <c r="MOU42" s="261"/>
      <c r="MOV42" s="261"/>
      <c r="MOW42" s="261"/>
      <c r="MOX42" s="261"/>
      <c r="MOY42" s="261"/>
      <c r="MOZ42" s="261"/>
      <c r="MPA42" s="261"/>
      <c r="MPB42" s="261"/>
      <c r="MPC42" s="261"/>
      <c r="MPD42" s="261"/>
      <c r="MPE42" s="261"/>
      <c r="MPF42" s="261"/>
      <c r="MPG42" s="261"/>
      <c r="MPH42" s="261"/>
      <c r="MPI42" s="261"/>
      <c r="MPJ42" s="261"/>
      <c r="MPK42" s="261"/>
      <c r="MPL42" s="261"/>
      <c r="MPM42" s="261"/>
      <c r="MPN42" s="261"/>
      <c r="MPO42" s="261"/>
      <c r="MPP42" s="261"/>
      <c r="MPQ42" s="261"/>
      <c r="MPR42" s="261"/>
      <c r="MPS42" s="261"/>
      <c r="MPT42" s="261"/>
      <c r="MPU42" s="261"/>
      <c r="MPV42" s="261"/>
      <c r="MPW42" s="261"/>
      <c r="MPX42" s="261"/>
      <c r="MPY42" s="261"/>
      <c r="MPZ42" s="261"/>
      <c r="MQA42" s="261"/>
      <c r="MQB42" s="261"/>
      <c r="MQC42" s="261"/>
      <c r="MQD42" s="261"/>
      <c r="MQE42" s="261"/>
      <c r="MQF42" s="261"/>
      <c r="MQG42" s="261"/>
      <c r="MQH42" s="261"/>
      <c r="MQI42" s="261"/>
      <c r="MQJ42" s="261"/>
      <c r="MQK42" s="261"/>
      <c r="MQL42" s="261"/>
      <c r="MQM42" s="261"/>
      <c r="MQN42" s="261"/>
      <c r="MQO42" s="261"/>
      <c r="MQP42" s="261"/>
      <c r="MQQ42" s="261"/>
      <c r="MQR42" s="261"/>
      <c r="MQS42" s="261"/>
      <c r="MQT42" s="261"/>
      <c r="MQU42" s="261"/>
      <c r="MQV42" s="261"/>
      <c r="MQW42" s="261"/>
      <c r="MQX42" s="261"/>
      <c r="MQY42" s="261"/>
      <c r="MQZ42" s="261"/>
      <c r="MRA42" s="261"/>
      <c r="MRB42" s="261"/>
      <c r="MRC42" s="261"/>
      <c r="MRD42" s="261"/>
      <c r="MRE42" s="261"/>
      <c r="MRF42" s="261"/>
      <c r="MRG42" s="261"/>
      <c r="MRH42" s="261"/>
      <c r="MRI42" s="261"/>
      <c r="MRJ42" s="261"/>
      <c r="MRK42" s="261"/>
      <c r="MRL42" s="261"/>
      <c r="MRM42" s="261"/>
      <c r="MRN42" s="261"/>
      <c r="MRO42" s="261"/>
      <c r="MRP42" s="261"/>
      <c r="MRQ42" s="261"/>
      <c r="MRR42" s="261"/>
      <c r="MRS42" s="261"/>
      <c r="MRT42" s="261"/>
      <c r="MRU42" s="261"/>
      <c r="MRV42" s="261"/>
      <c r="MRW42" s="261"/>
      <c r="MRX42" s="261"/>
      <c r="MRY42" s="261"/>
      <c r="MRZ42" s="261"/>
      <c r="MSA42" s="261"/>
      <c r="MSB42" s="261"/>
      <c r="MSC42" s="261"/>
      <c r="MSD42" s="261"/>
      <c r="MSE42" s="261"/>
      <c r="MSF42" s="261"/>
      <c r="MSG42" s="261"/>
      <c r="MSH42" s="261"/>
      <c r="MSI42" s="261"/>
      <c r="MSJ42" s="261"/>
      <c r="MSK42" s="261"/>
      <c r="MSL42" s="261"/>
      <c r="MSM42" s="261"/>
      <c r="MSN42" s="261"/>
      <c r="MSO42" s="261"/>
      <c r="MSP42" s="261"/>
      <c r="MSQ42" s="261"/>
      <c r="MSR42" s="261"/>
      <c r="MSS42" s="261"/>
      <c r="MST42" s="261"/>
      <c r="MSU42" s="261"/>
      <c r="MSV42" s="261"/>
      <c r="MSW42" s="261"/>
      <c r="MSX42" s="261"/>
      <c r="MSY42" s="261"/>
      <c r="MSZ42" s="261"/>
      <c r="MTA42" s="261"/>
      <c r="MTB42" s="261"/>
      <c r="MTC42" s="261"/>
      <c r="MTD42" s="261"/>
      <c r="MTE42" s="261"/>
      <c r="MTF42" s="261"/>
      <c r="MTG42" s="261"/>
      <c r="MTH42" s="261"/>
      <c r="MTI42" s="261"/>
      <c r="MTJ42" s="261"/>
      <c r="MTK42" s="261"/>
      <c r="MTL42" s="261"/>
      <c r="MTM42" s="261"/>
      <c r="MTN42" s="261"/>
      <c r="MTO42" s="261"/>
      <c r="MTP42" s="261"/>
      <c r="MTQ42" s="261"/>
      <c r="MTR42" s="261"/>
      <c r="MTS42" s="261"/>
      <c r="MTT42" s="261"/>
      <c r="MTU42" s="261"/>
      <c r="MTV42" s="261"/>
      <c r="MTW42" s="261"/>
      <c r="MTX42" s="261"/>
      <c r="MTY42" s="261"/>
      <c r="MTZ42" s="261"/>
      <c r="MUA42" s="261"/>
      <c r="MUB42" s="261"/>
      <c r="MUC42" s="261"/>
      <c r="MUD42" s="261"/>
      <c r="MUE42" s="261"/>
      <c r="MUF42" s="261"/>
      <c r="MUG42" s="261"/>
      <c r="MUH42" s="261"/>
      <c r="MUI42" s="261"/>
      <c r="MUJ42" s="261"/>
      <c r="MUK42" s="261"/>
      <c r="MUL42" s="261"/>
      <c r="MUM42" s="261"/>
      <c r="MUN42" s="261"/>
      <c r="MUO42" s="261"/>
      <c r="MUP42" s="261"/>
      <c r="MUQ42" s="261"/>
      <c r="MUR42" s="261"/>
      <c r="MUS42" s="261"/>
      <c r="MUT42" s="261"/>
      <c r="MUU42" s="261"/>
      <c r="MUV42" s="261"/>
      <c r="MUW42" s="261"/>
      <c r="MUX42" s="261"/>
      <c r="MUY42" s="261"/>
      <c r="MUZ42" s="261"/>
      <c r="MVA42" s="261"/>
      <c r="MVB42" s="261"/>
      <c r="MVC42" s="261"/>
      <c r="MVD42" s="261"/>
      <c r="MVE42" s="261"/>
      <c r="MVF42" s="261"/>
      <c r="MVG42" s="261"/>
      <c r="MVH42" s="261"/>
      <c r="MVI42" s="261"/>
      <c r="MVJ42" s="261"/>
      <c r="MVK42" s="261"/>
      <c r="MVL42" s="261"/>
      <c r="MVM42" s="261"/>
      <c r="MVN42" s="261"/>
      <c r="MVO42" s="261"/>
      <c r="MVP42" s="261"/>
      <c r="MVQ42" s="261"/>
      <c r="MVR42" s="261"/>
      <c r="MVS42" s="261"/>
      <c r="MVT42" s="261"/>
      <c r="MVU42" s="261"/>
      <c r="MVV42" s="261"/>
      <c r="MVW42" s="261"/>
      <c r="MVX42" s="261"/>
      <c r="MVY42" s="261"/>
      <c r="MVZ42" s="261"/>
      <c r="MWA42" s="261"/>
      <c r="MWB42" s="261"/>
      <c r="MWC42" s="261"/>
      <c r="MWD42" s="261"/>
      <c r="MWE42" s="261"/>
      <c r="MWF42" s="261"/>
      <c r="MWG42" s="261"/>
      <c r="MWH42" s="261"/>
      <c r="MWI42" s="261"/>
      <c r="MWJ42" s="261"/>
      <c r="MWK42" s="261"/>
      <c r="MWL42" s="261"/>
      <c r="MWM42" s="261"/>
      <c r="MWN42" s="261"/>
      <c r="MWO42" s="261"/>
      <c r="MWP42" s="261"/>
      <c r="MWQ42" s="261"/>
      <c r="MWR42" s="261"/>
      <c r="MWS42" s="261"/>
      <c r="MWT42" s="261"/>
      <c r="MWU42" s="261"/>
      <c r="MWV42" s="261"/>
      <c r="MWW42" s="261"/>
      <c r="MWX42" s="261"/>
      <c r="MWY42" s="261"/>
      <c r="MWZ42" s="261"/>
      <c r="MXA42" s="261"/>
      <c r="MXB42" s="261"/>
      <c r="MXC42" s="261"/>
      <c r="MXD42" s="261"/>
      <c r="MXE42" s="261"/>
      <c r="MXF42" s="261"/>
      <c r="MXG42" s="261"/>
      <c r="MXH42" s="261"/>
      <c r="MXI42" s="261"/>
      <c r="MXJ42" s="261"/>
      <c r="MXK42" s="261"/>
      <c r="MXL42" s="261"/>
      <c r="MXM42" s="261"/>
      <c r="MXN42" s="261"/>
      <c r="MXO42" s="261"/>
      <c r="MXP42" s="261"/>
      <c r="MXQ42" s="261"/>
      <c r="MXR42" s="261"/>
      <c r="MXS42" s="261"/>
      <c r="MXT42" s="261"/>
      <c r="MXU42" s="261"/>
      <c r="MXV42" s="261"/>
      <c r="MXW42" s="261"/>
      <c r="MXX42" s="261"/>
      <c r="MXY42" s="261"/>
      <c r="MXZ42" s="261"/>
      <c r="MYA42" s="261"/>
      <c r="MYB42" s="261"/>
      <c r="MYC42" s="261"/>
      <c r="MYD42" s="261"/>
      <c r="MYE42" s="261"/>
      <c r="MYF42" s="261"/>
      <c r="MYG42" s="261"/>
      <c r="MYH42" s="261"/>
      <c r="MYI42" s="261"/>
      <c r="MYJ42" s="261"/>
      <c r="MYK42" s="261"/>
      <c r="MYL42" s="261"/>
      <c r="MYM42" s="261"/>
      <c r="MYN42" s="261"/>
      <c r="MYO42" s="261"/>
      <c r="MYP42" s="261"/>
      <c r="MYQ42" s="261"/>
      <c r="MYR42" s="261"/>
      <c r="MYS42" s="261"/>
      <c r="MYT42" s="261"/>
      <c r="MYU42" s="261"/>
      <c r="MYV42" s="261"/>
      <c r="MYW42" s="261"/>
      <c r="MYX42" s="261"/>
      <c r="MYY42" s="261"/>
      <c r="MYZ42" s="261"/>
      <c r="MZA42" s="261"/>
      <c r="MZB42" s="261"/>
      <c r="MZC42" s="261"/>
      <c r="MZD42" s="261"/>
      <c r="MZE42" s="261"/>
      <c r="MZF42" s="261"/>
      <c r="MZG42" s="261"/>
      <c r="MZH42" s="261"/>
      <c r="MZI42" s="261"/>
      <c r="MZJ42" s="261"/>
      <c r="MZK42" s="261"/>
      <c r="MZL42" s="261"/>
      <c r="MZM42" s="261"/>
      <c r="MZN42" s="261"/>
      <c r="MZO42" s="261"/>
      <c r="MZP42" s="261"/>
      <c r="MZQ42" s="261"/>
      <c r="MZR42" s="261"/>
      <c r="MZS42" s="261"/>
      <c r="MZT42" s="261"/>
      <c r="MZU42" s="261"/>
      <c r="MZV42" s="261"/>
      <c r="MZW42" s="261"/>
      <c r="MZX42" s="261"/>
      <c r="MZY42" s="261"/>
      <c r="MZZ42" s="261"/>
      <c r="NAA42" s="261"/>
      <c r="NAB42" s="261"/>
      <c r="NAC42" s="261"/>
      <c r="NAD42" s="261"/>
      <c r="NAE42" s="261"/>
      <c r="NAF42" s="261"/>
      <c r="NAG42" s="261"/>
      <c r="NAH42" s="261"/>
      <c r="NAI42" s="261"/>
      <c r="NAJ42" s="261"/>
      <c r="NAK42" s="261"/>
      <c r="NAL42" s="261"/>
      <c r="NAM42" s="261"/>
      <c r="NAN42" s="261"/>
      <c r="NAO42" s="261"/>
      <c r="NAP42" s="261"/>
      <c r="NAQ42" s="261"/>
      <c r="NAR42" s="261"/>
      <c r="NAS42" s="261"/>
      <c r="NAT42" s="261"/>
      <c r="NAU42" s="261"/>
      <c r="NAV42" s="261"/>
      <c r="NAW42" s="261"/>
      <c r="NAX42" s="261"/>
      <c r="NAY42" s="261"/>
      <c r="NAZ42" s="261"/>
      <c r="NBA42" s="261"/>
      <c r="NBB42" s="261"/>
      <c r="NBC42" s="261"/>
      <c r="NBD42" s="261"/>
      <c r="NBE42" s="261"/>
      <c r="NBF42" s="261"/>
      <c r="NBG42" s="261"/>
      <c r="NBH42" s="261"/>
      <c r="NBI42" s="261"/>
      <c r="NBJ42" s="261"/>
      <c r="NBK42" s="261"/>
      <c r="NBL42" s="261"/>
      <c r="NBM42" s="261"/>
      <c r="NBN42" s="261"/>
      <c r="NBO42" s="261"/>
      <c r="NBP42" s="261"/>
      <c r="NBQ42" s="261"/>
      <c r="NBR42" s="261"/>
      <c r="NBS42" s="261"/>
      <c r="NBT42" s="261"/>
      <c r="NBU42" s="261"/>
      <c r="NBV42" s="261"/>
      <c r="NBW42" s="261"/>
      <c r="NBX42" s="261"/>
      <c r="NBY42" s="261"/>
      <c r="NBZ42" s="261"/>
      <c r="NCA42" s="261"/>
      <c r="NCB42" s="261"/>
      <c r="NCC42" s="261"/>
      <c r="NCD42" s="261"/>
      <c r="NCE42" s="261"/>
      <c r="NCF42" s="261"/>
      <c r="NCG42" s="261"/>
      <c r="NCH42" s="261"/>
      <c r="NCI42" s="261"/>
      <c r="NCJ42" s="261"/>
      <c r="NCK42" s="261"/>
      <c r="NCL42" s="261"/>
      <c r="NCM42" s="261"/>
      <c r="NCN42" s="261"/>
      <c r="NCO42" s="261"/>
      <c r="NCP42" s="261"/>
      <c r="NCQ42" s="261"/>
      <c r="NCR42" s="261"/>
      <c r="NCS42" s="261"/>
      <c r="NCT42" s="261"/>
      <c r="NCU42" s="261"/>
      <c r="NCV42" s="261"/>
      <c r="NCW42" s="261"/>
      <c r="NCX42" s="261"/>
      <c r="NCY42" s="261"/>
      <c r="NCZ42" s="261"/>
      <c r="NDA42" s="261"/>
      <c r="NDB42" s="261"/>
      <c r="NDC42" s="261"/>
      <c r="NDD42" s="261"/>
      <c r="NDE42" s="261"/>
      <c r="NDF42" s="261"/>
      <c r="NDG42" s="261"/>
      <c r="NDH42" s="261"/>
      <c r="NDI42" s="261"/>
      <c r="NDJ42" s="261"/>
      <c r="NDK42" s="261"/>
      <c r="NDL42" s="261"/>
      <c r="NDM42" s="261"/>
      <c r="NDN42" s="261"/>
      <c r="NDO42" s="261"/>
      <c r="NDP42" s="261"/>
      <c r="NDQ42" s="261"/>
      <c r="NDR42" s="261"/>
      <c r="NDS42" s="261"/>
      <c r="NDT42" s="261"/>
      <c r="NDU42" s="261"/>
      <c r="NDV42" s="261"/>
      <c r="NDW42" s="261"/>
      <c r="NDX42" s="261"/>
      <c r="NDY42" s="261"/>
      <c r="NDZ42" s="261"/>
      <c r="NEA42" s="261"/>
      <c r="NEB42" s="261"/>
      <c r="NEC42" s="261"/>
      <c r="NED42" s="261"/>
      <c r="NEE42" s="261"/>
      <c r="NEF42" s="261"/>
      <c r="NEG42" s="261"/>
      <c r="NEH42" s="261"/>
      <c r="NEI42" s="261"/>
      <c r="NEJ42" s="261"/>
      <c r="NEK42" s="261"/>
      <c r="NEL42" s="261"/>
      <c r="NEM42" s="261"/>
      <c r="NEN42" s="261"/>
      <c r="NEO42" s="261"/>
      <c r="NEP42" s="261"/>
      <c r="NEQ42" s="261"/>
      <c r="NER42" s="261"/>
      <c r="NES42" s="261"/>
      <c r="NET42" s="261"/>
      <c r="NEU42" s="261"/>
      <c r="NEV42" s="261"/>
      <c r="NEW42" s="261"/>
      <c r="NEX42" s="261"/>
      <c r="NEY42" s="261"/>
      <c r="NEZ42" s="261"/>
      <c r="NFA42" s="261"/>
      <c r="NFB42" s="261"/>
      <c r="NFC42" s="261"/>
      <c r="NFD42" s="261"/>
      <c r="NFE42" s="261"/>
      <c r="NFF42" s="261"/>
      <c r="NFG42" s="261"/>
      <c r="NFH42" s="261"/>
      <c r="NFI42" s="261"/>
      <c r="NFJ42" s="261"/>
      <c r="NFK42" s="261"/>
      <c r="NFL42" s="261"/>
      <c r="NFM42" s="261"/>
      <c r="NFN42" s="261"/>
      <c r="NFO42" s="261"/>
      <c r="NFP42" s="261"/>
      <c r="NFQ42" s="261"/>
      <c r="NFR42" s="261"/>
      <c r="NFS42" s="261"/>
      <c r="NFT42" s="261"/>
      <c r="NFU42" s="261"/>
      <c r="NFV42" s="261"/>
      <c r="NFW42" s="261"/>
      <c r="NFX42" s="261"/>
      <c r="NFY42" s="261"/>
      <c r="NFZ42" s="261"/>
      <c r="NGA42" s="261"/>
      <c r="NGB42" s="261"/>
      <c r="NGC42" s="261"/>
      <c r="NGD42" s="261"/>
      <c r="NGE42" s="261"/>
      <c r="NGF42" s="261"/>
      <c r="NGG42" s="261"/>
      <c r="NGH42" s="261"/>
      <c r="NGI42" s="261"/>
      <c r="NGJ42" s="261"/>
      <c r="NGK42" s="261"/>
      <c r="NGL42" s="261"/>
      <c r="NGM42" s="261"/>
      <c r="NGN42" s="261"/>
      <c r="NGO42" s="261"/>
      <c r="NGP42" s="261"/>
      <c r="NGQ42" s="261"/>
      <c r="NGR42" s="261"/>
      <c r="NGS42" s="261"/>
      <c r="NGT42" s="261"/>
      <c r="NGU42" s="261"/>
      <c r="NGV42" s="261"/>
      <c r="NGW42" s="261"/>
      <c r="NGX42" s="261"/>
      <c r="NGY42" s="261"/>
      <c r="NGZ42" s="261"/>
      <c r="NHA42" s="261"/>
      <c r="NHB42" s="261"/>
      <c r="NHC42" s="261"/>
      <c r="NHD42" s="261"/>
      <c r="NHE42" s="261"/>
      <c r="NHF42" s="261"/>
      <c r="NHG42" s="261"/>
      <c r="NHH42" s="261"/>
      <c r="NHI42" s="261"/>
      <c r="NHJ42" s="261"/>
      <c r="NHK42" s="261"/>
      <c r="NHL42" s="261"/>
      <c r="NHM42" s="261"/>
      <c r="NHN42" s="261"/>
      <c r="NHO42" s="261"/>
      <c r="NHP42" s="261"/>
      <c r="NHQ42" s="261"/>
      <c r="NHR42" s="261"/>
      <c r="NHS42" s="261"/>
      <c r="NHT42" s="261"/>
      <c r="NHU42" s="261"/>
      <c r="NHV42" s="261"/>
      <c r="NHW42" s="261"/>
      <c r="NHX42" s="261"/>
      <c r="NHY42" s="261"/>
      <c r="NHZ42" s="261"/>
      <c r="NIA42" s="261"/>
      <c r="NIB42" s="261"/>
      <c r="NIC42" s="261"/>
      <c r="NID42" s="261"/>
      <c r="NIE42" s="261"/>
      <c r="NIF42" s="261"/>
      <c r="NIG42" s="261"/>
      <c r="NIH42" s="261"/>
      <c r="NII42" s="261"/>
      <c r="NIJ42" s="261"/>
      <c r="NIK42" s="261"/>
      <c r="NIL42" s="261"/>
      <c r="NIM42" s="261"/>
      <c r="NIN42" s="261"/>
      <c r="NIO42" s="261"/>
      <c r="NIP42" s="261"/>
      <c r="NIQ42" s="261"/>
      <c r="NIR42" s="261"/>
      <c r="NIS42" s="261"/>
      <c r="NIT42" s="261"/>
      <c r="NIU42" s="261"/>
      <c r="NIV42" s="261"/>
      <c r="NIW42" s="261"/>
      <c r="NIX42" s="261"/>
      <c r="NIY42" s="261"/>
      <c r="NIZ42" s="261"/>
      <c r="NJA42" s="261"/>
      <c r="NJB42" s="261"/>
      <c r="NJC42" s="261"/>
      <c r="NJD42" s="261"/>
      <c r="NJE42" s="261"/>
      <c r="NJF42" s="261"/>
      <c r="NJG42" s="261"/>
      <c r="NJH42" s="261"/>
      <c r="NJI42" s="261"/>
      <c r="NJJ42" s="261"/>
      <c r="NJK42" s="261"/>
      <c r="NJL42" s="261"/>
      <c r="NJM42" s="261"/>
      <c r="NJN42" s="261"/>
      <c r="NJO42" s="261"/>
      <c r="NJP42" s="261"/>
      <c r="NJQ42" s="261"/>
      <c r="NJR42" s="261"/>
      <c r="NJS42" s="261"/>
      <c r="NJT42" s="261"/>
      <c r="NJU42" s="261"/>
      <c r="NJV42" s="261"/>
      <c r="NJW42" s="261"/>
      <c r="NJX42" s="261"/>
      <c r="NJY42" s="261"/>
      <c r="NJZ42" s="261"/>
      <c r="NKA42" s="261"/>
      <c r="NKB42" s="261"/>
      <c r="NKC42" s="261"/>
      <c r="NKD42" s="261"/>
      <c r="NKE42" s="261"/>
      <c r="NKF42" s="261"/>
      <c r="NKG42" s="261"/>
      <c r="NKH42" s="261"/>
      <c r="NKI42" s="261"/>
      <c r="NKJ42" s="261"/>
      <c r="NKK42" s="261"/>
      <c r="NKL42" s="261"/>
      <c r="NKM42" s="261"/>
      <c r="NKN42" s="261"/>
      <c r="NKO42" s="261"/>
      <c r="NKP42" s="261"/>
      <c r="NKQ42" s="261"/>
      <c r="NKR42" s="261"/>
      <c r="NKS42" s="261"/>
      <c r="NKT42" s="261"/>
      <c r="NKU42" s="261"/>
      <c r="NKV42" s="261"/>
      <c r="NKW42" s="261"/>
      <c r="NKX42" s="261"/>
      <c r="NKY42" s="261"/>
      <c r="NKZ42" s="261"/>
      <c r="NLA42" s="261"/>
      <c r="NLB42" s="261"/>
      <c r="NLC42" s="261"/>
      <c r="NLD42" s="261"/>
      <c r="NLE42" s="261"/>
      <c r="NLF42" s="261"/>
      <c r="NLG42" s="261"/>
      <c r="NLH42" s="261"/>
      <c r="NLI42" s="261"/>
      <c r="NLJ42" s="261"/>
      <c r="NLK42" s="261"/>
      <c r="NLL42" s="261"/>
      <c r="NLM42" s="261"/>
      <c r="NLN42" s="261"/>
      <c r="NLO42" s="261"/>
      <c r="NLP42" s="261"/>
      <c r="NLQ42" s="261"/>
      <c r="NLR42" s="261"/>
      <c r="NLS42" s="261"/>
      <c r="NLT42" s="261"/>
      <c r="NLU42" s="261"/>
      <c r="NLV42" s="261"/>
      <c r="NLW42" s="261"/>
      <c r="NLX42" s="261"/>
      <c r="NLY42" s="261"/>
      <c r="NLZ42" s="261"/>
      <c r="NMA42" s="261"/>
      <c r="NMB42" s="261"/>
      <c r="NMC42" s="261"/>
      <c r="NMD42" s="261"/>
      <c r="NME42" s="261"/>
      <c r="NMF42" s="261"/>
      <c r="NMG42" s="261"/>
      <c r="NMH42" s="261"/>
      <c r="NMI42" s="261"/>
      <c r="NMJ42" s="261"/>
      <c r="NMK42" s="261"/>
      <c r="NML42" s="261"/>
      <c r="NMM42" s="261"/>
      <c r="NMN42" s="261"/>
      <c r="NMO42" s="261"/>
      <c r="NMP42" s="261"/>
      <c r="NMQ42" s="261"/>
      <c r="NMR42" s="261"/>
      <c r="NMS42" s="261"/>
      <c r="NMT42" s="261"/>
      <c r="NMU42" s="261"/>
      <c r="NMV42" s="261"/>
      <c r="NMW42" s="261"/>
      <c r="NMX42" s="261"/>
      <c r="NMY42" s="261"/>
      <c r="NMZ42" s="261"/>
      <c r="NNA42" s="261"/>
      <c r="NNB42" s="261"/>
      <c r="NNC42" s="261"/>
      <c r="NND42" s="261"/>
      <c r="NNE42" s="261"/>
      <c r="NNF42" s="261"/>
      <c r="NNG42" s="261"/>
      <c r="NNH42" s="261"/>
      <c r="NNI42" s="261"/>
      <c r="NNJ42" s="261"/>
      <c r="NNK42" s="261"/>
      <c r="NNL42" s="261"/>
      <c r="NNM42" s="261"/>
      <c r="NNN42" s="261"/>
      <c r="NNO42" s="261"/>
      <c r="NNP42" s="261"/>
      <c r="NNQ42" s="261"/>
      <c r="NNR42" s="261"/>
      <c r="NNS42" s="261"/>
      <c r="NNT42" s="261"/>
      <c r="NNU42" s="261"/>
      <c r="NNV42" s="261"/>
      <c r="NNW42" s="261"/>
      <c r="NNX42" s="261"/>
      <c r="NNY42" s="261"/>
      <c r="NNZ42" s="261"/>
      <c r="NOA42" s="261"/>
      <c r="NOB42" s="261"/>
      <c r="NOC42" s="261"/>
      <c r="NOD42" s="261"/>
      <c r="NOE42" s="261"/>
      <c r="NOF42" s="261"/>
      <c r="NOG42" s="261"/>
      <c r="NOH42" s="261"/>
      <c r="NOI42" s="261"/>
      <c r="NOJ42" s="261"/>
      <c r="NOK42" s="261"/>
      <c r="NOL42" s="261"/>
      <c r="NOM42" s="261"/>
      <c r="NON42" s="261"/>
      <c r="NOO42" s="261"/>
      <c r="NOP42" s="261"/>
      <c r="NOQ42" s="261"/>
      <c r="NOR42" s="261"/>
      <c r="NOS42" s="261"/>
      <c r="NOT42" s="261"/>
      <c r="NOU42" s="261"/>
      <c r="NOV42" s="261"/>
      <c r="NOW42" s="261"/>
      <c r="NOX42" s="261"/>
      <c r="NOY42" s="261"/>
      <c r="NOZ42" s="261"/>
      <c r="NPA42" s="261"/>
      <c r="NPB42" s="261"/>
      <c r="NPC42" s="261"/>
      <c r="NPD42" s="261"/>
      <c r="NPE42" s="261"/>
      <c r="NPF42" s="261"/>
      <c r="NPG42" s="261"/>
      <c r="NPH42" s="261"/>
      <c r="NPI42" s="261"/>
      <c r="NPJ42" s="261"/>
      <c r="NPK42" s="261"/>
      <c r="NPL42" s="261"/>
      <c r="NPM42" s="261"/>
      <c r="NPN42" s="261"/>
      <c r="NPO42" s="261"/>
      <c r="NPP42" s="261"/>
      <c r="NPQ42" s="261"/>
      <c r="NPR42" s="261"/>
      <c r="NPS42" s="261"/>
      <c r="NPT42" s="261"/>
      <c r="NPU42" s="261"/>
      <c r="NPV42" s="261"/>
      <c r="NPW42" s="261"/>
      <c r="NPX42" s="261"/>
      <c r="NPY42" s="261"/>
      <c r="NPZ42" s="261"/>
      <c r="NQA42" s="261"/>
      <c r="NQB42" s="261"/>
      <c r="NQC42" s="261"/>
      <c r="NQD42" s="261"/>
      <c r="NQE42" s="261"/>
      <c r="NQF42" s="261"/>
      <c r="NQG42" s="261"/>
      <c r="NQH42" s="261"/>
      <c r="NQI42" s="261"/>
      <c r="NQJ42" s="261"/>
      <c r="NQK42" s="261"/>
      <c r="NQL42" s="261"/>
      <c r="NQM42" s="261"/>
      <c r="NQN42" s="261"/>
      <c r="NQO42" s="261"/>
      <c r="NQP42" s="261"/>
      <c r="NQQ42" s="261"/>
      <c r="NQR42" s="261"/>
      <c r="NQS42" s="261"/>
      <c r="NQT42" s="261"/>
      <c r="NQU42" s="261"/>
      <c r="NQV42" s="261"/>
      <c r="NQW42" s="261"/>
      <c r="NQX42" s="261"/>
      <c r="NQY42" s="261"/>
      <c r="NQZ42" s="261"/>
      <c r="NRA42" s="261"/>
      <c r="NRB42" s="261"/>
      <c r="NRC42" s="261"/>
      <c r="NRD42" s="261"/>
      <c r="NRE42" s="261"/>
      <c r="NRF42" s="261"/>
      <c r="NRG42" s="261"/>
      <c r="NRH42" s="261"/>
      <c r="NRI42" s="261"/>
      <c r="NRJ42" s="261"/>
      <c r="NRK42" s="261"/>
      <c r="NRL42" s="261"/>
      <c r="NRM42" s="261"/>
      <c r="NRN42" s="261"/>
      <c r="NRO42" s="261"/>
      <c r="NRP42" s="261"/>
      <c r="NRQ42" s="261"/>
      <c r="NRR42" s="261"/>
      <c r="NRS42" s="261"/>
      <c r="NRT42" s="261"/>
      <c r="NRU42" s="261"/>
      <c r="NRV42" s="261"/>
      <c r="NRW42" s="261"/>
      <c r="NRX42" s="261"/>
      <c r="NRY42" s="261"/>
      <c r="NRZ42" s="261"/>
      <c r="NSA42" s="261"/>
      <c r="NSB42" s="261"/>
      <c r="NSC42" s="261"/>
      <c r="NSD42" s="261"/>
      <c r="NSE42" s="261"/>
      <c r="NSF42" s="261"/>
      <c r="NSG42" s="261"/>
      <c r="NSH42" s="261"/>
      <c r="NSI42" s="261"/>
      <c r="NSJ42" s="261"/>
      <c r="NSK42" s="261"/>
      <c r="NSL42" s="261"/>
      <c r="NSM42" s="261"/>
      <c r="NSN42" s="261"/>
      <c r="NSO42" s="261"/>
      <c r="NSP42" s="261"/>
      <c r="NSQ42" s="261"/>
      <c r="NSR42" s="261"/>
      <c r="NSS42" s="261"/>
      <c r="NST42" s="261"/>
      <c r="NSU42" s="261"/>
      <c r="NSV42" s="261"/>
      <c r="NSW42" s="261"/>
      <c r="NSX42" s="261"/>
      <c r="NSY42" s="261"/>
      <c r="NSZ42" s="261"/>
      <c r="NTA42" s="261"/>
      <c r="NTB42" s="261"/>
      <c r="NTC42" s="261"/>
      <c r="NTD42" s="261"/>
      <c r="NTE42" s="261"/>
      <c r="NTF42" s="261"/>
      <c r="NTG42" s="261"/>
      <c r="NTH42" s="261"/>
      <c r="NTI42" s="261"/>
      <c r="NTJ42" s="261"/>
      <c r="NTK42" s="261"/>
      <c r="NTL42" s="261"/>
      <c r="NTM42" s="261"/>
      <c r="NTN42" s="261"/>
      <c r="NTO42" s="261"/>
      <c r="NTP42" s="261"/>
      <c r="NTQ42" s="261"/>
      <c r="NTR42" s="261"/>
      <c r="NTS42" s="261"/>
      <c r="NTT42" s="261"/>
      <c r="NTU42" s="261"/>
      <c r="NTV42" s="261"/>
      <c r="NTW42" s="261"/>
      <c r="NTX42" s="261"/>
      <c r="NTY42" s="261"/>
      <c r="NTZ42" s="261"/>
      <c r="NUA42" s="261"/>
      <c r="NUB42" s="261"/>
      <c r="NUC42" s="261"/>
      <c r="NUD42" s="261"/>
      <c r="NUE42" s="261"/>
      <c r="NUF42" s="261"/>
      <c r="NUG42" s="261"/>
      <c r="NUH42" s="261"/>
      <c r="NUI42" s="261"/>
      <c r="NUJ42" s="261"/>
      <c r="NUK42" s="261"/>
      <c r="NUL42" s="261"/>
      <c r="NUM42" s="261"/>
      <c r="NUN42" s="261"/>
      <c r="NUO42" s="261"/>
      <c r="NUP42" s="261"/>
      <c r="NUQ42" s="261"/>
      <c r="NUR42" s="261"/>
      <c r="NUS42" s="261"/>
      <c r="NUT42" s="261"/>
      <c r="NUU42" s="261"/>
      <c r="NUV42" s="261"/>
      <c r="NUW42" s="261"/>
      <c r="NUX42" s="261"/>
      <c r="NUY42" s="261"/>
      <c r="NUZ42" s="261"/>
      <c r="NVA42" s="261"/>
      <c r="NVB42" s="261"/>
      <c r="NVC42" s="261"/>
      <c r="NVD42" s="261"/>
      <c r="NVE42" s="261"/>
      <c r="NVF42" s="261"/>
      <c r="NVG42" s="261"/>
      <c r="NVH42" s="261"/>
      <c r="NVI42" s="261"/>
      <c r="NVJ42" s="261"/>
      <c r="NVK42" s="261"/>
      <c r="NVL42" s="261"/>
      <c r="NVM42" s="261"/>
      <c r="NVN42" s="261"/>
      <c r="NVO42" s="261"/>
      <c r="NVP42" s="261"/>
      <c r="NVQ42" s="261"/>
      <c r="NVR42" s="261"/>
      <c r="NVS42" s="261"/>
      <c r="NVT42" s="261"/>
      <c r="NVU42" s="261"/>
      <c r="NVV42" s="261"/>
      <c r="NVW42" s="261"/>
      <c r="NVX42" s="261"/>
      <c r="NVY42" s="261"/>
      <c r="NVZ42" s="261"/>
      <c r="NWA42" s="261"/>
      <c r="NWB42" s="261"/>
      <c r="NWC42" s="261"/>
      <c r="NWD42" s="261"/>
      <c r="NWE42" s="261"/>
      <c r="NWF42" s="261"/>
      <c r="NWG42" s="261"/>
      <c r="NWH42" s="261"/>
      <c r="NWI42" s="261"/>
      <c r="NWJ42" s="261"/>
      <c r="NWK42" s="261"/>
      <c r="NWL42" s="261"/>
      <c r="NWM42" s="261"/>
      <c r="NWN42" s="261"/>
      <c r="NWO42" s="261"/>
      <c r="NWP42" s="261"/>
      <c r="NWQ42" s="261"/>
      <c r="NWR42" s="261"/>
      <c r="NWS42" s="261"/>
      <c r="NWT42" s="261"/>
      <c r="NWU42" s="261"/>
      <c r="NWV42" s="261"/>
      <c r="NWW42" s="261"/>
      <c r="NWX42" s="261"/>
      <c r="NWY42" s="261"/>
      <c r="NWZ42" s="261"/>
      <c r="NXA42" s="261"/>
      <c r="NXB42" s="261"/>
      <c r="NXC42" s="261"/>
      <c r="NXD42" s="261"/>
      <c r="NXE42" s="261"/>
      <c r="NXF42" s="261"/>
      <c r="NXG42" s="261"/>
      <c r="NXH42" s="261"/>
      <c r="NXI42" s="261"/>
      <c r="NXJ42" s="261"/>
      <c r="NXK42" s="261"/>
      <c r="NXL42" s="261"/>
      <c r="NXM42" s="261"/>
      <c r="NXN42" s="261"/>
      <c r="NXO42" s="261"/>
      <c r="NXP42" s="261"/>
      <c r="NXQ42" s="261"/>
      <c r="NXR42" s="261"/>
      <c r="NXS42" s="261"/>
      <c r="NXT42" s="261"/>
      <c r="NXU42" s="261"/>
      <c r="NXV42" s="261"/>
      <c r="NXW42" s="261"/>
      <c r="NXX42" s="261"/>
      <c r="NXY42" s="261"/>
      <c r="NXZ42" s="261"/>
      <c r="NYA42" s="261"/>
      <c r="NYB42" s="261"/>
      <c r="NYC42" s="261"/>
      <c r="NYD42" s="261"/>
      <c r="NYE42" s="261"/>
      <c r="NYF42" s="261"/>
      <c r="NYG42" s="261"/>
      <c r="NYH42" s="261"/>
      <c r="NYI42" s="261"/>
      <c r="NYJ42" s="261"/>
      <c r="NYK42" s="261"/>
      <c r="NYL42" s="261"/>
      <c r="NYM42" s="261"/>
      <c r="NYN42" s="261"/>
      <c r="NYO42" s="261"/>
      <c r="NYP42" s="261"/>
      <c r="NYQ42" s="261"/>
      <c r="NYR42" s="261"/>
      <c r="NYS42" s="261"/>
      <c r="NYT42" s="261"/>
      <c r="NYU42" s="261"/>
      <c r="NYV42" s="261"/>
      <c r="NYW42" s="261"/>
      <c r="NYX42" s="261"/>
      <c r="NYY42" s="261"/>
      <c r="NYZ42" s="261"/>
      <c r="NZA42" s="261"/>
      <c r="NZB42" s="261"/>
      <c r="NZC42" s="261"/>
      <c r="NZD42" s="261"/>
      <c r="NZE42" s="261"/>
      <c r="NZF42" s="261"/>
      <c r="NZG42" s="261"/>
      <c r="NZH42" s="261"/>
      <c r="NZI42" s="261"/>
      <c r="NZJ42" s="261"/>
      <c r="NZK42" s="261"/>
      <c r="NZL42" s="261"/>
      <c r="NZM42" s="261"/>
      <c r="NZN42" s="261"/>
      <c r="NZO42" s="261"/>
      <c r="NZP42" s="261"/>
      <c r="NZQ42" s="261"/>
      <c r="NZR42" s="261"/>
      <c r="NZS42" s="261"/>
      <c r="NZT42" s="261"/>
      <c r="NZU42" s="261"/>
      <c r="NZV42" s="261"/>
      <c r="NZW42" s="261"/>
      <c r="NZX42" s="261"/>
      <c r="NZY42" s="261"/>
      <c r="NZZ42" s="261"/>
      <c r="OAA42" s="261"/>
      <c r="OAB42" s="261"/>
      <c r="OAC42" s="261"/>
      <c r="OAD42" s="261"/>
      <c r="OAE42" s="261"/>
      <c r="OAF42" s="261"/>
      <c r="OAG42" s="261"/>
      <c r="OAH42" s="261"/>
      <c r="OAI42" s="261"/>
      <c r="OAJ42" s="261"/>
      <c r="OAK42" s="261"/>
      <c r="OAL42" s="261"/>
      <c r="OAM42" s="261"/>
      <c r="OAN42" s="261"/>
      <c r="OAO42" s="261"/>
      <c r="OAP42" s="261"/>
      <c r="OAQ42" s="261"/>
      <c r="OAR42" s="261"/>
      <c r="OAS42" s="261"/>
      <c r="OAT42" s="261"/>
      <c r="OAU42" s="261"/>
      <c r="OAV42" s="261"/>
      <c r="OAW42" s="261"/>
      <c r="OAX42" s="261"/>
      <c r="OAY42" s="261"/>
      <c r="OAZ42" s="261"/>
      <c r="OBA42" s="261"/>
      <c r="OBB42" s="261"/>
      <c r="OBC42" s="261"/>
      <c r="OBD42" s="261"/>
      <c r="OBE42" s="261"/>
      <c r="OBF42" s="261"/>
      <c r="OBG42" s="261"/>
      <c r="OBH42" s="261"/>
      <c r="OBI42" s="261"/>
      <c r="OBJ42" s="261"/>
      <c r="OBK42" s="261"/>
      <c r="OBL42" s="261"/>
      <c r="OBM42" s="261"/>
      <c r="OBN42" s="261"/>
      <c r="OBO42" s="261"/>
      <c r="OBP42" s="261"/>
      <c r="OBQ42" s="261"/>
      <c r="OBR42" s="261"/>
      <c r="OBS42" s="261"/>
      <c r="OBT42" s="261"/>
      <c r="OBU42" s="261"/>
      <c r="OBV42" s="261"/>
      <c r="OBW42" s="261"/>
      <c r="OBX42" s="261"/>
      <c r="OBY42" s="261"/>
      <c r="OBZ42" s="261"/>
      <c r="OCA42" s="261"/>
      <c r="OCB42" s="261"/>
      <c r="OCC42" s="261"/>
      <c r="OCD42" s="261"/>
      <c r="OCE42" s="261"/>
      <c r="OCF42" s="261"/>
      <c r="OCG42" s="261"/>
      <c r="OCH42" s="261"/>
      <c r="OCI42" s="261"/>
      <c r="OCJ42" s="261"/>
      <c r="OCK42" s="261"/>
      <c r="OCL42" s="261"/>
      <c r="OCM42" s="261"/>
      <c r="OCN42" s="261"/>
      <c r="OCO42" s="261"/>
      <c r="OCP42" s="261"/>
      <c r="OCQ42" s="261"/>
      <c r="OCR42" s="261"/>
      <c r="OCS42" s="261"/>
      <c r="OCT42" s="261"/>
      <c r="OCU42" s="261"/>
      <c r="OCV42" s="261"/>
      <c r="OCW42" s="261"/>
      <c r="OCX42" s="261"/>
      <c r="OCY42" s="261"/>
      <c r="OCZ42" s="261"/>
      <c r="ODA42" s="261"/>
      <c r="ODB42" s="261"/>
      <c r="ODC42" s="261"/>
      <c r="ODD42" s="261"/>
      <c r="ODE42" s="261"/>
      <c r="ODF42" s="261"/>
      <c r="ODG42" s="261"/>
      <c r="ODH42" s="261"/>
      <c r="ODI42" s="261"/>
      <c r="ODJ42" s="261"/>
      <c r="ODK42" s="261"/>
      <c r="ODL42" s="261"/>
      <c r="ODM42" s="261"/>
      <c r="ODN42" s="261"/>
      <c r="ODO42" s="261"/>
      <c r="ODP42" s="261"/>
      <c r="ODQ42" s="261"/>
      <c r="ODR42" s="261"/>
      <c r="ODS42" s="261"/>
      <c r="ODT42" s="261"/>
      <c r="ODU42" s="261"/>
      <c r="ODV42" s="261"/>
      <c r="ODW42" s="261"/>
      <c r="ODX42" s="261"/>
      <c r="ODY42" s="261"/>
      <c r="ODZ42" s="261"/>
      <c r="OEA42" s="261"/>
      <c r="OEB42" s="261"/>
      <c r="OEC42" s="261"/>
      <c r="OED42" s="261"/>
      <c r="OEE42" s="261"/>
      <c r="OEF42" s="261"/>
      <c r="OEG42" s="261"/>
      <c r="OEH42" s="261"/>
      <c r="OEI42" s="261"/>
      <c r="OEJ42" s="261"/>
      <c r="OEK42" s="261"/>
      <c r="OEL42" s="261"/>
      <c r="OEM42" s="261"/>
      <c r="OEN42" s="261"/>
      <c r="OEO42" s="261"/>
      <c r="OEP42" s="261"/>
      <c r="OEQ42" s="261"/>
      <c r="OER42" s="261"/>
      <c r="OES42" s="261"/>
      <c r="OET42" s="261"/>
      <c r="OEU42" s="261"/>
      <c r="OEV42" s="261"/>
      <c r="OEW42" s="261"/>
      <c r="OEX42" s="261"/>
      <c r="OEY42" s="261"/>
      <c r="OEZ42" s="261"/>
      <c r="OFA42" s="261"/>
      <c r="OFB42" s="261"/>
      <c r="OFC42" s="261"/>
      <c r="OFD42" s="261"/>
      <c r="OFE42" s="261"/>
      <c r="OFF42" s="261"/>
      <c r="OFG42" s="261"/>
      <c r="OFH42" s="261"/>
      <c r="OFI42" s="261"/>
      <c r="OFJ42" s="261"/>
      <c r="OFK42" s="261"/>
      <c r="OFL42" s="261"/>
      <c r="OFM42" s="261"/>
      <c r="OFN42" s="261"/>
      <c r="OFO42" s="261"/>
      <c r="OFP42" s="261"/>
      <c r="OFQ42" s="261"/>
      <c r="OFR42" s="261"/>
      <c r="OFS42" s="261"/>
      <c r="OFT42" s="261"/>
      <c r="OFU42" s="261"/>
      <c r="OFV42" s="261"/>
      <c r="OFW42" s="261"/>
      <c r="OFX42" s="261"/>
      <c r="OFY42" s="261"/>
      <c r="OFZ42" s="261"/>
      <c r="OGA42" s="261"/>
      <c r="OGB42" s="261"/>
      <c r="OGC42" s="261"/>
      <c r="OGD42" s="261"/>
      <c r="OGE42" s="261"/>
      <c r="OGF42" s="261"/>
      <c r="OGG42" s="261"/>
      <c r="OGH42" s="261"/>
      <c r="OGI42" s="261"/>
      <c r="OGJ42" s="261"/>
      <c r="OGK42" s="261"/>
      <c r="OGL42" s="261"/>
      <c r="OGM42" s="261"/>
      <c r="OGN42" s="261"/>
      <c r="OGO42" s="261"/>
      <c r="OGP42" s="261"/>
      <c r="OGQ42" s="261"/>
      <c r="OGR42" s="261"/>
      <c r="OGS42" s="261"/>
      <c r="OGT42" s="261"/>
      <c r="OGU42" s="261"/>
      <c r="OGV42" s="261"/>
      <c r="OGW42" s="261"/>
      <c r="OGX42" s="261"/>
      <c r="OGY42" s="261"/>
      <c r="OGZ42" s="261"/>
      <c r="OHA42" s="261"/>
      <c r="OHB42" s="261"/>
      <c r="OHC42" s="261"/>
      <c r="OHD42" s="261"/>
      <c r="OHE42" s="261"/>
      <c r="OHF42" s="261"/>
      <c r="OHG42" s="261"/>
      <c r="OHH42" s="261"/>
      <c r="OHI42" s="261"/>
      <c r="OHJ42" s="261"/>
      <c r="OHK42" s="261"/>
      <c r="OHL42" s="261"/>
      <c r="OHM42" s="261"/>
      <c r="OHN42" s="261"/>
      <c r="OHO42" s="261"/>
      <c r="OHP42" s="261"/>
      <c r="OHQ42" s="261"/>
      <c r="OHR42" s="261"/>
      <c r="OHS42" s="261"/>
      <c r="OHT42" s="261"/>
      <c r="OHU42" s="261"/>
      <c r="OHV42" s="261"/>
      <c r="OHW42" s="261"/>
      <c r="OHX42" s="261"/>
      <c r="OHY42" s="261"/>
      <c r="OHZ42" s="261"/>
      <c r="OIA42" s="261"/>
      <c r="OIB42" s="261"/>
      <c r="OIC42" s="261"/>
      <c r="OID42" s="261"/>
      <c r="OIE42" s="261"/>
      <c r="OIF42" s="261"/>
      <c r="OIG42" s="261"/>
      <c r="OIH42" s="261"/>
      <c r="OII42" s="261"/>
      <c r="OIJ42" s="261"/>
      <c r="OIK42" s="261"/>
      <c r="OIL42" s="261"/>
      <c r="OIM42" s="261"/>
      <c r="OIN42" s="261"/>
      <c r="OIO42" s="261"/>
      <c r="OIP42" s="261"/>
      <c r="OIQ42" s="261"/>
      <c r="OIR42" s="261"/>
      <c r="OIS42" s="261"/>
      <c r="OIT42" s="261"/>
      <c r="OIU42" s="261"/>
      <c r="OIV42" s="261"/>
      <c r="OIW42" s="261"/>
      <c r="OIX42" s="261"/>
      <c r="OIY42" s="261"/>
      <c r="OIZ42" s="261"/>
      <c r="OJA42" s="261"/>
      <c r="OJB42" s="261"/>
      <c r="OJC42" s="261"/>
      <c r="OJD42" s="261"/>
      <c r="OJE42" s="261"/>
      <c r="OJF42" s="261"/>
      <c r="OJG42" s="261"/>
      <c r="OJH42" s="261"/>
      <c r="OJI42" s="261"/>
      <c r="OJJ42" s="261"/>
      <c r="OJK42" s="261"/>
      <c r="OJL42" s="261"/>
      <c r="OJM42" s="261"/>
      <c r="OJN42" s="261"/>
      <c r="OJO42" s="261"/>
      <c r="OJP42" s="261"/>
      <c r="OJQ42" s="261"/>
      <c r="OJR42" s="261"/>
      <c r="OJS42" s="261"/>
      <c r="OJT42" s="261"/>
      <c r="OJU42" s="261"/>
      <c r="OJV42" s="261"/>
      <c r="OJW42" s="261"/>
      <c r="OJX42" s="261"/>
      <c r="OJY42" s="261"/>
      <c r="OJZ42" s="261"/>
      <c r="OKA42" s="261"/>
      <c r="OKB42" s="261"/>
      <c r="OKC42" s="261"/>
      <c r="OKD42" s="261"/>
      <c r="OKE42" s="261"/>
      <c r="OKF42" s="261"/>
      <c r="OKG42" s="261"/>
      <c r="OKH42" s="261"/>
      <c r="OKI42" s="261"/>
      <c r="OKJ42" s="261"/>
      <c r="OKK42" s="261"/>
      <c r="OKL42" s="261"/>
      <c r="OKM42" s="261"/>
      <c r="OKN42" s="261"/>
      <c r="OKO42" s="261"/>
      <c r="OKP42" s="261"/>
      <c r="OKQ42" s="261"/>
      <c r="OKR42" s="261"/>
      <c r="OKS42" s="261"/>
      <c r="OKT42" s="261"/>
      <c r="OKU42" s="261"/>
      <c r="OKV42" s="261"/>
      <c r="OKW42" s="261"/>
      <c r="OKX42" s="261"/>
      <c r="OKY42" s="261"/>
      <c r="OKZ42" s="261"/>
      <c r="OLA42" s="261"/>
      <c r="OLB42" s="261"/>
      <c r="OLC42" s="261"/>
      <c r="OLD42" s="261"/>
      <c r="OLE42" s="261"/>
      <c r="OLF42" s="261"/>
      <c r="OLG42" s="261"/>
      <c r="OLH42" s="261"/>
      <c r="OLI42" s="261"/>
      <c r="OLJ42" s="261"/>
      <c r="OLK42" s="261"/>
      <c r="OLL42" s="261"/>
      <c r="OLM42" s="261"/>
      <c r="OLN42" s="261"/>
      <c r="OLO42" s="261"/>
      <c r="OLP42" s="261"/>
      <c r="OLQ42" s="261"/>
      <c r="OLR42" s="261"/>
      <c r="OLS42" s="261"/>
      <c r="OLT42" s="261"/>
      <c r="OLU42" s="261"/>
      <c r="OLV42" s="261"/>
      <c r="OLW42" s="261"/>
      <c r="OLX42" s="261"/>
      <c r="OLY42" s="261"/>
      <c r="OLZ42" s="261"/>
      <c r="OMA42" s="261"/>
      <c r="OMB42" s="261"/>
      <c r="OMC42" s="261"/>
      <c r="OMD42" s="261"/>
      <c r="OME42" s="261"/>
      <c r="OMF42" s="261"/>
      <c r="OMG42" s="261"/>
      <c r="OMH42" s="261"/>
      <c r="OMI42" s="261"/>
      <c r="OMJ42" s="261"/>
      <c r="OMK42" s="261"/>
      <c r="OML42" s="261"/>
      <c r="OMM42" s="261"/>
      <c r="OMN42" s="261"/>
      <c r="OMO42" s="261"/>
      <c r="OMP42" s="261"/>
      <c r="OMQ42" s="261"/>
      <c r="OMR42" s="261"/>
      <c r="OMS42" s="261"/>
      <c r="OMT42" s="261"/>
      <c r="OMU42" s="261"/>
      <c r="OMV42" s="261"/>
      <c r="OMW42" s="261"/>
      <c r="OMX42" s="261"/>
      <c r="OMY42" s="261"/>
      <c r="OMZ42" s="261"/>
      <c r="ONA42" s="261"/>
      <c r="ONB42" s="261"/>
      <c r="ONC42" s="261"/>
      <c r="OND42" s="261"/>
      <c r="ONE42" s="261"/>
      <c r="ONF42" s="261"/>
      <c r="ONG42" s="261"/>
      <c r="ONH42" s="261"/>
      <c r="ONI42" s="261"/>
      <c r="ONJ42" s="261"/>
      <c r="ONK42" s="261"/>
      <c r="ONL42" s="261"/>
      <c r="ONM42" s="261"/>
      <c r="ONN42" s="261"/>
      <c r="ONO42" s="261"/>
      <c r="ONP42" s="261"/>
      <c r="ONQ42" s="261"/>
      <c r="ONR42" s="261"/>
      <c r="ONS42" s="261"/>
      <c r="ONT42" s="261"/>
      <c r="ONU42" s="261"/>
      <c r="ONV42" s="261"/>
      <c r="ONW42" s="261"/>
      <c r="ONX42" s="261"/>
      <c r="ONY42" s="261"/>
      <c r="ONZ42" s="261"/>
      <c r="OOA42" s="261"/>
      <c r="OOB42" s="261"/>
      <c r="OOC42" s="261"/>
      <c r="OOD42" s="261"/>
      <c r="OOE42" s="261"/>
      <c r="OOF42" s="261"/>
      <c r="OOG42" s="261"/>
      <c r="OOH42" s="261"/>
      <c r="OOI42" s="261"/>
      <c r="OOJ42" s="261"/>
      <c r="OOK42" s="261"/>
      <c r="OOL42" s="261"/>
      <c r="OOM42" s="261"/>
      <c r="OON42" s="261"/>
      <c r="OOO42" s="261"/>
      <c r="OOP42" s="261"/>
      <c r="OOQ42" s="261"/>
      <c r="OOR42" s="261"/>
      <c r="OOS42" s="261"/>
      <c r="OOT42" s="261"/>
      <c r="OOU42" s="261"/>
      <c r="OOV42" s="261"/>
      <c r="OOW42" s="261"/>
      <c r="OOX42" s="261"/>
      <c r="OOY42" s="261"/>
      <c r="OOZ42" s="261"/>
      <c r="OPA42" s="261"/>
      <c r="OPB42" s="261"/>
      <c r="OPC42" s="261"/>
      <c r="OPD42" s="261"/>
      <c r="OPE42" s="261"/>
      <c r="OPF42" s="261"/>
      <c r="OPG42" s="261"/>
      <c r="OPH42" s="261"/>
      <c r="OPI42" s="261"/>
      <c r="OPJ42" s="261"/>
      <c r="OPK42" s="261"/>
      <c r="OPL42" s="261"/>
      <c r="OPM42" s="261"/>
      <c r="OPN42" s="261"/>
      <c r="OPO42" s="261"/>
      <c r="OPP42" s="261"/>
      <c r="OPQ42" s="261"/>
      <c r="OPR42" s="261"/>
      <c r="OPS42" s="261"/>
      <c r="OPT42" s="261"/>
      <c r="OPU42" s="261"/>
      <c r="OPV42" s="261"/>
      <c r="OPW42" s="261"/>
      <c r="OPX42" s="261"/>
      <c r="OPY42" s="261"/>
      <c r="OPZ42" s="261"/>
      <c r="OQA42" s="261"/>
      <c r="OQB42" s="261"/>
      <c r="OQC42" s="261"/>
      <c r="OQD42" s="261"/>
      <c r="OQE42" s="261"/>
      <c r="OQF42" s="261"/>
      <c r="OQG42" s="261"/>
      <c r="OQH42" s="261"/>
      <c r="OQI42" s="261"/>
      <c r="OQJ42" s="261"/>
      <c r="OQK42" s="261"/>
      <c r="OQL42" s="261"/>
      <c r="OQM42" s="261"/>
      <c r="OQN42" s="261"/>
      <c r="OQO42" s="261"/>
      <c r="OQP42" s="261"/>
      <c r="OQQ42" s="261"/>
      <c r="OQR42" s="261"/>
      <c r="OQS42" s="261"/>
      <c r="OQT42" s="261"/>
      <c r="OQU42" s="261"/>
      <c r="OQV42" s="261"/>
      <c r="OQW42" s="261"/>
      <c r="OQX42" s="261"/>
      <c r="OQY42" s="261"/>
      <c r="OQZ42" s="261"/>
      <c r="ORA42" s="261"/>
      <c r="ORB42" s="261"/>
      <c r="ORC42" s="261"/>
      <c r="ORD42" s="261"/>
      <c r="ORE42" s="261"/>
      <c r="ORF42" s="261"/>
      <c r="ORG42" s="261"/>
      <c r="ORH42" s="261"/>
      <c r="ORI42" s="261"/>
      <c r="ORJ42" s="261"/>
      <c r="ORK42" s="261"/>
      <c r="ORL42" s="261"/>
      <c r="ORM42" s="261"/>
      <c r="ORN42" s="261"/>
      <c r="ORO42" s="261"/>
      <c r="ORP42" s="261"/>
      <c r="ORQ42" s="261"/>
      <c r="ORR42" s="261"/>
      <c r="ORS42" s="261"/>
      <c r="ORT42" s="261"/>
      <c r="ORU42" s="261"/>
      <c r="ORV42" s="261"/>
      <c r="ORW42" s="261"/>
      <c r="ORX42" s="261"/>
      <c r="ORY42" s="261"/>
      <c r="ORZ42" s="261"/>
      <c r="OSA42" s="261"/>
      <c r="OSB42" s="261"/>
      <c r="OSC42" s="261"/>
      <c r="OSD42" s="261"/>
      <c r="OSE42" s="261"/>
      <c r="OSF42" s="261"/>
      <c r="OSG42" s="261"/>
      <c r="OSH42" s="261"/>
      <c r="OSI42" s="261"/>
      <c r="OSJ42" s="261"/>
      <c r="OSK42" s="261"/>
      <c r="OSL42" s="261"/>
      <c r="OSM42" s="261"/>
      <c r="OSN42" s="261"/>
      <c r="OSO42" s="261"/>
      <c r="OSP42" s="261"/>
      <c r="OSQ42" s="261"/>
      <c r="OSR42" s="261"/>
      <c r="OSS42" s="261"/>
      <c r="OST42" s="261"/>
      <c r="OSU42" s="261"/>
      <c r="OSV42" s="261"/>
      <c r="OSW42" s="261"/>
      <c r="OSX42" s="261"/>
      <c r="OSY42" s="261"/>
      <c r="OSZ42" s="261"/>
      <c r="OTA42" s="261"/>
      <c r="OTB42" s="261"/>
      <c r="OTC42" s="261"/>
      <c r="OTD42" s="261"/>
      <c r="OTE42" s="261"/>
      <c r="OTF42" s="261"/>
      <c r="OTG42" s="261"/>
      <c r="OTH42" s="261"/>
      <c r="OTI42" s="261"/>
      <c r="OTJ42" s="261"/>
      <c r="OTK42" s="261"/>
      <c r="OTL42" s="261"/>
      <c r="OTM42" s="261"/>
      <c r="OTN42" s="261"/>
      <c r="OTO42" s="261"/>
      <c r="OTP42" s="261"/>
      <c r="OTQ42" s="261"/>
      <c r="OTR42" s="261"/>
      <c r="OTS42" s="261"/>
      <c r="OTT42" s="261"/>
      <c r="OTU42" s="261"/>
      <c r="OTV42" s="261"/>
      <c r="OTW42" s="261"/>
      <c r="OTX42" s="261"/>
      <c r="OTY42" s="261"/>
      <c r="OTZ42" s="261"/>
      <c r="OUA42" s="261"/>
      <c r="OUB42" s="261"/>
      <c r="OUC42" s="261"/>
      <c r="OUD42" s="261"/>
      <c r="OUE42" s="261"/>
      <c r="OUF42" s="261"/>
      <c r="OUG42" s="261"/>
      <c r="OUH42" s="261"/>
      <c r="OUI42" s="261"/>
      <c r="OUJ42" s="261"/>
      <c r="OUK42" s="261"/>
      <c r="OUL42" s="261"/>
      <c r="OUM42" s="261"/>
      <c r="OUN42" s="261"/>
      <c r="OUO42" s="261"/>
      <c r="OUP42" s="261"/>
      <c r="OUQ42" s="261"/>
      <c r="OUR42" s="261"/>
      <c r="OUS42" s="261"/>
      <c r="OUT42" s="261"/>
      <c r="OUU42" s="261"/>
      <c r="OUV42" s="261"/>
      <c r="OUW42" s="261"/>
      <c r="OUX42" s="261"/>
      <c r="OUY42" s="261"/>
      <c r="OUZ42" s="261"/>
      <c r="OVA42" s="261"/>
      <c r="OVB42" s="261"/>
      <c r="OVC42" s="261"/>
      <c r="OVD42" s="261"/>
      <c r="OVE42" s="261"/>
      <c r="OVF42" s="261"/>
      <c r="OVG42" s="261"/>
      <c r="OVH42" s="261"/>
      <c r="OVI42" s="261"/>
      <c r="OVJ42" s="261"/>
      <c r="OVK42" s="261"/>
      <c r="OVL42" s="261"/>
      <c r="OVM42" s="261"/>
      <c r="OVN42" s="261"/>
      <c r="OVO42" s="261"/>
      <c r="OVP42" s="261"/>
      <c r="OVQ42" s="261"/>
      <c r="OVR42" s="261"/>
      <c r="OVS42" s="261"/>
      <c r="OVT42" s="261"/>
      <c r="OVU42" s="261"/>
      <c r="OVV42" s="261"/>
      <c r="OVW42" s="261"/>
      <c r="OVX42" s="261"/>
      <c r="OVY42" s="261"/>
      <c r="OVZ42" s="261"/>
      <c r="OWA42" s="261"/>
      <c r="OWB42" s="261"/>
      <c r="OWC42" s="261"/>
      <c r="OWD42" s="261"/>
      <c r="OWE42" s="261"/>
      <c r="OWF42" s="261"/>
      <c r="OWG42" s="261"/>
      <c r="OWH42" s="261"/>
      <c r="OWI42" s="261"/>
      <c r="OWJ42" s="261"/>
      <c r="OWK42" s="261"/>
      <c r="OWL42" s="261"/>
      <c r="OWM42" s="261"/>
      <c r="OWN42" s="261"/>
      <c r="OWO42" s="261"/>
      <c r="OWP42" s="261"/>
      <c r="OWQ42" s="261"/>
      <c r="OWR42" s="261"/>
      <c r="OWS42" s="261"/>
      <c r="OWT42" s="261"/>
      <c r="OWU42" s="261"/>
      <c r="OWV42" s="261"/>
      <c r="OWW42" s="261"/>
      <c r="OWX42" s="261"/>
      <c r="OWY42" s="261"/>
      <c r="OWZ42" s="261"/>
      <c r="OXA42" s="261"/>
      <c r="OXB42" s="261"/>
      <c r="OXC42" s="261"/>
      <c r="OXD42" s="261"/>
      <c r="OXE42" s="261"/>
      <c r="OXF42" s="261"/>
      <c r="OXG42" s="261"/>
      <c r="OXH42" s="261"/>
      <c r="OXI42" s="261"/>
      <c r="OXJ42" s="261"/>
      <c r="OXK42" s="261"/>
      <c r="OXL42" s="261"/>
      <c r="OXM42" s="261"/>
      <c r="OXN42" s="261"/>
      <c r="OXO42" s="261"/>
      <c r="OXP42" s="261"/>
      <c r="OXQ42" s="261"/>
      <c r="OXR42" s="261"/>
      <c r="OXS42" s="261"/>
      <c r="OXT42" s="261"/>
      <c r="OXU42" s="261"/>
      <c r="OXV42" s="261"/>
      <c r="OXW42" s="261"/>
      <c r="OXX42" s="261"/>
      <c r="OXY42" s="261"/>
      <c r="OXZ42" s="261"/>
      <c r="OYA42" s="261"/>
      <c r="OYB42" s="261"/>
      <c r="OYC42" s="261"/>
      <c r="OYD42" s="261"/>
      <c r="OYE42" s="261"/>
      <c r="OYF42" s="261"/>
      <c r="OYG42" s="261"/>
      <c r="OYH42" s="261"/>
      <c r="OYI42" s="261"/>
      <c r="OYJ42" s="261"/>
      <c r="OYK42" s="261"/>
      <c r="OYL42" s="261"/>
      <c r="OYM42" s="261"/>
      <c r="OYN42" s="261"/>
      <c r="OYO42" s="261"/>
      <c r="OYP42" s="261"/>
      <c r="OYQ42" s="261"/>
      <c r="OYR42" s="261"/>
      <c r="OYS42" s="261"/>
      <c r="OYT42" s="261"/>
      <c r="OYU42" s="261"/>
      <c r="OYV42" s="261"/>
      <c r="OYW42" s="261"/>
      <c r="OYX42" s="261"/>
      <c r="OYY42" s="261"/>
      <c r="OYZ42" s="261"/>
      <c r="OZA42" s="261"/>
      <c r="OZB42" s="261"/>
      <c r="OZC42" s="261"/>
      <c r="OZD42" s="261"/>
      <c r="OZE42" s="261"/>
      <c r="OZF42" s="261"/>
      <c r="OZG42" s="261"/>
      <c r="OZH42" s="261"/>
      <c r="OZI42" s="261"/>
      <c r="OZJ42" s="261"/>
      <c r="OZK42" s="261"/>
      <c r="OZL42" s="261"/>
      <c r="OZM42" s="261"/>
      <c r="OZN42" s="261"/>
      <c r="OZO42" s="261"/>
      <c r="OZP42" s="261"/>
      <c r="OZQ42" s="261"/>
      <c r="OZR42" s="261"/>
      <c r="OZS42" s="261"/>
      <c r="OZT42" s="261"/>
      <c r="OZU42" s="261"/>
      <c r="OZV42" s="261"/>
      <c r="OZW42" s="261"/>
      <c r="OZX42" s="261"/>
      <c r="OZY42" s="261"/>
      <c r="OZZ42" s="261"/>
      <c r="PAA42" s="261"/>
      <c r="PAB42" s="261"/>
      <c r="PAC42" s="261"/>
      <c r="PAD42" s="261"/>
      <c r="PAE42" s="261"/>
      <c r="PAF42" s="261"/>
      <c r="PAG42" s="261"/>
      <c r="PAH42" s="261"/>
      <c r="PAI42" s="261"/>
      <c r="PAJ42" s="261"/>
      <c r="PAK42" s="261"/>
      <c r="PAL42" s="261"/>
      <c r="PAM42" s="261"/>
      <c r="PAN42" s="261"/>
      <c r="PAO42" s="261"/>
      <c r="PAP42" s="261"/>
      <c r="PAQ42" s="261"/>
      <c r="PAR42" s="261"/>
      <c r="PAS42" s="261"/>
      <c r="PAT42" s="261"/>
      <c r="PAU42" s="261"/>
      <c r="PAV42" s="261"/>
      <c r="PAW42" s="261"/>
      <c r="PAX42" s="261"/>
      <c r="PAY42" s="261"/>
      <c r="PAZ42" s="261"/>
      <c r="PBA42" s="261"/>
      <c r="PBB42" s="261"/>
      <c r="PBC42" s="261"/>
      <c r="PBD42" s="261"/>
      <c r="PBE42" s="261"/>
      <c r="PBF42" s="261"/>
      <c r="PBG42" s="261"/>
      <c r="PBH42" s="261"/>
      <c r="PBI42" s="261"/>
      <c r="PBJ42" s="261"/>
      <c r="PBK42" s="261"/>
      <c r="PBL42" s="261"/>
      <c r="PBM42" s="261"/>
      <c r="PBN42" s="261"/>
      <c r="PBO42" s="261"/>
      <c r="PBP42" s="261"/>
      <c r="PBQ42" s="261"/>
      <c r="PBR42" s="261"/>
      <c r="PBS42" s="261"/>
      <c r="PBT42" s="261"/>
      <c r="PBU42" s="261"/>
      <c r="PBV42" s="261"/>
      <c r="PBW42" s="261"/>
      <c r="PBX42" s="261"/>
      <c r="PBY42" s="261"/>
      <c r="PBZ42" s="261"/>
      <c r="PCA42" s="261"/>
      <c r="PCB42" s="261"/>
      <c r="PCC42" s="261"/>
      <c r="PCD42" s="261"/>
      <c r="PCE42" s="261"/>
      <c r="PCF42" s="261"/>
      <c r="PCG42" s="261"/>
      <c r="PCH42" s="261"/>
      <c r="PCI42" s="261"/>
      <c r="PCJ42" s="261"/>
      <c r="PCK42" s="261"/>
      <c r="PCL42" s="261"/>
      <c r="PCM42" s="261"/>
      <c r="PCN42" s="261"/>
      <c r="PCO42" s="261"/>
      <c r="PCP42" s="261"/>
      <c r="PCQ42" s="261"/>
      <c r="PCR42" s="261"/>
      <c r="PCS42" s="261"/>
      <c r="PCT42" s="261"/>
      <c r="PCU42" s="261"/>
      <c r="PCV42" s="261"/>
      <c r="PCW42" s="261"/>
      <c r="PCX42" s="261"/>
      <c r="PCY42" s="261"/>
      <c r="PCZ42" s="261"/>
      <c r="PDA42" s="261"/>
      <c r="PDB42" s="261"/>
      <c r="PDC42" s="261"/>
      <c r="PDD42" s="261"/>
      <c r="PDE42" s="261"/>
      <c r="PDF42" s="261"/>
      <c r="PDG42" s="261"/>
      <c r="PDH42" s="261"/>
      <c r="PDI42" s="261"/>
      <c r="PDJ42" s="261"/>
      <c r="PDK42" s="261"/>
      <c r="PDL42" s="261"/>
      <c r="PDM42" s="261"/>
      <c r="PDN42" s="261"/>
      <c r="PDO42" s="261"/>
      <c r="PDP42" s="261"/>
      <c r="PDQ42" s="261"/>
      <c r="PDR42" s="261"/>
      <c r="PDS42" s="261"/>
      <c r="PDT42" s="261"/>
      <c r="PDU42" s="261"/>
      <c r="PDV42" s="261"/>
      <c r="PDW42" s="261"/>
      <c r="PDX42" s="261"/>
      <c r="PDY42" s="261"/>
      <c r="PDZ42" s="261"/>
      <c r="PEA42" s="261"/>
      <c r="PEB42" s="261"/>
      <c r="PEC42" s="261"/>
      <c r="PED42" s="261"/>
      <c r="PEE42" s="261"/>
      <c r="PEF42" s="261"/>
      <c r="PEG42" s="261"/>
      <c r="PEH42" s="261"/>
      <c r="PEI42" s="261"/>
      <c r="PEJ42" s="261"/>
      <c r="PEK42" s="261"/>
      <c r="PEL42" s="261"/>
      <c r="PEM42" s="261"/>
      <c r="PEN42" s="261"/>
      <c r="PEO42" s="261"/>
      <c r="PEP42" s="261"/>
      <c r="PEQ42" s="261"/>
      <c r="PER42" s="261"/>
      <c r="PES42" s="261"/>
      <c r="PET42" s="261"/>
      <c r="PEU42" s="261"/>
      <c r="PEV42" s="261"/>
      <c r="PEW42" s="261"/>
      <c r="PEX42" s="261"/>
      <c r="PEY42" s="261"/>
      <c r="PEZ42" s="261"/>
      <c r="PFA42" s="261"/>
      <c r="PFB42" s="261"/>
      <c r="PFC42" s="261"/>
      <c r="PFD42" s="261"/>
      <c r="PFE42" s="261"/>
      <c r="PFF42" s="261"/>
      <c r="PFG42" s="261"/>
      <c r="PFH42" s="261"/>
      <c r="PFI42" s="261"/>
      <c r="PFJ42" s="261"/>
      <c r="PFK42" s="261"/>
      <c r="PFL42" s="261"/>
      <c r="PFM42" s="261"/>
      <c r="PFN42" s="261"/>
      <c r="PFO42" s="261"/>
      <c r="PFP42" s="261"/>
      <c r="PFQ42" s="261"/>
      <c r="PFR42" s="261"/>
      <c r="PFS42" s="261"/>
      <c r="PFT42" s="261"/>
      <c r="PFU42" s="261"/>
      <c r="PFV42" s="261"/>
      <c r="PFW42" s="261"/>
      <c r="PFX42" s="261"/>
      <c r="PFY42" s="261"/>
      <c r="PFZ42" s="261"/>
      <c r="PGA42" s="261"/>
      <c r="PGB42" s="261"/>
      <c r="PGC42" s="261"/>
      <c r="PGD42" s="261"/>
      <c r="PGE42" s="261"/>
      <c r="PGF42" s="261"/>
      <c r="PGG42" s="261"/>
      <c r="PGH42" s="261"/>
      <c r="PGI42" s="261"/>
      <c r="PGJ42" s="261"/>
      <c r="PGK42" s="261"/>
      <c r="PGL42" s="261"/>
      <c r="PGM42" s="261"/>
      <c r="PGN42" s="261"/>
      <c r="PGO42" s="261"/>
      <c r="PGP42" s="261"/>
      <c r="PGQ42" s="261"/>
      <c r="PGR42" s="261"/>
      <c r="PGS42" s="261"/>
      <c r="PGT42" s="261"/>
      <c r="PGU42" s="261"/>
      <c r="PGV42" s="261"/>
      <c r="PGW42" s="261"/>
      <c r="PGX42" s="261"/>
      <c r="PGY42" s="261"/>
      <c r="PGZ42" s="261"/>
      <c r="PHA42" s="261"/>
      <c r="PHB42" s="261"/>
      <c r="PHC42" s="261"/>
      <c r="PHD42" s="261"/>
      <c r="PHE42" s="261"/>
      <c r="PHF42" s="261"/>
      <c r="PHG42" s="261"/>
      <c r="PHH42" s="261"/>
      <c r="PHI42" s="261"/>
      <c r="PHJ42" s="261"/>
      <c r="PHK42" s="261"/>
      <c r="PHL42" s="261"/>
      <c r="PHM42" s="261"/>
      <c r="PHN42" s="261"/>
      <c r="PHO42" s="261"/>
      <c r="PHP42" s="261"/>
      <c r="PHQ42" s="261"/>
      <c r="PHR42" s="261"/>
      <c r="PHS42" s="261"/>
      <c r="PHT42" s="261"/>
      <c r="PHU42" s="261"/>
      <c r="PHV42" s="261"/>
      <c r="PHW42" s="261"/>
      <c r="PHX42" s="261"/>
      <c r="PHY42" s="261"/>
      <c r="PHZ42" s="261"/>
      <c r="PIA42" s="261"/>
      <c r="PIB42" s="261"/>
      <c r="PIC42" s="261"/>
      <c r="PID42" s="261"/>
      <c r="PIE42" s="261"/>
      <c r="PIF42" s="261"/>
      <c r="PIG42" s="261"/>
      <c r="PIH42" s="261"/>
      <c r="PII42" s="261"/>
      <c r="PIJ42" s="261"/>
      <c r="PIK42" s="261"/>
      <c r="PIL42" s="261"/>
      <c r="PIM42" s="261"/>
      <c r="PIN42" s="261"/>
      <c r="PIO42" s="261"/>
      <c r="PIP42" s="261"/>
      <c r="PIQ42" s="261"/>
      <c r="PIR42" s="261"/>
      <c r="PIS42" s="261"/>
      <c r="PIT42" s="261"/>
      <c r="PIU42" s="261"/>
      <c r="PIV42" s="261"/>
      <c r="PIW42" s="261"/>
      <c r="PIX42" s="261"/>
      <c r="PIY42" s="261"/>
      <c r="PIZ42" s="261"/>
      <c r="PJA42" s="261"/>
      <c r="PJB42" s="261"/>
      <c r="PJC42" s="261"/>
      <c r="PJD42" s="261"/>
      <c r="PJE42" s="261"/>
      <c r="PJF42" s="261"/>
      <c r="PJG42" s="261"/>
      <c r="PJH42" s="261"/>
      <c r="PJI42" s="261"/>
      <c r="PJJ42" s="261"/>
      <c r="PJK42" s="261"/>
      <c r="PJL42" s="261"/>
      <c r="PJM42" s="261"/>
      <c r="PJN42" s="261"/>
      <c r="PJO42" s="261"/>
      <c r="PJP42" s="261"/>
      <c r="PJQ42" s="261"/>
      <c r="PJR42" s="261"/>
      <c r="PJS42" s="261"/>
      <c r="PJT42" s="261"/>
      <c r="PJU42" s="261"/>
      <c r="PJV42" s="261"/>
      <c r="PJW42" s="261"/>
      <c r="PJX42" s="261"/>
      <c r="PJY42" s="261"/>
      <c r="PJZ42" s="261"/>
      <c r="PKA42" s="261"/>
      <c r="PKB42" s="261"/>
      <c r="PKC42" s="261"/>
      <c r="PKD42" s="261"/>
      <c r="PKE42" s="261"/>
      <c r="PKF42" s="261"/>
      <c r="PKG42" s="261"/>
      <c r="PKH42" s="261"/>
      <c r="PKI42" s="261"/>
      <c r="PKJ42" s="261"/>
      <c r="PKK42" s="261"/>
      <c r="PKL42" s="261"/>
      <c r="PKM42" s="261"/>
      <c r="PKN42" s="261"/>
      <c r="PKO42" s="261"/>
      <c r="PKP42" s="261"/>
      <c r="PKQ42" s="261"/>
      <c r="PKR42" s="261"/>
      <c r="PKS42" s="261"/>
      <c r="PKT42" s="261"/>
      <c r="PKU42" s="261"/>
      <c r="PKV42" s="261"/>
      <c r="PKW42" s="261"/>
      <c r="PKX42" s="261"/>
      <c r="PKY42" s="261"/>
      <c r="PKZ42" s="261"/>
      <c r="PLA42" s="261"/>
      <c r="PLB42" s="261"/>
      <c r="PLC42" s="261"/>
      <c r="PLD42" s="261"/>
      <c r="PLE42" s="261"/>
      <c r="PLF42" s="261"/>
      <c r="PLG42" s="261"/>
      <c r="PLH42" s="261"/>
      <c r="PLI42" s="261"/>
      <c r="PLJ42" s="261"/>
      <c r="PLK42" s="261"/>
      <c r="PLL42" s="261"/>
      <c r="PLM42" s="261"/>
      <c r="PLN42" s="261"/>
      <c r="PLO42" s="261"/>
      <c r="PLP42" s="261"/>
      <c r="PLQ42" s="261"/>
      <c r="PLR42" s="261"/>
      <c r="PLS42" s="261"/>
      <c r="PLT42" s="261"/>
      <c r="PLU42" s="261"/>
      <c r="PLV42" s="261"/>
      <c r="PLW42" s="261"/>
      <c r="PLX42" s="261"/>
      <c r="PLY42" s="261"/>
      <c r="PLZ42" s="261"/>
      <c r="PMA42" s="261"/>
      <c r="PMB42" s="261"/>
      <c r="PMC42" s="261"/>
      <c r="PMD42" s="261"/>
      <c r="PME42" s="261"/>
      <c r="PMF42" s="261"/>
      <c r="PMG42" s="261"/>
      <c r="PMH42" s="261"/>
      <c r="PMI42" s="261"/>
      <c r="PMJ42" s="261"/>
      <c r="PMK42" s="261"/>
      <c r="PML42" s="261"/>
      <c r="PMM42" s="261"/>
      <c r="PMN42" s="261"/>
      <c r="PMO42" s="261"/>
      <c r="PMP42" s="261"/>
      <c r="PMQ42" s="261"/>
      <c r="PMR42" s="261"/>
      <c r="PMS42" s="261"/>
      <c r="PMT42" s="261"/>
      <c r="PMU42" s="261"/>
      <c r="PMV42" s="261"/>
      <c r="PMW42" s="261"/>
      <c r="PMX42" s="261"/>
      <c r="PMY42" s="261"/>
      <c r="PMZ42" s="261"/>
      <c r="PNA42" s="261"/>
      <c r="PNB42" s="261"/>
      <c r="PNC42" s="261"/>
      <c r="PND42" s="261"/>
      <c r="PNE42" s="261"/>
      <c r="PNF42" s="261"/>
      <c r="PNG42" s="261"/>
      <c r="PNH42" s="261"/>
      <c r="PNI42" s="261"/>
      <c r="PNJ42" s="261"/>
      <c r="PNK42" s="261"/>
      <c r="PNL42" s="261"/>
      <c r="PNM42" s="261"/>
      <c r="PNN42" s="261"/>
      <c r="PNO42" s="261"/>
      <c r="PNP42" s="261"/>
      <c r="PNQ42" s="261"/>
      <c r="PNR42" s="261"/>
      <c r="PNS42" s="261"/>
      <c r="PNT42" s="261"/>
      <c r="PNU42" s="261"/>
      <c r="PNV42" s="261"/>
      <c r="PNW42" s="261"/>
      <c r="PNX42" s="261"/>
      <c r="PNY42" s="261"/>
      <c r="PNZ42" s="261"/>
      <c r="POA42" s="261"/>
      <c r="POB42" s="261"/>
      <c r="POC42" s="261"/>
      <c r="POD42" s="261"/>
      <c r="POE42" s="261"/>
      <c r="POF42" s="261"/>
      <c r="POG42" s="261"/>
      <c r="POH42" s="261"/>
      <c r="POI42" s="261"/>
      <c r="POJ42" s="261"/>
      <c r="POK42" s="261"/>
      <c r="POL42" s="261"/>
      <c r="POM42" s="261"/>
      <c r="PON42" s="261"/>
      <c r="POO42" s="261"/>
      <c r="POP42" s="261"/>
      <c r="POQ42" s="261"/>
      <c r="POR42" s="261"/>
      <c r="POS42" s="261"/>
      <c r="POT42" s="261"/>
      <c r="POU42" s="261"/>
      <c r="POV42" s="261"/>
      <c r="POW42" s="261"/>
      <c r="POX42" s="261"/>
      <c r="POY42" s="261"/>
      <c r="POZ42" s="261"/>
      <c r="PPA42" s="261"/>
      <c r="PPB42" s="261"/>
      <c r="PPC42" s="261"/>
      <c r="PPD42" s="261"/>
      <c r="PPE42" s="261"/>
      <c r="PPF42" s="261"/>
      <c r="PPG42" s="261"/>
      <c r="PPH42" s="261"/>
      <c r="PPI42" s="261"/>
      <c r="PPJ42" s="261"/>
      <c r="PPK42" s="261"/>
      <c r="PPL42" s="261"/>
      <c r="PPM42" s="261"/>
      <c r="PPN42" s="261"/>
      <c r="PPO42" s="261"/>
      <c r="PPP42" s="261"/>
      <c r="PPQ42" s="261"/>
      <c r="PPR42" s="261"/>
      <c r="PPS42" s="261"/>
      <c r="PPT42" s="261"/>
      <c r="PPU42" s="261"/>
      <c r="PPV42" s="261"/>
      <c r="PPW42" s="261"/>
      <c r="PPX42" s="261"/>
      <c r="PPY42" s="261"/>
      <c r="PPZ42" s="261"/>
      <c r="PQA42" s="261"/>
      <c r="PQB42" s="261"/>
      <c r="PQC42" s="261"/>
      <c r="PQD42" s="261"/>
      <c r="PQE42" s="261"/>
      <c r="PQF42" s="261"/>
      <c r="PQG42" s="261"/>
      <c r="PQH42" s="261"/>
      <c r="PQI42" s="261"/>
      <c r="PQJ42" s="261"/>
      <c r="PQK42" s="261"/>
      <c r="PQL42" s="261"/>
      <c r="PQM42" s="261"/>
      <c r="PQN42" s="261"/>
      <c r="PQO42" s="261"/>
      <c r="PQP42" s="261"/>
      <c r="PQQ42" s="261"/>
      <c r="PQR42" s="261"/>
      <c r="PQS42" s="261"/>
      <c r="PQT42" s="261"/>
      <c r="PQU42" s="261"/>
      <c r="PQV42" s="261"/>
      <c r="PQW42" s="261"/>
      <c r="PQX42" s="261"/>
      <c r="PQY42" s="261"/>
      <c r="PQZ42" s="261"/>
      <c r="PRA42" s="261"/>
      <c r="PRB42" s="261"/>
      <c r="PRC42" s="261"/>
      <c r="PRD42" s="261"/>
      <c r="PRE42" s="261"/>
      <c r="PRF42" s="261"/>
      <c r="PRG42" s="261"/>
      <c r="PRH42" s="261"/>
      <c r="PRI42" s="261"/>
      <c r="PRJ42" s="261"/>
      <c r="PRK42" s="261"/>
      <c r="PRL42" s="261"/>
      <c r="PRM42" s="261"/>
      <c r="PRN42" s="261"/>
      <c r="PRO42" s="261"/>
      <c r="PRP42" s="261"/>
      <c r="PRQ42" s="261"/>
      <c r="PRR42" s="261"/>
      <c r="PRS42" s="261"/>
      <c r="PRT42" s="261"/>
      <c r="PRU42" s="261"/>
      <c r="PRV42" s="261"/>
      <c r="PRW42" s="261"/>
      <c r="PRX42" s="261"/>
      <c r="PRY42" s="261"/>
      <c r="PRZ42" s="261"/>
      <c r="PSA42" s="261"/>
      <c r="PSB42" s="261"/>
      <c r="PSC42" s="261"/>
      <c r="PSD42" s="261"/>
      <c r="PSE42" s="261"/>
      <c r="PSF42" s="261"/>
      <c r="PSG42" s="261"/>
      <c r="PSH42" s="261"/>
      <c r="PSI42" s="261"/>
      <c r="PSJ42" s="261"/>
      <c r="PSK42" s="261"/>
      <c r="PSL42" s="261"/>
      <c r="PSM42" s="261"/>
      <c r="PSN42" s="261"/>
      <c r="PSO42" s="261"/>
      <c r="PSP42" s="261"/>
      <c r="PSQ42" s="261"/>
      <c r="PSR42" s="261"/>
      <c r="PSS42" s="261"/>
      <c r="PST42" s="261"/>
      <c r="PSU42" s="261"/>
      <c r="PSV42" s="261"/>
      <c r="PSW42" s="261"/>
      <c r="PSX42" s="261"/>
      <c r="PSY42" s="261"/>
      <c r="PSZ42" s="261"/>
      <c r="PTA42" s="261"/>
      <c r="PTB42" s="261"/>
      <c r="PTC42" s="261"/>
      <c r="PTD42" s="261"/>
      <c r="PTE42" s="261"/>
      <c r="PTF42" s="261"/>
      <c r="PTG42" s="261"/>
      <c r="PTH42" s="261"/>
      <c r="PTI42" s="261"/>
      <c r="PTJ42" s="261"/>
      <c r="PTK42" s="261"/>
      <c r="PTL42" s="261"/>
      <c r="PTM42" s="261"/>
      <c r="PTN42" s="261"/>
      <c r="PTO42" s="261"/>
      <c r="PTP42" s="261"/>
      <c r="PTQ42" s="261"/>
      <c r="PTR42" s="261"/>
      <c r="PTS42" s="261"/>
      <c r="PTT42" s="261"/>
      <c r="PTU42" s="261"/>
      <c r="PTV42" s="261"/>
      <c r="PTW42" s="261"/>
      <c r="PTX42" s="261"/>
      <c r="PTY42" s="261"/>
      <c r="PTZ42" s="261"/>
      <c r="PUA42" s="261"/>
      <c r="PUB42" s="261"/>
      <c r="PUC42" s="261"/>
      <c r="PUD42" s="261"/>
      <c r="PUE42" s="261"/>
      <c r="PUF42" s="261"/>
      <c r="PUG42" s="261"/>
      <c r="PUH42" s="261"/>
      <c r="PUI42" s="261"/>
      <c r="PUJ42" s="261"/>
      <c r="PUK42" s="261"/>
      <c r="PUL42" s="261"/>
      <c r="PUM42" s="261"/>
      <c r="PUN42" s="261"/>
      <c r="PUO42" s="261"/>
      <c r="PUP42" s="261"/>
      <c r="PUQ42" s="261"/>
      <c r="PUR42" s="261"/>
      <c r="PUS42" s="261"/>
      <c r="PUT42" s="261"/>
      <c r="PUU42" s="261"/>
      <c r="PUV42" s="261"/>
      <c r="PUW42" s="261"/>
      <c r="PUX42" s="261"/>
      <c r="PUY42" s="261"/>
      <c r="PUZ42" s="261"/>
      <c r="PVA42" s="261"/>
      <c r="PVB42" s="261"/>
      <c r="PVC42" s="261"/>
      <c r="PVD42" s="261"/>
      <c r="PVE42" s="261"/>
      <c r="PVF42" s="261"/>
      <c r="PVG42" s="261"/>
      <c r="PVH42" s="261"/>
      <c r="PVI42" s="261"/>
      <c r="PVJ42" s="261"/>
      <c r="PVK42" s="261"/>
      <c r="PVL42" s="261"/>
      <c r="PVM42" s="261"/>
      <c r="PVN42" s="261"/>
      <c r="PVO42" s="261"/>
      <c r="PVP42" s="261"/>
      <c r="PVQ42" s="261"/>
      <c r="PVR42" s="261"/>
      <c r="PVS42" s="261"/>
      <c r="PVT42" s="261"/>
      <c r="PVU42" s="261"/>
      <c r="PVV42" s="261"/>
      <c r="PVW42" s="261"/>
      <c r="PVX42" s="261"/>
      <c r="PVY42" s="261"/>
      <c r="PVZ42" s="261"/>
      <c r="PWA42" s="261"/>
      <c r="PWB42" s="261"/>
      <c r="PWC42" s="261"/>
      <c r="PWD42" s="261"/>
      <c r="PWE42" s="261"/>
      <c r="PWF42" s="261"/>
      <c r="PWG42" s="261"/>
      <c r="PWH42" s="261"/>
      <c r="PWI42" s="261"/>
      <c r="PWJ42" s="261"/>
      <c r="PWK42" s="261"/>
      <c r="PWL42" s="261"/>
      <c r="PWM42" s="261"/>
      <c r="PWN42" s="261"/>
      <c r="PWO42" s="261"/>
      <c r="PWP42" s="261"/>
      <c r="PWQ42" s="261"/>
      <c r="PWR42" s="261"/>
      <c r="PWS42" s="261"/>
      <c r="PWT42" s="261"/>
      <c r="PWU42" s="261"/>
      <c r="PWV42" s="261"/>
      <c r="PWW42" s="261"/>
      <c r="PWX42" s="261"/>
      <c r="PWY42" s="261"/>
      <c r="PWZ42" s="261"/>
      <c r="PXA42" s="261"/>
      <c r="PXB42" s="261"/>
      <c r="PXC42" s="261"/>
      <c r="PXD42" s="261"/>
      <c r="PXE42" s="261"/>
      <c r="PXF42" s="261"/>
      <c r="PXG42" s="261"/>
      <c r="PXH42" s="261"/>
      <c r="PXI42" s="261"/>
      <c r="PXJ42" s="261"/>
      <c r="PXK42" s="261"/>
      <c r="PXL42" s="261"/>
      <c r="PXM42" s="261"/>
      <c r="PXN42" s="261"/>
      <c r="PXO42" s="261"/>
      <c r="PXP42" s="261"/>
      <c r="PXQ42" s="261"/>
      <c r="PXR42" s="261"/>
      <c r="PXS42" s="261"/>
      <c r="PXT42" s="261"/>
      <c r="PXU42" s="261"/>
      <c r="PXV42" s="261"/>
      <c r="PXW42" s="261"/>
      <c r="PXX42" s="261"/>
      <c r="PXY42" s="261"/>
      <c r="PXZ42" s="261"/>
      <c r="PYA42" s="261"/>
      <c r="PYB42" s="261"/>
      <c r="PYC42" s="261"/>
      <c r="PYD42" s="261"/>
      <c r="PYE42" s="261"/>
      <c r="PYF42" s="261"/>
      <c r="PYG42" s="261"/>
      <c r="PYH42" s="261"/>
      <c r="PYI42" s="261"/>
      <c r="PYJ42" s="261"/>
      <c r="PYK42" s="261"/>
      <c r="PYL42" s="261"/>
      <c r="PYM42" s="261"/>
      <c r="PYN42" s="261"/>
      <c r="PYO42" s="261"/>
      <c r="PYP42" s="261"/>
      <c r="PYQ42" s="261"/>
      <c r="PYR42" s="261"/>
      <c r="PYS42" s="261"/>
      <c r="PYT42" s="261"/>
      <c r="PYU42" s="261"/>
      <c r="PYV42" s="261"/>
      <c r="PYW42" s="261"/>
      <c r="PYX42" s="261"/>
      <c r="PYY42" s="261"/>
      <c r="PYZ42" s="261"/>
      <c r="PZA42" s="261"/>
      <c r="PZB42" s="261"/>
      <c r="PZC42" s="261"/>
      <c r="PZD42" s="261"/>
      <c r="PZE42" s="261"/>
      <c r="PZF42" s="261"/>
      <c r="PZG42" s="261"/>
      <c r="PZH42" s="261"/>
      <c r="PZI42" s="261"/>
      <c r="PZJ42" s="261"/>
      <c r="PZK42" s="261"/>
      <c r="PZL42" s="261"/>
      <c r="PZM42" s="261"/>
      <c r="PZN42" s="261"/>
      <c r="PZO42" s="261"/>
      <c r="PZP42" s="261"/>
      <c r="PZQ42" s="261"/>
      <c r="PZR42" s="261"/>
      <c r="PZS42" s="261"/>
      <c r="PZT42" s="261"/>
      <c r="PZU42" s="261"/>
      <c r="PZV42" s="261"/>
      <c r="PZW42" s="261"/>
      <c r="PZX42" s="261"/>
      <c r="PZY42" s="261"/>
      <c r="PZZ42" s="261"/>
      <c r="QAA42" s="261"/>
      <c r="QAB42" s="261"/>
      <c r="QAC42" s="261"/>
      <c r="QAD42" s="261"/>
      <c r="QAE42" s="261"/>
      <c r="QAF42" s="261"/>
      <c r="QAG42" s="261"/>
      <c r="QAH42" s="261"/>
      <c r="QAI42" s="261"/>
      <c r="QAJ42" s="261"/>
      <c r="QAK42" s="261"/>
      <c r="QAL42" s="261"/>
      <c r="QAM42" s="261"/>
      <c r="QAN42" s="261"/>
      <c r="QAO42" s="261"/>
      <c r="QAP42" s="261"/>
      <c r="QAQ42" s="261"/>
      <c r="QAR42" s="261"/>
      <c r="QAS42" s="261"/>
      <c r="QAT42" s="261"/>
      <c r="QAU42" s="261"/>
      <c r="QAV42" s="261"/>
      <c r="QAW42" s="261"/>
      <c r="QAX42" s="261"/>
      <c r="QAY42" s="261"/>
      <c r="QAZ42" s="261"/>
      <c r="QBA42" s="261"/>
      <c r="QBB42" s="261"/>
      <c r="QBC42" s="261"/>
      <c r="QBD42" s="261"/>
      <c r="QBE42" s="261"/>
      <c r="QBF42" s="261"/>
      <c r="QBG42" s="261"/>
      <c r="QBH42" s="261"/>
      <c r="QBI42" s="261"/>
      <c r="QBJ42" s="261"/>
      <c r="QBK42" s="261"/>
      <c r="QBL42" s="261"/>
      <c r="QBM42" s="261"/>
      <c r="QBN42" s="261"/>
      <c r="QBO42" s="261"/>
      <c r="QBP42" s="261"/>
      <c r="QBQ42" s="261"/>
      <c r="QBR42" s="261"/>
      <c r="QBS42" s="261"/>
      <c r="QBT42" s="261"/>
      <c r="QBU42" s="261"/>
      <c r="QBV42" s="261"/>
      <c r="QBW42" s="261"/>
      <c r="QBX42" s="261"/>
      <c r="QBY42" s="261"/>
      <c r="QBZ42" s="261"/>
      <c r="QCA42" s="261"/>
      <c r="QCB42" s="261"/>
      <c r="QCC42" s="261"/>
      <c r="QCD42" s="261"/>
      <c r="QCE42" s="261"/>
      <c r="QCF42" s="261"/>
      <c r="QCG42" s="261"/>
      <c r="QCH42" s="261"/>
      <c r="QCI42" s="261"/>
      <c r="QCJ42" s="261"/>
      <c r="QCK42" s="261"/>
      <c r="QCL42" s="261"/>
      <c r="QCM42" s="261"/>
      <c r="QCN42" s="261"/>
      <c r="QCO42" s="261"/>
      <c r="QCP42" s="261"/>
      <c r="QCQ42" s="261"/>
      <c r="QCR42" s="261"/>
      <c r="QCS42" s="261"/>
      <c r="QCT42" s="261"/>
      <c r="QCU42" s="261"/>
      <c r="QCV42" s="261"/>
      <c r="QCW42" s="261"/>
      <c r="QCX42" s="261"/>
      <c r="QCY42" s="261"/>
      <c r="QCZ42" s="261"/>
      <c r="QDA42" s="261"/>
      <c r="QDB42" s="261"/>
      <c r="QDC42" s="261"/>
      <c r="QDD42" s="261"/>
      <c r="QDE42" s="261"/>
      <c r="QDF42" s="261"/>
      <c r="QDG42" s="261"/>
      <c r="QDH42" s="261"/>
      <c r="QDI42" s="261"/>
      <c r="QDJ42" s="261"/>
      <c r="QDK42" s="261"/>
      <c r="QDL42" s="261"/>
      <c r="QDM42" s="261"/>
      <c r="QDN42" s="261"/>
      <c r="QDO42" s="261"/>
      <c r="QDP42" s="261"/>
      <c r="QDQ42" s="261"/>
      <c r="QDR42" s="261"/>
      <c r="QDS42" s="261"/>
      <c r="QDT42" s="261"/>
      <c r="QDU42" s="261"/>
      <c r="QDV42" s="261"/>
      <c r="QDW42" s="261"/>
      <c r="QDX42" s="261"/>
      <c r="QDY42" s="261"/>
      <c r="QDZ42" s="261"/>
      <c r="QEA42" s="261"/>
      <c r="QEB42" s="261"/>
      <c r="QEC42" s="261"/>
      <c r="QED42" s="261"/>
      <c r="QEE42" s="261"/>
      <c r="QEF42" s="261"/>
      <c r="QEG42" s="261"/>
      <c r="QEH42" s="261"/>
      <c r="QEI42" s="261"/>
      <c r="QEJ42" s="261"/>
      <c r="QEK42" s="261"/>
      <c r="QEL42" s="261"/>
      <c r="QEM42" s="261"/>
      <c r="QEN42" s="261"/>
      <c r="QEO42" s="261"/>
      <c r="QEP42" s="261"/>
      <c r="QEQ42" s="261"/>
      <c r="QER42" s="261"/>
      <c r="QES42" s="261"/>
      <c r="QET42" s="261"/>
      <c r="QEU42" s="261"/>
      <c r="QEV42" s="261"/>
      <c r="QEW42" s="261"/>
      <c r="QEX42" s="261"/>
      <c r="QEY42" s="261"/>
      <c r="QEZ42" s="261"/>
      <c r="QFA42" s="261"/>
      <c r="QFB42" s="261"/>
      <c r="QFC42" s="261"/>
      <c r="QFD42" s="261"/>
      <c r="QFE42" s="261"/>
      <c r="QFF42" s="261"/>
      <c r="QFG42" s="261"/>
      <c r="QFH42" s="261"/>
      <c r="QFI42" s="261"/>
      <c r="QFJ42" s="261"/>
      <c r="QFK42" s="261"/>
      <c r="QFL42" s="261"/>
      <c r="QFM42" s="261"/>
      <c r="QFN42" s="261"/>
      <c r="QFO42" s="261"/>
      <c r="QFP42" s="261"/>
      <c r="QFQ42" s="261"/>
      <c r="QFR42" s="261"/>
      <c r="QFS42" s="261"/>
      <c r="QFT42" s="261"/>
      <c r="QFU42" s="261"/>
      <c r="QFV42" s="261"/>
      <c r="QFW42" s="261"/>
      <c r="QFX42" s="261"/>
      <c r="QFY42" s="261"/>
      <c r="QFZ42" s="261"/>
      <c r="QGA42" s="261"/>
      <c r="QGB42" s="261"/>
      <c r="QGC42" s="261"/>
      <c r="QGD42" s="261"/>
      <c r="QGE42" s="261"/>
      <c r="QGF42" s="261"/>
      <c r="QGG42" s="261"/>
      <c r="QGH42" s="261"/>
      <c r="QGI42" s="261"/>
      <c r="QGJ42" s="261"/>
      <c r="QGK42" s="261"/>
      <c r="QGL42" s="261"/>
      <c r="QGM42" s="261"/>
      <c r="QGN42" s="261"/>
      <c r="QGO42" s="261"/>
      <c r="QGP42" s="261"/>
      <c r="QGQ42" s="261"/>
      <c r="QGR42" s="261"/>
      <c r="QGS42" s="261"/>
      <c r="QGT42" s="261"/>
      <c r="QGU42" s="261"/>
      <c r="QGV42" s="261"/>
      <c r="QGW42" s="261"/>
      <c r="QGX42" s="261"/>
      <c r="QGY42" s="261"/>
      <c r="QGZ42" s="261"/>
      <c r="QHA42" s="261"/>
      <c r="QHB42" s="261"/>
      <c r="QHC42" s="261"/>
      <c r="QHD42" s="261"/>
      <c r="QHE42" s="261"/>
      <c r="QHF42" s="261"/>
      <c r="QHG42" s="261"/>
      <c r="QHH42" s="261"/>
      <c r="QHI42" s="261"/>
      <c r="QHJ42" s="261"/>
      <c r="QHK42" s="261"/>
      <c r="QHL42" s="261"/>
      <c r="QHM42" s="261"/>
      <c r="QHN42" s="261"/>
      <c r="QHO42" s="261"/>
      <c r="QHP42" s="261"/>
      <c r="QHQ42" s="261"/>
      <c r="QHR42" s="261"/>
      <c r="QHS42" s="261"/>
      <c r="QHT42" s="261"/>
      <c r="QHU42" s="261"/>
      <c r="QHV42" s="261"/>
      <c r="QHW42" s="261"/>
      <c r="QHX42" s="261"/>
      <c r="QHY42" s="261"/>
      <c r="QHZ42" s="261"/>
      <c r="QIA42" s="261"/>
      <c r="QIB42" s="261"/>
      <c r="QIC42" s="261"/>
      <c r="QID42" s="261"/>
      <c r="QIE42" s="261"/>
      <c r="QIF42" s="261"/>
      <c r="QIG42" s="261"/>
      <c r="QIH42" s="261"/>
      <c r="QII42" s="261"/>
      <c r="QIJ42" s="261"/>
      <c r="QIK42" s="261"/>
      <c r="QIL42" s="261"/>
      <c r="QIM42" s="261"/>
      <c r="QIN42" s="261"/>
      <c r="QIO42" s="261"/>
      <c r="QIP42" s="261"/>
      <c r="QIQ42" s="261"/>
      <c r="QIR42" s="261"/>
      <c r="QIS42" s="261"/>
      <c r="QIT42" s="261"/>
      <c r="QIU42" s="261"/>
      <c r="QIV42" s="261"/>
      <c r="QIW42" s="261"/>
      <c r="QIX42" s="261"/>
      <c r="QIY42" s="261"/>
      <c r="QIZ42" s="261"/>
      <c r="QJA42" s="261"/>
      <c r="QJB42" s="261"/>
      <c r="QJC42" s="261"/>
      <c r="QJD42" s="261"/>
      <c r="QJE42" s="261"/>
      <c r="QJF42" s="261"/>
      <c r="QJG42" s="261"/>
      <c r="QJH42" s="261"/>
      <c r="QJI42" s="261"/>
      <c r="QJJ42" s="261"/>
      <c r="QJK42" s="261"/>
      <c r="QJL42" s="261"/>
      <c r="QJM42" s="261"/>
      <c r="QJN42" s="261"/>
      <c r="QJO42" s="261"/>
      <c r="QJP42" s="261"/>
      <c r="QJQ42" s="261"/>
      <c r="QJR42" s="261"/>
      <c r="QJS42" s="261"/>
      <c r="QJT42" s="261"/>
      <c r="QJU42" s="261"/>
      <c r="QJV42" s="261"/>
      <c r="QJW42" s="261"/>
      <c r="QJX42" s="261"/>
      <c r="QJY42" s="261"/>
      <c r="QJZ42" s="261"/>
      <c r="QKA42" s="261"/>
      <c r="QKB42" s="261"/>
      <c r="QKC42" s="261"/>
      <c r="QKD42" s="261"/>
      <c r="QKE42" s="261"/>
      <c r="QKF42" s="261"/>
      <c r="QKG42" s="261"/>
      <c r="QKH42" s="261"/>
      <c r="QKI42" s="261"/>
      <c r="QKJ42" s="261"/>
      <c r="QKK42" s="261"/>
      <c r="QKL42" s="261"/>
      <c r="QKM42" s="261"/>
      <c r="QKN42" s="261"/>
      <c r="QKO42" s="261"/>
      <c r="QKP42" s="261"/>
      <c r="QKQ42" s="261"/>
      <c r="QKR42" s="261"/>
      <c r="QKS42" s="261"/>
      <c r="QKT42" s="261"/>
      <c r="QKU42" s="261"/>
      <c r="QKV42" s="261"/>
      <c r="QKW42" s="261"/>
      <c r="QKX42" s="261"/>
      <c r="QKY42" s="261"/>
      <c r="QKZ42" s="261"/>
      <c r="QLA42" s="261"/>
      <c r="QLB42" s="261"/>
      <c r="QLC42" s="261"/>
      <c r="QLD42" s="261"/>
      <c r="QLE42" s="261"/>
      <c r="QLF42" s="261"/>
      <c r="QLG42" s="261"/>
      <c r="QLH42" s="261"/>
      <c r="QLI42" s="261"/>
      <c r="QLJ42" s="261"/>
      <c r="QLK42" s="261"/>
      <c r="QLL42" s="261"/>
      <c r="QLM42" s="261"/>
      <c r="QLN42" s="261"/>
      <c r="QLO42" s="261"/>
      <c r="QLP42" s="261"/>
      <c r="QLQ42" s="261"/>
      <c r="QLR42" s="261"/>
      <c r="QLS42" s="261"/>
      <c r="QLT42" s="261"/>
      <c r="QLU42" s="261"/>
      <c r="QLV42" s="261"/>
      <c r="QLW42" s="261"/>
      <c r="QLX42" s="261"/>
      <c r="QLY42" s="261"/>
      <c r="QLZ42" s="261"/>
      <c r="QMA42" s="261"/>
      <c r="QMB42" s="261"/>
      <c r="QMC42" s="261"/>
      <c r="QMD42" s="261"/>
      <c r="QME42" s="261"/>
      <c r="QMF42" s="261"/>
      <c r="QMG42" s="261"/>
      <c r="QMH42" s="261"/>
      <c r="QMI42" s="261"/>
      <c r="QMJ42" s="261"/>
      <c r="QMK42" s="261"/>
      <c r="QML42" s="261"/>
      <c r="QMM42" s="261"/>
      <c r="QMN42" s="261"/>
      <c r="QMO42" s="261"/>
      <c r="QMP42" s="261"/>
      <c r="QMQ42" s="261"/>
      <c r="QMR42" s="261"/>
      <c r="QMS42" s="261"/>
      <c r="QMT42" s="261"/>
      <c r="QMU42" s="261"/>
      <c r="QMV42" s="261"/>
      <c r="QMW42" s="261"/>
      <c r="QMX42" s="261"/>
      <c r="QMY42" s="261"/>
      <c r="QMZ42" s="261"/>
      <c r="QNA42" s="261"/>
      <c r="QNB42" s="261"/>
      <c r="QNC42" s="261"/>
      <c r="QND42" s="261"/>
      <c r="QNE42" s="261"/>
      <c r="QNF42" s="261"/>
      <c r="QNG42" s="261"/>
      <c r="QNH42" s="261"/>
      <c r="QNI42" s="261"/>
      <c r="QNJ42" s="261"/>
      <c r="QNK42" s="261"/>
      <c r="QNL42" s="261"/>
      <c r="QNM42" s="261"/>
      <c r="QNN42" s="261"/>
      <c r="QNO42" s="261"/>
      <c r="QNP42" s="261"/>
      <c r="QNQ42" s="261"/>
      <c r="QNR42" s="261"/>
      <c r="QNS42" s="261"/>
      <c r="QNT42" s="261"/>
      <c r="QNU42" s="261"/>
      <c r="QNV42" s="261"/>
      <c r="QNW42" s="261"/>
      <c r="QNX42" s="261"/>
      <c r="QNY42" s="261"/>
      <c r="QNZ42" s="261"/>
      <c r="QOA42" s="261"/>
      <c r="QOB42" s="261"/>
      <c r="QOC42" s="261"/>
      <c r="QOD42" s="261"/>
      <c r="QOE42" s="261"/>
      <c r="QOF42" s="261"/>
      <c r="QOG42" s="261"/>
      <c r="QOH42" s="261"/>
      <c r="QOI42" s="261"/>
      <c r="QOJ42" s="261"/>
      <c r="QOK42" s="261"/>
      <c r="QOL42" s="261"/>
      <c r="QOM42" s="261"/>
      <c r="QON42" s="261"/>
      <c r="QOO42" s="261"/>
      <c r="QOP42" s="261"/>
      <c r="QOQ42" s="261"/>
      <c r="QOR42" s="261"/>
      <c r="QOS42" s="261"/>
      <c r="QOT42" s="261"/>
      <c r="QOU42" s="261"/>
      <c r="QOV42" s="261"/>
      <c r="QOW42" s="261"/>
      <c r="QOX42" s="261"/>
      <c r="QOY42" s="261"/>
      <c r="QOZ42" s="261"/>
      <c r="QPA42" s="261"/>
      <c r="QPB42" s="261"/>
      <c r="QPC42" s="261"/>
      <c r="QPD42" s="261"/>
      <c r="QPE42" s="261"/>
      <c r="QPF42" s="261"/>
      <c r="QPG42" s="261"/>
      <c r="QPH42" s="261"/>
      <c r="QPI42" s="261"/>
      <c r="QPJ42" s="261"/>
      <c r="QPK42" s="261"/>
      <c r="QPL42" s="261"/>
      <c r="QPM42" s="261"/>
      <c r="QPN42" s="261"/>
      <c r="QPO42" s="261"/>
      <c r="QPP42" s="261"/>
      <c r="QPQ42" s="261"/>
      <c r="QPR42" s="261"/>
      <c r="QPS42" s="261"/>
      <c r="QPT42" s="261"/>
      <c r="QPU42" s="261"/>
      <c r="QPV42" s="261"/>
      <c r="QPW42" s="261"/>
      <c r="QPX42" s="261"/>
      <c r="QPY42" s="261"/>
      <c r="QPZ42" s="261"/>
      <c r="QQA42" s="261"/>
      <c r="QQB42" s="261"/>
      <c r="QQC42" s="261"/>
      <c r="QQD42" s="261"/>
      <c r="QQE42" s="261"/>
      <c r="QQF42" s="261"/>
      <c r="QQG42" s="261"/>
      <c r="QQH42" s="261"/>
      <c r="QQI42" s="261"/>
      <c r="QQJ42" s="261"/>
      <c r="QQK42" s="261"/>
      <c r="QQL42" s="261"/>
      <c r="QQM42" s="261"/>
      <c r="QQN42" s="261"/>
      <c r="QQO42" s="261"/>
      <c r="QQP42" s="261"/>
      <c r="QQQ42" s="261"/>
      <c r="QQR42" s="261"/>
      <c r="QQS42" s="261"/>
      <c r="QQT42" s="261"/>
      <c r="QQU42" s="261"/>
      <c r="QQV42" s="261"/>
      <c r="QQW42" s="261"/>
      <c r="QQX42" s="261"/>
      <c r="QQY42" s="261"/>
      <c r="QQZ42" s="261"/>
      <c r="QRA42" s="261"/>
      <c r="QRB42" s="261"/>
      <c r="QRC42" s="261"/>
      <c r="QRD42" s="261"/>
      <c r="QRE42" s="261"/>
      <c r="QRF42" s="261"/>
      <c r="QRG42" s="261"/>
      <c r="QRH42" s="261"/>
      <c r="QRI42" s="261"/>
      <c r="QRJ42" s="261"/>
      <c r="QRK42" s="261"/>
      <c r="QRL42" s="261"/>
      <c r="QRM42" s="261"/>
      <c r="QRN42" s="261"/>
      <c r="QRO42" s="261"/>
      <c r="QRP42" s="261"/>
      <c r="QRQ42" s="261"/>
      <c r="QRR42" s="261"/>
      <c r="QRS42" s="261"/>
      <c r="QRT42" s="261"/>
      <c r="QRU42" s="261"/>
      <c r="QRV42" s="261"/>
      <c r="QRW42" s="261"/>
      <c r="QRX42" s="261"/>
      <c r="QRY42" s="261"/>
      <c r="QRZ42" s="261"/>
      <c r="QSA42" s="261"/>
      <c r="QSB42" s="261"/>
      <c r="QSC42" s="261"/>
      <c r="QSD42" s="261"/>
      <c r="QSE42" s="261"/>
      <c r="QSF42" s="261"/>
      <c r="QSG42" s="261"/>
      <c r="QSH42" s="261"/>
      <c r="QSI42" s="261"/>
      <c r="QSJ42" s="261"/>
      <c r="QSK42" s="261"/>
      <c r="QSL42" s="261"/>
      <c r="QSM42" s="261"/>
      <c r="QSN42" s="261"/>
      <c r="QSO42" s="261"/>
      <c r="QSP42" s="261"/>
      <c r="QSQ42" s="261"/>
      <c r="QSR42" s="261"/>
      <c r="QSS42" s="261"/>
      <c r="QST42" s="261"/>
      <c r="QSU42" s="261"/>
      <c r="QSV42" s="261"/>
      <c r="QSW42" s="261"/>
      <c r="QSX42" s="261"/>
      <c r="QSY42" s="261"/>
      <c r="QSZ42" s="261"/>
      <c r="QTA42" s="261"/>
      <c r="QTB42" s="261"/>
      <c r="QTC42" s="261"/>
      <c r="QTD42" s="261"/>
      <c r="QTE42" s="261"/>
      <c r="QTF42" s="261"/>
      <c r="QTG42" s="261"/>
      <c r="QTH42" s="261"/>
      <c r="QTI42" s="261"/>
      <c r="QTJ42" s="261"/>
      <c r="QTK42" s="261"/>
      <c r="QTL42" s="261"/>
      <c r="QTM42" s="261"/>
      <c r="QTN42" s="261"/>
      <c r="QTO42" s="261"/>
      <c r="QTP42" s="261"/>
      <c r="QTQ42" s="261"/>
      <c r="QTR42" s="261"/>
      <c r="QTS42" s="261"/>
      <c r="QTT42" s="261"/>
      <c r="QTU42" s="261"/>
      <c r="QTV42" s="261"/>
      <c r="QTW42" s="261"/>
      <c r="QTX42" s="261"/>
      <c r="QTY42" s="261"/>
      <c r="QTZ42" s="261"/>
      <c r="QUA42" s="261"/>
      <c r="QUB42" s="261"/>
      <c r="QUC42" s="261"/>
      <c r="QUD42" s="261"/>
      <c r="QUE42" s="261"/>
      <c r="QUF42" s="261"/>
      <c r="QUG42" s="261"/>
      <c r="QUH42" s="261"/>
      <c r="QUI42" s="261"/>
      <c r="QUJ42" s="261"/>
      <c r="QUK42" s="261"/>
      <c r="QUL42" s="261"/>
      <c r="QUM42" s="261"/>
      <c r="QUN42" s="261"/>
      <c r="QUO42" s="261"/>
      <c r="QUP42" s="261"/>
      <c r="QUQ42" s="261"/>
      <c r="QUR42" s="261"/>
      <c r="QUS42" s="261"/>
      <c r="QUT42" s="261"/>
      <c r="QUU42" s="261"/>
      <c r="QUV42" s="261"/>
      <c r="QUW42" s="261"/>
      <c r="QUX42" s="261"/>
      <c r="QUY42" s="261"/>
      <c r="QUZ42" s="261"/>
      <c r="QVA42" s="261"/>
      <c r="QVB42" s="261"/>
      <c r="QVC42" s="261"/>
      <c r="QVD42" s="261"/>
      <c r="QVE42" s="261"/>
      <c r="QVF42" s="261"/>
      <c r="QVG42" s="261"/>
      <c r="QVH42" s="261"/>
      <c r="QVI42" s="261"/>
      <c r="QVJ42" s="261"/>
      <c r="QVK42" s="261"/>
      <c r="QVL42" s="261"/>
      <c r="QVM42" s="261"/>
      <c r="QVN42" s="261"/>
      <c r="QVO42" s="261"/>
      <c r="QVP42" s="261"/>
      <c r="QVQ42" s="261"/>
      <c r="QVR42" s="261"/>
      <c r="QVS42" s="261"/>
      <c r="QVT42" s="261"/>
      <c r="QVU42" s="261"/>
      <c r="QVV42" s="261"/>
      <c r="QVW42" s="261"/>
      <c r="QVX42" s="261"/>
      <c r="QVY42" s="261"/>
      <c r="QVZ42" s="261"/>
      <c r="QWA42" s="261"/>
      <c r="QWB42" s="261"/>
      <c r="QWC42" s="261"/>
      <c r="QWD42" s="261"/>
      <c r="QWE42" s="261"/>
      <c r="QWF42" s="261"/>
      <c r="QWG42" s="261"/>
      <c r="QWH42" s="261"/>
      <c r="QWI42" s="261"/>
      <c r="QWJ42" s="261"/>
      <c r="QWK42" s="261"/>
      <c r="QWL42" s="261"/>
      <c r="QWM42" s="261"/>
      <c r="QWN42" s="261"/>
      <c r="QWO42" s="261"/>
      <c r="QWP42" s="261"/>
      <c r="QWQ42" s="261"/>
      <c r="QWR42" s="261"/>
      <c r="QWS42" s="261"/>
      <c r="QWT42" s="261"/>
      <c r="QWU42" s="261"/>
      <c r="QWV42" s="261"/>
      <c r="QWW42" s="261"/>
      <c r="QWX42" s="261"/>
      <c r="QWY42" s="261"/>
      <c r="QWZ42" s="261"/>
      <c r="QXA42" s="261"/>
      <c r="QXB42" s="261"/>
      <c r="QXC42" s="261"/>
      <c r="QXD42" s="261"/>
      <c r="QXE42" s="261"/>
      <c r="QXF42" s="261"/>
      <c r="QXG42" s="261"/>
      <c r="QXH42" s="261"/>
      <c r="QXI42" s="261"/>
      <c r="QXJ42" s="261"/>
      <c r="QXK42" s="261"/>
      <c r="QXL42" s="261"/>
      <c r="QXM42" s="261"/>
      <c r="QXN42" s="261"/>
      <c r="QXO42" s="261"/>
      <c r="QXP42" s="261"/>
      <c r="QXQ42" s="261"/>
      <c r="QXR42" s="261"/>
      <c r="QXS42" s="261"/>
      <c r="QXT42" s="261"/>
      <c r="QXU42" s="261"/>
      <c r="QXV42" s="261"/>
      <c r="QXW42" s="261"/>
      <c r="QXX42" s="261"/>
      <c r="QXY42" s="261"/>
      <c r="QXZ42" s="261"/>
      <c r="QYA42" s="261"/>
      <c r="QYB42" s="261"/>
      <c r="QYC42" s="261"/>
      <c r="QYD42" s="261"/>
      <c r="QYE42" s="261"/>
      <c r="QYF42" s="261"/>
      <c r="QYG42" s="261"/>
      <c r="QYH42" s="261"/>
      <c r="QYI42" s="261"/>
      <c r="QYJ42" s="261"/>
      <c r="QYK42" s="261"/>
      <c r="QYL42" s="261"/>
      <c r="QYM42" s="261"/>
      <c r="QYN42" s="261"/>
      <c r="QYO42" s="261"/>
      <c r="QYP42" s="261"/>
      <c r="QYQ42" s="261"/>
      <c r="QYR42" s="261"/>
      <c r="QYS42" s="261"/>
      <c r="QYT42" s="261"/>
      <c r="QYU42" s="261"/>
      <c r="QYV42" s="261"/>
      <c r="QYW42" s="261"/>
      <c r="QYX42" s="261"/>
      <c r="QYY42" s="261"/>
      <c r="QYZ42" s="261"/>
      <c r="QZA42" s="261"/>
      <c r="QZB42" s="261"/>
      <c r="QZC42" s="261"/>
      <c r="QZD42" s="261"/>
      <c r="QZE42" s="261"/>
      <c r="QZF42" s="261"/>
      <c r="QZG42" s="261"/>
      <c r="QZH42" s="261"/>
      <c r="QZI42" s="261"/>
      <c r="QZJ42" s="261"/>
      <c r="QZK42" s="261"/>
      <c r="QZL42" s="261"/>
      <c r="QZM42" s="261"/>
      <c r="QZN42" s="261"/>
      <c r="QZO42" s="261"/>
      <c r="QZP42" s="261"/>
      <c r="QZQ42" s="261"/>
      <c r="QZR42" s="261"/>
      <c r="QZS42" s="261"/>
      <c r="QZT42" s="261"/>
      <c r="QZU42" s="261"/>
      <c r="QZV42" s="261"/>
      <c r="QZW42" s="261"/>
      <c r="QZX42" s="261"/>
      <c r="QZY42" s="261"/>
      <c r="QZZ42" s="261"/>
      <c r="RAA42" s="261"/>
      <c r="RAB42" s="261"/>
      <c r="RAC42" s="261"/>
      <c r="RAD42" s="261"/>
      <c r="RAE42" s="261"/>
      <c r="RAF42" s="261"/>
      <c r="RAG42" s="261"/>
      <c r="RAH42" s="261"/>
      <c r="RAI42" s="261"/>
      <c r="RAJ42" s="261"/>
      <c r="RAK42" s="261"/>
      <c r="RAL42" s="261"/>
      <c r="RAM42" s="261"/>
      <c r="RAN42" s="261"/>
      <c r="RAO42" s="261"/>
      <c r="RAP42" s="261"/>
      <c r="RAQ42" s="261"/>
      <c r="RAR42" s="261"/>
      <c r="RAS42" s="261"/>
      <c r="RAT42" s="261"/>
      <c r="RAU42" s="261"/>
      <c r="RAV42" s="261"/>
      <c r="RAW42" s="261"/>
      <c r="RAX42" s="261"/>
      <c r="RAY42" s="261"/>
      <c r="RAZ42" s="261"/>
      <c r="RBA42" s="261"/>
      <c r="RBB42" s="261"/>
      <c r="RBC42" s="261"/>
      <c r="RBD42" s="261"/>
      <c r="RBE42" s="261"/>
      <c r="RBF42" s="261"/>
      <c r="RBG42" s="261"/>
      <c r="RBH42" s="261"/>
      <c r="RBI42" s="261"/>
      <c r="RBJ42" s="261"/>
      <c r="RBK42" s="261"/>
      <c r="RBL42" s="261"/>
      <c r="RBM42" s="261"/>
      <c r="RBN42" s="261"/>
      <c r="RBO42" s="261"/>
      <c r="RBP42" s="261"/>
      <c r="RBQ42" s="261"/>
      <c r="RBR42" s="261"/>
      <c r="RBS42" s="261"/>
      <c r="RBT42" s="261"/>
      <c r="RBU42" s="261"/>
      <c r="RBV42" s="261"/>
      <c r="RBW42" s="261"/>
      <c r="RBX42" s="261"/>
      <c r="RBY42" s="261"/>
      <c r="RBZ42" s="261"/>
      <c r="RCA42" s="261"/>
      <c r="RCB42" s="261"/>
      <c r="RCC42" s="261"/>
      <c r="RCD42" s="261"/>
      <c r="RCE42" s="261"/>
      <c r="RCF42" s="261"/>
      <c r="RCG42" s="261"/>
      <c r="RCH42" s="261"/>
      <c r="RCI42" s="261"/>
      <c r="RCJ42" s="261"/>
      <c r="RCK42" s="261"/>
      <c r="RCL42" s="261"/>
      <c r="RCM42" s="261"/>
      <c r="RCN42" s="261"/>
      <c r="RCO42" s="261"/>
      <c r="RCP42" s="261"/>
      <c r="RCQ42" s="261"/>
      <c r="RCR42" s="261"/>
      <c r="RCS42" s="261"/>
      <c r="RCT42" s="261"/>
      <c r="RCU42" s="261"/>
      <c r="RCV42" s="261"/>
      <c r="RCW42" s="261"/>
      <c r="RCX42" s="261"/>
      <c r="RCY42" s="261"/>
      <c r="RCZ42" s="261"/>
      <c r="RDA42" s="261"/>
      <c r="RDB42" s="261"/>
      <c r="RDC42" s="261"/>
      <c r="RDD42" s="261"/>
      <c r="RDE42" s="261"/>
      <c r="RDF42" s="261"/>
      <c r="RDG42" s="261"/>
      <c r="RDH42" s="261"/>
      <c r="RDI42" s="261"/>
      <c r="RDJ42" s="261"/>
      <c r="RDK42" s="261"/>
      <c r="RDL42" s="261"/>
      <c r="RDM42" s="261"/>
      <c r="RDN42" s="261"/>
      <c r="RDO42" s="261"/>
      <c r="RDP42" s="261"/>
      <c r="RDQ42" s="261"/>
      <c r="RDR42" s="261"/>
      <c r="RDS42" s="261"/>
      <c r="RDT42" s="261"/>
      <c r="RDU42" s="261"/>
      <c r="RDV42" s="261"/>
      <c r="RDW42" s="261"/>
      <c r="RDX42" s="261"/>
      <c r="RDY42" s="261"/>
      <c r="RDZ42" s="261"/>
      <c r="REA42" s="261"/>
      <c r="REB42" s="261"/>
      <c r="REC42" s="261"/>
      <c r="RED42" s="261"/>
      <c r="REE42" s="261"/>
      <c r="REF42" s="261"/>
      <c r="REG42" s="261"/>
      <c r="REH42" s="261"/>
      <c r="REI42" s="261"/>
      <c r="REJ42" s="261"/>
      <c r="REK42" s="261"/>
      <c r="REL42" s="261"/>
      <c r="REM42" s="261"/>
      <c r="REN42" s="261"/>
      <c r="REO42" s="261"/>
      <c r="REP42" s="261"/>
      <c r="REQ42" s="261"/>
      <c r="RER42" s="261"/>
      <c r="RES42" s="261"/>
      <c r="RET42" s="261"/>
      <c r="REU42" s="261"/>
      <c r="REV42" s="261"/>
      <c r="REW42" s="261"/>
      <c r="REX42" s="261"/>
      <c r="REY42" s="261"/>
      <c r="REZ42" s="261"/>
      <c r="RFA42" s="261"/>
      <c r="RFB42" s="261"/>
      <c r="RFC42" s="261"/>
      <c r="RFD42" s="261"/>
      <c r="RFE42" s="261"/>
      <c r="RFF42" s="261"/>
      <c r="RFG42" s="261"/>
      <c r="RFH42" s="261"/>
      <c r="RFI42" s="261"/>
      <c r="RFJ42" s="261"/>
      <c r="RFK42" s="261"/>
      <c r="RFL42" s="261"/>
      <c r="RFM42" s="261"/>
      <c r="RFN42" s="261"/>
      <c r="RFO42" s="261"/>
      <c r="RFP42" s="261"/>
      <c r="RFQ42" s="261"/>
      <c r="RFR42" s="261"/>
      <c r="RFS42" s="261"/>
      <c r="RFT42" s="261"/>
      <c r="RFU42" s="261"/>
      <c r="RFV42" s="261"/>
      <c r="RFW42" s="261"/>
      <c r="RFX42" s="261"/>
      <c r="RFY42" s="261"/>
      <c r="RFZ42" s="261"/>
      <c r="RGA42" s="261"/>
      <c r="RGB42" s="261"/>
      <c r="RGC42" s="261"/>
      <c r="RGD42" s="261"/>
      <c r="RGE42" s="261"/>
      <c r="RGF42" s="261"/>
      <c r="RGG42" s="261"/>
      <c r="RGH42" s="261"/>
      <c r="RGI42" s="261"/>
      <c r="RGJ42" s="261"/>
      <c r="RGK42" s="261"/>
      <c r="RGL42" s="261"/>
      <c r="RGM42" s="261"/>
      <c r="RGN42" s="261"/>
      <c r="RGO42" s="261"/>
      <c r="RGP42" s="261"/>
      <c r="RGQ42" s="261"/>
      <c r="RGR42" s="261"/>
      <c r="RGS42" s="261"/>
      <c r="RGT42" s="261"/>
      <c r="RGU42" s="261"/>
      <c r="RGV42" s="261"/>
      <c r="RGW42" s="261"/>
      <c r="RGX42" s="261"/>
      <c r="RGY42" s="261"/>
      <c r="RGZ42" s="261"/>
      <c r="RHA42" s="261"/>
      <c r="RHB42" s="261"/>
      <c r="RHC42" s="261"/>
      <c r="RHD42" s="261"/>
      <c r="RHE42" s="261"/>
      <c r="RHF42" s="261"/>
      <c r="RHG42" s="261"/>
      <c r="RHH42" s="261"/>
      <c r="RHI42" s="261"/>
      <c r="RHJ42" s="261"/>
      <c r="RHK42" s="261"/>
      <c r="RHL42" s="261"/>
      <c r="RHM42" s="261"/>
      <c r="RHN42" s="261"/>
      <c r="RHO42" s="261"/>
      <c r="RHP42" s="261"/>
      <c r="RHQ42" s="261"/>
      <c r="RHR42" s="261"/>
      <c r="RHS42" s="261"/>
      <c r="RHT42" s="261"/>
      <c r="RHU42" s="261"/>
      <c r="RHV42" s="261"/>
      <c r="RHW42" s="261"/>
      <c r="RHX42" s="261"/>
      <c r="RHY42" s="261"/>
      <c r="RHZ42" s="261"/>
      <c r="RIA42" s="261"/>
      <c r="RIB42" s="261"/>
      <c r="RIC42" s="261"/>
      <c r="RID42" s="261"/>
      <c r="RIE42" s="261"/>
      <c r="RIF42" s="261"/>
      <c r="RIG42" s="261"/>
      <c r="RIH42" s="261"/>
      <c r="RII42" s="261"/>
      <c r="RIJ42" s="261"/>
      <c r="RIK42" s="261"/>
      <c r="RIL42" s="261"/>
      <c r="RIM42" s="261"/>
      <c r="RIN42" s="261"/>
      <c r="RIO42" s="261"/>
      <c r="RIP42" s="261"/>
      <c r="RIQ42" s="261"/>
      <c r="RIR42" s="261"/>
      <c r="RIS42" s="261"/>
      <c r="RIT42" s="261"/>
      <c r="RIU42" s="261"/>
      <c r="RIV42" s="261"/>
      <c r="RIW42" s="261"/>
      <c r="RIX42" s="261"/>
      <c r="RIY42" s="261"/>
      <c r="RIZ42" s="261"/>
      <c r="RJA42" s="261"/>
      <c r="RJB42" s="261"/>
      <c r="RJC42" s="261"/>
      <c r="RJD42" s="261"/>
      <c r="RJE42" s="261"/>
      <c r="RJF42" s="261"/>
      <c r="RJG42" s="261"/>
      <c r="RJH42" s="261"/>
      <c r="RJI42" s="261"/>
      <c r="RJJ42" s="261"/>
      <c r="RJK42" s="261"/>
      <c r="RJL42" s="261"/>
      <c r="RJM42" s="261"/>
      <c r="RJN42" s="261"/>
      <c r="RJO42" s="261"/>
      <c r="RJP42" s="261"/>
      <c r="RJQ42" s="261"/>
      <c r="RJR42" s="261"/>
      <c r="RJS42" s="261"/>
      <c r="RJT42" s="261"/>
      <c r="RJU42" s="261"/>
      <c r="RJV42" s="261"/>
      <c r="RJW42" s="261"/>
      <c r="RJX42" s="261"/>
      <c r="RJY42" s="261"/>
      <c r="RJZ42" s="261"/>
      <c r="RKA42" s="261"/>
      <c r="RKB42" s="261"/>
      <c r="RKC42" s="261"/>
      <c r="RKD42" s="261"/>
      <c r="RKE42" s="261"/>
      <c r="RKF42" s="261"/>
      <c r="RKG42" s="261"/>
      <c r="RKH42" s="261"/>
      <c r="RKI42" s="261"/>
      <c r="RKJ42" s="261"/>
      <c r="RKK42" s="261"/>
      <c r="RKL42" s="261"/>
      <c r="RKM42" s="261"/>
      <c r="RKN42" s="261"/>
      <c r="RKO42" s="261"/>
      <c r="RKP42" s="261"/>
      <c r="RKQ42" s="261"/>
      <c r="RKR42" s="261"/>
      <c r="RKS42" s="261"/>
      <c r="RKT42" s="261"/>
      <c r="RKU42" s="261"/>
      <c r="RKV42" s="261"/>
      <c r="RKW42" s="261"/>
      <c r="RKX42" s="261"/>
      <c r="RKY42" s="261"/>
      <c r="RKZ42" s="261"/>
      <c r="RLA42" s="261"/>
      <c r="RLB42" s="261"/>
      <c r="RLC42" s="261"/>
      <c r="RLD42" s="261"/>
      <c r="RLE42" s="261"/>
      <c r="RLF42" s="261"/>
      <c r="RLG42" s="261"/>
      <c r="RLH42" s="261"/>
      <c r="RLI42" s="261"/>
      <c r="RLJ42" s="261"/>
      <c r="RLK42" s="261"/>
      <c r="RLL42" s="261"/>
      <c r="RLM42" s="261"/>
      <c r="RLN42" s="261"/>
      <c r="RLO42" s="261"/>
      <c r="RLP42" s="261"/>
      <c r="RLQ42" s="261"/>
      <c r="RLR42" s="261"/>
      <c r="RLS42" s="261"/>
      <c r="RLT42" s="261"/>
      <c r="RLU42" s="261"/>
      <c r="RLV42" s="261"/>
      <c r="RLW42" s="261"/>
      <c r="RLX42" s="261"/>
      <c r="RLY42" s="261"/>
      <c r="RLZ42" s="261"/>
      <c r="RMA42" s="261"/>
      <c r="RMB42" s="261"/>
      <c r="RMC42" s="261"/>
      <c r="RMD42" s="261"/>
      <c r="RME42" s="261"/>
      <c r="RMF42" s="261"/>
      <c r="RMG42" s="261"/>
      <c r="RMH42" s="261"/>
      <c r="RMI42" s="261"/>
      <c r="RMJ42" s="261"/>
      <c r="RMK42" s="261"/>
      <c r="RML42" s="261"/>
      <c r="RMM42" s="261"/>
      <c r="RMN42" s="261"/>
      <c r="RMO42" s="261"/>
      <c r="RMP42" s="261"/>
      <c r="RMQ42" s="261"/>
      <c r="RMR42" s="261"/>
      <c r="RMS42" s="261"/>
      <c r="RMT42" s="261"/>
      <c r="RMU42" s="261"/>
      <c r="RMV42" s="261"/>
      <c r="RMW42" s="261"/>
      <c r="RMX42" s="261"/>
      <c r="RMY42" s="261"/>
      <c r="RMZ42" s="261"/>
      <c r="RNA42" s="261"/>
      <c r="RNB42" s="261"/>
      <c r="RNC42" s="261"/>
      <c r="RND42" s="261"/>
      <c r="RNE42" s="261"/>
      <c r="RNF42" s="261"/>
      <c r="RNG42" s="261"/>
      <c r="RNH42" s="261"/>
      <c r="RNI42" s="261"/>
      <c r="RNJ42" s="261"/>
      <c r="RNK42" s="261"/>
      <c r="RNL42" s="261"/>
      <c r="RNM42" s="261"/>
      <c r="RNN42" s="261"/>
      <c r="RNO42" s="261"/>
      <c r="RNP42" s="261"/>
      <c r="RNQ42" s="261"/>
      <c r="RNR42" s="261"/>
      <c r="RNS42" s="261"/>
      <c r="RNT42" s="261"/>
      <c r="RNU42" s="261"/>
      <c r="RNV42" s="261"/>
      <c r="RNW42" s="261"/>
      <c r="RNX42" s="261"/>
      <c r="RNY42" s="261"/>
      <c r="RNZ42" s="261"/>
      <c r="ROA42" s="261"/>
      <c r="ROB42" s="261"/>
      <c r="ROC42" s="261"/>
      <c r="ROD42" s="261"/>
      <c r="ROE42" s="261"/>
      <c r="ROF42" s="261"/>
      <c r="ROG42" s="261"/>
      <c r="ROH42" s="261"/>
      <c r="ROI42" s="261"/>
      <c r="ROJ42" s="261"/>
      <c r="ROK42" s="261"/>
      <c r="ROL42" s="261"/>
      <c r="ROM42" s="261"/>
      <c r="RON42" s="261"/>
      <c r="ROO42" s="261"/>
      <c r="ROP42" s="261"/>
      <c r="ROQ42" s="261"/>
      <c r="ROR42" s="261"/>
      <c r="ROS42" s="261"/>
      <c r="ROT42" s="261"/>
      <c r="ROU42" s="261"/>
      <c r="ROV42" s="261"/>
      <c r="ROW42" s="261"/>
      <c r="ROX42" s="261"/>
      <c r="ROY42" s="261"/>
      <c r="ROZ42" s="261"/>
      <c r="RPA42" s="261"/>
      <c r="RPB42" s="261"/>
      <c r="RPC42" s="261"/>
      <c r="RPD42" s="261"/>
      <c r="RPE42" s="261"/>
      <c r="RPF42" s="261"/>
      <c r="RPG42" s="261"/>
      <c r="RPH42" s="261"/>
      <c r="RPI42" s="261"/>
      <c r="RPJ42" s="261"/>
      <c r="RPK42" s="261"/>
      <c r="RPL42" s="261"/>
      <c r="RPM42" s="261"/>
      <c r="RPN42" s="261"/>
      <c r="RPO42" s="261"/>
      <c r="RPP42" s="261"/>
      <c r="RPQ42" s="261"/>
      <c r="RPR42" s="261"/>
      <c r="RPS42" s="261"/>
      <c r="RPT42" s="261"/>
      <c r="RPU42" s="261"/>
      <c r="RPV42" s="261"/>
      <c r="RPW42" s="261"/>
      <c r="RPX42" s="261"/>
      <c r="RPY42" s="261"/>
      <c r="RPZ42" s="261"/>
      <c r="RQA42" s="261"/>
      <c r="RQB42" s="261"/>
      <c r="RQC42" s="261"/>
      <c r="RQD42" s="261"/>
      <c r="RQE42" s="261"/>
      <c r="RQF42" s="261"/>
      <c r="RQG42" s="261"/>
      <c r="RQH42" s="261"/>
      <c r="RQI42" s="261"/>
      <c r="RQJ42" s="261"/>
      <c r="RQK42" s="261"/>
      <c r="RQL42" s="261"/>
      <c r="RQM42" s="261"/>
      <c r="RQN42" s="261"/>
      <c r="RQO42" s="261"/>
      <c r="RQP42" s="261"/>
      <c r="RQQ42" s="261"/>
      <c r="RQR42" s="261"/>
      <c r="RQS42" s="261"/>
      <c r="RQT42" s="261"/>
      <c r="RQU42" s="261"/>
      <c r="RQV42" s="261"/>
      <c r="RQW42" s="261"/>
      <c r="RQX42" s="261"/>
      <c r="RQY42" s="261"/>
      <c r="RQZ42" s="261"/>
      <c r="RRA42" s="261"/>
      <c r="RRB42" s="261"/>
      <c r="RRC42" s="261"/>
      <c r="RRD42" s="261"/>
      <c r="RRE42" s="261"/>
      <c r="RRF42" s="261"/>
      <c r="RRG42" s="261"/>
      <c r="RRH42" s="261"/>
      <c r="RRI42" s="261"/>
      <c r="RRJ42" s="261"/>
      <c r="RRK42" s="261"/>
      <c r="RRL42" s="261"/>
      <c r="RRM42" s="261"/>
      <c r="RRN42" s="261"/>
      <c r="RRO42" s="261"/>
      <c r="RRP42" s="261"/>
      <c r="RRQ42" s="261"/>
      <c r="RRR42" s="261"/>
      <c r="RRS42" s="261"/>
      <c r="RRT42" s="261"/>
      <c r="RRU42" s="261"/>
      <c r="RRV42" s="261"/>
      <c r="RRW42" s="261"/>
      <c r="RRX42" s="261"/>
      <c r="RRY42" s="261"/>
      <c r="RRZ42" s="261"/>
      <c r="RSA42" s="261"/>
      <c r="RSB42" s="261"/>
      <c r="RSC42" s="261"/>
      <c r="RSD42" s="261"/>
      <c r="RSE42" s="261"/>
      <c r="RSF42" s="261"/>
      <c r="RSG42" s="261"/>
      <c r="RSH42" s="261"/>
      <c r="RSI42" s="261"/>
      <c r="RSJ42" s="261"/>
      <c r="RSK42" s="261"/>
      <c r="RSL42" s="261"/>
      <c r="RSM42" s="261"/>
      <c r="RSN42" s="261"/>
      <c r="RSO42" s="261"/>
      <c r="RSP42" s="261"/>
      <c r="RSQ42" s="261"/>
      <c r="RSR42" s="261"/>
      <c r="RSS42" s="261"/>
      <c r="RST42" s="261"/>
      <c r="RSU42" s="261"/>
      <c r="RSV42" s="261"/>
      <c r="RSW42" s="261"/>
      <c r="RSX42" s="261"/>
      <c r="RSY42" s="261"/>
      <c r="RSZ42" s="261"/>
      <c r="RTA42" s="261"/>
      <c r="RTB42" s="261"/>
      <c r="RTC42" s="261"/>
      <c r="RTD42" s="261"/>
      <c r="RTE42" s="261"/>
      <c r="RTF42" s="261"/>
      <c r="RTG42" s="261"/>
      <c r="RTH42" s="261"/>
      <c r="RTI42" s="261"/>
      <c r="RTJ42" s="261"/>
      <c r="RTK42" s="261"/>
      <c r="RTL42" s="261"/>
      <c r="RTM42" s="261"/>
      <c r="RTN42" s="261"/>
      <c r="RTO42" s="261"/>
      <c r="RTP42" s="261"/>
      <c r="RTQ42" s="261"/>
      <c r="RTR42" s="261"/>
      <c r="RTS42" s="261"/>
      <c r="RTT42" s="261"/>
      <c r="RTU42" s="261"/>
      <c r="RTV42" s="261"/>
      <c r="RTW42" s="261"/>
      <c r="RTX42" s="261"/>
      <c r="RTY42" s="261"/>
      <c r="RTZ42" s="261"/>
      <c r="RUA42" s="261"/>
      <c r="RUB42" s="261"/>
      <c r="RUC42" s="261"/>
      <c r="RUD42" s="261"/>
      <c r="RUE42" s="261"/>
      <c r="RUF42" s="261"/>
      <c r="RUG42" s="261"/>
      <c r="RUH42" s="261"/>
      <c r="RUI42" s="261"/>
      <c r="RUJ42" s="261"/>
      <c r="RUK42" s="261"/>
      <c r="RUL42" s="261"/>
      <c r="RUM42" s="261"/>
      <c r="RUN42" s="261"/>
      <c r="RUO42" s="261"/>
      <c r="RUP42" s="261"/>
      <c r="RUQ42" s="261"/>
      <c r="RUR42" s="261"/>
      <c r="RUS42" s="261"/>
      <c r="RUT42" s="261"/>
      <c r="RUU42" s="261"/>
      <c r="RUV42" s="261"/>
      <c r="RUW42" s="261"/>
      <c r="RUX42" s="261"/>
      <c r="RUY42" s="261"/>
      <c r="RUZ42" s="261"/>
      <c r="RVA42" s="261"/>
      <c r="RVB42" s="261"/>
      <c r="RVC42" s="261"/>
      <c r="RVD42" s="261"/>
      <c r="RVE42" s="261"/>
      <c r="RVF42" s="261"/>
      <c r="RVG42" s="261"/>
      <c r="RVH42" s="261"/>
      <c r="RVI42" s="261"/>
      <c r="RVJ42" s="261"/>
      <c r="RVK42" s="261"/>
      <c r="RVL42" s="261"/>
      <c r="RVM42" s="261"/>
      <c r="RVN42" s="261"/>
      <c r="RVO42" s="261"/>
      <c r="RVP42" s="261"/>
      <c r="RVQ42" s="261"/>
      <c r="RVR42" s="261"/>
      <c r="RVS42" s="261"/>
      <c r="RVT42" s="261"/>
      <c r="RVU42" s="261"/>
      <c r="RVV42" s="261"/>
      <c r="RVW42" s="261"/>
      <c r="RVX42" s="261"/>
      <c r="RVY42" s="261"/>
      <c r="RVZ42" s="261"/>
      <c r="RWA42" s="261"/>
      <c r="RWB42" s="261"/>
      <c r="RWC42" s="261"/>
      <c r="RWD42" s="261"/>
      <c r="RWE42" s="261"/>
      <c r="RWF42" s="261"/>
      <c r="RWG42" s="261"/>
      <c r="RWH42" s="261"/>
      <c r="RWI42" s="261"/>
      <c r="RWJ42" s="261"/>
      <c r="RWK42" s="261"/>
      <c r="RWL42" s="261"/>
      <c r="RWM42" s="261"/>
      <c r="RWN42" s="261"/>
      <c r="RWO42" s="261"/>
      <c r="RWP42" s="261"/>
      <c r="RWQ42" s="261"/>
      <c r="RWR42" s="261"/>
      <c r="RWS42" s="261"/>
      <c r="RWT42" s="261"/>
      <c r="RWU42" s="261"/>
      <c r="RWV42" s="261"/>
      <c r="RWW42" s="261"/>
      <c r="RWX42" s="261"/>
      <c r="RWY42" s="261"/>
      <c r="RWZ42" s="261"/>
      <c r="RXA42" s="261"/>
      <c r="RXB42" s="261"/>
      <c r="RXC42" s="261"/>
      <c r="RXD42" s="261"/>
      <c r="RXE42" s="261"/>
      <c r="RXF42" s="261"/>
      <c r="RXG42" s="261"/>
      <c r="RXH42" s="261"/>
      <c r="RXI42" s="261"/>
      <c r="RXJ42" s="261"/>
      <c r="RXK42" s="261"/>
      <c r="RXL42" s="261"/>
      <c r="RXM42" s="261"/>
      <c r="RXN42" s="261"/>
      <c r="RXO42" s="261"/>
      <c r="RXP42" s="261"/>
      <c r="RXQ42" s="261"/>
      <c r="RXR42" s="261"/>
      <c r="RXS42" s="261"/>
      <c r="RXT42" s="261"/>
      <c r="RXU42" s="261"/>
      <c r="RXV42" s="261"/>
      <c r="RXW42" s="261"/>
      <c r="RXX42" s="261"/>
      <c r="RXY42" s="261"/>
      <c r="RXZ42" s="261"/>
      <c r="RYA42" s="261"/>
      <c r="RYB42" s="261"/>
      <c r="RYC42" s="261"/>
      <c r="RYD42" s="261"/>
      <c r="RYE42" s="261"/>
      <c r="RYF42" s="261"/>
      <c r="RYG42" s="261"/>
      <c r="RYH42" s="261"/>
      <c r="RYI42" s="261"/>
      <c r="RYJ42" s="261"/>
      <c r="RYK42" s="261"/>
      <c r="RYL42" s="261"/>
      <c r="RYM42" s="261"/>
      <c r="RYN42" s="261"/>
      <c r="RYO42" s="261"/>
      <c r="RYP42" s="261"/>
      <c r="RYQ42" s="261"/>
      <c r="RYR42" s="261"/>
      <c r="RYS42" s="261"/>
      <c r="RYT42" s="261"/>
      <c r="RYU42" s="261"/>
      <c r="RYV42" s="261"/>
      <c r="RYW42" s="261"/>
      <c r="RYX42" s="261"/>
      <c r="RYY42" s="261"/>
      <c r="RYZ42" s="261"/>
      <c r="RZA42" s="261"/>
      <c r="RZB42" s="261"/>
      <c r="RZC42" s="261"/>
      <c r="RZD42" s="261"/>
      <c r="RZE42" s="261"/>
      <c r="RZF42" s="261"/>
      <c r="RZG42" s="261"/>
      <c r="RZH42" s="261"/>
      <c r="RZI42" s="261"/>
      <c r="RZJ42" s="261"/>
      <c r="RZK42" s="261"/>
      <c r="RZL42" s="261"/>
      <c r="RZM42" s="261"/>
      <c r="RZN42" s="261"/>
      <c r="RZO42" s="261"/>
      <c r="RZP42" s="261"/>
      <c r="RZQ42" s="261"/>
      <c r="RZR42" s="261"/>
      <c r="RZS42" s="261"/>
      <c r="RZT42" s="261"/>
      <c r="RZU42" s="261"/>
      <c r="RZV42" s="261"/>
      <c r="RZW42" s="261"/>
      <c r="RZX42" s="261"/>
      <c r="RZY42" s="261"/>
      <c r="RZZ42" s="261"/>
      <c r="SAA42" s="261"/>
      <c r="SAB42" s="261"/>
      <c r="SAC42" s="261"/>
      <c r="SAD42" s="261"/>
      <c r="SAE42" s="261"/>
      <c r="SAF42" s="261"/>
      <c r="SAG42" s="261"/>
      <c r="SAH42" s="261"/>
      <c r="SAI42" s="261"/>
      <c r="SAJ42" s="261"/>
      <c r="SAK42" s="261"/>
      <c r="SAL42" s="261"/>
      <c r="SAM42" s="261"/>
      <c r="SAN42" s="261"/>
      <c r="SAO42" s="261"/>
      <c r="SAP42" s="261"/>
      <c r="SAQ42" s="261"/>
      <c r="SAR42" s="261"/>
      <c r="SAS42" s="261"/>
      <c r="SAT42" s="261"/>
      <c r="SAU42" s="261"/>
      <c r="SAV42" s="261"/>
      <c r="SAW42" s="261"/>
      <c r="SAX42" s="261"/>
      <c r="SAY42" s="261"/>
      <c r="SAZ42" s="261"/>
      <c r="SBA42" s="261"/>
      <c r="SBB42" s="261"/>
      <c r="SBC42" s="261"/>
      <c r="SBD42" s="261"/>
      <c r="SBE42" s="261"/>
      <c r="SBF42" s="261"/>
      <c r="SBG42" s="261"/>
      <c r="SBH42" s="261"/>
      <c r="SBI42" s="261"/>
      <c r="SBJ42" s="261"/>
      <c r="SBK42" s="261"/>
      <c r="SBL42" s="261"/>
      <c r="SBM42" s="261"/>
      <c r="SBN42" s="261"/>
      <c r="SBO42" s="261"/>
      <c r="SBP42" s="261"/>
      <c r="SBQ42" s="261"/>
      <c r="SBR42" s="261"/>
      <c r="SBS42" s="261"/>
      <c r="SBT42" s="261"/>
      <c r="SBU42" s="261"/>
      <c r="SBV42" s="261"/>
      <c r="SBW42" s="261"/>
      <c r="SBX42" s="261"/>
      <c r="SBY42" s="261"/>
      <c r="SBZ42" s="261"/>
      <c r="SCA42" s="261"/>
      <c r="SCB42" s="261"/>
      <c r="SCC42" s="261"/>
      <c r="SCD42" s="261"/>
      <c r="SCE42" s="261"/>
      <c r="SCF42" s="261"/>
      <c r="SCG42" s="261"/>
      <c r="SCH42" s="261"/>
      <c r="SCI42" s="261"/>
      <c r="SCJ42" s="261"/>
      <c r="SCK42" s="261"/>
      <c r="SCL42" s="261"/>
      <c r="SCM42" s="261"/>
      <c r="SCN42" s="261"/>
      <c r="SCO42" s="261"/>
      <c r="SCP42" s="261"/>
      <c r="SCQ42" s="261"/>
      <c r="SCR42" s="261"/>
      <c r="SCS42" s="261"/>
      <c r="SCT42" s="261"/>
      <c r="SCU42" s="261"/>
      <c r="SCV42" s="261"/>
      <c r="SCW42" s="261"/>
      <c r="SCX42" s="261"/>
      <c r="SCY42" s="261"/>
      <c r="SCZ42" s="261"/>
      <c r="SDA42" s="261"/>
      <c r="SDB42" s="261"/>
      <c r="SDC42" s="261"/>
      <c r="SDD42" s="261"/>
      <c r="SDE42" s="261"/>
      <c r="SDF42" s="261"/>
      <c r="SDG42" s="261"/>
      <c r="SDH42" s="261"/>
      <c r="SDI42" s="261"/>
      <c r="SDJ42" s="261"/>
      <c r="SDK42" s="261"/>
      <c r="SDL42" s="261"/>
      <c r="SDM42" s="261"/>
      <c r="SDN42" s="261"/>
      <c r="SDO42" s="261"/>
      <c r="SDP42" s="261"/>
      <c r="SDQ42" s="261"/>
      <c r="SDR42" s="261"/>
      <c r="SDS42" s="261"/>
      <c r="SDT42" s="261"/>
      <c r="SDU42" s="261"/>
      <c r="SDV42" s="261"/>
      <c r="SDW42" s="261"/>
      <c r="SDX42" s="261"/>
      <c r="SDY42" s="261"/>
      <c r="SDZ42" s="261"/>
      <c r="SEA42" s="261"/>
      <c r="SEB42" s="261"/>
      <c r="SEC42" s="261"/>
      <c r="SED42" s="261"/>
      <c r="SEE42" s="261"/>
      <c r="SEF42" s="261"/>
      <c r="SEG42" s="261"/>
      <c r="SEH42" s="261"/>
      <c r="SEI42" s="261"/>
      <c r="SEJ42" s="261"/>
      <c r="SEK42" s="261"/>
      <c r="SEL42" s="261"/>
      <c r="SEM42" s="261"/>
      <c r="SEN42" s="261"/>
      <c r="SEO42" s="261"/>
      <c r="SEP42" s="261"/>
      <c r="SEQ42" s="261"/>
      <c r="SER42" s="261"/>
      <c r="SES42" s="261"/>
      <c r="SET42" s="261"/>
      <c r="SEU42" s="261"/>
      <c r="SEV42" s="261"/>
      <c r="SEW42" s="261"/>
      <c r="SEX42" s="261"/>
      <c r="SEY42" s="261"/>
      <c r="SEZ42" s="261"/>
      <c r="SFA42" s="261"/>
      <c r="SFB42" s="261"/>
      <c r="SFC42" s="261"/>
      <c r="SFD42" s="261"/>
      <c r="SFE42" s="261"/>
      <c r="SFF42" s="261"/>
      <c r="SFG42" s="261"/>
      <c r="SFH42" s="261"/>
      <c r="SFI42" s="261"/>
      <c r="SFJ42" s="261"/>
      <c r="SFK42" s="261"/>
      <c r="SFL42" s="261"/>
      <c r="SFM42" s="261"/>
      <c r="SFN42" s="261"/>
      <c r="SFO42" s="261"/>
      <c r="SFP42" s="261"/>
      <c r="SFQ42" s="261"/>
      <c r="SFR42" s="261"/>
      <c r="SFS42" s="261"/>
      <c r="SFT42" s="261"/>
      <c r="SFU42" s="261"/>
      <c r="SFV42" s="261"/>
      <c r="SFW42" s="261"/>
      <c r="SFX42" s="261"/>
      <c r="SFY42" s="261"/>
      <c r="SFZ42" s="261"/>
      <c r="SGA42" s="261"/>
      <c r="SGB42" s="261"/>
      <c r="SGC42" s="261"/>
      <c r="SGD42" s="261"/>
      <c r="SGE42" s="261"/>
      <c r="SGF42" s="261"/>
      <c r="SGG42" s="261"/>
      <c r="SGH42" s="261"/>
      <c r="SGI42" s="261"/>
      <c r="SGJ42" s="261"/>
      <c r="SGK42" s="261"/>
      <c r="SGL42" s="261"/>
      <c r="SGM42" s="261"/>
      <c r="SGN42" s="261"/>
      <c r="SGO42" s="261"/>
      <c r="SGP42" s="261"/>
      <c r="SGQ42" s="261"/>
      <c r="SGR42" s="261"/>
      <c r="SGS42" s="261"/>
      <c r="SGT42" s="261"/>
      <c r="SGU42" s="261"/>
      <c r="SGV42" s="261"/>
      <c r="SGW42" s="261"/>
      <c r="SGX42" s="261"/>
      <c r="SGY42" s="261"/>
      <c r="SGZ42" s="261"/>
      <c r="SHA42" s="261"/>
      <c r="SHB42" s="261"/>
      <c r="SHC42" s="261"/>
      <c r="SHD42" s="261"/>
      <c r="SHE42" s="261"/>
      <c r="SHF42" s="261"/>
      <c r="SHG42" s="261"/>
      <c r="SHH42" s="261"/>
      <c r="SHI42" s="261"/>
      <c r="SHJ42" s="261"/>
      <c r="SHK42" s="261"/>
      <c r="SHL42" s="261"/>
      <c r="SHM42" s="261"/>
      <c r="SHN42" s="261"/>
      <c r="SHO42" s="261"/>
      <c r="SHP42" s="261"/>
      <c r="SHQ42" s="261"/>
      <c r="SHR42" s="261"/>
      <c r="SHS42" s="261"/>
      <c r="SHT42" s="261"/>
      <c r="SHU42" s="261"/>
      <c r="SHV42" s="261"/>
      <c r="SHW42" s="261"/>
      <c r="SHX42" s="261"/>
      <c r="SHY42" s="261"/>
      <c r="SHZ42" s="261"/>
      <c r="SIA42" s="261"/>
      <c r="SIB42" s="261"/>
      <c r="SIC42" s="261"/>
      <c r="SID42" s="261"/>
      <c r="SIE42" s="261"/>
      <c r="SIF42" s="261"/>
      <c r="SIG42" s="261"/>
      <c r="SIH42" s="261"/>
      <c r="SII42" s="261"/>
      <c r="SIJ42" s="261"/>
      <c r="SIK42" s="261"/>
      <c r="SIL42" s="261"/>
      <c r="SIM42" s="261"/>
      <c r="SIN42" s="261"/>
      <c r="SIO42" s="261"/>
      <c r="SIP42" s="261"/>
      <c r="SIQ42" s="261"/>
      <c r="SIR42" s="261"/>
      <c r="SIS42" s="261"/>
      <c r="SIT42" s="261"/>
      <c r="SIU42" s="261"/>
      <c r="SIV42" s="261"/>
      <c r="SIW42" s="261"/>
      <c r="SIX42" s="261"/>
      <c r="SIY42" s="261"/>
      <c r="SIZ42" s="261"/>
      <c r="SJA42" s="261"/>
      <c r="SJB42" s="261"/>
      <c r="SJC42" s="261"/>
      <c r="SJD42" s="261"/>
      <c r="SJE42" s="261"/>
      <c r="SJF42" s="261"/>
      <c r="SJG42" s="261"/>
      <c r="SJH42" s="261"/>
      <c r="SJI42" s="261"/>
      <c r="SJJ42" s="261"/>
      <c r="SJK42" s="261"/>
      <c r="SJL42" s="261"/>
      <c r="SJM42" s="261"/>
      <c r="SJN42" s="261"/>
      <c r="SJO42" s="261"/>
      <c r="SJP42" s="261"/>
      <c r="SJQ42" s="261"/>
      <c r="SJR42" s="261"/>
      <c r="SJS42" s="261"/>
      <c r="SJT42" s="261"/>
      <c r="SJU42" s="261"/>
      <c r="SJV42" s="261"/>
      <c r="SJW42" s="261"/>
      <c r="SJX42" s="261"/>
      <c r="SJY42" s="261"/>
      <c r="SJZ42" s="261"/>
      <c r="SKA42" s="261"/>
      <c r="SKB42" s="261"/>
      <c r="SKC42" s="261"/>
      <c r="SKD42" s="261"/>
      <c r="SKE42" s="261"/>
      <c r="SKF42" s="261"/>
      <c r="SKG42" s="261"/>
      <c r="SKH42" s="261"/>
      <c r="SKI42" s="261"/>
      <c r="SKJ42" s="261"/>
      <c r="SKK42" s="261"/>
      <c r="SKL42" s="261"/>
      <c r="SKM42" s="261"/>
      <c r="SKN42" s="261"/>
      <c r="SKO42" s="261"/>
      <c r="SKP42" s="261"/>
      <c r="SKQ42" s="261"/>
      <c r="SKR42" s="261"/>
      <c r="SKS42" s="261"/>
      <c r="SKT42" s="261"/>
      <c r="SKU42" s="261"/>
      <c r="SKV42" s="261"/>
      <c r="SKW42" s="261"/>
      <c r="SKX42" s="261"/>
      <c r="SKY42" s="261"/>
      <c r="SKZ42" s="261"/>
      <c r="SLA42" s="261"/>
      <c r="SLB42" s="261"/>
      <c r="SLC42" s="261"/>
      <c r="SLD42" s="261"/>
      <c r="SLE42" s="261"/>
      <c r="SLF42" s="261"/>
      <c r="SLG42" s="261"/>
      <c r="SLH42" s="261"/>
      <c r="SLI42" s="261"/>
      <c r="SLJ42" s="261"/>
      <c r="SLK42" s="261"/>
      <c r="SLL42" s="261"/>
      <c r="SLM42" s="261"/>
      <c r="SLN42" s="261"/>
      <c r="SLO42" s="261"/>
      <c r="SLP42" s="261"/>
      <c r="SLQ42" s="261"/>
      <c r="SLR42" s="261"/>
      <c r="SLS42" s="261"/>
      <c r="SLT42" s="261"/>
      <c r="SLU42" s="261"/>
      <c r="SLV42" s="261"/>
      <c r="SLW42" s="261"/>
      <c r="SLX42" s="261"/>
      <c r="SLY42" s="261"/>
      <c r="SLZ42" s="261"/>
      <c r="SMA42" s="261"/>
      <c r="SMB42" s="261"/>
      <c r="SMC42" s="261"/>
      <c r="SMD42" s="261"/>
      <c r="SME42" s="261"/>
      <c r="SMF42" s="261"/>
      <c r="SMG42" s="261"/>
      <c r="SMH42" s="261"/>
      <c r="SMI42" s="261"/>
      <c r="SMJ42" s="261"/>
      <c r="SMK42" s="261"/>
      <c r="SML42" s="261"/>
      <c r="SMM42" s="261"/>
      <c r="SMN42" s="261"/>
      <c r="SMO42" s="261"/>
      <c r="SMP42" s="261"/>
      <c r="SMQ42" s="261"/>
      <c r="SMR42" s="261"/>
      <c r="SMS42" s="261"/>
      <c r="SMT42" s="261"/>
      <c r="SMU42" s="261"/>
      <c r="SMV42" s="261"/>
      <c r="SMW42" s="261"/>
      <c r="SMX42" s="261"/>
      <c r="SMY42" s="261"/>
      <c r="SMZ42" s="261"/>
      <c r="SNA42" s="261"/>
      <c r="SNB42" s="261"/>
      <c r="SNC42" s="261"/>
      <c r="SND42" s="261"/>
      <c r="SNE42" s="261"/>
      <c r="SNF42" s="261"/>
      <c r="SNG42" s="261"/>
      <c r="SNH42" s="261"/>
      <c r="SNI42" s="261"/>
      <c r="SNJ42" s="261"/>
      <c r="SNK42" s="261"/>
      <c r="SNL42" s="261"/>
      <c r="SNM42" s="261"/>
      <c r="SNN42" s="261"/>
      <c r="SNO42" s="261"/>
      <c r="SNP42" s="261"/>
      <c r="SNQ42" s="261"/>
      <c r="SNR42" s="261"/>
      <c r="SNS42" s="261"/>
      <c r="SNT42" s="261"/>
      <c r="SNU42" s="261"/>
      <c r="SNV42" s="261"/>
      <c r="SNW42" s="261"/>
      <c r="SNX42" s="261"/>
      <c r="SNY42" s="261"/>
      <c r="SNZ42" s="261"/>
      <c r="SOA42" s="261"/>
      <c r="SOB42" s="261"/>
      <c r="SOC42" s="261"/>
      <c r="SOD42" s="261"/>
      <c r="SOE42" s="261"/>
      <c r="SOF42" s="261"/>
      <c r="SOG42" s="261"/>
      <c r="SOH42" s="261"/>
      <c r="SOI42" s="261"/>
      <c r="SOJ42" s="261"/>
      <c r="SOK42" s="261"/>
      <c r="SOL42" s="261"/>
      <c r="SOM42" s="261"/>
      <c r="SON42" s="261"/>
      <c r="SOO42" s="261"/>
      <c r="SOP42" s="261"/>
      <c r="SOQ42" s="261"/>
      <c r="SOR42" s="261"/>
      <c r="SOS42" s="261"/>
      <c r="SOT42" s="261"/>
      <c r="SOU42" s="261"/>
      <c r="SOV42" s="261"/>
      <c r="SOW42" s="261"/>
      <c r="SOX42" s="261"/>
      <c r="SOY42" s="261"/>
      <c r="SOZ42" s="261"/>
      <c r="SPA42" s="261"/>
      <c r="SPB42" s="261"/>
      <c r="SPC42" s="261"/>
      <c r="SPD42" s="261"/>
      <c r="SPE42" s="261"/>
      <c r="SPF42" s="261"/>
      <c r="SPG42" s="261"/>
      <c r="SPH42" s="261"/>
      <c r="SPI42" s="261"/>
      <c r="SPJ42" s="261"/>
      <c r="SPK42" s="261"/>
      <c r="SPL42" s="261"/>
      <c r="SPM42" s="261"/>
      <c r="SPN42" s="261"/>
      <c r="SPO42" s="261"/>
      <c r="SPP42" s="261"/>
      <c r="SPQ42" s="261"/>
      <c r="SPR42" s="261"/>
      <c r="SPS42" s="261"/>
      <c r="SPT42" s="261"/>
      <c r="SPU42" s="261"/>
      <c r="SPV42" s="261"/>
      <c r="SPW42" s="261"/>
      <c r="SPX42" s="261"/>
      <c r="SPY42" s="261"/>
      <c r="SPZ42" s="261"/>
      <c r="SQA42" s="261"/>
      <c r="SQB42" s="261"/>
      <c r="SQC42" s="261"/>
      <c r="SQD42" s="261"/>
      <c r="SQE42" s="261"/>
      <c r="SQF42" s="261"/>
      <c r="SQG42" s="261"/>
      <c r="SQH42" s="261"/>
      <c r="SQI42" s="261"/>
      <c r="SQJ42" s="261"/>
      <c r="SQK42" s="261"/>
      <c r="SQL42" s="261"/>
      <c r="SQM42" s="261"/>
      <c r="SQN42" s="261"/>
      <c r="SQO42" s="261"/>
      <c r="SQP42" s="261"/>
      <c r="SQQ42" s="261"/>
      <c r="SQR42" s="261"/>
      <c r="SQS42" s="261"/>
      <c r="SQT42" s="261"/>
      <c r="SQU42" s="261"/>
      <c r="SQV42" s="261"/>
      <c r="SQW42" s="261"/>
      <c r="SQX42" s="261"/>
      <c r="SQY42" s="261"/>
      <c r="SQZ42" s="261"/>
      <c r="SRA42" s="261"/>
      <c r="SRB42" s="261"/>
      <c r="SRC42" s="261"/>
      <c r="SRD42" s="261"/>
      <c r="SRE42" s="261"/>
      <c r="SRF42" s="261"/>
      <c r="SRG42" s="261"/>
      <c r="SRH42" s="261"/>
      <c r="SRI42" s="261"/>
      <c r="SRJ42" s="261"/>
      <c r="SRK42" s="261"/>
      <c r="SRL42" s="261"/>
      <c r="SRM42" s="261"/>
      <c r="SRN42" s="261"/>
      <c r="SRO42" s="261"/>
      <c r="SRP42" s="261"/>
      <c r="SRQ42" s="261"/>
      <c r="SRR42" s="261"/>
      <c r="SRS42" s="261"/>
      <c r="SRT42" s="261"/>
      <c r="SRU42" s="261"/>
      <c r="SRV42" s="261"/>
      <c r="SRW42" s="261"/>
      <c r="SRX42" s="261"/>
      <c r="SRY42" s="261"/>
      <c r="SRZ42" s="261"/>
      <c r="SSA42" s="261"/>
      <c r="SSB42" s="261"/>
      <c r="SSC42" s="261"/>
      <c r="SSD42" s="261"/>
      <c r="SSE42" s="261"/>
      <c r="SSF42" s="261"/>
      <c r="SSG42" s="261"/>
      <c r="SSH42" s="261"/>
      <c r="SSI42" s="261"/>
      <c r="SSJ42" s="261"/>
      <c r="SSK42" s="261"/>
      <c r="SSL42" s="261"/>
      <c r="SSM42" s="261"/>
      <c r="SSN42" s="261"/>
      <c r="SSO42" s="261"/>
      <c r="SSP42" s="261"/>
      <c r="SSQ42" s="261"/>
      <c r="SSR42" s="261"/>
      <c r="SSS42" s="261"/>
      <c r="SST42" s="261"/>
      <c r="SSU42" s="261"/>
      <c r="SSV42" s="261"/>
      <c r="SSW42" s="261"/>
      <c r="SSX42" s="261"/>
      <c r="SSY42" s="261"/>
      <c r="SSZ42" s="261"/>
      <c r="STA42" s="261"/>
      <c r="STB42" s="261"/>
      <c r="STC42" s="261"/>
      <c r="STD42" s="261"/>
      <c r="STE42" s="261"/>
      <c r="STF42" s="261"/>
      <c r="STG42" s="261"/>
      <c r="STH42" s="261"/>
      <c r="STI42" s="261"/>
      <c r="STJ42" s="261"/>
      <c r="STK42" s="261"/>
      <c r="STL42" s="261"/>
      <c r="STM42" s="261"/>
      <c r="STN42" s="261"/>
      <c r="STO42" s="261"/>
      <c r="STP42" s="261"/>
      <c r="STQ42" s="261"/>
      <c r="STR42" s="261"/>
      <c r="STS42" s="261"/>
      <c r="STT42" s="261"/>
      <c r="STU42" s="261"/>
      <c r="STV42" s="261"/>
      <c r="STW42" s="261"/>
      <c r="STX42" s="261"/>
      <c r="STY42" s="261"/>
      <c r="STZ42" s="261"/>
      <c r="SUA42" s="261"/>
      <c r="SUB42" s="261"/>
      <c r="SUC42" s="261"/>
      <c r="SUD42" s="261"/>
      <c r="SUE42" s="261"/>
      <c r="SUF42" s="261"/>
      <c r="SUG42" s="261"/>
      <c r="SUH42" s="261"/>
      <c r="SUI42" s="261"/>
      <c r="SUJ42" s="261"/>
      <c r="SUK42" s="261"/>
      <c r="SUL42" s="261"/>
      <c r="SUM42" s="261"/>
      <c r="SUN42" s="261"/>
      <c r="SUO42" s="261"/>
      <c r="SUP42" s="261"/>
      <c r="SUQ42" s="261"/>
      <c r="SUR42" s="261"/>
      <c r="SUS42" s="261"/>
      <c r="SUT42" s="261"/>
      <c r="SUU42" s="261"/>
      <c r="SUV42" s="261"/>
      <c r="SUW42" s="261"/>
      <c r="SUX42" s="261"/>
      <c r="SUY42" s="261"/>
      <c r="SUZ42" s="261"/>
      <c r="SVA42" s="261"/>
      <c r="SVB42" s="261"/>
      <c r="SVC42" s="261"/>
      <c r="SVD42" s="261"/>
      <c r="SVE42" s="261"/>
      <c r="SVF42" s="261"/>
      <c r="SVG42" s="261"/>
      <c r="SVH42" s="261"/>
      <c r="SVI42" s="261"/>
      <c r="SVJ42" s="261"/>
      <c r="SVK42" s="261"/>
      <c r="SVL42" s="261"/>
      <c r="SVM42" s="261"/>
      <c r="SVN42" s="261"/>
      <c r="SVO42" s="261"/>
      <c r="SVP42" s="261"/>
      <c r="SVQ42" s="261"/>
      <c r="SVR42" s="261"/>
      <c r="SVS42" s="261"/>
      <c r="SVT42" s="261"/>
      <c r="SVU42" s="261"/>
      <c r="SVV42" s="261"/>
      <c r="SVW42" s="261"/>
      <c r="SVX42" s="261"/>
      <c r="SVY42" s="261"/>
      <c r="SVZ42" s="261"/>
      <c r="SWA42" s="261"/>
      <c r="SWB42" s="261"/>
      <c r="SWC42" s="261"/>
      <c r="SWD42" s="261"/>
      <c r="SWE42" s="261"/>
      <c r="SWF42" s="261"/>
      <c r="SWG42" s="261"/>
      <c r="SWH42" s="261"/>
      <c r="SWI42" s="261"/>
      <c r="SWJ42" s="261"/>
      <c r="SWK42" s="261"/>
      <c r="SWL42" s="261"/>
      <c r="SWM42" s="261"/>
      <c r="SWN42" s="261"/>
      <c r="SWO42" s="261"/>
      <c r="SWP42" s="261"/>
      <c r="SWQ42" s="261"/>
      <c r="SWR42" s="261"/>
      <c r="SWS42" s="261"/>
      <c r="SWT42" s="261"/>
      <c r="SWU42" s="261"/>
      <c r="SWV42" s="261"/>
      <c r="SWW42" s="261"/>
      <c r="SWX42" s="261"/>
      <c r="SWY42" s="261"/>
      <c r="SWZ42" s="261"/>
      <c r="SXA42" s="261"/>
      <c r="SXB42" s="261"/>
      <c r="SXC42" s="261"/>
      <c r="SXD42" s="261"/>
      <c r="SXE42" s="261"/>
      <c r="SXF42" s="261"/>
      <c r="SXG42" s="261"/>
      <c r="SXH42" s="261"/>
      <c r="SXI42" s="261"/>
      <c r="SXJ42" s="261"/>
      <c r="SXK42" s="261"/>
      <c r="SXL42" s="261"/>
      <c r="SXM42" s="261"/>
      <c r="SXN42" s="261"/>
      <c r="SXO42" s="261"/>
      <c r="SXP42" s="261"/>
      <c r="SXQ42" s="261"/>
      <c r="SXR42" s="261"/>
      <c r="SXS42" s="261"/>
      <c r="SXT42" s="261"/>
      <c r="SXU42" s="261"/>
      <c r="SXV42" s="261"/>
      <c r="SXW42" s="261"/>
      <c r="SXX42" s="261"/>
      <c r="SXY42" s="261"/>
      <c r="SXZ42" s="261"/>
      <c r="SYA42" s="261"/>
      <c r="SYB42" s="261"/>
      <c r="SYC42" s="261"/>
      <c r="SYD42" s="261"/>
      <c r="SYE42" s="261"/>
      <c r="SYF42" s="261"/>
      <c r="SYG42" s="261"/>
      <c r="SYH42" s="261"/>
      <c r="SYI42" s="261"/>
      <c r="SYJ42" s="261"/>
      <c r="SYK42" s="261"/>
      <c r="SYL42" s="261"/>
      <c r="SYM42" s="261"/>
      <c r="SYN42" s="261"/>
      <c r="SYO42" s="261"/>
      <c r="SYP42" s="261"/>
      <c r="SYQ42" s="261"/>
      <c r="SYR42" s="261"/>
      <c r="SYS42" s="261"/>
      <c r="SYT42" s="261"/>
      <c r="SYU42" s="261"/>
      <c r="SYV42" s="261"/>
      <c r="SYW42" s="261"/>
      <c r="SYX42" s="261"/>
      <c r="SYY42" s="261"/>
      <c r="SYZ42" s="261"/>
      <c r="SZA42" s="261"/>
      <c r="SZB42" s="261"/>
      <c r="SZC42" s="261"/>
      <c r="SZD42" s="261"/>
      <c r="SZE42" s="261"/>
      <c r="SZF42" s="261"/>
      <c r="SZG42" s="261"/>
      <c r="SZH42" s="261"/>
      <c r="SZI42" s="261"/>
      <c r="SZJ42" s="261"/>
      <c r="SZK42" s="261"/>
      <c r="SZL42" s="261"/>
      <c r="SZM42" s="261"/>
      <c r="SZN42" s="261"/>
      <c r="SZO42" s="261"/>
      <c r="SZP42" s="261"/>
      <c r="SZQ42" s="261"/>
      <c r="SZR42" s="261"/>
      <c r="SZS42" s="261"/>
      <c r="SZT42" s="261"/>
      <c r="SZU42" s="261"/>
      <c r="SZV42" s="261"/>
      <c r="SZW42" s="261"/>
      <c r="SZX42" s="261"/>
      <c r="SZY42" s="261"/>
      <c r="SZZ42" s="261"/>
      <c r="TAA42" s="261"/>
      <c r="TAB42" s="261"/>
      <c r="TAC42" s="261"/>
      <c r="TAD42" s="261"/>
      <c r="TAE42" s="261"/>
      <c r="TAF42" s="261"/>
      <c r="TAG42" s="261"/>
      <c r="TAH42" s="261"/>
      <c r="TAI42" s="261"/>
      <c r="TAJ42" s="261"/>
      <c r="TAK42" s="261"/>
      <c r="TAL42" s="261"/>
      <c r="TAM42" s="261"/>
      <c r="TAN42" s="261"/>
      <c r="TAO42" s="261"/>
      <c r="TAP42" s="261"/>
      <c r="TAQ42" s="261"/>
      <c r="TAR42" s="261"/>
      <c r="TAS42" s="261"/>
      <c r="TAT42" s="261"/>
      <c r="TAU42" s="261"/>
      <c r="TAV42" s="261"/>
      <c r="TAW42" s="261"/>
      <c r="TAX42" s="261"/>
      <c r="TAY42" s="261"/>
      <c r="TAZ42" s="261"/>
      <c r="TBA42" s="261"/>
      <c r="TBB42" s="261"/>
      <c r="TBC42" s="261"/>
      <c r="TBD42" s="261"/>
      <c r="TBE42" s="261"/>
      <c r="TBF42" s="261"/>
      <c r="TBG42" s="261"/>
      <c r="TBH42" s="261"/>
      <c r="TBI42" s="261"/>
      <c r="TBJ42" s="261"/>
      <c r="TBK42" s="261"/>
      <c r="TBL42" s="261"/>
      <c r="TBM42" s="261"/>
      <c r="TBN42" s="261"/>
      <c r="TBO42" s="261"/>
      <c r="TBP42" s="261"/>
      <c r="TBQ42" s="261"/>
      <c r="TBR42" s="261"/>
      <c r="TBS42" s="261"/>
      <c r="TBT42" s="261"/>
      <c r="TBU42" s="261"/>
      <c r="TBV42" s="261"/>
      <c r="TBW42" s="261"/>
      <c r="TBX42" s="261"/>
      <c r="TBY42" s="261"/>
      <c r="TBZ42" s="261"/>
      <c r="TCA42" s="261"/>
      <c r="TCB42" s="261"/>
      <c r="TCC42" s="261"/>
      <c r="TCD42" s="261"/>
      <c r="TCE42" s="261"/>
      <c r="TCF42" s="261"/>
      <c r="TCG42" s="261"/>
      <c r="TCH42" s="261"/>
      <c r="TCI42" s="261"/>
      <c r="TCJ42" s="261"/>
      <c r="TCK42" s="261"/>
      <c r="TCL42" s="261"/>
      <c r="TCM42" s="261"/>
      <c r="TCN42" s="261"/>
      <c r="TCO42" s="261"/>
      <c r="TCP42" s="261"/>
      <c r="TCQ42" s="261"/>
      <c r="TCR42" s="261"/>
      <c r="TCS42" s="261"/>
      <c r="TCT42" s="261"/>
      <c r="TCU42" s="261"/>
      <c r="TCV42" s="261"/>
      <c r="TCW42" s="261"/>
      <c r="TCX42" s="261"/>
      <c r="TCY42" s="261"/>
      <c r="TCZ42" s="261"/>
      <c r="TDA42" s="261"/>
      <c r="TDB42" s="261"/>
      <c r="TDC42" s="261"/>
      <c r="TDD42" s="261"/>
      <c r="TDE42" s="261"/>
      <c r="TDF42" s="261"/>
      <c r="TDG42" s="261"/>
      <c r="TDH42" s="261"/>
      <c r="TDI42" s="261"/>
      <c r="TDJ42" s="261"/>
      <c r="TDK42" s="261"/>
      <c r="TDL42" s="261"/>
      <c r="TDM42" s="261"/>
      <c r="TDN42" s="261"/>
      <c r="TDO42" s="261"/>
      <c r="TDP42" s="261"/>
      <c r="TDQ42" s="261"/>
      <c r="TDR42" s="261"/>
      <c r="TDS42" s="261"/>
      <c r="TDT42" s="261"/>
      <c r="TDU42" s="261"/>
      <c r="TDV42" s="261"/>
      <c r="TDW42" s="261"/>
      <c r="TDX42" s="261"/>
      <c r="TDY42" s="261"/>
      <c r="TDZ42" s="261"/>
      <c r="TEA42" s="261"/>
      <c r="TEB42" s="261"/>
      <c r="TEC42" s="261"/>
      <c r="TED42" s="261"/>
      <c r="TEE42" s="261"/>
      <c r="TEF42" s="261"/>
      <c r="TEG42" s="261"/>
      <c r="TEH42" s="261"/>
      <c r="TEI42" s="261"/>
      <c r="TEJ42" s="261"/>
      <c r="TEK42" s="261"/>
      <c r="TEL42" s="261"/>
      <c r="TEM42" s="261"/>
      <c r="TEN42" s="261"/>
      <c r="TEO42" s="261"/>
      <c r="TEP42" s="261"/>
      <c r="TEQ42" s="261"/>
      <c r="TER42" s="261"/>
      <c r="TES42" s="261"/>
      <c r="TET42" s="261"/>
      <c r="TEU42" s="261"/>
      <c r="TEV42" s="261"/>
      <c r="TEW42" s="261"/>
      <c r="TEX42" s="261"/>
      <c r="TEY42" s="261"/>
      <c r="TEZ42" s="261"/>
      <c r="TFA42" s="261"/>
      <c r="TFB42" s="261"/>
      <c r="TFC42" s="261"/>
      <c r="TFD42" s="261"/>
      <c r="TFE42" s="261"/>
      <c r="TFF42" s="261"/>
      <c r="TFG42" s="261"/>
      <c r="TFH42" s="261"/>
      <c r="TFI42" s="261"/>
      <c r="TFJ42" s="261"/>
      <c r="TFK42" s="261"/>
      <c r="TFL42" s="261"/>
      <c r="TFM42" s="261"/>
      <c r="TFN42" s="261"/>
      <c r="TFO42" s="261"/>
      <c r="TFP42" s="261"/>
      <c r="TFQ42" s="261"/>
      <c r="TFR42" s="261"/>
      <c r="TFS42" s="261"/>
      <c r="TFT42" s="261"/>
      <c r="TFU42" s="261"/>
      <c r="TFV42" s="261"/>
      <c r="TFW42" s="261"/>
      <c r="TFX42" s="261"/>
      <c r="TFY42" s="261"/>
      <c r="TFZ42" s="261"/>
      <c r="TGA42" s="261"/>
      <c r="TGB42" s="261"/>
      <c r="TGC42" s="261"/>
      <c r="TGD42" s="261"/>
      <c r="TGE42" s="261"/>
      <c r="TGF42" s="261"/>
      <c r="TGG42" s="261"/>
      <c r="TGH42" s="261"/>
      <c r="TGI42" s="261"/>
      <c r="TGJ42" s="261"/>
      <c r="TGK42" s="261"/>
      <c r="TGL42" s="261"/>
      <c r="TGM42" s="261"/>
      <c r="TGN42" s="261"/>
      <c r="TGO42" s="261"/>
      <c r="TGP42" s="261"/>
      <c r="TGQ42" s="261"/>
      <c r="TGR42" s="261"/>
      <c r="TGS42" s="261"/>
      <c r="TGT42" s="261"/>
      <c r="TGU42" s="261"/>
      <c r="TGV42" s="261"/>
      <c r="TGW42" s="261"/>
      <c r="TGX42" s="261"/>
      <c r="TGY42" s="261"/>
      <c r="TGZ42" s="261"/>
      <c r="THA42" s="261"/>
      <c r="THB42" s="261"/>
      <c r="THC42" s="261"/>
      <c r="THD42" s="261"/>
      <c r="THE42" s="261"/>
      <c r="THF42" s="261"/>
      <c r="THG42" s="261"/>
      <c r="THH42" s="261"/>
      <c r="THI42" s="261"/>
      <c r="THJ42" s="261"/>
      <c r="THK42" s="261"/>
      <c r="THL42" s="261"/>
      <c r="THM42" s="261"/>
      <c r="THN42" s="261"/>
      <c r="THO42" s="261"/>
      <c r="THP42" s="261"/>
      <c r="THQ42" s="261"/>
      <c r="THR42" s="261"/>
      <c r="THS42" s="261"/>
      <c r="THT42" s="261"/>
      <c r="THU42" s="261"/>
      <c r="THV42" s="261"/>
      <c r="THW42" s="261"/>
      <c r="THX42" s="261"/>
      <c r="THY42" s="261"/>
      <c r="THZ42" s="261"/>
      <c r="TIA42" s="261"/>
      <c r="TIB42" s="261"/>
      <c r="TIC42" s="261"/>
      <c r="TID42" s="261"/>
      <c r="TIE42" s="261"/>
      <c r="TIF42" s="261"/>
      <c r="TIG42" s="261"/>
      <c r="TIH42" s="261"/>
      <c r="TII42" s="261"/>
      <c r="TIJ42" s="261"/>
      <c r="TIK42" s="261"/>
      <c r="TIL42" s="261"/>
      <c r="TIM42" s="261"/>
      <c r="TIN42" s="261"/>
      <c r="TIO42" s="261"/>
      <c r="TIP42" s="261"/>
      <c r="TIQ42" s="261"/>
      <c r="TIR42" s="261"/>
      <c r="TIS42" s="261"/>
      <c r="TIT42" s="261"/>
      <c r="TIU42" s="261"/>
      <c r="TIV42" s="261"/>
      <c r="TIW42" s="261"/>
      <c r="TIX42" s="261"/>
      <c r="TIY42" s="261"/>
      <c r="TIZ42" s="261"/>
      <c r="TJA42" s="261"/>
      <c r="TJB42" s="261"/>
      <c r="TJC42" s="261"/>
      <c r="TJD42" s="261"/>
      <c r="TJE42" s="261"/>
      <c r="TJF42" s="261"/>
      <c r="TJG42" s="261"/>
      <c r="TJH42" s="261"/>
      <c r="TJI42" s="261"/>
      <c r="TJJ42" s="261"/>
      <c r="TJK42" s="261"/>
      <c r="TJL42" s="261"/>
      <c r="TJM42" s="261"/>
      <c r="TJN42" s="261"/>
      <c r="TJO42" s="261"/>
      <c r="TJP42" s="261"/>
      <c r="TJQ42" s="261"/>
      <c r="TJR42" s="261"/>
      <c r="TJS42" s="261"/>
      <c r="TJT42" s="261"/>
      <c r="TJU42" s="261"/>
      <c r="TJV42" s="261"/>
      <c r="TJW42" s="261"/>
      <c r="TJX42" s="261"/>
      <c r="TJY42" s="261"/>
      <c r="TJZ42" s="261"/>
      <c r="TKA42" s="261"/>
      <c r="TKB42" s="261"/>
      <c r="TKC42" s="261"/>
      <c r="TKD42" s="261"/>
      <c r="TKE42" s="261"/>
      <c r="TKF42" s="261"/>
      <c r="TKG42" s="261"/>
      <c r="TKH42" s="261"/>
      <c r="TKI42" s="261"/>
      <c r="TKJ42" s="261"/>
      <c r="TKK42" s="261"/>
      <c r="TKL42" s="261"/>
      <c r="TKM42" s="261"/>
      <c r="TKN42" s="261"/>
      <c r="TKO42" s="261"/>
      <c r="TKP42" s="261"/>
      <c r="TKQ42" s="261"/>
      <c r="TKR42" s="261"/>
      <c r="TKS42" s="261"/>
      <c r="TKT42" s="261"/>
      <c r="TKU42" s="261"/>
      <c r="TKV42" s="261"/>
      <c r="TKW42" s="261"/>
      <c r="TKX42" s="261"/>
      <c r="TKY42" s="261"/>
      <c r="TKZ42" s="261"/>
      <c r="TLA42" s="261"/>
      <c r="TLB42" s="261"/>
      <c r="TLC42" s="261"/>
      <c r="TLD42" s="261"/>
      <c r="TLE42" s="261"/>
      <c r="TLF42" s="261"/>
      <c r="TLG42" s="261"/>
      <c r="TLH42" s="261"/>
      <c r="TLI42" s="261"/>
      <c r="TLJ42" s="261"/>
      <c r="TLK42" s="261"/>
      <c r="TLL42" s="261"/>
      <c r="TLM42" s="261"/>
      <c r="TLN42" s="261"/>
      <c r="TLO42" s="261"/>
      <c r="TLP42" s="261"/>
      <c r="TLQ42" s="261"/>
      <c r="TLR42" s="261"/>
      <c r="TLS42" s="261"/>
      <c r="TLT42" s="261"/>
      <c r="TLU42" s="261"/>
      <c r="TLV42" s="261"/>
      <c r="TLW42" s="261"/>
      <c r="TLX42" s="261"/>
      <c r="TLY42" s="261"/>
      <c r="TLZ42" s="261"/>
      <c r="TMA42" s="261"/>
      <c r="TMB42" s="261"/>
      <c r="TMC42" s="261"/>
      <c r="TMD42" s="261"/>
      <c r="TME42" s="261"/>
      <c r="TMF42" s="261"/>
      <c r="TMG42" s="261"/>
      <c r="TMH42" s="261"/>
      <c r="TMI42" s="261"/>
      <c r="TMJ42" s="261"/>
      <c r="TMK42" s="261"/>
      <c r="TML42" s="261"/>
      <c r="TMM42" s="261"/>
      <c r="TMN42" s="261"/>
      <c r="TMO42" s="261"/>
      <c r="TMP42" s="261"/>
      <c r="TMQ42" s="261"/>
      <c r="TMR42" s="261"/>
      <c r="TMS42" s="261"/>
      <c r="TMT42" s="261"/>
      <c r="TMU42" s="261"/>
      <c r="TMV42" s="261"/>
      <c r="TMW42" s="261"/>
      <c r="TMX42" s="261"/>
      <c r="TMY42" s="261"/>
      <c r="TMZ42" s="261"/>
      <c r="TNA42" s="261"/>
      <c r="TNB42" s="261"/>
      <c r="TNC42" s="261"/>
      <c r="TND42" s="261"/>
      <c r="TNE42" s="261"/>
      <c r="TNF42" s="261"/>
      <c r="TNG42" s="261"/>
      <c r="TNH42" s="261"/>
      <c r="TNI42" s="261"/>
      <c r="TNJ42" s="261"/>
      <c r="TNK42" s="261"/>
      <c r="TNL42" s="261"/>
      <c r="TNM42" s="261"/>
      <c r="TNN42" s="261"/>
      <c r="TNO42" s="261"/>
      <c r="TNP42" s="261"/>
      <c r="TNQ42" s="261"/>
      <c r="TNR42" s="261"/>
      <c r="TNS42" s="261"/>
      <c r="TNT42" s="261"/>
      <c r="TNU42" s="261"/>
      <c r="TNV42" s="261"/>
      <c r="TNW42" s="261"/>
      <c r="TNX42" s="261"/>
      <c r="TNY42" s="261"/>
      <c r="TNZ42" s="261"/>
      <c r="TOA42" s="261"/>
      <c r="TOB42" s="261"/>
      <c r="TOC42" s="261"/>
      <c r="TOD42" s="261"/>
      <c r="TOE42" s="261"/>
      <c r="TOF42" s="261"/>
      <c r="TOG42" s="261"/>
      <c r="TOH42" s="261"/>
      <c r="TOI42" s="261"/>
      <c r="TOJ42" s="261"/>
      <c r="TOK42" s="261"/>
      <c r="TOL42" s="261"/>
      <c r="TOM42" s="261"/>
      <c r="TON42" s="261"/>
      <c r="TOO42" s="261"/>
      <c r="TOP42" s="261"/>
      <c r="TOQ42" s="261"/>
      <c r="TOR42" s="261"/>
      <c r="TOS42" s="261"/>
      <c r="TOT42" s="261"/>
      <c r="TOU42" s="261"/>
      <c r="TOV42" s="261"/>
      <c r="TOW42" s="261"/>
      <c r="TOX42" s="261"/>
      <c r="TOY42" s="261"/>
      <c r="TOZ42" s="261"/>
      <c r="TPA42" s="261"/>
      <c r="TPB42" s="261"/>
      <c r="TPC42" s="261"/>
      <c r="TPD42" s="261"/>
      <c r="TPE42" s="261"/>
      <c r="TPF42" s="261"/>
      <c r="TPG42" s="261"/>
      <c r="TPH42" s="261"/>
      <c r="TPI42" s="261"/>
      <c r="TPJ42" s="261"/>
      <c r="TPK42" s="261"/>
      <c r="TPL42" s="261"/>
      <c r="TPM42" s="261"/>
      <c r="TPN42" s="261"/>
      <c r="TPO42" s="261"/>
      <c r="TPP42" s="261"/>
      <c r="TPQ42" s="261"/>
      <c r="TPR42" s="261"/>
      <c r="TPS42" s="261"/>
      <c r="TPT42" s="261"/>
      <c r="TPU42" s="261"/>
      <c r="TPV42" s="261"/>
      <c r="TPW42" s="261"/>
      <c r="TPX42" s="261"/>
      <c r="TPY42" s="261"/>
      <c r="TPZ42" s="261"/>
      <c r="TQA42" s="261"/>
      <c r="TQB42" s="261"/>
      <c r="TQC42" s="261"/>
      <c r="TQD42" s="261"/>
      <c r="TQE42" s="261"/>
      <c r="TQF42" s="261"/>
      <c r="TQG42" s="261"/>
      <c r="TQH42" s="261"/>
      <c r="TQI42" s="261"/>
      <c r="TQJ42" s="261"/>
      <c r="TQK42" s="261"/>
      <c r="TQL42" s="261"/>
      <c r="TQM42" s="261"/>
      <c r="TQN42" s="261"/>
      <c r="TQO42" s="261"/>
      <c r="TQP42" s="261"/>
      <c r="TQQ42" s="261"/>
      <c r="TQR42" s="261"/>
      <c r="TQS42" s="261"/>
      <c r="TQT42" s="261"/>
      <c r="TQU42" s="261"/>
      <c r="TQV42" s="261"/>
      <c r="TQW42" s="261"/>
      <c r="TQX42" s="261"/>
      <c r="TQY42" s="261"/>
      <c r="TQZ42" s="261"/>
      <c r="TRA42" s="261"/>
      <c r="TRB42" s="261"/>
      <c r="TRC42" s="261"/>
      <c r="TRD42" s="261"/>
      <c r="TRE42" s="261"/>
      <c r="TRF42" s="261"/>
      <c r="TRG42" s="261"/>
      <c r="TRH42" s="261"/>
      <c r="TRI42" s="261"/>
      <c r="TRJ42" s="261"/>
      <c r="TRK42" s="261"/>
      <c r="TRL42" s="261"/>
      <c r="TRM42" s="261"/>
      <c r="TRN42" s="261"/>
      <c r="TRO42" s="261"/>
      <c r="TRP42" s="261"/>
      <c r="TRQ42" s="261"/>
      <c r="TRR42" s="261"/>
      <c r="TRS42" s="261"/>
      <c r="TRT42" s="261"/>
      <c r="TRU42" s="261"/>
      <c r="TRV42" s="261"/>
      <c r="TRW42" s="261"/>
      <c r="TRX42" s="261"/>
      <c r="TRY42" s="261"/>
      <c r="TRZ42" s="261"/>
      <c r="TSA42" s="261"/>
      <c r="TSB42" s="261"/>
      <c r="TSC42" s="261"/>
      <c r="TSD42" s="261"/>
      <c r="TSE42" s="261"/>
      <c r="TSF42" s="261"/>
      <c r="TSG42" s="261"/>
      <c r="TSH42" s="261"/>
      <c r="TSI42" s="261"/>
      <c r="TSJ42" s="261"/>
      <c r="TSK42" s="261"/>
      <c r="TSL42" s="261"/>
      <c r="TSM42" s="261"/>
      <c r="TSN42" s="261"/>
      <c r="TSO42" s="261"/>
      <c r="TSP42" s="261"/>
      <c r="TSQ42" s="261"/>
      <c r="TSR42" s="261"/>
      <c r="TSS42" s="261"/>
      <c r="TST42" s="261"/>
      <c r="TSU42" s="261"/>
      <c r="TSV42" s="261"/>
      <c r="TSW42" s="261"/>
      <c r="TSX42" s="261"/>
      <c r="TSY42" s="261"/>
      <c r="TSZ42" s="261"/>
      <c r="TTA42" s="261"/>
      <c r="TTB42" s="261"/>
      <c r="TTC42" s="261"/>
      <c r="TTD42" s="261"/>
      <c r="TTE42" s="261"/>
      <c r="TTF42" s="261"/>
      <c r="TTG42" s="261"/>
      <c r="TTH42" s="261"/>
      <c r="TTI42" s="261"/>
      <c r="TTJ42" s="261"/>
      <c r="TTK42" s="261"/>
      <c r="TTL42" s="261"/>
      <c r="TTM42" s="261"/>
      <c r="TTN42" s="261"/>
      <c r="TTO42" s="261"/>
      <c r="TTP42" s="261"/>
      <c r="TTQ42" s="261"/>
      <c r="TTR42" s="261"/>
      <c r="TTS42" s="261"/>
      <c r="TTT42" s="261"/>
      <c r="TTU42" s="261"/>
      <c r="TTV42" s="261"/>
      <c r="TTW42" s="261"/>
      <c r="TTX42" s="261"/>
      <c r="TTY42" s="261"/>
      <c r="TTZ42" s="261"/>
      <c r="TUA42" s="261"/>
      <c r="TUB42" s="261"/>
      <c r="TUC42" s="261"/>
      <c r="TUD42" s="261"/>
      <c r="TUE42" s="261"/>
      <c r="TUF42" s="261"/>
      <c r="TUG42" s="261"/>
      <c r="TUH42" s="261"/>
      <c r="TUI42" s="261"/>
      <c r="TUJ42" s="261"/>
      <c r="TUK42" s="261"/>
      <c r="TUL42" s="261"/>
      <c r="TUM42" s="261"/>
      <c r="TUN42" s="261"/>
      <c r="TUO42" s="261"/>
      <c r="TUP42" s="261"/>
      <c r="TUQ42" s="261"/>
      <c r="TUR42" s="261"/>
      <c r="TUS42" s="261"/>
      <c r="TUT42" s="261"/>
      <c r="TUU42" s="261"/>
      <c r="TUV42" s="261"/>
      <c r="TUW42" s="261"/>
      <c r="TUX42" s="261"/>
      <c r="TUY42" s="261"/>
      <c r="TUZ42" s="261"/>
      <c r="TVA42" s="261"/>
      <c r="TVB42" s="261"/>
      <c r="TVC42" s="261"/>
      <c r="TVD42" s="261"/>
      <c r="TVE42" s="261"/>
      <c r="TVF42" s="261"/>
      <c r="TVG42" s="261"/>
      <c r="TVH42" s="261"/>
      <c r="TVI42" s="261"/>
      <c r="TVJ42" s="261"/>
      <c r="TVK42" s="261"/>
      <c r="TVL42" s="261"/>
      <c r="TVM42" s="261"/>
      <c r="TVN42" s="261"/>
      <c r="TVO42" s="261"/>
      <c r="TVP42" s="261"/>
      <c r="TVQ42" s="261"/>
      <c r="TVR42" s="261"/>
      <c r="TVS42" s="261"/>
      <c r="TVT42" s="261"/>
      <c r="TVU42" s="261"/>
      <c r="TVV42" s="261"/>
      <c r="TVW42" s="261"/>
      <c r="TVX42" s="261"/>
      <c r="TVY42" s="261"/>
      <c r="TVZ42" s="261"/>
      <c r="TWA42" s="261"/>
      <c r="TWB42" s="261"/>
      <c r="TWC42" s="261"/>
      <c r="TWD42" s="261"/>
      <c r="TWE42" s="261"/>
      <c r="TWF42" s="261"/>
      <c r="TWG42" s="261"/>
      <c r="TWH42" s="261"/>
      <c r="TWI42" s="261"/>
      <c r="TWJ42" s="261"/>
      <c r="TWK42" s="261"/>
      <c r="TWL42" s="261"/>
      <c r="TWM42" s="261"/>
      <c r="TWN42" s="261"/>
      <c r="TWO42" s="261"/>
      <c r="TWP42" s="261"/>
      <c r="TWQ42" s="261"/>
      <c r="TWR42" s="261"/>
      <c r="TWS42" s="261"/>
      <c r="TWT42" s="261"/>
      <c r="TWU42" s="261"/>
      <c r="TWV42" s="261"/>
      <c r="TWW42" s="261"/>
      <c r="TWX42" s="261"/>
      <c r="TWY42" s="261"/>
      <c r="TWZ42" s="261"/>
      <c r="TXA42" s="261"/>
      <c r="TXB42" s="261"/>
      <c r="TXC42" s="261"/>
      <c r="TXD42" s="261"/>
      <c r="TXE42" s="261"/>
      <c r="TXF42" s="261"/>
      <c r="TXG42" s="261"/>
      <c r="TXH42" s="261"/>
      <c r="TXI42" s="261"/>
      <c r="TXJ42" s="261"/>
      <c r="TXK42" s="261"/>
      <c r="TXL42" s="261"/>
      <c r="TXM42" s="261"/>
      <c r="TXN42" s="261"/>
      <c r="TXO42" s="261"/>
      <c r="TXP42" s="261"/>
      <c r="TXQ42" s="261"/>
      <c r="TXR42" s="261"/>
      <c r="TXS42" s="261"/>
      <c r="TXT42" s="261"/>
      <c r="TXU42" s="261"/>
      <c r="TXV42" s="261"/>
      <c r="TXW42" s="261"/>
      <c r="TXX42" s="261"/>
      <c r="TXY42" s="261"/>
      <c r="TXZ42" s="261"/>
      <c r="TYA42" s="261"/>
      <c r="TYB42" s="261"/>
      <c r="TYC42" s="261"/>
      <c r="TYD42" s="261"/>
      <c r="TYE42" s="261"/>
      <c r="TYF42" s="261"/>
      <c r="TYG42" s="261"/>
      <c r="TYH42" s="261"/>
      <c r="TYI42" s="261"/>
      <c r="TYJ42" s="261"/>
      <c r="TYK42" s="261"/>
      <c r="TYL42" s="261"/>
      <c r="TYM42" s="261"/>
      <c r="TYN42" s="261"/>
      <c r="TYO42" s="261"/>
      <c r="TYP42" s="261"/>
      <c r="TYQ42" s="261"/>
      <c r="TYR42" s="261"/>
      <c r="TYS42" s="261"/>
      <c r="TYT42" s="261"/>
      <c r="TYU42" s="261"/>
      <c r="TYV42" s="261"/>
      <c r="TYW42" s="261"/>
      <c r="TYX42" s="261"/>
      <c r="TYY42" s="261"/>
      <c r="TYZ42" s="261"/>
      <c r="TZA42" s="261"/>
      <c r="TZB42" s="261"/>
      <c r="TZC42" s="261"/>
      <c r="TZD42" s="261"/>
      <c r="TZE42" s="261"/>
      <c r="TZF42" s="261"/>
      <c r="TZG42" s="261"/>
      <c r="TZH42" s="261"/>
      <c r="TZI42" s="261"/>
      <c r="TZJ42" s="261"/>
      <c r="TZK42" s="261"/>
      <c r="TZL42" s="261"/>
      <c r="TZM42" s="261"/>
      <c r="TZN42" s="261"/>
      <c r="TZO42" s="261"/>
      <c r="TZP42" s="261"/>
      <c r="TZQ42" s="261"/>
      <c r="TZR42" s="261"/>
      <c r="TZS42" s="261"/>
      <c r="TZT42" s="261"/>
      <c r="TZU42" s="261"/>
      <c r="TZV42" s="261"/>
      <c r="TZW42" s="261"/>
      <c r="TZX42" s="261"/>
      <c r="TZY42" s="261"/>
      <c r="TZZ42" s="261"/>
      <c r="UAA42" s="261"/>
      <c r="UAB42" s="261"/>
      <c r="UAC42" s="261"/>
      <c r="UAD42" s="261"/>
      <c r="UAE42" s="261"/>
      <c r="UAF42" s="261"/>
      <c r="UAG42" s="261"/>
      <c r="UAH42" s="261"/>
      <c r="UAI42" s="261"/>
      <c r="UAJ42" s="261"/>
      <c r="UAK42" s="261"/>
      <c r="UAL42" s="261"/>
      <c r="UAM42" s="261"/>
      <c r="UAN42" s="261"/>
      <c r="UAO42" s="261"/>
      <c r="UAP42" s="261"/>
      <c r="UAQ42" s="261"/>
      <c r="UAR42" s="261"/>
      <c r="UAS42" s="261"/>
      <c r="UAT42" s="261"/>
      <c r="UAU42" s="261"/>
      <c r="UAV42" s="261"/>
      <c r="UAW42" s="261"/>
      <c r="UAX42" s="261"/>
      <c r="UAY42" s="261"/>
      <c r="UAZ42" s="261"/>
      <c r="UBA42" s="261"/>
      <c r="UBB42" s="261"/>
      <c r="UBC42" s="261"/>
      <c r="UBD42" s="261"/>
      <c r="UBE42" s="261"/>
      <c r="UBF42" s="261"/>
      <c r="UBG42" s="261"/>
      <c r="UBH42" s="261"/>
      <c r="UBI42" s="261"/>
      <c r="UBJ42" s="261"/>
      <c r="UBK42" s="261"/>
      <c r="UBL42" s="261"/>
      <c r="UBM42" s="261"/>
      <c r="UBN42" s="261"/>
      <c r="UBO42" s="261"/>
      <c r="UBP42" s="261"/>
      <c r="UBQ42" s="261"/>
      <c r="UBR42" s="261"/>
      <c r="UBS42" s="261"/>
      <c r="UBT42" s="261"/>
      <c r="UBU42" s="261"/>
      <c r="UBV42" s="261"/>
      <c r="UBW42" s="261"/>
      <c r="UBX42" s="261"/>
      <c r="UBY42" s="261"/>
      <c r="UBZ42" s="261"/>
      <c r="UCA42" s="261"/>
      <c r="UCB42" s="261"/>
      <c r="UCC42" s="261"/>
      <c r="UCD42" s="261"/>
      <c r="UCE42" s="261"/>
      <c r="UCF42" s="261"/>
      <c r="UCG42" s="261"/>
      <c r="UCH42" s="261"/>
      <c r="UCI42" s="261"/>
      <c r="UCJ42" s="261"/>
      <c r="UCK42" s="261"/>
      <c r="UCL42" s="261"/>
      <c r="UCM42" s="261"/>
      <c r="UCN42" s="261"/>
      <c r="UCO42" s="261"/>
      <c r="UCP42" s="261"/>
      <c r="UCQ42" s="261"/>
      <c r="UCR42" s="261"/>
      <c r="UCS42" s="261"/>
      <c r="UCT42" s="261"/>
      <c r="UCU42" s="261"/>
      <c r="UCV42" s="261"/>
      <c r="UCW42" s="261"/>
      <c r="UCX42" s="261"/>
      <c r="UCY42" s="261"/>
      <c r="UCZ42" s="261"/>
      <c r="UDA42" s="261"/>
      <c r="UDB42" s="261"/>
      <c r="UDC42" s="261"/>
      <c r="UDD42" s="261"/>
      <c r="UDE42" s="261"/>
      <c r="UDF42" s="261"/>
      <c r="UDG42" s="261"/>
      <c r="UDH42" s="261"/>
      <c r="UDI42" s="261"/>
      <c r="UDJ42" s="261"/>
      <c r="UDK42" s="261"/>
      <c r="UDL42" s="261"/>
      <c r="UDM42" s="261"/>
      <c r="UDN42" s="261"/>
      <c r="UDO42" s="261"/>
      <c r="UDP42" s="261"/>
      <c r="UDQ42" s="261"/>
      <c r="UDR42" s="261"/>
      <c r="UDS42" s="261"/>
      <c r="UDT42" s="261"/>
      <c r="UDU42" s="261"/>
      <c r="UDV42" s="261"/>
      <c r="UDW42" s="261"/>
      <c r="UDX42" s="261"/>
      <c r="UDY42" s="261"/>
      <c r="UDZ42" s="261"/>
      <c r="UEA42" s="261"/>
      <c r="UEB42" s="261"/>
      <c r="UEC42" s="261"/>
      <c r="UED42" s="261"/>
      <c r="UEE42" s="261"/>
      <c r="UEF42" s="261"/>
      <c r="UEG42" s="261"/>
      <c r="UEH42" s="261"/>
      <c r="UEI42" s="261"/>
      <c r="UEJ42" s="261"/>
      <c r="UEK42" s="261"/>
      <c r="UEL42" s="261"/>
      <c r="UEM42" s="261"/>
      <c r="UEN42" s="261"/>
      <c r="UEO42" s="261"/>
      <c r="UEP42" s="261"/>
      <c r="UEQ42" s="261"/>
      <c r="UER42" s="261"/>
      <c r="UES42" s="261"/>
      <c r="UET42" s="261"/>
      <c r="UEU42" s="261"/>
      <c r="UEV42" s="261"/>
      <c r="UEW42" s="261"/>
      <c r="UEX42" s="261"/>
      <c r="UEY42" s="261"/>
      <c r="UEZ42" s="261"/>
      <c r="UFA42" s="261"/>
      <c r="UFB42" s="261"/>
      <c r="UFC42" s="261"/>
      <c r="UFD42" s="261"/>
      <c r="UFE42" s="261"/>
      <c r="UFF42" s="261"/>
      <c r="UFG42" s="261"/>
      <c r="UFH42" s="261"/>
      <c r="UFI42" s="261"/>
      <c r="UFJ42" s="261"/>
      <c r="UFK42" s="261"/>
      <c r="UFL42" s="261"/>
      <c r="UFM42" s="261"/>
      <c r="UFN42" s="261"/>
      <c r="UFO42" s="261"/>
      <c r="UFP42" s="261"/>
      <c r="UFQ42" s="261"/>
      <c r="UFR42" s="261"/>
      <c r="UFS42" s="261"/>
      <c r="UFT42" s="261"/>
      <c r="UFU42" s="261"/>
      <c r="UFV42" s="261"/>
      <c r="UFW42" s="261"/>
      <c r="UFX42" s="261"/>
      <c r="UFY42" s="261"/>
      <c r="UFZ42" s="261"/>
      <c r="UGA42" s="261"/>
      <c r="UGB42" s="261"/>
      <c r="UGC42" s="261"/>
      <c r="UGD42" s="261"/>
      <c r="UGE42" s="261"/>
      <c r="UGF42" s="261"/>
      <c r="UGG42" s="261"/>
      <c r="UGH42" s="261"/>
      <c r="UGI42" s="261"/>
      <c r="UGJ42" s="261"/>
      <c r="UGK42" s="261"/>
      <c r="UGL42" s="261"/>
      <c r="UGM42" s="261"/>
      <c r="UGN42" s="261"/>
      <c r="UGO42" s="261"/>
      <c r="UGP42" s="261"/>
      <c r="UGQ42" s="261"/>
      <c r="UGR42" s="261"/>
      <c r="UGS42" s="261"/>
      <c r="UGT42" s="261"/>
      <c r="UGU42" s="261"/>
      <c r="UGV42" s="261"/>
      <c r="UGW42" s="261"/>
      <c r="UGX42" s="261"/>
      <c r="UGY42" s="261"/>
      <c r="UGZ42" s="261"/>
      <c r="UHA42" s="261"/>
      <c r="UHB42" s="261"/>
      <c r="UHC42" s="261"/>
      <c r="UHD42" s="261"/>
      <c r="UHE42" s="261"/>
      <c r="UHF42" s="261"/>
      <c r="UHG42" s="261"/>
      <c r="UHH42" s="261"/>
      <c r="UHI42" s="261"/>
      <c r="UHJ42" s="261"/>
      <c r="UHK42" s="261"/>
      <c r="UHL42" s="261"/>
      <c r="UHM42" s="261"/>
      <c r="UHN42" s="261"/>
      <c r="UHO42" s="261"/>
      <c r="UHP42" s="261"/>
      <c r="UHQ42" s="261"/>
      <c r="UHR42" s="261"/>
      <c r="UHS42" s="261"/>
      <c r="UHT42" s="261"/>
      <c r="UHU42" s="261"/>
      <c r="UHV42" s="261"/>
      <c r="UHW42" s="261"/>
      <c r="UHX42" s="261"/>
      <c r="UHY42" s="261"/>
      <c r="UHZ42" s="261"/>
      <c r="UIA42" s="261"/>
      <c r="UIB42" s="261"/>
      <c r="UIC42" s="261"/>
      <c r="UID42" s="261"/>
      <c r="UIE42" s="261"/>
      <c r="UIF42" s="261"/>
      <c r="UIG42" s="261"/>
      <c r="UIH42" s="261"/>
      <c r="UII42" s="261"/>
      <c r="UIJ42" s="261"/>
      <c r="UIK42" s="261"/>
      <c r="UIL42" s="261"/>
      <c r="UIM42" s="261"/>
      <c r="UIN42" s="261"/>
      <c r="UIO42" s="261"/>
      <c r="UIP42" s="261"/>
      <c r="UIQ42" s="261"/>
      <c r="UIR42" s="261"/>
      <c r="UIS42" s="261"/>
      <c r="UIT42" s="261"/>
      <c r="UIU42" s="261"/>
      <c r="UIV42" s="261"/>
      <c r="UIW42" s="261"/>
      <c r="UIX42" s="261"/>
      <c r="UIY42" s="261"/>
      <c r="UIZ42" s="261"/>
      <c r="UJA42" s="261"/>
      <c r="UJB42" s="261"/>
      <c r="UJC42" s="261"/>
      <c r="UJD42" s="261"/>
      <c r="UJE42" s="261"/>
      <c r="UJF42" s="261"/>
      <c r="UJG42" s="261"/>
      <c r="UJH42" s="261"/>
      <c r="UJI42" s="261"/>
      <c r="UJJ42" s="261"/>
      <c r="UJK42" s="261"/>
      <c r="UJL42" s="261"/>
      <c r="UJM42" s="261"/>
      <c r="UJN42" s="261"/>
      <c r="UJO42" s="261"/>
      <c r="UJP42" s="261"/>
      <c r="UJQ42" s="261"/>
      <c r="UJR42" s="261"/>
      <c r="UJS42" s="261"/>
      <c r="UJT42" s="261"/>
      <c r="UJU42" s="261"/>
      <c r="UJV42" s="261"/>
      <c r="UJW42" s="261"/>
      <c r="UJX42" s="261"/>
      <c r="UJY42" s="261"/>
      <c r="UJZ42" s="261"/>
      <c r="UKA42" s="261"/>
      <c r="UKB42" s="261"/>
      <c r="UKC42" s="261"/>
      <c r="UKD42" s="261"/>
      <c r="UKE42" s="261"/>
      <c r="UKF42" s="261"/>
      <c r="UKG42" s="261"/>
      <c r="UKH42" s="261"/>
      <c r="UKI42" s="261"/>
      <c r="UKJ42" s="261"/>
      <c r="UKK42" s="261"/>
      <c r="UKL42" s="261"/>
      <c r="UKM42" s="261"/>
      <c r="UKN42" s="261"/>
      <c r="UKO42" s="261"/>
      <c r="UKP42" s="261"/>
      <c r="UKQ42" s="261"/>
      <c r="UKR42" s="261"/>
      <c r="UKS42" s="261"/>
      <c r="UKT42" s="261"/>
      <c r="UKU42" s="261"/>
      <c r="UKV42" s="261"/>
      <c r="UKW42" s="261"/>
      <c r="UKX42" s="261"/>
      <c r="UKY42" s="261"/>
      <c r="UKZ42" s="261"/>
      <c r="ULA42" s="261"/>
      <c r="ULB42" s="261"/>
      <c r="ULC42" s="261"/>
      <c r="ULD42" s="261"/>
      <c r="ULE42" s="261"/>
      <c r="ULF42" s="261"/>
      <c r="ULG42" s="261"/>
      <c r="ULH42" s="261"/>
      <c r="ULI42" s="261"/>
      <c r="ULJ42" s="261"/>
      <c r="ULK42" s="261"/>
      <c r="ULL42" s="261"/>
      <c r="ULM42" s="261"/>
      <c r="ULN42" s="261"/>
      <c r="ULO42" s="261"/>
      <c r="ULP42" s="261"/>
      <c r="ULQ42" s="261"/>
      <c r="ULR42" s="261"/>
      <c r="ULS42" s="261"/>
      <c r="ULT42" s="261"/>
      <c r="ULU42" s="261"/>
      <c r="ULV42" s="261"/>
      <c r="ULW42" s="261"/>
      <c r="ULX42" s="261"/>
      <c r="ULY42" s="261"/>
      <c r="ULZ42" s="261"/>
      <c r="UMA42" s="261"/>
      <c r="UMB42" s="261"/>
      <c r="UMC42" s="261"/>
      <c r="UMD42" s="261"/>
      <c r="UME42" s="261"/>
      <c r="UMF42" s="261"/>
      <c r="UMG42" s="261"/>
      <c r="UMH42" s="261"/>
      <c r="UMI42" s="261"/>
      <c r="UMJ42" s="261"/>
      <c r="UMK42" s="261"/>
      <c r="UML42" s="261"/>
      <c r="UMM42" s="261"/>
      <c r="UMN42" s="261"/>
      <c r="UMO42" s="261"/>
      <c r="UMP42" s="261"/>
      <c r="UMQ42" s="261"/>
      <c r="UMR42" s="261"/>
      <c r="UMS42" s="261"/>
      <c r="UMT42" s="261"/>
      <c r="UMU42" s="261"/>
      <c r="UMV42" s="261"/>
      <c r="UMW42" s="261"/>
      <c r="UMX42" s="261"/>
      <c r="UMY42" s="261"/>
      <c r="UMZ42" s="261"/>
      <c r="UNA42" s="261"/>
      <c r="UNB42" s="261"/>
      <c r="UNC42" s="261"/>
      <c r="UND42" s="261"/>
      <c r="UNE42" s="261"/>
      <c r="UNF42" s="261"/>
      <c r="UNG42" s="261"/>
      <c r="UNH42" s="261"/>
      <c r="UNI42" s="261"/>
      <c r="UNJ42" s="261"/>
      <c r="UNK42" s="261"/>
      <c r="UNL42" s="261"/>
      <c r="UNM42" s="261"/>
      <c r="UNN42" s="261"/>
      <c r="UNO42" s="261"/>
      <c r="UNP42" s="261"/>
      <c r="UNQ42" s="261"/>
      <c r="UNR42" s="261"/>
      <c r="UNS42" s="261"/>
      <c r="UNT42" s="261"/>
      <c r="UNU42" s="261"/>
      <c r="UNV42" s="261"/>
      <c r="UNW42" s="261"/>
      <c r="UNX42" s="261"/>
      <c r="UNY42" s="261"/>
      <c r="UNZ42" s="261"/>
      <c r="UOA42" s="261"/>
      <c r="UOB42" s="261"/>
      <c r="UOC42" s="261"/>
      <c r="UOD42" s="261"/>
      <c r="UOE42" s="261"/>
      <c r="UOF42" s="261"/>
      <c r="UOG42" s="261"/>
      <c r="UOH42" s="261"/>
      <c r="UOI42" s="261"/>
      <c r="UOJ42" s="261"/>
      <c r="UOK42" s="261"/>
      <c r="UOL42" s="261"/>
      <c r="UOM42" s="261"/>
      <c r="UON42" s="261"/>
      <c r="UOO42" s="261"/>
      <c r="UOP42" s="261"/>
      <c r="UOQ42" s="261"/>
      <c r="UOR42" s="261"/>
      <c r="UOS42" s="261"/>
      <c r="UOT42" s="261"/>
      <c r="UOU42" s="261"/>
      <c r="UOV42" s="261"/>
      <c r="UOW42" s="261"/>
      <c r="UOX42" s="261"/>
      <c r="UOY42" s="261"/>
      <c r="UOZ42" s="261"/>
      <c r="UPA42" s="261"/>
      <c r="UPB42" s="261"/>
      <c r="UPC42" s="261"/>
      <c r="UPD42" s="261"/>
      <c r="UPE42" s="261"/>
      <c r="UPF42" s="261"/>
      <c r="UPG42" s="261"/>
      <c r="UPH42" s="261"/>
      <c r="UPI42" s="261"/>
      <c r="UPJ42" s="261"/>
      <c r="UPK42" s="261"/>
      <c r="UPL42" s="261"/>
      <c r="UPM42" s="261"/>
      <c r="UPN42" s="261"/>
      <c r="UPO42" s="261"/>
      <c r="UPP42" s="261"/>
      <c r="UPQ42" s="261"/>
      <c r="UPR42" s="261"/>
      <c r="UPS42" s="261"/>
      <c r="UPT42" s="261"/>
      <c r="UPU42" s="261"/>
      <c r="UPV42" s="261"/>
      <c r="UPW42" s="261"/>
      <c r="UPX42" s="261"/>
      <c r="UPY42" s="261"/>
      <c r="UPZ42" s="261"/>
      <c r="UQA42" s="261"/>
      <c r="UQB42" s="261"/>
      <c r="UQC42" s="261"/>
      <c r="UQD42" s="261"/>
      <c r="UQE42" s="261"/>
      <c r="UQF42" s="261"/>
      <c r="UQG42" s="261"/>
      <c r="UQH42" s="261"/>
      <c r="UQI42" s="261"/>
      <c r="UQJ42" s="261"/>
      <c r="UQK42" s="261"/>
      <c r="UQL42" s="261"/>
      <c r="UQM42" s="261"/>
      <c r="UQN42" s="261"/>
      <c r="UQO42" s="261"/>
      <c r="UQP42" s="261"/>
      <c r="UQQ42" s="261"/>
      <c r="UQR42" s="261"/>
      <c r="UQS42" s="261"/>
      <c r="UQT42" s="261"/>
      <c r="UQU42" s="261"/>
      <c r="UQV42" s="261"/>
      <c r="UQW42" s="261"/>
      <c r="UQX42" s="261"/>
      <c r="UQY42" s="261"/>
      <c r="UQZ42" s="261"/>
      <c r="URA42" s="261"/>
      <c r="URB42" s="261"/>
      <c r="URC42" s="261"/>
      <c r="URD42" s="261"/>
      <c r="URE42" s="261"/>
      <c r="URF42" s="261"/>
      <c r="URG42" s="261"/>
      <c r="URH42" s="261"/>
      <c r="URI42" s="261"/>
      <c r="URJ42" s="261"/>
      <c r="URK42" s="261"/>
      <c r="URL42" s="261"/>
      <c r="URM42" s="261"/>
      <c r="URN42" s="261"/>
      <c r="URO42" s="261"/>
      <c r="URP42" s="261"/>
      <c r="URQ42" s="261"/>
      <c r="URR42" s="261"/>
      <c r="URS42" s="261"/>
      <c r="URT42" s="261"/>
      <c r="URU42" s="261"/>
      <c r="URV42" s="261"/>
      <c r="URW42" s="261"/>
      <c r="URX42" s="261"/>
      <c r="URY42" s="261"/>
      <c r="URZ42" s="261"/>
      <c r="USA42" s="261"/>
      <c r="USB42" s="261"/>
      <c r="USC42" s="261"/>
      <c r="USD42" s="261"/>
      <c r="USE42" s="261"/>
      <c r="USF42" s="261"/>
      <c r="USG42" s="261"/>
      <c r="USH42" s="261"/>
      <c r="USI42" s="261"/>
      <c r="USJ42" s="261"/>
      <c r="USK42" s="261"/>
      <c r="USL42" s="261"/>
      <c r="USM42" s="261"/>
      <c r="USN42" s="261"/>
      <c r="USO42" s="261"/>
      <c r="USP42" s="261"/>
      <c r="USQ42" s="261"/>
      <c r="USR42" s="261"/>
      <c r="USS42" s="261"/>
      <c r="UST42" s="261"/>
      <c r="USU42" s="261"/>
      <c r="USV42" s="261"/>
      <c r="USW42" s="261"/>
      <c r="USX42" s="261"/>
      <c r="USY42" s="261"/>
      <c r="USZ42" s="261"/>
      <c r="UTA42" s="261"/>
      <c r="UTB42" s="261"/>
      <c r="UTC42" s="261"/>
      <c r="UTD42" s="261"/>
      <c r="UTE42" s="261"/>
      <c r="UTF42" s="261"/>
      <c r="UTG42" s="261"/>
      <c r="UTH42" s="261"/>
      <c r="UTI42" s="261"/>
      <c r="UTJ42" s="261"/>
      <c r="UTK42" s="261"/>
      <c r="UTL42" s="261"/>
      <c r="UTM42" s="261"/>
      <c r="UTN42" s="261"/>
      <c r="UTO42" s="261"/>
      <c r="UTP42" s="261"/>
      <c r="UTQ42" s="261"/>
      <c r="UTR42" s="261"/>
      <c r="UTS42" s="261"/>
      <c r="UTT42" s="261"/>
      <c r="UTU42" s="261"/>
      <c r="UTV42" s="261"/>
      <c r="UTW42" s="261"/>
      <c r="UTX42" s="261"/>
      <c r="UTY42" s="261"/>
      <c r="UTZ42" s="261"/>
      <c r="UUA42" s="261"/>
      <c r="UUB42" s="261"/>
      <c r="UUC42" s="261"/>
      <c r="UUD42" s="261"/>
      <c r="UUE42" s="261"/>
      <c r="UUF42" s="261"/>
      <c r="UUG42" s="261"/>
      <c r="UUH42" s="261"/>
      <c r="UUI42" s="261"/>
      <c r="UUJ42" s="261"/>
      <c r="UUK42" s="261"/>
      <c r="UUL42" s="261"/>
      <c r="UUM42" s="261"/>
      <c r="UUN42" s="261"/>
      <c r="UUO42" s="261"/>
      <c r="UUP42" s="261"/>
      <c r="UUQ42" s="261"/>
      <c r="UUR42" s="261"/>
      <c r="UUS42" s="261"/>
      <c r="UUT42" s="261"/>
      <c r="UUU42" s="261"/>
      <c r="UUV42" s="261"/>
      <c r="UUW42" s="261"/>
      <c r="UUX42" s="261"/>
      <c r="UUY42" s="261"/>
      <c r="UUZ42" s="261"/>
      <c r="UVA42" s="261"/>
      <c r="UVB42" s="261"/>
      <c r="UVC42" s="261"/>
      <c r="UVD42" s="261"/>
      <c r="UVE42" s="261"/>
      <c r="UVF42" s="261"/>
      <c r="UVG42" s="261"/>
      <c r="UVH42" s="261"/>
      <c r="UVI42" s="261"/>
      <c r="UVJ42" s="261"/>
      <c r="UVK42" s="261"/>
      <c r="UVL42" s="261"/>
      <c r="UVM42" s="261"/>
      <c r="UVN42" s="261"/>
      <c r="UVO42" s="261"/>
      <c r="UVP42" s="261"/>
      <c r="UVQ42" s="261"/>
      <c r="UVR42" s="261"/>
      <c r="UVS42" s="261"/>
      <c r="UVT42" s="261"/>
      <c r="UVU42" s="261"/>
      <c r="UVV42" s="261"/>
      <c r="UVW42" s="261"/>
      <c r="UVX42" s="261"/>
      <c r="UVY42" s="261"/>
      <c r="UVZ42" s="261"/>
      <c r="UWA42" s="261"/>
      <c r="UWB42" s="261"/>
      <c r="UWC42" s="261"/>
      <c r="UWD42" s="261"/>
      <c r="UWE42" s="261"/>
      <c r="UWF42" s="261"/>
      <c r="UWG42" s="261"/>
      <c r="UWH42" s="261"/>
      <c r="UWI42" s="261"/>
      <c r="UWJ42" s="261"/>
      <c r="UWK42" s="261"/>
      <c r="UWL42" s="261"/>
      <c r="UWM42" s="261"/>
      <c r="UWN42" s="261"/>
      <c r="UWO42" s="261"/>
      <c r="UWP42" s="261"/>
      <c r="UWQ42" s="261"/>
      <c r="UWR42" s="261"/>
      <c r="UWS42" s="261"/>
      <c r="UWT42" s="261"/>
      <c r="UWU42" s="261"/>
      <c r="UWV42" s="261"/>
      <c r="UWW42" s="261"/>
      <c r="UWX42" s="261"/>
      <c r="UWY42" s="261"/>
      <c r="UWZ42" s="261"/>
      <c r="UXA42" s="261"/>
      <c r="UXB42" s="261"/>
      <c r="UXC42" s="261"/>
      <c r="UXD42" s="261"/>
      <c r="UXE42" s="261"/>
      <c r="UXF42" s="261"/>
      <c r="UXG42" s="261"/>
      <c r="UXH42" s="261"/>
      <c r="UXI42" s="261"/>
      <c r="UXJ42" s="261"/>
      <c r="UXK42" s="261"/>
      <c r="UXL42" s="261"/>
      <c r="UXM42" s="261"/>
      <c r="UXN42" s="261"/>
      <c r="UXO42" s="261"/>
      <c r="UXP42" s="261"/>
      <c r="UXQ42" s="261"/>
      <c r="UXR42" s="261"/>
      <c r="UXS42" s="261"/>
      <c r="UXT42" s="261"/>
      <c r="UXU42" s="261"/>
      <c r="UXV42" s="261"/>
      <c r="UXW42" s="261"/>
      <c r="UXX42" s="261"/>
      <c r="UXY42" s="261"/>
      <c r="UXZ42" s="261"/>
      <c r="UYA42" s="261"/>
      <c r="UYB42" s="261"/>
      <c r="UYC42" s="261"/>
      <c r="UYD42" s="261"/>
      <c r="UYE42" s="261"/>
      <c r="UYF42" s="261"/>
      <c r="UYG42" s="261"/>
      <c r="UYH42" s="261"/>
      <c r="UYI42" s="261"/>
      <c r="UYJ42" s="261"/>
      <c r="UYK42" s="261"/>
      <c r="UYL42" s="261"/>
      <c r="UYM42" s="261"/>
      <c r="UYN42" s="261"/>
      <c r="UYO42" s="261"/>
      <c r="UYP42" s="261"/>
      <c r="UYQ42" s="261"/>
      <c r="UYR42" s="261"/>
      <c r="UYS42" s="261"/>
      <c r="UYT42" s="261"/>
      <c r="UYU42" s="261"/>
      <c r="UYV42" s="261"/>
      <c r="UYW42" s="261"/>
      <c r="UYX42" s="261"/>
      <c r="UYY42" s="261"/>
      <c r="UYZ42" s="261"/>
      <c r="UZA42" s="261"/>
      <c r="UZB42" s="261"/>
      <c r="UZC42" s="261"/>
      <c r="UZD42" s="261"/>
      <c r="UZE42" s="261"/>
      <c r="UZF42" s="261"/>
      <c r="UZG42" s="261"/>
      <c r="UZH42" s="261"/>
      <c r="UZI42" s="261"/>
      <c r="UZJ42" s="261"/>
      <c r="UZK42" s="261"/>
      <c r="UZL42" s="261"/>
      <c r="UZM42" s="261"/>
      <c r="UZN42" s="261"/>
      <c r="UZO42" s="261"/>
      <c r="UZP42" s="261"/>
      <c r="UZQ42" s="261"/>
      <c r="UZR42" s="261"/>
      <c r="UZS42" s="261"/>
      <c r="UZT42" s="261"/>
      <c r="UZU42" s="261"/>
      <c r="UZV42" s="261"/>
      <c r="UZW42" s="261"/>
      <c r="UZX42" s="261"/>
      <c r="UZY42" s="261"/>
      <c r="UZZ42" s="261"/>
      <c r="VAA42" s="261"/>
      <c r="VAB42" s="261"/>
      <c r="VAC42" s="261"/>
      <c r="VAD42" s="261"/>
      <c r="VAE42" s="261"/>
      <c r="VAF42" s="261"/>
      <c r="VAG42" s="261"/>
      <c r="VAH42" s="261"/>
      <c r="VAI42" s="261"/>
      <c r="VAJ42" s="261"/>
      <c r="VAK42" s="261"/>
      <c r="VAL42" s="261"/>
      <c r="VAM42" s="261"/>
      <c r="VAN42" s="261"/>
      <c r="VAO42" s="261"/>
      <c r="VAP42" s="261"/>
      <c r="VAQ42" s="261"/>
      <c r="VAR42" s="261"/>
      <c r="VAS42" s="261"/>
      <c r="VAT42" s="261"/>
      <c r="VAU42" s="261"/>
      <c r="VAV42" s="261"/>
      <c r="VAW42" s="261"/>
      <c r="VAX42" s="261"/>
      <c r="VAY42" s="261"/>
      <c r="VAZ42" s="261"/>
      <c r="VBA42" s="261"/>
      <c r="VBB42" s="261"/>
      <c r="VBC42" s="261"/>
      <c r="VBD42" s="261"/>
      <c r="VBE42" s="261"/>
      <c r="VBF42" s="261"/>
      <c r="VBG42" s="261"/>
      <c r="VBH42" s="261"/>
      <c r="VBI42" s="261"/>
      <c r="VBJ42" s="261"/>
      <c r="VBK42" s="261"/>
      <c r="VBL42" s="261"/>
      <c r="VBM42" s="261"/>
      <c r="VBN42" s="261"/>
      <c r="VBO42" s="261"/>
      <c r="VBP42" s="261"/>
      <c r="VBQ42" s="261"/>
      <c r="VBR42" s="261"/>
      <c r="VBS42" s="261"/>
      <c r="VBT42" s="261"/>
      <c r="VBU42" s="261"/>
      <c r="VBV42" s="261"/>
      <c r="VBW42" s="261"/>
      <c r="VBX42" s="261"/>
      <c r="VBY42" s="261"/>
      <c r="VBZ42" s="261"/>
      <c r="VCA42" s="261"/>
      <c r="VCB42" s="261"/>
      <c r="VCC42" s="261"/>
      <c r="VCD42" s="261"/>
      <c r="VCE42" s="261"/>
      <c r="VCF42" s="261"/>
      <c r="VCG42" s="261"/>
      <c r="VCH42" s="261"/>
      <c r="VCI42" s="261"/>
      <c r="VCJ42" s="261"/>
      <c r="VCK42" s="261"/>
      <c r="VCL42" s="261"/>
      <c r="VCM42" s="261"/>
      <c r="VCN42" s="261"/>
      <c r="VCO42" s="261"/>
      <c r="VCP42" s="261"/>
      <c r="VCQ42" s="261"/>
      <c r="VCR42" s="261"/>
      <c r="VCS42" s="261"/>
      <c r="VCT42" s="261"/>
      <c r="VCU42" s="261"/>
      <c r="VCV42" s="261"/>
      <c r="VCW42" s="261"/>
      <c r="VCX42" s="261"/>
      <c r="VCY42" s="261"/>
      <c r="VCZ42" s="261"/>
      <c r="VDA42" s="261"/>
      <c r="VDB42" s="261"/>
      <c r="VDC42" s="261"/>
      <c r="VDD42" s="261"/>
      <c r="VDE42" s="261"/>
      <c r="VDF42" s="261"/>
      <c r="VDG42" s="261"/>
      <c r="VDH42" s="261"/>
      <c r="VDI42" s="261"/>
      <c r="VDJ42" s="261"/>
      <c r="VDK42" s="261"/>
      <c r="VDL42" s="261"/>
      <c r="VDM42" s="261"/>
      <c r="VDN42" s="261"/>
      <c r="VDO42" s="261"/>
      <c r="VDP42" s="261"/>
      <c r="VDQ42" s="261"/>
      <c r="VDR42" s="261"/>
      <c r="VDS42" s="261"/>
      <c r="VDT42" s="261"/>
      <c r="VDU42" s="261"/>
      <c r="VDV42" s="261"/>
      <c r="VDW42" s="261"/>
      <c r="VDX42" s="261"/>
      <c r="VDY42" s="261"/>
      <c r="VDZ42" s="261"/>
      <c r="VEA42" s="261"/>
      <c r="VEB42" s="261"/>
      <c r="VEC42" s="261"/>
      <c r="VED42" s="261"/>
      <c r="VEE42" s="261"/>
      <c r="VEF42" s="261"/>
      <c r="VEG42" s="261"/>
      <c r="VEH42" s="261"/>
      <c r="VEI42" s="261"/>
      <c r="VEJ42" s="261"/>
      <c r="VEK42" s="261"/>
      <c r="VEL42" s="261"/>
      <c r="VEM42" s="261"/>
      <c r="VEN42" s="261"/>
      <c r="VEO42" s="261"/>
      <c r="VEP42" s="261"/>
      <c r="VEQ42" s="261"/>
      <c r="VER42" s="261"/>
      <c r="VES42" s="261"/>
      <c r="VET42" s="261"/>
      <c r="VEU42" s="261"/>
      <c r="VEV42" s="261"/>
      <c r="VEW42" s="261"/>
      <c r="VEX42" s="261"/>
      <c r="VEY42" s="261"/>
      <c r="VEZ42" s="261"/>
      <c r="VFA42" s="261"/>
      <c r="VFB42" s="261"/>
      <c r="VFC42" s="261"/>
      <c r="VFD42" s="261"/>
      <c r="VFE42" s="261"/>
      <c r="VFF42" s="261"/>
      <c r="VFG42" s="261"/>
      <c r="VFH42" s="261"/>
      <c r="VFI42" s="261"/>
      <c r="VFJ42" s="261"/>
      <c r="VFK42" s="261"/>
      <c r="VFL42" s="261"/>
      <c r="VFM42" s="261"/>
      <c r="VFN42" s="261"/>
      <c r="VFO42" s="261"/>
      <c r="VFP42" s="261"/>
      <c r="VFQ42" s="261"/>
      <c r="VFR42" s="261"/>
      <c r="VFS42" s="261"/>
      <c r="VFT42" s="261"/>
      <c r="VFU42" s="261"/>
      <c r="VFV42" s="261"/>
      <c r="VFW42" s="261"/>
      <c r="VFX42" s="261"/>
      <c r="VFY42" s="261"/>
      <c r="VFZ42" s="261"/>
      <c r="VGA42" s="261"/>
      <c r="VGB42" s="261"/>
      <c r="VGC42" s="261"/>
      <c r="VGD42" s="261"/>
      <c r="VGE42" s="261"/>
      <c r="VGF42" s="261"/>
      <c r="VGG42" s="261"/>
      <c r="VGH42" s="261"/>
      <c r="VGI42" s="261"/>
      <c r="VGJ42" s="261"/>
      <c r="VGK42" s="261"/>
      <c r="VGL42" s="261"/>
      <c r="VGM42" s="261"/>
      <c r="VGN42" s="261"/>
      <c r="VGO42" s="261"/>
      <c r="VGP42" s="261"/>
      <c r="VGQ42" s="261"/>
      <c r="VGR42" s="261"/>
      <c r="VGS42" s="261"/>
      <c r="VGT42" s="261"/>
      <c r="VGU42" s="261"/>
      <c r="VGV42" s="261"/>
      <c r="VGW42" s="261"/>
      <c r="VGX42" s="261"/>
      <c r="VGY42" s="261"/>
      <c r="VGZ42" s="261"/>
      <c r="VHA42" s="261"/>
      <c r="VHB42" s="261"/>
      <c r="VHC42" s="261"/>
      <c r="VHD42" s="261"/>
      <c r="VHE42" s="261"/>
      <c r="VHF42" s="261"/>
      <c r="VHG42" s="261"/>
      <c r="VHH42" s="261"/>
      <c r="VHI42" s="261"/>
      <c r="VHJ42" s="261"/>
      <c r="VHK42" s="261"/>
      <c r="VHL42" s="261"/>
      <c r="VHM42" s="261"/>
      <c r="VHN42" s="261"/>
      <c r="VHO42" s="261"/>
      <c r="VHP42" s="261"/>
      <c r="VHQ42" s="261"/>
      <c r="VHR42" s="261"/>
      <c r="VHS42" s="261"/>
      <c r="VHT42" s="261"/>
      <c r="VHU42" s="261"/>
      <c r="VHV42" s="261"/>
      <c r="VHW42" s="261"/>
      <c r="VHX42" s="261"/>
      <c r="VHY42" s="261"/>
      <c r="VHZ42" s="261"/>
      <c r="VIA42" s="261"/>
      <c r="VIB42" s="261"/>
      <c r="VIC42" s="261"/>
      <c r="VID42" s="261"/>
      <c r="VIE42" s="261"/>
      <c r="VIF42" s="261"/>
      <c r="VIG42" s="261"/>
      <c r="VIH42" s="261"/>
      <c r="VII42" s="261"/>
      <c r="VIJ42" s="261"/>
      <c r="VIK42" s="261"/>
      <c r="VIL42" s="261"/>
      <c r="VIM42" s="261"/>
      <c r="VIN42" s="261"/>
      <c r="VIO42" s="261"/>
      <c r="VIP42" s="261"/>
      <c r="VIQ42" s="261"/>
      <c r="VIR42" s="261"/>
      <c r="VIS42" s="261"/>
      <c r="VIT42" s="261"/>
      <c r="VIU42" s="261"/>
      <c r="VIV42" s="261"/>
      <c r="VIW42" s="261"/>
      <c r="VIX42" s="261"/>
      <c r="VIY42" s="261"/>
      <c r="VIZ42" s="261"/>
      <c r="VJA42" s="261"/>
      <c r="VJB42" s="261"/>
      <c r="VJC42" s="261"/>
      <c r="VJD42" s="261"/>
      <c r="VJE42" s="261"/>
      <c r="VJF42" s="261"/>
      <c r="VJG42" s="261"/>
      <c r="VJH42" s="261"/>
      <c r="VJI42" s="261"/>
      <c r="VJJ42" s="261"/>
      <c r="VJK42" s="261"/>
      <c r="VJL42" s="261"/>
      <c r="VJM42" s="261"/>
      <c r="VJN42" s="261"/>
      <c r="VJO42" s="261"/>
      <c r="VJP42" s="261"/>
      <c r="VJQ42" s="261"/>
      <c r="VJR42" s="261"/>
      <c r="VJS42" s="261"/>
      <c r="VJT42" s="261"/>
      <c r="VJU42" s="261"/>
      <c r="VJV42" s="261"/>
      <c r="VJW42" s="261"/>
      <c r="VJX42" s="261"/>
      <c r="VJY42" s="261"/>
      <c r="VJZ42" s="261"/>
      <c r="VKA42" s="261"/>
      <c r="VKB42" s="261"/>
      <c r="VKC42" s="261"/>
      <c r="VKD42" s="261"/>
      <c r="VKE42" s="261"/>
      <c r="VKF42" s="261"/>
      <c r="VKG42" s="261"/>
      <c r="VKH42" s="261"/>
      <c r="VKI42" s="261"/>
      <c r="VKJ42" s="261"/>
      <c r="VKK42" s="261"/>
      <c r="VKL42" s="261"/>
      <c r="VKM42" s="261"/>
      <c r="VKN42" s="261"/>
      <c r="VKO42" s="261"/>
      <c r="VKP42" s="261"/>
      <c r="VKQ42" s="261"/>
      <c r="VKR42" s="261"/>
      <c r="VKS42" s="261"/>
      <c r="VKT42" s="261"/>
      <c r="VKU42" s="261"/>
      <c r="VKV42" s="261"/>
      <c r="VKW42" s="261"/>
      <c r="VKX42" s="261"/>
      <c r="VKY42" s="261"/>
      <c r="VKZ42" s="261"/>
      <c r="VLA42" s="261"/>
      <c r="VLB42" s="261"/>
      <c r="VLC42" s="261"/>
      <c r="VLD42" s="261"/>
      <c r="VLE42" s="261"/>
      <c r="VLF42" s="261"/>
      <c r="VLG42" s="261"/>
      <c r="VLH42" s="261"/>
      <c r="VLI42" s="261"/>
      <c r="VLJ42" s="261"/>
      <c r="VLK42" s="261"/>
      <c r="VLL42" s="261"/>
      <c r="VLM42" s="261"/>
      <c r="VLN42" s="261"/>
      <c r="VLO42" s="261"/>
      <c r="VLP42" s="261"/>
      <c r="VLQ42" s="261"/>
      <c r="VLR42" s="261"/>
      <c r="VLS42" s="261"/>
      <c r="VLT42" s="261"/>
      <c r="VLU42" s="261"/>
      <c r="VLV42" s="261"/>
      <c r="VLW42" s="261"/>
      <c r="VLX42" s="261"/>
      <c r="VLY42" s="261"/>
      <c r="VLZ42" s="261"/>
      <c r="VMA42" s="261"/>
      <c r="VMB42" s="261"/>
      <c r="VMC42" s="261"/>
      <c r="VMD42" s="261"/>
      <c r="VME42" s="261"/>
      <c r="VMF42" s="261"/>
      <c r="VMG42" s="261"/>
      <c r="VMH42" s="261"/>
      <c r="VMI42" s="261"/>
      <c r="VMJ42" s="261"/>
      <c r="VMK42" s="261"/>
      <c r="VML42" s="261"/>
      <c r="VMM42" s="261"/>
      <c r="VMN42" s="261"/>
      <c r="VMO42" s="261"/>
      <c r="VMP42" s="261"/>
      <c r="VMQ42" s="261"/>
      <c r="VMR42" s="261"/>
      <c r="VMS42" s="261"/>
      <c r="VMT42" s="261"/>
      <c r="VMU42" s="261"/>
      <c r="VMV42" s="261"/>
      <c r="VMW42" s="261"/>
      <c r="VMX42" s="261"/>
      <c r="VMY42" s="261"/>
      <c r="VMZ42" s="261"/>
      <c r="VNA42" s="261"/>
      <c r="VNB42" s="261"/>
      <c r="VNC42" s="261"/>
      <c r="VND42" s="261"/>
      <c r="VNE42" s="261"/>
      <c r="VNF42" s="261"/>
      <c r="VNG42" s="261"/>
      <c r="VNH42" s="261"/>
      <c r="VNI42" s="261"/>
      <c r="VNJ42" s="261"/>
      <c r="VNK42" s="261"/>
      <c r="VNL42" s="261"/>
      <c r="VNM42" s="261"/>
      <c r="VNN42" s="261"/>
      <c r="VNO42" s="261"/>
      <c r="VNP42" s="261"/>
      <c r="VNQ42" s="261"/>
      <c r="VNR42" s="261"/>
      <c r="VNS42" s="261"/>
      <c r="VNT42" s="261"/>
      <c r="VNU42" s="261"/>
      <c r="VNV42" s="261"/>
      <c r="VNW42" s="261"/>
      <c r="VNX42" s="261"/>
      <c r="VNY42" s="261"/>
      <c r="VNZ42" s="261"/>
      <c r="VOA42" s="261"/>
      <c r="VOB42" s="261"/>
      <c r="VOC42" s="261"/>
      <c r="VOD42" s="261"/>
      <c r="VOE42" s="261"/>
      <c r="VOF42" s="261"/>
      <c r="VOG42" s="261"/>
      <c r="VOH42" s="261"/>
      <c r="VOI42" s="261"/>
      <c r="VOJ42" s="261"/>
      <c r="VOK42" s="261"/>
      <c r="VOL42" s="261"/>
      <c r="VOM42" s="261"/>
      <c r="VON42" s="261"/>
      <c r="VOO42" s="261"/>
      <c r="VOP42" s="261"/>
      <c r="VOQ42" s="261"/>
      <c r="VOR42" s="261"/>
      <c r="VOS42" s="261"/>
      <c r="VOT42" s="261"/>
      <c r="VOU42" s="261"/>
      <c r="VOV42" s="261"/>
      <c r="VOW42" s="261"/>
      <c r="VOX42" s="261"/>
      <c r="VOY42" s="261"/>
      <c r="VOZ42" s="261"/>
      <c r="VPA42" s="261"/>
      <c r="VPB42" s="261"/>
      <c r="VPC42" s="261"/>
      <c r="VPD42" s="261"/>
      <c r="VPE42" s="261"/>
      <c r="VPF42" s="261"/>
      <c r="VPG42" s="261"/>
      <c r="VPH42" s="261"/>
      <c r="VPI42" s="261"/>
      <c r="VPJ42" s="261"/>
      <c r="VPK42" s="261"/>
      <c r="VPL42" s="261"/>
      <c r="VPM42" s="261"/>
      <c r="VPN42" s="261"/>
      <c r="VPO42" s="261"/>
      <c r="VPP42" s="261"/>
      <c r="VPQ42" s="261"/>
      <c r="VPR42" s="261"/>
      <c r="VPS42" s="261"/>
      <c r="VPT42" s="261"/>
      <c r="VPU42" s="261"/>
      <c r="VPV42" s="261"/>
      <c r="VPW42" s="261"/>
      <c r="VPX42" s="261"/>
      <c r="VPY42" s="261"/>
      <c r="VPZ42" s="261"/>
      <c r="VQA42" s="261"/>
      <c r="VQB42" s="261"/>
      <c r="VQC42" s="261"/>
      <c r="VQD42" s="261"/>
      <c r="VQE42" s="261"/>
      <c r="VQF42" s="261"/>
      <c r="VQG42" s="261"/>
      <c r="VQH42" s="261"/>
      <c r="VQI42" s="261"/>
      <c r="VQJ42" s="261"/>
      <c r="VQK42" s="261"/>
      <c r="VQL42" s="261"/>
      <c r="VQM42" s="261"/>
      <c r="VQN42" s="261"/>
      <c r="VQO42" s="261"/>
      <c r="VQP42" s="261"/>
      <c r="VQQ42" s="261"/>
      <c r="VQR42" s="261"/>
      <c r="VQS42" s="261"/>
      <c r="VQT42" s="261"/>
      <c r="VQU42" s="261"/>
      <c r="VQV42" s="261"/>
      <c r="VQW42" s="261"/>
      <c r="VQX42" s="261"/>
      <c r="VQY42" s="261"/>
      <c r="VQZ42" s="261"/>
      <c r="VRA42" s="261"/>
      <c r="VRB42" s="261"/>
      <c r="VRC42" s="261"/>
      <c r="VRD42" s="261"/>
      <c r="VRE42" s="261"/>
      <c r="VRF42" s="261"/>
      <c r="VRG42" s="261"/>
      <c r="VRH42" s="261"/>
      <c r="VRI42" s="261"/>
      <c r="VRJ42" s="261"/>
      <c r="VRK42" s="261"/>
      <c r="VRL42" s="261"/>
      <c r="VRM42" s="261"/>
      <c r="VRN42" s="261"/>
      <c r="VRO42" s="261"/>
      <c r="VRP42" s="261"/>
      <c r="VRQ42" s="261"/>
      <c r="VRR42" s="261"/>
      <c r="VRS42" s="261"/>
      <c r="VRT42" s="261"/>
      <c r="VRU42" s="261"/>
      <c r="VRV42" s="261"/>
      <c r="VRW42" s="261"/>
      <c r="VRX42" s="261"/>
      <c r="VRY42" s="261"/>
      <c r="VRZ42" s="261"/>
      <c r="VSA42" s="261"/>
      <c r="VSB42" s="261"/>
      <c r="VSC42" s="261"/>
      <c r="VSD42" s="261"/>
      <c r="VSE42" s="261"/>
      <c r="VSF42" s="261"/>
      <c r="VSG42" s="261"/>
      <c r="VSH42" s="261"/>
      <c r="VSI42" s="261"/>
      <c r="VSJ42" s="261"/>
      <c r="VSK42" s="261"/>
      <c r="VSL42" s="261"/>
      <c r="VSM42" s="261"/>
      <c r="VSN42" s="261"/>
      <c r="VSO42" s="261"/>
      <c r="VSP42" s="261"/>
      <c r="VSQ42" s="261"/>
      <c r="VSR42" s="261"/>
      <c r="VSS42" s="261"/>
      <c r="VST42" s="261"/>
      <c r="VSU42" s="261"/>
      <c r="VSV42" s="261"/>
      <c r="VSW42" s="261"/>
      <c r="VSX42" s="261"/>
      <c r="VSY42" s="261"/>
      <c r="VSZ42" s="261"/>
      <c r="VTA42" s="261"/>
      <c r="VTB42" s="261"/>
      <c r="VTC42" s="261"/>
      <c r="VTD42" s="261"/>
      <c r="VTE42" s="261"/>
      <c r="VTF42" s="261"/>
      <c r="VTG42" s="261"/>
      <c r="VTH42" s="261"/>
      <c r="VTI42" s="261"/>
      <c r="VTJ42" s="261"/>
      <c r="VTK42" s="261"/>
      <c r="VTL42" s="261"/>
      <c r="VTM42" s="261"/>
      <c r="VTN42" s="261"/>
      <c r="VTO42" s="261"/>
      <c r="VTP42" s="261"/>
      <c r="VTQ42" s="261"/>
      <c r="VTR42" s="261"/>
      <c r="VTS42" s="261"/>
      <c r="VTT42" s="261"/>
      <c r="VTU42" s="261"/>
      <c r="VTV42" s="261"/>
      <c r="VTW42" s="261"/>
      <c r="VTX42" s="261"/>
      <c r="VTY42" s="261"/>
      <c r="VTZ42" s="261"/>
      <c r="VUA42" s="261"/>
      <c r="VUB42" s="261"/>
      <c r="VUC42" s="261"/>
      <c r="VUD42" s="261"/>
      <c r="VUE42" s="261"/>
      <c r="VUF42" s="261"/>
      <c r="VUG42" s="261"/>
      <c r="VUH42" s="261"/>
      <c r="VUI42" s="261"/>
      <c r="VUJ42" s="261"/>
      <c r="VUK42" s="261"/>
      <c r="VUL42" s="261"/>
      <c r="VUM42" s="261"/>
      <c r="VUN42" s="261"/>
      <c r="VUO42" s="261"/>
      <c r="VUP42" s="261"/>
      <c r="VUQ42" s="261"/>
      <c r="VUR42" s="261"/>
      <c r="VUS42" s="261"/>
      <c r="VUT42" s="261"/>
      <c r="VUU42" s="261"/>
      <c r="VUV42" s="261"/>
      <c r="VUW42" s="261"/>
      <c r="VUX42" s="261"/>
      <c r="VUY42" s="261"/>
      <c r="VUZ42" s="261"/>
      <c r="VVA42" s="261"/>
      <c r="VVB42" s="261"/>
      <c r="VVC42" s="261"/>
      <c r="VVD42" s="261"/>
      <c r="VVE42" s="261"/>
      <c r="VVF42" s="261"/>
      <c r="VVG42" s="261"/>
      <c r="VVH42" s="261"/>
      <c r="VVI42" s="261"/>
      <c r="VVJ42" s="261"/>
      <c r="VVK42" s="261"/>
      <c r="VVL42" s="261"/>
      <c r="VVM42" s="261"/>
      <c r="VVN42" s="261"/>
      <c r="VVO42" s="261"/>
      <c r="VVP42" s="261"/>
      <c r="VVQ42" s="261"/>
      <c r="VVR42" s="261"/>
      <c r="VVS42" s="261"/>
      <c r="VVT42" s="261"/>
      <c r="VVU42" s="261"/>
      <c r="VVV42" s="261"/>
      <c r="VVW42" s="261"/>
      <c r="VVX42" s="261"/>
      <c r="VVY42" s="261"/>
      <c r="VVZ42" s="261"/>
      <c r="VWA42" s="261"/>
      <c r="VWB42" s="261"/>
      <c r="VWC42" s="261"/>
      <c r="VWD42" s="261"/>
      <c r="VWE42" s="261"/>
      <c r="VWF42" s="261"/>
      <c r="VWG42" s="261"/>
      <c r="VWH42" s="261"/>
      <c r="VWI42" s="261"/>
      <c r="VWJ42" s="261"/>
      <c r="VWK42" s="261"/>
      <c r="VWL42" s="261"/>
      <c r="VWM42" s="261"/>
      <c r="VWN42" s="261"/>
      <c r="VWO42" s="261"/>
      <c r="VWP42" s="261"/>
      <c r="VWQ42" s="261"/>
      <c r="VWR42" s="261"/>
      <c r="VWS42" s="261"/>
      <c r="VWT42" s="261"/>
      <c r="VWU42" s="261"/>
      <c r="VWV42" s="261"/>
      <c r="VWW42" s="261"/>
      <c r="VWX42" s="261"/>
      <c r="VWY42" s="261"/>
      <c r="VWZ42" s="261"/>
      <c r="VXA42" s="261"/>
      <c r="VXB42" s="261"/>
      <c r="VXC42" s="261"/>
      <c r="VXD42" s="261"/>
      <c r="VXE42" s="261"/>
      <c r="VXF42" s="261"/>
      <c r="VXG42" s="261"/>
      <c r="VXH42" s="261"/>
      <c r="VXI42" s="261"/>
      <c r="VXJ42" s="261"/>
      <c r="VXK42" s="261"/>
      <c r="VXL42" s="261"/>
      <c r="VXM42" s="261"/>
      <c r="VXN42" s="261"/>
      <c r="VXO42" s="261"/>
      <c r="VXP42" s="261"/>
      <c r="VXQ42" s="261"/>
      <c r="VXR42" s="261"/>
      <c r="VXS42" s="261"/>
      <c r="VXT42" s="261"/>
      <c r="VXU42" s="261"/>
      <c r="VXV42" s="261"/>
      <c r="VXW42" s="261"/>
      <c r="VXX42" s="261"/>
      <c r="VXY42" s="261"/>
      <c r="VXZ42" s="261"/>
      <c r="VYA42" s="261"/>
      <c r="VYB42" s="261"/>
      <c r="VYC42" s="261"/>
      <c r="VYD42" s="261"/>
      <c r="VYE42" s="261"/>
      <c r="VYF42" s="261"/>
      <c r="VYG42" s="261"/>
      <c r="VYH42" s="261"/>
      <c r="VYI42" s="261"/>
      <c r="VYJ42" s="261"/>
      <c r="VYK42" s="261"/>
      <c r="VYL42" s="261"/>
      <c r="VYM42" s="261"/>
      <c r="VYN42" s="261"/>
      <c r="VYO42" s="261"/>
      <c r="VYP42" s="261"/>
      <c r="VYQ42" s="261"/>
      <c r="VYR42" s="261"/>
      <c r="VYS42" s="261"/>
      <c r="VYT42" s="261"/>
      <c r="VYU42" s="261"/>
      <c r="VYV42" s="261"/>
      <c r="VYW42" s="261"/>
      <c r="VYX42" s="261"/>
      <c r="VYY42" s="261"/>
      <c r="VYZ42" s="261"/>
      <c r="VZA42" s="261"/>
      <c r="VZB42" s="261"/>
      <c r="VZC42" s="261"/>
      <c r="VZD42" s="261"/>
      <c r="VZE42" s="261"/>
      <c r="VZF42" s="261"/>
      <c r="VZG42" s="261"/>
      <c r="VZH42" s="261"/>
      <c r="VZI42" s="261"/>
      <c r="VZJ42" s="261"/>
      <c r="VZK42" s="261"/>
      <c r="VZL42" s="261"/>
      <c r="VZM42" s="261"/>
      <c r="VZN42" s="261"/>
      <c r="VZO42" s="261"/>
      <c r="VZP42" s="261"/>
      <c r="VZQ42" s="261"/>
      <c r="VZR42" s="261"/>
      <c r="VZS42" s="261"/>
      <c r="VZT42" s="261"/>
      <c r="VZU42" s="261"/>
      <c r="VZV42" s="261"/>
      <c r="VZW42" s="261"/>
      <c r="VZX42" s="261"/>
      <c r="VZY42" s="261"/>
      <c r="VZZ42" s="261"/>
      <c r="WAA42" s="261"/>
      <c r="WAB42" s="261"/>
      <c r="WAC42" s="261"/>
      <c r="WAD42" s="261"/>
      <c r="WAE42" s="261"/>
      <c r="WAF42" s="261"/>
      <c r="WAG42" s="261"/>
      <c r="WAH42" s="261"/>
      <c r="WAI42" s="261"/>
      <c r="WAJ42" s="261"/>
      <c r="WAK42" s="261"/>
      <c r="WAL42" s="261"/>
      <c r="WAM42" s="261"/>
      <c r="WAN42" s="261"/>
      <c r="WAO42" s="261"/>
      <c r="WAP42" s="261"/>
      <c r="WAQ42" s="261"/>
      <c r="WAR42" s="261"/>
      <c r="WAS42" s="261"/>
      <c r="WAT42" s="261"/>
      <c r="WAU42" s="261"/>
      <c r="WAV42" s="261"/>
      <c r="WAW42" s="261"/>
      <c r="WAX42" s="261"/>
      <c r="WAY42" s="261"/>
      <c r="WAZ42" s="261"/>
      <c r="WBA42" s="261"/>
      <c r="WBB42" s="261"/>
      <c r="WBC42" s="261"/>
      <c r="WBD42" s="261"/>
      <c r="WBE42" s="261"/>
      <c r="WBF42" s="261"/>
      <c r="WBG42" s="261"/>
      <c r="WBH42" s="261"/>
      <c r="WBI42" s="261"/>
      <c r="WBJ42" s="261"/>
      <c r="WBK42" s="261"/>
      <c r="WBL42" s="261"/>
      <c r="WBM42" s="261"/>
      <c r="WBN42" s="261"/>
      <c r="WBO42" s="261"/>
      <c r="WBP42" s="261"/>
      <c r="WBQ42" s="261"/>
      <c r="WBR42" s="261"/>
      <c r="WBS42" s="261"/>
      <c r="WBT42" s="261"/>
      <c r="WBU42" s="261"/>
      <c r="WBV42" s="261"/>
      <c r="WBW42" s="261"/>
      <c r="WBX42" s="261"/>
      <c r="WBY42" s="261"/>
      <c r="WBZ42" s="261"/>
      <c r="WCA42" s="261"/>
      <c r="WCB42" s="261"/>
      <c r="WCC42" s="261"/>
      <c r="WCD42" s="261"/>
      <c r="WCE42" s="261"/>
      <c r="WCF42" s="261"/>
      <c r="WCG42" s="261"/>
      <c r="WCH42" s="261"/>
      <c r="WCI42" s="261"/>
      <c r="WCJ42" s="261"/>
      <c r="WCK42" s="261"/>
      <c r="WCL42" s="261"/>
      <c r="WCM42" s="261"/>
      <c r="WCN42" s="261"/>
      <c r="WCO42" s="261"/>
      <c r="WCP42" s="261"/>
      <c r="WCQ42" s="261"/>
      <c r="WCR42" s="261"/>
      <c r="WCS42" s="261"/>
      <c r="WCT42" s="261"/>
      <c r="WCU42" s="261"/>
      <c r="WCV42" s="261"/>
      <c r="WCW42" s="261"/>
      <c r="WCX42" s="261"/>
      <c r="WCY42" s="261"/>
      <c r="WCZ42" s="261"/>
      <c r="WDA42" s="261"/>
      <c r="WDB42" s="261"/>
      <c r="WDC42" s="261"/>
      <c r="WDD42" s="261"/>
      <c r="WDE42" s="261"/>
      <c r="WDF42" s="261"/>
      <c r="WDG42" s="261"/>
      <c r="WDH42" s="261"/>
      <c r="WDI42" s="261"/>
      <c r="WDJ42" s="261"/>
      <c r="WDK42" s="261"/>
      <c r="WDL42" s="261"/>
      <c r="WDM42" s="261"/>
      <c r="WDN42" s="261"/>
      <c r="WDO42" s="261"/>
      <c r="WDP42" s="261"/>
      <c r="WDQ42" s="261"/>
      <c r="WDR42" s="261"/>
      <c r="WDS42" s="261"/>
      <c r="WDT42" s="261"/>
      <c r="WDU42" s="261"/>
      <c r="WDV42" s="261"/>
      <c r="WDW42" s="261"/>
      <c r="WDX42" s="261"/>
      <c r="WDY42" s="261"/>
      <c r="WDZ42" s="261"/>
      <c r="WEA42" s="261"/>
      <c r="WEB42" s="261"/>
      <c r="WEC42" s="261"/>
      <c r="WED42" s="261"/>
      <c r="WEE42" s="261"/>
      <c r="WEF42" s="261"/>
      <c r="WEG42" s="261"/>
      <c r="WEH42" s="261"/>
      <c r="WEI42" s="261"/>
      <c r="WEJ42" s="261"/>
      <c r="WEK42" s="261"/>
      <c r="WEL42" s="261"/>
      <c r="WEM42" s="261"/>
      <c r="WEN42" s="261"/>
      <c r="WEO42" s="261"/>
      <c r="WEP42" s="261"/>
      <c r="WEQ42" s="261"/>
      <c r="WER42" s="261"/>
      <c r="WES42" s="261"/>
      <c r="WET42" s="261"/>
      <c r="WEU42" s="261"/>
      <c r="WEV42" s="261"/>
      <c r="WEW42" s="261"/>
      <c r="WEX42" s="261"/>
      <c r="WEY42" s="261"/>
      <c r="WEZ42" s="261"/>
      <c r="WFA42" s="261"/>
      <c r="WFB42" s="261"/>
      <c r="WFC42" s="261"/>
      <c r="WFD42" s="261"/>
      <c r="WFE42" s="261"/>
      <c r="WFF42" s="261"/>
      <c r="WFG42" s="261"/>
      <c r="WFH42" s="261"/>
      <c r="WFI42" s="261"/>
      <c r="WFJ42" s="261"/>
      <c r="WFK42" s="261"/>
      <c r="WFL42" s="261"/>
      <c r="WFM42" s="261"/>
      <c r="WFN42" s="261"/>
      <c r="WFO42" s="261"/>
      <c r="WFP42" s="261"/>
      <c r="WFQ42" s="261"/>
      <c r="WFR42" s="261"/>
      <c r="WFS42" s="261"/>
      <c r="WFT42" s="261"/>
      <c r="WFU42" s="261"/>
      <c r="WFV42" s="261"/>
      <c r="WFW42" s="261"/>
      <c r="WFX42" s="261"/>
      <c r="WFY42" s="261"/>
      <c r="WFZ42" s="261"/>
      <c r="WGA42" s="261"/>
      <c r="WGB42" s="261"/>
      <c r="WGC42" s="261"/>
      <c r="WGD42" s="261"/>
      <c r="WGE42" s="261"/>
      <c r="WGF42" s="261"/>
      <c r="WGG42" s="261"/>
      <c r="WGH42" s="261"/>
      <c r="WGI42" s="261"/>
      <c r="WGJ42" s="261"/>
      <c r="WGK42" s="261"/>
      <c r="WGL42" s="261"/>
      <c r="WGM42" s="261"/>
      <c r="WGN42" s="261"/>
      <c r="WGO42" s="261"/>
      <c r="WGP42" s="261"/>
      <c r="WGQ42" s="261"/>
      <c r="WGR42" s="261"/>
      <c r="WGS42" s="261"/>
      <c r="WGT42" s="261"/>
      <c r="WGU42" s="261"/>
      <c r="WGV42" s="261"/>
      <c r="WGW42" s="261"/>
      <c r="WGX42" s="261"/>
      <c r="WGY42" s="261"/>
      <c r="WGZ42" s="261"/>
      <c r="WHA42" s="261"/>
      <c r="WHB42" s="261"/>
      <c r="WHC42" s="261"/>
      <c r="WHD42" s="261"/>
      <c r="WHE42" s="261"/>
      <c r="WHF42" s="261"/>
      <c r="WHG42" s="261"/>
      <c r="WHH42" s="261"/>
      <c r="WHI42" s="261"/>
      <c r="WHJ42" s="261"/>
      <c r="WHK42" s="261"/>
      <c r="WHL42" s="261"/>
      <c r="WHM42" s="261"/>
      <c r="WHN42" s="261"/>
      <c r="WHO42" s="261"/>
      <c r="WHP42" s="261"/>
      <c r="WHQ42" s="261"/>
      <c r="WHR42" s="261"/>
      <c r="WHS42" s="261"/>
      <c r="WHT42" s="261"/>
      <c r="WHU42" s="261"/>
      <c r="WHV42" s="261"/>
      <c r="WHW42" s="261"/>
      <c r="WHX42" s="261"/>
      <c r="WHY42" s="261"/>
      <c r="WHZ42" s="261"/>
      <c r="WIA42" s="261"/>
      <c r="WIB42" s="261"/>
      <c r="WIC42" s="261"/>
      <c r="WID42" s="261"/>
      <c r="WIE42" s="261"/>
      <c r="WIF42" s="261"/>
      <c r="WIG42" s="261"/>
      <c r="WIH42" s="261"/>
      <c r="WII42" s="261"/>
      <c r="WIJ42" s="261"/>
      <c r="WIK42" s="261"/>
      <c r="WIL42" s="261"/>
      <c r="WIM42" s="261"/>
      <c r="WIN42" s="261"/>
      <c r="WIO42" s="261"/>
      <c r="WIP42" s="261"/>
      <c r="WIQ42" s="261"/>
      <c r="WIR42" s="261"/>
      <c r="WIS42" s="261"/>
      <c r="WIT42" s="261"/>
      <c r="WIU42" s="261"/>
      <c r="WIV42" s="261"/>
      <c r="WIW42" s="261"/>
      <c r="WIX42" s="261"/>
      <c r="WIY42" s="261"/>
      <c r="WIZ42" s="261"/>
      <c r="WJA42" s="261"/>
      <c r="WJB42" s="261"/>
      <c r="WJC42" s="261"/>
      <c r="WJD42" s="261"/>
      <c r="WJE42" s="261"/>
      <c r="WJF42" s="261"/>
      <c r="WJG42" s="261"/>
      <c r="WJH42" s="261"/>
      <c r="WJI42" s="261"/>
      <c r="WJJ42" s="261"/>
      <c r="WJK42" s="261"/>
      <c r="WJL42" s="261"/>
      <c r="WJM42" s="261"/>
      <c r="WJN42" s="261"/>
      <c r="WJO42" s="261"/>
      <c r="WJP42" s="261"/>
      <c r="WJQ42" s="261"/>
      <c r="WJR42" s="261"/>
      <c r="WJS42" s="261"/>
      <c r="WJT42" s="261"/>
      <c r="WJU42" s="261"/>
      <c r="WJV42" s="261"/>
      <c r="WJW42" s="261"/>
      <c r="WJX42" s="261"/>
      <c r="WJY42" s="261"/>
      <c r="WJZ42" s="261"/>
      <c r="WKA42" s="261"/>
      <c r="WKB42" s="261"/>
      <c r="WKC42" s="261"/>
      <c r="WKD42" s="261"/>
      <c r="WKE42" s="261"/>
      <c r="WKF42" s="261"/>
      <c r="WKG42" s="261"/>
      <c r="WKH42" s="261"/>
      <c r="WKI42" s="261"/>
      <c r="WKJ42" s="261"/>
      <c r="WKK42" s="261"/>
      <c r="WKL42" s="261"/>
      <c r="WKM42" s="261"/>
      <c r="WKN42" s="261"/>
      <c r="WKO42" s="261"/>
      <c r="WKP42" s="261"/>
      <c r="WKQ42" s="261"/>
      <c r="WKR42" s="261"/>
      <c r="WKS42" s="261"/>
      <c r="WKT42" s="261"/>
      <c r="WKU42" s="261"/>
      <c r="WKV42" s="261"/>
      <c r="WKW42" s="261"/>
      <c r="WKX42" s="261"/>
      <c r="WKY42" s="261"/>
      <c r="WKZ42" s="261"/>
      <c r="WLA42" s="261"/>
      <c r="WLB42" s="261"/>
      <c r="WLC42" s="261"/>
      <c r="WLD42" s="261"/>
      <c r="WLE42" s="261"/>
      <c r="WLF42" s="261"/>
      <c r="WLG42" s="261"/>
      <c r="WLH42" s="261"/>
      <c r="WLI42" s="261"/>
      <c r="WLJ42" s="261"/>
      <c r="WLK42" s="261"/>
      <c r="WLL42" s="261"/>
      <c r="WLM42" s="261"/>
      <c r="WLN42" s="261"/>
      <c r="WLO42" s="261"/>
      <c r="WLP42" s="261"/>
      <c r="WLQ42" s="261"/>
      <c r="WLR42" s="261"/>
      <c r="WLS42" s="261"/>
      <c r="WLT42" s="261"/>
      <c r="WLU42" s="261"/>
      <c r="WLV42" s="261"/>
      <c r="WLW42" s="261"/>
      <c r="WLX42" s="261"/>
      <c r="WLY42" s="261"/>
      <c r="WLZ42" s="261"/>
      <c r="WMA42" s="261"/>
      <c r="WMB42" s="261"/>
      <c r="WMC42" s="261"/>
      <c r="WMD42" s="261"/>
      <c r="WME42" s="261"/>
      <c r="WMF42" s="261"/>
      <c r="WMG42" s="261"/>
      <c r="WMH42" s="261"/>
      <c r="WMI42" s="261"/>
      <c r="WMJ42" s="261"/>
      <c r="WMK42" s="261"/>
      <c r="WML42" s="261"/>
      <c r="WMM42" s="261"/>
      <c r="WMN42" s="261"/>
      <c r="WMO42" s="261"/>
      <c r="WMP42" s="261"/>
      <c r="WMQ42" s="261"/>
      <c r="WMR42" s="261"/>
      <c r="WMS42" s="261"/>
      <c r="WMT42" s="261"/>
      <c r="WMU42" s="261"/>
      <c r="WMV42" s="261"/>
      <c r="WMW42" s="261"/>
      <c r="WMX42" s="261"/>
      <c r="WMY42" s="261"/>
      <c r="WMZ42" s="261"/>
      <c r="WNA42" s="261"/>
      <c r="WNB42" s="261"/>
      <c r="WNC42" s="261"/>
      <c r="WND42" s="261"/>
      <c r="WNE42" s="261"/>
      <c r="WNF42" s="261"/>
      <c r="WNG42" s="261"/>
      <c r="WNH42" s="261"/>
      <c r="WNI42" s="261"/>
      <c r="WNJ42" s="261"/>
      <c r="WNK42" s="261"/>
      <c r="WNL42" s="261"/>
      <c r="WNM42" s="261"/>
      <c r="WNN42" s="261"/>
      <c r="WNO42" s="261"/>
      <c r="WNP42" s="261"/>
      <c r="WNQ42" s="261"/>
      <c r="WNR42" s="261"/>
      <c r="WNS42" s="261"/>
      <c r="WNT42" s="261"/>
      <c r="WNU42" s="261"/>
      <c r="WNV42" s="261"/>
      <c r="WNW42" s="261"/>
      <c r="WNX42" s="261"/>
      <c r="WNY42" s="261"/>
      <c r="WNZ42" s="261"/>
      <c r="WOA42" s="261"/>
      <c r="WOB42" s="261"/>
      <c r="WOC42" s="261"/>
      <c r="WOD42" s="261"/>
      <c r="WOE42" s="261"/>
      <c r="WOF42" s="261"/>
      <c r="WOG42" s="261"/>
      <c r="WOH42" s="261"/>
      <c r="WOI42" s="261"/>
      <c r="WOJ42" s="261"/>
      <c r="WOK42" s="261"/>
      <c r="WOL42" s="261"/>
      <c r="WOM42" s="261"/>
      <c r="WON42" s="261"/>
      <c r="WOO42" s="261"/>
      <c r="WOP42" s="261"/>
      <c r="WOQ42" s="261"/>
      <c r="WOR42" s="261"/>
      <c r="WOS42" s="261"/>
      <c r="WOT42" s="261"/>
      <c r="WOU42" s="261"/>
      <c r="WOV42" s="261"/>
      <c r="WOW42" s="261"/>
      <c r="WOX42" s="261"/>
      <c r="WOY42" s="261"/>
      <c r="WOZ42" s="261"/>
      <c r="WPA42" s="261"/>
      <c r="WPB42" s="261"/>
      <c r="WPC42" s="261"/>
      <c r="WPD42" s="261"/>
      <c r="WPE42" s="261"/>
      <c r="WPF42" s="261"/>
      <c r="WPG42" s="261"/>
      <c r="WPH42" s="261"/>
      <c r="WPI42" s="261"/>
      <c r="WPJ42" s="261"/>
      <c r="WPK42" s="261"/>
      <c r="WPL42" s="261"/>
      <c r="WPM42" s="261"/>
      <c r="WPN42" s="261"/>
      <c r="WPO42" s="261"/>
      <c r="WPP42" s="261"/>
      <c r="WPQ42" s="261"/>
      <c r="WPR42" s="261"/>
      <c r="WPS42" s="261"/>
      <c r="WPT42" s="261"/>
      <c r="WPU42" s="261"/>
      <c r="WPV42" s="261"/>
      <c r="WPW42" s="261"/>
      <c r="WPX42" s="261"/>
      <c r="WPY42" s="261"/>
      <c r="WPZ42" s="261"/>
      <c r="WQA42" s="261"/>
      <c r="WQB42" s="261"/>
      <c r="WQC42" s="261"/>
      <c r="WQD42" s="261"/>
      <c r="WQE42" s="261"/>
      <c r="WQF42" s="261"/>
      <c r="WQG42" s="261"/>
      <c r="WQH42" s="261"/>
      <c r="WQI42" s="261"/>
      <c r="WQJ42" s="261"/>
      <c r="WQK42" s="261"/>
      <c r="WQL42" s="261"/>
      <c r="WQM42" s="261"/>
      <c r="WQN42" s="261"/>
      <c r="WQO42" s="261"/>
      <c r="WQP42" s="261"/>
      <c r="WQQ42" s="261"/>
      <c r="WQR42" s="261"/>
      <c r="WQS42" s="261"/>
      <c r="WQT42" s="261"/>
      <c r="WQU42" s="261"/>
      <c r="WQV42" s="261"/>
      <c r="WQW42" s="261"/>
      <c r="WQX42" s="261"/>
      <c r="WQY42" s="261"/>
      <c r="WQZ42" s="261"/>
      <c r="WRA42" s="261"/>
      <c r="WRB42" s="261"/>
      <c r="WRC42" s="261"/>
      <c r="WRD42" s="261"/>
      <c r="WRE42" s="261"/>
      <c r="WRF42" s="261"/>
      <c r="WRG42" s="261"/>
      <c r="WRH42" s="261"/>
      <c r="WRI42" s="261"/>
      <c r="WRJ42" s="261"/>
      <c r="WRK42" s="261"/>
      <c r="WRL42" s="261"/>
      <c r="WRM42" s="261"/>
      <c r="WRN42" s="261"/>
      <c r="WRO42" s="261"/>
      <c r="WRP42" s="261"/>
      <c r="WRQ42" s="261"/>
      <c r="WRR42" s="261"/>
      <c r="WRS42" s="261"/>
      <c r="WRT42" s="261"/>
      <c r="WRU42" s="261"/>
      <c r="WRV42" s="261"/>
      <c r="WRW42" s="261"/>
      <c r="WRX42" s="261"/>
      <c r="WRY42" s="261"/>
      <c r="WRZ42" s="261"/>
      <c r="WSA42" s="261"/>
      <c r="WSB42" s="261"/>
      <c r="WSC42" s="261"/>
      <c r="WSD42" s="261"/>
      <c r="WSE42" s="261"/>
      <c r="WSF42" s="261"/>
      <c r="WSG42" s="261"/>
      <c r="WSH42" s="261"/>
      <c r="WSI42" s="261"/>
      <c r="WSJ42" s="261"/>
      <c r="WSK42" s="261"/>
      <c r="WSL42" s="261"/>
      <c r="WSM42" s="261"/>
      <c r="WSN42" s="261"/>
      <c r="WSO42" s="261"/>
      <c r="WSP42" s="261"/>
      <c r="WSQ42" s="261"/>
      <c r="WSR42" s="261"/>
      <c r="WSS42" s="261"/>
      <c r="WST42" s="261"/>
      <c r="WSU42" s="261"/>
      <c r="WSV42" s="261"/>
      <c r="WSW42" s="261"/>
      <c r="WSX42" s="261"/>
      <c r="WSY42" s="261"/>
      <c r="WSZ42" s="261"/>
      <c r="WTA42" s="261"/>
      <c r="WTB42" s="261"/>
      <c r="WTC42" s="261"/>
      <c r="WTD42" s="261"/>
      <c r="WTE42" s="261"/>
      <c r="WTF42" s="261"/>
      <c r="WTG42" s="261"/>
      <c r="WTH42" s="261"/>
      <c r="WTI42" s="261"/>
      <c r="WTJ42" s="261"/>
      <c r="WTK42" s="261"/>
      <c r="WTL42" s="261"/>
      <c r="WTM42" s="261"/>
      <c r="WTN42" s="261"/>
      <c r="WTO42" s="261"/>
      <c r="WTP42" s="261"/>
      <c r="WTQ42" s="261"/>
      <c r="WTR42" s="261"/>
      <c r="WTS42" s="261"/>
      <c r="WTT42" s="261"/>
      <c r="WTU42" s="261"/>
      <c r="WTV42" s="261"/>
      <c r="WTW42" s="261"/>
      <c r="WTX42" s="261"/>
      <c r="WTY42" s="261"/>
      <c r="WTZ42" s="261"/>
      <c r="WUA42" s="261"/>
      <c r="WUB42" s="261"/>
      <c r="WUC42" s="261"/>
      <c r="WUD42" s="261"/>
      <c r="WUE42" s="261"/>
      <c r="WUF42" s="261"/>
      <c r="WUG42" s="261"/>
      <c r="WUH42" s="261"/>
      <c r="WUI42" s="261"/>
      <c r="WUJ42" s="261"/>
      <c r="WUK42" s="261"/>
      <c r="WUL42" s="261"/>
      <c r="WUM42" s="261"/>
      <c r="WUN42" s="261"/>
      <c r="WUO42" s="261"/>
      <c r="WUP42" s="261"/>
      <c r="WUQ42" s="261"/>
      <c r="WUR42" s="261"/>
      <c r="WUS42" s="261"/>
      <c r="WUT42" s="261"/>
      <c r="WUU42" s="261"/>
      <c r="WUV42" s="261"/>
      <c r="WUW42" s="261"/>
      <c r="WUX42" s="261"/>
      <c r="WUY42" s="261"/>
      <c r="WUZ42" s="261"/>
      <c r="WVA42" s="261"/>
      <c r="WVB42" s="261"/>
      <c r="WVC42" s="261"/>
      <c r="WVD42" s="261"/>
      <c r="WVE42" s="261"/>
      <c r="WVF42" s="261"/>
      <c r="WVG42" s="261"/>
      <c r="WVH42" s="261"/>
      <c r="WVI42" s="261"/>
      <c r="WVJ42" s="261"/>
      <c r="WVK42" s="261"/>
      <c r="WVL42" s="261"/>
      <c r="WVM42" s="261"/>
      <c r="WVN42" s="261"/>
      <c r="WVO42" s="261"/>
      <c r="WVP42" s="261"/>
      <c r="WVQ42" s="261"/>
      <c r="WVR42" s="261"/>
      <c r="WVS42" s="261"/>
      <c r="WVT42" s="261"/>
      <c r="WVU42" s="261"/>
      <c r="WVV42" s="261"/>
      <c r="WVW42" s="261"/>
      <c r="WVX42" s="261"/>
      <c r="WVY42" s="261"/>
      <c r="WVZ42" s="261"/>
      <c r="WWA42" s="261"/>
      <c r="WWB42" s="261"/>
      <c r="WWC42" s="261"/>
      <c r="WWD42" s="261"/>
      <c r="WWE42" s="261"/>
      <c r="WWF42" s="261"/>
      <c r="WWG42" s="261"/>
      <c r="WWH42" s="261"/>
      <c r="WWI42" s="261"/>
      <c r="WWJ42" s="261"/>
      <c r="WWK42" s="261"/>
      <c r="WWL42" s="261"/>
      <c r="WWM42" s="261"/>
      <c r="WWN42" s="261"/>
      <c r="WWO42" s="261"/>
      <c r="WWP42" s="261"/>
      <c r="WWQ42" s="261"/>
      <c r="WWR42" s="261"/>
      <c r="WWS42" s="261"/>
      <c r="WWT42" s="261"/>
      <c r="WWU42" s="261"/>
      <c r="WWV42" s="261"/>
      <c r="WWW42" s="261"/>
      <c r="WWX42" s="261"/>
      <c r="WWY42" s="261"/>
      <c r="WWZ42" s="261"/>
      <c r="WXA42" s="261"/>
      <c r="WXB42" s="261"/>
      <c r="WXC42" s="261"/>
      <c r="WXD42" s="261"/>
      <c r="WXE42" s="261"/>
      <c r="WXF42" s="261"/>
      <c r="WXG42" s="261"/>
      <c r="WXH42" s="261"/>
      <c r="WXI42" s="261"/>
      <c r="WXJ42" s="261"/>
      <c r="WXK42" s="261"/>
      <c r="WXL42" s="261"/>
      <c r="WXM42" s="261"/>
      <c r="WXN42" s="261"/>
      <c r="WXO42" s="261"/>
      <c r="WXP42" s="261"/>
      <c r="WXQ42" s="261"/>
      <c r="WXR42" s="261"/>
      <c r="WXS42" s="261"/>
      <c r="WXT42" s="261"/>
      <c r="WXU42" s="261"/>
      <c r="WXV42" s="261"/>
      <c r="WXW42" s="261"/>
      <c r="WXX42" s="261"/>
      <c r="WXY42" s="261"/>
      <c r="WXZ42" s="261"/>
      <c r="WYA42" s="261"/>
      <c r="WYB42" s="261"/>
      <c r="WYC42" s="261"/>
      <c r="WYD42" s="261"/>
      <c r="WYE42" s="261"/>
      <c r="WYF42" s="261"/>
      <c r="WYG42" s="261"/>
      <c r="WYH42" s="261"/>
      <c r="WYI42" s="261"/>
      <c r="WYJ42" s="261"/>
      <c r="WYK42" s="261"/>
      <c r="WYL42" s="261"/>
      <c r="WYM42" s="261"/>
      <c r="WYN42" s="261"/>
      <c r="WYO42" s="261"/>
      <c r="WYP42" s="261"/>
      <c r="WYQ42" s="261"/>
      <c r="WYR42" s="261"/>
      <c r="WYS42" s="261"/>
      <c r="WYT42" s="261"/>
      <c r="WYU42" s="261"/>
      <c r="WYV42" s="261"/>
      <c r="WYW42" s="261"/>
      <c r="WYX42" s="261"/>
      <c r="WYY42" s="261"/>
      <c r="WYZ42" s="261"/>
      <c r="WZA42" s="261"/>
      <c r="WZB42" s="261"/>
      <c r="WZC42" s="261"/>
      <c r="WZD42" s="261"/>
      <c r="WZE42" s="261"/>
      <c r="WZF42" s="261"/>
      <c r="WZG42" s="261"/>
      <c r="WZH42" s="261"/>
      <c r="WZI42" s="261"/>
      <c r="WZJ42" s="261"/>
      <c r="WZK42" s="261"/>
      <c r="WZL42" s="261"/>
      <c r="WZM42" s="261"/>
      <c r="WZN42" s="261"/>
      <c r="WZO42" s="261"/>
      <c r="WZP42" s="261"/>
      <c r="WZQ42" s="261"/>
      <c r="WZR42" s="261"/>
      <c r="WZS42" s="261"/>
      <c r="WZT42" s="261"/>
      <c r="WZU42" s="261"/>
      <c r="WZV42" s="261"/>
      <c r="WZW42" s="261"/>
      <c r="WZX42" s="261"/>
      <c r="WZY42" s="261"/>
      <c r="WZZ42" s="261"/>
      <c r="XAA42" s="261"/>
      <c r="XAB42" s="261"/>
      <c r="XAC42" s="261"/>
      <c r="XAD42" s="261"/>
      <c r="XAE42" s="261"/>
      <c r="XAF42" s="261"/>
      <c r="XAG42" s="261"/>
      <c r="XAH42" s="261"/>
      <c r="XAI42" s="261"/>
      <c r="XAJ42" s="261"/>
      <c r="XAK42" s="261"/>
      <c r="XAL42" s="261"/>
      <c r="XAM42" s="261"/>
      <c r="XAN42" s="261"/>
      <c r="XAO42" s="261"/>
      <c r="XAP42" s="261"/>
      <c r="XAQ42" s="261"/>
      <c r="XAR42" s="261"/>
      <c r="XAS42" s="261"/>
      <c r="XAT42" s="261"/>
      <c r="XAU42" s="261"/>
      <c r="XAV42" s="261"/>
      <c r="XAW42" s="261"/>
      <c r="XAX42" s="261"/>
      <c r="XAY42" s="261"/>
      <c r="XAZ42" s="261"/>
      <c r="XBA42" s="261"/>
      <c r="XBB42" s="261"/>
      <c r="XBC42" s="261"/>
      <c r="XBD42" s="261"/>
      <c r="XBE42" s="261"/>
      <c r="XBF42" s="261"/>
      <c r="XBG42" s="261"/>
      <c r="XBH42" s="261"/>
      <c r="XBI42" s="261"/>
      <c r="XBJ42" s="261"/>
      <c r="XBK42" s="261"/>
      <c r="XBL42" s="261"/>
      <c r="XBM42" s="261"/>
      <c r="XBN42" s="261"/>
      <c r="XBO42" s="261"/>
      <c r="XBP42" s="261"/>
      <c r="XBQ42" s="261"/>
      <c r="XBR42" s="261"/>
      <c r="XBS42" s="261"/>
      <c r="XBT42" s="261"/>
      <c r="XBU42" s="261"/>
      <c r="XBV42" s="261"/>
      <c r="XBW42" s="261"/>
      <c r="XBX42" s="261"/>
      <c r="XBY42" s="261"/>
      <c r="XBZ42" s="261"/>
      <c r="XCA42" s="261"/>
      <c r="XCB42" s="261"/>
      <c r="XCC42" s="261"/>
      <c r="XCD42" s="261"/>
      <c r="XCE42" s="261"/>
      <c r="XCF42" s="261"/>
      <c r="XCG42" s="261"/>
      <c r="XCH42" s="261"/>
      <c r="XCI42" s="261"/>
      <c r="XCJ42" s="261"/>
      <c r="XCK42" s="261"/>
      <c r="XCL42" s="261"/>
      <c r="XCM42" s="261"/>
      <c r="XCN42" s="261"/>
      <c r="XCO42" s="261"/>
      <c r="XCP42" s="261"/>
      <c r="XCQ42" s="261"/>
      <c r="XCR42" s="261"/>
      <c r="XCS42" s="261"/>
      <c r="XCT42" s="261"/>
      <c r="XCU42" s="261"/>
      <c r="XCV42" s="261"/>
      <c r="XCW42" s="261"/>
      <c r="XCX42" s="261"/>
      <c r="XCY42" s="261"/>
      <c r="XCZ42" s="261"/>
      <c r="XDA42" s="261"/>
      <c r="XDB42" s="261"/>
      <c r="XDC42" s="261"/>
      <c r="XDD42" s="261"/>
      <c r="XDE42" s="261"/>
      <c r="XDF42" s="261"/>
      <c r="XDG42" s="261"/>
      <c r="XDH42" s="261"/>
      <c r="XDI42" s="261"/>
      <c r="XDJ42" s="261"/>
      <c r="XDK42" s="261"/>
      <c r="XDL42" s="261"/>
      <c r="XDM42" s="261"/>
      <c r="XDN42" s="261"/>
      <c r="XDO42" s="261"/>
      <c r="XDP42" s="261"/>
      <c r="XDQ42" s="261"/>
      <c r="XDR42" s="261"/>
      <c r="XDS42" s="261"/>
      <c r="XDT42" s="261"/>
      <c r="XDU42" s="261"/>
      <c r="XDV42" s="261"/>
      <c r="XDW42" s="261"/>
      <c r="XDX42" s="261"/>
      <c r="XDY42" s="261"/>
      <c r="XDZ42" s="261"/>
      <c r="XEA42" s="261"/>
      <c r="XEB42" s="261"/>
      <c r="XEC42" s="261"/>
      <c r="XED42" s="261"/>
      <c r="XEE42" s="261"/>
      <c r="XEF42" s="261"/>
      <c r="XEG42" s="261"/>
      <c r="XEH42" s="261"/>
      <c r="XEI42" s="261"/>
      <c r="XEJ42" s="261"/>
      <c r="XEK42" s="261"/>
      <c r="XEL42" s="261"/>
      <c r="XEM42" s="261"/>
      <c r="XEN42" s="261"/>
      <c r="XEO42" s="261"/>
      <c r="XEP42" s="261"/>
      <c r="XEQ42" s="261"/>
      <c r="XER42" s="261"/>
      <c r="XES42" s="261"/>
      <c r="XET42" s="261"/>
      <c r="XEU42" s="261"/>
      <c r="XEV42" s="261"/>
      <c r="XEW42" s="261"/>
      <c r="XEX42" s="261"/>
      <c r="XEY42" s="261"/>
      <c r="XEZ42" s="261"/>
      <c r="XFA42" s="261"/>
      <c r="XFB42" s="261"/>
      <c r="XFC42" s="261"/>
      <c r="XFD42" s="261"/>
    </row>
    <row r="44" spans="1:16384">
      <c r="B44" s="3821" t="s">
        <v>3261</v>
      </c>
    </row>
    <row r="46" spans="1:16384" ht="47.25">
      <c r="A46" s="4102" t="s">
        <v>84</v>
      </c>
      <c r="B46" s="4102" t="s">
        <v>81</v>
      </c>
      <c r="C46" s="3579" t="s">
        <v>3114</v>
      </c>
      <c r="D46" s="3579" t="s">
        <v>3117</v>
      </c>
      <c r="E46" s="3579" t="s">
        <v>3256</v>
      </c>
      <c r="F46" s="3579" t="s">
        <v>3318</v>
      </c>
      <c r="G46" s="3579" t="s">
        <v>3258</v>
      </c>
      <c r="H46" s="3579" t="s">
        <v>3259</v>
      </c>
      <c r="I46" s="3579" t="s">
        <v>3260</v>
      </c>
      <c r="J46" s="3579" t="s">
        <v>3262</v>
      </c>
    </row>
    <row r="47" spans="1:16384">
      <c r="A47" s="4153"/>
      <c r="B47" s="4153" t="s">
        <v>3255</v>
      </c>
      <c r="C47" s="4154"/>
      <c r="D47" s="4154"/>
      <c r="E47" s="4414"/>
      <c r="F47" s="4414"/>
      <c r="G47" s="4415"/>
      <c r="H47" s="4415"/>
      <c r="I47" s="4415"/>
      <c r="J47" s="4414"/>
    </row>
    <row r="48" spans="1:16384">
      <c r="A48" s="4155">
        <v>1</v>
      </c>
      <c r="B48" s="4155" t="s">
        <v>3122</v>
      </c>
      <c r="C48" s="4155">
        <v>108</v>
      </c>
      <c r="D48" s="4156">
        <v>0.62649999999999995</v>
      </c>
      <c r="E48" s="4413">
        <f>C48*D48</f>
        <v>67.661999999999992</v>
      </c>
      <c r="F48" s="1383">
        <v>0.08</v>
      </c>
      <c r="G48" s="257">
        <f>E48*(1-F48)</f>
        <v>62.249039999999994</v>
      </c>
      <c r="H48" s="1304">
        <f>[99]Assumptions!$E$78</f>
        <v>4.1270000000000001E-2</v>
      </c>
      <c r="I48" s="257">
        <f>G48*(1-H48)</f>
        <v>59.68002211919999</v>
      </c>
      <c r="J48" s="4414" t="s">
        <v>3264</v>
      </c>
    </row>
    <row r="49" spans="1:11">
      <c r="A49" s="4155">
        <f>A48+1</f>
        <v>2</v>
      </c>
      <c r="B49" s="4155" t="s">
        <v>3123</v>
      </c>
      <c r="C49" s="4155">
        <v>500</v>
      </c>
      <c r="D49" s="4156">
        <v>0.51170000000000004</v>
      </c>
      <c r="E49" s="3814">
        <f t="shared" ref="E49:E56" si="1">C49*D49</f>
        <v>255.85000000000002</v>
      </c>
      <c r="F49" s="1383">
        <v>0.06</v>
      </c>
      <c r="G49" s="257">
        <f t="shared" ref="G49:G56" si="2">E49*(1-F49)</f>
        <v>240.499</v>
      </c>
      <c r="H49" s="1304">
        <f>[99]Assumptions!$E$78</f>
        <v>4.1270000000000001E-2</v>
      </c>
      <c r="I49" s="257">
        <f t="shared" ref="I49:I56" si="3">G49*(1-H49)</f>
        <v>230.57360627</v>
      </c>
      <c r="J49" s="4414" t="s">
        <v>3263</v>
      </c>
    </row>
    <row r="50" spans="1:11">
      <c r="A50" s="4155"/>
      <c r="B50" s="4155" t="s">
        <v>3379</v>
      </c>
      <c r="C50" s="4155">
        <v>0</v>
      </c>
      <c r="D50" s="4156">
        <v>0.51170000000000004</v>
      </c>
      <c r="E50" s="3814">
        <f t="shared" si="1"/>
        <v>0</v>
      </c>
      <c r="F50" s="1383">
        <v>3.5000000000000003E-2</v>
      </c>
      <c r="G50" s="257">
        <f t="shared" si="2"/>
        <v>0</v>
      </c>
      <c r="H50" s="1304">
        <f>[99]Assumptions!$E$78</f>
        <v>4.1270000000000001E-2</v>
      </c>
      <c r="I50" s="257">
        <f t="shared" si="3"/>
        <v>0</v>
      </c>
      <c r="J50" s="4414" t="s">
        <v>3263</v>
      </c>
    </row>
    <row r="51" spans="1:11">
      <c r="A51" s="4155">
        <f>A49+1</f>
        <v>3</v>
      </c>
      <c r="B51" s="4155" t="s">
        <v>3380</v>
      </c>
      <c r="C51" s="4155">
        <f>500-C50</f>
        <v>500</v>
      </c>
      <c r="D51" s="4156">
        <v>0.51170000000000004</v>
      </c>
      <c r="E51" s="3814">
        <f t="shared" si="1"/>
        <v>255.85000000000002</v>
      </c>
      <c r="F51" s="1383">
        <v>3.5000000000000003E-2</v>
      </c>
      <c r="G51" s="257">
        <f t="shared" si="2"/>
        <v>246.89525</v>
      </c>
      <c r="H51" s="1304">
        <f>[99]Assumptions!$E$78</f>
        <v>4.1270000000000001E-2</v>
      </c>
      <c r="I51" s="257">
        <f t="shared" si="3"/>
        <v>236.7058830325</v>
      </c>
      <c r="J51" s="4414" t="s">
        <v>3264</v>
      </c>
      <c r="K51" s="4146"/>
    </row>
    <row r="52" spans="1:11">
      <c r="A52" s="4155">
        <f t="shared" ref="A52:A56" si="4">A51+1</f>
        <v>4</v>
      </c>
      <c r="B52" s="4155" t="s">
        <v>3125</v>
      </c>
      <c r="C52" s="4155">
        <v>180</v>
      </c>
      <c r="D52" s="4156">
        <v>0.51170000000000004</v>
      </c>
      <c r="E52" s="3814">
        <f t="shared" si="1"/>
        <v>92.106000000000009</v>
      </c>
      <c r="F52" s="1383">
        <v>0.03</v>
      </c>
      <c r="G52" s="257">
        <f t="shared" si="2"/>
        <v>89.342820000000003</v>
      </c>
      <c r="H52" s="1304">
        <f>[99]Assumptions!$E$78</f>
        <v>4.1270000000000001E-2</v>
      </c>
      <c r="I52" s="257">
        <f t="shared" si="3"/>
        <v>85.655641818600003</v>
      </c>
      <c r="J52" s="4414" t="s">
        <v>3263</v>
      </c>
    </row>
    <row r="53" spans="1:11">
      <c r="A53" s="4155">
        <f t="shared" si="4"/>
        <v>5</v>
      </c>
      <c r="B53" s="4155" t="s">
        <v>3126</v>
      </c>
      <c r="C53" s="4155">
        <v>250</v>
      </c>
      <c r="D53" s="4156">
        <v>0.4</v>
      </c>
      <c r="E53" s="3814">
        <f t="shared" si="1"/>
        <v>100</v>
      </c>
      <c r="F53" s="1383">
        <v>8.5000000000000006E-2</v>
      </c>
      <c r="G53" s="257">
        <f t="shared" si="2"/>
        <v>91.5</v>
      </c>
      <c r="H53" s="1304">
        <f>[99]Assumptions!$E$78</f>
        <v>4.1270000000000001E-2</v>
      </c>
      <c r="I53" s="257">
        <f t="shared" si="3"/>
        <v>87.723794999999996</v>
      </c>
      <c r="J53" s="4414" t="s">
        <v>3263</v>
      </c>
    </row>
    <row r="54" spans="1:11">
      <c r="A54" s="4155">
        <f t="shared" si="4"/>
        <v>6</v>
      </c>
      <c r="B54" s="4155" t="s">
        <v>3127</v>
      </c>
      <c r="C54" s="4155">
        <v>300</v>
      </c>
      <c r="D54" s="4156">
        <v>0.51170000000000004</v>
      </c>
      <c r="E54" s="3814">
        <f t="shared" si="1"/>
        <v>153.51000000000002</v>
      </c>
      <c r="F54" s="1383">
        <v>1.78E-2</v>
      </c>
      <c r="G54" s="257">
        <f t="shared" si="2"/>
        <v>150.777522</v>
      </c>
      <c r="H54" s="1304">
        <f>[99]Assumptions!$E$78</f>
        <v>4.1270000000000001E-2</v>
      </c>
      <c r="I54" s="257">
        <f t="shared" si="3"/>
        <v>144.55493366706</v>
      </c>
      <c r="J54" s="4414" t="s">
        <v>3264</v>
      </c>
    </row>
    <row r="55" spans="1:11">
      <c r="A55" s="4155">
        <f t="shared" si="4"/>
        <v>7</v>
      </c>
      <c r="B55" s="4155" t="s">
        <v>3128</v>
      </c>
      <c r="C55" s="4155">
        <v>75</v>
      </c>
      <c r="D55" s="4156">
        <v>0.51170000000000004</v>
      </c>
      <c r="E55" s="3814">
        <f t="shared" si="1"/>
        <v>38.377500000000005</v>
      </c>
      <c r="F55" s="1383">
        <v>1.78E-2</v>
      </c>
      <c r="G55" s="257">
        <f t="shared" si="2"/>
        <v>37.694380500000001</v>
      </c>
      <c r="H55" s="1304">
        <f>[99]Assumptions!$E$78</f>
        <v>4.1270000000000001E-2</v>
      </c>
      <c r="I55" s="257">
        <f t="shared" si="3"/>
        <v>36.138733416765</v>
      </c>
      <c r="J55" s="4414" t="s">
        <v>3264</v>
      </c>
    </row>
    <row r="56" spans="1:11">
      <c r="A56" s="4155">
        <f t="shared" si="4"/>
        <v>8</v>
      </c>
      <c r="B56" s="4155" t="s">
        <v>3129</v>
      </c>
      <c r="C56" s="4155">
        <v>72</v>
      </c>
      <c r="D56" s="4156">
        <v>0.51170000000000004</v>
      </c>
      <c r="E56" s="3814">
        <f t="shared" si="1"/>
        <v>36.842400000000005</v>
      </c>
      <c r="F56" s="1383">
        <v>1.78E-2</v>
      </c>
      <c r="G56" s="257">
        <f t="shared" si="2"/>
        <v>36.186605280000002</v>
      </c>
      <c r="H56" s="1304">
        <f>[99]Assumptions!$E$78</f>
        <v>4.1270000000000001E-2</v>
      </c>
      <c r="I56" s="257">
        <f t="shared" si="3"/>
        <v>34.693184080094397</v>
      </c>
      <c r="J56" s="4414" t="s">
        <v>3264</v>
      </c>
    </row>
    <row r="57" spans="1:11">
      <c r="A57" s="4155"/>
      <c r="B57" s="4155"/>
      <c r="C57" s="4155"/>
      <c r="D57" s="4156"/>
      <c r="E57" s="3814"/>
      <c r="F57" s="1383"/>
      <c r="G57" s="257"/>
      <c r="H57" s="1304"/>
      <c r="I57" s="257"/>
      <c r="J57" s="4414"/>
    </row>
    <row r="58" spans="1:11">
      <c r="A58" s="4155">
        <v>9</v>
      </c>
      <c r="B58" s="4155" t="s">
        <v>3266</v>
      </c>
      <c r="C58" s="4155"/>
      <c r="D58" s="4156"/>
      <c r="E58" s="3814"/>
      <c r="F58" s="1383"/>
      <c r="G58" s="257"/>
      <c r="H58" s="1304"/>
      <c r="I58" s="257"/>
      <c r="J58" s="4414"/>
    </row>
    <row r="59" spans="1:11">
      <c r="A59" s="4155">
        <f>A56+1</f>
        <v>9</v>
      </c>
      <c r="B59" s="4157" t="s">
        <v>47</v>
      </c>
      <c r="C59" s="4155">
        <f>SUM(C48:C56)</f>
        <v>1985</v>
      </c>
      <c r="D59" s="4155"/>
      <c r="E59" s="3814">
        <f>SUM(E48:E56)</f>
        <v>1000.1979000000001</v>
      </c>
      <c r="F59" s="4414"/>
      <c r="G59" s="3814">
        <f>SUM(G48:G56)</f>
        <v>955.14461777999986</v>
      </c>
      <c r="H59" s="4415"/>
      <c r="I59" s="3814">
        <f>SUM(I48:I56)</f>
        <v>915.7257994042194</v>
      </c>
      <c r="J59" s="4414"/>
    </row>
    <row r="62" spans="1:11">
      <c r="B62" s="3821" t="s">
        <v>3265</v>
      </c>
    </row>
    <row r="64" spans="1:11" ht="47.25">
      <c r="A64" s="4102" t="s">
        <v>84</v>
      </c>
      <c r="B64" s="4102" t="s">
        <v>81</v>
      </c>
      <c r="C64" s="3579" t="s">
        <v>3114</v>
      </c>
      <c r="D64" s="3579" t="s">
        <v>3117</v>
      </c>
      <c r="E64" s="3579" t="s">
        <v>3256</v>
      </c>
      <c r="F64" s="3579" t="s">
        <v>3257</v>
      </c>
      <c r="G64" s="3579" t="s">
        <v>3258</v>
      </c>
      <c r="H64" s="3579" t="s">
        <v>3259</v>
      </c>
      <c r="I64" s="3579" t="s">
        <v>3260</v>
      </c>
      <c r="J64" s="3579" t="s">
        <v>3262</v>
      </c>
    </row>
    <row r="65" spans="1:10">
      <c r="A65" s="4153"/>
      <c r="B65" s="4153" t="s">
        <v>3255</v>
      </c>
      <c r="C65" s="4154"/>
      <c r="D65" s="4154"/>
      <c r="E65" s="4414"/>
      <c r="F65" s="4414"/>
      <c r="G65" s="4415"/>
      <c r="H65" s="4415"/>
      <c r="I65" s="4415"/>
      <c r="J65" s="4414"/>
    </row>
    <row r="66" spans="1:10">
      <c r="A66" s="4155">
        <v>1</v>
      </c>
      <c r="B66" s="4155" t="s">
        <v>3122</v>
      </c>
      <c r="C66" s="4155">
        <v>108</v>
      </c>
      <c r="D66" s="4156">
        <v>0.62649999999999995</v>
      </c>
      <c r="E66" s="3814">
        <f>C66*D66</f>
        <v>67.661999999999992</v>
      </c>
      <c r="F66" s="1383">
        <v>0.08</v>
      </c>
      <c r="G66" s="257">
        <f>E66*(1-F66)</f>
        <v>62.249039999999994</v>
      </c>
      <c r="H66" s="1304">
        <f>[99]Assumptions!$F$78</f>
        <v>4.1011687999270068E-2</v>
      </c>
      <c r="I66" s="257">
        <f>G66*(1-H66)</f>
        <v>59.696101793265917</v>
      </c>
      <c r="J66" s="4414" t="s">
        <v>3264</v>
      </c>
    </row>
    <row r="67" spans="1:10">
      <c r="A67" s="4155">
        <f>A66+1</f>
        <v>2</v>
      </c>
      <c r="B67" s="4155" t="s">
        <v>3123</v>
      </c>
      <c r="C67" s="4155">
        <v>500</v>
      </c>
      <c r="D67" s="4156">
        <v>0.51170000000000004</v>
      </c>
      <c r="E67" s="3814">
        <f t="shared" ref="E67:E73" si="5">C67*D67</f>
        <v>255.85000000000002</v>
      </c>
      <c r="F67" s="1383">
        <v>0.06</v>
      </c>
      <c r="G67" s="257">
        <f t="shared" ref="G67:G76" si="6">E67*(1-F67)</f>
        <v>240.499</v>
      </c>
      <c r="H67" s="1304">
        <f>[99]Assumptions!$F$78</f>
        <v>4.1011687999270068E-2</v>
      </c>
      <c r="I67" s="257">
        <f t="shared" ref="I67:I75" si="7">G67*(1-H67)</f>
        <v>230.63573004786355</v>
      </c>
      <c r="J67" s="4414" t="s">
        <v>3263</v>
      </c>
    </row>
    <row r="68" spans="1:10">
      <c r="A68" s="4155">
        <f t="shared" ref="A68:A77" si="8">A67+1</f>
        <v>3</v>
      </c>
      <c r="B68" s="4155" t="s">
        <v>3124</v>
      </c>
      <c r="C68" s="4155">
        <v>500</v>
      </c>
      <c r="D68" s="4156">
        <v>0.51170000000000004</v>
      </c>
      <c r="E68" s="3814">
        <f t="shared" si="5"/>
        <v>255.85000000000002</v>
      </c>
      <c r="F68" s="1383">
        <v>3.5000000000000003E-2</v>
      </c>
      <c r="G68" s="257">
        <f t="shared" si="6"/>
        <v>246.89525</v>
      </c>
      <c r="H68" s="1304">
        <f>[99]Assumptions!$F$78</f>
        <v>4.1011687999270068E-2</v>
      </c>
      <c r="I68" s="257">
        <f t="shared" si="7"/>
        <v>236.76965903849825</v>
      </c>
      <c r="J68" s="4414" t="s">
        <v>3264</v>
      </c>
    </row>
    <row r="69" spans="1:10">
      <c r="A69" s="4155">
        <f t="shared" si="8"/>
        <v>4</v>
      </c>
      <c r="B69" s="4155" t="s">
        <v>3125</v>
      </c>
      <c r="C69" s="4155">
        <v>180</v>
      </c>
      <c r="D69" s="4156">
        <v>0.51170000000000004</v>
      </c>
      <c r="E69" s="3814">
        <f t="shared" si="5"/>
        <v>92.106000000000009</v>
      </c>
      <c r="F69" s="1383">
        <v>0.03</v>
      </c>
      <c r="G69" s="257">
        <f t="shared" si="6"/>
        <v>89.342820000000003</v>
      </c>
      <c r="H69" s="1304">
        <f>[99]Assumptions!$F$78</f>
        <v>4.1011687999270068E-2</v>
      </c>
      <c r="I69" s="257">
        <f t="shared" si="7"/>
        <v>85.678720141185067</v>
      </c>
      <c r="J69" s="4414" t="s">
        <v>3263</v>
      </c>
    </row>
    <row r="70" spans="1:10">
      <c r="A70" s="4155">
        <f t="shared" si="8"/>
        <v>5</v>
      </c>
      <c r="B70" s="4155" t="s">
        <v>3126</v>
      </c>
      <c r="C70" s="4155">
        <v>250</v>
      </c>
      <c r="D70" s="4156">
        <v>0.4</v>
      </c>
      <c r="E70" s="3814">
        <f t="shared" si="5"/>
        <v>100</v>
      </c>
      <c r="F70" s="1383">
        <v>8.5000000000000006E-2</v>
      </c>
      <c r="G70" s="257">
        <f t="shared" si="6"/>
        <v>91.5</v>
      </c>
      <c r="H70" s="1304">
        <f>[99]Assumptions!$F$78</f>
        <v>4.1011687999270068E-2</v>
      </c>
      <c r="I70" s="257">
        <f t="shared" si="7"/>
        <v>87.747430548066788</v>
      </c>
      <c r="J70" s="4414" t="s">
        <v>3263</v>
      </c>
    </row>
    <row r="71" spans="1:10">
      <c r="A71" s="4155">
        <f t="shared" si="8"/>
        <v>6</v>
      </c>
      <c r="B71" s="4155" t="s">
        <v>3127</v>
      </c>
      <c r="C71" s="4155">
        <v>300</v>
      </c>
      <c r="D71" s="4156">
        <v>0.51170000000000004</v>
      </c>
      <c r="E71" s="3814">
        <f t="shared" si="5"/>
        <v>153.51000000000002</v>
      </c>
      <c r="F71" s="1383">
        <v>1.78E-2</v>
      </c>
      <c r="G71" s="257">
        <f t="shared" si="6"/>
        <v>150.777522</v>
      </c>
      <c r="H71" s="1304">
        <f>[99]Assumptions!$F$78</f>
        <v>4.1011687999270068E-2</v>
      </c>
      <c r="I71" s="257">
        <f t="shared" si="7"/>
        <v>144.59388131043292</v>
      </c>
      <c r="J71" s="4414" t="s">
        <v>3264</v>
      </c>
    </row>
    <row r="72" spans="1:10">
      <c r="A72" s="4155">
        <f t="shared" si="8"/>
        <v>7</v>
      </c>
      <c r="B72" s="4155" t="s">
        <v>3128</v>
      </c>
      <c r="C72" s="4155">
        <v>75</v>
      </c>
      <c r="D72" s="4156">
        <v>0.51170000000000004</v>
      </c>
      <c r="E72" s="3814">
        <f t="shared" si="5"/>
        <v>38.377500000000005</v>
      </c>
      <c r="F72" s="1383">
        <v>1.78E-2</v>
      </c>
      <c r="G72" s="257">
        <f t="shared" si="6"/>
        <v>37.694380500000001</v>
      </c>
      <c r="H72" s="1304">
        <f>[99]Assumptions!$F$78</f>
        <v>4.1011687999270068E-2</v>
      </c>
      <c r="I72" s="257">
        <f t="shared" si="7"/>
        <v>36.14847032760823</v>
      </c>
      <c r="J72" s="4414" t="s">
        <v>3264</v>
      </c>
    </row>
    <row r="73" spans="1:10">
      <c r="A73" s="4155">
        <f t="shared" si="8"/>
        <v>8</v>
      </c>
      <c r="B73" s="4155" t="s">
        <v>3129</v>
      </c>
      <c r="C73" s="4155">
        <v>72</v>
      </c>
      <c r="D73" s="4156">
        <v>0.51170000000000004</v>
      </c>
      <c r="E73" s="3814">
        <f t="shared" si="5"/>
        <v>36.842400000000005</v>
      </c>
      <c r="F73" s="1383">
        <v>1.78E-2</v>
      </c>
      <c r="G73" s="257">
        <f t="shared" si="6"/>
        <v>36.186605280000002</v>
      </c>
      <c r="H73" s="1304">
        <f>[99]Assumptions!$F$78</f>
        <v>4.1011687999270068E-2</v>
      </c>
      <c r="I73" s="257">
        <f t="shared" si="7"/>
        <v>34.702531514503903</v>
      </c>
      <c r="J73" s="4414" t="s">
        <v>3264</v>
      </c>
    </row>
    <row r="74" spans="1:10">
      <c r="A74" s="4155"/>
      <c r="B74" s="4155"/>
      <c r="C74" s="4155"/>
      <c r="D74" s="4156"/>
      <c r="E74" s="3814"/>
      <c r="F74" s="1383"/>
      <c r="G74" s="257"/>
      <c r="H74" s="1304"/>
      <c r="I74" s="257"/>
      <c r="J74" s="4414"/>
    </row>
    <row r="75" spans="1:10">
      <c r="A75" s="4155">
        <f>A73+1</f>
        <v>9</v>
      </c>
      <c r="B75" s="4155" t="s">
        <v>3266</v>
      </c>
      <c r="C75" s="4155">
        <f>50*0</f>
        <v>0</v>
      </c>
      <c r="D75" s="4156">
        <v>1</v>
      </c>
      <c r="E75" s="3814">
        <f>C75*D75</f>
        <v>0</v>
      </c>
      <c r="F75" s="1383">
        <v>0.1</v>
      </c>
      <c r="G75" s="257">
        <f t="shared" si="6"/>
        <v>0</v>
      </c>
      <c r="H75" s="1304">
        <f>[99]Assumptions!$F$78</f>
        <v>4.1011687999270068E-2</v>
      </c>
      <c r="I75" s="257">
        <f t="shared" si="7"/>
        <v>0</v>
      </c>
      <c r="J75" s="4414" t="s">
        <v>3263</v>
      </c>
    </row>
    <row r="76" spans="1:10">
      <c r="A76" s="4155">
        <f t="shared" si="8"/>
        <v>10</v>
      </c>
      <c r="B76" s="4155" t="s">
        <v>3267</v>
      </c>
      <c r="C76" s="4155">
        <v>20</v>
      </c>
      <c r="D76" s="4156">
        <v>1</v>
      </c>
      <c r="E76" s="3814">
        <f>C76*D76</f>
        <v>20</v>
      </c>
      <c r="F76" s="1383">
        <v>0</v>
      </c>
      <c r="G76" s="257">
        <f t="shared" si="6"/>
        <v>20</v>
      </c>
      <c r="H76" s="1304">
        <f>[99]Assumptions!$F$78</f>
        <v>4.1011687999270068E-2</v>
      </c>
      <c r="I76" s="257">
        <f>G76*(1-H76)</f>
        <v>19.179766240014601</v>
      </c>
      <c r="J76" s="4414" t="s">
        <v>3264</v>
      </c>
    </row>
    <row r="77" spans="1:10">
      <c r="A77" s="4155">
        <f t="shared" si="8"/>
        <v>11</v>
      </c>
      <c r="B77" s="4157" t="s">
        <v>47</v>
      </c>
      <c r="C77" s="3814">
        <f>SUM(C66:C76)</f>
        <v>2005</v>
      </c>
      <c r="D77" s="3814"/>
      <c r="E77" s="3814">
        <f>SUM(E66:E76)</f>
        <v>1020.1979000000001</v>
      </c>
      <c r="F77" s="3814"/>
      <c r="G77" s="3814">
        <f>SUM(G66:G76)</f>
        <v>975.14461777999986</v>
      </c>
      <c r="H77" s="3814"/>
      <c r="I77" s="3814">
        <f>SUM(I66:I76)</f>
        <v>935.15229096143923</v>
      </c>
      <c r="J77" s="4414"/>
    </row>
    <row r="79" spans="1:10">
      <c r="B79" s="3821" t="s">
        <v>3268</v>
      </c>
      <c r="E79" s="4374" t="s">
        <v>3325</v>
      </c>
    </row>
    <row r="80" spans="1:10">
      <c r="A80" s="4102" t="s">
        <v>84</v>
      </c>
      <c r="B80" s="4102" t="s">
        <v>81</v>
      </c>
      <c r="C80" s="3579" t="s">
        <v>82</v>
      </c>
      <c r="D80" s="3579" t="s">
        <v>1845</v>
      </c>
      <c r="E80" s="3579" t="s">
        <v>82</v>
      </c>
      <c r="F80" s="3579" t="s">
        <v>1845</v>
      </c>
    </row>
    <row r="81" spans="1:6">
      <c r="A81" s="3881">
        <v>1</v>
      </c>
      <c r="B81" s="3880" t="s">
        <v>3269</v>
      </c>
      <c r="C81" s="4413">
        <f>'[100]Supply Availability'!C71</f>
        <v>882.52894027699995</v>
      </c>
      <c r="D81" s="4413">
        <f>'[100]Supply Availability'!D71</f>
        <v>876.84118040099997</v>
      </c>
      <c r="E81" s="4413">
        <f>C81/(1-E$85)</f>
        <v>920.5475542682799</v>
      </c>
      <c r="F81" s="4413">
        <f>D81/(1-F$85)</f>
        <v>914.13801126042529</v>
      </c>
    </row>
    <row r="82" spans="1:6">
      <c r="A82" s="3881">
        <f>A81+1</f>
        <v>2</v>
      </c>
      <c r="B82" s="3880" t="s">
        <v>3263</v>
      </c>
      <c r="C82" s="4413">
        <v>403.49</v>
      </c>
      <c r="D82" s="4413">
        <v>400.47</v>
      </c>
      <c r="E82" s="4413">
        <f>C82/(1-E$85)</f>
        <v>420.87201418587671</v>
      </c>
      <c r="F82" s="4413">
        <f>D82/(1-F$85)</f>
        <v>417.50417014178481</v>
      </c>
    </row>
    <row r="83" spans="1:6">
      <c r="A83" s="3881">
        <f t="shared" ref="A83" si="9">A82+1</f>
        <v>3</v>
      </c>
      <c r="B83" s="3880" t="s">
        <v>3264</v>
      </c>
      <c r="C83" s="4413">
        <f>C81-C82</f>
        <v>479.03894027699994</v>
      </c>
      <c r="D83" s="5358">
        <f>D81-D82</f>
        <v>476.37118040099995</v>
      </c>
      <c r="E83" s="4413">
        <f t="shared" ref="E83" si="10">C83/(1-E$85)</f>
        <v>499.67554008240319</v>
      </c>
      <c r="F83" s="4413">
        <f>D83/(1-F$85)</f>
        <v>496.63384111864048</v>
      </c>
    </row>
    <row r="84" spans="1:6">
      <c r="A84" s="4342"/>
      <c r="B84" s="3153"/>
      <c r="C84" s="4375"/>
      <c r="D84" s="4375"/>
      <c r="E84" s="4342"/>
      <c r="F84" s="4375"/>
    </row>
    <row r="85" spans="1:6">
      <c r="A85" s="4342"/>
      <c r="B85" s="3153"/>
      <c r="C85" s="4375"/>
      <c r="D85" s="4375"/>
      <c r="E85" s="4376">
        <v>4.1300000000000003E-2</v>
      </c>
      <c r="F85" s="4377">
        <v>4.0800000000000003E-2</v>
      </c>
    </row>
    <row r="86" spans="1:6">
      <c r="B86" s="260"/>
    </row>
    <row r="87" spans="1:6">
      <c r="B87" s="3789" t="s">
        <v>2966</v>
      </c>
      <c r="C87" s="3814">
        <f>'SalesProjection Workings'!L27</f>
        <v>4392.9450818100013</v>
      </c>
      <c r="D87" s="3814">
        <f>'SalesProjection Workings'!M27</f>
        <v>4351.5211695900007</v>
      </c>
    </row>
    <row r="88" spans="1:6">
      <c r="B88" s="3789" t="s">
        <v>3324</v>
      </c>
      <c r="C88" s="1679">
        <f>C87/(C81*365*24/1000)</f>
        <v>0.56822810695326254</v>
      </c>
      <c r="D88" s="1679">
        <f>D87/(D81*365*24/1000)</f>
        <v>0.56652105656711282</v>
      </c>
    </row>
    <row r="89" spans="1:6">
      <c r="B89" s="260"/>
      <c r="C89" s="4161">
        <f>C88*C81</f>
        <v>501.47774906506856</v>
      </c>
      <c r="D89" s="4161">
        <f>D88*D81</f>
        <v>496.74899196232889</v>
      </c>
    </row>
    <row r="90" spans="1:6">
      <c r="B90" s="260"/>
    </row>
    <row r="91" spans="1:6">
      <c r="B91" s="260"/>
    </row>
  </sheetData>
  <mergeCells count="15">
    <mergeCell ref="A28:A29"/>
    <mergeCell ref="B28:B29"/>
    <mergeCell ref="B1:F1"/>
    <mergeCell ref="B2:F2"/>
    <mergeCell ref="B3:F3"/>
    <mergeCell ref="C28:D28"/>
    <mergeCell ref="E28:F28"/>
    <mergeCell ref="M6:N6"/>
    <mergeCell ref="C6:D6"/>
    <mergeCell ref="E6:F6"/>
    <mergeCell ref="B6:B7"/>
    <mergeCell ref="A6:A7"/>
    <mergeCell ref="I6:I7"/>
    <mergeCell ref="J6:J7"/>
    <mergeCell ref="K6:L6"/>
  </mergeCells>
  <printOptions horizontalCentered="1"/>
  <pageMargins left="0.28999999999999998" right="0.7" top="0.89" bottom="0.17" header="0.3" footer="0.16"/>
  <pageSetup paperSize="9" scale="71" orientation="landscape" r:id="rId1"/>
</worksheet>
</file>

<file path=xl/worksheets/sheet54.xml><?xml version="1.0" encoding="utf-8"?>
<worksheet xmlns="http://schemas.openxmlformats.org/spreadsheetml/2006/main" xmlns:r="http://schemas.openxmlformats.org/officeDocument/2006/relationships">
  <sheetPr codeName="Sheet36">
    <pageSetUpPr fitToPage="1"/>
  </sheetPr>
  <dimension ref="B1:L18"/>
  <sheetViews>
    <sheetView showGridLines="0" view="pageBreakPreview" zoomScale="70" zoomScaleSheetLayoutView="70" workbookViewId="0">
      <selection activeCell="I1" sqref="I1:L1048576"/>
    </sheetView>
  </sheetViews>
  <sheetFormatPr defaultRowHeight="15.75"/>
  <cols>
    <col min="1" max="1" width="2.5703125" style="254" customWidth="1"/>
    <col min="2" max="2" width="9.140625" style="254"/>
    <col min="3" max="3" width="49.140625" style="254" customWidth="1"/>
    <col min="4" max="4" width="18.5703125" style="254" hidden="1" customWidth="1"/>
    <col min="5" max="5" width="18.28515625" style="254" customWidth="1"/>
    <col min="6" max="6" width="15.140625" style="254" customWidth="1"/>
    <col min="7" max="7" width="16" style="254" customWidth="1"/>
    <col min="8" max="8" width="14.7109375" style="254" customWidth="1"/>
    <col min="9" max="9" width="15" style="254" hidden="1" customWidth="1"/>
    <col min="10" max="10" width="16.5703125" style="254" hidden="1" customWidth="1"/>
    <col min="11" max="11" width="14.7109375" style="254" hidden="1" customWidth="1"/>
    <col min="12" max="12" width="13.85546875" style="254" hidden="1" customWidth="1"/>
    <col min="13" max="16384" width="9.140625" style="254"/>
  </cols>
  <sheetData>
    <row r="1" spans="2:12" ht="15.75" customHeight="1">
      <c r="B1" s="5688" t="s">
        <v>100</v>
      </c>
      <c r="C1" s="5688"/>
      <c r="D1" s="5688"/>
      <c r="E1" s="5688"/>
      <c r="F1" s="5688"/>
      <c r="G1" s="5688"/>
      <c r="H1" s="5688"/>
      <c r="I1" s="5329"/>
      <c r="J1" s="5329"/>
      <c r="K1" s="5329"/>
      <c r="L1" s="5329"/>
    </row>
    <row r="2" spans="2:12" ht="15.75" customHeight="1">
      <c r="B2" s="5840" t="s">
        <v>3915</v>
      </c>
      <c r="C2" s="5840"/>
      <c r="D2" s="5840"/>
      <c r="E2" s="5840"/>
      <c r="F2" s="5840"/>
      <c r="G2" s="5840"/>
      <c r="H2" s="5840"/>
      <c r="I2" s="3577"/>
      <c r="J2" s="3577"/>
      <c r="K2" s="3577"/>
      <c r="L2" s="3577"/>
    </row>
    <row r="3" spans="2:12" ht="16.5" customHeight="1">
      <c r="B3" s="5840" t="s">
        <v>3507</v>
      </c>
      <c r="C3" s="5840"/>
      <c r="D3" s="5840"/>
      <c r="E3" s="5840"/>
      <c r="F3" s="5840"/>
      <c r="G3" s="5840"/>
      <c r="H3" s="5840"/>
      <c r="I3" s="3577"/>
      <c r="J3" s="3577"/>
      <c r="K3" s="3577"/>
      <c r="L3" s="3577"/>
    </row>
    <row r="4" spans="2:12" ht="16.5" customHeight="1">
      <c r="B4" s="4475"/>
      <c r="C4" s="4475"/>
      <c r="D4" s="4475"/>
      <c r="E4" s="4475"/>
      <c r="F4" s="4475"/>
      <c r="G4" s="4475"/>
      <c r="H4" s="4475"/>
      <c r="I4" s="4475"/>
      <c r="J4" s="4475"/>
      <c r="K4" s="4475"/>
      <c r="L4" s="4475"/>
    </row>
    <row r="5" spans="2:12">
      <c r="B5" s="3800"/>
      <c r="C5" s="3800"/>
      <c r="D5" s="3800"/>
      <c r="E5" s="3576"/>
      <c r="F5" s="3577"/>
      <c r="G5" s="3576"/>
      <c r="H5" s="3577" t="s">
        <v>151</v>
      </c>
    </row>
    <row r="6" spans="2:12">
      <c r="B6" s="5450" t="s">
        <v>651</v>
      </c>
      <c r="C6" s="5450" t="s">
        <v>81</v>
      </c>
      <c r="D6" s="5450" t="s">
        <v>2023</v>
      </c>
      <c r="E6" s="5842" t="s">
        <v>82</v>
      </c>
      <c r="F6" s="5843"/>
      <c r="G6" s="5842" t="s">
        <v>1845</v>
      </c>
      <c r="H6" s="5843"/>
      <c r="I6" s="5846" t="s">
        <v>2613</v>
      </c>
      <c r="J6" s="5846"/>
      <c r="K6" s="5846"/>
      <c r="L6" s="5846"/>
    </row>
    <row r="7" spans="2:12">
      <c r="B7" s="5451"/>
      <c r="C7" s="5451"/>
      <c r="D7" s="5452"/>
      <c r="E7" s="5844"/>
      <c r="F7" s="5845"/>
      <c r="G7" s="5844"/>
      <c r="H7" s="5845"/>
      <c r="I7" s="5841" t="s">
        <v>2442</v>
      </c>
      <c r="J7" s="5841"/>
      <c r="K7" s="5841" t="s">
        <v>2443</v>
      </c>
      <c r="L7" s="5841"/>
    </row>
    <row r="8" spans="2:12" s="261" customFormat="1" ht="51.75" customHeight="1">
      <c r="B8" s="5452"/>
      <c r="C8" s="5452"/>
      <c r="D8" s="3795" t="s">
        <v>98</v>
      </c>
      <c r="E8" s="3795" t="s">
        <v>755</v>
      </c>
      <c r="F8" s="4647" t="s">
        <v>96</v>
      </c>
      <c r="G8" s="3795" t="s">
        <v>755</v>
      </c>
      <c r="H8" s="4647" t="s">
        <v>96</v>
      </c>
      <c r="I8" s="3795" t="s">
        <v>755</v>
      </c>
      <c r="J8" s="4647" t="s">
        <v>3399</v>
      </c>
      <c r="K8" s="3795" t="s">
        <v>755</v>
      </c>
      <c r="L8" s="4647" t="s">
        <v>3399</v>
      </c>
    </row>
    <row r="9" spans="2:12">
      <c r="B9" s="3806">
        <v>1</v>
      </c>
      <c r="C9" s="481" t="s">
        <v>1978</v>
      </c>
      <c r="D9" s="3806">
        <v>112.59</v>
      </c>
      <c r="E9" s="3806">
        <v>193.07</v>
      </c>
      <c r="F9" s="3578">
        <f>Assumptions!$E$6</f>
        <v>126.25000000000001</v>
      </c>
      <c r="G9" s="3808">
        <v>297.27999999999997</v>
      </c>
      <c r="H9" s="3578">
        <f>Assumptions!$F$6</f>
        <v>99.952000000000012</v>
      </c>
      <c r="I9" s="1924"/>
      <c r="J9" s="3807"/>
      <c r="K9" s="3807"/>
      <c r="L9" s="3807"/>
    </row>
    <row r="10" spans="2:12">
      <c r="B10" s="3806">
        <f>B9+1</f>
        <v>2</v>
      </c>
      <c r="C10" s="481" t="s">
        <v>717</v>
      </c>
      <c r="D10" s="3806">
        <v>0</v>
      </c>
      <c r="E10" s="3578">
        <v>0.83</v>
      </c>
      <c r="F10" s="3578">
        <f>Assumptions!$E$7</f>
        <v>0.83</v>
      </c>
      <c r="G10" s="1863">
        <v>0</v>
      </c>
      <c r="H10" s="3578">
        <f>Assumptions!$F$7</f>
        <v>1.3140050000000001</v>
      </c>
      <c r="I10" s="1924"/>
      <c r="J10" s="3807"/>
      <c r="K10" s="3807"/>
      <c r="L10" s="3807"/>
    </row>
    <row r="11" spans="2:12">
      <c r="B11" s="3806">
        <f t="shared" ref="B11:B13" si="0">B10+1</f>
        <v>3</v>
      </c>
      <c r="C11" s="481" t="s">
        <v>1979</v>
      </c>
      <c r="D11" s="3806">
        <v>7.78</v>
      </c>
      <c r="E11" s="3806">
        <v>9.59</v>
      </c>
      <c r="F11" s="3578">
        <f>Assumptions!$E$11</f>
        <v>8.3699999999999992</v>
      </c>
      <c r="G11" s="3806">
        <v>12</v>
      </c>
      <c r="H11" s="3578">
        <f>Assumptions!$F$11</f>
        <v>8.24</v>
      </c>
      <c r="I11" s="1924"/>
      <c r="J11" s="3807"/>
      <c r="K11" s="3807"/>
      <c r="L11" s="3807"/>
    </row>
    <row r="12" spans="2:12">
      <c r="B12" s="3806">
        <f t="shared" si="0"/>
        <v>4</v>
      </c>
      <c r="C12" s="481" t="s">
        <v>1980</v>
      </c>
      <c r="D12" s="3806">
        <v>0</v>
      </c>
      <c r="E12" s="3806">
        <v>0</v>
      </c>
      <c r="F12" s="3578">
        <f>Assumptions!$E$13</f>
        <v>0</v>
      </c>
      <c r="G12" s="481">
        <v>0</v>
      </c>
      <c r="H12" s="3578">
        <f>Assumptions!$F$13</f>
        <v>0</v>
      </c>
      <c r="I12" s="3807"/>
      <c r="J12" s="3807"/>
      <c r="K12" s="3807"/>
      <c r="L12" s="3807"/>
    </row>
    <row r="13" spans="2:12">
      <c r="B13" s="3806">
        <f t="shared" si="0"/>
        <v>5</v>
      </c>
      <c r="C13" s="481" t="s">
        <v>1981</v>
      </c>
      <c r="D13" s="3806">
        <f>D9-D11-D12</f>
        <v>104.81</v>
      </c>
      <c r="E13" s="3578">
        <f>E9+E10-E11-E12</f>
        <v>184.31</v>
      </c>
      <c r="F13" s="3578">
        <f>F9+F10-F11-F12</f>
        <v>118.71000000000001</v>
      </c>
      <c r="G13" s="3578">
        <f t="shared" ref="G13:H13" si="1">G9+G10-G11-G12</f>
        <v>285.27999999999997</v>
      </c>
      <c r="H13" s="3578">
        <f t="shared" si="1"/>
        <v>93.026005000000012</v>
      </c>
      <c r="I13" s="1924"/>
      <c r="J13" s="3807"/>
      <c r="K13" s="3807"/>
      <c r="L13" s="3807"/>
    </row>
    <row r="14" spans="2:12">
      <c r="B14" s="3806"/>
      <c r="C14" s="481"/>
      <c r="D14" s="3806"/>
      <c r="E14" s="3578"/>
      <c r="F14" s="3578"/>
      <c r="G14" s="3578"/>
      <c r="H14" s="3578"/>
      <c r="I14" s="1924"/>
      <c r="J14" s="3807"/>
      <c r="K14" s="3807"/>
      <c r="L14" s="3807"/>
    </row>
    <row r="15" spans="2:12">
      <c r="B15" s="3806">
        <v>1</v>
      </c>
      <c r="C15" s="481" t="s">
        <v>1982</v>
      </c>
      <c r="D15" s="4537">
        <v>87.99</v>
      </c>
      <c r="E15" s="4540">
        <v>87.994444400000006</v>
      </c>
      <c r="F15" s="4537">
        <v>87.99</v>
      </c>
      <c r="G15" s="4537">
        <f>'ROIF13-14'!F11</f>
        <v>87.99</v>
      </c>
      <c r="H15" s="4537">
        <f>'ROIF13-14'!H11</f>
        <v>87.99</v>
      </c>
      <c r="I15" s="4538">
        <v>87.99</v>
      </c>
      <c r="J15" s="4538">
        <f>H15</f>
        <v>87.99</v>
      </c>
      <c r="K15" s="4538">
        <v>87.99</v>
      </c>
      <c r="L15" s="4538">
        <f>J15</f>
        <v>87.99</v>
      </c>
    </row>
    <row r="16" spans="2:12">
      <c r="B16" s="3806">
        <f>B15+1</f>
        <v>2</v>
      </c>
      <c r="C16" s="481" t="s">
        <v>2889</v>
      </c>
      <c r="D16" s="4537">
        <f>D12</f>
        <v>0</v>
      </c>
      <c r="E16" s="4537">
        <f t="shared" ref="E16:L16" si="2">E12</f>
        <v>0</v>
      </c>
      <c r="F16" s="4537">
        <f t="shared" si="2"/>
        <v>0</v>
      </c>
      <c r="G16" s="4537">
        <f t="shared" si="2"/>
        <v>0</v>
      </c>
      <c r="H16" s="4537">
        <f t="shared" si="2"/>
        <v>0</v>
      </c>
      <c r="I16" s="4537">
        <f t="shared" si="2"/>
        <v>0</v>
      </c>
      <c r="J16" s="4537">
        <f t="shared" si="2"/>
        <v>0</v>
      </c>
      <c r="K16" s="4537">
        <f t="shared" si="2"/>
        <v>0</v>
      </c>
      <c r="L16" s="4537">
        <f t="shared" si="2"/>
        <v>0</v>
      </c>
    </row>
    <row r="17" spans="2:12">
      <c r="B17" s="3806">
        <f t="shared" ref="B17:B18" si="3">B16+1</f>
        <v>3</v>
      </c>
      <c r="C17" s="481" t="s">
        <v>2890</v>
      </c>
      <c r="D17" s="4539">
        <f>Assumptions!$E$59</f>
        <v>0.06</v>
      </c>
      <c r="E17" s="4539">
        <f>Assumptions!$E$59</f>
        <v>0.06</v>
      </c>
      <c r="F17" s="4539">
        <f>Assumptions!$E$59</f>
        <v>0.06</v>
      </c>
      <c r="G17" s="4539">
        <f>Assumptions!$F$59</f>
        <v>0.06</v>
      </c>
      <c r="H17" s="4539">
        <f>Assumptions!$F$59</f>
        <v>0.06</v>
      </c>
      <c r="I17" s="4539">
        <f>Assumptions!$F$59</f>
        <v>0.06</v>
      </c>
      <c r="J17" s="4539">
        <f>Assumptions!$F$59</f>
        <v>0.06</v>
      </c>
      <c r="K17" s="4539">
        <f>Assumptions!$F$59</f>
        <v>0.06</v>
      </c>
      <c r="L17" s="4539">
        <f>Assumptions!$F$59</f>
        <v>0.06</v>
      </c>
    </row>
    <row r="18" spans="2:12">
      <c r="B18" s="3806">
        <f t="shared" si="3"/>
        <v>4</v>
      </c>
      <c r="C18" s="481" t="s">
        <v>2062</v>
      </c>
      <c r="D18" s="4540">
        <f>D15*D17</f>
        <v>5.2793999999999999</v>
      </c>
      <c r="E18" s="4540">
        <f t="shared" ref="E18:H18" si="4">E15*E17</f>
        <v>5.2796666640000005</v>
      </c>
      <c r="F18" s="4540">
        <f t="shared" si="4"/>
        <v>5.2793999999999999</v>
      </c>
      <c r="G18" s="4540">
        <f t="shared" si="4"/>
        <v>5.2793999999999999</v>
      </c>
      <c r="H18" s="4540">
        <f t="shared" si="4"/>
        <v>5.2793999999999999</v>
      </c>
      <c r="I18" s="4065">
        <f>I17*I15</f>
        <v>5.2793999999999999</v>
      </c>
      <c r="J18" s="4065">
        <f t="shared" ref="J18:L18" si="5">J17*J15</f>
        <v>5.2793999999999999</v>
      </c>
      <c r="K18" s="4065">
        <f t="shared" si="5"/>
        <v>5.2793999999999999</v>
      </c>
      <c r="L18" s="4065">
        <f t="shared" si="5"/>
        <v>5.2793999999999999</v>
      </c>
    </row>
  </sheetData>
  <mergeCells count="11">
    <mergeCell ref="B1:H1"/>
    <mergeCell ref="B2:H2"/>
    <mergeCell ref="B3:H3"/>
    <mergeCell ref="I7:J7"/>
    <mergeCell ref="K7:L7"/>
    <mergeCell ref="B6:B8"/>
    <mergeCell ref="C6:C8"/>
    <mergeCell ref="D6:D7"/>
    <mergeCell ref="E6:F7"/>
    <mergeCell ref="G6:H7"/>
    <mergeCell ref="I6:L6"/>
  </mergeCells>
  <printOptions horizontalCentered="1"/>
  <pageMargins left="0.2" right="0.23" top="0.89" bottom="0.75" header="0.3" footer="0.3"/>
  <pageSetup paperSize="9" orientation="landscape" r:id="rId1"/>
</worksheet>
</file>

<file path=xl/worksheets/sheet55.xml><?xml version="1.0" encoding="utf-8"?>
<worksheet xmlns="http://schemas.openxmlformats.org/spreadsheetml/2006/main" xmlns:r="http://schemas.openxmlformats.org/officeDocument/2006/relationships">
  <sheetPr codeName="Sheet39">
    <pageSetUpPr fitToPage="1"/>
  </sheetPr>
  <dimension ref="B2:N158"/>
  <sheetViews>
    <sheetView showGridLines="0" view="pageBreakPreview" topLeftCell="A90" zoomScale="70" zoomScaleNormal="70" zoomScaleSheetLayoutView="70" workbookViewId="0">
      <selection activeCell="A109" sqref="A109:XFD158"/>
    </sheetView>
  </sheetViews>
  <sheetFormatPr defaultRowHeight="15.75"/>
  <cols>
    <col min="1" max="1" width="6.5703125" style="261" customWidth="1"/>
    <col min="2" max="2" width="16.5703125" style="261" customWidth="1"/>
    <col min="3" max="3" width="14.140625" style="261" customWidth="1"/>
    <col min="4" max="4" width="19.28515625" style="261" customWidth="1"/>
    <col min="5" max="5" width="19" style="261" customWidth="1"/>
    <col min="6" max="6" width="20.5703125" style="261" customWidth="1"/>
    <col min="7" max="7" width="24.7109375" style="261" bestFit="1" customWidth="1"/>
    <col min="8" max="8" width="24.140625" style="261" customWidth="1"/>
    <col min="9" max="9" width="33" style="261" customWidth="1"/>
    <col min="10" max="10" width="30.7109375" style="261" bestFit="1" customWidth="1"/>
    <col min="11" max="11" width="18.7109375" style="261" bestFit="1" customWidth="1"/>
    <col min="12" max="12" width="16.85546875" style="261" hidden="1" customWidth="1"/>
    <col min="13" max="13" width="17.42578125" style="261" hidden="1" customWidth="1"/>
    <col min="14" max="16384" width="9.140625" style="261"/>
  </cols>
  <sheetData>
    <row r="2" spans="2:14" s="3527" customFormat="1">
      <c r="B2" s="5443" t="s">
        <v>100</v>
      </c>
      <c r="C2" s="5443"/>
      <c r="D2" s="5443"/>
      <c r="E2" s="5443"/>
      <c r="F2" s="5443"/>
      <c r="G2" s="5443"/>
      <c r="H2" s="5443"/>
      <c r="I2" s="5443"/>
      <c r="J2" s="5443"/>
      <c r="K2" s="5443"/>
    </row>
    <row r="3" spans="2:14" s="3527" customFormat="1">
      <c r="B3" s="5397" t="s">
        <v>3915</v>
      </c>
      <c r="C3" s="5397"/>
      <c r="D3" s="5397"/>
      <c r="E3" s="5397"/>
      <c r="F3" s="5397"/>
      <c r="G3" s="5397"/>
      <c r="H3" s="5397"/>
      <c r="I3" s="5397"/>
      <c r="J3" s="5397"/>
      <c r="K3" s="5397"/>
    </row>
    <row r="4" spans="2:14" s="3527" customFormat="1">
      <c r="B4" s="5397" t="s">
        <v>3924</v>
      </c>
      <c r="C4" s="5397"/>
      <c r="D4" s="5397"/>
      <c r="E4" s="5397"/>
      <c r="F4" s="5397"/>
      <c r="G4" s="5397"/>
      <c r="H4" s="5397"/>
      <c r="I4" s="5397"/>
      <c r="J4" s="5397"/>
      <c r="K4" s="5397"/>
    </row>
    <row r="6" spans="2:14">
      <c r="B6" s="5851" t="s">
        <v>3567</v>
      </c>
      <c r="C6" s="5851"/>
      <c r="D6" s="5851"/>
      <c r="E6" s="5851"/>
      <c r="F6" s="5851"/>
      <c r="J6" s="353" t="s">
        <v>151</v>
      </c>
    </row>
    <row r="7" spans="2:14">
      <c r="B7" s="4101"/>
      <c r="C7" s="4101"/>
      <c r="D7" s="4101"/>
      <c r="E7" s="4101"/>
      <c r="F7" s="4101"/>
      <c r="K7" s="355"/>
    </row>
    <row r="8" spans="2:14" ht="47.25">
      <c r="B8" s="3579" t="s">
        <v>1</v>
      </c>
      <c r="C8" s="3579" t="s">
        <v>2</v>
      </c>
      <c r="D8" s="5484" t="s">
        <v>3410</v>
      </c>
      <c r="E8" s="5486"/>
      <c r="F8" s="3579" t="s">
        <v>4</v>
      </c>
      <c r="G8" s="3579" t="s">
        <v>5</v>
      </c>
      <c r="H8" s="3579" t="s">
        <v>6</v>
      </c>
      <c r="I8" s="3579" t="s">
        <v>7</v>
      </c>
      <c r="J8" s="3579" t="s">
        <v>8</v>
      </c>
      <c r="L8" s="3579" t="s">
        <v>9</v>
      </c>
      <c r="M8" s="4104"/>
      <c r="N8" s="4105"/>
    </row>
    <row r="9" spans="2:14">
      <c r="B9" s="4541"/>
      <c r="C9" s="4541"/>
      <c r="D9" s="4466" t="s">
        <v>12</v>
      </c>
      <c r="E9" s="4466" t="s">
        <v>13</v>
      </c>
      <c r="F9" s="4541"/>
      <c r="G9" s="4541"/>
      <c r="H9" s="4541"/>
      <c r="I9" s="4541"/>
      <c r="J9" s="4541"/>
      <c r="L9" s="4542"/>
      <c r="M9" s="4107"/>
    </row>
    <row r="10" spans="2:14">
      <c r="B10" s="3859" t="s">
        <v>14</v>
      </c>
      <c r="C10" s="3859" t="s">
        <v>15</v>
      </c>
      <c r="D10" s="4543">
        <f>'MonthWise Unit Sold'!D612</f>
        <v>202</v>
      </c>
      <c r="E10" s="4543"/>
      <c r="F10" s="4543">
        <f>SUM('MonthWise Unit Sold'!F5,'MonthWise Unit Sold'!F52,'MonthWise Unit Sold'!F108,'MonthWise Unit Sold'!F164,'MonthWise Unit Sold'!F220,'MonthWise Unit Sold'!F276,'MonthWise Unit Sold'!F332,'MonthWise Unit Sold'!F388,'MonthWise Unit Sold'!F444,'MonthWise Unit Sold'!F500,'MonthWise Unit Sold'!F556,'MonthWise Unit Sold'!F612)</f>
        <v>385601</v>
      </c>
      <c r="G10" s="4543">
        <f>SUM('MonthWise Unit Sold'!G5,'MonthWise Unit Sold'!G52,'MonthWise Unit Sold'!G108,'MonthWise Unit Sold'!G164,'MonthWise Unit Sold'!G220,'MonthWise Unit Sold'!G276,'MonthWise Unit Sold'!G332,'MonthWise Unit Sold'!G388,'MonthWise Unit Sold'!G444,'MonthWise Unit Sold'!G500,'MonthWise Unit Sold'!G556,'MonthWise Unit Sold'!G612)</f>
        <v>165026.84</v>
      </c>
      <c r="H10" s="4543">
        <f>SUM('MonthWise Unit Sold'!H5,'MonthWise Unit Sold'!H52,'MonthWise Unit Sold'!H108,'MonthWise Unit Sold'!H164,'MonthWise Unit Sold'!H220,'MonthWise Unit Sold'!H276,'MonthWise Unit Sold'!H332,'MonthWise Unit Sold'!H388,'MonthWise Unit Sold'!H444,'MonthWise Unit Sold'!H500,'MonthWise Unit Sold'!H556,'MonthWise Unit Sold'!H612)</f>
        <v>16378</v>
      </c>
      <c r="I10" s="4543">
        <f>SUM('MonthWise Unit Sold'!I5,'MonthWise Unit Sold'!I52,'MonthWise Unit Sold'!I108,'MonthWise Unit Sold'!I164,'MonthWise Unit Sold'!I220,'MonthWise Unit Sold'!I276,'MonthWise Unit Sold'!I332,'MonthWise Unit Sold'!I388,'MonthWise Unit Sold'!I444,'MonthWise Unit Sold'!I500,'MonthWise Unit Sold'!I556,'MonthWise Unit Sold'!I612)</f>
        <v>32359.319999999992</v>
      </c>
      <c r="J10" s="4543">
        <f>SUM('MonthWise Unit Sold'!J5,'MonthWise Unit Sold'!J52,'MonthWise Unit Sold'!J108,'MonthWise Unit Sold'!J164,'MonthWise Unit Sold'!J220,'MonthWise Unit Sold'!J276,'MonthWise Unit Sold'!J332,'MonthWise Unit Sold'!J388,'MonthWise Unit Sold'!J444,'MonthWise Unit Sold'!J500,'MonthWise Unit Sold'!J556,'MonthWise Unit Sold'!J612)</f>
        <v>213764.15999999995</v>
      </c>
      <c r="L10" s="4544">
        <v>0.55436619718309854</v>
      </c>
      <c r="M10" s="5372">
        <f>J10/10^7</f>
        <v>2.1376415999999995E-2</v>
      </c>
    </row>
    <row r="11" spans="2:14">
      <c r="B11" s="4476" t="s">
        <v>3409</v>
      </c>
      <c r="C11" s="3859" t="s">
        <v>17</v>
      </c>
      <c r="D11" s="4543">
        <f>'MonthWise Unit Sold'!D613</f>
        <v>289424</v>
      </c>
      <c r="E11" s="4543">
        <f>'MonthWise Unit Sold'!E613</f>
        <v>14416</v>
      </c>
      <c r="F11" s="4543">
        <f>SUM('MonthWise Unit Sold'!F6,'MonthWise Unit Sold'!F53,'MonthWise Unit Sold'!F109,'MonthWise Unit Sold'!F165,'MonthWise Unit Sold'!F221,'MonthWise Unit Sold'!F277,'MonthWise Unit Sold'!F333,'MonthWise Unit Sold'!F389,'MonthWise Unit Sold'!F445,'MonthWise Unit Sold'!F501,'MonthWise Unit Sold'!F557,'MonthWise Unit Sold'!F613)</f>
        <v>687856900</v>
      </c>
      <c r="G11" s="4543">
        <f>SUM('MonthWise Unit Sold'!G6,'MonthWise Unit Sold'!G53,'MonthWise Unit Sold'!G109,'MonthWise Unit Sold'!G165,'MonthWise Unit Sold'!G221,'MonthWise Unit Sold'!G277,'MonthWise Unit Sold'!G333,'MonthWise Unit Sold'!G389,'MonthWise Unit Sold'!G445,'MonthWise Unit Sold'!G501,'MonthWise Unit Sold'!G557,'MonthWise Unit Sold'!G613)</f>
        <v>1338109134.2000003</v>
      </c>
      <c r="H11" s="5847">
        <f>SUM('MonthWise Unit Sold'!H6,'MonthWise Unit Sold'!H53,'MonthWise Unit Sold'!H109,'MonthWise Unit Sold'!H165,'MonthWise Unit Sold'!H221,'MonthWise Unit Sold'!H277,'MonthWise Unit Sold'!H333,'MonthWise Unit Sold'!H389,'MonthWise Unit Sold'!H445,'MonthWise Unit Sold'!H501,'MonthWise Unit Sold'!H557,'MonthWise Unit Sold'!H613)</f>
        <v>685586750.87</v>
      </c>
      <c r="I11" s="4543">
        <f>SUM('MonthWise Unit Sold'!I6,'MonthWise Unit Sold'!I53,'MonthWise Unit Sold'!I109,'MonthWise Unit Sold'!I165,'MonthWise Unit Sold'!I221,'MonthWise Unit Sold'!I277,'MonthWise Unit Sold'!I333,'MonthWise Unit Sold'!I389,'MonthWise Unit Sold'!I445,'MonthWise Unit Sold'!I501,'MonthWise Unit Sold'!I557,'MonthWise Unit Sold'!I613)</f>
        <v>293258856.00000006</v>
      </c>
      <c r="J11" s="5847">
        <f>SUM('MonthWise Unit Sold'!J6,'MonthWise Unit Sold'!J53,'MonthWise Unit Sold'!J109,'MonthWise Unit Sold'!J165,'MonthWise Unit Sold'!J221,'MonthWise Unit Sold'!J277,'MonthWise Unit Sold'!J333,'MonthWise Unit Sold'!J389,'MonthWise Unit Sold'!J445,'MonthWise Unit Sold'!J501,'MonthWise Unit Sold'!J557,'MonthWise Unit Sold'!J613)</f>
        <v>8952812688.8500004</v>
      </c>
      <c r="L11" s="4544">
        <v>4.973035816112243</v>
      </c>
      <c r="M11" s="5372">
        <f t="shared" ref="M11:M70" si="0">J11/10^7</f>
        <v>895.28126888500003</v>
      </c>
    </row>
    <row r="12" spans="2:14">
      <c r="B12" s="3859"/>
      <c r="C12" s="3859" t="s">
        <v>18</v>
      </c>
      <c r="D12" s="4543">
        <f>'MonthWise Unit Sold'!D614</f>
        <v>323091</v>
      </c>
      <c r="E12" s="4543">
        <f>'MonthWise Unit Sold'!E614</f>
        <v>24645</v>
      </c>
      <c r="F12" s="4543">
        <f>SUM('MonthWise Unit Sold'!F7,'MonthWise Unit Sold'!F54,'MonthWise Unit Sold'!F110,'MonthWise Unit Sold'!F166,'MonthWise Unit Sold'!F222,'MonthWise Unit Sold'!F278,'MonthWise Unit Sold'!F334,'MonthWise Unit Sold'!F390,'MonthWise Unit Sold'!F446,'MonthWise Unit Sold'!F502,'MonthWise Unit Sold'!F558,'MonthWise Unit Sold'!F614)</f>
        <v>584313924</v>
      </c>
      <c r="G12" s="4543">
        <f>SUM('MonthWise Unit Sold'!G7,'MonthWise Unit Sold'!G54,'MonthWise Unit Sold'!G110,'MonthWise Unit Sold'!G166,'MonthWise Unit Sold'!G222,'MonthWise Unit Sold'!G278,'MonthWise Unit Sold'!G334,'MonthWise Unit Sold'!G390,'MonthWise Unit Sold'!G446,'MonthWise Unit Sold'!G502,'MonthWise Unit Sold'!G558,'MonthWise Unit Sold'!G614)</f>
        <v>2156567116.4099998</v>
      </c>
      <c r="H12" s="5852"/>
      <c r="I12" s="4543">
        <f>SUM('MonthWise Unit Sold'!I7,'MonthWise Unit Sold'!I54,'MonthWise Unit Sold'!I110,'MonthWise Unit Sold'!I166,'MonthWise Unit Sold'!I222,'MonthWise Unit Sold'!I278,'MonthWise Unit Sold'!I334,'MonthWise Unit Sold'!I390,'MonthWise Unit Sold'!I446,'MonthWise Unit Sold'!I502,'MonthWise Unit Sold'!I558,'MonthWise Unit Sold'!I614)</f>
        <v>461139416.12999994</v>
      </c>
      <c r="J12" s="5852"/>
      <c r="L12" s="4544"/>
      <c r="M12" s="5372">
        <f t="shared" si="0"/>
        <v>0</v>
      </c>
    </row>
    <row r="13" spans="2:14">
      <c r="B13" s="3859"/>
      <c r="C13" s="3859" t="s">
        <v>19</v>
      </c>
      <c r="D13" s="4543">
        <f>'MonthWise Unit Sold'!D615</f>
        <v>37732</v>
      </c>
      <c r="E13" s="4543">
        <f>'MonthWise Unit Sold'!E615</f>
        <v>18529</v>
      </c>
      <c r="F13" s="4543">
        <f>SUM('MonthWise Unit Sold'!F8,'MonthWise Unit Sold'!F55,'MonthWise Unit Sold'!F111,'MonthWise Unit Sold'!F167,'MonthWise Unit Sold'!F223,'MonthWise Unit Sold'!F279,'MonthWise Unit Sold'!F335,'MonthWise Unit Sold'!F391,'MonthWise Unit Sold'!F447,'MonthWise Unit Sold'!F503,'MonthWise Unit Sold'!F559,'MonthWise Unit Sold'!F615)</f>
        <v>178530881</v>
      </c>
      <c r="G13" s="4543">
        <f>SUM('MonthWise Unit Sold'!G8,'MonthWise Unit Sold'!G55,'MonthWise Unit Sold'!G111,'MonthWise Unit Sold'!G167,'MonthWise Unit Sold'!G223,'MonthWise Unit Sold'!G279,'MonthWise Unit Sold'!G335,'MonthWise Unit Sold'!G391,'MonthWise Unit Sold'!G447,'MonthWise Unit Sold'!G503,'MonthWise Unit Sold'!G559,'MonthWise Unit Sold'!G615)</f>
        <v>954161442.10000002</v>
      </c>
      <c r="H13" s="5852"/>
      <c r="I13" s="4543">
        <f>SUM('MonthWise Unit Sold'!I8,'MonthWise Unit Sold'!I55,'MonthWise Unit Sold'!I111,'MonthWise Unit Sold'!I167,'MonthWise Unit Sold'!I223,'MonthWise Unit Sold'!I279,'MonthWise Unit Sold'!I335,'MonthWise Unit Sold'!I391,'MonthWise Unit Sold'!I447,'MonthWise Unit Sold'!I503,'MonthWise Unit Sold'!I559,'MonthWise Unit Sold'!I615)</f>
        <v>190746547.19999999</v>
      </c>
      <c r="J13" s="5852"/>
      <c r="L13" s="4544"/>
      <c r="M13" s="5372">
        <f t="shared" si="0"/>
        <v>0</v>
      </c>
    </row>
    <row r="14" spans="2:14">
      <c r="B14" s="3859"/>
      <c r="C14" s="3859" t="s">
        <v>20</v>
      </c>
      <c r="D14" s="4543">
        <f>'MonthWise Unit Sold'!D616</f>
        <v>9729</v>
      </c>
      <c r="E14" s="4543">
        <f>'MonthWise Unit Sold'!E616</f>
        <v>25164</v>
      </c>
      <c r="F14" s="4543">
        <f>SUM('MonthWise Unit Sold'!F9,'MonthWise Unit Sold'!F56,'MonthWise Unit Sold'!F112,'MonthWise Unit Sold'!F168,'MonthWise Unit Sold'!F224,'MonthWise Unit Sold'!F280,'MonthWise Unit Sold'!F336,'MonthWise Unit Sold'!F392,'MonthWise Unit Sold'!F448,'MonthWise Unit Sold'!F504,'MonthWise Unit Sold'!F560,'MonthWise Unit Sold'!F616)</f>
        <v>349569401</v>
      </c>
      <c r="G14" s="4543">
        <f>SUM('MonthWise Unit Sold'!G9,'MonthWise Unit Sold'!G56,'MonthWise Unit Sold'!G112,'MonthWise Unit Sold'!G168,'MonthWise Unit Sold'!G224,'MonthWise Unit Sold'!G280,'MonthWise Unit Sold'!G336,'MonthWise Unit Sold'!G392,'MonthWise Unit Sold'!G448,'MonthWise Unit Sold'!G504,'MonthWise Unit Sold'!G560,'MonthWise Unit Sold'!G616)</f>
        <v>2392658466.0400004</v>
      </c>
      <c r="H14" s="5848"/>
      <c r="I14" s="4543">
        <f>SUM('MonthWise Unit Sold'!I9,'MonthWise Unit Sold'!I56,'MonthWise Unit Sold'!I112,'MonthWise Unit Sold'!I168,'MonthWise Unit Sold'!I224,'MonthWise Unit Sold'!I280,'MonthWise Unit Sold'!I336,'MonthWise Unit Sold'!I392,'MonthWise Unit Sold'!I448,'MonthWise Unit Sold'!I504,'MonthWise Unit Sold'!I560,'MonthWise Unit Sold'!I616)</f>
        <v>480584959.90000004</v>
      </c>
      <c r="J14" s="5848"/>
      <c r="L14" s="4544"/>
      <c r="M14" s="5372">
        <f t="shared" si="0"/>
        <v>0</v>
      </c>
    </row>
    <row r="15" spans="2:14">
      <c r="B15" s="4109" t="s">
        <v>21</v>
      </c>
      <c r="C15" s="3859" t="s">
        <v>22</v>
      </c>
      <c r="D15" s="4543"/>
      <c r="E15" s="4543"/>
      <c r="F15" s="4543">
        <f>SUM('MonthWise Unit Sold'!F10,'MonthWise Unit Sold'!F57,'MonthWise Unit Sold'!F113,'MonthWise Unit Sold'!F169,'MonthWise Unit Sold'!F225,'MonthWise Unit Sold'!F281,'MonthWise Unit Sold'!F337,'MonthWise Unit Sold'!F393,'MonthWise Unit Sold'!F449,'MonthWise Unit Sold'!F505,'MonthWise Unit Sold'!F561,'MonthWise Unit Sold'!F617)</f>
        <v>96083548</v>
      </c>
      <c r="G15" s="4543">
        <f>SUM('MonthWise Unit Sold'!G10,'MonthWise Unit Sold'!G57,'MonthWise Unit Sold'!G113,'MonthWise Unit Sold'!G169,'MonthWise Unit Sold'!G225,'MonthWise Unit Sold'!G281,'MonthWise Unit Sold'!G337,'MonthWise Unit Sold'!G393,'MonthWise Unit Sold'!G449,'MonthWise Unit Sold'!G505,'MonthWise Unit Sold'!G561,'MonthWise Unit Sold'!G617)</f>
        <v>384334192</v>
      </c>
      <c r="H15" s="5847">
        <f>SUM('MonthWise Unit Sold'!H10,'MonthWise Unit Sold'!H57,'MonthWise Unit Sold'!H113,'MonthWise Unit Sold'!H169,'MonthWise Unit Sold'!H225,'MonthWise Unit Sold'!H281,'MonthWise Unit Sold'!H337,'MonthWise Unit Sold'!H393,'MonthWise Unit Sold'!H449,'MonthWise Unit Sold'!H505,'MonthWise Unit Sold'!H561,'MonthWise Unit Sold'!H617)</f>
        <v>723046724.69999993</v>
      </c>
      <c r="I15" s="4543">
        <f>SUM('MonthWise Unit Sold'!I10,'MonthWise Unit Sold'!I57,'MonthWise Unit Sold'!I113,'MonthWise Unit Sold'!I169,'MonthWise Unit Sold'!I225,'MonthWise Unit Sold'!I281,'MonthWise Unit Sold'!I337,'MonthWise Unit Sold'!I393,'MonthWise Unit Sold'!I449,'MonthWise Unit Sold'!I505,'MonthWise Unit Sold'!I561,'MonthWise Unit Sold'!I617)</f>
        <v>0</v>
      </c>
      <c r="J15" s="5847">
        <f>SUM('MonthWise Unit Sold'!J10,'MonthWise Unit Sold'!J57,'MonthWise Unit Sold'!J113,'MonthWise Unit Sold'!J169,'MonthWise Unit Sold'!J225,'MonthWise Unit Sold'!J281,'MonthWise Unit Sold'!J337,'MonthWise Unit Sold'!J393,'MonthWise Unit Sold'!J449,'MonthWise Unit Sold'!J505,'MonthWise Unit Sold'!J561,'MonthWise Unit Sold'!J617)</f>
        <v>7845454727.7600012</v>
      </c>
      <c r="L15" s="4544">
        <v>8.5012256927392471</v>
      </c>
      <c r="M15" s="5372">
        <f t="shared" si="0"/>
        <v>784.54547277600011</v>
      </c>
    </row>
    <row r="16" spans="2:14">
      <c r="B16" s="3859"/>
      <c r="C16" s="3859" t="s">
        <v>19</v>
      </c>
      <c r="D16" s="4543"/>
      <c r="E16" s="4543"/>
      <c r="F16" s="4543">
        <f>SUM('MonthWise Unit Sold'!F11,'MonthWise Unit Sold'!F58,'MonthWise Unit Sold'!F114,'MonthWise Unit Sold'!F170,'MonthWise Unit Sold'!F226,'MonthWise Unit Sold'!F282,'MonthWise Unit Sold'!F338,'MonthWise Unit Sold'!F394,'MonthWise Unit Sold'!F450,'MonthWise Unit Sold'!F506,'MonthWise Unit Sold'!F562,'MonthWise Unit Sold'!F618)</f>
        <v>29730263</v>
      </c>
      <c r="G16" s="4543">
        <f>SUM('MonthWise Unit Sold'!G11,'MonthWise Unit Sold'!G58,'MonthWise Unit Sold'!G114,'MonthWise Unit Sold'!G170,'MonthWise Unit Sold'!G226,'MonthWise Unit Sold'!G282,'MonthWise Unit Sold'!G338,'MonthWise Unit Sold'!G394,'MonthWise Unit Sold'!G450,'MonthWise Unit Sold'!G506,'MonthWise Unit Sold'!G562,'MonthWise Unit Sold'!G618)</f>
        <v>178381578</v>
      </c>
      <c r="H16" s="5852"/>
      <c r="I16" s="4543">
        <f>SUM('MonthWise Unit Sold'!I11,'MonthWise Unit Sold'!I58,'MonthWise Unit Sold'!I114,'MonthWise Unit Sold'!I170,'MonthWise Unit Sold'!I226,'MonthWise Unit Sold'!I282,'MonthWise Unit Sold'!I338,'MonthWise Unit Sold'!I394,'MonthWise Unit Sold'!I450,'MonthWise Unit Sold'!I506,'MonthWise Unit Sold'!I562,'MonthWise Unit Sold'!I618)</f>
        <v>0</v>
      </c>
      <c r="J16" s="5852"/>
      <c r="L16" s="4544"/>
      <c r="M16" s="5372">
        <f t="shared" si="0"/>
        <v>0</v>
      </c>
    </row>
    <row r="17" spans="2:13">
      <c r="B17" s="3859"/>
      <c r="C17" s="3859" t="s">
        <v>23</v>
      </c>
      <c r="D17" s="4543"/>
      <c r="E17" s="4543"/>
      <c r="F17" s="4543">
        <f>SUM('MonthWise Unit Sold'!F12,'MonthWise Unit Sold'!F59,'MonthWise Unit Sold'!F115,'MonthWise Unit Sold'!F171,'MonthWise Unit Sold'!F227,'MonthWise Unit Sold'!F283,'MonthWise Unit Sold'!F339,'MonthWise Unit Sold'!F395,'MonthWise Unit Sold'!F451,'MonthWise Unit Sold'!F507,'MonthWise Unit Sold'!F563,'MonthWise Unit Sold'!F619)</f>
        <v>38124027</v>
      </c>
      <c r="G17" s="4543">
        <f>SUM('MonthWise Unit Sold'!G12,'MonthWise Unit Sold'!G59,'MonthWise Unit Sold'!G115,'MonthWise Unit Sold'!G171,'MonthWise Unit Sold'!G227,'MonthWise Unit Sold'!G283,'MonthWise Unit Sold'!G339,'MonthWise Unit Sold'!G395,'MonthWise Unit Sold'!G451,'MonthWise Unit Sold'!G507,'MonthWise Unit Sold'!G563,'MonthWise Unit Sold'!G619)</f>
        <v>263055786.30000001</v>
      </c>
      <c r="H17" s="5852"/>
      <c r="I17" s="4543">
        <f>SUM('MonthWise Unit Sold'!I12,'MonthWise Unit Sold'!I59,'MonthWise Unit Sold'!I115,'MonthWise Unit Sold'!I171,'MonthWise Unit Sold'!I227,'MonthWise Unit Sold'!I283,'MonthWise Unit Sold'!I339,'MonthWise Unit Sold'!I395,'MonthWise Unit Sold'!I451,'MonthWise Unit Sold'!I507,'MonthWise Unit Sold'!I563,'MonthWise Unit Sold'!I619)</f>
        <v>0</v>
      </c>
      <c r="J17" s="5852"/>
      <c r="L17" s="4544"/>
      <c r="M17" s="5372">
        <f t="shared" si="0"/>
        <v>0</v>
      </c>
    </row>
    <row r="18" spans="2:13">
      <c r="B18" s="3859"/>
      <c r="C18" s="3859" t="s">
        <v>24</v>
      </c>
      <c r="D18" s="4543"/>
      <c r="E18" s="4543"/>
      <c r="F18" s="4543">
        <f>SUM('MonthWise Unit Sold'!F13,'MonthWise Unit Sold'!F60,'MonthWise Unit Sold'!F116,'MonthWise Unit Sold'!F172,'MonthWise Unit Sold'!F228,'MonthWise Unit Sold'!F284,'MonthWise Unit Sold'!F340,'MonthWise Unit Sold'!F396,'MonthWise Unit Sold'!F452,'MonthWise Unit Sold'!F508,'MonthWise Unit Sold'!F564,'MonthWise Unit Sold'!F620)</f>
        <v>55968089</v>
      </c>
      <c r="G18" s="4543">
        <f>SUM('MonthWise Unit Sold'!G13,'MonthWise Unit Sold'!G60,'MonthWise Unit Sold'!G116,'MonthWise Unit Sold'!G172,'MonthWise Unit Sold'!G228,'MonthWise Unit Sold'!G284,'MonthWise Unit Sold'!G340,'MonthWise Unit Sold'!G396,'MonthWise Unit Sold'!G452,'MonthWise Unit Sold'!G508,'MonthWise Unit Sold'!G564,'MonthWise Unit Sold'!G620)</f>
        <v>425357476.39999998</v>
      </c>
      <c r="H18" s="5852"/>
      <c r="I18" s="4543">
        <f>SUM('MonthWise Unit Sold'!I13,'MonthWise Unit Sold'!I60,'MonthWise Unit Sold'!I116,'MonthWise Unit Sold'!I172,'MonthWise Unit Sold'!I228,'MonthWise Unit Sold'!I284,'MonthWise Unit Sold'!I340,'MonthWise Unit Sold'!I396,'MonthWise Unit Sold'!I452,'MonthWise Unit Sold'!I508,'MonthWise Unit Sold'!I564,'MonthWise Unit Sold'!I620)</f>
        <v>0</v>
      </c>
      <c r="J18" s="5852"/>
      <c r="L18" s="4544"/>
      <c r="M18" s="5372">
        <f t="shared" si="0"/>
        <v>0</v>
      </c>
    </row>
    <row r="19" spans="2:13">
      <c r="B19" s="3859"/>
      <c r="C19" s="3859" t="s">
        <v>25</v>
      </c>
      <c r="D19" s="4543">
        <f>'MonthWise Unit Sold'!D621</f>
        <v>200760</v>
      </c>
      <c r="E19" s="4543">
        <f>'MonthWise Unit Sold'!E621</f>
        <v>21142</v>
      </c>
      <c r="F19" s="4543">
        <f>SUM('MonthWise Unit Sold'!F14,'MonthWise Unit Sold'!F61,'MonthWise Unit Sold'!F117,'MonthWise Unit Sold'!F173,'MonthWise Unit Sold'!F229,'MonthWise Unit Sold'!F285,'MonthWise Unit Sold'!F341,'MonthWise Unit Sold'!F397,'MonthWise Unit Sold'!F453,'MonthWise Unit Sold'!F509,'MonthWise Unit Sold'!F565,'MonthWise Unit Sold'!F621)</f>
        <v>417556740</v>
      </c>
      <c r="G19" s="4543">
        <f>SUM('MonthWise Unit Sold'!G14,'MonthWise Unit Sold'!G61,'MonthWise Unit Sold'!G117,'MonthWise Unit Sold'!G173,'MonthWise Unit Sold'!G229,'MonthWise Unit Sold'!G285,'MonthWise Unit Sold'!G341,'MonthWise Unit Sold'!G397,'MonthWise Unit Sold'!G453,'MonthWise Unit Sold'!G509,'MonthWise Unit Sold'!G565,'MonthWise Unit Sold'!G621)</f>
        <v>2296562070</v>
      </c>
      <c r="H19" s="5852"/>
      <c r="I19" s="4543">
        <f>SUM('MonthWise Unit Sold'!I14,'MonthWise Unit Sold'!I61,'MonthWise Unit Sold'!I117,'MonthWise Unit Sold'!I173,'MonthWise Unit Sold'!I229,'MonthWise Unit Sold'!I285,'MonthWise Unit Sold'!I341,'MonthWise Unit Sold'!I397,'MonthWise Unit Sold'!I453,'MonthWise Unit Sold'!I509,'MonthWise Unit Sold'!I565,'MonthWise Unit Sold'!I621)</f>
        <v>617983975.20000005</v>
      </c>
      <c r="J19" s="5852"/>
      <c r="L19" s="4544"/>
      <c r="M19" s="5372">
        <f t="shared" si="0"/>
        <v>0</v>
      </c>
    </row>
    <row r="20" spans="2:13">
      <c r="B20" s="3859"/>
      <c r="C20" s="3859" t="s">
        <v>26</v>
      </c>
      <c r="D20" s="4543">
        <f>'MonthWise Unit Sold'!D622</f>
        <v>13757</v>
      </c>
      <c r="E20" s="4543">
        <f>'MonthWise Unit Sold'!E622</f>
        <v>21500</v>
      </c>
      <c r="F20" s="4543">
        <f>SUM('MonthWise Unit Sold'!F15,'MonthWise Unit Sold'!F62,'MonthWise Unit Sold'!F118,'MonthWise Unit Sold'!F174,'MonthWise Unit Sold'!F230,'MonthWise Unit Sold'!F286,'MonthWise Unit Sold'!F342,'MonthWise Unit Sold'!F398,'MonthWise Unit Sold'!F454,'MonthWise Unit Sold'!F510,'MonthWise Unit Sold'!F566,'MonthWise Unit Sold'!F622)</f>
        <v>285398931</v>
      </c>
      <c r="G20" s="4543">
        <f>SUM('MonthWise Unit Sold'!G15,'MonthWise Unit Sold'!G62,'MonthWise Unit Sold'!G118,'MonthWise Unit Sold'!G174,'MonthWise Unit Sold'!G230,'MonthWise Unit Sold'!G286,'MonthWise Unit Sold'!G342,'MonthWise Unit Sold'!G398,'MonthWise Unit Sold'!G454,'MonthWise Unit Sold'!G510,'MonthWise Unit Sold'!G566,'MonthWise Unit Sold'!G622)</f>
        <v>2328855276.96</v>
      </c>
      <c r="H20" s="5848"/>
      <c r="I20" s="4543">
        <f>SUM('MonthWise Unit Sold'!I15,'MonthWise Unit Sold'!I62,'MonthWise Unit Sold'!I118,'MonthWise Unit Sold'!I174,'MonthWise Unit Sold'!I230,'MonthWise Unit Sold'!I286,'MonthWise Unit Sold'!I342,'MonthWise Unit Sold'!I398,'MonthWise Unit Sold'!I454,'MonthWise Unit Sold'!I510,'MonthWise Unit Sold'!I566,'MonthWise Unit Sold'!I622)</f>
        <v>627877648.19999993</v>
      </c>
      <c r="J20" s="5848"/>
      <c r="L20" s="4544"/>
      <c r="M20" s="5372">
        <f t="shared" si="0"/>
        <v>0</v>
      </c>
    </row>
    <row r="21" spans="2:13">
      <c r="B21" s="3859" t="s">
        <v>27</v>
      </c>
      <c r="C21" s="3859" t="s">
        <v>28</v>
      </c>
      <c r="D21" s="4543">
        <f>'MonthWise Unit Sold'!D623</f>
        <v>64</v>
      </c>
      <c r="E21" s="4543">
        <f>'MonthWise Unit Sold'!E623</f>
        <v>5926</v>
      </c>
      <c r="F21" s="4543">
        <f>SUM('MonthWise Unit Sold'!F16,'MonthWise Unit Sold'!F63,'MonthWise Unit Sold'!F119,'MonthWise Unit Sold'!F175,'MonthWise Unit Sold'!F231,'MonthWise Unit Sold'!F287,'MonthWise Unit Sold'!F343,'MonthWise Unit Sold'!F399,'MonthWise Unit Sold'!F455,'MonthWise Unit Sold'!F511,'MonthWise Unit Sold'!F567,'MonthWise Unit Sold'!F623)</f>
        <v>260893489</v>
      </c>
      <c r="G21" s="4543">
        <f>SUM('MonthWise Unit Sold'!G16,'MonthWise Unit Sold'!G63,'MonthWise Unit Sold'!G119,'MonthWise Unit Sold'!G175,'MonthWise Unit Sold'!G231,'MonthWise Unit Sold'!G287,'MonthWise Unit Sold'!G343,'MonthWise Unit Sold'!G399,'MonthWise Unit Sold'!G455,'MonthWise Unit Sold'!G511,'MonthWise Unit Sold'!G567,'MonthWise Unit Sold'!G623)</f>
        <v>2037288908.3999999</v>
      </c>
      <c r="H21" s="4543">
        <f>SUM('MonthWise Unit Sold'!H16,'MonthWise Unit Sold'!H63,'MonthWise Unit Sold'!H119,'MonthWise Unit Sold'!H175,'MonthWise Unit Sold'!H231,'MonthWise Unit Sold'!H287,'MonthWise Unit Sold'!H343,'MonthWise Unit Sold'!H399,'MonthWise Unit Sold'!H455,'MonthWise Unit Sold'!H511,'MonthWise Unit Sold'!H567,'MonthWise Unit Sold'!H623)</f>
        <v>247218674.77000004</v>
      </c>
      <c r="I21" s="4543">
        <f>SUM('MonthWise Unit Sold'!I16,'MonthWise Unit Sold'!I63,'MonthWise Unit Sold'!I119,'MonthWise Unit Sold'!I175,'MonthWise Unit Sold'!I231,'MonthWise Unit Sold'!I287,'MonthWise Unit Sold'!I343,'MonthWise Unit Sold'!I399,'MonthWise Unit Sold'!I455,'MonthWise Unit Sold'!I511,'MonthWise Unit Sold'!I567,'MonthWise Unit Sold'!I623)</f>
        <v>407782633.15000004</v>
      </c>
      <c r="J21" s="4543">
        <f>SUM('MonthWise Unit Sold'!J16,'MonthWise Unit Sold'!J63,'MonthWise Unit Sold'!J119,'MonthWise Unit Sold'!J175,'MonthWise Unit Sold'!J231,'MonthWise Unit Sold'!J287,'MonthWise Unit Sold'!J343,'MonthWise Unit Sold'!J399,'MonthWise Unit Sold'!J455,'MonthWise Unit Sold'!J511,'MonthWise Unit Sold'!J567,'MonthWise Unit Sold'!J623)</f>
        <v>2692290216.3200002</v>
      </c>
      <c r="L21" s="4544">
        <v>10.319499450290996</v>
      </c>
      <c r="M21" s="5372">
        <f t="shared" si="0"/>
        <v>269.22902163200001</v>
      </c>
    </row>
    <row r="22" spans="2:13">
      <c r="B22" s="3859" t="s">
        <v>29</v>
      </c>
      <c r="C22" s="3859" t="s">
        <v>28</v>
      </c>
      <c r="D22" s="4543">
        <f>'MonthWise Unit Sold'!D624</f>
        <v>2</v>
      </c>
      <c r="E22" s="4543">
        <f>'MonthWise Unit Sold'!E624</f>
        <v>2614</v>
      </c>
      <c r="F22" s="4543">
        <f>SUM('MonthWise Unit Sold'!F17,'MonthWise Unit Sold'!F64,'MonthWise Unit Sold'!F120,'MonthWise Unit Sold'!F176,'MonthWise Unit Sold'!F232,'MonthWise Unit Sold'!F288,'MonthWise Unit Sold'!F344,'MonthWise Unit Sold'!F400,'MonthWise Unit Sold'!F456,'MonthWise Unit Sold'!F512,'MonthWise Unit Sold'!F568,'MonthWise Unit Sold'!F624)</f>
        <v>516416123</v>
      </c>
      <c r="G22" s="4543">
        <f>SUM('MonthWise Unit Sold'!G17,'MonthWise Unit Sold'!G64,'MonthWise Unit Sold'!G120,'MonthWise Unit Sold'!G176,'MonthWise Unit Sold'!G232,'MonthWise Unit Sold'!G288,'MonthWise Unit Sold'!G344,'MonthWise Unit Sold'!G400,'MonthWise Unit Sold'!G456,'MonthWise Unit Sold'!G512,'MonthWise Unit Sold'!G568,'MonthWise Unit Sold'!G624)</f>
        <v>4098253954.21</v>
      </c>
      <c r="H22" s="4543">
        <f>SUM('MonthWise Unit Sold'!H17,'MonthWise Unit Sold'!H64,'MonthWise Unit Sold'!H120,'MonthWise Unit Sold'!H176,'MonthWise Unit Sold'!H232,'MonthWise Unit Sold'!H288,'MonthWise Unit Sold'!H344,'MonthWise Unit Sold'!H400,'MonthWise Unit Sold'!H456,'MonthWise Unit Sold'!H512,'MonthWise Unit Sold'!H568,'MonthWise Unit Sold'!H624)</f>
        <v>403310723.71000004</v>
      </c>
      <c r="I22" s="4543">
        <f>SUM('MonthWise Unit Sold'!I17,'MonthWise Unit Sold'!I64,'MonthWise Unit Sold'!I120,'MonthWise Unit Sold'!I176,'MonthWise Unit Sold'!I232,'MonthWise Unit Sold'!I288,'MonthWise Unit Sold'!I344,'MonthWise Unit Sold'!I400,'MonthWise Unit Sold'!I456,'MonthWise Unit Sold'!I512,'MonthWise Unit Sold'!I568,'MonthWise Unit Sold'!I624)</f>
        <v>804630836.5200001</v>
      </c>
      <c r="J22" s="4543">
        <f>SUM('MonthWise Unit Sold'!J17,'MonthWise Unit Sold'!J64,'MonthWise Unit Sold'!J120,'MonthWise Unit Sold'!J176,'MonthWise Unit Sold'!J232,'MonthWise Unit Sold'!J288,'MonthWise Unit Sold'!J344,'MonthWise Unit Sold'!J400,'MonthWise Unit Sold'!J456,'MonthWise Unit Sold'!J512,'MonthWise Unit Sold'!J568,'MonthWise Unit Sold'!J624)</f>
        <v>5306195514.4399986</v>
      </c>
      <c r="L22" s="4544">
        <v>10.275038439185217</v>
      </c>
      <c r="M22" s="5372">
        <f t="shared" si="0"/>
        <v>530.61955144399985</v>
      </c>
    </row>
    <row r="23" spans="2:13">
      <c r="B23" s="3859" t="s">
        <v>30</v>
      </c>
      <c r="C23" s="3859" t="s">
        <v>22</v>
      </c>
      <c r="D23" s="4543"/>
      <c r="E23" s="4543"/>
      <c r="F23" s="4543">
        <f>SUM('MonthWise Unit Sold'!F18,'MonthWise Unit Sold'!F65,'MonthWise Unit Sold'!F121,'MonthWise Unit Sold'!F177,'MonthWise Unit Sold'!F233,'MonthWise Unit Sold'!F289,'MonthWise Unit Sold'!F345,'MonthWise Unit Sold'!F401,'MonthWise Unit Sold'!F457,'MonthWise Unit Sold'!F513,'MonthWise Unit Sold'!F569,'MonthWise Unit Sold'!F625)</f>
        <v>3630035</v>
      </c>
      <c r="G23" s="4543">
        <f>SUM('MonthWise Unit Sold'!G18,'MonthWise Unit Sold'!G65,'MonthWise Unit Sold'!G121,'MonthWise Unit Sold'!G177,'MonthWise Unit Sold'!G233,'MonthWise Unit Sold'!G289,'MonthWise Unit Sold'!G345,'MonthWise Unit Sold'!G401,'MonthWise Unit Sold'!G457,'MonthWise Unit Sold'!G513,'MonthWise Unit Sold'!G569,'MonthWise Unit Sold'!G625)</f>
        <v>13431129.5</v>
      </c>
      <c r="H23" s="5847">
        <f>SUM('MonthWise Unit Sold'!H18,'MonthWise Unit Sold'!H65,'MonthWise Unit Sold'!H121,'MonthWise Unit Sold'!H177,'MonthWise Unit Sold'!H233,'MonthWise Unit Sold'!H289,'MonthWise Unit Sold'!H345,'MonthWise Unit Sold'!H401,'MonthWise Unit Sold'!H457,'MonthWise Unit Sold'!H513,'MonthWise Unit Sold'!H569,'MonthWise Unit Sold'!H625)</f>
        <v>34739843.719999999</v>
      </c>
      <c r="I23" s="4543">
        <f>SUM('MonthWise Unit Sold'!I18,'MonthWise Unit Sold'!I65,'MonthWise Unit Sold'!I121,'MonthWise Unit Sold'!I177,'MonthWise Unit Sold'!I233,'MonthWise Unit Sold'!I289,'MonthWise Unit Sold'!I345,'MonthWise Unit Sold'!I401,'MonthWise Unit Sold'!I457,'MonthWise Unit Sold'!I513,'MonthWise Unit Sold'!I569,'MonthWise Unit Sold'!I625)</f>
        <v>0</v>
      </c>
      <c r="J23" s="5847">
        <f>SUM('MonthWise Unit Sold'!J18,'MonthWise Unit Sold'!J65,'MonthWise Unit Sold'!J121,'MonthWise Unit Sold'!J177,'MonthWise Unit Sold'!J233,'MonthWise Unit Sold'!J289,'MonthWise Unit Sold'!J345,'MonthWise Unit Sold'!J401,'MonthWise Unit Sold'!J457,'MonthWise Unit Sold'!J513,'MonthWise Unit Sold'!J569,'MonthWise Unit Sold'!J625)</f>
        <v>390807026.51999998</v>
      </c>
      <c r="L23" s="4544">
        <v>8.0993933236541658</v>
      </c>
      <c r="M23" s="5372">
        <f t="shared" si="0"/>
        <v>39.080702651999999</v>
      </c>
    </row>
    <row r="24" spans="2:13">
      <c r="B24" s="3859"/>
      <c r="C24" s="3859" t="s">
        <v>19</v>
      </c>
      <c r="D24" s="4543"/>
      <c r="E24" s="4543"/>
      <c r="F24" s="4543">
        <f>SUM('MonthWise Unit Sold'!F19,'MonthWise Unit Sold'!F66,'MonthWise Unit Sold'!F122,'MonthWise Unit Sold'!F178,'MonthWise Unit Sold'!F234,'MonthWise Unit Sold'!F290,'MonthWise Unit Sold'!F346,'MonthWise Unit Sold'!F402,'MonthWise Unit Sold'!F458,'MonthWise Unit Sold'!F514,'MonthWise Unit Sold'!F570,'MonthWise Unit Sold'!F626)</f>
        <v>1593908</v>
      </c>
      <c r="G24" s="4543">
        <f>SUM('MonthWise Unit Sold'!G19,'MonthWise Unit Sold'!G66,'MonthWise Unit Sold'!G122,'MonthWise Unit Sold'!G178,'MonthWise Unit Sold'!G234,'MonthWise Unit Sold'!G290,'MonthWise Unit Sold'!G346,'MonthWise Unit Sold'!G402,'MonthWise Unit Sold'!G458,'MonthWise Unit Sold'!G514,'MonthWise Unit Sold'!G570,'MonthWise Unit Sold'!G626)</f>
        <v>8766494</v>
      </c>
      <c r="H24" s="5852"/>
      <c r="I24" s="4543">
        <f>SUM('MonthWise Unit Sold'!I19,'MonthWise Unit Sold'!I66,'MonthWise Unit Sold'!I122,'MonthWise Unit Sold'!I178,'MonthWise Unit Sold'!I234,'MonthWise Unit Sold'!I290,'MonthWise Unit Sold'!I346,'MonthWise Unit Sold'!I402,'MonthWise Unit Sold'!I458,'MonthWise Unit Sold'!I514,'MonthWise Unit Sold'!I570,'MonthWise Unit Sold'!I626)</f>
        <v>0</v>
      </c>
      <c r="J24" s="5852"/>
      <c r="L24" s="4544"/>
      <c r="M24" s="5372">
        <f t="shared" si="0"/>
        <v>0</v>
      </c>
    </row>
    <row r="25" spans="2:13">
      <c r="B25" s="3859"/>
      <c r="C25" s="3859" t="s">
        <v>23</v>
      </c>
      <c r="D25" s="4543"/>
      <c r="E25" s="4543"/>
      <c r="F25" s="4543">
        <f>SUM('MonthWise Unit Sold'!F20,'MonthWise Unit Sold'!F67,'MonthWise Unit Sold'!F123,'MonthWise Unit Sold'!F179,'MonthWise Unit Sold'!F235,'MonthWise Unit Sold'!F291,'MonthWise Unit Sold'!F347,'MonthWise Unit Sold'!F403,'MonthWise Unit Sold'!F459,'MonthWise Unit Sold'!F515,'MonthWise Unit Sold'!F571,'MonthWise Unit Sold'!F627)</f>
        <v>2437464</v>
      </c>
      <c r="G25" s="4543">
        <f>SUM('MonthWise Unit Sold'!G20,'MonthWise Unit Sold'!G67,'MonthWise Unit Sold'!G123,'MonthWise Unit Sold'!G179,'MonthWise Unit Sold'!G235,'MonthWise Unit Sold'!G291,'MonthWise Unit Sold'!G347,'MonthWise Unit Sold'!G403,'MonthWise Unit Sold'!G459,'MonthWise Unit Sold'!G515,'MonthWise Unit Sold'!G571,'MonthWise Unit Sold'!G627)</f>
        <v>14502910.800000003</v>
      </c>
      <c r="H25" s="5852"/>
      <c r="I25" s="4543">
        <f>SUM('MonthWise Unit Sold'!I20,'MonthWise Unit Sold'!I67,'MonthWise Unit Sold'!I123,'MonthWise Unit Sold'!I179,'MonthWise Unit Sold'!I235,'MonthWise Unit Sold'!I291,'MonthWise Unit Sold'!I347,'MonthWise Unit Sold'!I403,'MonthWise Unit Sold'!I459,'MonthWise Unit Sold'!I515,'MonthWise Unit Sold'!I571,'MonthWise Unit Sold'!I627)</f>
        <v>0</v>
      </c>
      <c r="J25" s="5852"/>
      <c r="L25" s="4544"/>
      <c r="M25" s="5372">
        <f t="shared" si="0"/>
        <v>0</v>
      </c>
    </row>
    <row r="26" spans="2:13">
      <c r="B26" s="3859"/>
      <c r="C26" s="3859" t="s">
        <v>24</v>
      </c>
      <c r="D26" s="4543"/>
      <c r="E26" s="4543"/>
      <c r="F26" s="4543">
        <f>SUM('MonthWise Unit Sold'!F21,'MonthWise Unit Sold'!F68,'MonthWise Unit Sold'!F124,'MonthWise Unit Sold'!F180,'MonthWise Unit Sold'!F236,'MonthWise Unit Sold'!F292,'MonthWise Unit Sold'!F348,'MonthWise Unit Sold'!F404,'MonthWise Unit Sold'!F460,'MonthWise Unit Sold'!F516,'MonthWise Unit Sold'!F572,'MonthWise Unit Sold'!F628)</f>
        <v>3662265</v>
      </c>
      <c r="G26" s="4543">
        <f>SUM('MonthWise Unit Sold'!G21,'MonthWise Unit Sold'!G68,'MonthWise Unit Sold'!G124,'MonthWise Unit Sold'!G180,'MonthWise Unit Sold'!G236,'MonthWise Unit Sold'!G292,'MonthWise Unit Sold'!G348,'MonthWise Unit Sold'!G404,'MonthWise Unit Sold'!G460,'MonthWise Unit Sold'!G516,'MonthWise Unit Sold'!G572,'MonthWise Unit Sold'!G628)</f>
        <v>23438495.999999996</v>
      </c>
      <c r="H26" s="5852"/>
      <c r="I26" s="4543">
        <f>SUM('MonthWise Unit Sold'!I21,'MonthWise Unit Sold'!I68,'MonthWise Unit Sold'!I124,'MonthWise Unit Sold'!I180,'MonthWise Unit Sold'!I236,'MonthWise Unit Sold'!I292,'MonthWise Unit Sold'!I348,'MonthWise Unit Sold'!I404,'MonthWise Unit Sold'!I460,'MonthWise Unit Sold'!I516,'MonthWise Unit Sold'!I572,'MonthWise Unit Sold'!I628)</f>
        <v>0</v>
      </c>
      <c r="J26" s="5852"/>
      <c r="L26" s="4544"/>
      <c r="M26" s="5372">
        <f t="shared" si="0"/>
        <v>0</v>
      </c>
    </row>
    <row r="27" spans="2:13">
      <c r="B27" s="3859"/>
      <c r="C27" s="3859" t="s">
        <v>25</v>
      </c>
      <c r="D27" s="4543">
        <f>'MonthWise Unit Sold'!D629</f>
        <v>2635</v>
      </c>
      <c r="E27" s="4543">
        <f>'MonthWise Unit Sold'!E629</f>
        <v>3680</v>
      </c>
      <c r="F27" s="4543">
        <f>SUM('MonthWise Unit Sold'!F22,'MonthWise Unit Sold'!F69,'MonthWise Unit Sold'!F125,'MonthWise Unit Sold'!F181,'MonthWise Unit Sold'!F237,'MonthWise Unit Sold'!F293,'MonthWise Unit Sold'!F349,'MonthWise Unit Sold'!F405,'MonthWise Unit Sold'!F461,'MonthWise Unit Sold'!F517,'MonthWise Unit Sold'!F573,'MonthWise Unit Sold'!F629)</f>
        <v>17218254</v>
      </c>
      <c r="G27" s="4543">
        <f>SUM('MonthWise Unit Sold'!G22,'MonthWise Unit Sold'!G69,'MonthWise Unit Sold'!G125,'MonthWise Unit Sold'!G181,'MonthWise Unit Sold'!G237,'MonthWise Unit Sold'!G293,'MonthWise Unit Sold'!G349,'MonthWise Unit Sold'!G405,'MonthWise Unit Sold'!G461,'MonthWise Unit Sold'!G517,'MonthWise Unit Sold'!G573,'MonthWise Unit Sold'!G629)</f>
        <v>89707103.340000004</v>
      </c>
      <c r="H27" s="5852"/>
      <c r="I27" s="4543">
        <f>SUM('MonthWise Unit Sold'!I22,'MonthWise Unit Sold'!I69,'MonthWise Unit Sold'!I125,'MonthWise Unit Sold'!I181,'MonthWise Unit Sold'!I237,'MonthWise Unit Sold'!I293,'MonthWise Unit Sold'!I349,'MonthWise Unit Sold'!I405,'MonthWise Unit Sold'!I461,'MonthWise Unit Sold'!I517,'MonthWise Unit Sold'!I573,'MonthWise Unit Sold'!I629)</f>
        <v>24105555.599999998</v>
      </c>
      <c r="J27" s="5852"/>
      <c r="L27" s="4544"/>
      <c r="M27" s="5372">
        <f t="shared" si="0"/>
        <v>0</v>
      </c>
    </row>
    <row r="28" spans="2:13">
      <c r="B28" s="3859"/>
      <c r="C28" s="3859" t="s">
        <v>26</v>
      </c>
      <c r="D28" s="4543">
        <f>'MonthWise Unit Sold'!D630</f>
        <v>120</v>
      </c>
      <c r="E28" s="4543">
        <f>'MonthWise Unit Sold'!E630</f>
        <v>2123</v>
      </c>
      <c r="F28" s="4543">
        <f>SUM('MonthWise Unit Sold'!F23,'MonthWise Unit Sold'!F70,'MonthWise Unit Sold'!F126,'MonthWise Unit Sold'!F182,'MonthWise Unit Sold'!F238,'MonthWise Unit Sold'!F294,'MonthWise Unit Sold'!F350,'MonthWise Unit Sold'!F406,'MonthWise Unit Sold'!F462,'MonthWise Unit Sold'!F518,'MonthWise Unit Sold'!F574,'MonthWise Unit Sold'!F630)</f>
        <v>19709469</v>
      </c>
      <c r="G28" s="4543">
        <f>SUM('MonthWise Unit Sold'!G23,'MonthWise Unit Sold'!G70,'MonthWise Unit Sold'!G126,'MonthWise Unit Sold'!G182,'MonthWise Unit Sold'!G238,'MonthWise Unit Sold'!G294,'MonthWise Unit Sold'!G350,'MonthWise Unit Sold'!G406,'MonthWise Unit Sold'!G462,'MonthWise Unit Sold'!G518,'MonthWise Unit Sold'!G574,'MonthWise Unit Sold'!G630)</f>
        <v>143484934.31999996</v>
      </c>
      <c r="H28" s="5848"/>
      <c r="I28" s="4543">
        <f>SUM('MonthWise Unit Sold'!I23,'MonthWise Unit Sold'!I70,'MonthWise Unit Sold'!I126,'MonthWise Unit Sold'!I182,'MonthWise Unit Sold'!I238,'MonthWise Unit Sold'!I294,'MonthWise Unit Sold'!I350,'MonthWise Unit Sold'!I406,'MonthWise Unit Sold'!I462,'MonthWise Unit Sold'!I518,'MonthWise Unit Sold'!I574,'MonthWise Unit Sold'!I630)</f>
        <v>38630559.239999995</v>
      </c>
      <c r="J28" s="5848"/>
      <c r="L28" s="4544"/>
      <c r="M28" s="5372">
        <f t="shared" si="0"/>
        <v>0</v>
      </c>
    </row>
    <row r="29" spans="2:13">
      <c r="B29" s="3859" t="s">
        <v>31</v>
      </c>
      <c r="C29" s="3859" t="s">
        <v>28</v>
      </c>
      <c r="D29" s="4543">
        <f>'MonthWise Unit Sold'!D631</f>
        <v>11</v>
      </c>
      <c r="E29" s="4543">
        <f>'MonthWise Unit Sold'!E631</f>
        <v>1201</v>
      </c>
      <c r="F29" s="4543">
        <f>SUM('MonthWise Unit Sold'!F24,'MonthWise Unit Sold'!F71,'MonthWise Unit Sold'!F127,'MonthWise Unit Sold'!F183,'MonthWise Unit Sold'!F239,'MonthWise Unit Sold'!F295,'MonthWise Unit Sold'!F351,'MonthWise Unit Sold'!F407,'MonthWise Unit Sold'!F463,'MonthWise Unit Sold'!F519,'MonthWise Unit Sold'!F575,'MonthWise Unit Sold'!F631)</f>
        <v>54278986</v>
      </c>
      <c r="G29" s="4543">
        <f>SUM('MonthWise Unit Sold'!G24,'MonthWise Unit Sold'!G71,'MonthWise Unit Sold'!G127,'MonthWise Unit Sold'!G183,'MonthWise Unit Sold'!G239,'MonthWise Unit Sold'!G295,'MonthWise Unit Sold'!G351,'MonthWise Unit Sold'!G407,'MonthWise Unit Sold'!G463,'MonthWise Unit Sold'!G519,'MonthWise Unit Sold'!G575,'MonthWise Unit Sold'!G631)</f>
        <v>338618222.79999995</v>
      </c>
      <c r="H29" s="4543">
        <f>SUM('MonthWise Unit Sold'!H24,'MonthWise Unit Sold'!H71,'MonthWise Unit Sold'!H127,'MonthWise Unit Sold'!H183,'MonthWise Unit Sold'!H239,'MonthWise Unit Sold'!H295,'MonthWise Unit Sold'!H351,'MonthWise Unit Sold'!H407,'MonthWise Unit Sold'!H463,'MonthWise Unit Sold'!H519,'MonthWise Unit Sold'!H575,'MonthWise Unit Sold'!H631)</f>
        <v>59104896.82</v>
      </c>
      <c r="I29" s="4543">
        <f>SUM('MonthWise Unit Sold'!I24,'MonthWise Unit Sold'!I71,'MonthWise Unit Sold'!I127,'MonthWise Unit Sold'!I183,'MonthWise Unit Sold'!I239,'MonthWise Unit Sold'!I295,'MonthWise Unit Sold'!I351,'MonthWise Unit Sold'!I407,'MonthWise Unit Sold'!I463,'MonthWise Unit Sold'!I519,'MonthWise Unit Sold'!I575,'MonthWise Unit Sold'!I631)</f>
        <v>71112028.75</v>
      </c>
      <c r="J29" s="4543">
        <f>SUM('MonthWise Unit Sold'!J24,'MonthWise Unit Sold'!J71,'MonthWise Unit Sold'!J127,'MonthWise Unit Sold'!J183,'MonthWise Unit Sold'!J239,'MonthWise Unit Sold'!J295,'MonthWise Unit Sold'!J351,'MonthWise Unit Sold'!J407,'MonthWise Unit Sold'!J463,'MonthWise Unit Sold'!J519,'MonthWise Unit Sold'!J575,'MonthWise Unit Sold'!J631)</f>
        <v>468835148.37</v>
      </c>
      <c r="L29" s="4544">
        <v>8.6375074945209906</v>
      </c>
      <c r="M29" s="5372">
        <f t="shared" si="0"/>
        <v>46.883514837</v>
      </c>
    </row>
    <row r="30" spans="2:13">
      <c r="B30" s="3859" t="s">
        <v>32</v>
      </c>
      <c r="C30" s="3859" t="s">
        <v>28</v>
      </c>
      <c r="D30" s="4543">
        <f>'MonthWise Unit Sold'!D632</f>
        <v>1</v>
      </c>
      <c r="E30" s="4543">
        <f>'MonthWise Unit Sold'!E632</f>
        <v>125</v>
      </c>
      <c r="F30" s="4543">
        <f>SUM('MonthWise Unit Sold'!F25,'MonthWise Unit Sold'!F72,'MonthWise Unit Sold'!F128,'MonthWise Unit Sold'!F184,'MonthWise Unit Sold'!F240,'MonthWise Unit Sold'!F296,'MonthWise Unit Sold'!F352,'MonthWise Unit Sold'!F408,'MonthWise Unit Sold'!F464,'MonthWise Unit Sold'!F520,'MonthWise Unit Sold'!F576,'MonthWise Unit Sold'!F632)</f>
        <v>49505124</v>
      </c>
      <c r="G30" s="4543">
        <f>SUM('MonthWise Unit Sold'!G25,'MonthWise Unit Sold'!G72,'MonthWise Unit Sold'!G128,'MonthWise Unit Sold'!G184,'MonthWise Unit Sold'!G240,'MonthWise Unit Sold'!G296,'MonthWise Unit Sold'!G352,'MonthWise Unit Sold'!G408,'MonthWise Unit Sold'!G464,'MonthWise Unit Sold'!G520,'MonthWise Unit Sold'!G576,'MonthWise Unit Sold'!G632)</f>
        <v>302578341.00000006</v>
      </c>
      <c r="H30" s="4543">
        <f>SUM('MonthWise Unit Sold'!H25,'MonthWise Unit Sold'!H72,'MonthWise Unit Sold'!H128,'MonthWise Unit Sold'!H184,'MonthWise Unit Sold'!H240,'MonthWise Unit Sold'!H296,'MonthWise Unit Sold'!H352,'MonthWise Unit Sold'!H408,'MonthWise Unit Sold'!H464,'MonthWise Unit Sold'!H520,'MonthWise Unit Sold'!H576,'MonthWise Unit Sold'!H632)</f>
        <v>30624407.84</v>
      </c>
      <c r="I30" s="4543">
        <f>SUM('MonthWise Unit Sold'!I25,'MonthWise Unit Sold'!I72,'MonthWise Unit Sold'!I128,'MonthWise Unit Sold'!I184,'MonthWise Unit Sold'!I240,'MonthWise Unit Sold'!I296,'MonthWise Unit Sold'!I352,'MonthWise Unit Sold'!I408,'MonthWise Unit Sold'!I464,'MonthWise Unit Sold'!I520,'MonthWise Unit Sold'!I576,'MonthWise Unit Sold'!I632)</f>
        <v>63436730.399999999</v>
      </c>
      <c r="J30" s="4543">
        <f>SUM('MonthWise Unit Sold'!J25,'MonthWise Unit Sold'!J72,'MonthWise Unit Sold'!J128,'MonthWise Unit Sold'!J184,'MonthWise Unit Sold'!J240,'MonthWise Unit Sold'!J296,'MonthWise Unit Sold'!J352,'MonthWise Unit Sold'!J408,'MonthWise Unit Sold'!J464,'MonthWise Unit Sold'!J520,'MonthWise Unit Sold'!J576,'MonthWise Unit Sold'!J632)</f>
        <v>396639479.23999995</v>
      </c>
      <c r="L30" s="4544">
        <v>8.0120893998770715</v>
      </c>
      <c r="M30" s="5372">
        <f t="shared" si="0"/>
        <v>39.663947923999991</v>
      </c>
    </row>
    <row r="31" spans="2:13">
      <c r="B31" s="3859" t="s">
        <v>33</v>
      </c>
      <c r="C31" s="3859" t="s">
        <v>28</v>
      </c>
      <c r="D31" s="4543">
        <f>'MonthWise Unit Sold'!D633</f>
        <v>785</v>
      </c>
      <c r="E31" s="4543">
        <f>'MonthWise Unit Sold'!E633</f>
        <v>141</v>
      </c>
      <c r="F31" s="4543">
        <f>SUM('MonthWise Unit Sold'!F26,'MonthWise Unit Sold'!F73,'MonthWise Unit Sold'!F129,'MonthWise Unit Sold'!F185,'MonthWise Unit Sold'!F241,'MonthWise Unit Sold'!F297,'MonthWise Unit Sold'!F353,'MonthWise Unit Sold'!F409,'MonthWise Unit Sold'!F465,'MonthWise Unit Sold'!F521,'MonthWise Unit Sold'!F577,'MonthWise Unit Sold'!F633)</f>
        <v>2660995</v>
      </c>
      <c r="G31" s="4543">
        <f>SUM('MonthWise Unit Sold'!G26,'MonthWise Unit Sold'!G73,'MonthWise Unit Sold'!G129,'MonthWise Unit Sold'!G185,'MonthWise Unit Sold'!G241,'MonthWise Unit Sold'!G297,'MonthWise Unit Sold'!G353,'MonthWise Unit Sold'!G409,'MonthWise Unit Sold'!G465,'MonthWise Unit Sold'!G521,'MonthWise Unit Sold'!G577,'MonthWise Unit Sold'!G633)</f>
        <v>30950165.600000001</v>
      </c>
      <c r="H31" s="4543">
        <f>SUM('MonthWise Unit Sold'!H26,'MonthWise Unit Sold'!H73,'MonthWise Unit Sold'!H129,'MonthWise Unit Sold'!H185,'MonthWise Unit Sold'!H241,'MonthWise Unit Sold'!H297,'MonthWise Unit Sold'!H353,'MonthWise Unit Sold'!H409,'MonthWise Unit Sold'!H465,'MonthWise Unit Sold'!H521,'MonthWise Unit Sold'!H577,'MonthWise Unit Sold'!H633)</f>
        <v>6628031.4600000018</v>
      </c>
      <c r="I31" s="4543">
        <f>SUM('MonthWise Unit Sold'!I26,'MonthWise Unit Sold'!I73,'MonthWise Unit Sold'!I129,'MonthWise Unit Sold'!I185,'MonthWise Unit Sold'!I241,'MonthWise Unit Sold'!I297,'MonthWise Unit Sold'!I353,'MonthWise Unit Sold'!I409,'MonthWise Unit Sold'!I465,'MonthWise Unit Sold'!I521,'MonthWise Unit Sold'!I577,'MonthWise Unit Sold'!I633)</f>
        <v>5550969.7600000007</v>
      </c>
      <c r="J31" s="4543">
        <f>SUM('MonthWise Unit Sold'!J26,'MonthWise Unit Sold'!J73,'MonthWise Unit Sold'!J129,'MonthWise Unit Sold'!J185,'MonthWise Unit Sold'!J241,'MonthWise Unit Sold'!J297,'MonthWise Unit Sold'!J353,'MonthWise Unit Sold'!J409,'MonthWise Unit Sold'!J465,'MonthWise Unit Sold'!J521,'MonthWise Unit Sold'!J577,'MonthWise Unit Sold'!J633)</f>
        <v>43129166.82</v>
      </c>
      <c r="L31" s="4544">
        <v>16.20790975556136</v>
      </c>
      <c r="M31" s="5372">
        <f t="shared" si="0"/>
        <v>4.312916682</v>
      </c>
    </row>
    <row r="32" spans="2:13">
      <c r="B32" s="3859" t="s">
        <v>34</v>
      </c>
      <c r="C32" s="3859" t="s">
        <v>28</v>
      </c>
      <c r="D32" s="4543"/>
      <c r="E32" s="4543"/>
      <c r="F32" s="4543">
        <f>SUM('MonthWise Unit Sold'!F27,'MonthWise Unit Sold'!F74,'MonthWise Unit Sold'!F130,'MonthWise Unit Sold'!F186,'MonthWise Unit Sold'!F242,'MonthWise Unit Sold'!F298,'MonthWise Unit Sold'!F354,'MonthWise Unit Sold'!F410,'MonthWise Unit Sold'!F466,'MonthWise Unit Sold'!F522,'MonthWise Unit Sold'!F578,'MonthWise Unit Sold'!F634)</f>
        <v>26162059.810000002</v>
      </c>
      <c r="G32" s="4543">
        <f>SUM('MonthWise Unit Sold'!G27,'MonthWise Unit Sold'!G74,'MonthWise Unit Sold'!G130,'MonthWise Unit Sold'!G186,'MonthWise Unit Sold'!G242,'MonthWise Unit Sold'!G298,'MonthWise Unit Sold'!G354,'MonthWise Unit Sold'!G410,'MonthWise Unit Sold'!G466,'MonthWise Unit Sold'!G522,'MonthWise Unit Sold'!G578,'MonthWise Unit Sold'!G634)</f>
        <v>145766289.03620002</v>
      </c>
      <c r="H32" s="4543">
        <f>SUM('MonthWise Unit Sold'!H27,'MonthWise Unit Sold'!H74,'MonthWise Unit Sold'!H130,'MonthWise Unit Sold'!H186,'MonthWise Unit Sold'!H242,'MonthWise Unit Sold'!H298,'MonthWise Unit Sold'!H354,'MonthWise Unit Sold'!H410,'MonthWise Unit Sold'!H466,'MonthWise Unit Sold'!H522,'MonthWise Unit Sold'!H578,'MonthWise Unit Sold'!H634)</f>
        <v>20193373.880000003</v>
      </c>
      <c r="I32" s="4543">
        <f>SUM('MonthWise Unit Sold'!I27,'MonthWise Unit Sold'!I74,'MonthWise Unit Sold'!I130,'MonthWise Unit Sold'!I186,'MonthWise Unit Sold'!I242,'MonthWise Unit Sold'!I298,'MonthWise Unit Sold'!I354,'MonthWise Unit Sold'!I410,'MonthWise Unit Sold'!I466,'MonthWise Unit Sold'!I522,'MonthWise Unit Sold'!I578,'MonthWise Unit Sold'!I634)</f>
        <v>30008904.182399999</v>
      </c>
      <c r="J32" s="4543">
        <f>SUM('MonthWise Unit Sold'!J27,'MonthWise Unit Sold'!J74,'MonthWise Unit Sold'!J130,'MonthWise Unit Sold'!J186,'MonthWise Unit Sold'!J242,'MonthWise Unit Sold'!J298,'MonthWise Unit Sold'!J354,'MonthWise Unit Sold'!J410,'MonthWise Unit Sold'!J466,'MonthWise Unit Sold'!J522,'MonthWise Unit Sold'!J578,'MonthWise Unit Sold'!J634)</f>
        <v>195968567.0986</v>
      </c>
      <c r="L32" s="4544">
        <v>7.4905633777235821</v>
      </c>
      <c r="M32" s="5372">
        <f t="shared" si="0"/>
        <v>19.596856709859999</v>
      </c>
    </row>
    <row r="33" spans="2:13">
      <c r="B33" s="3859" t="s">
        <v>35</v>
      </c>
      <c r="C33" s="3859" t="s">
        <v>28</v>
      </c>
      <c r="D33" s="4543">
        <f>'MonthWise Unit Sold'!D635</f>
        <v>559</v>
      </c>
      <c r="E33" s="4543">
        <f>'MonthWise Unit Sold'!E635</f>
        <v>127</v>
      </c>
      <c r="F33" s="4543">
        <f>SUM('MonthWise Unit Sold'!F28,'MonthWise Unit Sold'!F75,'MonthWise Unit Sold'!F131,'MonthWise Unit Sold'!F187,'MonthWise Unit Sold'!F243,'MonthWise Unit Sold'!F299,'MonthWise Unit Sold'!F355,'MonthWise Unit Sold'!F411,'MonthWise Unit Sold'!F467,'MonthWise Unit Sold'!F523,'MonthWise Unit Sold'!F579,'MonthWise Unit Sold'!F635)</f>
        <v>4003987</v>
      </c>
      <c r="G33" s="4543">
        <f>SUM('MonthWise Unit Sold'!G28,'MonthWise Unit Sold'!G75,'MonthWise Unit Sold'!G131,'MonthWise Unit Sold'!G187,'MonthWise Unit Sold'!G243,'MonthWise Unit Sold'!G299,'MonthWise Unit Sold'!G355,'MonthWise Unit Sold'!G411,'MonthWise Unit Sold'!G467,'MonthWise Unit Sold'!G523,'MonthWise Unit Sold'!G579,'MonthWise Unit Sold'!G635)</f>
        <v>22354277.18</v>
      </c>
      <c r="H33" s="4543">
        <f>SUM('MonthWise Unit Sold'!H28,'MonthWise Unit Sold'!H75,'MonthWise Unit Sold'!H131,'MonthWise Unit Sold'!H187,'MonthWise Unit Sold'!H243,'MonthWise Unit Sold'!H299,'MonthWise Unit Sold'!H355,'MonthWise Unit Sold'!H411,'MonthWise Unit Sold'!H467,'MonthWise Unit Sold'!H523,'MonthWise Unit Sold'!H579,'MonthWise Unit Sold'!H635)</f>
        <v>2448067.0799999996</v>
      </c>
      <c r="I33" s="4543">
        <f>SUM('MonthWise Unit Sold'!I28,'MonthWise Unit Sold'!I75,'MonthWise Unit Sold'!I131,'MonthWise Unit Sold'!I187,'MonthWise Unit Sold'!I243,'MonthWise Unit Sold'!I299,'MonthWise Unit Sold'!I355,'MonthWise Unit Sold'!I411,'MonthWise Unit Sold'!I467,'MonthWise Unit Sold'!I523,'MonthWise Unit Sold'!I579,'MonthWise Unit Sold'!I635)</f>
        <v>4784394.5600000005</v>
      </c>
      <c r="J33" s="4543">
        <f>SUM('MonthWise Unit Sold'!J28,'MonthWise Unit Sold'!J75,'MonthWise Unit Sold'!J131,'MonthWise Unit Sold'!J187,'MonthWise Unit Sold'!J243,'MonthWise Unit Sold'!J299,'MonthWise Unit Sold'!J355,'MonthWise Unit Sold'!J411,'MonthWise Unit Sold'!J467,'MonthWise Unit Sold'!J523,'MonthWise Unit Sold'!J579,'MonthWise Unit Sold'!J635)</f>
        <v>29586738.820000004</v>
      </c>
      <c r="L33" s="4544">
        <v>7.3893194008871657</v>
      </c>
      <c r="M33" s="5372">
        <f t="shared" si="0"/>
        <v>2.9586738820000003</v>
      </c>
    </row>
    <row r="34" spans="2:13">
      <c r="B34" s="3859" t="s">
        <v>36</v>
      </c>
      <c r="C34" s="3859" t="s">
        <v>28</v>
      </c>
      <c r="D34" s="4543">
        <f>'MonthWise Unit Sold'!D636</f>
        <v>1</v>
      </c>
      <c r="E34" s="4543">
        <f>'MonthWise Unit Sold'!E636</f>
        <v>3</v>
      </c>
      <c r="F34" s="4543">
        <f>SUM('MonthWise Unit Sold'!F29,'MonthWise Unit Sold'!F76,'MonthWise Unit Sold'!F132,'MonthWise Unit Sold'!F188,'MonthWise Unit Sold'!F244,'MonthWise Unit Sold'!F300,'MonthWise Unit Sold'!F356,'MonthWise Unit Sold'!F412,'MonthWise Unit Sold'!F468,'MonthWise Unit Sold'!F524,'MonthWise Unit Sold'!F580,'MonthWise Unit Sold'!F636)</f>
        <v>1595906</v>
      </c>
      <c r="G34" s="4543">
        <f>SUM('MonthWise Unit Sold'!G29,'MonthWise Unit Sold'!G76,'MonthWise Unit Sold'!G132,'MonthWise Unit Sold'!G188,'MonthWise Unit Sold'!G244,'MonthWise Unit Sold'!G300,'MonthWise Unit Sold'!G356,'MonthWise Unit Sold'!G412,'MonthWise Unit Sold'!G468,'MonthWise Unit Sold'!G524,'MonthWise Unit Sold'!G580,'MonthWise Unit Sold'!G636)</f>
        <v>5139857.2</v>
      </c>
      <c r="H34" s="4543">
        <f>SUM('MonthWise Unit Sold'!H29,'MonthWise Unit Sold'!H76,'MonthWise Unit Sold'!H132,'MonthWise Unit Sold'!H188,'MonthWise Unit Sold'!H244,'MonthWise Unit Sold'!H300,'MonthWise Unit Sold'!H356,'MonthWise Unit Sold'!H412,'MonthWise Unit Sold'!H468,'MonthWise Unit Sold'!H524,'MonthWise Unit Sold'!H580,'MonthWise Unit Sold'!H636)</f>
        <v>356985.98000000004</v>
      </c>
      <c r="I34" s="4543">
        <f>SUM('MonthWise Unit Sold'!I29,'MonthWise Unit Sold'!I76,'MonthWise Unit Sold'!I132,'MonthWise Unit Sold'!I188,'MonthWise Unit Sold'!I244,'MonthWise Unit Sold'!I300,'MonthWise Unit Sold'!I356,'MonthWise Unit Sold'!I412,'MonthWise Unit Sold'!I468,'MonthWise Unit Sold'!I524,'MonthWise Unit Sold'!I580,'MonthWise Unit Sold'!I636)</f>
        <v>1354281.15</v>
      </c>
      <c r="J34" s="4543">
        <f>SUM('MonthWise Unit Sold'!J29,'MonthWise Unit Sold'!J76,'MonthWise Unit Sold'!J132,'MonthWise Unit Sold'!J188,'MonthWise Unit Sold'!J244,'MonthWise Unit Sold'!J300,'MonthWise Unit Sold'!J356,'MonthWise Unit Sold'!J412,'MonthWise Unit Sold'!J468,'MonthWise Unit Sold'!J524,'MonthWise Unit Sold'!J580,'MonthWise Unit Sold'!J636)</f>
        <v>6851124.330000001</v>
      </c>
      <c r="L34" s="4544">
        <v>4.2929372594626498</v>
      </c>
      <c r="M34" s="5372">
        <f t="shared" si="0"/>
        <v>0.68511243300000013</v>
      </c>
    </row>
    <row r="35" spans="2:13">
      <c r="B35" s="3859" t="s">
        <v>37</v>
      </c>
      <c r="C35" s="3859" t="s">
        <v>28</v>
      </c>
      <c r="D35" s="4543">
        <f>'MonthWise Unit Sold'!D637</f>
        <v>115</v>
      </c>
      <c r="E35" s="4543">
        <f>'MonthWise Unit Sold'!E637</f>
        <v>1416</v>
      </c>
      <c r="F35" s="4543">
        <f>SUM('MonthWise Unit Sold'!F30,'MonthWise Unit Sold'!F77,'MonthWise Unit Sold'!F133,'MonthWise Unit Sold'!F189,'MonthWise Unit Sold'!F245,'MonthWise Unit Sold'!F301,'MonthWise Unit Sold'!F357,'MonthWise Unit Sold'!F413,'MonthWise Unit Sold'!F469,'MonthWise Unit Sold'!F525,'MonthWise Unit Sold'!F581,'MonthWise Unit Sold'!F637)</f>
        <v>36605784</v>
      </c>
      <c r="G35" s="4543">
        <f>SUM('MonthWise Unit Sold'!G30,'MonthWise Unit Sold'!G77,'MonthWise Unit Sold'!G133,'MonthWise Unit Sold'!G189,'MonthWise Unit Sold'!G245,'MonthWise Unit Sold'!G301,'MonthWise Unit Sold'!G357,'MonthWise Unit Sold'!G413,'MonthWise Unit Sold'!G469,'MonthWise Unit Sold'!G525,'MonthWise Unit Sold'!G581,'MonthWise Unit Sold'!G637)</f>
        <v>337422250.31999999</v>
      </c>
      <c r="H35" s="4543">
        <f>SUM('MonthWise Unit Sold'!H30,'MonthWise Unit Sold'!H77,'MonthWise Unit Sold'!H133,'MonthWise Unit Sold'!H189,'MonthWise Unit Sold'!H245,'MonthWise Unit Sold'!H301,'MonthWise Unit Sold'!H357,'MonthWise Unit Sold'!H413,'MonthWise Unit Sold'!H469,'MonthWise Unit Sold'!H525,'MonthWise Unit Sold'!H581,'MonthWise Unit Sold'!H637)</f>
        <v>21554416.649999999</v>
      </c>
      <c r="I35" s="4543">
        <f>SUM('MonthWise Unit Sold'!I30,'MonthWise Unit Sold'!I77,'MonthWise Unit Sold'!I133,'MonthWise Unit Sold'!I189,'MonthWise Unit Sold'!I245,'MonthWise Unit Sold'!I301,'MonthWise Unit Sold'!I357,'MonthWise Unit Sold'!I413,'MonthWise Unit Sold'!I469,'MonthWise Unit Sold'!I525,'MonthWise Unit Sold'!I581,'MonthWise Unit Sold'!I637)</f>
        <v>67683984.390000001</v>
      </c>
      <c r="J35" s="4543">
        <f>SUM('MonthWise Unit Sold'!J30,'MonthWise Unit Sold'!J77,'MonthWise Unit Sold'!J133,'MonthWise Unit Sold'!J189,'MonthWise Unit Sold'!J245,'MonthWise Unit Sold'!J301,'MonthWise Unit Sold'!J357,'MonthWise Unit Sold'!J413,'MonthWise Unit Sold'!J469,'MonthWise Unit Sold'!J525,'MonthWise Unit Sold'!J581,'MonthWise Unit Sold'!J637)</f>
        <v>426660651.35999995</v>
      </c>
      <c r="L35" s="4544">
        <v>11.655552886396313</v>
      </c>
      <c r="M35" s="5372">
        <f t="shared" si="0"/>
        <v>42.666065135999993</v>
      </c>
    </row>
    <row r="36" spans="2:13">
      <c r="B36" s="3859" t="s">
        <v>38</v>
      </c>
      <c r="C36" s="3859" t="s">
        <v>28</v>
      </c>
      <c r="D36" s="4543">
        <f>'MonthWise Unit Sold'!D638</f>
        <v>8</v>
      </c>
      <c r="E36" s="4543">
        <f>'MonthWise Unit Sold'!E638</f>
        <v>15</v>
      </c>
      <c r="F36" s="4543">
        <f>SUM('MonthWise Unit Sold'!F31,'MonthWise Unit Sold'!F78,'MonthWise Unit Sold'!F134,'MonthWise Unit Sold'!F190,'MonthWise Unit Sold'!F246,'MonthWise Unit Sold'!F302,'MonthWise Unit Sold'!F358,'MonthWise Unit Sold'!F414,'MonthWise Unit Sold'!F470,'MonthWise Unit Sold'!F526,'MonthWise Unit Sold'!F582,'MonthWise Unit Sold'!F638)</f>
        <v>1242072</v>
      </c>
      <c r="G36" s="4543">
        <f>SUM('MonthWise Unit Sold'!G31,'MonthWise Unit Sold'!G78,'MonthWise Unit Sold'!G134,'MonthWise Unit Sold'!G190,'MonthWise Unit Sold'!G246,'MonthWise Unit Sold'!G302,'MonthWise Unit Sold'!G358,'MonthWise Unit Sold'!G414,'MonthWise Unit Sold'!G470,'MonthWise Unit Sold'!G526,'MonthWise Unit Sold'!G582,'MonthWise Unit Sold'!G638)</f>
        <v>3719353.5000000005</v>
      </c>
      <c r="H36" s="4543">
        <f>SUM('MonthWise Unit Sold'!H31,'MonthWise Unit Sold'!H78,'MonthWise Unit Sold'!H134,'MonthWise Unit Sold'!H190,'MonthWise Unit Sold'!H246,'MonthWise Unit Sold'!H302,'MonthWise Unit Sold'!H358,'MonthWise Unit Sold'!H414,'MonthWise Unit Sold'!H470,'MonthWise Unit Sold'!H526,'MonthWise Unit Sold'!H582,'MonthWise Unit Sold'!H638)</f>
        <v>37163.47</v>
      </c>
      <c r="I36" s="4543">
        <f>SUM('MonthWise Unit Sold'!I31,'MonthWise Unit Sold'!I78,'MonthWise Unit Sold'!I134,'MonthWise Unit Sold'!I190,'MonthWise Unit Sold'!I246,'MonthWise Unit Sold'!I302,'MonthWise Unit Sold'!I358,'MonthWise Unit Sold'!I414,'MonthWise Unit Sold'!I470,'MonthWise Unit Sold'!I526,'MonthWise Unit Sold'!I582,'MonthWise Unit Sold'!I638)</f>
        <v>789168.9800000001</v>
      </c>
      <c r="J36" s="4543">
        <f>SUM('MonthWise Unit Sold'!J31,'MonthWise Unit Sold'!J78,'MonthWise Unit Sold'!J134,'MonthWise Unit Sold'!J190,'MonthWise Unit Sold'!J246,'MonthWise Unit Sold'!J302,'MonthWise Unit Sold'!J358,'MonthWise Unit Sold'!J414,'MonthWise Unit Sold'!J470,'MonthWise Unit Sold'!J526,'MonthWise Unit Sold'!J582,'MonthWise Unit Sold'!J638)</f>
        <v>4545685.9499999993</v>
      </c>
      <c r="L36" s="4544">
        <v>3.6597604245164539</v>
      </c>
      <c r="M36" s="5372">
        <f t="shared" si="0"/>
        <v>0.45456859499999991</v>
      </c>
    </row>
    <row r="37" spans="2:13">
      <c r="B37" s="3859" t="s">
        <v>39</v>
      </c>
      <c r="C37" s="3859" t="s">
        <v>28</v>
      </c>
      <c r="D37" s="4543">
        <f>'MonthWise Unit Sold'!D639</f>
        <v>1427</v>
      </c>
      <c r="E37" s="4543">
        <f>'MonthWise Unit Sold'!E639</f>
        <v>609</v>
      </c>
      <c r="F37" s="4543">
        <f>SUM('MonthWise Unit Sold'!F32,'MonthWise Unit Sold'!F79,'MonthWise Unit Sold'!F135,'MonthWise Unit Sold'!F191,'MonthWise Unit Sold'!F247,'MonthWise Unit Sold'!F303,'MonthWise Unit Sold'!F359,'MonthWise Unit Sold'!F415,'MonthWise Unit Sold'!F471,'MonthWise Unit Sold'!F527,'MonthWise Unit Sold'!F583,'MonthWise Unit Sold'!F639)</f>
        <v>10640935</v>
      </c>
      <c r="G37" s="4543">
        <f>SUM('MonthWise Unit Sold'!G32,'MonthWise Unit Sold'!G79,'MonthWise Unit Sold'!G135,'MonthWise Unit Sold'!G191,'MonthWise Unit Sold'!G247,'MonthWise Unit Sold'!G303,'MonthWise Unit Sold'!G359,'MonthWise Unit Sold'!G415,'MonthWise Unit Sold'!G471,'MonthWise Unit Sold'!G527,'MonthWise Unit Sold'!G583,'MonthWise Unit Sold'!G639)</f>
        <v>72358358</v>
      </c>
      <c r="H37" s="4543">
        <f>SUM('MonthWise Unit Sold'!H32,'MonthWise Unit Sold'!H79,'MonthWise Unit Sold'!H135,'MonthWise Unit Sold'!H191,'MonthWise Unit Sold'!H247,'MonthWise Unit Sold'!H303,'MonthWise Unit Sold'!H359,'MonthWise Unit Sold'!H415,'MonthWise Unit Sold'!H471,'MonthWise Unit Sold'!H527,'MonthWise Unit Sold'!H583,'MonthWise Unit Sold'!H639)</f>
        <v>3901158.12</v>
      </c>
      <c r="I37" s="4543">
        <f>SUM('MonthWise Unit Sold'!I32,'MonthWise Unit Sold'!I79,'MonthWise Unit Sold'!I135,'MonthWise Unit Sold'!I191,'MonthWise Unit Sold'!I247,'MonthWise Unit Sold'!I303,'MonthWise Unit Sold'!I359,'MonthWise Unit Sold'!I415,'MonthWise Unit Sold'!I471,'MonthWise Unit Sold'!I527,'MonthWise Unit Sold'!I583,'MonthWise Unit Sold'!I639)</f>
        <v>19472911.050000001</v>
      </c>
      <c r="J37" s="4543">
        <f>SUM('MonthWise Unit Sold'!J32,'MonthWise Unit Sold'!J79,'MonthWise Unit Sold'!J135,'MonthWise Unit Sold'!J191,'MonthWise Unit Sold'!J247,'MonthWise Unit Sold'!J303,'MonthWise Unit Sold'!J359,'MonthWise Unit Sold'!J415,'MonthWise Unit Sold'!J471,'MonthWise Unit Sold'!J527,'MonthWise Unit Sold'!J583,'MonthWise Unit Sold'!J639)</f>
        <v>95732427.169999987</v>
      </c>
      <c r="L37" s="4544">
        <v>8.9966179823483561</v>
      </c>
      <c r="M37" s="5372">
        <f t="shared" si="0"/>
        <v>9.5732427169999994</v>
      </c>
    </row>
    <row r="38" spans="2:13">
      <c r="B38" s="3859" t="s">
        <v>40</v>
      </c>
      <c r="C38" s="3859" t="s">
        <v>28</v>
      </c>
      <c r="D38" s="4543">
        <f>'MonthWise Unit Sold'!D640</f>
        <v>3</v>
      </c>
      <c r="E38" s="4543">
        <f>'MonthWise Unit Sold'!E640</f>
        <v>397</v>
      </c>
      <c r="F38" s="4543">
        <f>SUM('MonthWise Unit Sold'!F33,'MonthWise Unit Sold'!F80,'MonthWise Unit Sold'!F136,'MonthWise Unit Sold'!F192,'MonthWise Unit Sold'!F248,'MonthWise Unit Sold'!F304,'MonthWise Unit Sold'!F360,'MonthWise Unit Sold'!F416,'MonthWise Unit Sold'!F472,'MonthWise Unit Sold'!F528,'MonthWise Unit Sold'!F584,'MonthWise Unit Sold'!F640)</f>
        <v>35800285</v>
      </c>
      <c r="G38" s="4543">
        <f>SUM('MonthWise Unit Sold'!G33,'MonthWise Unit Sold'!G80,'MonthWise Unit Sold'!G136,'MonthWise Unit Sold'!G192,'MonthWise Unit Sold'!G248,'MonthWise Unit Sold'!G304,'MonthWise Unit Sold'!G360,'MonthWise Unit Sold'!G416,'MonthWise Unit Sold'!G472,'MonthWise Unit Sold'!G528,'MonthWise Unit Sold'!G584,'MonthWise Unit Sold'!G640)</f>
        <v>243441937.99999997</v>
      </c>
      <c r="H38" s="4543">
        <f>SUM('MonthWise Unit Sold'!H33,'MonthWise Unit Sold'!H80,'MonthWise Unit Sold'!H136,'MonthWise Unit Sold'!H192,'MonthWise Unit Sold'!H248,'MonthWise Unit Sold'!H304,'MonthWise Unit Sold'!H360,'MonthWise Unit Sold'!H416,'MonthWise Unit Sold'!H472,'MonthWise Unit Sold'!H528,'MonthWise Unit Sold'!H584,'MonthWise Unit Sold'!H640)</f>
        <v>29919376.490000002</v>
      </c>
      <c r="I38" s="4543">
        <f>SUM('MonthWise Unit Sold'!I33,'MonthWise Unit Sold'!I80,'MonthWise Unit Sold'!I136,'MonthWise Unit Sold'!I192,'MonthWise Unit Sold'!I248,'MonthWise Unit Sold'!I304,'MonthWise Unit Sold'!I360,'MonthWise Unit Sold'!I416,'MonthWise Unit Sold'!I472,'MonthWise Unit Sold'!I528,'MonthWise Unit Sold'!I584,'MonthWise Unit Sold'!I640)</f>
        <v>65514521.550000004</v>
      </c>
      <c r="J38" s="4543">
        <f>SUM('MonthWise Unit Sold'!J33,'MonthWise Unit Sold'!J80,'MonthWise Unit Sold'!J136,'MonthWise Unit Sold'!J192,'MonthWise Unit Sold'!J248,'MonthWise Unit Sold'!J304,'MonthWise Unit Sold'!J360,'MonthWise Unit Sold'!J416,'MonthWise Unit Sold'!J472,'MonthWise Unit Sold'!J528,'MonthWise Unit Sold'!J584,'MonthWise Unit Sold'!J640)</f>
        <v>338875836.04000002</v>
      </c>
      <c r="L38" s="4544">
        <v>9.4657301203049062</v>
      </c>
      <c r="M38" s="5372">
        <f t="shared" si="0"/>
        <v>33.887583604</v>
      </c>
    </row>
    <row r="39" spans="2:13">
      <c r="B39" s="3859" t="s">
        <v>41</v>
      </c>
      <c r="C39" s="3859" t="s">
        <v>28</v>
      </c>
      <c r="D39" s="4543"/>
      <c r="E39" s="4543">
        <f>'MonthWise Unit Sold'!E641</f>
        <v>41</v>
      </c>
      <c r="F39" s="4543">
        <f>SUM('MonthWise Unit Sold'!F34,'MonthWise Unit Sold'!F81,'MonthWise Unit Sold'!F137,'MonthWise Unit Sold'!F193,'MonthWise Unit Sold'!F249,'MonthWise Unit Sold'!F305,'MonthWise Unit Sold'!F361,'MonthWise Unit Sold'!F417,'MonthWise Unit Sold'!F473,'MonthWise Unit Sold'!F529,'MonthWise Unit Sold'!F585,'MonthWise Unit Sold'!F641)</f>
        <v>169395381</v>
      </c>
      <c r="G39" s="4543">
        <f>SUM('MonthWise Unit Sold'!G34,'MonthWise Unit Sold'!G81,'MonthWise Unit Sold'!G137,'MonthWise Unit Sold'!G193,'MonthWise Unit Sold'!G249,'MonthWise Unit Sold'!G305,'MonthWise Unit Sold'!G361,'MonthWise Unit Sold'!G417,'MonthWise Unit Sold'!G473,'MonthWise Unit Sold'!G529,'MonthWise Unit Sold'!G585,'MonthWise Unit Sold'!G641)</f>
        <v>963021810.45000017</v>
      </c>
      <c r="H39" s="4543">
        <f>SUM('MonthWise Unit Sold'!H34,'MonthWise Unit Sold'!H81,'MonthWise Unit Sold'!H137,'MonthWise Unit Sold'!H193,'MonthWise Unit Sold'!H249,'MonthWise Unit Sold'!H305,'MonthWise Unit Sold'!H361,'MonthWise Unit Sold'!H417,'MonthWise Unit Sold'!H473,'MonthWise Unit Sold'!H529,'MonthWise Unit Sold'!H585,'MonthWise Unit Sold'!H641)</f>
        <v>97891740.730000004</v>
      </c>
      <c r="I39" s="4543">
        <f>SUM('MonthWise Unit Sold'!I34,'MonthWise Unit Sold'!I81,'MonthWise Unit Sold'!I137,'MonthWise Unit Sold'!I193,'MonthWise Unit Sold'!I249,'MonthWise Unit Sold'!I305,'MonthWise Unit Sold'!I361,'MonthWise Unit Sold'!I417,'MonthWise Unit Sold'!I473,'MonthWise Unit Sold'!I529,'MonthWise Unit Sold'!I585,'MonthWise Unit Sold'!I641)</f>
        <v>201228784.56</v>
      </c>
      <c r="J39" s="4543">
        <f>SUM('MonthWise Unit Sold'!J34,'MonthWise Unit Sold'!J81,'MonthWise Unit Sold'!J137,'MonthWise Unit Sold'!J193,'MonthWise Unit Sold'!J249,'MonthWise Unit Sold'!J305,'MonthWise Unit Sold'!J361,'MonthWise Unit Sold'!J417,'MonthWise Unit Sold'!J473,'MonthWise Unit Sold'!J529,'MonthWise Unit Sold'!J585,'MonthWise Unit Sold'!J641)</f>
        <v>1262142335.7399998</v>
      </c>
      <c r="L39" s="4544">
        <v>7.450866300421735</v>
      </c>
      <c r="M39" s="5372">
        <f t="shared" si="0"/>
        <v>126.21423357399998</v>
      </c>
    </row>
    <row r="40" spans="2:13">
      <c r="B40" s="3859" t="s">
        <v>42</v>
      </c>
      <c r="C40" s="3859" t="s">
        <v>28</v>
      </c>
      <c r="D40" s="4543"/>
      <c r="E40" s="4543">
        <f>'MonthWise Unit Sold'!E642</f>
        <v>101</v>
      </c>
      <c r="F40" s="4543">
        <f>SUM('MonthWise Unit Sold'!F35,'MonthWise Unit Sold'!F82,'MonthWise Unit Sold'!F138,'MonthWise Unit Sold'!F194,'MonthWise Unit Sold'!F250,'MonthWise Unit Sold'!F306,'MonthWise Unit Sold'!F362,'MonthWise Unit Sold'!F418,'MonthWise Unit Sold'!F474,'MonthWise Unit Sold'!F530,'MonthWise Unit Sold'!F586,'MonthWise Unit Sold'!F642)</f>
        <v>381589541</v>
      </c>
      <c r="G40" s="4543">
        <f>SUM('MonthWise Unit Sold'!G35,'MonthWise Unit Sold'!G82,'MonthWise Unit Sold'!G138,'MonthWise Unit Sold'!G194,'MonthWise Unit Sold'!G250,'MonthWise Unit Sold'!G306,'MonthWise Unit Sold'!G362,'MonthWise Unit Sold'!G418,'MonthWise Unit Sold'!G474,'MonthWise Unit Sold'!G530,'MonthWise Unit Sold'!G586,'MonthWise Unit Sold'!G642)</f>
        <v>2317018520.3499994</v>
      </c>
      <c r="H40" s="4543">
        <f>SUM('MonthWise Unit Sold'!H35,'MonthWise Unit Sold'!H82,'MonthWise Unit Sold'!H138,'MonthWise Unit Sold'!H194,'MonthWise Unit Sold'!H250,'MonthWise Unit Sold'!H306,'MonthWise Unit Sold'!H362,'MonthWise Unit Sold'!H418,'MonthWise Unit Sold'!H474,'MonthWise Unit Sold'!H530,'MonthWise Unit Sold'!H586,'MonthWise Unit Sold'!H642)</f>
        <v>205420184.75999996</v>
      </c>
      <c r="I40" s="4543">
        <f>SUM('MonthWise Unit Sold'!I35,'MonthWise Unit Sold'!I82,'MonthWise Unit Sold'!I138,'MonthWise Unit Sold'!I194,'MonthWise Unit Sold'!I250,'MonthWise Unit Sold'!I306,'MonthWise Unit Sold'!I362,'MonthWise Unit Sold'!I418,'MonthWise Unit Sold'!I474,'MonthWise Unit Sold'!I530,'MonthWise Unit Sold'!I586,'MonthWise Unit Sold'!I642)</f>
        <v>471129753.96000004</v>
      </c>
      <c r="J40" s="4543">
        <f>SUM('MonthWise Unit Sold'!J35,'MonthWise Unit Sold'!J82,'MonthWise Unit Sold'!J138,'MonthWise Unit Sold'!J194,'MonthWise Unit Sold'!J250,'MonthWise Unit Sold'!J306,'MonthWise Unit Sold'!J362,'MonthWise Unit Sold'!J418,'MonthWise Unit Sold'!J474,'MonthWise Unit Sold'!J530,'MonthWise Unit Sold'!J586,'MonthWise Unit Sold'!J642)</f>
        <v>2993568459.0700002</v>
      </c>
      <c r="L40" s="4544">
        <v>7.8449960950842703</v>
      </c>
      <c r="M40" s="5372">
        <f t="shared" si="0"/>
        <v>299.35684590700004</v>
      </c>
    </row>
    <row r="41" spans="2:13">
      <c r="B41" s="3859" t="s">
        <v>43</v>
      </c>
      <c r="C41" s="3859" t="s">
        <v>28</v>
      </c>
      <c r="D41" s="4543"/>
      <c r="E41" s="4543">
        <f>'MonthWise Unit Sold'!E643</f>
        <v>10</v>
      </c>
      <c r="F41" s="4543">
        <f>SUM('MonthWise Unit Sold'!F36,'MonthWise Unit Sold'!F83,'MonthWise Unit Sold'!F139,'MonthWise Unit Sold'!F195,'MonthWise Unit Sold'!F251,'MonthWise Unit Sold'!F307,'MonthWise Unit Sold'!F363,'MonthWise Unit Sold'!F419,'MonthWise Unit Sold'!F475,'MonthWise Unit Sold'!F531,'MonthWise Unit Sold'!F587,'MonthWise Unit Sold'!F643)</f>
        <v>32271809</v>
      </c>
      <c r="G41" s="4543">
        <f>SUM('MonthWise Unit Sold'!G36,'MonthWise Unit Sold'!G83,'MonthWise Unit Sold'!G139,'MonthWise Unit Sold'!G195,'MonthWise Unit Sold'!G251,'MonthWise Unit Sold'!G307,'MonthWise Unit Sold'!G363,'MonthWise Unit Sold'!G419,'MonthWise Unit Sold'!G475,'MonthWise Unit Sold'!G531,'MonthWise Unit Sold'!G587,'MonthWise Unit Sold'!G643)</f>
        <v>106433487</v>
      </c>
      <c r="H41" s="4543">
        <f>SUM('MonthWise Unit Sold'!H36,'MonthWise Unit Sold'!H83,'MonthWise Unit Sold'!H139,'MonthWise Unit Sold'!H195,'MonthWise Unit Sold'!H251,'MonthWise Unit Sold'!H307,'MonthWise Unit Sold'!H363,'MonthWise Unit Sold'!H419,'MonthWise Unit Sold'!H475,'MonthWise Unit Sold'!H531,'MonthWise Unit Sold'!H587,'MonthWise Unit Sold'!H643)</f>
        <v>15920492.640000001</v>
      </c>
      <c r="I41" s="4543">
        <f>SUM('MonthWise Unit Sold'!I36,'MonthWise Unit Sold'!I83,'MonthWise Unit Sold'!I139,'MonthWise Unit Sold'!I195,'MonthWise Unit Sold'!I251,'MonthWise Unit Sold'!I307,'MonthWise Unit Sold'!I363,'MonthWise Unit Sold'!I419,'MonthWise Unit Sold'!I475,'MonthWise Unit Sold'!I531,'MonthWise Unit Sold'!I587,'MonthWise Unit Sold'!I643)</f>
        <v>21881086.5</v>
      </c>
      <c r="J41" s="4543">
        <f>SUM('MonthWise Unit Sold'!J36,'MonthWise Unit Sold'!J83,'MonthWise Unit Sold'!J139,'MonthWise Unit Sold'!J195,'MonthWise Unit Sold'!J251,'MonthWise Unit Sold'!J307,'MonthWise Unit Sold'!J363,'MonthWise Unit Sold'!J419,'MonthWise Unit Sold'!J475,'MonthWise Unit Sold'!J531,'MonthWise Unit Sold'!J587,'MonthWise Unit Sold'!J643)</f>
        <v>144235066.13999999</v>
      </c>
      <c r="L41" s="4544">
        <v>4.469382740211433</v>
      </c>
      <c r="M41" s="5372">
        <f t="shared" si="0"/>
        <v>14.423506613999999</v>
      </c>
    </row>
    <row r="42" spans="2:13">
      <c r="B42" s="3859" t="s">
        <v>44</v>
      </c>
      <c r="C42" s="3859" t="s">
        <v>28</v>
      </c>
      <c r="D42" s="4543"/>
      <c r="E42" s="4543">
        <f>'MonthWise Unit Sold'!E644</f>
        <v>3</v>
      </c>
      <c r="F42" s="4543">
        <f>SUM('MonthWise Unit Sold'!F37,'MonthWise Unit Sold'!F84,'MonthWise Unit Sold'!F140,'MonthWise Unit Sold'!F196,'MonthWise Unit Sold'!F252,'MonthWise Unit Sold'!F308,'MonthWise Unit Sold'!F364,'MonthWise Unit Sold'!F420,'MonthWise Unit Sold'!F476,'MonthWise Unit Sold'!F532,'MonthWise Unit Sold'!F588,'MonthWise Unit Sold'!F644)</f>
        <v>4007172</v>
      </c>
      <c r="G42" s="4543">
        <f>SUM('MonthWise Unit Sold'!G37,'MonthWise Unit Sold'!G84,'MonthWise Unit Sold'!G140,'MonthWise Unit Sold'!G196,'MonthWise Unit Sold'!G252,'MonthWise Unit Sold'!G308,'MonthWise Unit Sold'!G364,'MonthWise Unit Sold'!G420,'MonthWise Unit Sold'!G476,'MonthWise Unit Sold'!G532,'MonthWise Unit Sold'!G588,'MonthWise Unit Sold'!G644)</f>
        <v>34310875.799999997</v>
      </c>
      <c r="H42" s="4543">
        <f>SUM('MonthWise Unit Sold'!H37,'MonthWise Unit Sold'!H84,'MonthWise Unit Sold'!H140,'MonthWise Unit Sold'!H196,'MonthWise Unit Sold'!H252,'MonthWise Unit Sold'!H308,'MonthWise Unit Sold'!H364,'MonthWise Unit Sold'!H420,'MonthWise Unit Sold'!H476,'MonthWise Unit Sold'!H532,'MonthWise Unit Sold'!H588,'MonthWise Unit Sold'!H644)</f>
        <v>10058.34</v>
      </c>
      <c r="I42" s="4543">
        <f>SUM('MonthWise Unit Sold'!I37,'MonthWise Unit Sold'!I84,'MonthWise Unit Sold'!I140,'MonthWise Unit Sold'!I196,'MonthWise Unit Sold'!I252,'MonthWise Unit Sold'!I308,'MonthWise Unit Sold'!I364,'MonthWise Unit Sold'!I420,'MonthWise Unit Sold'!I476,'MonthWise Unit Sold'!I532,'MonthWise Unit Sold'!I588,'MonthWise Unit Sold'!I644)</f>
        <v>7518471.96</v>
      </c>
      <c r="J42" s="4543">
        <f>SUM('MonthWise Unit Sold'!J37,'MonthWise Unit Sold'!J84,'MonthWise Unit Sold'!J140,'MonthWise Unit Sold'!J196,'MonthWise Unit Sold'!J252,'MonthWise Unit Sold'!J308,'MonthWise Unit Sold'!J364,'MonthWise Unit Sold'!J420,'MonthWise Unit Sold'!J476,'MonthWise Unit Sold'!J532,'MonthWise Unit Sold'!J588,'MonthWise Unit Sold'!J644)</f>
        <v>41839406.099999994</v>
      </c>
      <c r="L42" s="4544">
        <v>10.441130577873873</v>
      </c>
      <c r="M42" s="5372">
        <f t="shared" si="0"/>
        <v>4.1839406099999996</v>
      </c>
    </row>
    <row r="43" spans="2:13">
      <c r="B43" s="3859" t="s">
        <v>45</v>
      </c>
      <c r="C43" s="3859" t="s">
        <v>28</v>
      </c>
      <c r="D43" s="4543"/>
      <c r="E43" s="4543">
        <f>'MonthWise Unit Sold'!E645</f>
        <v>15</v>
      </c>
      <c r="F43" s="4543">
        <f>SUM('MonthWise Unit Sold'!F38,'MonthWise Unit Sold'!F85,'MonthWise Unit Sold'!F141,'MonthWise Unit Sold'!F197,'MonthWise Unit Sold'!F253,'MonthWise Unit Sold'!F309,'MonthWise Unit Sold'!F365,'MonthWise Unit Sold'!F421,'MonthWise Unit Sold'!F477,'MonthWise Unit Sold'!F533,'MonthWise Unit Sold'!F589,'MonthWise Unit Sold'!F645)</f>
        <v>34105733</v>
      </c>
      <c r="G43" s="4543">
        <f>SUM('MonthWise Unit Sold'!G38,'MonthWise Unit Sold'!G85,'MonthWise Unit Sold'!G141,'MonthWise Unit Sold'!G197,'MonthWise Unit Sold'!G253,'MonthWise Unit Sold'!G309,'MonthWise Unit Sold'!G365,'MonthWise Unit Sold'!G421,'MonthWise Unit Sold'!G477,'MonthWise Unit Sold'!G533,'MonthWise Unit Sold'!G589,'MonthWise Unit Sold'!G645)</f>
        <v>190992104.80000001</v>
      </c>
      <c r="H43" s="4543">
        <f>SUM('MonthWise Unit Sold'!H38,'MonthWise Unit Sold'!H85,'MonthWise Unit Sold'!H141,'MonthWise Unit Sold'!H197,'MonthWise Unit Sold'!H253,'MonthWise Unit Sold'!H309,'MonthWise Unit Sold'!H365,'MonthWise Unit Sold'!H421,'MonthWise Unit Sold'!H477,'MonthWise Unit Sold'!H533,'MonthWise Unit Sold'!H589,'MonthWise Unit Sold'!H645)</f>
        <v>14737429.08</v>
      </c>
      <c r="I43" s="4543">
        <f>SUM('MonthWise Unit Sold'!I38,'MonthWise Unit Sold'!I85,'MonthWise Unit Sold'!I141,'MonthWise Unit Sold'!I197,'MonthWise Unit Sold'!I253,'MonthWise Unit Sold'!I309,'MonthWise Unit Sold'!I365,'MonthWise Unit Sold'!I421,'MonthWise Unit Sold'!I477,'MonthWise Unit Sold'!I533,'MonthWise Unit Sold'!I589,'MonthWise Unit Sold'!I645)</f>
        <v>51499656.829999998</v>
      </c>
      <c r="J43" s="4543">
        <f>SUM('MonthWise Unit Sold'!J38,'MonthWise Unit Sold'!J85,'MonthWise Unit Sold'!J141,'MonthWise Unit Sold'!J197,'MonthWise Unit Sold'!J253,'MonthWise Unit Sold'!J309,'MonthWise Unit Sold'!J365,'MonthWise Unit Sold'!J421,'MonthWise Unit Sold'!J477,'MonthWise Unit Sold'!J533,'MonthWise Unit Sold'!J589,'MonthWise Unit Sold'!J645)</f>
        <v>257229190.70999998</v>
      </c>
      <c r="L43" s="4544">
        <v>7.5421100232620724</v>
      </c>
      <c r="M43" s="5372">
        <f t="shared" si="0"/>
        <v>25.722919070999996</v>
      </c>
    </row>
    <row r="44" spans="2:13">
      <c r="B44" s="3859" t="s">
        <v>46</v>
      </c>
      <c r="C44" s="3859"/>
      <c r="D44" s="4543"/>
      <c r="E44" s="4543"/>
      <c r="F44" s="4543">
        <f>SUM('MonthWise Unit Sold'!F39,'MonthWise Unit Sold'!F86,'MonthWise Unit Sold'!F142,'MonthWise Unit Sold'!F198,'MonthWise Unit Sold'!F254,'MonthWise Unit Sold'!F310,'MonthWise Unit Sold'!F366,'MonthWise Unit Sold'!F422,'MonthWise Unit Sold'!F478,'MonthWise Unit Sold'!F534,'MonthWise Unit Sold'!F590,'MonthWise Unit Sold'!F646)</f>
        <v>0</v>
      </c>
      <c r="G44" s="4543">
        <f>SUM('MonthWise Unit Sold'!G39,'MonthWise Unit Sold'!G86,'MonthWise Unit Sold'!G142,'MonthWise Unit Sold'!G198,'MonthWise Unit Sold'!G254,'MonthWise Unit Sold'!G310,'MonthWise Unit Sold'!G366,'MonthWise Unit Sold'!G422,'MonthWise Unit Sold'!G478,'MonthWise Unit Sold'!G534,'MonthWise Unit Sold'!G590,'MonthWise Unit Sold'!G646)</f>
        <v>30252576.530000001</v>
      </c>
      <c r="H44" s="4543">
        <f>SUM('MonthWise Unit Sold'!H39,'MonthWise Unit Sold'!H86,'MonthWise Unit Sold'!H142,'MonthWise Unit Sold'!H198,'MonthWise Unit Sold'!H254,'MonthWise Unit Sold'!H310,'MonthWise Unit Sold'!H366,'MonthWise Unit Sold'!H422,'MonthWise Unit Sold'!H478,'MonthWise Unit Sold'!H534,'MonthWise Unit Sold'!H590,'MonthWise Unit Sold'!H646)</f>
        <v>-4760782.6900000013</v>
      </c>
      <c r="I44" s="4543">
        <f>SUM('MonthWise Unit Sold'!I39,'MonthWise Unit Sold'!I86,'MonthWise Unit Sold'!I142,'MonthWise Unit Sold'!I198,'MonthWise Unit Sold'!I254,'MonthWise Unit Sold'!I310,'MonthWise Unit Sold'!I366,'MonthWise Unit Sold'!I422,'MonthWise Unit Sold'!I478,'MonthWise Unit Sold'!I534,'MonthWise Unit Sold'!I590,'MonthWise Unit Sold'!I646)</f>
        <v>-5707327.6299999999</v>
      </c>
      <c r="J44" s="4543">
        <f>SUM('MonthWise Unit Sold'!J39,'MonthWise Unit Sold'!J86,'MonthWise Unit Sold'!J142,'MonthWise Unit Sold'!J198,'MonthWise Unit Sold'!J254,'MonthWise Unit Sold'!J310,'MonthWise Unit Sold'!J366,'MonthWise Unit Sold'!J422,'MonthWise Unit Sold'!J478,'MonthWise Unit Sold'!J534,'MonthWise Unit Sold'!J590,'MonthWise Unit Sold'!J646)</f>
        <v>19784466.209999975</v>
      </c>
      <c r="L44" s="4544"/>
      <c r="M44" s="5372">
        <f t="shared" si="0"/>
        <v>1.9784466209999976</v>
      </c>
    </row>
    <row r="45" spans="2:13">
      <c r="B45" s="3859" t="s">
        <v>47</v>
      </c>
      <c r="C45" s="3859"/>
      <c r="D45" s="4543">
        <f>'MonthWise Unit Sold'!D647</f>
        <v>880426</v>
      </c>
      <c r="E45" s="4543">
        <f>'MonthWise Unit Sold'!E647</f>
        <v>143943</v>
      </c>
      <c r="F45" s="4543">
        <f>SUM('MonthWise Unit Sold'!F40,'MonthWise Unit Sold'!F87,'MonthWise Unit Sold'!F143,'MonthWise Unit Sold'!F199,'MonthWise Unit Sold'!F255,'MonthWise Unit Sold'!F311,'MonthWise Unit Sold'!F367,'MonthWise Unit Sold'!F423,'MonthWise Unit Sold'!F479,'MonthWise Unit Sold'!F535,'MonthWise Unit Sold'!F591,'MonthWise Unit Sold'!F647)</f>
        <v>4392945081.8099995</v>
      </c>
      <c r="G45" s="4543">
        <f>SUM('MonthWise Unit Sold'!G40,'MonthWise Unit Sold'!G87,'MonthWise Unit Sold'!G143,'MonthWise Unit Sold'!G199,'MonthWise Unit Sold'!G255,'MonthWise Unit Sold'!G311,'MonthWise Unit Sold'!G367,'MonthWise Unit Sold'!G423,'MonthWise Unit Sold'!G479,'MonthWise Unit Sold'!G535,'MonthWise Unit Sold'!G591,'MonthWise Unit Sold'!G647)</f>
        <v>24291459923.3862</v>
      </c>
      <c r="H45" s="4543">
        <f>SUM('MonthWise Unit Sold'!H40,'MonthWise Unit Sold'!H87,'MonthWise Unit Sold'!H143,'MonthWise Unit Sold'!H199,'MonthWise Unit Sold'!H255,'MonthWise Unit Sold'!H311,'MonthWise Unit Sold'!H367,'MonthWise Unit Sold'!H423,'MonthWise Unit Sold'!H479,'MonthWise Unit Sold'!H535,'MonthWise Unit Sold'!H591,'MonthWise Unit Sold'!H647)</f>
        <v>2597906096.4200001</v>
      </c>
      <c r="I45" s="4543">
        <f>SUM('MonthWise Unit Sold'!I40,'MonthWise Unit Sold'!I87,'MonthWise Unit Sold'!I143,'MonthWise Unit Sold'!I199,'MonthWise Unit Sold'!I255,'MonthWise Unit Sold'!I311,'MonthWise Unit Sold'!I367,'MonthWise Unit Sold'!I423,'MonthWise Unit Sold'!I479,'MonthWise Unit Sold'!I535,'MonthWise Unit Sold'!I591,'MonthWise Unit Sold'!I647)</f>
        <v>5024031667.4124012</v>
      </c>
      <c r="J45" s="4543">
        <f>SUM('MonthWise Unit Sold'!J40,'MonthWise Unit Sold'!J87,'MonthWise Unit Sold'!J143,'MonthWise Unit Sold'!J199,'MonthWise Unit Sold'!J255,'MonthWise Unit Sold'!J311,'MonthWise Unit Sold'!J367,'MonthWise Unit Sold'!J423,'MonthWise Unit Sold'!J479,'MonthWise Unit Sold'!J535,'MonthWise Unit Sold'!J591,'MonthWise Unit Sold'!J647)</f>
        <v>31913397687.218597</v>
      </c>
      <c r="L45" s="4544">
        <v>7.2646930687486551</v>
      </c>
      <c r="M45" s="5372">
        <f t="shared" si="0"/>
        <v>3191.3397687218599</v>
      </c>
    </row>
    <row r="46" spans="2:13">
      <c r="I46" s="3814" t="s">
        <v>48</v>
      </c>
      <c r="J46" s="4543">
        <f>SUM('MonthWise Unit Sold'!J41,'MonthWise Unit Sold'!J88,'MonthWise Unit Sold'!J144,'MonthWise Unit Sold'!J200,'MonthWise Unit Sold'!J256,'MonthWise Unit Sold'!J312,'MonthWise Unit Sold'!J368,'MonthWise Unit Sold'!J424,'MonthWise Unit Sold'!J480,'MonthWise Unit Sold'!J536,'MonthWise Unit Sold'!J592,'MonthWise Unit Sold'!J648)</f>
        <v>145901336.67000002</v>
      </c>
      <c r="L46" s="4108"/>
      <c r="M46" s="5372">
        <f t="shared" si="0"/>
        <v>14.590133667000002</v>
      </c>
    </row>
    <row r="47" spans="2:13">
      <c r="I47" s="3814" t="s">
        <v>49</v>
      </c>
      <c r="J47" s="4543">
        <f>SUM('MonthWise Unit Sold'!J42,'MonthWise Unit Sold'!J89,'MonthWise Unit Sold'!J145,'MonthWise Unit Sold'!J201,'MonthWise Unit Sold'!J257,'MonthWise Unit Sold'!J313,'MonthWise Unit Sold'!J369,'MonthWise Unit Sold'!J425,'MonthWise Unit Sold'!J481,'MonthWise Unit Sold'!J537,'MonthWise Unit Sold'!J593,'MonthWise Unit Sold'!J649)</f>
        <v>3795939673.2200003</v>
      </c>
      <c r="L47" s="4108"/>
      <c r="M47" s="5372">
        <f t="shared" si="0"/>
        <v>379.59396732200003</v>
      </c>
    </row>
    <row r="48" spans="2:13">
      <c r="I48" s="3814" t="s">
        <v>50</v>
      </c>
      <c r="J48" s="4543">
        <f>SUM('MonthWise Unit Sold'!J43,'MonthWise Unit Sold'!J90,'MonthWise Unit Sold'!J146,'MonthWise Unit Sold'!J202,'MonthWise Unit Sold'!J258,'MonthWise Unit Sold'!J314,'MonthWise Unit Sold'!J370,'MonthWise Unit Sold'!J426,'MonthWise Unit Sold'!J482,'MonthWise Unit Sold'!J538,'MonthWise Unit Sold'!J594,'MonthWise Unit Sold'!J650)</f>
        <v>-2260067.69</v>
      </c>
      <c r="L48" s="4108"/>
      <c r="M48" s="5372">
        <f t="shared" si="0"/>
        <v>-0.226006769</v>
      </c>
    </row>
    <row r="49" spans="2:13">
      <c r="I49" s="3814" t="s">
        <v>51</v>
      </c>
      <c r="J49" s="4543">
        <f>SUM('MonthWise Unit Sold'!J44,'MonthWise Unit Sold'!J91,'MonthWise Unit Sold'!J147,'MonthWise Unit Sold'!J203,'MonthWise Unit Sold'!J259,'MonthWise Unit Sold'!J315,'MonthWise Unit Sold'!J371,'MonthWise Unit Sold'!J427,'MonthWise Unit Sold'!J483,'MonthWise Unit Sold'!J539,'MonthWise Unit Sold'!J595,'MonthWise Unit Sold'!J651)</f>
        <v>154928406.25</v>
      </c>
      <c r="L49" s="4108"/>
      <c r="M49" s="5372">
        <f t="shared" si="0"/>
        <v>15.492840624999999</v>
      </c>
    </row>
    <row r="50" spans="2:13">
      <c r="I50" s="3814" t="s">
        <v>52</v>
      </c>
      <c r="J50" s="4571">
        <f>SUM('MonthWise Unit Sold'!J45,'MonthWise Unit Sold'!J92,'MonthWise Unit Sold'!J148,'MonthWise Unit Sold'!J204,'MonthWise Unit Sold'!J260,'MonthWise Unit Sold'!J316,'MonthWise Unit Sold'!J372,'MonthWise Unit Sold'!J428,'MonthWise Unit Sold'!J484,'MonthWise Unit Sold'!J540,'MonthWise Unit Sold'!J596,'MonthWise Unit Sold'!J652)</f>
        <v>99352017.049999997</v>
      </c>
      <c r="L50" s="4108"/>
      <c r="M50" s="5372">
        <f t="shared" si="0"/>
        <v>9.935201704999999</v>
      </c>
    </row>
    <row r="51" spans="2:13" hidden="1">
      <c r="I51" s="4630" t="s">
        <v>47</v>
      </c>
      <c r="J51" s="4550">
        <f>SUM('MonthWise Unit Sold'!J46,'MonthWise Unit Sold'!J93,'MonthWise Unit Sold'!J149,'MonthWise Unit Sold'!J205,'MonthWise Unit Sold'!J261,'MonthWise Unit Sold'!J317,'MonthWise Unit Sold'!J373,'MonthWise Unit Sold'!J429,'MonthWise Unit Sold'!J485,'MonthWise Unit Sold'!J541,'MonthWise Unit Sold'!J597,'MonthWise Unit Sold'!J653)</f>
        <v>36107259052.718597</v>
      </c>
      <c r="L51" s="4112"/>
      <c r="M51" s="5372">
        <f t="shared" si="0"/>
        <v>3610.7259052718596</v>
      </c>
    </row>
    <row r="52" spans="2:13" hidden="1">
      <c r="I52" s="3814" t="s">
        <v>53</v>
      </c>
      <c r="J52" s="4571">
        <f>SUM('MonthWise Unit Sold'!J47,'MonthWise Unit Sold'!J94,'MonthWise Unit Sold'!J150,'MonthWise Unit Sold'!J206,'MonthWise Unit Sold'!J262,'MonthWise Unit Sold'!J318,'MonthWise Unit Sold'!J374,'MonthWise Unit Sold'!J430,'MonthWise Unit Sold'!J486,'MonthWise Unit Sold'!J542,'MonthWise Unit Sold'!J598,'MonthWise Unit Sold'!J654)</f>
        <v>-107370309.77</v>
      </c>
      <c r="L52" s="4113"/>
      <c r="M52" s="5372">
        <f t="shared" si="0"/>
        <v>-10.737030977</v>
      </c>
    </row>
    <row r="53" spans="2:13" hidden="1">
      <c r="I53" s="3814" t="s">
        <v>54</v>
      </c>
      <c r="J53" s="4571">
        <f>SUM('MonthWise Unit Sold'!J48,'MonthWise Unit Sold'!J95,'MonthWise Unit Sold'!J151,'MonthWise Unit Sold'!J207,'MonthWise Unit Sold'!J263,'MonthWise Unit Sold'!J319,'MonthWise Unit Sold'!J375,'MonthWise Unit Sold'!J431,'MonthWise Unit Sold'!J487,'MonthWise Unit Sold'!J543,'MonthWise Unit Sold'!J599,'MonthWise Unit Sold'!J655)</f>
        <v>-619684540.33000004</v>
      </c>
      <c r="L53" s="4113"/>
      <c r="M53" s="5372">
        <f t="shared" si="0"/>
        <v>-61.968454033000008</v>
      </c>
    </row>
    <row r="54" spans="2:13" hidden="1">
      <c r="I54" s="3814" t="s">
        <v>55</v>
      </c>
      <c r="J54" s="4571">
        <f>SUM('MonthWise Unit Sold'!J49,'MonthWise Unit Sold'!J96,'MonthWise Unit Sold'!J152,'MonthWise Unit Sold'!J208,'MonthWise Unit Sold'!J264,'MonthWise Unit Sold'!J320,'MonthWise Unit Sold'!J376,'MonthWise Unit Sold'!J432,'MonthWise Unit Sold'!J488,'MonthWise Unit Sold'!J544,'MonthWise Unit Sold'!J600,'MonthWise Unit Sold'!J656)</f>
        <v>-3274437.01</v>
      </c>
      <c r="L54" s="4113"/>
      <c r="M54" s="5372">
        <f t="shared" si="0"/>
        <v>-0.32744370099999998</v>
      </c>
    </row>
    <row r="55" spans="2:13" hidden="1">
      <c r="I55" s="3814" t="s">
        <v>56</v>
      </c>
      <c r="J55" s="4571">
        <f>SUM('MonthWise Unit Sold'!J50,'MonthWise Unit Sold'!J97,'MonthWise Unit Sold'!J153,'MonthWise Unit Sold'!J209,'MonthWise Unit Sold'!J265,'MonthWise Unit Sold'!J321,'MonthWise Unit Sold'!J377,'MonthWise Unit Sold'!J433,'MonthWise Unit Sold'!J489,'MonthWise Unit Sold'!J545,'MonthWise Unit Sold'!J601,'MonthWise Unit Sold'!J657)</f>
        <v>-1009446.76</v>
      </c>
      <c r="L55" s="4113"/>
      <c r="M55" s="5372">
        <f t="shared" si="0"/>
        <v>-0.100944676</v>
      </c>
    </row>
    <row r="56" spans="2:13" hidden="1">
      <c r="I56" s="3814" t="s">
        <v>57</v>
      </c>
      <c r="J56" s="4571">
        <f>SUM('MonthWise Unit Sold'!J51,'MonthWise Unit Sold'!J98,'MonthWise Unit Sold'!J154,'MonthWise Unit Sold'!J210,'MonthWise Unit Sold'!J266,'MonthWise Unit Sold'!J322,'MonthWise Unit Sold'!J378,'MonthWise Unit Sold'!J434,'MonthWise Unit Sold'!J490,'MonthWise Unit Sold'!J546,'MonthWise Unit Sold'!J602,'MonthWise Unit Sold'!J658)</f>
        <v>33027413475.263599</v>
      </c>
      <c r="L56" s="4113"/>
      <c r="M56" s="5372">
        <f t="shared" si="0"/>
        <v>3302.7413475263597</v>
      </c>
    </row>
    <row r="57" spans="2:13" hidden="1">
      <c r="I57" s="3814" t="s">
        <v>58</v>
      </c>
      <c r="J57" s="4571">
        <f>SUM('MonthWise Unit Sold'!J52,'MonthWise Unit Sold'!J99,'MonthWise Unit Sold'!J155,'MonthWise Unit Sold'!J211,'MonthWise Unit Sold'!J267,'MonthWise Unit Sold'!J323,'MonthWise Unit Sold'!J379,'MonthWise Unit Sold'!J435,'MonthWise Unit Sold'!J491,'MonthWise Unit Sold'!J547,'MonthWise Unit Sold'!J603,'MonthWise Unit Sold'!J659)</f>
        <v>20127.816379225613</v>
      </c>
      <c r="L57" s="4113"/>
      <c r="M57" s="5372">
        <f t="shared" si="0"/>
        <v>2.0127816379225611E-3</v>
      </c>
    </row>
    <row r="58" spans="2:13" hidden="1">
      <c r="I58" s="3814" t="s">
        <v>59</v>
      </c>
      <c r="J58" s="4571">
        <f>SUM('MonthWise Unit Sold'!J53,'MonthWise Unit Sold'!J100,'MonthWise Unit Sold'!J156,'MonthWise Unit Sold'!J212,'MonthWise Unit Sold'!J268,'MonthWise Unit Sold'!J324,'MonthWise Unit Sold'!J380,'MonthWise Unit Sold'!J436,'MonthWise Unit Sold'!J492,'MonthWise Unit Sold'!J548,'MonthWise Unit Sold'!J604,'MonthWise Unit Sold'!J660)</f>
        <v>1142620094.3899999</v>
      </c>
      <c r="L58" s="4113"/>
      <c r="M58" s="5372">
        <f t="shared" si="0"/>
        <v>114.26200943899998</v>
      </c>
    </row>
    <row r="59" spans="2:13" hidden="1">
      <c r="I59" s="3814" t="s">
        <v>60</v>
      </c>
      <c r="J59" s="4571">
        <f>SUM('MonthWise Unit Sold'!J54,'MonthWise Unit Sold'!J101,'MonthWise Unit Sold'!J157,'MonthWise Unit Sold'!J213,'MonthWise Unit Sold'!J269,'MonthWise Unit Sold'!J325,'MonthWise Unit Sold'!J381,'MonthWise Unit Sold'!J437,'MonthWise Unit Sold'!J493,'MonthWise Unit Sold'!J549,'MonthWise Unit Sold'!J605,'MonthWise Unit Sold'!J661)</f>
        <v>31321888065.854603</v>
      </c>
      <c r="L59" s="4113"/>
      <c r="M59" s="5372">
        <f t="shared" si="0"/>
        <v>3132.1888065854605</v>
      </c>
    </row>
    <row r="60" spans="2:13" hidden="1">
      <c r="I60" s="3814" t="s">
        <v>58</v>
      </c>
      <c r="J60" s="4571">
        <f>SUM('MonthWise Unit Sold'!J55,'MonthWise Unit Sold'!J102,'MonthWise Unit Sold'!J158,'MonthWise Unit Sold'!J214,'MonthWise Unit Sold'!J270,'MonthWise Unit Sold'!J326,'MonthWise Unit Sold'!J382,'MonthWise Unit Sold'!J438,'MonthWise Unit Sold'!J494,'MonthWise Unit Sold'!J550,'MonthWise Unit Sold'!J606,'MonthWise Unit Sold'!J662)</f>
        <v>0</v>
      </c>
      <c r="L60" s="4113"/>
      <c r="M60" s="5372">
        <f t="shared" si="0"/>
        <v>0</v>
      </c>
    </row>
    <row r="61" spans="2:13">
      <c r="I61" s="4630" t="s">
        <v>47</v>
      </c>
      <c r="J61" s="4550">
        <f>SUM(J45:J50)</f>
        <v>36107259052.718597</v>
      </c>
      <c r="L61" s="4112"/>
      <c r="M61" s="5372">
        <f t="shared" si="0"/>
        <v>3610.7259052718596</v>
      </c>
    </row>
    <row r="62" spans="2:13" hidden="1">
      <c r="B62" s="3859"/>
      <c r="C62" s="3859"/>
      <c r="D62" s="3861"/>
      <c r="E62" s="3861"/>
      <c r="F62" s="3814"/>
      <c r="G62" s="3814"/>
      <c r="H62" s="3814"/>
      <c r="I62" s="3864" t="s">
        <v>2374</v>
      </c>
      <c r="J62" s="4547">
        <v>247900000</v>
      </c>
      <c r="K62" s="4113"/>
      <c r="L62" s="4106"/>
      <c r="M62" s="5372">
        <f t="shared" si="0"/>
        <v>24.79</v>
      </c>
    </row>
    <row r="63" spans="2:13" ht="16.5" hidden="1" thickBot="1">
      <c r="B63" s="3859"/>
      <c r="C63" s="3859"/>
      <c r="D63" s="3861"/>
      <c r="E63" s="3861"/>
      <c r="F63" s="3814"/>
      <c r="G63" s="3814"/>
      <c r="H63" s="3814"/>
      <c r="I63" s="3863" t="s">
        <v>2340</v>
      </c>
      <c r="J63" s="4545">
        <v>14200000</v>
      </c>
      <c r="K63" s="4113"/>
      <c r="L63" s="4106"/>
      <c r="M63" s="5372">
        <f t="shared" si="0"/>
        <v>1.42</v>
      </c>
    </row>
    <row r="64" spans="2:13" ht="16.5" hidden="1" thickBot="1">
      <c r="B64" s="3859"/>
      <c r="C64" s="3859"/>
      <c r="D64" s="3861"/>
      <c r="E64" s="3861"/>
      <c r="F64" s="3814"/>
      <c r="G64" s="3814"/>
      <c r="H64" s="4110"/>
      <c r="I64" s="4111" t="s">
        <v>8</v>
      </c>
      <c r="J64" s="4546">
        <f>J61+J62+J63</f>
        <v>36369359052.718597</v>
      </c>
      <c r="K64" s="4112"/>
      <c r="L64" s="4106"/>
      <c r="M64" s="5372">
        <f t="shared" si="0"/>
        <v>3636.9359052718596</v>
      </c>
    </row>
    <row r="65" spans="2:13">
      <c r="M65" s="5372">
        <f t="shared" si="0"/>
        <v>0</v>
      </c>
    </row>
    <row r="66" spans="2:13">
      <c r="M66" s="5372">
        <f t="shared" si="0"/>
        <v>0</v>
      </c>
    </row>
    <row r="67" spans="2:13">
      <c r="B67" s="5851" t="s">
        <v>3568</v>
      </c>
      <c r="C67" s="5851"/>
      <c r="D67" s="5851"/>
      <c r="E67" s="5851"/>
      <c r="F67" s="5851"/>
      <c r="K67" s="355" t="s">
        <v>151</v>
      </c>
      <c r="M67" s="5372">
        <f t="shared" si="0"/>
        <v>0</v>
      </c>
    </row>
    <row r="68" spans="2:13">
      <c r="B68" s="4114"/>
      <c r="C68" s="4114"/>
      <c r="D68" s="4114"/>
      <c r="E68" s="4114"/>
      <c r="F68" s="4114"/>
      <c r="L68" s="355"/>
      <c r="M68" s="5372">
        <f t="shared" si="0"/>
        <v>0</v>
      </c>
    </row>
    <row r="69" spans="2:13" ht="47.25">
      <c r="B69" s="4102" t="s">
        <v>1</v>
      </c>
      <c r="C69" s="4102" t="s">
        <v>2</v>
      </c>
      <c r="D69" s="4465" t="s">
        <v>3410</v>
      </c>
      <c r="E69" s="4465"/>
      <c r="F69" s="4102" t="s">
        <v>4</v>
      </c>
      <c r="G69" s="4102" t="s">
        <v>5</v>
      </c>
      <c r="H69" s="4102" t="s">
        <v>6</v>
      </c>
      <c r="I69" s="3579" t="s">
        <v>7</v>
      </c>
      <c r="J69" s="3579" t="s">
        <v>2224</v>
      </c>
      <c r="K69" s="3579" t="s">
        <v>8</v>
      </c>
      <c r="L69" s="3579" t="s">
        <v>9</v>
      </c>
      <c r="M69" s="5372" t="e">
        <f t="shared" si="0"/>
        <v>#VALUE!</v>
      </c>
    </row>
    <row r="70" spans="2:13">
      <c r="B70" s="4102"/>
      <c r="C70" s="4102"/>
      <c r="D70" s="4466" t="s">
        <v>12</v>
      </c>
      <c r="E70" s="4466" t="s">
        <v>13</v>
      </c>
      <c r="F70" s="4102"/>
      <c r="G70" s="4102"/>
      <c r="H70" s="4102"/>
      <c r="I70" s="4102"/>
      <c r="J70" s="4102"/>
      <c r="K70" s="4102"/>
      <c r="L70" s="3859"/>
      <c r="M70" s="5372">
        <f t="shared" si="0"/>
        <v>0</v>
      </c>
    </row>
    <row r="71" spans="2:13">
      <c r="B71" s="3859" t="s">
        <v>14</v>
      </c>
      <c r="C71" s="3859"/>
      <c r="D71" s="4543">
        <f>'Revenue 2013-14'!D8</f>
        <v>189</v>
      </c>
      <c r="E71" s="4543">
        <f>'Revenue 2013-14'!E8</f>
        <v>0</v>
      </c>
      <c r="F71" s="4543">
        <f>'Revenue 2013-14'!I8</f>
        <v>70471</v>
      </c>
      <c r="G71" s="4543">
        <f>'Revenue 2013-14'!J8</f>
        <v>35561.020000000004</v>
      </c>
      <c r="H71" s="4543">
        <f>'Revenue 2013-14'!K8</f>
        <v>6291.6</v>
      </c>
      <c r="I71" s="4543">
        <f>'Revenue 2013-14'!L8</f>
        <v>8456.52</v>
      </c>
      <c r="J71" s="4543">
        <f>'Revenue 2013-14'!M8</f>
        <v>3633.8399999999997</v>
      </c>
      <c r="K71" s="4543">
        <f>SUM(G71:J71)</f>
        <v>53942.979999999996</v>
      </c>
      <c r="L71" s="4108">
        <f>K71/F71</f>
        <v>0.76546352400278128</v>
      </c>
      <c r="M71" s="5372">
        <f>K71/10^7</f>
        <v>5.3942979999999996E-3</v>
      </c>
    </row>
    <row r="72" spans="2:13">
      <c r="B72" s="3859" t="s">
        <v>16</v>
      </c>
      <c r="C72" s="3859" t="s">
        <v>17</v>
      </c>
      <c r="D72" s="4543">
        <f>'Revenue 2013-14'!D21</f>
        <v>296330</v>
      </c>
      <c r="E72" s="4543">
        <f>'Revenue 2013-14'!E21</f>
        <v>14544</v>
      </c>
      <c r="F72" s="4543">
        <f>'Revenue 2013-14'!I21</f>
        <v>698579592</v>
      </c>
      <c r="G72" s="4543">
        <f>'Revenue 2013-14'!J21</f>
        <v>1581346453.02</v>
      </c>
      <c r="H72" s="5847">
        <f>'Revenue 2013-14'!K24</f>
        <v>747692091.04999995</v>
      </c>
      <c r="I72" s="4543">
        <f>'Revenue 2013-14'!L21</f>
        <v>384223214.6500001</v>
      </c>
      <c r="J72" s="4543">
        <f>'Revenue 2013-14'!M21</f>
        <v>135449492.53999999</v>
      </c>
      <c r="K72" s="5847">
        <f>SUM(G72:J75)</f>
        <v>10733379497.969999</v>
      </c>
      <c r="L72" s="5849">
        <f>K72/SUM(F72:F75)</f>
        <v>5.9765105048439455</v>
      </c>
      <c r="M72" s="5372">
        <f t="shared" ref="M72:M108" si="1">K72/10^7</f>
        <v>1073.337949797</v>
      </c>
    </row>
    <row r="73" spans="2:13">
      <c r="B73" s="3859"/>
      <c r="C73" s="3859" t="s">
        <v>18</v>
      </c>
      <c r="D73" s="4543">
        <f>'Revenue 2013-14'!D22</f>
        <v>318108</v>
      </c>
      <c r="E73" s="4543">
        <f>'Revenue 2013-14'!E22</f>
        <v>27409</v>
      </c>
      <c r="F73" s="4543">
        <f>'Revenue 2013-14'!I22</f>
        <v>588584362</v>
      </c>
      <c r="G73" s="4543">
        <f>'Revenue 2013-14'!J22</f>
        <v>2441173818.54</v>
      </c>
      <c r="H73" s="5852"/>
      <c r="I73" s="4543">
        <f>'Revenue 2013-14'!L22</f>
        <v>606244794.37000024</v>
      </c>
      <c r="J73" s="4543">
        <f>'Revenue 2013-14'!M22</f>
        <v>204500360.40000001</v>
      </c>
      <c r="K73" s="5852"/>
      <c r="L73" s="5853"/>
      <c r="M73" s="5372">
        <f t="shared" si="1"/>
        <v>0</v>
      </c>
    </row>
    <row r="74" spans="2:13">
      <c r="B74" s="3859"/>
      <c r="C74" s="3859" t="s">
        <v>19</v>
      </c>
      <c r="D74" s="4543">
        <f>'Revenue 2013-14'!D23</f>
        <v>33124</v>
      </c>
      <c r="E74" s="4543">
        <f>'Revenue 2013-14'!E23</f>
        <v>19106</v>
      </c>
      <c r="F74" s="4543">
        <f>'Revenue 2013-14'!I23</f>
        <v>173430725</v>
      </c>
      <c r="G74" s="4543">
        <f>'Revenue 2013-14'!J23</f>
        <v>1008203949.1900001</v>
      </c>
      <c r="H74" s="5852"/>
      <c r="I74" s="4543">
        <f>'Revenue 2013-14'!L23</f>
        <v>249741283.67999995</v>
      </c>
      <c r="J74" s="4543">
        <f>'Revenue 2013-14'!M23</f>
        <v>80992912.350000009</v>
      </c>
      <c r="K74" s="5852"/>
      <c r="L74" s="5853"/>
      <c r="M74" s="5372">
        <f t="shared" si="1"/>
        <v>0</v>
      </c>
    </row>
    <row r="75" spans="2:13">
      <c r="B75" s="3859"/>
      <c r="C75" s="3859" t="s">
        <v>20</v>
      </c>
      <c r="D75" s="4543">
        <f>'Revenue 2013-14'!D24</f>
        <v>7554</v>
      </c>
      <c r="E75" s="4543">
        <f>'Revenue 2013-14'!E24</f>
        <v>23112</v>
      </c>
      <c r="F75" s="4543">
        <f>'Revenue 2013-14'!I24</f>
        <v>335332809</v>
      </c>
      <c r="G75" s="4543">
        <f>'Revenue 2013-14'!J24</f>
        <v>2473992583.6800003</v>
      </c>
      <c r="H75" s="5848"/>
      <c r="I75" s="4543">
        <f>'Revenue 2013-14'!L24</f>
        <v>620376428.5</v>
      </c>
      <c r="J75" s="4543">
        <f>'Revenue 2013-14'!M24</f>
        <v>199442116</v>
      </c>
      <c r="K75" s="5848"/>
      <c r="L75" s="5850"/>
      <c r="M75" s="5372">
        <f t="shared" si="1"/>
        <v>0</v>
      </c>
    </row>
    <row r="76" spans="2:13">
      <c r="B76" s="4109" t="s">
        <v>21</v>
      </c>
      <c r="C76" s="3859" t="s">
        <v>25</v>
      </c>
      <c r="D76" s="4543">
        <f>'Revenue 2013-14'!D33</f>
        <v>201270</v>
      </c>
      <c r="E76" s="4543">
        <f>'Revenue 2013-14'!E33</f>
        <v>23177</v>
      </c>
      <c r="F76" s="4543">
        <f>'Revenue 2013-14'!I33</f>
        <v>539935336</v>
      </c>
      <c r="G76" s="4543">
        <f>'Revenue 2013-14'!J33</f>
        <v>3258697779.3499999</v>
      </c>
      <c r="H76" s="5854">
        <f>'Revenue 2013-14'!K34</f>
        <v>761884343.36000001</v>
      </c>
      <c r="I76" s="4543">
        <f>'Revenue 2013-14'!L33</f>
        <v>799110630.20000005</v>
      </c>
      <c r="J76" s="4543">
        <f>'Revenue 2013-14'!M33</f>
        <v>295649162.60000002</v>
      </c>
      <c r="K76" s="5847">
        <f>SUM(G76:J77)</f>
        <v>9345483282.0599995</v>
      </c>
      <c r="L76" s="5849">
        <f>K76/SUM(F76:F77)</f>
        <v>10.461946237252294</v>
      </c>
      <c r="M76" s="5372">
        <f t="shared" si="1"/>
        <v>934.54832820599995</v>
      </c>
    </row>
    <row r="77" spans="2:13">
      <c r="B77" s="3859"/>
      <c r="C77" s="3859" t="s">
        <v>26</v>
      </c>
      <c r="D77" s="4543">
        <f>'Revenue 2013-14'!D34</f>
        <v>12087</v>
      </c>
      <c r="E77" s="4543">
        <f>'Revenue 2013-14'!E34</f>
        <v>20383</v>
      </c>
      <c r="F77" s="4543">
        <f>'Revenue 2013-14'!I34</f>
        <v>353348100</v>
      </c>
      <c r="G77" s="4543">
        <f>'Revenue 2013-14'!J34</f>
        <v>3035416312.8499994</v>
      </c>
      <c r="H77" s="5854"/>
      <c r="I77" s="4543">
        <f>'Revenue 2013-14'!L34</f>
        <v>777359981.20000005</v>
      </c>
      <c r="J77" s="4543">
        <f>'Revenue 2013-14'!M34</f>
        <v>417365072.5</v>
      </c>
      <c r="K77" s="5848"/>
      <c r="L77" s="5850"/>
      <c r="M77" s="5372">
        <f t="shared" si="1"/>
        <v>0</v>
      </c>
    </row>
    <row r="78" spans="2:13">
      <c r="B78" s="3859" t="s">
        <v>27</v>
      </c>
      <c r="C78" s="3859" t="s">
        <v>28</v>
      </c>
      <c r="D78" s="4543">
        <f>'Revenue 2013-14'!D38</f>
        <v>58</v>
      </c>
      <c r="E78" s="4543">
        <f>'Revenue 2013-14'!E38</f>
        <v>5850</v>
      </c>
      <c r="F78" s="4543">
        <f>'Revenue 2013-14'!I38</f>
        <v>240952635</v>
      </c>
      <c r="G78" s="4543">
        <f>'Revenue 2013-14'!J38</f>
        <v>1978595228.5999999</v>
      </c>
      <c r="H78" s="4543">
        <f>'Revenue 2013-14'!K38</f>
        <v>251855334.21000001</v>
      </c>
      <c r="I78" s="4543">
        <f>'Revenue 2013-14'!L38</f>
        <v>518052703.89999998</v>
      </c>
      <c r="J78" s="4543">
        <f>'Revenue 2013-14'!M38</f>
        <v>178886958.52000001</v>
      </c>
      <c r="K78" s="4543">
        <f>SUM(G78:J78)</f>
        <v>2927390225.23</v>
      </c>
      <c r="L78" s="4108">
        <f>K78/F78</f>
        <v>12.149235160802455</v>
      </c>
      <c r="M78" s="5372">
        <f t="shared" si="1"/>
        <v>292.73902252300002</v>
      </c>
    </row>
    <row r="79" spans="2:13">
      <c r="B79" s="3859" t="s">
        <v>29</v>
      </c>
      <c r="C79" s="3859" t="s">
        <v>28</v>
      </c>
      <c r="D79" s="4543">
        <f>'Revenue 2013-14'!D42</f>
        <v>0</v>
      </c>
      <c r="E79" s="4543">
        <f>'Revenue 2013-14'!E42</f>
        <v>2649</v>
      </c>
      <c r="F79" s="4543">
        <f>'Revenue 2013-14'!I42</f>
        <v>470698744</v>
      </c>
      <c r="G79" s="4543">
        <f>'Revenue 2013-14'!J42</f>
        <v>3977048766.1199999</v>
      </c>
      <c r="H79" s="4543">
        <f>'Revenue 2013-14'!K42</f>
        <v>411351463.13</v>
      </c>
      <c r="I79" s="4543">
        <f>'Revenue 2013-14'!L42</f>
        <v>1026123261.9200001</v>
      </c>
      <c r="J79" s="4543">
        <f>'Revenue 2013-14'!M42</f>
        <v>358192809.66000003</v>
      </c>
      <c r="K79" s="4543">
        <f>SUM(G79:J79)</f>
        <v>5772716300.8299999</v>
      </c>
      <c r="L79" s="4108">
        <f>K79/F79</f>
        <v>12.264142138501223</v>
      </c>
      <c r="M79" s="5372">
        <f t="shared" si="1"/>
        <v>577.27163008299999</v>
      </c>
    </row>
    <row r="80" spans="2:13">
      <c r="B80" s="3859" t="s">
        <v>30</v>
      </c>
      <c r="C80" s="3859" t="s">
        <v>25</v>
      </c>
      <c r="D80" s="4543">
        <f>'Revenue 2013-14'!D51</f>
        <v>2438</v>
      </c>
      <c r="E80" s="4543">
        <f>'Revenue 2013-14'!E51</f>
        <v>3567</v>
      </c>
      <c r="F80" s="4543">
        <f>'Revenue 2013-14'!I51</f>
        <v>21275452</v>
      </c>
      <c r="G80" s="4543">
        <f>'Revenue 2013-14'!J51</f>
        <v>116240586.47999999</v>
      </c>
      <c r="H80" s="4543">
        <f>'Revenue 2013-14'!K51</f>
        <v>0</v>
      </c>
      <c r="I80" s="4543">
        <f>'Revenue 2013-14'!L51</f>
        <v>29786684.200000003</v>
      </c>
      <c r="J80" s="4543">
        <f>'Revenue 2013-14'!M51</f>
        <v>11183323.84</v>
      </c>
      <c r="K80" s="5847">
        <f>SUM(G80:J81)</f>
        <v>442524337.54000002</v>
      </c>
      <c r="L80" s="5849">
        <f>K80/SUM(F80:F81)</f>
        <v>9.7929305776723456</v>
      </c>
      <c r="M80" s="5372">
        <f t="shared" si="1"/>
        <v>44.252433754000002</v>
      </c>
    </row>
    <row r="81" spans="2:13">
      <c r="B81" s="3859"/>
      <c r="C81" s="3859" t="s">
        <v>26</v>
      </c>
      <c r="D81" s="4543">
        <f>'Revenue 2013-14'!D52</f>
        <v>101</v>
      </c>
      <c r="E81" s="4543">
        <f>'Revenue 2013-14'!E52</f>
        <v>1971</v>
      </c>
      <c r="F81" s="4543">
        <f>'Revenue 2013-14'!I52</f>
        <v>23912690</v>
      </c>
      <c r="G81" s="4543">
        <f>'Revenue 2013-14'!J52</f>
        <v>179075582.44</v>
      </c>
      <c r="H81" s="4543">
        <f>'Revenue 2013-14'!K52</f>
        <v>34239220.939999998</v>
      </c>
      <c r="I81" s="4543">
        <f>'Revenue 2013-14'!L52</f>
        <v>46869795.559999995</v>
      </c>
      <c r="J81" s="4543">
        <f>'Revenue 2013-14'!M52</f>
        <v>25129144.079999998</v>
      </c>
      <c r="K81" s="5848"/>
      <c r="L81" s="5850"/>
      <c r="M81" s="5372">
        <f t="shared" si="1"/>
        <v>0</v>
      </c>
    </row>
    <row r="82" spans="2:13">
      <c r="B82" s="3859" t="s">
        <v>31</v>
      </c>
      <c r="C82" s="3859" t="s">
        <v>28</v>
      </c>
      <c r="D82" s="4543">
        <f>'Revenue 2013-14'!D56</f>
        <v>11</v>
      </c>
      <c r="E82" s="4543">
        <f>'Revenue 2013-14'!E56</f>
        <v>1142</v>
      </c>
      <c r="F82" s="4543">
        <f>'Revenue 2013-14'!I56</f>
        <v>51947009</v>
      </c>
      <c r="G82" s="4543">
        <f>'Revenue 2013-14'!J56</f>
        <v>357188023.75999999</v>
      </c>
      <c r="H82" s="4543">
        <f>'Revenue 2013-14'!K56</f>
        <v>60027591.620000005</v>
      </c>
      <c r="I82" s="4543">
        <f>'Revenue 2013-14'!L56</f>
        <v>90907265.75</v>
      </c>
      <c r="J82" s="4543">
        <f>'Revenue 2013-14'!M56</f>
        <v>32416564.48</v>
      </c>
      <c r="K82" s="4543">
        <f t="shared" ref="K82:K97" si="2">SUM(G82:J82)</f>
        <v>540539445.61000001</v>
      </c>
      <c r="L82" s="4108">
        <f t="shared" ref="L82:L96" si="3">K82/F82</f>
        <v>10.405593238486551</v>
      </c>
      <c r="M82" s="5372">
        <f t="shared" si="1"/>
        <v>54.053944561000002</v>
      </c>
    </row>
    <row r="83" spans="2:13">
      <c r="B83" s="3859" t="s">
        <v>32</v>
      </c>
      <c r="C83" s="3859" t="s">
        <v>28</v>
      </c>
      <c r="D83" s="4543">
        <f>'Revenue 2013-14'!D60</f>
        <v>0</v>
      </c>
      <c r="E83" s="4543">
        <f>'Revenue 2013-14'!E60</f>
        <v>120</v>
      </c>
      <c r="F83" s="4543">
        <f>'Revenue 2013-14'!I60</f>
        <v>48009043</v>
      </c>
      <c r="G83" s="4543">
        <f>'Revenue 2013-14'!J60</f>
        <v>330745806.91999996</v>
      </c>
      <c r="H83" s="4543">
        <f>'Revenue 2013-14'!K60</f>
        <v>31962759.400000002</v>
      </c>
      <c r="I83" s="4543">
        <f>'Revenue 2013-14'!L60</f>
        <v>82575553.960000008</v>
      </c>
      <c r="J83" s="4543">
        <f>'Revenue 2013-14'!M60</f>
        <v>29425559.600000001</v>
      </c>
      <c r="K83" s="4543">
        <f t="shared" si="2"/>
        <v>474709679.88</v>
      </c>
      <c r="L83" s="4108">
        <f t="shared" si="3"/>
        <v>9.88792215416583</v>
      </c>
      <c r="M83" s="5372">
        <f t="shared" si="1"/>
        <v>47.470967987999998</v>
      </c>
    </row>
    <row r="84" spans="2:13">
      <c r="B84" s="3859" t="s">
        <v>33</v>
      </c>
      <c r="C84" s="3859"/>
      <c r="D84" s="4543">
        <f>'Revenue 2013-14'!D64</f>
        <v>770</v>
      </c>
      <c r="E84" s="4543">
        <f>'Revenue 2013-14'!E64</f>
        <v>147</v>
      </c>
      <c r="F84" s="4543">
        <f>'Revenue 2013-14'!I64</f>
        <v>1808761</v>
      </c>
      <c r="G84" s="4543">
        <f>'Revenue 2013-14'!J64</f>
        <v>23015058.399999999</v>
      </c>
      <c r="H84" s="4543">
        <f>'Revenue 2013-14'!K64</f>
        <v>4079679.05</v>
      </c>
      <c r="I84" s="4543">
        <f>'Revenue 2013-14'!L64</f>
        <v>5717324.8000000007</v>
      </c>
      <c r="J84" s="4543">
        <f>'Revenue 2013-14'!M64</f>
        <v>2239853.58</v>
      </c>
      <c r="K84" s="4543">
        <f t="shared" si="2"/>
        <v>35051915.829999998</v>
      </c>
      <c r="L84" s="4108">
        <f t="shared" si="3"/>
        <v>19.378964843890376</v>
      </c>
      <c r="M84" s="5372">
        <f t="shared" si="1"/>
        <v>3.5051915829999998</v>
      </c>
    </row>
    <row r="85" spans="2:13">
      <c r="B85" s="3859" t="s">
        <v>34</v>
      </c>
      <c r="C85" s="3859" t="s">
        <v>28</v>
      </c>
      <c r="D85" s="4543">
        <f>'Revenue 2013-14'!D68</f>
        <v>0</v>
      </c>
      <c r="E85" s="4543">
        <f>'Revenue 2013-14'!E68</f>
        <v>0</v>
      </c>
      <c r="F85" s="4543">
        <f>'Revenue 2013-14'!I68</f>
        <v>26723141.589999996</v>
      </c>
      <c r="G85" s="4543">
        <f>'Revenue 2013-14'!J68</f>
        <v>166733761.60790002</v>
      </c>
      <c r="H85" s="4543">
        <f>'Revenue 2013-14'!K68</f>
        <v>22103370.689999998</v>
      </c>
      <c r="I85" s="4543">
        <f>'Revenue 2013-14'!L68</f>
        <v>40619175.216799997</v>
      </c>
      <c r="J85" s="4543">
        <f>'Revenue 2013-14'!M68</f>
        <v>15906856.728</v>
      </c>
      <c r="K85" s="4543">
        <f t="shared" si="2"/>
        <v>245363164.24270004</v>
      </c>
      <c r="L85" s="4108">
        <f t="shared" si="3"/>
        <v>9.1816736223302726</v>
      </c>
      <c r="M85" s="5372">
        <f t="shared" si="1"/>
        <v>24.536316424270005</v>
      </c>
    </row>
    <row r="86" spans="2:13">
      <c r="B86" s="3859" t="s">
        <v>35</v>
      </c>
      <c r="C86" s="3859" t="s">
        <v>28</v>
      </c>
      <c r="D86" s="4543">
        <f>'Revenue 2013-14'!D72</f>
        <v>604</v>
      </c>
      <c r="E86" s="4543">
        <f>'Revenue 2013-14'!E72</f>
        <v>124</v>
      </c>
      <c r="F86" s="4543">
        <f>'Revenue 2013-14'!I72</f>
        <v>4271475</v>
      </c>
      <c r="G86" s="4543">
        <f>'Revenue 2013-14'!J72</f>
        <v>26622317.700000003</v>
      </c>
      <c r="H86" s="4543">
        <f>'Revenue 2013-14'!K72</f>
        <v>2615122.9499999997</v>
      </c>
      <c r="I86" s="4543">
        <f>'Revenue 2013-14'!L72</f>
        <v>6489019.8399999999</v>
      </c>
      <c r="J86" s="4543">
        <f>'Revenue 2013-14'!M72</f>
        <v>2371666.08</v>
      </c>
      <c r="K86" s="4543">
        <f t="shared" si="2"/>
        <v>38098126.57</v>
      </c>
      <c r="L86" s="4108">
        <f t="shared" si="3"/>
        <v>8.9191968980270282</v>
      </c>
      <c r="M86" s="5372">
        <f t="shared" si="1"/>
        <v>3.8098126570000002</v>
      </c>
    </row>
    <row r="87" spans="2:13">
      <c r="B87" s="3859" t="s">
        <v>36</v>
      </c>
      <c r="C87" s="3859" t="s">
        <v>28</v>
      </c>
      <c r="D87" s="4543">
        <f>'Revenue 2013-14'!D76</f>
        <v>1</v>
      </c>
      <c r="E87" s="4543">
        <f>'Revenue 2013-14'!E76</f>
        <v>2</v>
      </c>
      <c r="F87" s="4543">
        <f>'Revenue 2013-14'!I76</f>
        <v>4058550</v>
      </c>
      <c r="G87" s="4543">
        <f>'Revenue 2013-14'!J76</f>
        <v>13622852.339999998</v>
      </c>
      <c r="H87" s="4543">
        <f>'Revenue 2013-14'!K76</f>
        <v>711395.5</v>
      </c>
      <c r="I87" s="4543">
        <f>'Revenue 2013-14'!L76</f>
        <v>3530343.4199999995</v>
      </c>
      <c r="J87" s="4543">
        <f>'Revenue 2013-14'!M76</f>
        <v>1302228</v>
      </c>
      <c r="K87" s="4543">
        <f t="shared" si="2"/>
        <v>19166819.259999998</v>
      </c>
      <c r="L87" s="4108">
        <f t="shared" si="3"/>
        <v>4.7225780783777456</v>
      </c>
      <c r="M87" s="5372">
        <f t="shared" si="1"/>
        <v>1.9166819259999999</v>
      </c>
    </row>
    <row r="88" spans="2:13">
      <c r="B88" s="3859" t="s">
        <v>37</v>
      </c>
      <c r="C88" s="3859" t="s">
        <v>28</v>
      </c>
      <c r="D88" s="4543">
        <f>'Revenue 2013-14'!D80</f>
        <v>150</v>
      </c>
      <c r="E88" s="4543">
        <f>'Revenue 2013-14'!E80</f>
        <v>1502</v>
      </c>
      <c r="F88" s="4543">
        <f>'Revenue 2013-14'!I80</f>
        <v>36974119</v>
      </c>
      <c r="G88" s="4543">
        <f>'Revenue 2013-14'!J80</f>
        <v>369203155.86000001</v>
      </c>
      <c r="H88" s="4543">
        <f>'Revenue 2013-14'!K80</f>
        <v>23091013.310000002</v>
      </c>
      <c r="I88" s="4543">
        <f>'Revenue 2013-14'!L80</f>
        <v>93543397.75</v>
      </c>
      <c r="J88" s="4543">
        <f>'Revenue 2013-14'!M80</f>
        <v>35222206.319999993</v>
      </c>
      <c r="K88" s="4543">
        <f t="shared" si="2"/>
        <v>521059773.24000001</v>
      </c>
      <c r="L88" s="4108">
        <f t="shared" si="3"/>
        <v>14.092554125224728</v>
      </c>
      <c r="M88" s="5372">
        <f t="shared" si="1"/>
        <v>52.105977324000001</v>
      </c>
    </row>
    <row r="89" spans="2:13">
      <c r="B89" s="3859" t="s">
        <v>38</v>
      </c>
      <c r="C89" s="3859" t="s">
        <v>28</v>
      </c>
      <c r="D89" s="4543">
        <f>'Revenue 2013-14'!D84</f>
        <v>9</v>
      </c>
      <c r="E89" s="4543">
        <f>'Revenue 2013-14'!E84</f>
        <v>20</v>
      </c>
      <c r="F89" s="4543">
        <f>'Revenue 2013-14'!I84</f>
        <v>1413963</v>
      </c>
      <c r="G89" s="4543">
        <f>'Revenue 2013-14'!J84</f>
        <v>4850175.0999999996</v>
      </c>
      <c r="H89" s="4543">
        <f>'Revenue 2013-14'!K84</f>
        <v>55282.03</v>
      </c>
      <c r="I89" s="4543">
        <f>'Revenue 2013-14'!L84</f>
        <v>1173589.2899999998</v>
      </c>
      <c r="J89" s="4543">
        <f>'Revenue 2013-14'!M84</f>
        <v>393844.55000000005</v>
      </c>
      <c r="K89" s="4543">
        <f t="shared" si="2"/>
        <v>6472890.9699999997</v>
      </c>
      <c r="L89" s="4108">
        <f t="shared" si="3"/>
        <v>4.5778361739310007</v>
      </c>
      <c r="M89" s="5372">
        <f t="shared" si="1"/>
        <v>0.64728909699999992</v>
      </c>
    </row>
    <row r="90" spans="2:13">
      <c r="B90" s="3859" t="s">
        <v>39</v>
      </c>
      <c r="C90" s="3859" t="s">
        <v>28</v>
      </c>
      <c r="D90" s="4543">
        <f>'Revenue 2013-14'!D87</f>
        <v>1443</v>
      </c>
      <c r="E90" s="4543">
        <f>'Revenue 2013-14'!E87</f>
        <v>609</v>
      </c>
      <c r="F90" s="4543">
        <f>'Revenue 2013-14'!I87</f>
        <v>11682083</v>
      </c>
      <c r="G90" s="4543">
        <f>'Revenue 2013-14'!J87</f>
        <v>82126876.400000006</v>
      </c>
      <c r="H90" s="4543">
        <f>'Revenue 2013-14'!K87</f>
        <v>5987083.1100000003</v>
      </c>
      <c r="I90" s="4543">
        <f>'Revenue 2013-14'!L87</f>
        <v>21378211.890000001</v>
      </c>
      <c r="J90" s="4543">
        <f>'Revenue 2013-14'!M87</f>
        <v>7932795.5700000003</v>
      </c>
      <c r="K90" s="4543">
        <f t="shared" si="2"/>
        <v>117424966.97</v>
      </c>
      <c r="L90" s="4108">
        <f t="shared" si="3"/>
        <v>10.051714832876979</v>
      </c>
      <c r="M90" s="5372">
        <f t="shared" si="1"/>
        <v>11.742496697</v>
      </c>
    </row>
    <row r="91" spans="2:13">
      <c r="B91" s="3859" t="s">
        <v>40</v>
      </c>
      <c r="C91" s="3859" t="s">
        <v>28</v>
      </c>
      <c r="D91" s="4543">
        <f>'Revenue 2013-14'!D90</f>
        <v>3</v>
      </c>
      <c r="E91" s="4543">
        <f>'Revenue 2013-14'!E90</f>
        <v>490</v>
      </c>
      <c r="F91" s="4543">
        <f>'Revenue 2013-14'!I90</f>
        <v>66403325</v>
      </c>
      <c r="G91" s="4543">
        <f>'Revenue 2013-14'!J90</f>
        <v>468069623</v>
      </c>
      <c r="H91" s="4543">
        <f>'Revenue 2013-14'!K90</f>
        <v>54422595.810000002</v>
      </c>
      <c r="I91" s="4543">
        <f>'Revenue 2013-14'!L90</f>
        <v>121518084.75000001</v>
      </c>
      <c r="J91" s="4543">
        <f>'Revenue 2013-14'!M90</f>
        <v>46922981.259999998</v>
      </c>
      <c r="K91" s="4543">
        <f t="shared" si="2"/>
        <v>690933284.82000005</v>
      </c>
      <c r="L91" s="4108">
        <f t="shared" si="3"/>
        <v>10.40510072078469</v>
      </c>
      <c r="M91" s="5372">
        <f t="shared" si="1"/>
        <v>69.093328482000004</v>
      </c>
    </row>
    <row r="92" spans="2:13">
      <c r="B92" s="3859" t="s">
        <v>41</v>
      </c>
      <c r="C92" s="3859" t="s">
        <v>28</v>
      </c>
      <c r="D92" s="4543">
        <f>'Revenue 2013-14'!D94</f>
        <v>0</v>
      </c>
      <c r="E92" s="4543">
        <f>'Revenue 2013-14'!E94</f>
        <v>41</v>
      </c>
      <c r="F92" s="4543">
        <f>'Revenue 2013-14'!I94</f>
        <v>178774663</v>
      </c>
      <c r="G92" s="4543">
        <f>'Revenue 2013-14'!J94</f>
        <v>1139851216.7000003</v>
      </c>
      <c r="H92" s="4543">
        <f>'Revenue 2013-14'!K94</f>
        <v>111070326</v>
      </c>
      <c r="I92" s="4543">
        <f>'Revenue 2013-14'!L94</f>
        <v>284251714.16999996</v>
      </c>
      <c r="J92" s="4543">
        <f>'Revenue 2013-14'!M94</f>
        <v>96140902.849999979</v>
      </c>
      <c r="K92" s="4543">
        <f t="shared" si="2"/>
        <v>1631314159.7200003</v>
      </c>
      <c r="L92" s="4108">
        <f t="shared" si="3"/>
        <v>9.1249740446720917</v>
      </c>
      <c r="M92" s="5372">
        <f t="shared" si="1"/>
        <v>163.13141597200001</v>
      </c>
    </row>
    <row r="93" spans="2:13">
      <c r="B93" s="3859" t="s">
        <v>42</v>
      </c>
      <c r="C93" s="3859" t="s">
        <v>28</v>
      </c>
      <c r="D93" s="4543">
        <f>'Revenue 2013-14'!D98</f>
        <v>0</v>
      </c>
      <c r="E93" s="4543">
        <f>'Revenue 2013-14'!E98</f>
        <v>103</v>
      </c>
      <c r="F93" s="4543">
        <f>'Revenue 2013-14'!I98</f>
        <v>350523313</v>
      </c>
      <c r="G93" s="4543">
        <f>'Revenue 2013-14'!J98</f>
        <v>2423712420.1499996</v>
      </c>
      <c r="H93" s="4543">
        <f>'Revenue 2013-14'!K98</f>
        <v>213167363.91999999</v>
      </c>
      <c r="I93" s="4543">
        <f>'Revenue 2013-14'!L98</f>
        <v>599394865.23000002</v>
      </c>
      <c r="J93" s="4543">
        <f>'Revenue 2013-14'!M98</f>
        <v>204771819.21000001</v>
      </c>
      <c r="K93" s="4543">
        <f t="shared" si="2"/>
        <v>3441046468.5099998</v>
      </c>
      <c r="L93" s="4108">
        <f t="shared" si="3"/>
        <v>9.8168833309811827</v>
      </c>
      <c r="M93" s="5372">
        <f t="shared" si="1"/>
        <v>344.10464685099998</v>
      </c>
    </row>
    <row r="94" spans="2:13">
      <c r="B94" s="3859" t="s">
        <v>43</v>
      </c>
      <c r="C94" s="3859" t="s">
        <v>28</v>
      </c>
      <c r="D94" s="4543">
        <f>'Revenue 2013-14'!D102</f>
        <v>0</v>
      </c>
      <c r="E94" s="4543">
        <f>'Revenue 2013-14'!E102</f>
        <v>13</v>
      </c>
      <c r="F94" s="4543">
        <f>'Revenue 2013-14'!I102</f>
        <v>32819764</v>
      </c>
      <c r="G94" s="4543">
        <f>'Revenue 2013-14'!J102</f>
        <v>142744573.78999999</v>
      </c>
      <c r="H94" s="4543">
        <f>'Revenue 2013-14'!K102</f>
        <v>16767530.18</v>
      </c>
      <c r="I94" s="4543">
        <f>'Revenue 2013-14'!L102</f>
        <v>29865985.239999998</v>
      </c>
      <c r="J94" s="4543">
        <f>'Revenue 2013-14'!M102</f>
        <v>10438511.82</v>
      </c>
      <c r="K94" s="4543">
        <f t="shared" si="2"/>
        <v>199816601.03</v>
      </c>
      <c r="L94" s="4108">
        <f t="shared" si="3"/>
        <v>6.0883009710246547</v>
      </c>
      <c r="M94" s="5372">
        <f t="shared" si="1"/>
        <v>19.981660102999999</v>
      </c>
    </row>
    <row r="95" spans="2:13">
      <c r="B95" s="3859" t="s">
        <v>44</v>
      </c>
      <c r="C95" s="3859" t="s">
        <v>28</v>
      </c>
      <c r="D95" s="4543">
        <f>'Revenue 2013-14'!D106</f>
        <v>0</v>
      </c>
      <c r="E95" s="4543">
        <f>'Revenue 2013-14'!E106</f>
        <v>6</v>
      </c>
      <c r="F95" s="4543">
        <f>'Revenue 2013-14'!I106</f>
        <v>7838175</v>
      </c>
      <c r="G95" s="4543">
        <f>'Revenue 2013-14'!J106</f>
        <v>73982587.349999994</v>
      </c>
      <c r="H95" s="4543">
        <f>'Revenue 2013-14'!K106</f>
        <v>14525</v>
      </c>
      <c r="I95" s="4543">
        <f>'Revenue 2013-14'!L106</f>
        <v>18262947.75</v>
      </c>
      <c r="J95" s="4543">
        <f>'Revenue 2013-14'!M106</f>
        <v>7693620.4799999986</v>
      </c>
      <c r="K95" s="4543">
        <f t="shared" si="2"/>
        <v>99953680.579999998</v>
      </c>
      <c r="L95" s="4108">
        <f t="shared" si="3"/>
        <v>12.752162407703324</v>
      </c>
      <c r="M95" s="5372">
        <f t="shared" si="1"/>
        <v>9.9953680580000004</v>
      </c>
    </row>
    <row r="96" spans="2:13">
      <c r="B96" s="3859" t="s">
        <v>45</v>
      </c>
      <c r="C96" s="3859" t="s">
        <v>28</v>
      </c>
      <c r="D96" s="4543">
        <f>'Revenue 2013-14'!D109</f>
        <v>0</v>
      </c>
      <c r="E96" s="4543">
        <f>'Revenue 2013-14'!E109</f>
        <v>16</v>
      </c>
      <c r="F96" s="4543">
        <f>'Revenue 2013-14'!I109</f>
        <v>82152869</v>
      </c>
      <c r="G96" s="4543">
        <f>'Revenue 2013-14'!J109</f>
        <v>499430488.39999998</v>
      </c>
      <c r="H96" s="4543">
        <f>'Revenue 2013-14'!K109</f>
        <v>35020835.349999994</v>
      </c>
      <c r="I96" s="4543">
        <f>'Revenue 2013-14'!L109</f>
        <v>124050832.19</v>
      </c>
      <c r="J96" s="4543">
        <f>'Revenue 2013-14'!M109</f>
        <v>46068073.740000002</v>
      </c>
      <c r="K96" s="4543">
        <f t="shared" si="2"/>
        <v>704570229.68000007</v>
      </c>
      <c r="L96" s="4108">
        <f t="shared" si="3"/>
        <v>8.5763313960465588</v>
      </c>
      <c r="M96" s="5372">
        <f t="shared" si="1"/>
        <v>70.457022968000004</v>
      </c>
    </row>
    <row r="97" spans="2:13">
      <c r="B97" s="4476" t="s">
        <v>46</v>
      </c>
      <c r="C97" s="4476"/>
      <c r="D97" s="4543"/>
      <c r="E97" s="4543"/>
      <c r="F97" s="4543"/>
      <c r="G97" s="4543">
        <f>'Revenue 2013-14'!J110</f>
        <v>-197684842.50999999</v>
      </c>
      <c r="H97" s="4543">
        <f>'Revenue 2013-14'!K110</f>
        <v>-12460077.289999999</v>
      </c>
      <c r="I97" s="4543">
        <f>'Revenue 2013-14'!L110</f>
        <v>-45138669.157600187</v>
      </c>
      <c r="J97" s="4543">
        <f>'Revenue 2013-14'!M110</f>
        <v>-17090119.787599862</v>
      </c>
      <c r="K97" s="4543">
        <f t="shared" si="2"/>
        <v>-272373708.74520004</v>
      </c>
      <c r="L97" s="4108"/>
      <c r="M97" s="5372">
        <f t="shared" si="1"/>
        <v>-27.237370874520003</v>
      </c>
    </row>
    <row r="98" spans="2:13">
      <c r="B98" s="4109" t="s">
        <v>47</v>
      </c>
      <c r="C98" s="4476"/>
      <c r="D98" s="4543">
        <f>SUM(D71:D97)</f>
        <v>874250</v>
      </c>
      <c r="E98" s="4543">
        <f t="shared" ref="E98:J98" si="4">SUM(E71:E97)</f>
        <v>146103</v>
      </c>
      <c r="F98" s="4543">
        <f t="shared" si="4"/>
        <v>4351521169.5900002</v>
      </c>
      <c r="G98" s="4543">
        <f t="shared" si="4"/>
        <v>25974040716.2579</v>
      </c>
      <c r="H98" s="4543">
        <f t="shared" si="4"/>
        <v>2775665140.9200001</v>
      </c>
      <c r="I98" s="4543">
        <f t="shared" si="4"/>
        <v>6536036876.7892008</v>
      </c>
      <c r="J98" s="4543">
        <f t="shared" si="4"/>
        <v>2428952350.8103995</v>
      </c>
      <c r="K98" s="4543">
        <f>SUM(K71:K97)</f>
        <v>37714695084.777504</v>
      </c>
      <c r="L98" s="4478">
        <f>K98/F98</f>
        <v>8.6670140428918057</v>
      </c>
      <c r="M98" s="5372">
        <f t="shared" si="1"/>
        <v>3771.4695084777504</v>
      </c>
    </row>
    <row r="99" spans="2:13">
      <c r="B99" s="3153"/>
      <c r="C99" s="3153"/>
      <c r="D99" s="3153"/>
      <c r="E99" s="3153"/>
      <c r="F99" s="3153"/>
      <c r="G99" s="3153"/>
      <c r="H99" s="3153"/>
      <c r="I99" s="3153"/>
      <c r="J99" s="4476"/>
      <c r="K99" s="4476"/>
      <c r="L99" s="3153"/>
      <c r="M99" s="5372">
        <f t="shared" si="1"/>
        <v>0</v>
      </c>
    </row>
    <row r="100" spans="2:13">
      <c r="B100" s="4477"/>
      <c r="C100" s="4477"/>
      <c r="D100" s="4477"/>
      <c r="E100" s="4477"/>
      <c r="F100" s="4477"/>
      <c r="G100" s="4477"/>
      <c r="H100" s="4477"/>
      <c r="I100" s="4477"/>
      <c r="J100" s="4476" t="s">
        <v>48</v>
      </c>
      <c r="K100" s="4543">
        <f>'Revenue 2013-14'!N112</f>
        <v>134794417.66</v>
      </c>
      <c r="L100" s="4548"/>
      <c r="M100" s="5372">
        <f t="shared" si="1"/>
        <v>13.479441765999999</v>
      </c>
    </row>
    <row r="101" spans="2:13">
      <c r="B101" s="4477"/>
      <c r="C101" s="4477"/>
      <c r="D101" s="4477"/>
      <c r="E101" s="4477"/>
      <c r="F101" s="4477"/>
      <c r="G101" s="4477"/>
      <c r="H101" s="4477"/>
      <c r="I101" s="4477"/>
      <c r="J101" s="3859" t="s">
        <v>49</v>
      </c>
      <c r="K101" s="4543">
        <f>'Revenue 2013-14'!N113</f>
        <v>698147765.11960006</v>
      </c>
      <c r="L101" s="4108"/>
      <c r="M101" s="5372">
        <f t="shared" si="1"/>
        <v>69.814776511960005</v>
      </c>
    </row>
    <row r="102" spans="2:13">
      <c r="B102" s="4477"/>
      <c r="C102" s="4477"/>
      <c r="D102" s="4477"/>
      <c r="E102" s="4477"/>
      <c r="F102" s="4477"/>
      <c r="G102" s="4477"/>
      <c r="H102" s="4477"/>
      <c r="I102" s="4477"/>
      <c r="J102" s="3859" t="s">
        <v>50</v>
      </c>
      <c r="K102" s="4543">
        <f>'Revenue 2013-14'!N114</f>
        <v>-2972758.4499999997</v>
      </c>
      <c r="L102" s="4108"/>
      <c r="M102" s="5372">
        <f t="shared" si="1"/>
        <v>-0.29727584499999998</v>
      </c>
    </row>
    <row r="103" spans="2:13">
      <c r="B103" s="4477"/>
      <c r="C103" s="4477"/>
      <c r="D103" s="4477"/>
      <c r="E103" s="4477"/>
      <c r="F103" s="4477"/>
      <c r="G103" s="4477"/>
      <c r="H103" s="4477"/>
      <c r="I103" s="4477"/>
      <c r="J103" s="3859" t="s">
        <v>51</v>
      </c>
      <c r="K103" s="4543">
        <f>'Revenue 2013-14'!N115</f>
        <v>158175976.24999997</v>
      </c>
      <c r="L103" s="4108"/>
      <c r="M103" s="5372">
        <f t="shared" si="1"/>
        <v>15.817597624999998</v>
      </c>
    </row>
    <row r="104" spans="2:13">
      <c r="B104" s="4477"/>
      <c r="C104" s="4477"/>
      <c r="D104" s="4477"/>
      <c r="E104" s="4477"/>
      <c r="F104" s="4477"/>
      <c r="G104" s="4477"/>
      <c r="H104" s="4477"/>
      <c r="I104" s="4477"/>
      <c r="J104" s="3859" t="s">
        <v>52</v>
      </c>
      <c r="K104" s="4549">
        <f>'Revenue 2013-14'!N116</f>
        <v>62129030.780000001</v>
      </c>
      <c r="L104" s="4108"/>
      <c r="M104" s="5372">
        <f t="shared" si="1"/>
        <v>6.2129030780000001</v>
      </c>
    </row>
    <row r="105" spans="2:13">
      <c r="B105" s="4477"/>
      <c r="C105" s="4477"/>
      <c r="D105" s="4477"/>
      <c r="E105" s="4477"/>
      <c r="F105" s="4477"/>
      <c r="G105" s="4477"/>
      <c r="H105" s="4477"/>
      <c r="I105" s="4477"/>
      <c r="J105" s="4109" t="s">
        <v>47</v>
      </c>
      <c r="K105" s="4550">
        <f>SUM(K98:K104)</f>
        <v>38764969516.137108</v>
      </c>
      <c r="L105" s="4108"/>
      <c r="M105" s="5372">
        <f t="shared" si="1"/>
        <v>3876.4969516137107</v>
      </c>
    </row>
    <row r="106" spans="2:13" hidden="1">
      <c r="B106" s="3789" t="s">
        <v>2374</v>
      </c>
      <c r="C106" s="5855"/>
      <c r="D106" s="5855"/>
      <c r="E106" s="5855"/>
      <c r="F106" s="5855"/>
      <c r="G106" s="5855"/>
      <c r="H106" s="5855"/>
      <c r="I106" s="5855"/>
      <c r="J106" s="5855"/>
      <c r="K106" s="5855">
        <v>95641733.859999999</v>
      </c>
      <c r="L106" s="3859"/>
      <c r="M106" s="5372">
        <f t="shared" si="1"/>
        <v>9.5641733860000002</v>
      </c>
    </row>
    <row r="107" spans="2:13" ht="17.25" hidden="1" customHeight="1">
      <c r="B107" s="3789" t="s">
        <v>2340</v>
      </c>
      <c r="C107" s="5855"/>
      <c r="D107" s="5855"/>
      <c r="E107" s="5855"/>
      <c r="F107" s="5855"/>
      <c r="G107" s="5855"/>
      <c r="H107" s="5855"/>
      <c r="I107" s="5855"/>
      <c r="J107" s="5855"/>
      <c r="K107" s="5855"/>
      <c r="L107" s="3859"/>
      <c r="M107" s="5372">
        <f t="shared" si="1"/>
        <v>0</v>
      </c>
    </row>
    <row r="108" spans="2:13" ht="17.25" hidden="1" customHeight="1">
      <c r="B108" s="4115" t="s">
        <v>47</v>
      </c>
      <c r="C108" s="5855"/>
      <c r="D108" s="5855"/>
      <c r="E108" s="5855"/>
      <c r="F108" s="5855"/>
      <c r="G108" s="5855"/>
      <c r="H108" s="5855"/>
      <c r="I108" s="5855"/>
      <c r="J108" s="5855"/>
      <c r="K108" s="3876">
        <f>K105+K106</f>
        <v>38860611249.997108</v>
      </c>
      <c r="L108" s="3859"/>
      <c r="M108" s="5372">
        <f t="shared" si="1"/>
        <v>3886.061124999711</v>
      </c>
    </row>
    <row r="109" spans="2:13" ht="17.25" hidden="1" customHeight="1">
      <c r="B109" s="4114"/>
      <c r="C109" s="3862"/>
      <c r="D109" s="3862"/>
      <c r="E109" s="3862"/>
      <c r="F109" s="3862"/>
      <c r="G109" s="3862"/>
      <c r="H109" s="3862"/>
      <c r="I109" s="3862"/>
      <c r="J109" s="3862"/>
      <c r="K109" s="4101"/>
      <c r="L109" s="3153"/>
    </row>
    <row r="110" spans="2:13" hidden="1">
      <c r="B110" s="5851" t="s">
        <v>3689</v>
      </c>
      <c r="C110" s="5851"/>
      <c r="D110" s="5851"/>
      <c r="E110" s="5851"/>
      <c r="F110" s="5851"/>
      <c r="K110" s="355" t="s">
        <v>151</v>
      </c>
    </row>
    <row r="111" spans="2:13" hidden="1">
      <c r="B111" s="4953"/>
      <c r="C111" s="4953"/>
      <c r="D111" s="4953"/>
      <c r="E111" s="4953"/>
      <c r="F111" s="4953"/>
      <c r="L111" s="355"/>
    </row>
    <row r="112" spans="2:13" ht="47.25" hidden="1">
      <c r="B112" s="4102" t="s">
        <v>1</v>
      </c>
      <c r="C112" s="4102" t="s">
        <v>2</v>
      </c>
      <c r="D112" s="4949" t="s">
        <v>3410</v>
      </c>
      <c r="E112" s="4949"/>
      <c r="F112" s="4102" t="s">
        <v>4</v>
      </c>
      <c r="G112" s="4102" t="s">
        <v>5</v>
      </c>
      <c r="H112" s="4102" t="s">
        <v>6</v>
      </c>
      <c r="I112" s="3579" t="s">
        <v>7</v>
      </c>
      <c r="J112" s="3579" t="s">
        <v>2224</v>
      </c>
      <c r="K112" s="3579" t="s">
        <v>8</v>
      </c>
      <c r="L112" s="3579" t="s">
        <v>9</v>
      </c>
      <c r="M112" s="4103"/>
    </row>
    <row r="113" spans="2:13" hidden="1">
      <c r="B113" s="4102"/>
      <c r="C113" s="4102"/>
      <c r="D113" s="4948" t="s">
        <v>12</v>
      </c>
      <c r="E113" s="4948" t="s">
        <v>13</v>
      </c>
      <c r="F113" s="4102"/>
      <c r="G113" s="4102"/>
      <c r="H113" s="4102"/>
      <c r="I113" s="4102"/>
      <c r="J113" s="4102"/>
      <c r="K113" s="4102"/>
      <c r="L113" s="4947"/>
      <c r="M113" s="4106"/>
    </row>
    <row r="114" spans="2:13" hidden="1">
      <c r="B114" s="4947" t="s">
        <v>14</v>
      </c>
      <c r="C114" s="4947"/>
      <c r="D114" s="4952">
        <f>'Revenue FY 2014-15'!D8</f>
        <v>223</v>
      </c>
      <c r="E114" s="4952">
        <f>'Revenue FY 2014-15'!E8</f>
        <v>0</v>
      </c>
      <c r="F114" s="4952">
        <f>'Revenue FY 2014-15'!F8</f>
        <v>48749</v>
      </c>
      <c r="G114" s="4952">
        <f>'Revenue FY 2014-15'!G8</f>
        <v>38446.15</v>
      </c>
      <c r="H114" s="4952">
        <f>'Revenue FY 2014-15'!H8</f>
        <v>7232.4000000000015</v>
      </c>
      <c r="I114" s="4952">
        <f>'Revenue FY 2014-15'!I8</f>
        <v>5849.880000000001</v>
      </c>
      <c r="J114" s="4952">
        <f>'Revenue FY 2014-15'!J8</f>
        <v>311.67</v>
      </c>
      <c r="K114" s="4952">
        <f>SUM(G114:J114)</f>
        <v>51840.100000000006</v>
      </c>
      <c r="L114" s="4108">
        <f>K114/F114</f>
        <v>1.0634084801739525</v>
      </c>
      <c r="M114" s="4106"/>
    </row>
    <row r="115" spans="2:13" hidden="1">
      <c r="B115" s="4947" t="s">
        <v>16</v>
      </c>
      <c r="C115" s="4947" t="s">
        <v>17</v>
      </c>
      <c r="D115" s="4952">
        <f>'Revenue FY 2014-15'!D21</f>
        <v>243578</v>
      </c>
      <c r="E115" s="4952">
        <f>'Revenue FY 2014-15'!E21</f>
        <v>13771</v>
      </c>
      <c r="F115" s="4952">
        <f>'Revenue FY 2014-15'!F21</f>
        <v>706793745</v>
      </c>
      <c r="G115" s="4952">
        <f>'Revenue FY 2014-15'!G21</f>
        <v>1867364883.45</v>
      </c>
      <c r="H115" s="4952">
        <f>'Revenue FY 2014-15'!H21</f>
        <v>0</v>
      </c>
      <c r="I115" s="4952">
        <f>'Revenue FY 2014-15'!I21</f>
        <v>388736559.75000006</v>
      </c>
      <c r="J115" s="4952">
        <f>'Revenue FY 2014-15'!J21</f>
        <v>0</v>
      </c>
      <c r="K115" s="5847">
        <f>SUM(G115:J118)</f>
        <v>13806584410.09</v>
      </c>
      <c r="L115" s="5849">
        <f>K115/SUM(F115:F118)</f>
        <v>7.4771221944748154</v>
      </c>
      <c r="M115" s="4106"/>
    </row>
    <row r="116" spans="2:13" hidden="1">
      <c r="B116" s="4947"/>
      <c r="C116" s="4947" t="s">
        <v>18</v>
      </c>
      <c r="D116" s="4952">
        <f>'Revenue FY 2014-15'!D22</f>
        <v>353178</v>
      </c>
      <c r="E116" s="4952">
        <f>'Revenue FY 2014-15'!E22</f>
        <v>23328</v>
      </c>
      <c r="F116" s="4952">
        <f>'Revenue FY 2014-15'!F22</f>
        <v>609680666</v>
      </c>
      <c r="G116" s="4952">
        <f>'Revenue FY 2014-15'!G22</f>
        <v>3241589210.6000004</v>
      </c>
      <c r="H116" s="4952">
        <f>'Revenue FY 2014-15'!H22</f>
        <v>0</v>
      </c>
      <c r="I116" s="4952">
        <f>'Revenue FY 2014-15'!I22</f>
        <v>627971085.98000002</v>
      </c>
      <c r="J116" s="4952">
        <f>'Revenue FY 2014-15'!J22</f>
        <v>0</v>
      </c>
      <c r="K116" s="5852"/>
      <c r="L116" s="5853"/>
      <c r="M116" s="4106"/>
    </row>
    <row r="117" spans="2:13" hidden="1">
      <c r="B117" s="4947"/>
      <c r="C117" s="4947" t="s">
        <v>19</v>
      </c>
      <c r="D117" s="4952">
        <f>'Revenue FY 2014-15'!D23</f>
        <v>49108</v>
      </c>
      <c r="E117" s="4952">
        <f>'Revenue FY 2014-15'!E23</f>
        <v>18633</v>
      </c>
      <c r="F117" s="4952">
        <f>'Revenue FY 2014-15'!F23</f>
        <v>186522229</v>
      </c>
      <c r="G117" s="4952">
        <f>'Revenue FY 2014-15'!G23</f>
        <v>1391171458.45</v>
      </c>
      <c r="H117" s="4952">
        <f>'Revenue FY 2014-15'!H23</f>
        <v>0</v>
      </c>
      <c r="I117" s="4952">
        <f>'Revenue FY 2014-15'!I23</f>
        <v>268592009.75999999</v>
      </c>
      <c r="J117" s="4952">
        <f>'Revenue FY 2014-15'!J23</f>
        <v>0</v>
      </c>
      <c r="K117" s="5852"/>
      <c r="L117" s="5853"/>
      <c r="M117" s="4106"/>
    </row>
    <row r="118" spans="2:13" hidden="1">
      <c r="B118" s="4947"/>
      <c r="C118" s="4947" t="s">
        <v>20</v>
      </c>
      <c r="D118" s="4952">
        <f>'Revenue FY 2014-15'!D24</f>
        <v>12710</v>
      </c>
      <c r="E118" s="4952">
        <f>'Revenue FY 2014-15'!E24</f>
        <v>29037</v>
      </c>
      <c r="F118" s="4952">
        <f>'Revenue FY 2014-15'!F24</f>
        <v>343513829</v>
      </c>
      <c r="G118" s="4952">
        <f>'Revenue FY 2014-15'!G24</f>
        <v>3256346740.4499998</v>
      </c>
      <c r="H118" s="4952">
        <f>'Revenue FY 2014-15'!H24</f>
        <v>756989163.26999998</v>
      </c>
      <c r="I118" s="4952">
        <f>'Revenue FY 2014-15'!I24</f>
        <v>635500583.6500001</v>
      </c>
      <c r="J118" s="4952">
        <f>'Revenue FY 2014-15'!J24</f>
        <v>1372322714.73</v>
      </c>
      <c r="K118" s="5848"/>
      <c r="L118" s="5850"/>
      <c r="M118" s="4106"/>
    </row>
    <row r="119" spans="2:13" hidden="1">
      <c r="B119" s="4109" t="s">
        <v>21</v>
      </c>
      <c r="C119" s="4947" t="s">
        <v>25</v>
      </c>
      <c r="D119" s="4952">
        <f>'Revenue FY 2014-15'!D31</f>
        <v>198597</v>
      </c>
      <c r="E119" s="4952">
        <f>'Revenue FY 2014-15'!E31</f>
        <v>22443</v>
      </c>
      <c r="F119" s="4952">
        <f>'Revenue FY 2014-15'!F31</f>
        <v>542734035</v>
      </c>
      <c r="G119" s="4952">
        <f>'Revenue FY 2014-15'!G31</f>
        <v>4022888169.0000005</v>
      </c>
      <c r="H119" s="4952">
        <f>'Revenue FY 2014-15'!H31</f>
        <v>0</v>
      </c>
      <c r="I119" s="4952">
        <f>'Revenue FY 2014-15'!I31</f>
        <v>803246371.80000007</v>
      </c>
      <c r="J119" s="4952">
        <f>'Revenue FY 2014-15'!J31</f>
        <v>0</v>
      </c>
      <c r="K119" s="5847">
        <f>SUM(G119:J120)</f>
        <v>11234759416.150002</v>
      </c>
      <c r="L119" s="5849">
        <f>K119/SUM(F119:F120)</f>
        <v>12.663037025695102</v>
      </c>
      <c r="M119" s="4106"/>
    </row>
    <row r="120" spans="2:13" hidden="1">
      <c r="B120" s="4947"/>
      <c r="C120" s="4947" t="s">
        <v>26</v>
      </c>
      <c r="D120" s="4952">
        <f>'Revenue FY 2014-15'!D32</f>
        <v>14807</v>
      </c>
      <c r="E120" s="4952">
        <f>'Revenue FY 2014-15'!E32</f>
        <v>21638</v>
      </c>
      <c r="F120" s="4952">
        <f>'Revenue FY 2014-15'!F32</f>
        <v>344474886</v>
      </c>
      <c r="G120" s="4952">
        <f>'Revenue FY 2014-15'!G32</f>
        <v>3429055528.27</v>
      </c>
      <c r="H120" s="4952">
        <f>'Revenue FY 2014-15'!H32</f>
        <v>760563539.67999995</v>
      </c>
      <c r="I120" s="4952">
        <f>'Revenue FY 2014-15'!I32</f>
        <v>757844749.20000005</v>
      </c>
      <c r="J120" s="4952">
        <f>'Revenue FY 2014-15'!J32</f>
        <v>1461161058.1999998</v>
      </c>
      <c r="K120" s="5848"/>
      <c r="L120" s="5850"/>
      <c r="M120" s="4106"/>
    </row>
    <row r="121" spans="2:13" hidden="1">
      <c r="B121" s="4947" t="s">
        <v>27</v>
      </c>
      <c r="C121" s="4947" t="s">
        <v>28</v>
      </c>
      <c r="D121" s="4952">
        <f>'Revenue FY 2014-15'!D36</f>
        <v>49</v>
      </c>
      <c r="E121" s="4952">
        <f>'Revenue FY 2014-15'!E36</f>
        <v>5841</v>
      </c>
      <c r="F121" s="4952">
        <f>'Revenue FY 2014-15'!F36</f>
        <v>234587961</v>
      </c>
      <c r="G121" s="4952">
        <f>'Revenue FY 2014-15'!G36</f>
        <v>2165141339.5</v>
      </c>
      <c r="H121" s="4952">
        <f>'Revenue FY 2014-15'!H36</f>
        <v>245211400.63</v>
      </c>
      <c r="I121" s="4952">
        <f>'Revenue FY 2014-15'!I36</f>
        <v>504364116.14999992</v>
      </c>
      <c r="J121" s="4952">
        <f>'Revenue FY 2014-15'!J36</f>
        <v>370706106.44</v>
      </c>
      <c r="K121" s="4952">
        <f>SUM(G121:J121)</f>
        <v>3285422962.7200003</v>
      </c>
      <c r="L121" s="4108">
        <f>K121/F121</f>
        <v>14.005079155447369</v>
      </c>
      <c r="M121" s="4106"/>
    </row>
    <row r="122" spans="2:13" hidden="1">
      <c r="B122" s="4947" t="s">
        <v>29</v>
      </c>
      <c r="C122" s="4947" t="s">
        <v>28</v>
      </c>
      <c r="D122" s="4952">
        <f>'Revenue FY 2014-15'!D40</f>
        <v>0</v>
      </c>
      <c r="E122" s="4952">
        <f>'Revenue FY 2014-15'!E40</f>
        <v>2694</v>
      </c>
      <c r="F122" s="4952">
        <f>'Revenue FY 2014-15'!F40</f>
        <v>462906752</v>
      </c>
      <c r="G122" s="4952">
        <f>'Revenue FY 2014-15'!G40</f>
        <v>4457740761.249999</v>
      </c>
      <c r="H122" s="4952">
        <f>'Revenue FY 2014-15'!H40</f>
        <v>415898785.88999999</v>
      </c>
      <c r="I122" s="4952">
        <f>'Revenue FY 2014-15'!I40</f>
        <v>1009136719.3600001</v>
      </c>
      <c r="J122" s="4952">
        <f>'Revenue FY 2014-15'!J40</f>
        <v>745279870.72000003</v>
      </c>
      <c r="K122" s="4952">
        <f>SUM(G122:J122)</f>
        <v>6628056137.2200003</v>
      </c>
      <c r="L122" s="4108">
        <f>K122/F122</f>
        <v>14.318339727349668</v>
      </c>
      <c r="M122" s="4106"/>
    </row>
    <row r="123" spans="2:13" hidden="1">
      <c r="B123" s="4947" t="s">
        <v>30</v>
      </c>
      <c r="C123" s="4947" t="s">
        <v>25</v>
      </c>
      <c r="D123" s="4952">
        <f>'Revenue FY 2014-15'!D47</f>
        <v>2377</v>
      </c>
      <c r="E123" s="4952">
        <f>'Revenue FY 2014-15'!E47</f>
        <v>3429</v>
      </c>
      <c r="F123" s="4952">
        <f>'Revenue FY 2014-15'!F47</f>
        <v>20789632</v>
      </c>
      <c r="G123" s="4952">
        <f>'Revenue FY 2014-15'!G47</f>
        <v>131400515.75999999</v>
      </c>
      <c r="H123" s="4952">
        <f>'Revenue FY 2014-15'!H47</f>
        <v>0</v>
      </c>
      <c r="I123" s="4952">
        <f>'Revenue FY 2014-15'!I47</f>
        <v>29105484.799999997</v>
      </c>
      <c r="J123" s="4952">
        <f>'Revenue FY 2014-15'!J47</f>
        <v>0</v>
      </c>
      <c r="K123" s="5847">
        <f>SUM(G123:J124)</f>
        <v>503605514.69999999</v>
      </c>
      <c r="L123" s="5849">
        <f>K123/SUM(F123:F124)</f>
        <v>11.546290032613785</v>
      </c>
      <c r="M123" s="4106"/>
    </row>
    <row r="124" spans="2:13" hidden="1">
      <c r="B124" s="4947"/>
      <c r="C124" s="4947" t="s">
        <v>26</v>
      </c>
      <c r="D124" s="4952">
        <f>'Revenue FY 2014-15'!D48</f>
        <v>101</v>
      </c>
      <c r="E124" s="4952">
        <f>'Revenue FY 2014-15'!E48</f>
        <v>2030</v>
      </c>
      <c r="F124" s="4952">
        <f>'Revenue FY 2014-15'!F48</f>
        <v>22826587</v>
      </c>
      <c r="G124" s="4952">
        <f>'Revenue FY 2014-15'!G48</f>
        <v>194228387.94</v>
      </c>
      <c r="H124" s="4952">
        <f>'Revenue FY 2014-15'!H48</f>
        <v>33123234.32</v>
      </c>
      <c r="I124" s="4952">
        <f>'Revenue FY 2014-15'!I48</f>
        <v>44740110.519999996</v>
      </c>
      <c r="J124" s="4952">
        <f>'Revenue FY 2014-15'!J48</f>
        <v>71007781.359999999</v>
      </c>
      <c r="K124" s="5848"/>
      <c r="L124" s="5850"/>
      <c r="M124" s="4106"/>
    </row>
    <row r="125" spans="2:13" hidden="1">
      <c r="B125" s="4947" t="s">
        <v>31</v>
      </c>
      <c r="C125" s="4947" t="s">
        <v>28</v>
      </c>
      <c r="D125" s="4952">
        <f>'Revenue FY 2014-15'!D52</f>
        <v>11</v>
      </c>
      <c r="E125" s="4952">
        <f>'Revenue FY 2014-15'!E52</f>
        <v>1129</v>
      </c>
      <c r="F125" s="4952">
        <f>'Revenue FY 2014-15'!F52</f>
        <v>52106871</v>
      </c>
      <c r="G125" s="4952">
        <f>'Revenue FY 2014-15'!G52</f>
        <v>418448423.14999998</v>
      </c>
      <c r="H125" s="4952">
        <f>'Revenue FY 2014-15'!H52</f>
        <v>58664534.960000016</v>
      </c>
      <c r="I125" s="4952">
        <f>'Revenue FY 2014-15'!I52</f>
        <v>91187024.25</v>
      </c>
      <c r="J125" s="4952">
        <f>'Revenue FY 2014-15'!J52</f>
        <v>66696794.880000003</v>
      </c>
      <c r="K125" s="4952">
        <f t="shared" ref="K125:K140" si="5">SUM(G125:J125)</f>
        <v>634996777.24000001</v>
      </c>
      <c r="L125" s="4108">
        <f t="shared" ref="L125:L139" si="6">K125/F125</f>
        <v>12.186430792207807</v>
      </c>
      <c r="M125" s="4106"/>
    </row>
    <row r="126" spans="2:13" hidden="1">
      <c r="B126" s="4947" t="s">
        <v>32</v>
      </c>
      <c r="C126" s="4947" t="s">
        <v>28</v>
      </c>
      <c r="D126" s="4952">
        <f>'Revenue FY 2014-15'!D56</f>
        <v>0</v>
      </c>
      <c r="E126" s="4952">
        <f>'Revenue FY 2014-15'!E56</f>
        <v>116</v>
      </c>
      <c r="F126" s="4952">
        <f>'Revenue FY 2014-15'!F56</f>
        <v>47695689</v>
      </c>
      <c r="G126" s="4952">
        <f>'Revenue FY 2014-15'!G56</f>
        <v>390049263.25</v>
      </c>
      <c r="H126" s="4952">
        <f>'Revenue FY 2014-15'!H56</f>
        <v>31627532.789999999</v>
      </c>
      <c r="I126" s="4952">
        <f>'Revenue FY 2014-15'!I56</f>
        <v>82036585.080000013</v>
      </c>
      <c r="J126" s="4952">
        <f>'Revenue FY 2014-15'!J56</f>
        <v>59023337.839999981</v>
      </c>
      <c r="K126" s="4952">
        <f t="shared" si="5"/>
        <v>562736718.96000004</v>
      </c>
      <c r="L126" s="4108">
        <f t="shared" si="6"/>
        <v>11.798481807443856</v>
      </c>
      <c r="M126" s="4106"/>
    </row>
    <row r="127" spans="2:13" hidden="1">
      <c r="B127" s="4947" t="s">
        <v>33</v>
      </c>
      <c r="C127" s="4947"/>
      <c r="D127" s="4952">
        <f>'Revenue FY 2014-15'!D60</f>
        <v>724</v>
      </c>
      <c r="E127" s="4952">
        <f>'Revenue FY 2014-15'!E60</f>
        <v>125</v>
      </c>
      <c r="F127" s="4952">
        <f>'Revenue FY 2014-15'!F60</f>
        <v>1600147</v>
      </c>
      <c r="G127" s="4952">
        <f>'Revenue FY 2014-15'!G60</f>
        <v>22962788.150000002</v>
      </c>
      <c r="H127" s="4952">
        <f>'Revenue FY 2014-15'!H60</f>
        <v>3924799.9</v>
      </c>
      <c r="I127" s="4952">
        <f>'Revenue FY 2014-15'!I60</f>
        <v>5056464.5199999996</v>
      </c>
      <c r="J127" s="4952">
        <f>'Revenue FY 2014-15'!J60</f>
        <v>3805652.5300000003</v>
      </c>
      <c r="K127" s="4952">
        <f t="shared" si="5"/>
        <v>35749705.100000001</v>
      </c>
      <c r="L127" s="4108">
        <f t="shared" si="6"/>
        <v>22.341513060987523</v>
      </c>
      <c r="M127" s="4106"/>
    </row>
    <row r="128" spans="2:13" hidden="1">
      <c r="B128" s="4947" t="s">
        <v>34</v>
      </c>
      <c r="C128" s="4947" t="s">
        <v>28</v>
      </c>
      <c r="D128" s="4952">
        <f>'Revenue FY 2014-15'!D64</f>
        <v>0</v>
      </c>
      <c r="E128" s="4952">
        <f>'Revenue FY 2014-15'!E64</f>
        <v>0</v>
      </c>
      <c r="F128" s="4952">
        <f>'Revenue FY 2014-15'!F64</f>
        <v>26544988.780000001</v>
      </c>
      <c r="G128" s="4952">
        <f>'Revenue FY 2014-15'!G64</f>
        <v>207074012.87200001</v>
      </c>
      <c r="H128" s="4952">
        <f>'Revenue FY 2014-15'!H64</f>
        <v>24364920.91</v>
      </c>
      <c r="I128" s="4952">
        <f>'Revenue FY 2014-15'!I64</f>
        <v>40348382.945599996</v>
      </c>
      <c r="J128" s="4952">
        <f>'Revenue FY 2014-15'!J64</f>
        <v>25686358.57</v>
      </c>
      <c r="K128" s="4952">
        <f t="shared" si="5"/>
        <v>297473675.29759997</v>
      </c>
      <c r="L128" s="4108">
        <f t="shared" si="6"/>
        <v>11.206396723803774</v>
      </c>
      <c r="M128" s="4106"/>
    </row>
    <row r="129" spans="2:13" hidden="1">
      <c r="B129" s="4947" t="s">
        <v>35</v>
      </c>
      <c r="C129" s="4947" t="s">
        <v>28</v>
      </c>
      <c r="D129" s="4952">
        <f>'Revenue FY 2014-15'!D68</f>
        <v>587</v>
      </c>
      <c r="E129" s="4952">
        <f>'Revenue FY 2014-15'!E68</f>
        <v>129</v>
      </c>
      <c r="F129" s="4952">
        <f>'Revenue FY 2014-15'!F68</f>
        <v>3441006</v>
      </c>
      <c r="G129" s="4952">
        <f>'Revenue FY 2014-15'!G68</f>
        <v>27205560.450000003</v>
      </c>
      <c r="H129" s="4952">
        <f>'Revenue FY 2014-15'!H68</f>
        <v>2687163.63</v>
      </c>
      <c r="I129" s="4952">
        <f>'Revenue FY 2014-15'!I68</f>
        <v>5230329.12</v>
      </c>
      <c r="J129" s="4952">
        <f>'Revenue FY 2014-15'!J68</f>
        <v>3984240.96</v>
      </c>
      <c r="K129" s="4952">
        <f t="shared" si="5"/>
        <v>39107294.160000004</v>
      </c>
      <c r="L129" s="4108">
        <f t="shared" si="6"/>
        <v>11.365075841192954</v>
      </c>
      <c r="M129" s="4106"/>
    </row>
    <row r="130" spans="2:13" hidden="1">
      <c r="B130" s="4947" t="s">
        <v>36</v>
      </c>
      <c r="C130" s="4947" t="s">
        <v>28</v>
      </c>
      <c r="D130" s="4952">
        <f>'Revenue FY 2014-15'!D72</f>
        <v>3</v>
      </c>
      <c r="E130" s="4952">
        <f>'Revenue FY 2014-15'!E72</f>
        <v>2</v>
      </c>
      <c r="F130" s="4952">
        <f>'Revenue FY 2014-15'!F72</f>
        <v>2269056</v>
      </c>
      <c r="G130" s="4952">
        <f>'Revenue FY 2014-15'!G72</f>
        <v>9967341.3899999987</v>
      </c>
      <c r="H130" s="4952">
        <f>'Revenue FY 2014-15'!H72</f>
        <v>592653.40999999992</v>
      </c>
      <c r="I130" s="4952">
        <f>'Revenue FY 2014-15'!I72</f>
        <v>1974078.7199999995</v>
      </c>
      <c r="J130" s="4952">
        <f>'Revenue FY 2014-15'!J72</f>
        <v>1633007.5199999998</v>
      </c>
      <c r="K130" s="4952">
        <f t="shared" si="5"/>
        <v>14167081.039999997</v>
      </c>
      <c r="L130" s="4108">
        <f t="shared" si="6"/>
        <v>6.2436013214305852</v>
      </c>
      <c r="M130" s="4106"/>
    </row>
    <row r="131" spans="2:13" hidden="1">
      <c r="B131" s="4947" t="s">
        <v>37</v>
      </c>
      <c r="C131" s="4947" t="s">
        <v>28</v>
      </c>
      <c r="D131" s="4952">
        <f>'Revenue FY 2014-15'!D76</f>
        <v>163</v>
      </c>
      <c r="E131" s="4952">
        <f>'Revenue FY 2014-15'!E76</f>
        <v>1474</v>
      </c>
      <c r="F131" s="4952">
        <f>'Revenue FY 2014-15'!F76</f>
        <v>36367319</v>
      </c>
      <c r="G131" s="4952">
        <f>'Revenue FY 2014-15'!G76</f>
        <v>416530225.98000002</v>
      </c>
      <c r="H131" s="4952">
        <f>'Revenue FY 2014-15'!H76</f>
        <v>24084030.060000002</v>
      </c>
      <c r="I131" s="4952">
        <f>'Revenue FY 2014-15'!I76</f>
        <v>92009317.069999993</v>
      </c>
      <c r="J131" s="4952">
        <f>'Revenue FY 2014-15'!J76</f>
        <v>68780615.400000006</v>
      </c>
      <c r="K131" s="4952">
        <f t="shared" si="5"/>
        <v>601404188.50999999</v>
      </c>
      <c r="L131" s="4108">
        <f t="shared" si="6"/>
        <v>16.536940446723609</v>
      </c>
      <c r="M131" s="4106"/>
    </row>
    <row r="132" spans="2:13" hidden="1">
      <c r="B132" s="4947" t="s">
        <v>38</v>
      </c>
      <c r="C132" s="4947" t="s">
        <v>28</v>
      </c>
      <c r="D132" s="4952">
        <f>'Revenue FY 2014-15'!D80</f>
        <v>9</v>
      </c>
      <c r="E132" s="4952">
        <f>'Revenue FY 2014-15'!E80</f>
        <v>20</v>
      </c>
      <c r="F132" s="4952">
        <f>'Revenue FY 2014-15'!F80</f>
        <v>1200074</v>
      </c>
      <c r="G132" s="4952">
        <f>'Revenue FY 2014-15'!G80</f>
        <v>5376339.0999999996</v>
      </c>
      <c r="H132" s="4952">
        <f>'Revenue FY 2014-15'!H80</f>
        <v>70786.67</v>
      </c>
      <c r="I132" s="4952">
        <f>'Revenue FY 2014-15'!I80</f>
        <v>996061.41999999993</v>
      </c>
      <c r="J132" s="4952">
        <f>'Revenue FY 2014-15'!J80</f>
        <v>660040.69999999995</v>
      </c>
      <c r="K132" s="4952">
        <f t="shared" si="5"/>
        <v>7103227.8899999997</v>
      </c>
      <c r="L132" s="4108">
        <f t="shared" si="6"/>
        <v>5.9189915705198173</v>
      </c>
      <c r="M132" s="4106"/>
    </row>
    <row r="133" spans="2:13" hidden="1">
      <c r="B133" s="4947" t="s">
        <v>39</v>
      </c>
      <c r="C133" s="4947" t="s">
        <v>28</v>
      </c>
      <c r="D133" s="4952">
        <f>'Revenue FY 2014-15'!D84</f>
        <v>1486</v>
      </c>
      <c r="E133" s="4952">
        <f>'Revenue FY 2014-15'!E84</f>
        <v>680</v>
      </c>
      <c r="F133" s="4952">
        <f>'Revenue FY 2014-15'!F84</f>
        <v>12446819</v>
      </c>
      <c r="G133" s="4952">
        <f>'Revenue FY 2014-15'!G84</f>
        <v>102770552.7</v>
      </c>
      <c r="H133" s="4952">
        <f>'Revenue FY 2014-15'!H84</f>
        <v>6413558.3000000017</v>
      </c>
      <c r="I133" s="4952">
        <f>'Revenue FY 2014-15'!I84</f>
        <v>22777678.770000003</v>
      </c>
      <c r="J133" s="4952">
        <f>'Revenue FY 2014-15'!J84</f>
        <v>18825764.349999998</v>
      </c>
      <c r="K133" s="4952">
        <f t="shared" si="5"/>
        <v>150787554.12</v>
      </c>
      <c r="L133" s="4108">
        <f t="shared" si="6"/>
        <v>12.114545420801894</v>
      </c>
      <c r="M133" s="4106"/>
    </row>
    <row r="134" spans="2:13" hidden="1">
      <c r="B134" s="4947" t="s">
        <v>40</v>
      </c>
      <c r="C134" s="4947" t="s">
        <v>28</v>
      </c>
      <c r="D134" s="4952">
        <f>'Revenue FY 2014-15'!D88</f>
        <v>2</v>
      </c>
      <c r="E134" s="4952">
        <f>'Revenue FY 2014-15'!E88</f>
        <v>515</v>
      </c>
      <c r="F134" s="4952">
        <f>'Revenue FY 2014-15'!F88</f>
        <v>73992160</v>
      </c>
      <c r="G134" s="4952">
        <f>'Revenue FY 2014-15'!G88</f>
        <v>608467428</v>
      </c>
      <c r="H134" s="4952">
        <f>'Revenue FY 2014-15'!H88</f>
        <v>60867421.229999997</v>
      </c>
      <c r="I134" s="4952">
        <f>'Revenue FY 2014-15'!I88</f>
        <v>135405652.80000001</v>
      </c>
      <c r="J134" s="4952">
        <f>'Revenue FY 2014-15'!J88</f>
        <v>105068867.19999999</v>
      </c>
      <c r="K134" s="4952">
        <f t="shared" si="5"/>
        <v>909809369.23000002</v>
      </c>
      <c r="L134" s="4108">
        <f t="shared" si="6"/>
        <v>12.296023919696358</v>
      </c>
      <c r="M134" s="4106"/>
    </row>
    <row r="135" spans="2:13" hidden="1">
      <c r="B135" s="4947" t="s">
        <v>41</v>
      </c>
      <c r="C135" s="4947" t="s">
        <v>28</v>
      </c>
      <c r="D135" s="4952">
        <f>'Revenue FY 2014-15'!D92</f>
        <v>0</v>
      </c>
      <c r="E135" s="4952">
        <f>'Revenue FY 2014-15'!E92</f>
        <v>41</v>
      </c>
      <c r="F135" s="4952">
        <f>'Revenue FY 2014-15'!F92</f>
        <v>185399430</v>
      </c>
      <c r="G135" s="4952">
        <f>'Revenue FY 2014-15'!G92</f>
        <v>1466695734.8</v>
      </c>
      <c r="H135" s="4952">
        <f>'Revenue FY 2014-15'!H92</f>
        <v>112908660.23</v>
      </c>
      <c r="I135" s="4952">
        <f>'Revenue FY 2014-15'!I92</f>
        <v>294785093.69999999</v>
      </c>
      <c r="J135" s="4952">
        <f>'Revenue FY 2014-15'!J92</f>
        <v>209501355.90000001</v>
      </c>
      <c r="K135" s="4952">
        <f t="shared" si="5"/>
        <v>2083890844.6300001</v>
      </c>
      <c r="L135" s="4108">
        <f t="shared" si="6"/>
        <v>11.240006749912878</v>
      </c>
      <c r="M135" s="4106"/>
    </row>
    <row r="136" spans="2:13" hidden="1">
      <c r="B136" s="4947" t="s">
        <v>42</v>
      </c>
      <c r="C136" s="4947" t="s">
        <v>28</v>
      </c>
      <c r="D136" s="4952">
        <f>'Revenue FY 2014-15'!D96</f>
        <v>0</v>
      </c>
      <c r="E136" s="4952">
        <f>'Revenue FY 2014-15'!E96</f>
        <v>103</v>
      </c>
      <c r="F136" s="4952">
        <f>'Revenue FY 2014-15'!F96</f>
        <v>358008795</v>
      </c>
      <c r="G136" s="4952">
        <f>'Revenue FY 2014-15'!G96</f>
        <v>3046930658.0000005</v>
      </c>
      <c r="H136" s="4952">
        <f>'Revenue FY 2014-15'!H96</f>
        <v>224259384.44999996</v>
      </c>
      <c r="I136" s="4952">
        <f>'Revenue FY 2014-15'!I96</f>
        <v>612195039.45000005</v>
      </c>
      <c r="J136" s="4952">
        <f>'Revenue FY 2014-15'!J96</f>
        <v>426030466.05000001</v>
      </c>
      <c r="K136" s="4952">
        <f t="shared" si="5"/>
        <v>4309415547.9500008</v>
      </c>
      <c r="L136" s="4108">
        <f t="shared" si="6"/>
        <v>12.037177879806</v>
      </c>
      <c r="M136" s="4106"/>
    </row>
    <row r="137" spans="2:13" hidden="1">
      <c r="B137" s="4947" t="s">
        <v>43</v>
      </c>
      <c r="C137" s="4947" t="s">
        <v>28</v>
      </c>
      <c r="D137" s="4952">
        <f>'Revenue FY 2014-15'!D100</f>
        <v>0</v>
      </c>
      <c r="E137" s="4952">
        <f>'Revenue FY 2014-15'!E100</f>
        <v>12</v>
      </c>
      <c r="F137" s="4952">
        <f>'Revenue FY 2014-15'!F100</f>
        <v>33186438</v>
      </c>
      <c r="G137" s="4952">
        <f>'Revenue FY 2014-15'!G100</f>
        <v>196491625.26000002</v>
      </c>
      <c r="H137" s="4952">
        <f>'Revenue FY 2014-15'!H100</f>
        <v>16684102.589999996</v>
      </c>
      <c r="I137" s="4952">
        <f>'Revenue FY 2014-15'!I100</f>
        <v>30199658.579999994</v>
      </c>
      <c r="J137" s="4952">
        <f>'Revenue FY 2014-15'!J100</f>
        <v>21903049.079999994</v>
      </c>
      <c r="K137" s="4952">
        <f t="shared" si="5"/>
        <v>265278435.50999999</v>
      </c>
      <c r="L137" s="4108">
        <f t="shared" si="6"/>
        <v>7.9935796517239961</v>
      </c>
      <c r="M137" s="4106"/>
    </row>
    <row r="138" spans="2:13" hidden="1">
      <c r="B138" s="4947" t="s">
        <v>44</v>
      </c>
      <c r="C138" s="4947" t="s">
        <v>28</v>
      </c>
      <c r="D138" s="4952">
        <f>'Revenue FY 2014-15'!D104</f>
        <v>0</v>
      </c>
      <c r="E138" s="4952">
        <f>'Revenue FY 2014-15'!E104</f>
        <v>6</v>
      </c>
      <c r="F138" s="4952">
        <f>'Revenue FY 2014-15'!F104</f>
        <v>11373238</v>
      </c>
      <c r="G138" s="4952">
        <f>'Revenue FY 2014-15'!G104</f>
        <v>126344522.5</v>
      </c>
      <c r="H138" s="4952">
        <f>'Revenue FY 2014-15'!H104</f>
        <v>16466.669999999998</v>
      </c>
      <c r="I138" s="4952">
        <f>'Revenue FY 2014-15'!I104</f>
        <v>26499644.540000007</v>
      </c>
      <c r="J138" s="4952">
        <f>'Revenue FY 2014-15'!J104</f>
        <v>19107039.839999996</v>
      </c>
      <c r="K138" s="4952">
        <f t="shared" si="5"/>
        <v>171967673.55000001</v>
      </c>
      <c r="L138" s="4108">
        <f t="shared" si="6"/>
        <v>15.120379398549472</v>
      </c>
      <c r="M138" s="4106"/>
    </row>
    <row r="139" spans="2:13" hidden="1">
      <c r="B139" s="4947" t="s">
        <v>45</v>
      </c>
      <c r="C139" s="4947" t="s">
        <v>28</v>
      </c>
      <c r="D139" s="4952">
        <f>'Revenue FY 2014-15'!D108</f>
        <v>0</v>
      </c>
      <c r="E139" s="4952">
        <f>'Revenue FY 2014-15'!E108</f>
        <v>17</v>
      </c>
      <c r="F139" s="4952">
        <f>'Revenue FY 2014-15'!F108</f>
        <v>98320226</v>
      </c>
      <c r="G139" s="4952">
        <f>'Revenue FY 2014-15'!G108</f>
        <v>754023955.04999995</v>
      </c>
      <c r="H139" s="4952">
        <f>'Revenue FY 2014-15'!H108</f>
        <v>47242116.649999999</v>
      </c>
      <c r="I139" s="4952">
        <f>'Revenue FY 2014-15'!I108</f>
        <v>148463541.25999999</v>
      </c>
      <c r="J139" s="4952">
        <f>'Revenue FY 2014-15'!J108</f>
        <v>115034664.42</v>
      </c>
      <c r="K139" s="4952">
        <f t="shared" si="5"/>
        <v>1064764277.3799999</v>
      </c>
      <c r="L139" s="4108">
        <f t="shared" si="6"/>
        <v>10.8295548199818</v>
      </c>
      <c r="M139" s="4106"/>
    </row>
    <row r="140" spans="2:13" hidden="1">
      <c r="B140" s="4947" t="s">
        <v>46</v>
      </c>
      <c r="C140" s="4947"/>
      <c r="D140" s="4952"/>
      <c r="E140" s="4952"/>
      <c r="F140" s="4952"/>
      <c r="G140" s="4952">
        <f>'Revenue FY 2014-15'!G109</f>
        <v>-159113444.41</v>
      </c>
      <c r="H140" s="4952">
        <f>'Revenue FY 2014-15'!H109</f>
        <v>1916893.8900000004</v>
      </c>
      <c r="I140" s="4952">
        <f>'Revenue FY 2014-15'!I109</f>
        <v>-38931798.574400723</v>
      </c>
      <c r="J140" s="4952">
        <f>'Revenue FY 2014-15'!J109</f>
        <v>28622779.890000008</v>
      </c>
      <c r="K140" s="4952">
        <f t="shared" si="5"/>
        <v>-167505569.20440072</v>
      </c>
      <c r="L140" s="4108"/>
      <c r="M140" s="4106"/>
    </row>
    <row r="141" spans="2:13" hidden="1">
      <c r="B141" s="4109" t="s">
        <v>47</v>
      </c>
      <c r="C141" s="4947"/>
      <c r="D141" s="4952">
        <f>SUM(D114:D140)</f>
        <v>877713</v>
      </c>
      <c r="E141" s="4952">
        <f t="shared" ref="E141:J141" si="7">SUM(E114:E140)</f>
        <v>147213</v>
      </c>
      <c r="F141" s="4952">
        <f t="shared" si="7"/>
        <v>4418831327.7800007</v>
      </c>
      <c r="G141" s="4952">
        <f t="shared" si="7"/>
        <v>31797190427.061996</v>
      </c>
      <c r="H141" s="4952">
        <f t="shared" si="7"/>
        <v>2828118382.5300002</v>
      </c>
      <c r="I141" s="4952">
        <f t="shared" si="7"/>
        <v>6619476394.5012007</v>
      </c>
      <c r="J141" s="4952">
        <f t="shared" si="7"/>
        <v>5194841878.250001</v>
      </c>
      <c r="K141" s="4952">
        <f>SUM(K114:K140)</f>
        <v>46439627082.343208</v>
      </c>
      <c r="L141" s="4951">
        <f>K141/F141</f>
        <v>10.509481724362232</v>
      </c>
      <c r="M141" s="4106"/>
    </row>
    <row r="142" spans="2:13" hidden="1">
      <c r="B142" s="3153"/>
      <c r="C142" s="3153"/>
      <c r="D142" s="3153"/>
      <c r="E142" s="3153"/>
      <c r="F142" s="3153"/>
      <c r="G142" s="3153"/>
      <c r="H142" s="3153"/>
      <c r="I142" s="3153"/>
      <c r="J142" s="4947"/>
      <c r="K142" s="4947"/>
      <c r="L142" s="3153"/>
      <c r="M142" s="4107"/>
    </row>
    <row r="143" spans="2:13" hidden="1">
      <c r="B143" s="4953"/>
      <c r="C143" s="4953"/>
      <c r="D143" s="4953"/>
      <c r="E143" s="4953"/>
      <c r="F143" s="4953"/>
      <c r="G143" s="4953"/>
      <c r="H143" s="4953"/>
      <c r="I143" s="4953"/>
      <c r="J143" s="4947" t="s">
        <v>48</v>
      </c>
      <c r="K143" s="4952">
        <f>'Revenue FY 2014-15'!K111</f>
        <v>124614063.31000002</v>
      </c>
      <c r="L143" s="4548"/>
      <c r="M143" s="4106"/>
    </row>
    <row r="144" spans="2:13" hidden="1">
      <c r="B144" s="4953"/>
      <c r="C144" s="4953"/>
      <c r="D144" s="4953"/>
      <c r="E144" s="4953"/>
      <c r="F144" s="4953"/>
      <c r="G144" s="4953"/>
      <c r="H144" s="4953"/>
      <c r="I144" s="4953"/>
      <c r="J144" s="4993" t="s">
        <v>3715</v>
      </c>
      <c r="K144" s="4952">
        <f>'Revenue FY 2014-15'!K112-K145</f>
        <v>-682368993.43000007</v>
      </c>
      <c r="L144" s="4108"/>
      <c r="M144" s="4990"/>
    </row>
    <row r="145" spans="2:13" hidden="1">
      <c r="B145" s="4994"/>
      <c r="C145" s="4994"/>
      <c r="D145" s="4994"/>
      <c r="E145" s="4994"/>
      <c r="F145" s="4994"/>
      <c r="G145" s="4994"/>
      <c r="H145" s="4994"/>
      <c r="I145" s="4994"/>
      <c r="J145" s="4993" t="s">
        <v>3714</v>
      </c>
      <c r="K145" s="4995">
        <v>-786496404.54999995</v>
      </c>
      <c r="L145" s="4108"/>
      <c r="M145" s="4990"/>
    </row>
    <row r="146" spans="2:13" hidden="1">
      <c r="B146" s="4953"/>
      <c r="C146" s="4953"/>
      <c r="D146" s="4953"/>
      <c r="E146" s="4953"/>
      <c r="F146" s="4953"/>
      <c r="G146" s="4953"/>
      <c r="H146" s="4953"/>
      <c r="I146" s="4953"/>
      <c r="J146" s="4947" t="s">
        <v>50</v>
      </c>
      <c r="K146" s="4952">
        <f>'Revenue FY 2014-15'!K113</f>
        <v>-3752798.06</v>
      </c>
      <c r="L146" s="4108"/>
      <c r="M146" s="4106"/>
    </row>
    <row r="147" spans="2:13" hidden="1">
      <c r="B147" s="4953"/>
      <c r="C147" s="4953"/>
      <c r="D147" s="4953"/>
      <c r="E147" s="4953"/>
      <c r="F147" s="4953"/>
      <c r="G147" s="4953"/>
      <c r="H147" s="4953"/>
      <c r="I147" s="4953"/>
      <c r="J147" s="4947" t="s">
        <v>51</v>
      </c>
      <c r="K147" s="4952">
        <f>'Revenue FY 2014-15'!K114</f>
        <v>163418723.53</v>
      </c>
      <c r="L147" s="4108"/>
      <c r="M147" s="4106"/>
    </row>
    <row r="148" spans="2:13" hidden="1">
      <c r="B148" s="4953"/>
      <c r="C148" s="4953"/>
      <c r="D148" s="4953"/>
      <c r="E148" s="4953"/>
      <c r="F148" s="4953"/>
      <c r="G148" s="4953"/>
      <c r="H148" s="4953"/>
      <c r="I148" s="4953"/>
      <c r="J148" s="4947" t="s">
        <v>52</v>
      </c>
      <c r="K148" s="4952">
        <f>'Revenue FY 2014-15'!K115</f>
        <v>62300748.899999999</v>
      </c>
      <c r="L148" s="4108"/>
      <c r="M148" s="4106"/>
    </row>
    <row r="149" spans="2:13" hidden="1">
      <c r="B149" s="4953"/>
      <c r="C149" s="4953"/>
      <c r="D149" s="4953"/>
      <c r="E149" s="4953"/>
      <c r="F149" s="4953"/>
      <c r="G149" s="4953"/>
      <c r="H149" s="4953"/>
      <c r="I149" s="4953"/>
      <c r="J149" s="4109" t="s">
        <v>47</v>
      </c>
      <c r="K149" s="4550">
        <f>SUM(K141:K148)</f>
        <v>45317342422.043205</v>
      </c>
      <c r="L149" s="4108"/>
      <c r="M149" s="4106"/>
    </row>
    <row r="150" spans="2:13" ht="17.25" hidden="1" customHeight="1">
      <c r="B150" s="4114"/>
      <c r="C150" s="3862"/>
      <c r="D150" s="3862"/>
      <c r="E150" s="3862"/>
      <c r="F150" s="3862"/>
      <c r="G150" s="3862"/>
      <c r="H150" s="3862"/>
      <c r="I150" s="3862"/>
      <c r="J150" s="3862"/>
      <c r="K150" s="4101"/>
      <c r="L150" s="3153"/>
      <c r="M150" s="4991"/>
    </row>
    <row r="151" spans="2:13" ht="17.25" hidden="1" customHeight="1">
      <c r="B151" s="4114"/>
      <c r="C151" s="3862"/>
      <c r="D151" s="3862"/>
      <c r="E151" s="3862"/>
      <c r="F151" s="3862"/>
      <c r="G151" s="3862"/>
      <c r="H151" s="3862"/>
      <c r="I151" s="3862"/>
      <c r="J151" s="3862"/>
      <c r="K151" s="4101"/>
      <c r="L151" s="3153"/>
      <c r="M151" s="4991"/>
    </row>
    <row r="152" spans="2:13" ht="15" hidden="1" customHeight="1"/>
    <row r="153" spans="2:13" ht="24.75" hidden="1" customHeight="1">
      <c r="D153" s="4116"/>
      <c r="E153" s="4116" t="s">
        <v>82</v>
      </c>
      <c r="F153" s="4117" t="s">
        <v>1845</v>
      </c>
      <c r="G153" s="4117" t="s">
        <v>2442</v>
      </c>
      <c r="H153" s="4116" t="s">
        <v>2443</v>
      </c>
    </row>
    <row r="154" spans="2:13" ht="15.75" hidden="1" customHeight="1">
      <c r="D154" s="4118" t="s">
        <v>48</v>
      </c>
      <c r="E154" s="1023">
        <f>J46/10^7</f>
        <v>14.590133667000002</v>
      </c>
      <c r="F154" s="4119">
        <f>K100/10^7</f>
        <v>13.479441765999999</v>
      </c>
      <c r="G154" s="4119">
        <f>AVERAGE(E154:F154)</f>
        <v>14.0347877165</v>
      </c>
      <c r="H154" s="4120"/>
    </row>
    <row r="155" spans="2:13" hidden="1">
      <c r="D155" s="4118" t="s">
        <v>52</v>
      </c>
      <c r="E155" s="1023">
        <f>J50/10^7</f>
        <v>9.935201704999999</v>
      </c>
      <c r="F155" s="4119">
        <f>K104/10^7</f>
        <v>6.2129030780000001</v>
      </c>
      <c r="G155" s="4119">
        <f t="shared" ref="G155:G156" si="8">AVERAGE(E155:F155)</f>
        <v>8.0740523915000004</v>
      </c>
      <c r="H155" s="4120"/>
    </row>
    <row r="156" spans="2:13" hidden="1">
      <c r="D156" s="4118" t="s">
        <v>3182</v>
      </c>
      <c r="E156" s="1023">
        <f>J49/10^7</f>
        <v>15.492840624999999</v>
      </c>
      <c r="F156" s="4119">
        <f>K103/10^7</f>
        <v>15.817597624999998</v>
      </c>
      <c r="G156" s="4119">
        <f t="shared" si="8"/>
        <v>15.655219124999999</v>
      </c>
      <c r="H156" s="4120"/>
    </row>
    <row r="157" spans="2:13" hidden="1">
      <c r="D157" s="3859" t="s">
        <v>49</v>
      </c>
      <c r="E157" s="257">
        <f>J47/10^7</f>
        <v>379.59396732200003</v>
      </c>
      <c r="F157" s="257">
        <f>K101/10^7</f>
        <v>69.814776511960005</v>
      </c>
      <c r="G157" s="4119"/>
      <c r="H157" s="3859"/>
    </row>
    <row r="158" spans="2:13" hidden="1"/>
  </sheetData>
  <mergeCells count="31">
    <mergeCell ref="B2:K2"/>
    <mergeCell ref="B3:K3"/>
    <mergeCell ref="B4:K4"/>
    <mergeCell ref="D8:E8"/>
    <mergeCell ref="C108:J108"/>
    <mergeCell ref="K106:K107"/>
    <mergeCell ref="B67:F67"/>
    <mergeCell ref="B6:F6"/>
    <mergeCell ref="C106:J106"/>
    <mergeCell ref="C107:J107"/>
    <mergeCell ref="J11:J14"/>
    <mergeCell ref="J15:J20"/>
    <mergeCell ref="H11:H14"/>
    <mergeCell ref="H15:H20"/>
    <mergeCell ref="H23:H28"/>
    <mergeCell ref="J23:J28"/>
    <mergeCell ref="K80:K81"/>
    <mergeCell ref="L80:L81"/>
    <mergeCell ref="H72:H75"/>
    <mergeCell ref="K72:K75"/>
    <mergeCell ref="L72:L75"/>
    <mergeCell ref="H76:H77"/>
    <mergeCell ref="K76:K77"/>
    <mergeCell ref="L76:L77"/>
    <mergeCell ref="K123:K124"/>
    <mergeCell ref="L123:L124"/>
    <mergeCell ref="B110:F110"/>
    <mergeCell ref="K115:K118"/>
    <mergeCell ref="L115:L118"/>
    <mergeCell ref="K119:K120"/>
    <mergeCell ref="L119:L120"/>
  </mergeCells>
  <printOptions horizontalCentered="1"/>
  <pageMargins left="0.25" right="0.2" top="0.98" bottom="0.51" header="0.31496062992126" footer="0.31496062992126"/>
  <pageSetup paperSize="9" scale="57" orientation="landscape" horizontalDpi="4294967292" r:id="rId1"/>
  <rowBreaks count="2" manualBreakCount="2">
    <brk id="65" max="11" man="1"/>
    <brk id="109" max="11" man="1"/>
  </rowBreaks>
  <colBreaks count="2" manualBreakCount="2">
    <brk id="11" max="109" man="1"/>
    <brk id="12" min="1" max="120" man="1"/>
  </colBreaks>
  <legacyDrawing r:id="rId2"/>
</worksheet>
</file>

<file path=xl/worksheets/sheet56.xml><?xml version="1.0" encoding="utf-8"?>
<worksheet xmlns="http://schemas.openxmlformats.org/spreadsheetml/2006/main" xmlns:r="http://schemas.openxmlformats.org/officeDocument/2006/relationships">
  <sheetPr>
    <pageSetUpPr fitToPage="1"/>
  </sheetPr>
  <dimension ref="B1:AA157"/>
  <sheetViews>
    <sheetView topLeftCell="A110" workbookViewId="0">
      <selection activeCell="K113" sqref="K113"/>
    </sheetView>
  </sheetViews>
  <sheetFormatPr defaultRowHeight="15"/>
  <cols>
    <col min="1" max="1" width="3.140625" style="792" customWidth="1"/>
    <col min="2" max="2" width="12.42578125" style="792" customWidth="1"/>
    <col min="3" max="3" width="11.5703125" style="792" bestFit="1" customWidth="1"/>
    <col min="4" max="5" width="9.140625" style="792" customWidth="1"/>
    <col min="6" max="6" width="17.42578125" style="926" bestFit="1" customWidth="1"/>
    <col min="7" max="7" width="18.7109375" style="922" bestFit="1" customWidth="1"/>
    <col min="8" max="8" width="22.7109375" style="922" bestFit="1" customWidth="1"/>
    <col min="9" max="9" width="23.28515625" style="922" bestFit="1" customWidth="1"/>
    <col min="10" max="10" width="21.28515625" style="922" customWidth="1"/>
    <col min="11" max="11" width="18.85546875" style="922" bestFit="1" customWidth="1"/>
    <col min="12" max="12" width="14.42578125" style="924" customWidth="1"/>
    <col min="13" max="13" width="53.28515625" style="792" bestFit="1" customWidth="1"/>
    <col min="14" max="14" width="8.7109375" style="792" bestFit="1" customWidth="1"/>
    <col min="15" max="15" width="9" style="792" bestFit="1" customWidth="1"/>
    <col min="16" max="16" width="8.7109375" style="792" bestFit="1" customWidth="1"/>
    <col min="17" max="17" width="8" style="792" bestFit="1" customWidth="1"/>
    <col min="18" max="18" width="9" style="792" bestFit="1" customWidth="1"/>
    <col min="19" max="19" width="9.85546875" style="792" bestFit="1" customWidth="1"/>
    <col min="20" max="20" width="9.140625" style="792" customWidth="1"/>
    <col min="21" max="25" width="10.28515625" style="792" customWidth="1"/>
    <col min="26" max="26" width="9.140625" style="792" bestFit="1" customWidth="1"/>
    <col min="27" max="27" width="10.28515625" style="792" bestFit="1" customWidth="1"/>
    <col min="28" max="256" width="9.140625" style="792"/>
    <col min="257" max="257" width="3.140625" style="792" customWidth="1"/>
    <col min="258" max="258" width="12.42578125" style="792" customWidth="1"/>
    <col min="259" max="259" width="11.5703125" style="792" bestFit="1" customWidth="1"/>
    <col min="260" max="261" width="0" style="792" hidden="1" customWidth="1"/>
    <col min="262" max="262" width="17.42578125" style="792" bestFit="1" customWidth="1"/>
    <col min="263" max="263" width="18.7109375" style="792" bestFit="1" customWidth="1"/>
    <col min="264" max="264" width="22.7109375" style="792" bestFit="1" customWidth="1"/>
    <col min="265" max="265" width="21.28515625" style="792" bestFit="1" customWidth="1"/>
    <col min="266" max="266" width="21.28515625" style="792" customWidth="1"/>
    <col min="267" max="267" width="18.7109375" style="792" bestFit="1" customWidth="1"/>
    <col min="268" max="268" width="14.42578125" style="792" customWidth="1"/>
    <col min="269" max="512" width="9.140625" style="792"/>
    <col min="513" max="513" width="3.140625" style="792" customWidth="1"/>
    <col min="514" max="514" width="12.42578125" style="792" customWidth="1"/>
    <col min="515" max="515" width="11.5703125" style="792" bestFit="1" customWidth="1"/>
    <col min="516" max="517" width="0" style="792" hidden="1" customWidth="1"/>
    <col min="518" max="518" width="17.42578125" style="792" bestFit="1" customWidth="1"/>
    <col min="519" max="519" width="18.7109375" style="792" bestFit="1" customWidth="1"/>
    <col min="520" max="520" width="22.7109375" style="792" bestFit="1" customWidth="1"/>
    <col min="521" max="521" width="21.28515625" style="792" bestFit="1" customWidth="1"/>
    <col min="522" max="522" width="21.28515625" style="792" customWidth="1"/>
    <col min="523" max="523" width="18.7109375" style="792" bestFit="1" customWidth="1"/>
    <col min="524" max="524" width="14.42578125" style="792" customWidth="1"/>
    <col min="525" max="768" width="9.140625" style="792"/>
    <col min="769" max="769" width="3.140625" style="792" customWidth="1"/>
    <col min="770" max="770" width="12.42578125" style="792" customWidth="1"/>
    <col min="771" max="771" width="11.5703125" style="792" bestFit="1" customWidth="1"/>
    <col min="772" max="773" width="0" style="792" hidden="1" customWidth="1"/>
    <col min="774" max="774" width="17.42578125" style="792" bestFit="1" customWidth="1"/>
    <col min="775" max="775" width="18.7109375" style="792" bestFit="1" customWidth="1"/>
    <col min="776" max="776" width="22.7109375" style="792" bestFit="1" customWidth="1"/>
    <col min="777" max="777" width="21.28515625" style="792" bestFit="1" customWidth="1"/>
    <col min="778" max="778" width="21.28515625" style="792" customWidth="1"/>
    <col min="779" max="779" width="18.7109375" style="792" bestFit="1" customWidth="1"/>
    <col min="780" max="780" width="14.42578125" style="792" customWidth="1"/>
    <col min="781" max="1024" width="9.140625" style="792"/>
    <col min="1025" max="1025" width="3.140625" style="792" customWidth="1"/>
    <col min="1026" max="1026" width="12.42578125" style="792" customWidth="1"/>
    <col min="1027" max="1027" width="11.5703125" style="792" bestFit="1" customWidth="1"/>
    <col min="1028" max="1029" width="0" style="792" hidden="1" customWidth="1"/>
    <col min="1030" max="1030" width="17.42578125" style="792" bestFit="1" customWidth="1"/>
    <col min="1031" max="1031" width="18.7109375" style="792" bestFit="1" customWidth="1"/>
    <col min="1032" max="1032" width="22.7109375" style="792" bestFit="1" customWidth="1"/>
    <col min="1033" max="1033" width="21.28515625" style="792" bestFit="1" customWidth="1"/>
    <col min="1034" max="1034" width="21.28515625" style="792" customWidth="1"/>
    <col min="1035" max="1035" width="18.7109375" style="792" bestFit="1" customWidth="1"/>
    <col min="1036" max="1036" width="14.42578125" style="792" customWidth="1"/>
    <col min="1037" max="1280" width="9.140625" style="792"/>
    <col min="1281" max="1281" width="3.140625" style="792" customWidth="1"/>
    <col min="1282" max="1282" width="12.42578125" style="792" customWidth="1"/>
    <col min="1283" max="1283" width="11.5703125" style="792" bestFit="1" customWidth="1"/>
    <col min="1284" max="1285" width="0" style="792" hidden="1" customWidth="1"/>
    <col min="1286" max="1286" width="17.42578125" style="792" bestFit="1" customWidth="1"/>
    <col min="1287" max="1287" width="18.7109375" style="792" bestFit="1" customWidth="1"/>
    <col min="1288" max="1288" width="22.7109375" style="792" bestFit="1" customWidth="1"/>
    <col min="1289" max="1289" width="21.28515625" style="792" bestFit="1" customWidth="1"/>
    <col min="1290" max="1290" width="21.28515625" style="792" customWidth="1"/>
    <col min="1291" max="1291" width="18.7109375" style="792" bestFit="1" customWidth="1"/>
    <col min="1292" max="1292" width="14.42578125" style="792" customWidth="1"/>
    <col min="1293" max="1536" width="9.140625" style="792"/>
    <col min="1537" max="1537" width="3.140625" style="792" customWidth="1"/>
    <col min="1538" max="1538" width="12.42578125" style="792" customWidth="1"/>
    <col min="1539" max="1539" width="11.5703125" style="792" bestFit="1" customWidth="1"/>
    <col min="1540" max="1541" width="0" style="792" hidden="1" customWidth="1"/>
    <col min="1542" max="1542" width="17.42578125" style="792" bestFit="1" customWidth="1"/>
    <col min="1543" max="1543" width="18.7109375" style="792" bestFit="1" customWidth="1"/>
    <col min="1544" max="1544" width="22.7109375" style="792" bestFit="1" customWidth="1"/>
    <col min="1545" max="1545" width="21.28515625" style="792" bestFit="1" customWidth="1"/>
    <col min="1546" max="1546" width="21.28515625" style="792" customWidth="1"/>
    <col min="1547" max="1547" width="18.7109375" style="792" bestFit="1" customWidth="1"/>
    <col min="1548" max="1548" width="14.42578125" style="792" customWidth="1"/>
    <col min="1549" max="1792" width="9.140625" style="792"/>
    <col min="1793" max="1793" width="3.140625" style="792" customWidth="1"/>
    <col min="1794" max="1794" width="12.42578125" style="792" customWidth="1"/>
    <col min="1795" max="1795" width="11.5703125" style="792" bestFit="1" customWidth="1"/>
    <col min="1796" max="1797" width="0" style="792" hidden="1" customWidth="1"/>
    <col min="1798" max="1798" width="17.42578125" style="792" bestFit="1" customWidth="1"/>
    <col min="1799" max="1799" width="18.7109375" style="792" bestFit="1" customWidth="1"/>
    <col min="1800" max="1800" width="22.7109375" style="792" bestFit="1" customWidth="1"/>
    <col min="1801" max="1801" width="21.28515625" style="792" bestFit="1" customWidth="1"/>
    <col min="1802" max="1802" width="21.28515625" style="792" customWidth="1"/>
    <col min="1803" max="1803" width="18.7109375" style="792" bestFit="1" customWidth="1"/>
    <col min="1804" max="1804" width="14.42578125" style="792" customWidth="1"/>
    <col min="1805" max="2048" width="9.140625" style="792"/>
    <col min="2049" max="2049" width="3.140625" style="792" customWidth="1"/>
    <col min="2050" max="2050" width="12.42578125" style="792" customWidth="1"/>
    <col min="2051" max="2051" width="11.5703125" style="792" bestFit="1" customWidth="1"/>
    <col min="2052" max="2053" width="0" style="792" hidden="1" customWidth="1"/>
    <col min="2054" max="2054" width="17.42578125" style="792" bestFit="1" customWidth="1"/>
    <col min="2055" max="2055" width="18.7109375" style="792" bestFit="1" customWidth="1"/>
    <col min="2056" max="2056" width="22.7109375" style="792" bestFit="1" customWidth="1"/>
    <col min="2057" max="2057" width="21.28515625" style="792" bestFit="1" customWidth="1"/>
    <col min="2058" max="2058" width="21.28515625" style="792" customWidth="1"/>
    <col min="2059" max="2059" width="18.7109375" style="792" bestFit="1" customWidth="1"/>
    <col min="2060" max="2060" width="14.42578125" style="792" customWidth="1"/>
    <col min="2061" max="2304" width="9.140625" style="792"/>
    <col min="2305" max="2305" width="3.140625" style="792" customWidth="1"/>
    <col min="2306" max="2306" width="12.42578125" style="792" customWidth="1"/>
    <col min="2307" max="2307" width="11.5703125" style="792" bestFit="1" customWidth="1"/>
    <col min="2308" max="2309" width="0" style="792" hidden="1" customWidth="1"/>
    <col min="2310" max="2310" width="17.42578125" style="792" bestFit="1" customWidth="1"/>
    <col min="2311" max="2311" width="18.7109375" style="792" bestFit="1" customWidth="1"/>
    <col min="2312" max="2312" width="22.7109375" style="792" bestFit="1" customWidth="1"/>
    <col min="2313" max="2313" width="21.28515625" style="792" bestFit="1" customWidth="1"/>
    <col min="2314" max="2314" width="21.28515625" style="792" customWidth="1"/>
    <col min="2315" max="2315" width="18.7109375" style="792" bestFit="1" customWidth="1"/>
    <col min="2316" max="2316" width="14.42578125" style="792" customWidth="1"/>
    <col min="2317" max="2560" width="9.140625" style="792"/>
    <col min="2561" max="2561" width="3.140625" style="792" customWidth="1"/>
    <col min="2562" max="2562" width="12.42578125" style="792" customWidth="1"/>
    <col min="2563" max="2563" width="11.5703125" style="792" bestFit="1" customWidth="1"/>
    <col min="2564" max="2565" width="0" style="792" hidden="1" customWidth="1"/>
    <col min="2566" max="2566" width="17.42578125" style="792" bestFit="1" customWidth="1"/>
    <col min="2567" max="2567" width="18.7109375" style="792" bestFit="1" customWidth="1"/>
    <col min="2568" max="2568" width="22.7109375" style="792" bestFit="1" customWidth="1"/>
    <col min="2569" max="2569" width="21.28515625" style="792" bestFit="1" customWidth="1"/>
    <col min="2570" max="2570" width="21.28515625" style="792" customWidth="1"/>
    <col min="2571" max="2571" width="18.7109375" style="792" bestFit="1" customWidth="1"/>
    <col min="2572" max="2572" width="14.42578125" style="792" customWidth="1"/>
    <col min="2573" max="2816" width="9.140625" style="792"/>
    <col min="2817" max="2817" width="3.140625" style="792" customWidth="1"/>
    <col min="2818" max="2818" width="12.42578125" style="792" customWidth="1"/>
    <col min="2819" max="2819" width="11.5703125" style="792" bestFit="1" customWidth="1"/>
    <col min="2820" max="2821" width="0" style="792" hidden="1" customWidth="1"/>
    <col min="2822" max="2822" width="17.42578125" style="792" bestFit="1" customWidth="1"/>
    <col min="2823" max="2823" width="18.7109375" style="792" bestFit="1" customWidth="1"/>
    <col min="2824" max="2824" width="22.7109375" style="792" bestFit="1" customWidth="1"/>
    <col min="2825" max="2825" width="21.28515625" style="792" bestFit="1" customWidth="1"/>
    <col min="2826" max="2826" width="21.28515625" style="792" customWidth="1"/>
    <col min="2827" max="2827" width="18.7109375" style="792" bestFit="1" customWidth="1"/>
    <col min="2828" max="2828" width="14.42578125" style="792" customWidth="1"/>
    <col min="2829" max="3072" width="9.140625" style="792"/>
    <col min="3073" max="3073" width="3.140625" style="792" customWidth="1"/>
    <col min="3074" max="3074" width="12.42578125" style="792" customWidth="1"/>
    <col min="3075" max="3075" width="11.5703125" style="792" bestFit="1" customWidth="1"/>
    <col min="3076" max="3077" width="0" style="792" hidden="1" customWidth="1"/>
    <col min="3078" max="3078" width="17.42578125" style="792" bestFit="1" customWidth="1"/>
    <col min="3079" max="3079" width="18.7109375" style="792" bestFit="1" customWidth="1"/>
    <col min="3080" max="3080" width="22.7109375" style="792" bestFit="1" customWidth="1"/>
    <col min="3081" max="3081" width="21.28515625" style="792" bestFit="1" customWidth="1"/>
    <col min="3082" max="3082" width="21.28515625" style="792" customWidth="1"/>
    <col min="3083" max="3083" width="18.7109375" style="792" bestFit="1" customWidth="1"/>
    <col min="3084" max="3084" width="14.42578125" style="792" customWidth="1"/>
    <col min="3085" max="3328" width="9.140625" style="792"/>
    <col min="3329" max="3329" width="3.140625" style="792" customWidth="1"/>
    <col min="3330" max="3330" width="12.42578125" style="792" customWidth="1"/>
    <col min="3331" max="3331" width="11.5703125" style="792" bestFit="1" customWidth="1"/>
    <col min="3332" max="3333" width="0" style="792" hidden="1" customWidth="1"/>
    <col min="3334" max="3334" width="17.42578125" style="792" bestFit="1" customWidth="1"/>
    <col min="3335" max="3335" width="18.7109375" style="792" bestFit="1" customWidth="1"/>
    <col min="3336" max="3336" width="22.7109375" style="792" bestFit="1" customWidth="1"/>
    <col min="3337" max="3337" width="21.28515625" style="792" bestFit="1" customWidth="1"/>
    <col min="3338" max="3338" width="21.28515625" style="792" customWidth="1"/>
    <col min="3339" max="3339" width="18.7109375" style="792" bestFit="1" customWidth="1"/>
    <col min="3340" max="3340" width="14.42578125" style="792" customWidth="1"/>
    <col min="3341" max="3584" width="9.140625" style="792"/>
    <col min="3585" max="3585" width="3.140625" style="792" customWidth="1"/>
    <col min="3586" max="3586" width="12.42578125" style="792" customWidth="1"/>
    <col min="3587" max="3587" width="11.5703125" style="792" bestFit="1" customWidth="1"/>
    <col min="3588" max="3589" width="0" style="792" hidden="1" customWidth="1"/>
    <col min="3590" max="3590" width="17.42578125" style="792" bestFit="1" customWidth="1"/>
    <col min="3591" max="3591" width="18.7109375" style="792" bestFit="1" customWidth="1"/>
    <col min="3592" max="3592" width="22.7109375" style="792" bestFit="1" customWidth="1"/>
    <col min="3593" max="3593" width="21.28515625" style="792" bestFit="1" customWidth="1"/>
    <col min="3594" max="3594" width="21.28515625" style="792" customWidth="1"/>
    <col min="3595" max="3595" width="18.7109375" style="792" bestFit="1" customWidth="1"/>
    <col min="3596" max="3596" width="14.42578125" style="792" customWidth="1"/>
    <col min="3597" max="3840" width="9.140625" style="792"/>
    <col min="3841" max="3841" width="3.140625" style="792" customWidth="1"/>
    <col min="3842" max="3842" width="12.42578125" style="792" customWidth="1"/>
    <col min="3843" max="3843" width="11.5703125" style="792" bestFit="1" customWidth="1"/>
    <col min="3844" max="3845" width="0" style="792" hidden="1" customWidth="1"/>
    <col min="3846" max="3846" width="17.42578125" style="792" bestFit="1" customWidth="1"/>
    <col min="3847" max="3847" width="18.7109375" style="792" bestFit="1" customWidth="1"/>
    <col min="3848" max="3848" width="22.7109375" style="792" bestFit="1" customWidth="1"/>
    <col min="3849" max="3849" width="21.28515625" style="792" bestFit="1" customWidth="1"/>
    <col min="3850" max="3850" width="21.28515625" style="792" customWidth="1"/>
    <col min="3851" max="3851" width="18.7109375" style="792" bestFit="1" customWidth="1"/>
    <col min="3852" max="3852" width="14.42578125" style="792" customWidth="1"/>
    <col min="3853" max="4096" width="9.140625" style="792"/>
    <col min="4097" max="4097" width="3.140625" style="792" customWidth="1"/>
    <col min="4098" max="4098" width="12.42578125" style="792" customWidth="1"/>
    <col min="4099" max="4099" width="11.5703125" style="792" bestFit="1" customWidth="1"/>
    <col min="4100" max="4101" width="0" style="792" hidden="1" customWidth="1"/>
    <col min="4102" max="4102" width="17.42578125" style="792" bestFit="1" customWidth="1"/>
    <col min="4103" max="4103" width="18.7109375" style="792" bestFit="1" customWidth="1"/>
    <col min="4104" max="4104" width="22.7109375" style="792" bestFit="1" customWidth="1"/>
    <col min="4105" max="4105" width="21.28515625" style="792" bestFit="1" customWidth="1"/>
    <col min="4106" max="4106" width="21.28515625" style="792" customWidth="1"/>
    <col min="4107" max="4107" width="18.7109375" style="792" bestFit="1" customWidth="1"/>
    <col min="4108" max="4108" width="14.42578125" style="792" customWidth="1"/>
    <col min="4109" max="4352" width="9.140625" style="792"/>
    <col min="4353" max="4353" width="3.140625" style="792" customWidth="1"/>
    <col min="4354" max="4354" width="12.42578125" style="792" customWidth="1"/>
    <col min="4355" max="4355" width="11.5703125" style="792" bestFit="1" customWidth="1"/>
    <col min="4356" max="4357" width="0" style="792" hidden="1" customWidth="1"/>
    <col min="4358" max="4358" width="17.42578125" style="792" bestFit="1" customWidth="1"/>
    <col min="4359" max="4359" width="18.7109375" style="792" bestFit="1" customWidth="1"/>
    <col min="4360" max="4360" width="22.7109375" style="792" bestFit="1" customWidth="1"/>
    <col min="4361" max="4361" width="21.28515625" style="792" bestFit="1" customWidth="1"/>
    <col min="4362" max="4362" width="21.28515625" style="792" customWidth="1"/>
    <col min="4363" max="4363" width="18.7109375" style="792" bestFit="1" customWidth="1"/>
    <col min="4364" max="4364" width="14.42578125" style="792" customWidth="1"/>
    <col min="4365" max="4608" width="9.140625" style="792"/>
    <col min="4609" max="4609" width="3.140625" style="792" customWidth="1"/>
    <col min="4610" max="4610" width="12.42578125" style="792" customWidth="1"/>
    <col min="4611" max="4611" width="11.5703125" style="792" bestFit="1" customWidth="1"/>
    <col min="4612" max="4613" width="0" style="792" hidden="1" customWidth="1"/>
    <col min="4614" max="4614" width="17.42578125" style="792" bestFit="1" customWidth="1"/>
    <col min="4615" max="4615" width="18.7109375" style="792" bestFit="1" customWidth="1"/>
    <col min="4616" max="4616" width="22.7109375" style="792" bestFit="1" customWidth="1"/>
    <col min="4617" max="4617" width="21.28515625" style="792" bestFit="1" customWidth="1"/>
    <col min="4618" max="4618" width="21.28515625" style="792" customWidth="1"/>
    <col min="4619" max="4619" width="18.7109375" style="792" bestFit="1" customWidth="1"/>
    <col min="4620" max="4620" width="14.42578125" style="792" customWidth="1"/>
    <col min="4621" max="4864" width="9.140625" style="792"/>
    <col min="4865" max="4865" width="3.140625" style="792" customWidth="1"/>
    <col min="4866" max="4866" width="12.42578125" style="792" customWidth="1"/>
    <col min="4867" max="4867" width="11.5703125" style="792" bestFit="1" customWidth="1"/>
    <col min="4868" max="4869" width="0" style="792" hidden="1" customWidth="1"/>
    <col min="4870" max="4870" width="17.42578125" style="792" bestFit="1" customWidth="1"/>
    <col min="4871" max="4871" width="18.7109375" style="792" bestFit="1" customWidth="1"/>
    <col min="4872" max="4872" width="22.7109375" style="792" bestFit="1" customWidth="1"/>
    <col min="4873" max="4873" width="21.28515625" style="792" bestFit="1" customWidth="1"/>
    <col min="4874" max="4874" width="21.28515625" style="792" customWidth="1"/>
    <col min="4875" max="4875" width="18.7109375" style="792" bestFit="1" customWidth="1"/>
    <col min="4876" max="4876" width="14.42578125" style="792" customWidth="1"/>
    <col min="4877" max="5120" width="9.140625" style="792"/>
    <col min="5121" max="5121" width="3.140625" style="792" customWidth="1"/>
    <col min="5122" max="5122" width="12.42578125" style="792" customWidth="1"/>
    <col min="5123" max="5123" width="11.5703125" style="792" bestFit="1" customWidth="1"/>
    <col min="5124" max="5125" width="0" style="792" hidden="1" customWidth="1"/>
    <col min="5126" max="5126" width="17.42578125" style="792" bestFit="1" customWidth="1"/>
    <col min="5127" max="5127" width="18.7109375" style="792" bestFit="1" customWidth="1"/>
    <col min="5128" max="5128" width="22.7109375" style="792" bestFit="1" customWidth="1"/>
    <col min="5129" max="5129" width="21.28515625" style="792" bestFit="1" customWidth="1"/>
    <col min="5130" max="5130" width="21.28515625" style="792" customWidth="1"/>
    <col min="5131" max="5131" width="18.7109375" style="792" bestFit="1" customWidth="1"/>
    <col min="5132" max="5132" width="14.42578125" style="792" customWidth="1"/>
    <col min="5133" max="5376" width="9.140625" style="792"/>
    <col min="5377" max="5377" width="3.140625" style="792" customWidth="1"/>
    <col min="5378" max="5378" width="12.42578125" style="792" customWidth="1"/>
    <col min="5379" max="5379" width="11.5703125" style="792" bestFit="1" customWidth="1"/>
    <col min="5380" max="5381" width="0" style="792" hidden="1" customWidth="1"/>
    <col min="5382" max="5382" width="17.42578125" style="792" bestFit="1" customWidth="1"/>
    <col min="5383" max="5383" width="18.7109375" style="792" bestFit="1" customWidth="1"/>
    <col min="5384" max="5384" width="22.7109375" style="792" bestFit="1" customWidth="1"/>
    <col min="5385" max="5385" width="21.28515625" style="792" bestFit="1" customWidth="1"/>
    <col min="5386" max="5386" width="21.28515625" style="792" customWidth="1"/>
    <col min="5387" max="5387" width="18.7109375" style="792" bestFit="1" customWidth="1"/>
    <col min="5388" max="5388" width="14.42578125" style="792" customWidth="1"/>
    <col min="5389" max="5632" width="9.140625" style="792"/>
    <col min="5633" max="5633" width="3.140625" style="792" customWidth="1"/>
    <col min="5634" max="5634" width="12.42578125" style="792" customWidth="1"/>
    <col min="5635" max="5635" width="11.5703125" style="792" bestFit="1" customWidth="1"/>
    <col min="5636" max="5637" width="0" style="792" hidden="1" customWidth="1"/>
    <col min="5638" max="5638" width="17.42578125" style="792" bestFit="1" customWidth="1"/>
    <col min="5639" max="5639" width="18.7109375" style="792" bestFit="1" customWidth="1"/>
    <col min="5640" max="5640" width="22.7109375" style="792" bestFit="1" customWidth="1"/>
    <col min="5641" max="5641" width="21.28515625" style="792" bestFit="1" customWidth="1"/>
    <col min="5642" max="5642" width="21.28515625" style="792" customWidth="1"/>
    <col min="5643" max="5643" width="18.7109375" style="792" bestFit="1" customWidth="1"/>
    <col min="5644" max="5644" width="14.42578125" style="792" customWidth="1"/>
    <col min="5645" max="5888" width="9.140625" style="792"/>
    <col min="5889" max="5889" width="3.140625" style="792" customWidth="1"/>
    <col min="5890" max="5890" width="12.42578125" style="792" customWidth="1"/>
    <col min="5891" max="5891" width="11.5703125" style="792" bestFit="1" customWidth="1"/>
    <col min="5892" max="5893" width="0" style="792" hidden="1" customWidth="1"/>
    <col min="5894" max="5894" width="17.42578125" style="792" bestFit="1" customWidth="1"/>
    <col min="5895" max="5895" width="18.7109375" style="792" bestFit="1" customWidth="1"/>
    <col min="5896" max="5896" width="22.7109375" style="792" bestFit="1" customWidth="1"/>
    <col min="5897" max="5897" width="21.28515625" style="792" bestFit="1" customWidth="1"/>
    <col min="5898" max="5898" width="21.28515625" style="792" customWidth="1"/>
    <col min="5899" max="5899" width="18.7109375" style="792" bestFit="1" customWidth="1"/>
    <col min="5900" max="5900" width="14.42578125" style="792" customWidth="1"/>
    <col min="5901" max="6144" width="9.140625" style="792"/>
    <col min="6145" max="6145" width="3.140625" style="792" customWidth="1"/>
    <col min="6146" max="6146" width="12.42578125" style="792" customWidth="1"/>
    <col min="6147" max="6147" width="11.5703125" style="792" bestFit="1" customWidth="1"/>
    <col min="6148" max="6149" width="0" style="792" hidden="1" customWidth="1"/>
    <col min="6150" max="6150" width="17.42578125" style="792" bestFit="1" customWidth="1"/>
    <col min="6151" max="6151" width="18.7109375" style="792" bestFit="1" customWidth="1"/>
    <col min="6152" max="6152" width="22.7109375" style="792" bestFit="1" customWidth="1"/>
    <col min="6153" max="6153" width="21.28515625" style="792" bestFit="1" customWidth="1"/>
    <col min="6154" max="6154" width="21.28515625" style="792" customWidth="1"/>
    <col min="6155" max="6155" width="18.7109375" style="792" bestFit="1" customWidth="1"/>
    <col min="6156" max="6156" width="14.42578125" style="792" customWidth="1"/>
    <col min="6157" max="6400" width="9.140625" style="792"/>
    <col min="6401" max="6401" width="3.140625" style="792" customWidth="1"/>
    <col min="6402" max="6402" width="12.42578125" style="792" customWidth="1"/>
    <col min="6403" max="6403" width="11.5703125" style="792" bestFit="1" customWidth="1"/>
    <col min="6404" max="6405" width="0" style="792" hidden="1" customWidth="1"/>
    <col min="6406" max="6406" width="17.42578125" style="792" bestFit="1" customWidth="1"/>
    <col min="6407" max="6407" width="18.7109375" style="792" bestFit="1" customWidth="1"/>
    <col min="6408" max="6408" width="22.7109375" style="792" bestFit="1" customWidth="1"/>
    <col min="6409" max="6409" width="21.28515625" style="792" bestFit="1" customWidth="1"/>
    <col min="6410" max="6410" width="21.28515625" style="792" customWidth="1"/>
    <col min="6411" max="6411" width="18.7109375" style="792" bestFit="1" customWidth="1"/>
    <col min="6412" max="6412" width="14.42578125" style="792" customWidth="1"/>
    <col min="6413" max="6656" width="9.140625" style="792"/>
    <col min="6657" max="6657" width="3.140625" style="792" customWidth="1"/>
    <col min="6658" max="6658" width="12.42578125" style="792" customWidth="1"/>
    <col min="6659" max="6659" width="11.5703125" style="792" bestFit="1" customWidth="1"/>
    <col min="6660" max="6661" width="0" style="792" hidden="1" customWidth="1"/>
    <col min="6662" max="6662" width="17.42578125" style="792" bestFit="1" customWidth="1"/>
    <col min="6663" max="6663" width="18.7109375" style="792" bestFit="1" customWidth="1"/>
    <col min="6664" max="6664" width="22.7109375" style="792" bestFit="1" customWidth="1"/>
    <col min="6665" max="6665" width="21.28515625" style="792" bestFit="1" customWidth="1"/>
    <col min="6666" max="6666" width="21.28515625" style="792" customWidth="1"/>
    <col min="6667" max="6667" width="18.7109375" style="792" bestFit="1" customWidth="1"/>
    <col min="6668" max="6668" width="14.42578125" style="792" customWidth="1"/>
    <col min="6669" max="6912" width="9.140625" style="792"/>
    <col min="6913" max="6913" width="3.140625" style="792" customWidth="1"/>
    <col min="6914" max="6914" width="12.42578125" style="792" customWidth="1"/>
    <col min="6915" max="6915" width="11.5703125" style="792" bestFit="1" customWidth="1"/>
    <col min="6916" max="6917" width="0" style="792" hidden="1" customWidth="1"/>
    <col min="6918" max="6918" width="17.42578125" style="792" bestFit="1" customWidth="1"/>
    <col min="6919" max="6919" width="18.7109375" style="792" bestFit="1" customWidth="1"/>
    <col min="6920" max="6920" width="22.7109375" style="792" bestFit="1" customWidth="1"/>
    <col min="6921" max="6921" width="21.28515625" style="792" bestFit="1" customWidth="1"/>
    <col min="6922" max="6922" width="21.28515625" style="792" customWidth="1"/>
    <col min="6923" max="6923" width="18.7109375" style="792" bestFit="1" customWidth="1"/>
    <col min="6924" max="6924" width="14.42578125" style="792" customWidth="1"/>
    <col min="6925" max="7168" width="9.140625" style="792"/>
    <col min="7169" max="7169" width="3.140625" style="792" customWidth="1"/>
    <col min="7170" max="7170" width="12.42578125" style="792" customWidth="1"/>
    <col min="7171" max="7171" width="11.5703125" style="792" bestFit="1" customWidth="1"/>
    <col min="7172" max="7173" width="0" style="792" hidden="1" customWidth="1"/>
    <col min="7174" max="7174" width="17.42578125" style="792" bestFit="1" customWidth="1"/>
    <col min="7175" max="7175" width="18.7109375" style="792" bestFit="1" customWidth="1"/>
    <col min="7176" max="7176" width="22.7109375" style="792" bestFit="1" customWidth="1"/>
    <col min="7177" max="7177" width="21.28515625" style="792" bestFit="1" customWidth="1"/>
    <col min="7178" max="7178" width="21.28515625" style="792" customWidth="1"/>
    <col min="7179" max="7179" width="18.7109375" style="792" bestFit="1" customWidth="1"/>
    <col min="7180" max="7180" width="14.42578125" style="792" customWidth="1"/>
    <col min="7181" max="7424" width="9.140625" style="792"/>
    <col min="7425" max="7425" width="3.140625" style="792" customWidth="1"/>
    <col min="7426" max="7426" width="12.42578125" style="792" customWidth="1"/>
    <col min="7427" max="7427" width="11.5703125" style="792" bestFit="1" customWidth="1"/>
    <col min="7428" max="7429" width="0" style="792" hidden="1" customWidth="1"/>
    <col min="7430" max="7430" width="17.42578125" style="792" bestFit="1" customWidth="1"/>
    <col min="7431" max="7431" width="18.7109375" style="792" bestFit="1" customWidth="1"/>
    <col min="7432" max="7432" width="22.7109375" style="792" bestFit="1" customWidth="1"/>
    <col min="7433" max="7433" width="21.28515625" style="792" bestFit="1" customWidth="1"/>
    <col min="7434" max="7434" width="21.28515625" style="792" customWidth="1"/>
    <col min="7435" max="7435" width="18.7109375" style="792" bestFit="1" customWidth="1"/>
    <col min="7436" max="7436" width="14.42578125" style="792" customWidth="1"/>
    <col min="7437" max="7680" width="9.140625" style="792"/>
    <col min="7681" max="7681" width="3.140625" style="792" customWidth="1"/>
    <col min="7682" max="7682" width="12.42578125" style="792" customWidth="1"/>
    <col min="7683" max="7683" width="11.5703125" style="792" bestFit="1" customWidth="1"/>
    <col min="7684" max="7685" width="0" style="792" hidden="1" customWidth="1"/>
    <col min="7686" max="7686" width="17.42578125" style="792" bestFit="1" customWidth="1"/>
    <col min="7687" max="7687" width="18.7109375" style="792" bestFit="1" customWidth="1"/>
    <col min="7688" max="7688" width="22.7109375" style="792" bestFit="1" customWidth="1"/>
    <col min="7689" max="7689" width="21.28515625" style="792" bestFit="1" customWidth="1"/>
    <col min="7690" max="7690" width="21.28515625" style="792" customWidth="1"/>
    <col min="7691" max="7691" width="18.7109375" style="792" bestFit="1" customWidth="1"/>
    <col min="7692" max="7692" width="14.42578125" style="792" customWidth="1"/>
    <col min="7693" max="7936" width="9.140625" style="792"/>
    <col min="7937" max="7937" width="3.140625" style="792" customWidth="1"/>
    <col min="7938" max="7938" width="12.42578125" style="792" customWidth="1"/>
    <col min="7939" max="7939" width="11.5703125" style="792" bestFit="1" customWidth="1"/>
    <col min="7940" max="7941" width="0" style="792" hidden="1" customWidth="1"/>
    <col min="7942" max="7942" width="17.42578125" style="792" bestFit="1" customWidth="1"/>
    <col min="7943" max="7943" width="18.7109375" style="792" bestFit="1" customWidth="1"/>
    <col min="7944" max="7944" width="22.7109375" style="792" bestFit="1" customWidth="1"/>
    <col min="7945" max="7945" width="21.28515625" style="792" bestFit="1" customWidth="1"/>
    <col min="7946" max="7946" width="21.28515625" style="792" customWidth="1"/>
    <col min="7947" max="7947" width="18.7109375" style="792" bestFit="1" customWidth="1"/>
    <col min="7948" max="7948" width="14.42578125" style="792" customWidth="1"/>
    <col min="7949" max="8192" width="9.140625" style="792"/>
    <col min="8193" max="8193" width="3.140625" style="792" customWidth="1"/>
    <col min="8194" max="8194" width="12.42578125" style="792" customWidth="1"/>
    <col min="8195" max="8195" width="11.5703125" style="792" bestFit="1" customWidth="1"/>
    <col min="8196" max="8197" width="0" style="792" hidden="1" customWidth="1"/>
    <col min="8198" max="8198" width="17.42578125" style="792" bestFit="1" customWidth="1"/>
    <col min="8199" max="8199" width="18.7109375" style="792" bestFit="1" customWidth="1"/>
    <col min="8200" max="8200" width="22.7109375" style="792" bestFit="1" customWidth="1"/>
    <col min="8201" max="8201" width="21.28515625" style="792" bestFit="1" customWidth="1"/>
    <col min="8202" max="8202" width="21.28515625" style="792" customWidth="1"/>
    <col min="8203" max="8203" width="18.7109375" style="792" bestFit="1" customWidth="1"/>
    <col min="8204" max="8204" width="14.42578125" style="792" customWidth="1"/>
    <col min="8205" max="8448" width="9.140625" style="792"/>
    <col min="8449" max="8449" width="3.140625" style="792" customWidth="1"/>
    <col min="8450" max="8450" width="12.42578125" style="792" customWidth="1"/>
    <col min="8451" max="8451" width="11.5703125" style="792" bestFit="1" customWidth="1"/>
    <col min="8452" max="8453" width="0" style="792" hidden="1" customWidth="1"/>
    <col min="8454" max="8454" width="17.42578125" style="792" bestFit="1" customWidth="1"/>
    <col min="8455" max="8455" width="18.7109375" style="792" bestFit="1" customWidth="1"/>
    <col min="8456" max="8456" width="22.7109375" style="792" bestFit="1" customWidth="1"/>
    <col min="8457" max="8457" width="21.28515625" style="792" bestFit="1" customWidth="1"/>
    <col min="8458" max="8458" width="21.28515625" style="792" customWidth="1"/>
    <col min="8459" max="8459" width="18.7109375" style="792" bestFit="1" customWidth="1"/>
    <col min="8460" max="8460" width="14.42578125" style="792" customWidth="1"/>
    <col min="8461" max="8704" width="9.140625" style="792"/>
    <col min="8705" max="8705" width="3.140625" style="792" customWidth="1"/>
    <col min="8706" max="8706" width="12.42578125" style="792" customWidth="1"/>
    <col min="8707" max="8707" width="11.5703125" style="792" bestFit="1" customWidth="1"/>
    <col min="8708" max="8709" width="0" style="792" hidden="1" customWidth="1"/>
    <col min="8710" max="8710" width="17.42578125" style="792" bestFit="1" customWidth="1"/>
    <col min="8711" max="8711" width="18.7109375" style="792" bestFit="1" customWidth="1"/>
    <col min="8712" max="8712" width="22.7109375" style="792" bestFit="1" customWidth="1"/>
    <col min="8713" max="8713" width="21.28515625" style="792" bestFit="1" customWidth="1"/>
    <col min="8714" max="8714" width="21.28515625" style="792" customWidth="1"/>
    <col min="8715" max="8715" width="18.7109375" style="792" bestFit="1" customWidth="1"/>
    <col min="8716" max="8716" width="14.42578125" style="792" customWidth="1"/>
    <col min="8717" max="8960" width="9.140625" style="792"/>
    <col min="8961" max="8961" width="3.140625" style="792" customWidth="1"/>
    <col min="8962" max="8962" width="12.42578125" style="792" customWidth="1"/>
    <col min="8963" max="8963" width="11.5703125" style="792" bestFit="1" customWidth="1"/>
    <col min="8964" max="8965" width="0" style="792" hidden="1" customWidth="1"/>
    <col min="8966" max="8966" width="17.42578125" style="792" bestFit="1" customWidth="1"/>
    <col min="8967" max="8967" width="18.7109375" style="792" bestFit="1" customWidth="1"/>
    <col min="8968" max="8968" width="22.7109375" style="792" bestFit="1" customWidth="1"/>
    <col min="8969" max="8969" width="21.28515625" style="792" bestFit="1" customWidth="1"/>
    <col min="8970" max="8970" width="21.28515625" style="792" customWidth="1"/>
    <col min="8971" max="8971" width="18.7109375" style="792" bestFit="1" customWidth="1"/>
    <col min="8972" max="8972" width="14.42578125" style="792" customWidth="1"/>
    <col min="8973" max="9216" width="9.140625" style="792"/>
    <col min="9217" max="9217" width="3.140625" style="792" customWidth="1"/>
    <col min="9218" max="9218" width="12.42578125" style="792" customWidth="1"/>
    <col min="9219" max="9219" width="11.5703125" style="792" bestFit="1" customWidth="1"/>
    <col min="9220" max="9221" width="0" style="792" hidden="1" customWidth="1"/>
    <col min="9222" max="9222" width="17.42578125" style="792" bestFit="1" customWidth="1"/>
    <col min="9223" max="9223" width="18.7109375" style="792" bestFit="1" customWidth="1"/>
    <col min="9224" max="9224" width="22.7109375" style="792" bestFit="1" customWidth="1"/>
    <col min="9225" max="9225" width="21.28515625" style="792" bestFit="1" customWidth="1"/>
    <col min="9226" max="9226" width="21.28515625" style="792" customWidth="1"/>
    <col min="9227" max="9227" width="18.7109375" style="792" bestFit="1" customWidth="1"/>
    <col min="9228" max="9228" width="14.42578125" style="792" customWidth="1"/>
    <col min="9229" max="9472" width="9.140625" style="792"/>
    <col min="9473" max="9473" width="3.140625" style="792" customWidth="1"/>
    <col min="9474" max="9474" width="12.42578125" style="792" customWidth="1"/>
    <col min="9475" max="9475" width="11.5703125" style="792" bestFit="1" customWidth="1"/>
    <col min="9476" max="9477" width="0" style="792" hidden="1" customWidth="1"/>
    <col min="9478" max="9478" width="17.42578125" style="792" bestFit="1" customWidth="1"/>
    <col min="9479" max="9479" width="18.7109375" style="792" bestFit="1" customWidth="1"/>
    <col min="9480" max="9480" width="22.7109375" style="792" bestFit="1" customWidth="1"/>
    <col min="9481" max="9481" width="21.28515625" style="792" bestFit="1" customWidth="1"/>
    <col min="9482" max="9482" width="21.28515625" style="792" customWidth="1"/>
    <col min="9483" max="9483" width="18.7109375" style="792" bestFit="1" customWidth="1"/>
    <col min="9484" max="9484" width="14.42578125" style="792" customWidth="1"/>
    <col min="9485" max="9728" width="9.140625" style="792"/>
    <col min="9729" max="9729" width="3.140625" style="792" customWidth="1"/>
    <col min="9730" max="9730" width="12.42578125" style="792" customWidth="1"/>
    <col min="9731" max="9731" width="11.5703125" style="792" bestFit="1" customWidth="1"/>
    <col min="9732" max="9733" width="0" style="792" hidden="1" customWidth="1"/>
    <col min="9734" max="9734" width="17.42578125" style="792" bestFit="1" customWidth="1"/>
    <col min="9735" max="9735" width="18.7109375" style="792" bestFit="1" customWidth="1"/>
    <col min="9736" max="9736" width="22.7109375" style="792" bestFit="1" customWidth="1"/>
    <col min="9737" max="9737" width="21.28515625" style="792" bestFit="1" customWidth="1"/>
    <col min="9738" max="9738" width="21.28515625" style="792" customWidth="1"/>
    <col min="9739" max="9739" width="18.7109375" style="792" bestFit="1" customWidth="1"/>
    <col min="9740" max="9740" width="14.42578125" style="792" customWidth="1"/>
    <col min="9741" max="9984" width="9.140625" style="792"/>
    <col min="9985" max="9985" width="3.140625" style="792" customWidth="1"/>
    <col min="9986" max="9986" width="12.42578125" style="792" customWidth="1"/>
    <col min="9987" max="9987" width="11.5703125" style="792" bestFit="1" customWidth="1"/>
    <col min="9988" max="9989" width="0" style="792" hidden="1" customWidth="1"/>
    <col min="9990" max="9990" width="17.42578125" style="792" bestFit="1" customWidth="1"/>
    <col min="9991" max="9991" width="18.7109375" style="792" bestFit="1" customWidth="1"/>
    <col min="9992" max="9992" width="22.7109375" style="792" bestFit="1" customWidth="1"/>
    <col min="9993" max="9993" width="21.28515625" style="792" bestFit="1" customWidth="1"/>
    <col min="9994" max="9994" width="21.28515625" style="792" customWidth="1"/>
    <col min="9995" max="9995" width="18.7109375" style="792" bestFit="1" customWidth="1"/>
    <col min="9996" max="9996" width="14.42578125" style="792" customWidth="1"/>
    <col min="9997" max="10240" width="9.140625" style="792"/>
    <col min="10241" max="10241" width="3.140625" style="792" customWidth="1"/>
    <col min="10242" max="10242" width="12.42578125" style="792" customWidth="1"/>
    <col min="10243" max="10243" width="11.5703125" style="792" bestFit="1" customWidth="1"/>
    <col min="10244" max="10245" width="0" style="792" hidden="1" customWidth="1"/>
    <col min="10246" max="10246" width="17.42578125" style="792" bestFit="1" customWidth="1"/>
    <col min="10247" max="10247" width="18.7109375" style="792" bestFit="1" customWidth="1"/>
    <col min="10248" max="10248" width="22.7109375" style="792" bestFit="1" customWidth="1"/>
    <col min="10249" max="10249" width="21.28515625" style="792" bestFit="1" customWidth="1"/>
    <col min="10250" max="10250" width="21.28515625" style="792" customWidth="1"/>
    <col min="10251" max="10251" width="18.7109375" style="792" bestFit="1" customWidth="1"/>
    <col min="10252" max="10252" width="14.42578125" style="792" customWidth="1"/>
    <col min="10253" max="10496" width="9.140625" style="792"/>
    <col min="10497" max="10497" width="3.140625" style="792" customWidth="1"/>
    <col min="10498" max="10498" width="12.42578125" style="792" customWidth="1"/>
    <col min="10499" max="10499" width="11.5703125" style="792" bestFit="1" customWidth="1"/>
    <col min="10500" max="10501" width="0" style="792" hidden="1" customWidth="1"/>
    <col min="10502" max="10502" width="17.42578125" style="792" bestFit="1" customWidth="1"/>
    <col min="10503" max="10503" width="18.7109375" style="792" bestFit="1" customWidth="1"/>
    <col min="10504" max="10504" width="22.7109375" style="792" bestFit="1" customWidth="1"/>
    <col min="10505" max="10505" width="21.28515625" style="792" bestFit="1" customWidth="1"/>
    <col min="10506" max="10506" width="21.28515625" style="792" customWidth="1"/>
    <col min="10507" max="10507" width="18.7109375" style="792" bestFit="1" customWidth="1"/>
    <col min="10508" max="10508" width="14.42578125" style="792" customWidth="1"/>
    <col min="10509" max="10752" width="9.140625" style="792"/>
    <col min="10753" max="10753" width="3.140625" style="792" customWidth="1"/>
    <col min="10754" max="10754" width="12.42578125" style="792" customWidth="1"/>
    <col min="10755" max="10755" width="11.5703125" style="792" bestFit="1" customWidth="1"/>
    <col min="10756" max="10757" width="0" style="792" hidden="1" customWidth="1"/>
    <col min="10758" max="10758" width="17.42578125" style="792" bestFit="1" customWidth="1"/>
    <col min="10759" max="10759" width="18.7109375" style="792" bestFit="1" customWidth="1"/>
    <col min="10760" max="10760" width="22.7109375" style="792" bestFit="1" customWidth="1"/>
    <col min="10761" max="10761" width="21.28515625" style="792" bestFit="1" customWidth="1"/>
    <col min="10762" max="10762" width="21.28515625" style="792" customWidth="1"/>
    <col min="10763" max="10763" width="18.7109375" style="792" bestFit="1" customWidth="1"/>
    <col min="10764" max="10764" width="14.42578125" style="792" customWidth="1"/>
    <col min="10765" max="11008" width="9.140625" style="792"/>
    <col min="11009" max="11009" width="3.140625" style="792" customWidth="1"/>
    <col min="11010" max="11010" width="12.42578125" style="792" customWidth="1"/>
    <col min="11011" max="11011" width="11.5703125" style="792" bestFit="1" customWidth="1"/>
    <col min="11012" max="11013" width="0" style="792" hidden="1" customWidth="1"/>
    <col min="11014" max="11014" width="17.42578125" style="792" bestFit="1" customWidth="1"/>
    <col min="11015" max="11015" width="18.7109375" style="792" bestFit="1" customWidth="1"/>
    <col min="11016" max="11016" width="22.7109375" style="792" bestFit="1" customWidth="1"/>
    <col min="11017" max="11017" width="21.28515625" style="792" bestFit="1" customWidth="1"/>
    <col min="11018" max="11018" width="21.28515625" style="792" customWidth="1"/>
    <col min="11019" max="11019" width="18.7109375" style="792" bestFit="1" customWidth="1"/>
    <col min="11020" max="11020" width="14.42578125" style="792" customWidth="1"/>
    <col min="11021" max="11264" width="9.140625" style="792"/>
    <col min="11265" max="11265" width="3.140625" style="792" customWidth="1"/>
    <col min="11266" max="11266" width="12.42578125" style="792" customWidth="1"/>
    <col min="11267" max="11267" width="11.5703125" style="792" bestFit="1" customWidth="1"/>
    <col min="11268" max="11269" width="0" style="792" hidden="1" customWidth="1"/>
    <col min="11270" max="11270" width="17.42578125" style="792" bestFit="1" customWidth="1"/>
    <col min="11271" max="11271" width="18.7109375" style="792" bestFit="1" customWidth="1"/>
    <col min="11272" max="11272" width="22.7109375" style="792" bestFit="1" customWidth="1"/>
    <col min="11273" max="11273" width="21.28515625" style="792" bestFit="1" customWidth="1"/>
    <col min="11274" max="11274" width="21.28515625" style="792" customWidth="1"/>
    <col min="11275" max="11275" width="18.7109375" style="792" bestFit="1" customWidth="1"/>
    <col min="11276" max="11276" width="14.42578125" style="792" customWidth="1"/>
    <col min="11277" max="11520" width="9.140625" style="792"/>
    <col min="11521" max="11521" width="3.140625" style="792" customWidth="1"/>
    <col min="11522" max="11522" width="12.42578125" style="792" customWidth="1"/>
    <col min="11523" max="11523" width="11.5703125" style="792" bestFit="1" customWidth="1"/>
    <col min="11524" max="11525" width="0" style="792" hidden="1" customWidth="1"/>
    <col min="11526" max="11526" width="17.42578125" style="792" bestFit="1" customWidth="1"/>
    <col min="11527" max="11527" width="18.7109375" style="792" bestFit="1" customWidth="1"/>
    <col min="11528" max="11528" width="22.7109375" style="792" bestFit="1" customWidth="1"/>
    <col min="11529" max="11529" width="21.28515625" style="792" bestFit="1" customWidth="1"/>
    <col min="11530" max="11530" width="21.28515625" style="792" customWidth="1"/>
    <col min="11531" max="11531" width="18.7109375" style="792" bestFit="1" customWidth="1"/>
    <col min="11532" max="11532" width="14.42578125" style="792" customWidth="1"/>
    <col min="11533" max="11776" width="9.140625" style="792"/>
    <col min="11777" max="11777" width="3.140625" style="792" customWidth="1"/>
    <col min="11778" max="11778" width="12.42578125" style="792" customWidth="1"/>
    <col min="11779" max="11779" width="11.5703125" style="792" bestFit="1" customWidth="1"/>
    <col min="11780" max="11781" width="0" style="792" hidden="1" customWidth="1"/>
    <col min="11782" max="11782" width="17.42578125" style="792" bestFit="1" customWidth="1"/>
    <col min="11783" max="11783" width="18.7109375" style="792" bestFit="1" customWidth="1"/>
    <col min="11784" max="11784" width="22.7109375" style="792" bestFit="1" customWidth="1"/>
    <col min="11785" max="11785" width="21.28515625" style="792" bestFit="1" customWidth="1"/>
    <col min="11786" max="11786" width="21.28515625" style="792" customWidth="1"/>
    <col min="11787" max="11787" width="18.7109375" style="792" bestFit="1" customWidth="1"/>
    <col min="11788" max="11788" width="14.42578125" style="792" customWidth="1"/>
    <col min="11789" max="12032" width="9.140625" style="792"/>
    <col min="12033" max="12033" width="3.140625" style="792" customWidth="1"/>
    <col min="12034" max="12034" width="12.42578125" style="792" customWidth="1"/>
    <col min="12035" max="12035" width="11.5703125" style="792" bestFit="1" customWidth="1"/>
    <col min="12036" max="12037" width="0" style="792" hidden="1" customWidth="1"/>
    <col min="12038" max="12038" width="17.42578125" style="792" bestFit="1" customWidth="1"/>
    <col min="12039" max="12039" width="18.7109375" style="792" bestFit="1" customWidth="1"/>
    <col min="12040" max="12040" width="22.7109375" style="792" bestFit="1" customWidth="1"/>
    <col min="12041" max="12041" width="21.28515625" style="792" bestFit="1" customWidth="1"/>
    <col min="12042" max="12042" width="21.28515625" style="792" customWidth="1"/>
    <col min="12043" max="12043" width="18.7109375" style="792" bestFit="1" customWidth="1"/>
    <col min="12044" max="12044" width="14.42578125" style="792" customWidth="1"/>
    <col min="12045" max="12288" width="9.140625" style="792"/>
    <col min="12289" max="12289" width="3.140625" style="792" customWidth="1"/>
    <col min="12290" max="12290" width="12.42578125" style="792" customWidth="1"/>
    <col min="12291" max="12291" width="11.5703125" style="792" bestFit="1" customWidth="1"/>
    <col min="12292" max="12293" width="0" style="792" hidden="1" customWidth="1"/>
    <col min="12294" max="12294" width="17.42578125" style="792" bestFit="1" customWidth="1"/>
    <col min="12295" max="12295" width="18.7109375" style="792" bestFit="1" customWidth="1"/>
    <col min="12296" max="12296" width="22.7109375" style="792" bestFit="1" customWidth="1"/>
    <col min="12297" max="12297" width="21.28515625" style="792" bestFit="1" customWidth="1"/>
    <col min="12298" max="12298" width="21.28515625" style="792" customWidth="1"/>
    <col min="12299" max="12299" width="18.7109375" style="792" bestFit="1" customWidth="1"/>
    <col min="12300" max="12300" width="14.42578125" style="792" customWidth="1"/>
    <col min="12301" max="12544" width="9.140625" style="792"/>
    <col min="12545" max="12545" width="3.140625" style="792" customWidth="1"/>
    <col min="12546" max="12546" width="12.42578125" style="792" customWidth="1"/>
    <col min="12547" max="12547" width="11.5703125" style="792" bestFit="1" customWidth="1"/>
    <col min="12548" max="12549" width="0" style="792" hidden="1" customWidth="1"/>
    <col min="12550" max="12550" width="17.42578125" style="792" bestFit="1" customWidth="1"/>
    <col min="12551" max="12551" width="18.7109375" style="792" bestFit="1" customWidth="1"/>
    <col min="12552" max="12552" width="22.7109375" style="792" bestFit="1" customWidth="1"/>
    <col min="12553" max="12553" width="21.28515625" style="792" bestFit="1" customWidth="1"/>
    <col min="12554" max="12554" width="21.28515625" style="792" customWidth="1"/>
    <col min="12555" max="12555" width="18.7109375" style="792" bestFit="1" customWidth="1"/>
    <col min="12556" max="12556" width="14.42578125" style="792" customWidth="1"/>
    <col min="12557" max="12800" width="9.140625" style="792"/>
    <col min="12801" max="12801" width="3.140625" style="792" customWidth="1"/>
    <col min="12802" max="12802" width="12.42578125" style="792" customWidth="1"/>
    <col min="12803" max="12803" width="11.5703125" style="792" bestFit="1" customWidth="1"/>
    <col min="12804" max="12805" width="0" style="792" hidden="1" customWidth="1"/>
    <col min="12806" max="12806" width="17.42578125" style="792" bestFit="1" customWidth="1"/>
    <col min="12807" max="12807" width="18.7109375" style="792" bestFit="1" customWidth="1"/>
    <col min="12808" max="12808" width="22.7109375" style="792" bestFit="1" customWidth="1"/>
    <col min="12809" max="12809" width="21.28515625" style="792" bestFit="1" customWidth="1"/>
    <col min="12810" max="12810" width="21.28515625" style="792" customWidth="1"/>
    <col min="12811" max="12811" width="18.7109375" style="792" bestFit="1" customWidth="1"/>
    <col min="12812" max="12812" width="14.42578125" style="792" customWidth="1"/>
    <col min="12813" max="13056" width="9.140625" style="792"/>
    <col min="13057" max="13057" width="3.140625" style="792" customWidth="1"/>
    <col min="13058" max="13058" width="12.42578125" style="792" customWidth="1"/>
    <col min="13059" max="13059" width="11.5703125" style="792" bestFit="1" customWidth="1"/>
    <col min="13060" max="13061" width="0" style="792" hidden="1" customWidth="1"/>
    <col min="13062" max="13062" width="17.42578125" style="792" bestFit="1" customWidth="1"/>
    <col min="13063" max="13063" width="18.7109375" style="792" bestFit="1" customWidth="1"/>
    <col min="13064" max="13064" width="22.7109375" style="792" bestFit="1" customWidth="1"/>
    <col min="13065" max="13065" width="21.28515625" style="792" bestFit="1" customWidth="1"/>
    <col min="13066" max="13066" width="21.28515625" style="792" customWidth="1"/>
    <col min="13067" max="13067" width="18.7109375" style="792" bestFit="1" customWidth="1"/>
    <col min="13068" max="13068" width="14.42578125" style="792" customWidth="1"/>
    <col min="13069" max="13312" width="9.140625" style="792"/>
    <col min="13313" max="13313" width="3.140625" style="792" customWidth="1"/>
    <col min="13314" max="13314" width="12.42578125" style="792" customWidth="1"/>
    <col min="13315" max="13315" width="11.5703125" style="792" bestFit="1" customWidth="1"/>
    <col min="13316" max="13317" width="0" style="792" hidden="1" customWidth="1"/>
    <col min="13318" max="13318" width="17.42578125" style="792" bestFit="1" customWidth="1"/>
    <col min="13319" max="13319" width="18.7109375" style="792" bestFit="1" customWidth="1"/>
    <col min="13320" max="13320" width="22.7109375" style="792" bestFit="1" customWidth="1"/>
    <col min="13321" max="13321" width="21.28515625" style="792" bestFit="1" customWidth="1"/>
    <col min="13322" max="13322" width="21.28515625" style="792" customWidth="1"/>
    <col min="13323" max="13323" width="18.7109375" style="792" bestFit="1" customWidth="1"/>
    <col min="13324" max="13324" width="14.42578125" style="792" customWidth="1"/>
    <col min="13325" max="13568" width="9.140625" style="792"/>
    <col min="13569" max="13569" width="3.140625" style="792" customWidth="1"/>
    <col min="13570" max="13570" width="12.42578125" style="792" customWidth="1"/>
    <col min="13571" max="13571" width="11.5703125" style="792" bestFit="1" customWidth="1"/>
    <col min="13572" max="13573" width="0" style="792" hidden="1" customWidth="1"/>
    <col min="13574" max="13574" width="17.42578125" style="792" bestFit="1" customWidth="1"/>
    <col min="13575" max="13575" width="18.7109375" style="792" bestFit="1" customWidth="1"/>
    <col min="13576" max="13576" width="22.7109375" style="792" bestFit="1" customWidth="1"/>
    <col min="13577" max="13577" width="21.28515625" style="792" bestFit="1" customWidth="1"/>
    <col min="13578" max="13578" width="21.28515625" style="792" customWidth="1"/>
    <col min="13579" max="13579" width="18.7109375" style="792" bestFit="1" customWidth="1"/>
    <col min="13580" max="13580" width="14.42578125" style="792" customWidth="1"/>
    <col min="13581" max="13824" width="9.140625" style="792"/>
    <col min="13825" max="13825" width="3.140625" style="792" customWidth="1"/>
    <col min="13826" max="13826" width="12.42578125" style="792" customWidth="1"/>
    <col min="13827" max="13827" width="11.5703125" style="792" bestFit="1" customWidth="1"/>
    <col min="13828" max="13829" width="0" style="792" hidden="1" customWidth="1"/>
    <col min="13830" max="13830" width="17.42578125" style="792" bestFit="1" customWidth="1"/>
    <col min="13831" max="13831" width="18.7109375" style="792" bestFit="1" customWidth="1"/>
    <col min="13832" max="13832" width="22.7109375" style="792" bestFit="1" customWidth="1"/>
    <col min="13833" max="13833" width="21.28515625" style="792" bestFit="1" customWidth="1"/>
    <col min="13834" max="13834" width="21.28515625" style="792" customWidth="1"/>
    <col min="13835" max="13835" width="18.7109375" style="792" bestFit="1" customWidth="1"/>
    <col min="13836" max="13836" width="14.42578125" style="792" customWidth="1"/>
    <col min="13837" max="14080" width="9.140625" style="792"/>
    <col min="14081" max="14081" width="3.140625" style="792" customWidth="1"/>
    <col min="14082" max="14082" width="12.42578125" style="792" customWidth="1"/>
    <col min="14083" max="14083" width="11.5703125" style="792" bestFit="1" customWidth="1"/>
    <col min="14084" max="14085" width="0" style="792" hidden="1" customWidth="1"/>
    <col min="14086" max="14086" width="17.42578125" style="792" bestFit="1" customWidth="1"/>
    <col min="14087" max="14087" width="18.7109375" style="792" bestFit="1" customWidth="1"/>
    <col min="14088" max="14088" width="22.7109375" style="792" bestFit="1" customWidth="1"/>
    <col min="14089" max="14089" width="21.28515625" style="792" bestFit="1" customWidth="1"/>
    <col min="14090" max="14090" width="21.28515625" style="792" customWidth="1"/>
    <col min="14091" max="14091" width="18.7109375" style="792" bestFit="1" customWidth="1"/>
    <col min="14092" max="14092" width="14.42578125" style="792" customWidth="1"/>
    <col min="14093" max="14336" width="9.140625" style="792"/>
    <col min="14337" max="14337" width="3.140625" style="792" customWidth="1"/>
    <col min="14338" max="14338" width="12.42578125" style="792" customWidth="1"/>
    <col min="14339" max="14339" width="11.5703125" style="792" bestFit="1" customWidth="1"/>
    <col min="14340" max="14341" width="0" style="792" hidden="1" customWidth="1"/>
    <col min="14342" max="14342" width="17.42578125" style="792" bestFit="1" customWidth="1"/>
    <col min="14343" max="14343" width="18.7109375" style="792" bestFit="1" customWidth="1"/>
    <col min="14344" max="14344" width="22.7109375" style="792" bestFit="1" customWidth="1"/>
    <col min="14345" max="14345" width="21.28515625" style="792" bestFit="1" customWidth="1"/>
    <col min="14346" max="14346" width="21.28515625" style="792" customWidth="1"/>
    <col min="14347" max="14347" width="18.7109375" style="792" bestFit="1" customWidth="1"/>
    <col min="14348" max="14348" width="14.42578125" style="792" customWidth="1"/>
    <col min="14349" max="14592" width="9.140625" style="792"/>
    <col min="14593" max="14593" width="3.140625" style="792" customWidth="1"/>
    <col min="14594" max="14594" width="12.42578125" style="792" customWidth="1"/>
    <col min="14595" max="14595" width="11.5703125" style="792" bestFit="1" customWidth="1"/>
    <col min="14596" max="14597" width="0" style="792" hidden="1" customWidth="1"/>
    <col min="14598" max="14598" width="17.42578125" style="792" bestFit="1" customWidth="1"/>
    <col min="14599" max="14599" width="18.7109375" style="792" bestFit="1" customWidth="1"/>
    <col min="14600" max="14600" width="22.7109375" style="792" bestFit="1" customWidth="1"/>
    <col min="14601" max="14601" width="21.28515625" style="792" bestFit="1" customWidth="1"/>
    <col min="14602" max="14602" width="21.28515625" style="792" customWidth="1"/>
    <col min="14603" max="14603" width="18.7109375" style="792" bestFit="1" customWidth="1"/>
    <col min="14604" max="14604" width="14.42578125" style="792" customWidth="1"/>
    <col min="14605" max="14848" width="9.140625" style="792"/>
    <col min="14849" max="14849" width="3.140625" style="792" customWidth="1"/>
    <col min="14850" max="14850" width="12.42578125" style="792" customWidth="1"/>
    <col min="14851" max="14851" width="11.5703125" style="792" bestFit="1" customWidth="1"/>
    <col min="14852" max="14853" width="0" style="792" hidden="1" customWidth="1"/>
    <col min="14854" max="14854" width="17.42578125" style="792" bestFit="1" customWidth="1"/>
    <col min="14855" max="14855" width="18.7109375" style="792" bestFit="1" customWidth="1"/>
    <col min="14856" max="14856" width="22.7109375" style="792" bestFit="1" customWidth="1"/>
    <col min="14857" max="14857" width="21.28515625" style="792" bestFit="1" customWidth="1"/>
    <col min="14858" max="14858" width="21.28515625" style="792" customWidth="1"/>
    <col min="14859" max="14859" width="18.7109375" style="792" bestFit="1" customWidth="1"/>
    <col min="14860" max="14860" width="14.42578125" style="792" customWidth="1"/>
    <col min="14861" max="15104" width="9.140625" style="792"/>
    <col min="15105" max="15105" width="3.140625" style="792" customWidth="1"/>
    <col min="15106" max="15106" width="12.42578125" style="792" customWidth="1"/>
    <col min="15107" max="15107" width="11.5703125" style="792" bestFit="1" customWidth="1"/>
    <col min="15108" max="15109" width="0" style="792" hidden="1" customWidth="1"/>
    <col min="15110" max="15110" width="17.42578125" style="792" bestFit="1" customWidth="1"/>
    <col min="15111" max="15111" width="18.7109375" style="792" bestFit="1" customWidth="1"/>
    <col min="15112" max="15112" width="22.7109375" style="792" bestFit="1" customWidth="1"/>
    <col min="15113" max="15113" width="21.28515625" style="792" bestFit="1" customWidth="1"/>
    <col min="15114" max="15114" width="21.28515625" style="792" customWidth="1"/>
    <col min="15115" max="15115" width="18.7109375" style="792" bestFit="1" customWidth="1"/>
    <col min="15116" max="15116" width="14.42578125" style="792" customWidth="1"/>
    <col min="15117" max="15360" width="9.140625" style="792"/>
    <col min="15361" max="15361" width="3.140625" style="792" customWidth="1"/>
    <col min="15362" max="15362" width="12.42578125" style="792" customWidth="1"/>
    <col min="15363" max="15363" width="11.5703125" style="792" bestFit="1" customWidth="1"/>
    <col min="15364" max="15365" width="0" style="792" hidden="1" customWidth="1"/>
    <col min="15366" max="15366" width="17.42578125" style="792" bestFit="1" customWidth="1"/>
    <col min="15367" max="15367" width="18.7109375" style="792" bestFit="1" customWidth="1"/>
    <col min="15368" max="15368" width="22.7109375" style="792" bestFit="1" customWidth="1"/>
    <col min="15369" max="15369" width="21.28515625" style="792" bestFit="1" customWidth="1"/>
    <col min="15370" max="15370" width="21.28515625" style="792" customWidth="1"/>
    <col min="15371" max="15371" width="18.7109375" style="792" bestFit="1" customWidth="1"/>
    <col min="15372" max="15372" width="14.42578125" style="792" customWidth="1"/>
    <col min="15373" max="15616" width="9.140625" style="792"/>
    <col min="15617" max="15617" width="3.140625" style="792" customWidth="1"/>
    <col min="15618" max="15618" width="12.42578125" style="792" customWidth="1"/>
    <col min="15619" max="15619" width="11.5703125" style="792" bestFit="1" customWidth="1"/>
    <col min="15620" max="15621" width="0" style="792" hidden="1" customWidth="1"/>
    <col min="15622" max="15622" width="17.42578125" style="792" bestFit="1" customWidth="1"/>
    <col min="15623" max="15623" width="18.7109375" style="792" bestFit="1" customWidth="1"/>
    <col min="15624" max="15624" width="22.7109375" style="792" bestFit="1" customWidth="1"/>
    <col min="15625" max="15625" width="21.28515625" style="792" bestFit="1" customWidth="1"/>
    <col min="15626" max="15626" width="21.28515625" style="792" customWidth="1"/>
    <col min="15627" max="15627" width="18.7109375" style="792" bestFit="1" customWidth="1"/>
    <col min="15628" max="15628" width="14.42578125" style="792" customWidth="1"/>
    <col min="15629" max="15872" width="9.140625" style="792"/>
    <col min="15873" max="15873" width="3.140625" style="792" customWidth="1"/>
    <col min="15874" max="15874" width="12.42578125" style="792" customWidth="1"/>
    <col min="15875" max="15875" width="11.5703125" style="792" bestFit="1" customWidth="1"/>
    <col min="15876" max="15877" width="0" style="792" hidden="1" customWidth="1"/>
    <col min="15878" max="15878" width="17.42578125" style="792" bestFit="1" customWidth="1"/>
    <col min="15879" max="15879" width="18.7109375" style="792" bestFit="1" customWidth="1"/>
    <col min="15880" max="15880" width="22.7109375" style="792" bestFit="1" customWidth="1"/>
    <col min="15881" max="15881" width="21.28515625" style="792" bestFit="1" customWidth="1"/>
    <col min="15882" max="15882" width="21.28515625" style="792" customWidth="1"/>
    <col min="15883" max="15883" width="18.7109375" style="792" bestFit="1" customWidth="1"/>
    <col min="15884" max="15884" width="14.42578125" style="792" customWidth="1"/>
    <col min="15885" max="16128" width="9.140625" style="792"/>
    <col min="16129" max="16129" width="3.140625" style="792" customWidth="1"/>
    <col min="16130" max="16130" width="12.42578125" style="792" customWidth="1"/>
    <col min="16131" max="16131" width="11.5703125" style="792" bestFit="1" customWidth="1"/>
    <col min="16132" max="16133" width="0" style="792" hidden="1" customWidth="1"/>
    <col min="16134" max="16134" width="17.42578125" style="792" bestFit="1" customWidth="1"/>
    <col min="16135" max="16135" width="18.7109375" style="792" bestFit="1" customWidth="1"/>
    <col min="16136" max="16136" width="22.7109375" style="792" bestFit="1" customWidth="1"/>
    <col min="16137" max="16137" width="21.28515625" style="792" bestFit="1" customWidth="1"/>
    <col min="16138" max="16138" width="21.28515625" style="792" customWidth="1"/>
    <col min="16139" max="16139" width="18.7109375" style="792" bestFit="1" customWidth="1"/>
    <col min="16140" max="16140" width="14.42578125" style="792" customWidth="1"/>
    <col min="16141" max="16384" width="9.140625" style="792"/>
  </cols>
  <sheetData>
    <row r="1" spans="2:12">
      <c r="F1" s="923"/>
    </row>
    <row r="2" spans="2:12" ht="18">
      <c r="B2" s="925" t="s">
        <v>3690</v>
      </c>
    </row>
    <row r="3" spans="2:12" ht="45" customHeight="1">
      <c r="B3" s="4975" t="s">
        <v>1</v>
      </c>
      <c r="C3" s="4082" t="s">
        <v>2</v>
      </c>
      <c r="D3" s="5858" t="s">
        <v>3691</v>
      </c>
      <c r="E3" s="5858"/>
      <c r="F3" s="4977" t="s">
        <v>4</v>
      </c>
      <c r="G3" s="4958" t="s">
        <v>5</v>
      </c>
      <c r="H3" s="4958" t="s">
        <v>6</v>
      </c>
      <c r="I3" s="4958" t="s">
        <v>7</v>
      </c>
      <c r="J3" s="4958" t="s">
        <v>2224</v>
      </c>
      <c r="K3" s="4958" t="s">
        <v>8</v>
      </c>
      <c r="L3" s="4976" t="s">
        <v>63</v>
      </c>
    </row>
    <row r="4" spans="2:12">
      <c r="B4" s="4975"/>
      <c r="C4" s="4082"/>
      <c r="D4" s="4978" t="s">
        <v>12</v>
      </c>
      <c r="E4" s="4978" t="s">
        <v>13</v>
      </c>
      <c r="F4" s="4977"/>
      <c r="G4" s="4958"/>
      <c r="H4" s="4958"/>
      <c r="I4" s="4958"/>
      <c r="J4" s="4958"/>
      <c r="K4" s="4958"/>
      <c r="L4" s="4979"/>
    </row>
    <row r="5" spans="2:12" hidden="1">
      <c r="B5" s="4081"/>
      <c r="C5" s="4980" t="s">
        <v>15</v>
      </c>
      <c r="D5" s="4980"/>
      <c r="E5" s="4980"/>
      <c r="F5" s="966">
        <f>+'[101]Apr 14'!I5+'[101]May 14'!I5+'[101]Jun 14'!I5+'[101]Jul 14'!I5+'[101]Aug 14'!I5+'[101]Sep 14'!I5+'[101]Oct 14'!I5+'[101]Nov 14'!I5+'[101]Dec 14'!I5+'[101]Jan 15'!I5+'[101]Feb 15'!I5+'[101]Mar 15'!I5</f>
        <v>-420</v>
      </c>
      <c r="G5" s="966">
        <f>+'[101]Apr 14'!J5+'[101]May 14'!J5+'[101]Jun 14'!J5+'[101]Jul 14'!J5+'[101]Aug 14'!J5+'[101]Sep 14'!J5+'[101]Oct 14'!J5+'[101]Nov 14'!J5+'[101]Dec 14'!J5+'[101]Jan 15'!J5+'[101]Feb 15'!J5+'[101]Mar 15'!J5</f>
        <v>-184.79999999999998</v>
      </c>
      <c r="H5" s="4958"/>
      <c r="I5" s="966">
        <f>+'[101]Apr 14'!L5+'[101]May 14'!L5+'[101]Jun 14'!L5+'[101]Jul 14'!L5+'[101]Aug 14'!L5+'[101]Sep 14'!L5+'[101]Oct 14'!L5+'[101]Nov 14'!L5+'[101]Dec 14'!L5+'[101]Jan 15'!L5+'[101]Feb 15'!L5+'[101]Mar 15'!L5</f>
        <v>-50.4</v>
      </c>
      <c r="J5" s="4958"/>
      <c r="K5" s="951"/>
      <c r="L5" s="4958"/>
    </row>
    <row r="6" spans="2:12" hidden="1">
      <c r="B6" s="4081"/>
      <c r="C6" s="4980" t="s">
        <v>15</v>
      </c>
      <c r="D6" s="4980"/>
      <c r="E6" s="4980"/>
      <c r="F6" s="966">
        <f>+'[101]Apr 14'!I6+'[101]May 14'!I6+'[101]Jun 14'!I6+'[101]Jul 14'!I6+'[101]Aug 14'!I6+'[101]Sep 14'!I6+'[101]Oct 14'!I6+'[101]Nov 14'!I6+'[101]Dec 14'!I6+'[101]Jan 15'!I6+'[101]Feb 15'!I6+'[101]Mar 15'!I6</f>
        <v>2817</v>
      </c>
      <c r="G6" s="966">
        <f>+'[101]Apr 14'!J6+'[101]May 14'!J6+'[101]Jun 14'!J6+'[101]Jul 14'!J6+'[101]Aug 14'!J6+'[101]Sep 14'!J6+'[101]Oct 14'!J6+'[101]Nov 14'!J6+'[101]Dec 14'!J6+'[101]Jan 15'!J6+'[101]Feb 15'!J6+'[101]Mar 15'!J6</f>
        <v>1549.35</v>
      </c>
      <c r="H6" s="4958"/>
      <c r="I6" s="966">
        <f>+'[101]Apr 14'!L6+'[101]May 14'!L6+'[101]Jun 14'!L6+'[101]Jul 14'!L6+'[101]Aug 14'!L6+'[101]Sep 14'!L6+'[101]Oct 14'!L6+'[101]Nov 14'!L6+'[101]Dec 14'!L6+'[101]Jan 15'!L6+'[101]Feb 15'!L6+'[101]Mar 15'!L6</f>
        <v>338.03999999999996</v>
      </c>
      <c r="J6" s="4958"/>
      <c r="K6" s="951"/>
      <c r="L6" s="4958"/>
    </row>
    <row r="7" spans="2:12" hidden="1">
      <c r="B7" s="4081"/>
      <c r="C7" s="4980"/>
      <c r="D7" s="4980"/>
      <c r="E7" s="4980"/>
      <c r="F7" s="966">
        <f>+'[101]Apr 14'!I7+'[101]May 14'!I7+'[101]Jun 14'!I7+'[101]Jul 14'!I7+'[101]Aug 14'!I7+'[101]Sep 14'!I7+'[101]Oct 14'!I7+'[101]Nov 14'!I7+'[101]Dec 14'!I7+'[101]Jan 15'!I7+'[101]Feb 15'!I7+'[101]Mar 15'!I7</f>
        <v>46352</v>
      </c>
      <c r="G7" s="966">
        <f>+'[101]Apr 14'!J7+'[101]May 14'!J7+'[101]Jun 14'!J7+'[101]Jul 14'!J7+'[101]Aug 14'!J7+'[101]Sep 14'!J7+'[101]Oct 14'!J7+'[101]Nov 14'!J7+'[101]Dec 14'!J7+'[101]Jan 15'!J7+'[101]Feb 15'!J7+'[101]Mar 15'!J7</f>
        <v>37081.599999999999</v>
      </c>
      <c r="H7" s="4958"/>
      <c r="I7" s="966">
        <f>+'[101]Apr 14'!L7+'[101]May 14'!L7+'[101]Jun 14'!L7+'[101]Jul 14'!L7+'[101]Aug 14'!L7+'[101]Sep 14'!L7+'[101]Oct 14'!L7+'[101]Nov 14'!L7+'[101]Dec 14'!L7+'[101]Jan 15'!L7+'[101]Feb 15'!L7+'[101]Mar 15'!L7</f>
        <v>5562.2400000000007</v>
      </c>
      <c r="J7" s="4958"/>
      <c r="K7" s="951"/>
      <c r="L7" s="4958"/>
    </row>
    <row r="8" spans="2:12">
      <c r="B8" s="4081" t="s">
        <v>14</v>
      </c>
      <c r="C8" s="4980"/>
      <c r="D8" s="4980">
        <f>+'[101]Sep 14'!D8</f>
        <v>223</v>
      </c>
      <c r="E8" s="4980">
        <f>+'[101]Sep 14'!E8</f>
        <v>0</v>
      </c>
      <c r="F8" s="966">
        <f>+F6+F5+F7</f>
        <v>48749</v>
      </c>
      <c r="G8" s="951">
        <f>+G6+G5+G7</f>
        <v>38446.15</v>
      </c>
      <c r="H8" s="4958">
        <f>+'[101]Apr 14'!K8+'[101]May 14'!K8+'[101]Jun 14'!K8+'[101]Jul 14'!K8+'[101]Aug 14'!K8+'[101]Sep 14'!K8+'[101]Oct 14'!K8+'[101]Nov 14'!K8+'[101]Dec 14'!K8+'[101]Jan 15'!K8+'[101]Feb 15'!K8+'[101]Mar 15'!K8</f>
        <v>7232.4000000000015</v>
      </c>
      <c r="I8" s="951">
        <f>+I6+I5+I7</f>
        <v>5849.880000000001</v>
      </c>
      <c r="J8" s="4958">
        <f>+'[101]Apr 14'!M8+'[101]May 14'!M8+'[101]Jun 14'!M8+'[101]Jul 14'!M8+'[101]Aug 14'!M8+'[101]Sep 14'!M8+'[101]Oct 14'!M8+'[101]Nov 14'!M8+'[101]Dec 14'!M8+'[101]Jan 15'!M8+'[101]Feb 15'!M8+'[101]Mar 15'!M8</f>
        <v>311.67</v>
      </c>
      <c r="K8" s="951">
        <f>SUM(G8:J8)</f>
        <v>51840.100000000006</v>
      </c>
      <c r="L8" s="4958">
        <f>+K8/F8</f>
        <v>1.0634084801739525</v>
      </c>
    </row>
    <row r="9" spans="2:12" hidden="1">
      <c r="B9" s="962" t="s">
        <v>16</v>
      </c>
      <c r="C9" s="963" t="s">
        <v>17</v>
      </c>
      <c r="D9" s="963">
        <f>+'[101]Sep 14'!D9</f>
        <v>0</v>
      </c>
      <c r="E9" s="963">
        <f>+'[101]Sep 14'!E9</f>
        <v>0</v>
      </c>
      <c r="F9" s="966">
        <f>+'[101]Apr 14'!I9+'[101]May 14'!I9+'[101]Jun 14'!I9+'[101]Jul 14'!I9+'[101]Aug 14'!I9+'[101]Sep 14'!I9+'[101]Oct 14'!I9+'[101]Nov 14'!I9+'[101]Dec 14'!I9+'[101]Jan 15'!I9+'[101]Feb 15'!I9+'[101]Mar 15'!I9</f>
        <v>-270280</v>
      </c>
      <c r="G9" s="966">
        <f>+'[101]Apr 14'!J9+'[101]May 14'!J9+'[101]Jun 14'!J9+'[101]Jul 14'!J9+'[101]Aug 14'!J9+'[101]Sep 14'!J9+'[101]Oct 14'!J9+'[101]Nov 14'!J9+'[101]Dec 14'!J9+'[101]Jan 15'!J9+'[101]Feb 15'!J9+'[101]Mar 15'!J9</f>
        <v>-556776.80000000005</v>
      </c>
      <c r="H9" s="4958"/>
      <c r="I9" s="966">
        <f>+'[101]Apr 14'!L9+'[101]May 14'!L9+'[101]Jun 14'!L9+'[101]Jul 14'!L9+'[101]Aug 14'!L9+'[101]Sep 14'!L9+'[101]Oct 14'!L9+'[101]Nov 14'!L9+'[101]Dec 14'!L9+'[101]Jan 15'!L9+'[101]Feb 15'!L9+'[101]Mar 15'!L9</f>
        <v>-148654</v>
      </c>
      <c r="J9" s="4958"/>
      <c r="K9" s="4958"/>
      <c r="L9" s="5857"/>
    </row>
    <row r="10" spans="2:12" hidden="1">
      <c r="B10" s="962"/>
      <c r="C10" s="963" t="s">
        <v>18</v>
      </c>
      <c r="D10" s="963">
        <f>+'[101]Sep 14'!D10</f>
        <v>0</v>
      </c>
      <c r="E10" s="963">
        <f>+'[101]Sep 14'!E10</f>
        <v>0</v>
      </c>
      <c r="F10" s="966">
        <f>+'[101]Apr 14'!I10+'[101]May 14'!I10+'[101]Jun 14'!I10+'[101]Jul 14'!I10+'[101]Aug 14'!I10+'[101]Sep 14'!I10+'[101]Oct 14'!I10+'[101]Nov 14'!I10+'[101]Dec 14'!I10+'[101]Jan 15'!I10+'[101]Feb 15'!I10+'[101]Mar 15'!I10</f>
        <v>-158820</v>
      </c>
      <c r="G10" s="966">
        <f>+'[101]Apr 14'!J10+'[101]May 14'!J10+'[101]Jun 14'!J10+'[101]Jul 14'!J10+'[101]Aug 14'!J10+'[101]Sep 14'!J10+'[101]Oct 14'!J10+'[101]Nov 14'!J10+'[101]Dec 14'!J10+'[101]Jan 15'!J10+'[101]Feb 15'!J10+'[101]Mar 15'!J10</f>
        <v>-605104.19999999995</v>
      </c>
      <c r="H10" s="4958"/>
      <c r="I10" s="966">
        <f>+'[101]Apr 14'!L10+'[101]May 14'!L10+'[101]Jun 14'!L10+'[101]Jul 14'!L10+'[101]Aug 14'!L10+'[101]Sep 14'!L10+'[101]Oct 14'!L10+'[101]Nov 14'!L10+'[101]Dec 14'!L10+'[101]Jan 15'!L10+'[101]Feb 15'!L10+'[101]Mar 15'!L10</f>
        <v>-163584.6</v>
      </c>
      <c r="J10" s="4958"/>
      <c r="K10" s="4958"/>
      <c r="L10" s="5857"/>
    </row>
    <row r="11" spans="2:12" hidden="1">
      <c r="B11" s="962"/>
      <c r="C11" s="963" t="s">
        <v>19</v>
      </c>
      <c r="D11" s="963">
        <f>+'[101]Sep 14'!D11</f>
        <v>0</v>
      </c>
      <c r="E11" s="963">
        <f>+'[101]Sep 14'!E11</f>
        <v>0</v>
      </c>
      <c r="F11" s="966">
        <f>+'[101]Apr 14'!I11+'[101]May 14'!I11+'[101]Jun 14'!I11+'[101]Jul 14'!I11+'[101]Aug 14'!I11+'[101]Sep 14'!I11+'[101]Oct 14'!I11+'[101]Nov 14'!I11+'[101]Dec 14'!I11+'[101]Jan 15'!I11+'[101]Feb 15'!I11+'[101]Mar 15'!I11</f>
        <v>-43735</v>
      </c>
      <c r="G11" s="966">
        <f>+'[101]Apr 14'!J11+'[101]May 14'!J11+'[101]Jun 14'!J11+'[101]Jul 14'!J11+'[101]Aug 14'!J11+'[101]Sep 14'!J11+'[101]Oct 14'!J11+'[101]Nov 14'!J11+'[101]Dec 14'!J11+'[101]Jan 15'!J11+'[101]Feb 15'!J11+'[101]Mar 15'!J11</f>
        <v>-234419.6</v>
      </c>
      <c r="H11" s="4958"/>
      <c r="I11" s="966">
        <f>+'[101]Apr 14'!L11+'[101]May 14'!L11+'[101]Jun 14'!L11+'[101]Jul 14'!L11+'[101]Aug 14'!L11+'[101]Sep 14'!L11+'[101]Oct 14'!L11+'[101]Nov 14'!L11+'[101]Dec 14'!L11+'[101]Jan 15'!L11+'[101]Feb 15'!L11+'[101]Mar 15'!L11</f>
        <v>-62978.400000000001</v>
      </c>
      <c r="J11" s="4958"/>
      <c r="K11" s="4958"/>
      <c r="L11" s="5857"/>
    </row>
    <row r="12" spans="2:12" hidden="1">
      <c r="B12" s="962"/>
      <c r="C12" s="963" t="s">
        <v>20</v>
      </c>
      <c r="D12" s="963">
        <f>+'[101]Sep 14'!D12</f>
        <v>0</v>
      </c>
      <c r="E12" s="963">
        <f>+'[101]Sep 14'!E12</f>
        <v>0</v>
      </c>
      <c r="F12" s="966">
        <f>+'[101]Apr 14'!I12+'[101]May 14'!I12+'[101]Jun 14'!I12+'[101]Jul 14'!I12+'[101]Aug 14'!I12+'[101]Sep 14'!I12+'[101]Oct 14'!I12+'[101]Nov 14'!I12+'[101]Dec 14'!I12+'[101]Jan 15'!I12+'[101]Feb 15'!I12+'[101]Mar 15'!I12</f>
        <v>-77740</v>
      </c>
      <c r="G12" s="966">
        <f>+'[101]Apr 14'!J12+'[101]May 14'!J12+'[101]Jun 14'!J12+'[101]Jul 14'!J12+'[101]Aug 14'!J12+'[101]Sep 14'!J12+'[101]Oct 14'!J12+'[101]Nov 14'!J12+'[101]Dec 14'!J12+'[101]Jan 15'!J12+'[101]Feb 15'!J12+'[101]Mar 15'!J12</f>
        <v>-533296.4</v>
      </c>
      <c r="H12" s="4958"/>
      <c r="I12" s="966">
        <f>+'[101]Apr 14'!L12+'[101]May 14'!L12+'[101]Jun 14'!L12+'[101]Jul 14'!L12+'[101]Aug 14'!L12+'[101]Sep 14'!L12+'[101]Oct 14'!L12+'[101]Nov 14'!L12+'[101]Dec 14'!L12+'[101]Jan 15'!L12+'[101]Feb 15'!L12+'[101]Mar 15'!L12</f>
        <v>-143819</v>
      </c>
      <c r="J12" s="4958"/>
      <c r="K12" s="4958"/>
      <c r="L12" s="5857"/>
    </row>
    <row r="13" spans="2:12" hidden="1">
      <c r="B13" s="962" t="s">
        <v>2225</v>
      </c>
      <c r="C13" s="963" t="s">
        <v>17</v>
      </c>
      <c r="D13" s="963">
        <f>+'[101]Sep 14'!D13</f>
        <v>0</v>
      </c>
      <c r="E13" s="963">
        <f>+'[101]Sep 14'!E13</f>
        <v>0</v>
      </c>
      <c r="F13" s="966">
        <f>+'[101]Apr 14'!I13+'[101]May 14'!I13+'[101]Jun 14'!I13+'[101]Jul 14'!I13+'[101]Aug 14'!I13+'[101]Sep 14'!I13+'[101]Oct 14'!I13+'[101]Nov 14'!I13+'[101]Dec 14'!I13+'[101]Jan 15'!I13+'[101]Feb 15'!I13+'[101]Mar 15'!I13</f>
        <v>28990030</v>
      </c>
      <c r="G13" s="966">
        <f>+'[101]Apr 14'!J13+'[101]May 14'!J13+'[101]Jun 14'!J13+'[101]Jul 14'!J13+'[101]Aug 14'!J13+'[101]Sep 14'!J13+'[101]Oct 14'!J13+'[101]Nov 14'!J13+'[101]Dec 14'!J13+'[101]Jan 15'!J13+'[101]Feb 15'!J13+'[101]Mar 15'!J13</f>
        <v>71025573.5</v>
      </c>
      <c r="H13" s="4958"/>
      <c r="I13" s="966">
        <f>+'[101]Apr 14'!L13+'[101]May 14'!L13+'[101]Jun 14'!L13+'[101]Jul 14'!L13+'[101]Aug 14'!L13+'[101]Sep 14'!L13+'[101]Oct 14'!L13+'[101]Nov 14'!L13+'[101]Dec 14'!L13+'[101]Jan 15'!L13+'[101]Feb 15'!L13+'[101]Mar 15'!L13</f>
        <v>15944516.500000002</v>
      </c>
      <c r="J13" s="4958"/>
      <c r="K13" s="4958"/>
      <c r="L13" s="5857"/>
    </row>
    <row r="14" spans="2:12" hidden="1">
      <c r="B14" s="962"/>
      <c r="C14" s="963" t="s">
        <v>18</v>
      </c>
      <c r="D14" s="963">
        <f>+'[101]Sep 14'!D14</f>
        <v>0</v>
      </c>
      <c r="E14" s="963">
        <f>+'[101]Sep 14'!E14</f>
        <v>0</v>
      </c>
      <c r="F14" s="966">
        <f>+'[101]Apr 14'!I14+'[101]May 14'!I14+'[101]Jun 14'!I14+'[101]Jul 14'!I14+'[101]Aug 14'!I14+'[101]Sep 14'!I14+'[101]Oct 14'!I14+'[101]Nov 14'!I14+'[101]Dec 14'!I14+'[101]Jan 15'!I14+'[101]Feb 15'!I14+'[101]Mar 15'!I14</f>
        <v>24055218</v>
      </c>
      <c r="G14" s="966">
        <f>+'[101]Apr 14'!J14+'[101]May 14'!J14+'[101]Jun 14'!J14+'[101]Jul 14'!J14+'[101]Aug 14'!J14+'[101]Sep 14'!J14+'[101]Oct 14'!J14+'[101]Nov 14'!J14+'[101]Dec 14'!J14+'[101]Jan 15'!J14+'[101]Feb 15'!J14+'[101]Mar 15'!J14</f>
        <v>108248481</v>
      </c>
      <c r="H14" s="4958"/>
      <c r="I14" s="966">
        <f>+'[101]Apr 14'!L14+'[101]May 14'!L14+'[101]Jun 14'!L14+'[101]Jul 14'!L14+'[101]Aug 14'!L14+'[101]Sep 14'!L14+'[101]Oct 14'!L14+'[101]Nov 14'!L14+'[101]Dec 14'!L14+'[101]Jan 15'!L14+'[101]Feb 15'!L14+'[101]Mar 15'!L14</f>
        <v>24776874.539999999</v>
      </c>
      <c r="J14" s="4958"/>
      <c r="K14" s="4958"/>
      <c r="L14" s="5857"/>
    </row>
    <row r="15" spans="2:12" hidden="1">
      <c r="B15" s="962"/>
      <c r="C15" s="963" t="s">
        <v>19</v>
      </c>
      <c r="D15" s="963">
        <f>+'[101]Sep 14'!D15</f>
        <v>0</v>
      </c>
      <c r="E15" s="963">
        <f>+'[101]Sep 14'!E15</f>
        <v>0</v>
      </c>
      <c r="F15" s="966">
        <f>+'[101]Apr 14'!I15+'[101]May 14'!I15+'[101]Jun 14'!I15+'[101]Jul 14'!I15+'[101]Aug 14'!I15+'[101]Sep 14'!I15+'[101]Oct 14'!I15+'[101]Nov 14'!I15+'[101]Dec 14'!I15+'[101]Jan 15'!I15+'[101]Feb 15'!I15+'[101]Mar 15'!I15</f>
        <v>6816393</v>
      </c>
      <c r="G15" s="966">
        <f>+'[101]Apr 14'!J15+'[101]May 14'!J15+'[101]Jun 14'!J15+'[101]Jul 14'!J15+'[101]Aug 14'!J15+'[101]Sep 14'!J15+'[101]Oct 14'!J15+'[101]Nov 14'!J15+'[101]Dec 14'!J15+'[101]Jan 15'!J15+'[101]Feb 15'!J15+'[101]Mar 15'!J15</f>
        <v>43284095.549999997</v>
      </c>
      <c r="H15" s="4958"/>
      <c r="I15" s="966">
        <f>+'[101]Apr 14'!L15+'[101]May 14'!L15+'[101]Jun 14'!L15+'[101]Jul 14'!L15+'[101]Aug 14'!L15+'[101]Sep 14'!L15+'[101]Oct 14'!L15+'[101]Nov 14'!L15+'[101]Dec 14'!L15+'[101]Jan 15'!L15+'[101]Feb 15'!L15+'[101]Mar 15'!L15</f>
        <v>9815605.9199999981</v>
      </c>
      <c r="J15" s="4958"/>
      <c r="K15" s="4958"/>
      <c r="L15" s="5857"/>
    </row>
    <row r="16" spans="2:12" hidden="1">
      <c r="B16" s="962"/>
      <c r="C16" s="963" t="s">
        <v>20</v>
      </c>
      <c r="D16" s="963">
        <f>+'[101]Sep 14'!D16</f>
        <v>0</v>
      </c>
      <c r="E16" s="963">
        <f>+'[101]Sep 14'!E16</f>
        <v>0</v>
      </c>
      <c r="F16" s="966">
        <f>+'[101]Apr 14'!I16+'[101]May 14'!I16+'[101]Jun 14'!I16+'[101]Jul 14'!I16+'[101]Aug 14'!I16+'[101]Sep 14'!I16+'[101]Oct 14'!I16+'[101]Nov 14'!I16+'[101]Dec 14'!I16+'[101]Jan 15'!I16+'[101]Feb 15'!I16+'[101]Mar 15'!I16</f>
        <v>15754482</v>
      </c>
      <c r="G16" s="966">
        <f>+'[101]Apr 14'!J16+'[101]May 14'!J16+'[101]Jun 14'!J16+'[101]Jul 14'!J16+'[101]Aug 14'!J16+'[101]Sep 14'!J16+'[101]Oct 14'!J16+'[101]Nov 14'!J16+'[101]Dec 14'!J16+'[101]Jan 15'!J16+'[101]Feb 15'!J16+'[101]Mar 15'!J16</f>
        <v>126035856</v>
      </c>
      <c r="H16" s="4958"/>
      <c r="I16" s="966">
        <f>+'[101]Apr 14'!L16+'[101]May 14'!L16+'[101]Jun 14'!L16+'[101]Jul 14'!L16+'[101]Aug 14'!L16+'[101]Sep 14'!L16+'[101]Oct 14'!L16+'[101]Nov 14'!L16+'[101]Dec 14'!L16+'[101]Jan 15'!L16+'[101]Feb 15'!L16+'[101]Mar 15'!L16</f>
        <v>29145791.699999996</v>
      </c>
      <c r="J16" s="4958"/>
      <c r="K16" s="4958"/>
      <c r="L16" s="5857"/>
    </row>
    <row r="17" spans="2:12" hidden="1">
      <c r="B17" s="962" t="s">
        <v>2225</v>
      </c>
      <c r="C17" s="963" t="s">
        <v>17</v>
      </c>
      <c r="D17" s="963">
        <f>+'[101]Sep 14'!D17</f>
        <v>0</v>
      </c>
      <c r="E17" s="963">
        <f>+'[101]Sep 14'!E17</f>
        <v>0</v>
      </c>
      <c r="F17" s="966">
        <f>+'[101]Apr 14'!I17+'[101]May 14'!I17+'[101]Jun 14'!I17+'[101]Jul 14'!I17+'[101]Aug 14'!I17+'[101]Sep 14'!I17+'[101]Oct 14'!I17+'[101]Nov 14'!I17+'[101]Dec 14'!I17+'[101]Jan 15'!I17+'[101]Feb 15'!I17+'[101]Mar 15'!I17</f>
        <v>678073995</v>
      </c>
      <c r="G17" s="966">
        <f>+'[101]Apr 14'!J17+'[101]May 14'!J17+'[101]Jun 14'!J17+'[101]Jul 14'!J17+'[101]Aug 14'!J17+'[101]Sep 14'!J17+'[101]Oct 14'!J17+'[101]Nov 14'!J17+'[101]Dec 14'!J17+'[101]Jan 15'!J17+'[101]Feb 15'!J17+'[101]Mar 15'!J17</f>
        <v>1796896086.75</v>
      </c>
      <c r="H17" s="4958"/>
      <c r="I17" s="966">
        <f>+'[101]Apr 14'!L17+'[101]May 14'!L17+'[101]Jun 14'!L17+'[101]Jul 14'!L17+'[101]Aug 14'!L17+'[101]Sep 14'!L17+'[101]Oct 14'!L17+'[101]Nov 14'!L17+'[101]Dec 14'!L17+'[101]Jan 15'!L17+'[101]Feb 15'!L17+'[101]Mar 15'!L17</f>
        <v>372940697.25000006</v>
      </c>
      <c r="J17" s="4958"/>
      <c r="K17" s="4958"/>
      <c r="L17" s="5857"/>
    </row>
    <row r="18" spans="2:12" hidden="1">
      <c r="B18" s="962"/>
      <c r="C18" s="963" t="s">
        <v>18</v>
      </c>
      <c r="D18" s="963">
        <f>+'[101]Sep 14'!D18</f>
        <v>0</v>
      </c>
      <c r="E18" s="963">
        <f>+'[101]Sep 14'!E18</f>
        <v>0</v>
      </c>
      <c r="F18" s="966">
        <f>+'[101]Apr 14'!I18+'[101]May 14'!I18+'[101]Jun 14'!I18+'[101]Jul 14'!I18+'[101]Aug 14'!I18+'[101]Sep 14'!I18+'[101]Oct 14'!I18+'[101]Nov 14'!I18+'[101]Dec 14'!I18+'[101]Jan 15'!I18+'[101]Feb 15'!I18+'[101]Mar 15'!I18</f>
        <v>585784268</v>
      </c>
      <c r="G18" s="966">
        <f>+'[101]Apr 14'!J18+'[101]May 14'!J18+'[101]Jun 14'!J18+'[101]Jul 14'!J18+'[101]Aug 14'!J18+'[101]Sep 14'!J18+'[101]Oct 14'!J18+'[101]Nov 14'!J18+'[101]Dec 14'!J18+'[101]Jan 15'!J18+'[101]Feb 15'!J18+'[101]Mar 15'!J18</f>
        <v>3133945833.8000002</v>
      </c>
      <c r="H18" s="4958"/>
      <c r="I18" s="966">
        <f>+'[101]Apr 14'!L18+'[101]May 14'!L18+'[101]Jun 14'!L18+'[101]Jul 14'!L18+'[101]Aug 14'!L18+'[101]Sep 14'!L18+'[101]Oct 14'!L18+'[101]Nov 14'!L18+'[101]Dec 14'!L18+'[101]Jan 15'!L18+'[101]Feb 15'!L18+'[101]Mar 15'!L18</f>
        <v>603357796.03999996</v>
      </c>
      <c r="J18" s="4958"/>
      <c r="K18" s="4958"/>
      <c r="L18" s="5857"/>
    </row>
    <row r="19" spans="2:12" hidden="1">
      <c r="B19" s="962"/>
      <c r="C19" s="963" t="s">
        <v>19</v>
      </c>
      <c r="D19" s="963">
        <f>+'[101]Sep 14'!D19</f>
        <v>0</v>
      </c>
      <c r="E19" s="963">
        <f>+'[101]Sep 14'!E19</f>
        <v>0</v>
      </c>
      <c r="F19" s="966">
        <f>+'[101]Apr 14'!I19+'[101]May 14'!I19+'[101]Jun 14'!I19+'[101]Jul 14'!I19+'[101]Aug 14'!I19+'[101]Sep 14'!I19+'[101]Oct 14'!I19+'[101]Nov 14'!I19+'[101]Dec 14'!I19+'[101]Jan 15'!I19+'[101]Feb 15'!I19+'[101]Mar 15'!I19</f>
        <v>179749571</v>
      </c>
      <c r="G19" s="966">
        <f>+'[101]Apr 14'!J19+'[101]May 14'!J19+'[101]Jun 14'!J19+'[101]Jul 14'!J19+'[101]Aug 14'!J19+'[101]Sep 14'!J19+'[101]Oct 14'!J19+'[101]Nov 14'!J19+'[101]Dec 14'!J19+'[101]Jan 15'!J19+'[101]Feb 15'!J19+'[101]Mar 15'!J19</f>
        <v>1348121782.5</v>
      </c>
      <c r="H19" s="4958"/>
      <c r="I19" s="966">
        <f>+'[101]Apr 14'!L19+'[101]May 14'!L19+'[101]Jun 14'!L19+'[101]Jul 14'!L19+'[101]Aug 14'!L19+'[101]Sep 14'!L19+'[101]Oct 14'!L19+'[101]Nov 14'!L19+'[101]Dec 14'!L19+'[101]Jan 15'!L19+'[101]Feb 15'!L19+'[101]Mar 15'!L19</f>
        <v>258839382.24000001</v>
      </c>
      <c r="J19" s="4958"/>
      <c r="K19" s="4958"/>
      <c r="L19" s="5857"/>
    </row>
    <row r="20" spans="2:12" hidden="1">
      <c r="B20" s="962"/>
      <c r="C20" s="963" t="s">
        <v>20</v>
      </c>
      <c r="D20" s="963">
        <f>+'[101]Sep 14'!D20</f>
        <v>0</v>
      </c>
      <c r="E20" s="963">
        <f>+'[101]Sep 14'!E20</f>
        <v>0</v>
      </c>
      <c r="F20" s="966">
        <f>+'[101]Apr 14'!I20+'[101]May 14'!I20+'[101]Jun 14'!I20+'[101]Jul 14'!I20+'[101]Aug 14'!I20+'[101]Sep 14'!I20+'[101]Oct 14'!I20+'[101]Nov 14'!I20+'[101]Dec 14'!I20+'[101]Jan 15'!I20+'[101]Feb 15'!I20+'[101]Mar 15'!I20</f>
        <v>327837087</v>
      </c>
      <c r="G20" s="966">
        <f>+'[101]Apr 14'!J20+'[101]May 14'!J20+'[101]Jun 14'!J20+'[101]Jul 14'!J20+'[101]Aug 14'!J20+'[101]Sep 14'!J20+'[101]Oct 14'!J20+'[101]Nov 14'!J20+'[101]Dec 14'!J20+'[101]Jan 15'!J20+'[101]Feb 15'!J20+'[101]Mar 15'!J20</f>
        <v>3130844180.8499999</v>
      </c>
      <c r="H20" s="4958"/>
      <c r="I20" s="966">
        <f>+'[101]Apr 14'!L20+'[101]May 14'!L20+'[101]Jun 14'!L20+'[101]Jul 14'!L20+'[101]Aug 14'!L20+'[101]Sep 14'!L20+'[101]Oct 14'!L20+'[101]Nov 14'!L20+'[101]Dec 14'!L20+'[101]Jan 15'!L20+'[101]Feb 15'!L20+'[101]Mar 15'!L20</f>
        <v>606498610.95000005</v>
      </c>
      <c r="J20" s="4958"/>
      <c r="K20" s="4958"/>
      <c r="L20" s="5857"/>
    </row>
    <row r="21" spans="2:12">
      <c r="B21" s="962" t="s">
        <v>1917</v>
      </c>
      <c r="C21" s="963" t="s">
        <v>17</v>
      </c>
      <c r="D21" s="963">
        <f>+'[101]Sep 14'!D21</f>
        <v>243578</v>
      </c>
      <c r="E21" s="963">
        <f>+'[101]Sep 14'!E21</f>
        <v>13771</v>
      </c>
      <c r="F21" s="966">
        <f t="shared" ref="F21:G24" si="0">+F9+F13+F17</f>
        <v>706793745</v>
      </c>
      <c r="G21" s="951">
        <f t="shared" si="0"/>
        <v>1867364883.45</v>
      </c>
      <c r="H21" s="4958"/>
      <c r="I21" s="951">
        <f t="shared" ref="I21:I24" si="1">+I9+I13+I17</f>
        <v>388736559.75000006</v>
      </c>
      <c r="J21" s="4958"/>
      <c r="K21" s="5857">
        <f>SUM(G21:J24)</f>
        <v>13806584410.09</v>
      </c>
      <c r="L21" s="5857">
        <f>+K21/SUM(F21:F24)</f>
        <v>7.4771221944748154</v>
      </c>
    </row>
    <row r="22" spans="2:12">
      <c r="B22" s="962"/>
      <c r="C22" s="963" t="s">
        <v>18</v>
      </c>
      <c r="D22" s="963">
        <f>+'[101]Sep 14'!D22</f>
        <v>353178</v>
      </c>
      <c r="E22" s="963">
        <f>+'[101]Sep 14'!E22</f>
        <v>23328</v>
      </c>
      <c r="F22" s="966">
        <f t="shared" si="0"/>
        <v>609680666</v>
      </c>
      <c r="G22" s="951">
        <f t="shared" si="0"/>
        <v>3241589210.6000004</v>
      </c>
      <c r="H22" s="4958"/>
      <c r="I22" s="951">
        <f t="shared" si="1"/>
        <v>627971085.98000002</v>
      </c>
      <c r="J22" s="4958"/>
      <c r="K22" s="5857"/>
      <c r="L22" s="5857"/>
    </row>
    <row r="23" spans="2:12">
      <c r="B23" s="962"/>
      <c r="C23" s="963" t="s">
        <v>19</v>
      </c>
      <c r="D23" s="963">
        <f>+'[101]Sep 14'!D23</f>
        <v>49108</v>
      </c>
      <c r="E23" s="963">
        <f>+'[101]Sep 14'!E23</f>
        <v>18633</v>
      </c>
      <c r="F23" s="966">
        <f t="shared" si="0"/>
        <v>186522229</v>
      </c>
      <c r="G23" s="951">
        <f t="shared" si="0"/>
        <v>1391171458.45</v>
      </c>
      <c r="H23" s="4958"/>
      <c r="I23" s="951">
        <f t="shared" si="1"/>
        <v>268592009.75999999</v>
      </c>
      <c r="J23" s="4958"/>
      <c r="K23" s="5857"/>
      <c r="L23" s="5857"/>
    </row>
    <row r="24" spans="2:12">
      <c r="B24" s="962"/>
      <c r="C24" s="963" t="s">
        <v>20</v>
      </c>
      <c r="D24" s="963">
        <f>+'[101]Sep 14'!D24</f>
        <v>12710</v>
      </c>
      <c r="E24" s="963">
        <f>+'[101]Sep 14'!E24</f>
        <v>29037</v>
      </c>
      <c r="F24" s="966">
        <f t="shared" si="0"/>
        <v>343513829</v>
      </c>
      <c r="G24" s="951">
        <f t="shared" si="0"/>
        <v>3256346740.4499998</v>
      </c>
      <c r="H24" s="4958">
        <f>+'[101]Apr 14'!K24+'[101]May 14'!K24+'[101]Jun 14'!K24+'[101]Jul 14'!K24+'[101]Aug 14'!K24+'[101]Sep 14'!K24+'[101]Oct 14'!K24+'[101]Nov 14'!K24+'[101]Dec 14'!K24+'[101]Jan 15'!K24+'[101]Feb 15'!K24+'[101]Mar 15'!K24</f>
        <v>756989163.26999998</v>
      </c>
      <c r="I24" s="951">
        <f t="shared" si="1"/>
        <v>635500583.6500001</v>
      </c>
      <c r="J24" s="4958">
        <f>+'[101]Apr 14'!M24+'[101]May 14'!M24+'[101]Jun 14'!M24+'[101]Jul 14'!M24+'[101]Aug 14'!M24+'[101]Sep 14'!M24+'[101]Oct 14'!M24+'[101]Nov 14'!M24+'[101]Dec 14'!M24+'[101]Jan 15'!M24+'[101]Feb 15'!M24+'[101]Mar 15'!M24</f>
        <v>1372322714.73</v>
      </c>
      <c r="K24" s="5857"/>
      <c r="L24" s="5857"/>
    </row>
    <row r="25" spans="2:12" hidden="1">
      <c r="B25" s="962" t="s">
        <v>21</v>
      </c>
      <c r="C25" s="963" t="s">
        <v>25</v>
      </c>
      <c r="D25" s="963">
        <f>+'[101]Sep 14'!D25</f>
        <v>0</v>
      </c>
      <c r="E25" s="963">
        <f>+'[101]Sep 14'!E25</f>
        <v>0</v>
      </c>
      <c r="F25" s="966">
        <f>+'[101]Apr 14'!I25+'[101]May 14'!I25+'[101]Jun 14'!I25+'[101]Jul 14'!I25+'[101]Aug 14'!I25+'[101]Sep 14'!I25+'[101]Oct 14'!I25+'[101]Nov 14'!I25+'[101]Dec 14'!I25+'[101]Jan 15'!I25+'[101]Feb 15'!I25+'[101]Mar 15'!I25</f>
        <v>-219031</v>
      </c>
      <c r="G25" s="966">
        <f>+'[101]Apr 14'!J25+'[101]May 14'!J25+'[101]Jun 14'!J25+'[101]Jul 14'!J25+'[101]Aug 14'!J25+'[101]Sep 14'!J25+'[101]Oct 14'!J25+'[101]Nov 14'!J25+'[101]Dec 14'!J25+'[101]Jan 15'!J25+'[101]Feb 15'!J25+'[101]Mar 15'!J25</f>
        <v>-1204670.5</v>
      </c>
      <c r="H25" s="4958"/>
      <c r="I25" s="966">
        <f>+'[101]Apr 14'!L25+'[101]May 14'!L25+'[101]Jun 14'!L25+'[101]Jul 14'!L25+'[101]Aug 14'!L25+'[101]Sep 14'!L25+'[101]Oct 14'!L25+'[101]Nov 14'!L25+'[101]Dec 14'!L25+'[101]Jan 15'!L25+'[101]Feb 15'!L25+'[101]Mar 15'!L25</f>
        <v>-324165.88000000006</v>
      </c>
      <c r="J25" s="4958"/>
      <c r="K25" s="4958"/>
      <c r="L25" s="4958"/>
    </row>
    <row r="26" spans="2:12" hidden="1">
      <c r="B26" s="962"/>
      <c r="C26" s="963" t="s">
        <v>26</v>
      </c>
      <c r="D26" s="963">
        <f>+'[101]Sep 14'!D26</f>
        <v>0</v>
      </c>
      <c r="E26" s="963">
        <f>+'[101]Sep 14'!E26</f>
        <v>0</v>
      </c>
      <c r="F26" s="966">
        <f>+'[101]Apr 14'!I26+'[101]May 14'!I26+'[101]Jun 14'!I26+'[101]Jul 14'!I26+'[101]Aug 14'!I26+'[101]Sep 14'!I26+'[101]Oct 14'!I26+'[101]Nov 14'!I26+'[101]Dec 14'!I26+'[101]Jan 15'!I26+'[101]Feb 15'!I26+'[101]Mar 15'!I26</f>
        <v>-177073</v>
      </c>
      <c r="G26" s="966">
        <f>+'[101]Apr 14'!J26+'[101]May 14'!J26+'[101]Jun 14'!J26+'[101]Jul 14'!J26+'[101]Aug 14'!J26+'[101]Sep 14'!J26+'[101]Oct 14'!J26+'[101]Nov 14'!J26+'[101]Dec 14'!J26+'[101]Jan 15'!J26+'[101]Feb 15'!J26+'[101]Mar 15'!J26</f>
        <v>-1444915.68</v>
      </c>
      <c r="H26" s="4958"/>
      <c r="I26" s="966">
        <f>+'[101]Apr 14'!L26+'[101]May 14'!L26+'[101]Jun 14'!L26+'[101]Jul 14'!L26+'[101]Aug 14'!L26+'[101]Sep 14'!L26+'[101]Oct 14'!L26+'[101]Nov 14'!L26+'[101]Dec 14'!L26+'[101]Jan 15'!L26+'[101]Feb 15'!L26+'[101]Mar 15'!L26</f>
        <v>-389560.60000000003</v>
      </c>
      <c r="J26" s="4958"/>
      <c r="K26" s="4958"/>
      <c r="L26" s="4958"/>
    </row>
    <row r="27" spans="2:12" hidden="1">
      <c r="B27" s="962"/>
      <c r="C27" s="963" t="s">
        <v>25</v>
      </c>
      <c r="D27" s="963">
        <f>+'[101]Sep 14'!D27</f>
        <v>0</v>
      </c>
      <c r="E27" s="963">
        <f>+'[101]Sep 14'!E27</f>
        <v>0</v>
      </c>
      <c r="F27" s="966">
        <f>+'[101]Apr 14'!I27+'[101]May 14'!I27+'[101]Jun 14'!I27+'[101]Jul 14'!I27+'[101]Aug 14'!I27+'[101]Sep 14'!I27+'[101]Oct 14'!I27+'[101]Nov 14'!I27+'[101]Dec 14'!I27+'[101]Jan 15'!I27+'[101]Feb 15'!I27+'[101]Mar 15'!I27</f>
        <v>23230558</v>
      </c>
      <c r="G27" s="966">
        <f>+'[101]Apr 14'!J27+'[101]May 14'!J27+'[101]Jun 14'!J27+'[101]Jul 14'!J27+'[101]Aug 14'!J27+'[101]Sep 14'!J27+'[101]Oct 14'!J27+'[101]Nov 14'!J27+'[101]Dec 14'!J27+'[101]Jan 15'!J27+'[101]Feb 15'!J27+'[101]Mar 15'!J27</f>
        <v>152160154.90000001</v>
      </c>
      <c r="H27" s="4958"/>
      <c r="I27" s="966">
        <f>+'[101]Apr 14'!L27+'[101]May 14'!L27+'[101]Jun 14'!L27+'[101]Jul 14'!L27+'[101]Aug 14'!L27+'[101]Sep 14'!L27+'[101]Oct 14'!L27+'[101]Nov 14'!L27+'[101]Dec 14'!L27+'[101]Jan 15'!L27+'[101]Feb 15'!L27+'[101]Mar 15'!L27</f>
        <v>34381225.839999996</v>
      </c>
      <c r="J27" s="4958"/>
      <c r="K27" s="4958"/>
      <c r="L27" s="4958"/>
    </row>
    <row r="28" spans="2:12" hidden="1">
      <c r="B28" s="962"/>
      <c r="C28" s="963" t="s">
        <v>26</v>
      </c>
      <c r="D28" s="963">
        <f>+'[101]Sep 14'!D28</f>
        <v>0</v>
      </c>
      <c r="E28" s="963">
        <f>+'[101]Sep 14'!E28</f>
        <v>0</v>
      </c>
      <c r="F28" s="966">
        <f>+'[101]Apr 14'!I28+'[101]May 14'!I28+'[101]Jun 14'!I28+'[101]Jul 14'!I28+'[101]Aug 14'!I28+'[101]Sep 14'!I28+'[101]Oct 14'!I28+'[101]Nov 14'!I28+'[101]Dec 14'!I28+'[101]Jan 15'!I28+'[101]Feb 15'!I28+'[101]Mar 15'!I28</f>
        <v>16862259</v>
      </c>
      <c r="G28" s="966">
        <f>+'[101]Apr 14'!J28+'[101]May 14'!J28+'[101]Jun 14'!J28+'[101]Jul 14'!J28+'[101]Aug 14'!J28+'[101]Sep 14'!J28+'[101]Oct 14'!J28+'[101]Nov 14'!J28+'[101]Dec 14'!J28+'[101]Jan 15'!J28+'[101]Feb 15'!J28+'[101]Mar 15'!J28</f>
        <v>152603443.94999999</v>
      </c>
      <c r="H28" s="4958"/>
      <c r="I28" s="966">
        <f>+'[101]Apr 14'!L28+'[101]May 14'!L28+'[101]Jun 14'!L28+'[101]Jul 14'!L28+'[101]Aug 14'!L28+'[101]Sep 14'!L28+'[101]Oct 14'!L28+'[101]Nov 14'!L28+'[101]Dec 14'!L28+'[101]Jan 15'!L28+'[101]Feb 15'!L28+'[101]Mar 15'!L28</f>
        <v>37096969.799999997</v>
      </c>
      <c r="J28" s="4958"/>
      <c r="K28" s="4958"/>
      <c r="L28" s="4958"/>
    </row>
    <row r="29" spans="2:12" hidden="1">
      <c r="B29" s="962"/>
      <c r="C29" s="963" t="s">
        <v>25</v>
      </c>
      <c r="D29" s="963">
        <f>+'[101]Sep 14'!D29</f>
        <v>0</v>
      </c>
      <c r="E29" s="963">
        <f>+'[101]Sep 14'!E29</f>
        <v>0</v>
      </c>
      <c r="F29" s="966">
        <f>+'[101]Apr 14'!I29+'[101]May 14'!I29+'[101]Jun 14'!I29+'[101]Jul 14'!I29+'[101]Aug 14'!I29+'[101]Sep 14'!I29+'[101]Oct 14'!I29+'[101]Nov 14'!I29+'[101]Dec 14'!I29+'[101]Jan 15'!I29+'[101]Feb 15'!I29+'[101]Mar 15'!I29</f>
        <v>519722508</v>
      </c>
      <c r="G29" s="966">
        <f>+'[101]Apr 14'!J29+'[101]May 14'!J29+'[101]Jun 14'!J29+'[101]Jul 14'!J29+'[101]Aug 14'!J29+'[101]Sep 14'!J29+'[101]Oct 14'!J29+'[101]Nov 14'!J29+'[101]Dec 14'!J29+'[101]Jan 15'!J29+'[101]Feb 15'!J29+'[101]Mar 15'!J29</f>
        <v>3871932684.6000004</v>
      </c>
      <c r="H29" s="4958"/>
      <c r="I29" s="966">
        <f>+'[101]Apr 14'!L29+'[101]May 14'!L29+'[101]Jun 14'!L29+'[101]Jul 14'!L29+'[101]Aug 14'!L29+'[101]Sep 14'!L29+'[101]Oct 14'!L29+'[101]Nov 14'!L29+'[101]Dec 14'!L29+'[101]Jan 15'!L29+'[101]Feb 15'!L29+'[101]Mar 15'!L29</f>
        <v>769189311.84000003</v>
      </c>
      <c r="J29" s="4958"/>
      <c r="K29" s="4958"/>
      <c r="L29" s="4958"/>
    </row>
    <row r="30" spans="2:12" hidden="1">
      <c r="B30" s="962"/>
      <c r="C30" s="963" t="s">
        <v>26</v>
      </c>
      <c r="D30" s="963">
        <f>+'[101]Sep 14'!D30</f>
        <v>0</v>
      </c>
      <c r="E30" s="963">
        <f>+'[101]Sep 14'!E30</f>
        <v>0</v>
      </c>
      <c r="F30" s="966">
        <f>+'[101]Apr 14'!I30+'[101]May 14'!I30+'[101]Jun 14'!I30+'[101]Jul 14'!I30+'[101]Aug 14'!I30+'[101]Sep 14'!I30+'[101]Oct 14'!I30+'[101]Nov 14'!I30+'[101]Dec 14'!I30+'[101]Jan 15'!I30+'[101]Feb 15'!I30+'[101]Mar 15'!I30</f>
        <v>327789700</v>
      </c>
      <c r="G30" s="966">
        <f>+'[101]Apr 14'!J30+'[101]May 14'!J30+'[101]Jun 14'!J30+'[101]Jul 14'!J30+'[101]Aug 14'!J30+'[101]Sep 14'!J30+'[101]Oct 14'!J30+'[101]Nov 14'!J30+'[101]Dec 14'!J30+'[101]Jan 15'!J30+'[101]Feb 15'!J30+'[101]Mar 15'!J30</f>
        <v>3277897000</v>
      </c>
      <c r="H30" s="4958"/>
      <c r="I30" s="966">
        <f>+'[101]Apr 14'!L30+'[101]May 14'!L30+'[101]Jun 14'!L30+'[101]Jul 14'!L30+'[101]Aug 14'!L30+'[101]Sep 14'!L30+'[101]Oct 14'!L30+'[101]Nov 14'!L30+'[101]Dec 14'!L30+'[101]Jan 15'!L30+'[101]Feb 15'!L30+'[101]Mar 15'!L30</f>
        <v>721137340</v>
      </c>
      <c r="J30" s="4958"/>
      <c r="K30" s="4958"/>
      <c r="L30" s="4958"/>
    </row>
    <row r="31" spans="2:12">
      <c r="B31" s="962" t="s">
        <v>21</v>
      </c>
      <c r="C31" s="963" t="s">
        <v>25</v>
      </c>
      <c r="D31" s="963">
        <f>+'[101]Sep 14'!D31</f>
        <v>198597</v>
      </c>
      <c r="E31" s="963">
        <f>+'[101]Sep 14'!E31</f>
        <v>22443</v>
      </c>
      <c r="F31" s="966">
        <f>+F25+F27+F29</f>
        <v>542734035</v>
      </c>
      <c r="G31" s="951">
        <f>+G25+G27+G29</f>
        <v>4022888169.0000005</v>
      </c>
      <c r="H31" s="4958"/>
      <c r="I31" s="951">
        <f>+I25+I27+I29</f>
        <v>803246371.80000007</v>
      </c>
      <c r="J31" s="4958"/>
      <c r="K31" s="5856">
        <f>SUM(G31:J32)</f>
        <v>11234759416.150002</v>
      </c>
      <c r="L31" s="5857">
        <f>+K31/SUM(F31:F32)</f>
        <v>12.663037025695102</v>
      </c>
    </row>
    <row r="32" spans="2:12">
      <c r="B32" s="962"/>
      <c r="C32" s="963" t="s">
        <v>26</v>
      </c>
      <c r="D32" s="963">
        <f>+'[101]Sep 14'!D32</f>
        <v>14807</v>
      </c>
      <c r="E32" s="963">
        <f>+'[101]Sep 14'!E32</f>
        <v>21638</v>
      </c>
      <c r="F32" s="966">
        <f>+F26+F28+F30</f>
        <v>344474886</v>
      </c>
      <c r="G32" s="951">
        <f>+G26+G28+G30</f>
        <v>3429055528.27</v>
      </c>
      <c r="H32" s="4958">
        <f>+'[101]Apr 14'!K32+'[101]May 14'!K32+'[101]Jun 14'!K32+'[101]Jul 14'!K32+'[101]Aug 14'!K32+'[101]Sep 14'!K32+'[101]Oct 14'!K32+'[101]Nov 14'!K32+'[101]Dec 14'!K32+'[101]Jan 15'!K32+'[101]Feb 15'!K32+'[101]Mar 15'!K32</f>
        <v>760563539.67999995</v>
      </c>
      <c r="I32" s="951">
        <f>+I26+I28+I30</f>
        <v>757844749.20000005</v>
      </c>
      <c r="J32" s="4958">
        <f>+'[101]Apr 14'!M32+'[101]May 14'!M32+'[101]Jun 14'!M32+'[101]Jul 14'!M32+'[101]Aug 14'!M32+'[101]Sep 14'!M32+'[101]Oct 14'!M32+'[101]Nov 14'!M32+'[101]Dec 14'!M32+'[101]Jan 15'!M32+'[101]Feb 15'!M32+'[101]Mar 15'!M32</f>
        <v>1461161058.1999998</v>
      </c>
      <c r="K32" s="5856"/>
      <c r="L32" s="5857"/>
    </row>
    <row r="33" spans="2:12" hidden="1">
      <c r="B33" s="962" t="s">
        <v>27</v>
      </c>
      <c r="C33" s="978" t="s">
        <v>28</v>
      </c>
      <c r="D33" s="978">
        <f>+'[101]Sep 14'!D33</f>
        <v>0</v>
      </c>
      <c r="E33" s="978">
        <f>+'[101]Sep 14'!E33</f>
        <v>0</v>
      </c>
      <c r="F33" s="966">
        <f>+'[101]Apr 14'!I33+'[101]May 14'!I33+'[101]Jun 14'!I33+'[101]Jul 14'!I33+'[101]Aug 14'!I33+'[101]Sep 14'!I33+'[101]Oct 14'!I33+'[101]Nov 14'!I33+'[101]Dec 14'!I33+'[101]Jan 15'!I33+'[101]Feb 15'!I33+'[101]Mar 15'!I33</f>
        <v>-1160</v>
      </c>
      <c r="G33" s="966">
        <f>+'[101]Apr 14'!J33+'[101]May 14'!J33+'[101]Jun 14'!J33+'[101]Jul 14'!J33+'[101]Aug 14'!J33+'[101]Sep 14'!J33+'[101]Oct 14'!J33+'[101]Nov 14'!J33+'[101]Dec 14'!J33+'[101]Jan 15'!J33+'[101]Feb 15'!J33+'[101]Mar 15'!J33</f>
        <v>-9280</v>
      </c>
      <c r="H33" s="4958"/>
      <c r="I33" s="966">
        <f>+'[101]Apr 14'!L33+'[101]May 14'!L33+'[101]Jun 14'!L33+'[101]Jul 14'!L33+'[101]Aug 14'!L33+'[101]Sep 14'!L33+'[101]Oct 14'!L33+'[101]Nov 14'!L33+'[101]Dec 14'!L33+'[101]Jan 15'!L33+'[101]Feb 15'!L33+'[101]Mar 15'!L33</f>
        <v>-2494</v>
      </c>
      <c r="J33" s="4958"/>
      <c r="K33" s="951"/>
      <c r="L33" s="4958"/>
    </row>
    <row r="34" spans="2:12" hidden="1">
      <c r="B34" s="962"/>
      <c r="C34" s="978"/>
      <c r="D34" s="978">
        <f>+'[101]Sep 14'!D34</f>
        <v>0</v>
      </c>
      <c r="E34" s="978">
        <f>+'[101]Sep 14'!E34</f>
        <v>0</v>
      </c>
      <c r="F34" s="966">
        <f>+'[101]Apr 14'!I34+'[101]May 14'!I34+'[101]Jun 14'!I34+'[101]Jul 14'!I34+'[101]Aug 14'!I34+'[101]Sep 14'!I34+'[101]Oct 14'!I34+'[101]Nov 14'!I34+'[101]Dec 14'!I34+'[101]Jan 15'!I34+'[101]Feb 15'!I34+'[101]Mar 15'!I34</f>
        <v>19444948</v>
      </c>
      <c r="G34" s="966">
        <f>+'[101]Apr 14'!J34+'[101]May 14'!J34+'[101]Jun 14'!J34+'[101]Jul 14'!J34+'[101]Aug 14'!J34+'[101]Sep 14'!J34+'[101]Oct 14'!J34+'[101]Nov 14'!J34+'[101]Dec 14'!J34+'[101]Jan 15'!J34+'[101]Feb 15'!J34+'[101]Mar 15'!J34</f>
        <v>164309810.59999999</v>
      </c>
      <c r="H34" s="4958"/>
      <c r="I34" s="966">
        <f>+'[101]Apr 14'!L34+'[101]May 14'!L34+'[101]Jun 14'!L34+'[101]Jul 14'!L34+'[101]Aug 14'!L34+'[101]Sep 14'!L34+'[101]Oct 14'!L34+'[101]Nov 14'!L34+'[101]Dec 14'!L34+'[101]Jan 15'!L34+'[101]Feb 15'!L34+'[101]Mar 15'!L34</f>
        <v>41806638.199999996</v>
      </c>
      <c r="J34" s="4958"/>
      <c r="K34" s="951"/>
      <c r="L34" s="4958"/>
    </row>
    <row r="35" spans="2:12" hidden="1">
      <c r="B35" s="962"/>
      <c r="C35" s="978"/>
      <c r="D35" s="978">
        <f>+'[101]Sep 14'!D35</f>
        <v>0</v>
      </c>
      <c r="E35" s="978">
        <f>+'[101]Sep 14'!E35</f>
        <v>0</v>
      </c>
      <c r="F35" s="966">
        <f>+'[101]Apr 14'!I35+'[101]May 14'!I35+'[101]Jun 14'!I35+'[101]Jul 14'!I35+'[101]Aug 14'!I35+'[101]Sep 14'!I35+'[101]Oct 14'!I35+'[101]Nov 14'!I35+'[101]Dec 14'!I35+'[101]Jan 15'!I35+'[101]Feb 15'!I35+'[101]Mar 15'!I35</f>
        <v>215144173</v>
      </c>
      <c r="G35" s="966">
        <f>+'[101]Apr 14'!J35+'[101]May 14'!J35+'[101]Jun 14'!J35+'[101]Jul 14'!J35+'[101]Aug 14'!J35+'[101]Sep 14'!J35+'[101]Oct 14'!J35+'[101]Nov 14'!J35+'[101]Dec 14'!J35+'[101]Jan 15'!J35+'[101]Feb 15'!J35+'[101]Mar 15'!J35</f>
        <v>2000840808.9000001</v>
      </c>
      <c r="H35" s="4958"/>
      <c r="I35" s="966">
        <f>+'[101]Apr 14'!L35+'[101]May 14'!L35+'[101]Jun 14'!L35+'[101]Jul 14'!L35+'[101]Aug 14'!L35+'[101]Sep 14'!L35+'[101]Oct 14'!L35+'[101]Nov 14'!L35+'[101]Dec 14'!L35+'[101]Jan 15'!L35+'[101]Feb 15'!L35+'[101]Mar 15'!L35</f>
        <v>462559971.94999993</v>
      </c>
      <c r="J35" s="4958"/>
      <c r="K35" s="951"/>
      <c r="L35" s="4958"/>
    </row>
    <row r="36" spans="2:12">
      <c r="B36" s="962" t="s">
        <v>27</v>
      </c>
      <c r="C36" s="978" t="s">
        <v>28</v>
      </c>
      <c r="D36" s="978">
        <f>+'[101]Sep 14'!D36</f>
        <v>49</v>
      </c>
      <c r="E36" s="978">
        <f>+'[101]Sep 14'!E36</f>
        <v>5841</v>
      </c>
      <c r="F36" s="966">
        <f>SUM(F33:F35)</f>
        <v>234587961</v>
      </c>
      <c r="G36" s="951">
        <f t="shared" ref="G36:I36" si="2">SUM(G33:G35)</f>
        <v>2165141339.5</v>
      </c>
      <c r="H36" s="951">
        <f>+'[101]Apr 14'!K36+'[101]May 14'!K36+'[101]Jun 14'!K36+'[101]Jul 14'!K36+'[101]Aug 14'!K36+'[101]Sep 14'!K36+'[101]Oct 14'!K36+'[101]Nov 14'!K36+'[101]Dec 14'!K36+'[101]Jan 15'!K36+'[101]Feb 15'!K36+'[101]Mar 15'!K36</f>
        <v>245211400.63</v>
      </c>
      <c r="I36" s="951">
        <f t="shared" si="2"/>
        <v>504364116.14999992</v>
      </c>
      <c r="J36" s="951">
        <f>+'[101]Apr 14'!M36+'[101]May 14'!M36+'[101]Jun 14'!M36+'[101]Jul 14'!M36+'[101]Aug 14'!M36+'[101]Sep 14'!M36+'[101]Oct 14'!M36+'[101]Nov 14'!M36+'[101]Dec 14'!M36+'[101]Jan 15'!M36+'[101]Feb 15'!M36+'[101]Mar 15'!M36</f>
        <v>370706106.44</v>
      </c>
      <c r="K36" s="951">
        <f>SUM(G36:J36)</f>
        <v>3285422962.7200003</v>
      </c>
      <c r="L36" s="4958">
        <f>+K36/F36</f>
        <v>14.005079155447369</v>
      </c>
    </row>
    <row r="37" spans="2:12" hidden="1">
      <c r="B37" s="962" t="s">
        <v>1918</v>
      </c>
      <c r="C37" s="978" t="s">
        <v>28</v>
      </c>
      <c r="D37" s="978">
        <f>+'[101]Sep 14'!D37</f>
        <v>0</v>
      </c>
      <c r="E37" s="978">
        <f>+'[101]Sep 14'!E37</f>
        <v>0</v>
      </c>
      <c r="F37" s="966">
        <f>+'[101]Apr 14'!I37+'[101]May 14'!I37+'[101]Jun 14'!I37+'[101]Jul 14'!I37+'[101]Aug 14'!I37+'[101]Sep 14'!I37+'[101]Oct 14'!I37+'[101]Nov 14'!I37+'[101]Dec 14'!I37+'[101]Jan 15'!I37+'[101]Feb 15'!I37+'[101]Mar 15'!I37</f>
        <v>0</v>
      </c>
      <c r="G37" s="966">
        <f>+'[101]Apr 14'!J37+'[101]May 14'!J37+'[101]Jun 14'!J37+'[101]Jul 14'!J37+'[101]Aug 14'!J37+'[101]Sep 14'!J37+'[101]Oct 14'!J37+'[101]Nov 14'!J37+'[101]Dec 14'!J37+'[101]Jan 15'!J37+'[101]Feb 15'!J37+'[101]Mar 15'!J37</f>
        <v>0</v>
      </c>
      <c r="H37" s="4958"/>
      <c r="I37" s="966">
        <f>+'[101]Apr 14'!L37+'[101]May 14'!L37+'[101]Jun 14'!L37+'[101]Jul 14'!L37+'[101]Aug 14'!L37+'[101]Sep 14'!L37+'[101]Oct 14'!L37+'[101]Nov 14'!L37+'[101]Dec 14'!L37+'[101]Jan 15'!L37+'[101]Feb 15'!L37+'[101]Mar 15'!L37</f>
        <v>0</v>
      </c>
      <c r="J37" s="4958"/>
      <c r="K37" s="951"/>
      <c r="L37" s="4958"/>
    </row>
    <row r="38" spans="2:12" hidden="1">
      <c r="B38" s="962"/>
      <c r="C38" s="978"/>
      <c r="D38" s="978">
        <f>+'[101]Sep 14'!D38</f>
        <v>0</v>
      </c>
      <c r="E38" s="978">
        <f>+'[101]Sep 14'!E38</f>
        <v>0</v>
      </c>
      <c r="F38" s="966">
        <f>+'[101]Apr 14'!I38+'[101]May 14'!I38+'[101]Jun 14'!I38+'[101]Jul 14'!I38+'[101]Aug 14'!I38+'[101]Sep 14'!I38+'[101]Oct 14'!I38+'[101]Nov 14'!I38+'[101]Dec 14'!I38+'[101]Jan 15'!I38+'[101]Feb 15'!I38+'[101]Mar 15'!I38</f>
        <v>38182039</v>
      </c>
      <c r="G38" s="966">
        <f>+'[101]Apr 14'!J38+'[101]May 14'!J38+'[101]Jun 14'!J38+'[101]Jul 14'!J38+'[101]Aug 14'!J38+'[101]Sep 14'!J38+'[101]Oct 14'!J38+'[101]Nov 14'!J38+'[101]Dec 14'!J38+'[101]Jan 15'!J38+'[101]Feb 15'!J38+'[101]Mar 15'!J38</f>
        <v>337911045.14999998</v>
      </c>
      <c r="H38" s="4958"/>
      <c r="I38" s="966">
        <f>+'[101]Apr 14'!L38+'[101]May 14'!L38+'[101]Jun 14'!L38+'[101]Jul 14'!L38+'[101]Aug 14'!L38+'[101]Sep 14'!L38+'[101]Oct 14'!L38+'[101]Nov 14'!L38+'[101]Dec 14'!L38+'[101]Jan 15'!L38+'[101]Feb 15'!L38+'[101]Mar 15'!L38</f>
        <v>83236845.020000011</v>
      </c>
      <c r="J38" s="4958"/>
      <c r="K38" s="951"/>
      <c r="L38" s="4958"/>
    </row>
    <row r="39" spans="2:12" hidden="1">
      <c r="B39" s="962"/>
      <c r="C39" s="978"/>
      <c r="D39" s="978">
        <f>+'[101]Sep 14'!D39</f>
        <v>0</v>
      </c>
      <c r="E39" s="978">
        <f>+'[101]Sep 14'!E39</f>
        <v>0</v>
      </c>
      <c r="F39" s="966">
        <f>+'[101]Apr 14'!I39+'[101]May 14'!I39+'[101]Jun 14'!I39+'[101]Jul 14'!I39+'[101]Aug 14'!I39+'[101]Sep 14'!I39+'[101]Oct 14'!I39+'[101]Nov 14'!I39+'[101]Dec 14'!I39+'[101]Jan 15'!I39+'[101]Feb 15'!I39+'[101]Mar 15'!I39</f>
        <v>424724713</v>
      </c>
      <c r="G39" s="966">
        <f>+'[101]Apr 14'!J39+'[101]May 14'!J39+'[101]Jun 14'!J39+'[101]Jul 14'!J39+'[101]Aug 14'!J39+'[101]Sep 14'!J39+'[101]Oct 14'!J39+'[101]Nov 14'!J39+'[101]Dec 14'!J39+'[101]Jan 15'!J39+'[101]Feb 15'!J39+'[101]Mar 15'!J39</f>
        <v>4119829716.0999994</v>
      </c>
      <c r="H39" s="4958"/>
      <c r="I39" s="966">
        <f>+'[101]Apr 14'!L39+'[101]May 14'!L39+'[101]Jun 14'!L39+'[101]Jul 14'!L39+'[101]Aug 14'!L39+'[101]Sep 14'!L39+'[101]Oct 14'!L39+'[101]Nov 14'!L39+'[101]Dec 14'!L39+'[101]Jan 15'!L39+'[101]Feb 15'!L39+'[101]Mar 15'!L39</f>
        <v>925899874.34000015</v>
      </c>
      <c r="J39" s="4958"/>
      <c r="K39" s="951"/>
      <c r="L39" s="4958"/>
    </row>
    <row r="40" spans="2:12">
      <c r="B40" s="962" t="s">
        <v>29</v>
      </c>
      <c r="C40" s="978" t="s">
        <v>28</v>
      </c>
      <c r="D40" s="978">
        <f>+'[101]Sep 14'!D40</f>
        <v>0</v>
      </c>
      <c r="E40" s="978">
        <f>+'[101]Sep 14'!E40</f>
        <v>2694</v>
      </c>
      <c r="F40" s="966">
        <f>SUM(F37:F39)</f>
        <v>462906752</v>
      </c>
      <c r="G40" s="951">
        <f t="shared" ref="G40" si="3">SUM(G37:G39)</f>
        <v>4457740761.249999</v>
      </c>
      <c r="H40" s="951">
        <f>+'[101]Apr 14'!K40+'[101]May 14'!K40+'[101]Jun 14'!K40+'[101]Jul 14'!K40+'[101]Aug 14'!K40+'[101]Sep 14'!K40+'[101]Oct 14'!K40+'[101]Nov 14'!K40+'[101]Dec 14'!K40+'[101]Jan 15'!K40+'[101]Feb 15'!K40+'[101]Mar 15'!K40</f>
        <v>415898785.88999999</v>
      </c>
      <c r="I40" s="951">
        <f t="shared" ref="I40" si="4">SUM(I37:I39)</f>
        <v>1009136719.3600001</v>
      </c>
      <c r="J40" s="951">
        <f>+'[101]Apr 14'!M40+'[101]May 14'!M40+'[101]Jun 14'!M40+'[101]Jul 14'!M40+'[101]Aug 14'!M40+'[101]Sep 14'!M40+'[101]Oct 14'!M40+'[101]Nov 14'!M40+'[101]Dec 14'!M40+'[101]Jan 15'!M40+'[101]Feb 15'!M40+'[101]Mar 15'!M40</f>
        <v>745279870.72000003</v>
      </c>
      <c r="K40" s="951">
        <f>SUM(G40:J40)</f>
        <v>6628056137.2200003</v>
      </c>
      <c r="L40" s="4958">
        <f>+K40/F40</f>
        <v>14.318339727349668</v>
      </c>
    </row>
    <row r="41" spans="2:12" hidden="1">
      <c r="B41" s="962" t="s">
        <v>2226</v>
      </c>
      <c r="C41" s="963" t="s">
        <v>25</v>
      </c>
      <c r="D41" s="963">
        <f>+'[101]Sep 14'!D41</f>
        <v>0</v>
      </c>
      <c r="E41" s="963">
        <f>+'[101]Sep 14'!E41</f>
        <v>0</v>
      </c>
      <c r="F41" s="966">
        <f>+'[101]Apr 14'!I41+'[101]May 14'!I41+'[101]Jun 14'!I41+'[101]Jul 14'!I41+'[101]Aug 14'!I41+'[101]Sep 14'!I41+'[101]Oct 14'!I41+'[101]Nov 14'!I41+'[101]Dec 14'!I41+'[101]Jan 15'!I41+'[101]Feb 15'!I41+'[101]Mar 15'!I41</f>
        <v>-2019</v>
      </c>
      <c r="G41" s="966">
        <f>+'[101]Apr 14'!J41+'[101]May 14'!J41+'[101]Jun 14'!J41+'[101]Jul 14'!J41+'[101]Aug 14'!J41+'[101]Sep 14'!J41+'[101]Oct 14'!J41+'[101]Nov 14'!J41+'[101]Dec 14'!J41+'[101]Jan 15'!J41+'[101]Feb 15'!J41+'[101]Mar 15'!J41</f>
        <v>-10518.990000000002</v>
      </c>
      <c r="H41" s="4958"/>
      <c r="I41" s="966">
        <f>+'[101]Apr 14'!L41+'[101]May 14'!L41+'[101]Jun 14'!L41+'[101]Jul 14'!L41+'[101]Aug 14'!L41+'[101]Sep 14'!L41+'[101]Oct 14'!L41+'[101]Nov 14'!L41+'[101]Dec 14'!L41+'[101]Jan 15'!L41+'[101]Feb 15'!L41+'[101]Mar 15'!L41</f>
        <v>-2826.6</v>
      </c>
      <c r="J41" s="4958"/>
      <c r="K41" s="4958"/>
      <c r="L41" s="4958"/>
    </row>
    <row r="42" spans="2:12" hidden="1">
      <c r="B42" s="962"/>
      <c r="C42" s="963" t="s">
        <v>26</v>
      </c>
      <c r="D42" s="963">
        <f>+'[101]Sep 14'!D42</f>
        <v>0</v>
      </c>
      <c r="E42" s="963">
        <f>+'[101]Sep 14'!E42</f>
        <v>0</v>
      </c>
      <c r="F42" s="966">
        <f>+'[101]Apr 14'!I42+'[101]May 14'!I42+'[101]Jun 14'!I42+'[101]Jul 14'!I42+'[101]Aug 14'!I42+'[101]Sep 14'!I42+'[101]Oct 14'!I42+'[101]Nov 14'!I42+'[101]Dec 14'!I42+'[101]Jan 15'!I42+'[101]Feb 15'!I42+'[101]Mar 15'!I42</f>
        <v>-2482</v>
      </c>
      <c r="G42" s="966">
        <f>+'[101]Apr 14'!J42+'[101]May 14'!J42+'[101]Jun 14'!J42+'[101]Jul 14'!J42+'[101]Aug 14'!J42+'[101]Sep 14'!J42+'[101]Oct 14'!J42+'[101]Nov 14'!J42+'[101]Dec 14'!J42+'[101]Jan 15'!J42+'[101]Feb 15'!J42+'[101]Mar 15'!J42</f>
        <v>-18068.96</v>
      </c>
      <c r="H42" s="4958"/>
      <c r="I42" s="966">
        <f>+'[101]Apr 14'!L42+'[101]May 14'!L42+'[101]Jun 14'!L42+'[101]Jul 14'!L42+'[101]Aug 14'!L42+'[101]Sep 14'!L42+'[101]Oct 14'!L42+'[101]Nov 14'!L42+'[101]Dec 14'!L42+'[101]Jan 15'!L42+'[101]Feb 15'!L42+'[101]Mar 15'!L42</f>
        <v>-4864.7199999999993</v>
      </c>
      <c r="J42" s="4958"/>
      <c r="K42" s="4958"/>
      <c r="L42" s="4958"/>
    </row>
    <row r="43" spans="2:12" hidden="1">
      <c r="B43" s="962"/>
      <c r="C43" s="963" t="s">
        <v>25</v>
      </c>
      <c r="D43" s="963">
        <f>+'[101]Sep 14'!D43</f>
        <v>0</v>
      </c>
      <c r="E43" s="963">
        <f>+'[101]Sep 14'!E43</f>
        <v>0</v>
      </c>
      <c r="F43" s="966">
        <f>+'[101]Apr 14'!I43+'[101]May 14'!I43+'[101]Jun 14'!I43+'[101]Jul 14'!I43+'[101]Aug 14'!I43+'[101]Sep 14'!I43+'[101]Oct 14'!I43+'[101]Nov 14'!I43+'[101]Dec 14'!I43+'[101]Jan 15'!I43+'[101]Feb 15'!I43+'[101]Mar 15'!I43</f>
        <v>947614</v>
      </c>
      <c r="G43" s="966">
        <f>+'[101]Apr 14'!J43+'[101]May 14'!J43+'[101]Jun 14'!J43+'[101]Jul 14'!J43+'[101]Aug 14'!J43+'[101]Sep 14'!J43+'[101]Oct 14'!J43+'[101]Nov 14'!J43+'[101]Dec 14'!J43+'[101]Jan 15'!J43+'[101]Feb 15'!J43+'[101]Mar 15'!J43</f>
        <v>5401399.7999999998</v>
      </c>
      <c r="H43" s="4958"/>
      <c r="I43" s="966">
        <f>+'[101]Apr 14'!L43+'[101]May 14'!L43+'[101]Jun 14'!L43+'[101]Jul 14'!L43+'[101]Aug 14'!L43+'[101]Sep 14'!L43+'[101]Oct 14'!L43+'[101]Nov 14'!L43+'[101]Dec 14'!L43+'[101]Jan 15'!L43+'[101]Feb 15'!L43+'[101]Mar 15'!L43</f>
        <v>1326659.5999999999</v>
      </c>
      <c r="J43" s="4958"/>
      <c r="K43" s="4958"/>
      <c r="L43" s="4958"/>
    </row>
    <row r="44" spans="2:12" hidden="1">
      <c r="B44" s="962"/>
      <c r="C44" s="963" t="s">
        <v>26</v>
      </c>
      <c r="D44" s="963">
        <f>+'[101]Sep 14'!D44</f>
        <v>0</v>
      </c>
      <c r="E44" s="963">
        <f>+'[101]Sep 14'!E44</f>
        <v>0</v>
      </c>
      <c r="F44" s="966">
        <f>+'[101]Apr 14'!I44+'[101]May 14'!I44+'[101]Jun 14'!I44+'[101]Jul 14'!I44+'[101]Aug 14'!I44+'[101]Sep 14'!I44+'[101]Oct 14'!I44+'[101]Nov 14'!I44+'[101]Dec 14'!I44+'[101]Jan 15'!I44+'[101]Feb 15'!I44+'[101]Mar 15'!I44</f>
        <v>1108333</v>
      </c>
      <c r="G44" s="966">
        <f>+'[101]Apr 14'!J44+'[101]May 14'!J44+'[101]Jun 14'!J44+'[101]Jul 14'!J44+'[101]Aug 14'!J44+'[101]Sep 14'!J44+'[101]Oct 14'!J44+'[101]Nov 14'!J44+'[101]Dec 14'!J44+'[101]Jan 15'!J44+'[101]Feb 15'!J44+'[101]Mar 15'!J44</f>
        <v>8534164.1000000015</v>
      </c>
      <c r="H44" s="4958"/>
      <c r="I44" s="966">
        <f>+'[101]Apr 14'!L44+'[101]May 14'!L44+'[101]Jun 14'!L44+'[101]Jul 14'!L44+'[101]Aug 14'!L44+'[101]Sep 14'!L44+'[101]Oct 14'!L44+'[101]Nov 14'!L44+'[101]Dec 14'!L44+'[101]Jan 15'!L44+'[101]Feb 15'!L44+'[101]Mar 15'!L44</f>
        <v>2172332.6800000002</v>
      </c>
      <c r="J44" s="4958"/>
      <c r="K44" s="4958"/>
      <c r="L44" s="4958"/>
    </row>
    <row r="45" spans="2:12" hidden="1">
      <c r="B45" s="962"/>
      <c r="C45" s="963" t="s">
        <v>25</v>
      </c>
      <c r="D45" s="963">
        <f>+'[101]Sep 14'!D45</f>
        <v>0</v>
      </c>
      <c r="E45" s="963">
        <f>+'[101]Sep 14'!E45</f>
        <v>0</v>
      </c>
      <c r="F45" s="966">
        <f>+'[101]Apr 14'!I45+'[101]May 14'!I45+'[101]Jun 14'!I45+'[101]Jul 14'!I45+'[101]Aug 14'!I45+'[101]Sep 14'!I45+'[101]Oct 14'!I45+'[101]Nov 14'!I45+'[101]Dec 14'!I45+'[101]Jan 15'!I45+'[101]Feb 15'!I45+'[101]Mar 15'!I45</f>
        <v>19844037</v>
      </c>
      <c r="G45" s="966">
        <f>+'[101]Apr 14'!J45+'[101]May 14'!J45+'[101]Jun 14'!J45+'[101]Jul 14'!J45+'[101]Aug 14'!J45+'[101]Sep 14'!J45+'[101]Oct 14'!J45+'[101]Nov 14'!J45+'[101]Dec 14'!J45+'[101]Jan 15'!J45+'[101]Feb 15'!J45+'[101]Mar 15'!J45</f>
        <v>126009634.94999999</v>
      </c>
      <c r="H45" s="4958"/>
      <c r="I45" s="966">
        <f>+'[101]Apr 14'!L45+'[101]May 14'!L45+'[101]Jun 14'!L45+'[101]Jul 14'!L45+'[101]Aug 14'!L45+'[101]Sep 14'!L45+'[101]Oct 14'!L45+'[101]Nov 14'!L45+'[101]Dec 14'!L45+'[101]Jan 15'!L45+'[101]Feb 15'!L45+'[101]Mar 15'!L45</f>
        <v>27781651.799999997</v>
      </c>
      <c r="J45" s="4958"/>
      <c r="K45" s="4958"/>
      <c r="L45" s="4958"/>
    </row>
    <row r="46" spans="2:12" hidden="1">
      <c r="B46" s="962"/>
      <c r="C46" s="963" t="s">
        <v>26</v>
      </c>
      <c r="D46" s="963">
        <f>+'[101]Sep 14'!D46</f>
        <v>0</v>
      </c>
      <c r="E46" s="963">
        <f>+'[101]Sep 14'!E46</f>
        <v>0</v>
      </c>
      <c r="F46" s="966">
        <f>+'[101]Apr 14'!I46+'[101]May 14'!I46+'[101]Jun 14'!I46+'[101]Jul 14'!I46+'[101]Aug 14'!I46+'[101]Sep 14'!I46+'[101]Oct 14'!I46+'[101]Nov 14'!I46+'[101]Dec 14'!I46+'[101]Jan 15'!I46+'[101]Feb 15'!I46+'[101]Mar 15'!I46</f>
        <v>21720736</v>
      </c>
      <c r="G46" s="966">
        <f>+'[101]Apr 14'!J46+'[101]May 14'!J46+'[101]Jun 14'!J46+'[101]Jul 14'!J46+'[101]Aug 14'!J46+'[101]Sep 14'!J46+'[101]Oct 14'!J46+'[101]Nov 14'!J46+'[101]Dec 14'!J46+'[101]Jan 15'!J46+'[101]Feb 15'!J46+'[101]Mar 15'!J46</f>
        <v>185712292.79999998</v>
      </c>
      <c r="H46" s="4958"/>
      <c r="I46" s="966">
        <f>+'[101]Apr 14'!L46+'[101]May 14'!L46+'[101]Jun 14'!L46+'[101]Jul 14'!L46+'[101]Aug 14'!L46+'[101]Sep 14'!L46+'[101]Oct 14'!L46+'[101]Nov 14'!L46+'[101]Dec 14'!L46+'[101]Jan 15'!L46+'[101]Feb 15'!L46+'[101]Mar 15'!L46</f>
        <v>42572642.559999995</v>
      </c>
      <c r="J46" s="4958"/>
      <c r="K46" s="4958"/>
      <c r="L46" s="4958"/>
    </row>
    <row r="47" spans="2:12">
      <c r="B47" s="962" t="s">
        <v>2226</v>
      </c>
      <c r="C47" s="963" t="s">
        <v>25</v>
      </c>
      <c r="D47" s="963">
        <f>+'[101]Sep 14'!D47</f>
        <v>2377</v>
      </c>
      <c r="E47" s="963">
        <f>+'[101]Sep 14'!E47</f>
        <v>3429</v>
      </c>
      <c r="F47" s="966">
        <f>+F41+F43+F45</f>
        <v>20789632</v>
      </c>
      <c r="G47" s="951">
        <f>+G41+G43+G45</f>
        <v>131400515.75999999</v>
      </c>
      <c r="H47" s="4958"/>
      <c r="I47" s="951">
        <f>+I41+I43+I45</f>
        <v>29105484.799999997</v>
      </c>
      <c r="J47" s="4958"/>
      <c r="K47" s="5856">
        <f>SUM(G47:J48)</f>
        <v>503605514.69999999</v>
      </c>
      <c r="L47" s="5857">
        <f>+K47/SUM(F47:F48)</f>
        <v>11.546290032613785</v>
      </c>
    </row>
    <row r="48" spans="2:12">
      <c r="B48" s="962"/>
      <c r="C48" s="963" t="s">
        <v>26</v>
      </c>
      <c r="D48" s="963">
        <f>+'[101]Sep 14'!D48</f>
        <v>101</v>
      </c>
      <c r="E48" s="963">
        <f>+'[101]Sep 14'!E48</f>
        <v>2030</v>
      </c>
      <c r="F48" s="966">
        <f>+F42+F44+F46</f>
        <v>22826587</v>
      </c>
      <c r="G48" s="951">
        <f>+G42+G44+G46</f>
        <v>194228387.94</v>
      </c>
      <c r="H48" s="4958">
        <f>+'[101]Apr 14'!K48+'[101]May 14'!K48+'[101]Jun 14'!K48+'[101]Jul 14'!K48+'[101]Aug 14'!K48+'[101]Sep 14'!K48+'[101]Oct 14'!K48+'[101]Nov 14'!K48+'[101]Dec 14'!K48+'[101]Jan 15'!K48+'[101]Feb 15'!K48+'[101]Mar 15'!K48</f>
        <v>33123234.32</v>
      </c>
      <c r="I48" s="951">
        <f>+I42+I44+I46</f>
        <v>44740110.519999996</v>
      </c>
      <c r="J48" s="4958">
        <f>+'[101]Apr 14'!M48+'[101]May 14'!M48+'[101]Jun 14'!M48+'[101]Jul 14'!M48+'[101]Aug 14'!M48+'[101]Sep 14'!M48+'[101]Oct 14'!M48+'[101]Nov 14'!M48+'[101]Dec 14'!M48+'[101]Jan 15'!M48+'[101]Feb 15'!M48+'[101]Mar 15'!M48</f>
        <v>71007781.359999999</v>
      </c>
      <c r="K48" s="5856"/>
      <c r="L48" s="5857"/>
    </row>
    <row r="49" spans="2:12" hidden="1">
      <c r="B49" s="962" t="s">
        <v>2227</v>
      </c>
      <c r="C49" s="978" t="s">
        <v>28</v>
      </c>
      <c r="D49" s="978">
        <f>+'[101]Sep 14'!D49</f>
        <v>0</v>
      </c>
      <c r="E49" s="978">
        <f>+'[101]Sep 14'!E49</f>
        <v>0</v>
      </c>
      <c r="F49" s="966">
        <f>+'[101]Apr 14'!I49+'[101]May 14'!I49+'[101]Jun 14'!I49+'[101]Jul 14'!I49+'[101]Aug 14'!I49+'[101]Sep 14'!I49+'[101]Oct 14'!I49+'[101]Nov 14'!I49+'[101]Dec 14'!I49+'[101]Jan 15'!I49+'[101]Feb 15'!I49+'[101]Mar 15'!I49</f>
        <v>0</v>
      </c>
      <c r="G49" s="966">
        <f>+'[101]Apr 14'!J49+'[101]May 14'!J49+'[101]Jun 14'!J49+'[101]Jul 14'!J49+'[101]Aug 14'!J49+'[101]Sep 14'!J49+'[101]Oct 14'!J49+'[101]Nov 14'!J49+'[101]Dec 14'!J49+'[101]Jan 15'!J49+'[101]Feb 15'!J49+'[101]Mar 15'!J49</f>
        <v>0</v>
      </c>
      <c r="H49" s="4958"/>
      <c r="I49" s="966">
        <f>+'[101]Apr 14'!L49+'[101]May 14'!L49+'[101]Jun 14'!L49+'[101]Jul 14'!L49+'[101]Aug 14'!L49+'[101]Sep 14'!L49+'[101]Oct 14'!L49+'[101]Nov 14'!L49+'[101]Dec 14'!L49+'[101]Jan 15'!L49+'[101]Feb 15'!L49+'[101]Mar 15'!L49</f>
        <v>0</v>
      </c>
      <c r="J49" s="4958"/>
      <c r="K49" s="951"/>
      <c r="L49" s="4958"/>
    </row>
    <row r="50" spans="2:12" hidden="1">
      <c r="B50" s="962"/>
      <c r="C50" s="978"/>
      <c r="D50" s="978">
        <f>+'[101]Sep 14'!D50</f>
        <v>0</v>
      </c>
      <c r="E50" s="978">
        <f>+'[101]Sep 14'!E50</f>
        <v>0</v>
      </c>
      <c r="F50" s="966">
        <f>+'[101]Apr 14'!I50+'[101]May 14'!I50+'[101]Jun 14'!I50+'[101]Jul 14'!I50+'[101]Aug 14'!I50+'[101]Sep 14'!I50+'[101]Oct 14'!I50+'[101]Nov 14'!I50+'[101]Dec 14'!I50+'[101]Jan 15'!I50+'[101]Feb 15'!I50+'[101]Mar 15'!I50</f>
        <v>4255567</v>
      </c>
      <c r="G50" s="966">
        <f>+'[101]Apr 14'!J50+'[101]May 14'!J50+'[101]Jun 14'!J50+'[101]Jul 14'!J50+'[101]Aug 14'!J50+'[101]Sep 14'!J50+'[101]Oct 14'!J50+'[101]Nov 14'!J50+'[101]Dec 14'!J50+'[101]Jan 15'!J50+'[101]Feb 15'!J50+'[101]Mar 15'!J50</f>
        <v>30852860.75</v>
      </c>
      <c r="H50" s="4958"/>
      <c r="I50" s="966">
        <f>+'[101]Apr 14'!L50+'[101]May 14'!L50+'[101]Jun 14'!L50+'[101]Jul 14'!L50+'[101]Aug 14'!L50+'[101]Sep 14'!L50+'[101]Oct 14'!L50+'[101]Nov 14'!L50+'[101]Dec 14'!L50+'[101]Jan 15'!L50+'[101]Feb 15'!L50+'[101]Mar 15'!L50</f>
        <v>7447242.25</v>
      </c>
      <c r="J50" s="4958"/>
      <c r="K50" s="951"/>
      <c r="L50" s="4958"/>
    </row>
    <row r="51" spans="2:12" hidden="1">
      <c r="B51" s="962"/>
      <c r="C51" s="978"/>
      <c r="D51" s="978">
        <f>+'[101]Sep 14'!D51</f>
        <v>0</v>
      </c>
      <c r="E51" s="978">
        <f>+'[101]Sep 14'!E51</f>
        <v>0</v>
      </c>
      <c r="F51" s="966">
        <f>+'[101]Apr 14'!I51+'[101]May 14'!I51+'[101]Jun 14'!I51+'[101]Jul 14'!I51+'[101]Aug 14'!I51+'[101]Sep 14'!I51+'[101]Oct 14'!I51+'[101]Nov 14'!I51+'[101]Dec 14'!I51+'[101]Jan 15'!I51+'[101]Feb 15'!I51+'[101]Mar 15'!I51</f>
        <v>47851304</v>
      </c>
      <c r="G51" s="966">
        <f>+'[101]Apr 14'!J51+'[101]May 14'!J51+'[101]Jun 14'!J51+'[101]Jul 14'!J51+'[101]Aug 14'!J51+'[101]Sep 14'!J51+'[101]Oct 14'!J51+'[101]Nov 14'!J51+'[101]Dec 14'!J51+'[101]Jan 15'!J51+'[101]Feb 15'!J51+'[101]Mar 15'!J51</f>
        <v>387595562.39999998</v>
      </c>
      <c r="H51" s="4958"/>
      <c r="I51" s="966">
        <f>+'[101]Apr 14'!L51+'[101]May 14'!L51+'[101]Jun 14'!L51+'[101]Jul 14'!L51+'[101]Aug 14'!L51+'[101]Sep 14'!L51+'[101]Oct 14'!L51+'[101]Nov 14'!L51+'[101]Dec 14'!L51+'[101]Jan 15'!L51+'[101]Feb 15'!L51+'[101]Mar 15'!L51</f>
        <v>83739782</v>
      </c>
      <c r="J51" s="4958"/>
      <c r="K51" s="951"/>
      <c r="L51" s="4958"/>
    </row>
    <row r="52" spans="2:12">
      <c r="B52" s="962" t="s">
        <v>2227</v>
      </c>
      <c r="C52" s="978" t="s">
        <v>28</v>
      </c>
      <c r="D52" s="978">
        <f>+'[101]Sep 14'!D52</f>
        <v>11</v>
      </c>
      <c r="E52" s="978">
        <f>+'[101]Sep 14'!E52</f>
        <v>1129</v>
      </c>
      <c r="F52" s="966">
        <f>SUM(F49:F51)</f>
        <v>52106871</v>
      </c>
      <c r="G52" s="951">
        <f t="shared" ref="G52" si="5">SUM(G49:G51)</f>
        <v>418448423.14999998</v>
      </c>
      <c r="H52" s="951">
        <f>+'[101]Apr 14'!K52+'[101]May 14'!K52+'[101]Jun 14'!K52+'[101]Jul 14'!K52+'[101]Aug 14'!K52+'[101]Sep 14'!K52+'[101]Oct 14'!K52+'[101]Nov 14'!K52+'[101]Dec 14'!K52+'[101]Jan 15'!K52+'[101]Feb 15'!K52+'[101]Mar 15'!K52</f>
        <v>58664534.960000016</v>
      </c>
      <c r="I52" s="951">
        <f t="shared" ref="I52" si="6">SUM(I49:I51)</f>
        <v>91187024.25</v>
      </c>
      <c r="J52" s="951">
        <f>+'[101]Apr 14'!M52+'[101]May 14'!M52+'[101]Jun 14'!M52+'[101]Jul 14'!M52+'[101]Aug 14'!M52+'[101]Sep 14'!M52+'[101]Oct 14'!M52+'[101]Nov 14'!M52+'[101]Dec 14'!M52+'[101]Jan 15'!M52+'[101]Feb 15'!M52+'[101]Mar 15'!M52</f>
        <v>66696794.880000003</v>
      </c>
      <c r="K52" s="951">
        <f>SUM(G52:J52)</f>
        <v>634996777.24000001</v>
      </c>
      <c r="L52" s="4958">
        <f>+K52/F52</f>
        <v>12.186430792207807</v>
      </c>
    </row>
    <row r="53" spans="2:12" hidden="1">
      <c r="B53" s="962" t="s">
        <v>2228</v>
      </c>
      <c r="C53" s="978" t="s">
        <v>28</v>
      </c>
      <c r="D53" s="978">
        <f>+'[101]Sep 14'!D53</f>
        <v>0</v>
      </c>
      <c r="E53" s="978">
        <f>+'[101]Sep 14'!E53</f>
        <v>0</v>
      </c>
      <c r="F53" s="966">
        <f>+'[101]Apr 14'!I53+'[101]May 14'!I53+'[101]Jun 14'!I53+'[101]Jul 14'!I53+'[101]Aug 14'!I53+'[101]Sep 14'!I53+'[101]Oct 14'!I53+'[101]Nov 14'!I53+'[101]Dec 14'!I53+'[101]Jan 15'!I53+'[101]Feb 15'!I53+'[101]Mar 15'!I53</f>
        <v>0</v>
      </c>
      <c r="G53" s="966">
        <f>+'[101]Apr 14'!J53+'[101]May 14'!J53+'[101]Jun 14'!J53+'[101]Jul 14'!J53+'[101]Aug 14'!J53+'[101]Sep 14'!J53+'[101]Oct 14'!J53+'[101]Nov 14'!J53+'[101]Dec 14'!J53+'[101]Jan 15'!J53+'[101]Feb 15'!J53+'[101]Mar 15'!J53</f>
        <v>0</v>
      </c>
      <c r="H53" s="4958"/>
      <c r="I53" s="966">
        <f>+'[101]Apr 14'!L53+'[101]May 14'!L53+'[101]Jun 14'!L53+'[101]Jul 14'!L53+'[101]Aug 14'!L53+'[101]Sep 14'!L53+'[101]Oct 14'!L53+'[101]Nov 14'!L53+'[101]Dec 14'!L53+'[101]Jan 15'!L53+'[101]Feb 15'!L53+'[101]Mar 15'!L53</f>
        <v>0</v>
      </c>
      <c r="J53" s="4958"/>
      <c r="K53" s="951"/>
      <c r="L53" s="4958"/>
    </row>
    <row r="54" spans="2:12" hidden="1">
      <c r="B54" s="962"/>
      <c r="C54" s="978"/>
      <c r="D54" s="978">
        <f>+'[101]Sep 14'!D54</f>
        <v>0</v>
      </c>
      <c r="E54" s="978">
        <f>+'[101]Sep 14'!E54</f>
        <v>0</v>
      </c>
      <c r="F54" s="966">
        <f>+'[101]Apr 14'!I54+'[101]May 14'!I54+'[101]Jun 14'!I54+'[101]Jul 14'!I54+'[101]Aug 14'!I54+'[101]Sep 14'!I54+'[101]Oct 14'!I54+'[101]Nov 14'!I54+'[101]Dec 14'!I54+'[101]Jan 15'!I54+'[101]Feb 15'!I54+'[101]Mar 15'!I54</f>
        <v>4047260</v>
      </c>
      <c r="G54" s="966">
        <f>+'[101]Apr 14'!J54+'[101]May 14'!J54+'[101]Jun 14'!J54+'[101]Jul 14'!J54+'[101]Aug 14'!J54+'[101]Sep 14'!J54+'[101]Oct 14'!J54+'[101]Nov 14'!J54+'[101]Dec 14'!J54+'[101]Jan 15'!J54+'[101]Feb 15'!J54+'[101]Mar 15'!J54</f>
        <v>29949724</v>
      </c>
      <c r="H54" s="4958"/>
      <c r="I54" s="966">
        <f>+'[101]Apr 14'!L54+'[101]May 14'!L54+'[101]Jun 14'!L54+'[101]Jul 14'!L54+'[101]Aug 14'!L54+'[101]Sep 14'!L54+'[101]Oct 14'!L54+'[101]Nov 14'!L54+'[101]Dec 14'!L54+'[101]Jan 15'!L54+'[101]Feb 15'!L54+'[101]Mar 15'!L54</f>
        <v>6961287.2000000002</v>
      </c>
      <c r="J54" s="4958"/>
      <c r="K54" s="951"/>
      <c r="L54" s="4958"/>
    </row>
    <row r="55" spans="2:12" hidden="1">
      <c r="B55" s="962"/>
      <c r="C55" s="978"/>
      <c r="D55" s="978">
        <f>+'[101]Sep 14'!D55</f>
        <v>0</v>
      </c>
      <c r="E55" s="978">
        <f>+'[101]Sep 14'!E55</f>
        <v>0</v>
      </c>
      <c r="F55" s="966">
        <f>+'[101]Apr 14'!I55+'[101]May 14'!I55+'[101]Jun 14'!I55+'[101]Jul 14'!I55+'[101]Aug 14'!I55+'[101]Sep 14'!I55+'[101]Oct 14'!I55+'[101]Nov 14'!I55+'[101]Dec 14'!I55+'[101]Jan 15'!I55+'[101]Feb 15'!I55+'[101]Mar 15'!I55</f>
        <v>43648429</v>
      </c>
      <c r="G55" s="966">
        <f>+'[101]Apr 14'!J55+'[101]May 14'!J55+'[101]Jun 14'!J55+'[101]Jul 14'!J55+'[101]Aug 14'!J55+'[101]Sep 14'!J55+'[101]Oct 14'!J55+'[101]Nov 14'!J55+'[101]Dec 14'!J55+'[101]Jan 15'!J55+'[101]Feb 15'!J55+'[101]Mar 15'!J55</f>
        <v>360099539.25</v>
      </c>
      <c r="H55" s="4958"/>
      <c r="I55" s="966">
        <f>+'[101]Apr 14'!L55+'[101]May 14'!L55+'[101]Jun 14'!L55+'[101]Jul 14'!L55+'[101]Aug 14'!L55+'[101]Sep 14'!L55+'[101]Oct 14'!L55+'[101]Nov 14'!L55+'[101]Dec 14'!L55+'[101]Jan 15'!L55+'[101]Feb 15'!L55+'[101]Mar 15'!L55</f>
        <v>75075297.88000001</v>
      </c>
      <c r="J55" s="4958"/>
      <c r="K55" s="951"/>
      <c r="L55" s="4958"/>
    </row>
    <row r="56" spans="2:12">
      <c r="B56" s="962" t="s">
        <v>2228</v>
      </c>
      <c r="C56" s="978" t="s">
        <v>28</v>
      </c>
      <c r="D56" s="978">
        <f>+'[101]Sep 14'!D56</f>
        <v>0</v>
      </c>
      <c r="E56" s="978">
        <f>+'[101]Sep 14'!E56</f>
        <v>116</v>
      </c>
      <c r="F56" s="966">
        <f>SUM(F53:F55)</f>
        <v>47695689</v>
      </c>
      <c r="G56" s="951">
        <f t="shared" ref="G56:I56" si="7">SUM(G53:G55)</f>
        <v>390049263.25</v>
      </c>
      <c r="H56" s="951">
        <f>+'[101]Apr 14'!K56+'[101]May 14'!K56+'[101]Jun 14'!K56+'[101]Jul 14'!K56+'[101]Aug 14'!K56+'[101]Sep 14'!K56+'[101]Oct 14'!K56+'[101]Nov 14'!K56+'[101]Dec 14'!K56+'[101]Jan 15'!K56+'[101]Feb 15'!K56+'[101]Mar 15'!K56</f>
        <v>31627532.789999999</v>
      </c>
      <c r="I56" s="951">
        <f t="shared" si="7"/>
        <v>82036585.080000013</v>
      </c>
      <c r="J56" s="951">
        <f>+'[101]Apr 14'!M56+'[101]May 14'!M56+'[101]Jun 14'!M56+'[101]Jul 14'!M56+'[101]Aug 14'!M56+'[101]Sep 14'!M56+'[101]Oct 14'!M56+'[101]Nov 14'!M56+'[101]Dec 14'!M56+'[101]Jan 15'!M56+'[101]Feb 15'!M56+'[101]Mar 15'!M56</f>
        <v>59023337.839999981</v>
      </c>
      <c r="K56" s="951">
        <f>SUM(G56:J56)</f>
        <v>562736718.96000004</v>
      </c>
      <c r="L56" s="4958">
        <f>+K56/F56</f>
        <v>11.798481807443856</v>
      </c>
    </row>
    <row r="57" spans="2:12" hidden="1">
      <c r="B57" s="962" t="s">
        <v>33</v>
      </c>
      <c r="C57" s="978"/>
      <c r="D57" s="978">
        <f>+'[101]Sep 14'!D57</f>
        <v>0</v>
      </c>
      <c r="E57" s="978">
        <f>+'[101]Sep 14'!E57</f>
        <v>0</v>
      </c>
      <c r="F57" s="966">
        <f>+'[101]Apr 14'!I57+'[101]May 14'!I57+'[101]Jun 14'!I57+'[101]Jul 14'!I57+'[101]Aug 14'!I57+'[101]Sep 14'!I57+'[101]Oct 14'!I57+'[101]Nov 14'!I57+'[101]Dec 14'!I57+'[101]Jan 15'!I57+'[101]Feb 15'!I57+'[101]Mar 15'!I57</f>
        <v>-15325</v>
      </c>
      <c r="G57" s="951">
        <f>+'[101]Apr 14'!J57+'[101]May 14'!J57+'[101]Jun 14'!J57+'[101]Jul 14'!J57+'[101]Aug 14'!J57+'[101]Sep 14'!J57+'[101]Oct 14'!J57+'[101]Nov 14'!J57+'[101]Dec 14'!J57+'[101]Jan 15'!J57+'[101]Feb 15'!J57+'[101]Mar 15'!J57</f>
        <v>-180068.75</v>
      </c>
      <c r="H57" s="951"/>
      <c r="I57" s="951">
        <f>+'[101]Apr 14'!L57+'[101]May 14'!L57+'[101]Jun 14'!L57+'[101]Jul 14'!L57+'[101]Aug 14'!L57+'[101]Sep 14'!L57+'[101]Oct 14'!L57+'[101]Nov 14'!L57+'[101]Dec 14'!L57+'[101]Jan 15'!L57+'[101]Feb 15'!L57+'[101]Mar 15'!L57</f>
        <v>-48427</v>
      </c>
      <c r="J57" s="951"/>
      <c r="K57" s="951"/>
      <c r="L57" s="4958"/>
    </row>
    <row r="58" spans="2:12" hidden="1">
      <c r="B58" s="962"/>
      <c r="C58" s="978"/>
      <c r="D58" s="978">
        <f>+'[101]Sep 14'!D58</f>
        <v>0</v>
      </c>
      <c r="E58" s="978">
        <f>+'[101]Sep 14'!E58</f>
        <v>0</v>
      </c>
      <c r="F58" s="966">
        <f>+'[101]Apr 14'!I58+'[101]May 14'!I58+'[101]Jun 14'!I58+'[101]Jul 14'!I58+'[101]Aug 14'!I58+'[101]Sep 14'!I58+'[101]Oct 14'!I58+'[101]Nov 14'!I58+'[101]Dec 14'!I58+'[101]Jan 15'!I58+'[101]Feb 15'!I58+'[101]Mar 15'!I58</f>
        <v>46078</v>
      </c>
      <c r="G58" s="951">
        <f>+'[101]Apr 14'!J58+'[101]May 14'!J58+'[101]Jun 14'!J58+'[101]Jul 14'!J58+'[101]Aug 14'!J58+'[101]Sep 14'!J58+'[101]Oct 14'!J58+'[101]Nov 14'!J58+'[101]Dec 14'!J58+'[101]Jan 15'!J58+'[101]Feb 15'!J58+'[101]Mar 15'!J58</f>
        <v>622053</v>
      </c>
      <c r="H58" s="951"/>
      <c r="I58" s="951">
        <f>+'[101]Apr 14'!L58+'[101]May 14'!L58+'[101]Jun 14'!L58+'[101]Jul 14'!L58+'[101]Aug 14'!L58+'[101]Sep 14'!L58+'[101]Oct 14'!L58+'[101]Nov 14'!L58+'[101]Dec 14'!L58+'[101]Jan 15'!L58+'[101]Feb 15'!L58+'[101]Mar 15'!L58</f>
        <v>145606.47999999998</v>
      </c>
      <c r="J58" s="951"/>
      <c r="K58" s="951"/>
      <c r="L58" s="4958"/>
    </row>
    <row r="59" spans="2:12" hidden="1">
      <c r="B59" s="962"/>
      <c r="C59" s="978"/>
      <c r="D59" s="978">
        <f>+'[101]Sep 14'!D59</f>
        <v>0</v>
      </c>
      <c r="E59" s="978">
        <f>+'[101]Sep 14'!E59</f>
        <v>0</v>
      </c>
      <c r="F59" s="966">
        <f>+'[101]Apr 14'!I59+'[101]May 14'!I59+'[101]Jun 14'!I59+'[101]Jul 14'!I59+'[101]Aug 14'!I59+'[101]Sep 14'!I59+'[101]Oct 14'!I59+'[101]Nov 14'!I59+'[101]Dec 14'!I59+'[101]Jan 15'!I59+'[101]Feb 15'!I59+'[101]Mar 15'!I59</f>
        <v>1569394</v>
      </c>
      <c r="G59" s="951">
        <f>+'[101]Apr 14'!J59+'[101]May 14'!J59+'[101]Jun 14'!J59+'[101]Jul 14'!J59+'[101]Aug 14'!J59+'[101]Sep 14'!J59+'[101]Oct 14'!J59+'[101]Nov 14'!J59+'[101]Dec 14'!J59+'[101]Jan 15'!J59+'[101]Feb 15'!J59+'[101]Mar 15'!J59</f>
        <v>22520803.900000002</v>
      </c>
      <c r="H59" s="951"/>
      <c r="I59" s="951">
        <f>+'[101]Apr 14'!L59+'[101]May 14'!L59+'[101]Jun 14'!L59+'[101]Jul 14'!L59+'[101]Aug 14'!L59+'[101]Sep 14'!L59+'[101]Oct 14'!L59+'[101]Nov 14'!L59+'[101]Dec 14'!L59+'[101]Jan 15'!L59+'[101]Feb 15'!L59+'[101]Mar 15'!L59</f>
        <v>4959285.04</v>
      </c>
      <c r="J59" s="951"/>
      <c r="K59" s="951"/>
      <c r="L59" s="4958"/>
    </row>
    <row r="60" spans="2:12">
      <c r="B60" s="962" t="s">
        <v>33</v>
      </c>
      <c r="C60" s="978"/>
      <c r="D60" s="978">
        <f>+'[101]Sep 14'!D60</f>
        <v>724</v>
      </c>
      <c r="E60" s="978">
        <f>+'[101]Sep 14'!E60</f>
        <v>125</v>
      </c>
      <c r="F60" s="966">
        <f>SUM(F57:F59)</f>
        <v>1600147</v>
      </c>
      <c r="G60" s="951">
        <f t="shared" ref="G60:I60" si="8">SUM(G57:G59)</f>
        <v>22962788.150000002</v>
      </c>
      <c r="H60" s="951">
        <f>+'[101]Apr 14'!K60+'[101]May 14'!K60+'[101]Jun 14'!K60+'[101]Jul 14'!K60+'[101]Aug 14'!K60+'[101]Sep 14'!K60+'[101]Oct 14'!K60+'[101]Nov 14'!K60+'[101]Dec 14'!K60+'[101]Jan 15'!K60+'[101]Feb 15'!K60+'[101]Mar 15'!K60</f>
        <v>3924799.9</v>
      </c>
      <c r="I60" s="951">
        <f t="shared" si="8"/>
        <v>5056464.5199999996</v>
      </c>
      <c r="J60" s="951">
        <f>+'[101]Apr 14'!M60+'[101]May 14'!M60+'[101]Jun 14'!M60+'[101]Jul 14'!M60+'[101]Aug 14'!M60+'[101]Sep 14'!M60+'[101]Oct 14'!M60+'[101]Nov 14'!M60+'[101]Dec 14'!M60+'[101]Jan 15'!M60+'[101]Feb 15'!M60+'[101]Mar 15'!M60</f>
        <v>3805652.5300000003</v>
      </c>
      <c r="K60" s="951">
        <f>SUM(G60:J60)</f>
        <v>35749705.100000001</v>
      </c>
      <c r="L60" s="4958">
        <f>+K60/F60</f>
        <v>22.341513060987523</v>
      </c>
    </row>
    <row r="61" spans="2:12" hidden="1">
      <c r="B61" s="962" t="s">
        <v>2229</v>
      </c>
      <c r="C61" s="978"/>
      <c r="D61" s="978">
        <f>+'[101]Sep 14'!D61</f>
        <v>0</v>
      </c>
      <c r="E61" s="978">
        <f>+'[101]Sep 14'!E61</f>
        <v>0</v>
      </c>
      <c r="F61" s="966">
        <f>+'[101]Apr 14'!I61+'[101]May 14'!I61+'[101]Jun 14'!I61+'[101]Jul 14'!I61+'[101]Aug 14'!I61+'[101]Sep 14'!I61+'[101]Oct 14'!I61+'[101]Nov 14'!I61+'[101]Dec 14'!I61+'[101]Jan 15'!I61+'[101]Feb 15'!I61+'[101]Mar 15'!I61</f>
        <v>0</v>
      </c>
      <c r="G61" s="951">
        <f>+'[101]Apr 14'!J61+'[101]May 14'!J61+'[101]Jun 14'!J61+'[101]Jul 14'!J61+'[101]Aug 14'!J61+'[101]Sep 14'!J61+'[101]Oct 14'!J61+'[101]Nov 14'!J61+'[101]Dec 14'!J61+'[101]Jan 15'!J61+'[101]Feb 15'!J61+'[101]Mar 15'!J61</f>
        <v>0</v>
      </c>
      <c r="H61" s="951"/>
      <c r="I61" s="951">
        <f>+'[101]Apr 14'!L61+'[101]May 14'!L61+'[101]Jun 14'!L61+'[101]Jul 14'!L61+'[101]Aug 14'!L61+'[101]Sep 14'!L61+'[101]Oct 14'!L61+'[101]Nov 14'!L61+'[101]Dec 14'!L61+'[101]Jan 15'!L61+'[101]Feb 15'!L61+'[101]Mar 15'!L61</f>
        <v>0</v>
      </c>
      <c r="J61" s="951"/>
      <c r="K61" s="951"/>
      <c r="L61" s="4958"/>
    </row>
    <row r="62" spans="2:12" hidden="1">
      <c r="B62" s="962"/>
      <c r="C62" s="978"/>
      <c r="D62" s="978">
        <f>+'[101]Sep 14'!D62</f>
        <v>0</v>
      </c>
      <c r="E62" s="978">
        <f>+'[101]Sep 14'!E62</f>
        <v>0</v>
      </c>
      <c r="F62" s="966">
        <f>+'[101]Apr 14'!I62+'[101]May 14'!I62+'[101]Jun 14'!I62+'[101]Jul 14'!I62+'[101]Aug 14'!I62+'[101]Sep 14'!I62+'[101]Oct 14'!I62+'[101]Nov 14'!I62+'[101]Dec 14'!I62+'[101]Jan 15'!I62+'[101]Feb 15'!I62+'[101]Mar 15'!I62</f>
        <v>2288172.6</v>
      </c>
      <c r="G62" s="951">
        <f>+'[101]Apr 14'!J62+'[101]May 14'!J62+'[101]Jun 14'!J62+'[101]Jul 14'!J62+'[101]Aug 14'!J62+'[101]Sep 14'!J62+'[101]Oct 14'!J62+'[101]Nov 14'!J62+'[101]Dec 14'!J62+'[101]Jan 15'!J62+'[101]Feb 15'!J62+'[101]Mar 15'!J62</f>
        <v>15445165.050000001</v>
      </c>
      <c r="H62" s="951"/>
      <c r="I62" s="951">
        <f>+'[101]Apr 14'!L62+'[101]May 14'!L62+'[101]Jun 14'!L62+'[101]Jul 14'!L62+'[101]Aug 14'!L62+'[101]Sep 14'!L62+'[101]Oct 14'!L62+'[101]Nov 14'!L62+'[101]Dec 14'!L62+'[101]Jan 15'!L62+'[101]Feb 15'!L62+'[101]Mar 15'!L62</f>
        <v>3478022.352</v>
      </c>
      <c r="J62" s="951"/>
      <c r="K62" s="951"/>
      <c r="L62" s="4958"/>
    </row>
    <row r="63" spans="2:12" hidden="1">
      <c r="B63" s="962"/>
      <c r="C63" s="978"/>
      <c r="D63" s="978">
        <f>+'[101]Sep 14'!D63</f>
        <v>0</v>
      </c>
      <c r="E63" s="978">
        <f>+'[101]Sep 14'!E63</f>
        <v>0</v>
      </c>
      <c r="F63" s="966">
        <f>+'[101]Apr 14'!I63+'[101]May 14'!I63+'[101]Jun 14'!I63+'[101]Jul 14'!I63+'[101]Aug 14'!I63+'[101]Sep 14'!I63+'[101]Oct 14'!I63+'[101]Nov 14'!I63+'[101]Dec 14'!I63+'[101]Jan 15'!I63+'[101]Feb 15'!I63+'[101]Mar 15'!I63</f>
        <v>24256816.18</v>
      </c>
      <c r="G63" s="951">
        <f>+'[101]Apr 14'!J63+'[101]May 14'!J63+'[101]Jun 14'!J63+'[101]Jul 14'!J63+'[101]Aug 14'!J63+'[101]Sep 14'!J63+'[101]Oct 14'!J63+'[101]Nov 14'!J63+'[101]Dec 14'!J63+'[101]Jan 15'!J63+'[101]Feb 15'!J63+'[101]Mar 15'!J63</f>
        <v>191628847.822</v>
      </c>
      <c r="H63" s="951"/>
      <c r="I63" s="951">
        <f>+'[101]Apr 14'!L63+'[101]May 14'!L63+'[101]Jun 14'!L63+'[101]Jul 14'!L63+'[101]Aug 14'!L63+'[101]Sep 14'!L63+'[101]Oct 14'!L63+'[101]Nov 14'!L63+'[101]Dec 14'!L63+'[101]Jan 15'!L63+'[101]Feb 15'!L63+'[101]Mar 15'!L63</f>
        <v>36870360.593599997</v>
      </c>
      <c r="J63" s="951"/>
      <c r="K63" s="951"/>
      <c r="L63" s="4958"/>
    </row>
    <row r="64" spans="2:12">
      <c r="B64" s="962" t="s">
        <v>34</v>
      </c>
      <c r="C64" s="978" t="s">
        <v>28</v>
      </c>
      <c r="D64" s="978">
        <f>+'[101]Sep 14'!D64</f>
        <v>0</v>
      </c>
      <c r="E64" s="978">
        <f>+'[101]Sep 14'!E64</f>
        <v>0</v>
      </c>
      <c r="F64" s="966">
        <f>SUM(F61:F63)</f>
        <v>26544988.780000001</v>
      </c>
      <c r="G64" s="966">
        <f>SUM(G61:G63)</f>
        <v>207074012.87200001</v>
      </c>
      <c r="H64" s="951">
        <f>+'[101]Apr 14'!K64+'[101]May 14'!K64+'[101]Jun 14'!K64+'[101]Jul 14'!K64+'[101]Aug 14'!K64+'[101]Sep 14'!K64+'[101]Oct 14'!K64+'[101]Nov 14'!K64+'[101]Dec 14'!K64+'[101]Jan 15'!K64+'[101]Feb 15'!K64+'[101]Mar 15'!K64</f>
        <v>24364920.91</v>
      </c>
      <c r="I64" s="966">
        <f>SUM(I61:I63)</f>
        <v>40348382.945599996</v>
      </c>
      <c r="J64" s="951">
        <f>+'[101]Apr 14'!M64+'[101]May 14'!M64+'[101]Jun 14'!M64+'[101]Jul 14'!M64+'[101]Aug 14'!M64+'[101]Sep 14'!M64+'[101]Oct 14'!M64+'[101]Nov 14'!M64+'[101]Dec 14'!M64+'[101]Jan 15'!M64+'[101]Feb 15'!M64+'[101]Mar 15'!M64</f>
        <v>25686358.57</v>
      </c>
      <c r="K64" s="951">
        <f>SUM(G64:J64)</f>
        <v>297473675.29759997</v>
      </c>
      <c r="L64" s="4958">
        <f>+K64/F64</f>
        <v>11.206396723803774</v>
      </c>
    </row>
    <row r="65" spans="2:12" hidden="1">
      <c r="B65" s="962" t="s">
        <v>2230</v>
      </c>
      <c r="C65" s="978"/>
      <c r="D65" s="978">
        <f>+'[101]Sep 14'!D65</f>
        <v>0</v>
      </c>
      <c r="E65" s="978">
        <f>+'[101]Sep 14'!E65</f>
        <v>0</v>
      </c>
      <c r="F65" s="966">
        <f>+'[101]Apr 14'!I65+'[101]May 14'!I65+'[101]Jun 14'!I65+'[101]Jul 14'!I65+'[101]Aug 14'!I65+'[101]Sep 14'!I65+'[101]Oct 14'!I65+'[101]Nov 14'!I65+'[101]Dec 14'!I65+'[101]Jan 15'!I65+'[101]Feb 15'!I65+'[101]Mar 15'!I65</f>
        <v>-36935</v>
      </c>
      <c r="G65" s="951">
        <f>+'[101]Apr 14'!J65+'[101]May 14'!J65+'[101]Jun 14'!J65+'[101]Jul 14'!J65+'[101]Aug 14'!J65+'[101]Sep 14'!J65+'[101]Oct 14'!J65+'[101]Nov 14'!J65+'[101]Dec 14'!J65+'[101]Jan 15'!J65+'[101]Feb 15'!J65+'[101]Mar 15'!J65</f>
        <v>-209052.10000000003</v>
      </c>
      <c r="H65" s="951"/>
      <c r="I65" s="951">
        <f>+'[101]Apr 14'!L65+'[101]May 14'!L65+'[101]Jun 14'!L65+'[101]Jul 14'!L65+'[101]Aug 14'!L65+'[101]Sep 14'!L65+'[101]Oct 14'!L65+'[101]Nov 14'!L65+'[101]Dec 14'!L65+'[101]Jan 15'!L65+'[101]Feb 15'!L65+'[101]Mar 15'!L65</f>
        <v>-56141.2</v>
      </c>
      <c r="J65" s="951"/>
      <c r="K65" s="951"/>
      <c r="L65" s="4958"/>
    </row>
    <row r="66" spans="2:12" hidden="1">
      <c r="B66" s="962"/>
      <c r="C66" s="978"/>
      <c r="D66" s="978">
        <f>+'[101]Sep 14'!D66</f>
        <v>0</v>
      </c>
      <c r="E66" s="978">
        <f>+'[101]Sep 14'!E66</f>
        <v>0</v>
      </c>
      <c r="F66" s="966">
        <f>+'[101]Apr 14'!I66+'[101]May 14'!I66+'[101]Jun 14'!I66+'[101]Jul 14'!I66+'[101]Aug 14'!I66+'[101]Sep 14'!I66+'[101]Oct 14'!I66+'[101]Nov 14'!I66+'[101]Dec 14'!I66+'[101]Jan 15'!I66+'[101]Feb 15'!I66+'[101]Mar 15'!I66</f>
        <v>53149</v>
      </c>
      <c r="G66" s="951">
        <f>+'[101]Apr 14'!J66+'[101]May 14'!J66+'[101]Jun 14'!J66+'[101]Jul 14'!J66+'[101]Aug 14'!J66+'[101]Sep 14'!J66+'[101]Oct 14'!J66+'[101]Nov 14'!J66+'[101]Dec 14'!J66+'[101]Jan 15'!J66+'[101]Feb 15'!J66+'[101]Mar 15'!J66</f>
        <v>358755.75</v>
      </c>
      <c r="H66" s="951"/>
      <c r="I66" s="951">
        <f>+'[101]Apr 14'!L66+'[101]May 14'!L66+'[101]Jun 14'!L66+'[101]Jul 14'!L66+'[101]Aug 14'!L66+'[101]Sep 14'!L66+'[101]Oct 14'!L66+'[101]Nov 14'!L66+'[101]Dec 14'!L66+'[101]Jan 15'!L66+'[101]Feb 15'!L66+'[101]Mar 15'!L66</f>
        <v>80786.479999999938</v>
      </c>
      <c r="J66" s="951"/>
      <c r="K66" s="951"/>
      <c r="L66" s="4958"/>
    </row>
    <row r="67" spans="2:12" hidden="1">
      <c r="B67" s="962"/>
      <c r="C67" s="978"/>
      <c r="D67" s="978">
        <f>+'[101]Sep 14'!D67</f>
        <v>0</v>
      </c>
      <c r="E67" s="978">
        <f>+'[101]Sep 14'!E67</f>
        <v>0</v>
      </c>
      <c r="F67" s="966">
        <f>+'[101]Apr 14'!I67+'[101]May 14'!I67+'[101]Jun 14'!I67+'[101]Jul 14'!I67+'[101]Aug 14'!I67+'[101]Sep 14'!I67+'[101]Oct 14'!I67+'[101]Nov 14'!I67+'[101]Dec 14'!I67+'[101]Jan 15'!I67+'[101]Feb 15'!I67+'[101]Mar 15'!I67</f>
        <v>3424792</v>
      </c>
      <c r="G67" s="951">
        <f>+'[101]Apr 14'!J67+'[101]May 14'!J67+'[101]Jun 14'!J67+'[101]Jul 14'!J67+'[101]Aug 14'!J67+'[101]Sep 14'!J67+'[101]Oct 14'!J67+'[101]Nov 14'!J67+'[101]Dec 14'!J67+'[101]Jan 15'!J67+'[101]Feb 15'!J67+'[101]Mar 15'!J67</f>
        <v>27055856.800000004</v>
      </c>
      <c r="H67" s="951"/>
      <c r="I67" s="951">
        <f>+'[101]Apr 14'!L67+'[101]May 14'!L67+'[101]Jun 14'!L67+'[101]Jul 14'!L67+'[101]Aug 14'!L67+'[101]Sep 14'!L67+'[101]Oct 14'!L67+'[101]Nov 14'!L67+'[101]Dec 14'!L67+'[101]Jan 15'!L67+'[101]Feb 15'!L67+'[101]Mar 15'!L67</f>
        <v>5205683.84</v>
      </c>
      <c r="J67" s="951"/>
      <c r="K67" s="951"/>
      <c r="L67" s="4958"/>
    </row>
    <row r="68" spans="2:12">
      <c r="B68" s="962" t="s">
        <v>35</v>
      </c>
      <c r="C68" s="978" t="s">
        <v>28</v>
      </c>
      <c r="D68" s="978">
        <f>+'[101]Sep 14'!D68</f>
        <v>587</v>
      </c>
      <c r="E68" s="978">
        <f>+'[101]Sep 14'!E68</f>
        <v>129</v>
      </c>
      <c r="F68" s="966">
        <f>SUM(F65:F67)</f>
        <v>3441006</v>
      </c>
      <c r="G68" s="951">
        <f t="shared" ref="G68:I68" si="9">SUM(G65:G67)</f>
        <v>27205560.450000003</v>
      </c>
      <c r="H68" s="951">
        <f>+'[101]Apr 14'!K68+'[101]May 14'!K68+'[101]Jun 14'!K68+'[101]Jul 14'!K68+'[101]Aug 14'!K68+'[101]Sep 14'!K68+'[101]Oct 14'!K68+'[101]Nov 14'!K68+'[101]Dec 14'!K68+'[101]Jan 15'!K68+'[101]Feb 15'!K68+'[101]Mar 15'!K68</f>
        <v>2687163.63</v>
      </c>
      <c r="I68" s="951">
        <f t="shared" si="9"/>
        <v>5230329.12</v>
      </c>
      <c r="J68" s="951">
        <f>+'[101]Apr 14'!M68+'[101]May 14'!M68+'[101]Jun 14'!M68+'[101]Jul 14'!M68+'[101]Aug 14'!M68+'[101]Sep 14'!M68+'[101]Oct 14'!M68+'[101]Nov 14'!M68+'[101]Dec 14'!M68+'[101]Jan 15'!M68+'[101]Feb 15'!M68+'[101]Mar 15'!M68</f>
        <v>3984240.96</v>
      </c>
      <c r="K68" s="951">
        <f>SUM(G68:J68)</f>
        <v>39107294.160000004</v>
      </c>
      <c r="L68" s="4958">
        <f>+K68/F68</f>
        <v>11.365075841192954</v>
      </c>
    </row>
    <row r="69" spans="2:12" hidden="1">
      <c r="B69" s="962" t="s">
        <v>36</v>
      </c>
      <c r="C69" s="978"/>
      <c r="D69" s="978">
        <f>+'[101]Sep 14'!D69</f>
        <v>0</v>
      </c>
      <c r="E69" s="978">
        <f>+'[101]Sep 14'!E69</f>
        <v>0</v>
      </c>
      <c r="F69" s="966">
        <f>+'[101]Apr 14'!I69+'[101]May 14'!I69+'[101]Jun 14'!I69+'[101]Jul 14'!I69+'[101]Aug 14'!I69+'[101]Sep 14'!I69+'[101]Oct 14'!I69+'[101]Nov 14'!I69+'[101]Dec 14'!I69+'[101]Jan 15'!I69+'[101]Feb 15'!I69+'[101]Mar 15'!I69</f>
        <v>223</v>
      </c>
      <c r="G69" s="951">
        <f>+'[101]Apr 14'!J69+'[101]May 14'!J69+'[101]Jun 14'!J69+'[101]Jul 14'!J69+'[101]Aug 14'!J69+'[101]Sep 14'!J69+'[101]Oct 14'!J69+'[101]Nov 14'!J69+'[101]Dec 14'!J69+'[101]Jan 15'!J69+'[101]Feb 15'!J69+'[101]Mar 15'!J69</f>
        <v>720.29000000000008</v>
      </c>
      <c r="H69" s="951"/>
      <c r="I69" s="951">
        <f>+'[101]Apr 14'!L69+'[101]May 14'!L69+'[101]Jun 14'!L69+'[101]Jul 14'!L69+'[101]Aug 14'!L69+'[101]Sep 14'!L69+'[101]Oct 14'!L69+'[101]Nov 14'!L69+'[101]Dec 14'!L69+'[101]Jan 15'!L69+'[101]Feb 15'!L69+'[101]Mar 15'!L69</f>
        <v>194.01000000000002</v>
      </c>
      <c r="J69" s="951"/>
      <c r="K69" s="951"/>
      <c r="L69" s="4958"/>
    </row>
    <row r="70" spans="2:12" hidden="1">
      <c r="B70" s="962"/>
      <c r="C70" s="978"/>
      <c r="D70" s="978">
        <f>+'[101]Sep 14'!D70</f>
        <v>0</v>
      </c>
      <c r="E70" s="978">
        <f>+'[101]Sep 14'!E70</f>
        <v>0</v>
      </c>
      <c r="F70" s="966">
        <f>+'[101]Apr 14'!I70+'[101]May 14'!I70+'[101]Jun 14'!I70+'[101]Jul 14'!I70+'[101]Aug 14'!I70+'[101]Sep 14'!I70+'[101]Oct 14'!I70+'[101]Nov 14'!I70+'[101]Dec 14'!I70+'[101]Jan 15'!I70+'[101]Feb 15'!I70+'[101]Mar 15'!I70</f>
        <v>18049</v>
      </c>
      <c r="G70" s="951">
        <f>+'[101]Apr 14'!J70+'[101]May 14'!J70+'[101]Jun 14'!J70+'[101]Jul 14'!J70+'[101]Aug 14'!J70+'[101]Sep 14'!J70+'[101]Oct 14'!J70+'[101]Nov 14'!J70+'[101]Dec 14'!J70+'[101]Jan 15'!J70+'[101]Feb 15'!J70+'[101]Mar 15'!J70</f>
        <v>63171.5</v>
      </c>
      <c r="H70" s="951"/>
      <c r="I70" s="951">
        <f>+'[101]Apr 14'!L70+'[101]May 14'!L70+'[101]Jun 14'!L70+'[101]Jul 14'!L70+'[101]Aug 14'!L70+'[101]Sep 14'!L70+'[101]Oct 14'!L70+'[101]Nov 14'!L70+'[101]Dec 14'!L70+'[101]Jan 15'!L70+'[101]Feb 15'!L70+'[101]Mar 15'!L70</f>
        <v>15702.629999999997</v>
      </c>
      <c r="J70" s="951"/>
      <c r="K70" s="951"/>
      <c r="L70" s="4958"/>
    </row>
    <row r="71" spans="2:12" hidden="1">
      <c r="B71" s="962"/>
      <c r="C71" s="978"/>
      <c r="D71" s="978">
        <f>+'[101]Sep 14'!D71</f>
        <v>0</v>
      </c>
      <c r="E71" s="978">
        <f>+'[101]Sep 14'!E71</f>
        <v>0</v>
      </c>
      <c r="F71" s="966">
        <f>+'[101]Apr 14'!I71+'[101]May 14'!I71+'[101]Jun 14'!I71+'[101]Jul 14'!I71+'[101]Aug 14'!I71+'[101]Sep 14'!I71+'[101]Oct 14'!I71+'[101]Nov 14'!I71+'[101]Dec 14'!I71+'[101]Jan 15'!I71+'[101]Feb 15'!I71+'[101]Mar 15'!I71</f>
        <v>2250784</v>
      </c>
      <c r="G71" s="951">
        <f>+'[101]Apr 14'!J71+'[101]May 14'!J71+'[101]Jun 14'!J71+'[101]Jul 14'!J71+'[101]Aug 14'!J71+'[101]Sep 14'!J71+'[101]Oct 14'!J71+'[101]Nov 14'!J71+'[101]Dec 14'!J71+'[101]Jan 15'!J71+'[101]Feb 15'!J71+'[101]Mar 15'!J71</f>
        <v>9903449.5999999996</v>
      </c>
      <c r="H71" s="951"/>
      <c r="I71" s="951">
        <f>+'[101]Apr 14'!L71+'[101]May 14'!L71+'[101]Jun 14'!L71+'[101]Jul 14'!L71+'[101]Aug 14'!L71+'[101]Sep 14'!L71+'[101]Oct 14'!L71+'[101]Nov 14'!L71+'[101]Dec 14'!L71+'[101]Jan 15'!L71+'[101]Feb 15'!L71+'[101]Mar 15'!L71</f>
        <v>1958182.0799999996</v>
      </c>
      <c r="J71" s="951"/>
      <c r="K71" s="951"/>
      <c r="L71" s="4958"/>
    </row>
    <row r="72" spans="2:12">
      <c r="B72" s="962" t="s">
        <v>36</v>
      </c>
      <c r="C72" s="978" t="s">
        <v>28</v>
      </c>
      <c r="D72" s="978">
        <f>+'[101]Sep 14'!D72</f>
        <v>3</v>
      </c>
      <c r="E72" s="978">
        <f>+'[101]Sep 14'!E72</f>
        <v>2</v>
      </c>
      <c r="F72" s="966">
        <f>SUM(F69:F71)</f>
        <v>2269056</v>
      </c>
      <c r="G72" s="951">
        <f t="shared" ref="G72:I72" si="10">SUM(G69:G71)</f>
        <v>9967341.3899999987</v>
      </c>
      <c r="H72" s="951">
        <f>+'[101]Apr 14'!K72+'[101]May 14'!K72+'[101]Jun 14'!K72+'[101]Jul 14'!K72+'[101]Aug 14'!K72+'[101]Sep 14'!K72+'[101]Oct 14'!K72+'[101]Nov 14'!K72+'[101]Dec 14'!K72+'[101]Jan 15'!K72+'[101]Feb 15'!K72+'[101]Mar 15'!K72</f>
        <v>592653.40999999992</v>
      </c>
      <c r="I72" s="951">
        <f t="shared" si="10"/>
        <v>1974078.7199999995</v>
      </c>
      <c r="J72" s="951">
        <f>+'[101]Apr 14'!M72+'[101]May 14'!M72+'[101]Jun 14'!M72+'[101]Jul 14'!M72+'[101]Aug 14'!M72+'[101]Sep 14'!M72+'[101]Oct 14'!M72+'[101]Nov 14'!M72+'[101]Dec 14'!M72+'[101]Jan 15'!M72+'[101]Feb 15'!M72+'[101]Mar 15'!M72</f>
        <v>1633007.5199999998</v>
      </c>
      <c r="K72" s="951">
        <f>SUM(G72:J72)</f>
        <v>14167081.039999997</v>
      </c>
      <c r="L72" s="4958">
        <f>+K72/F72</f>
        <v>6.2436013214305852</v>
      </c>
    </row>
    <row r="73" spans="2:12" hidden="1">
      <c r="B73" s="962" t="s">
        <v>37</v>
      </c>
      <c r="C73" s="978"/>
      <c r="D73" s="978">
        <f>+'[101]Sep 14'!D73</f>
        <v>0</v>
      </c>
      <c r="E73" s="978">
        <f>+'[101]Sep 14'!E73</f>
        <v>0</v>
      </c>
      <c r="F73" s="966">
        <f>+'[101]Apr 14'!I73+'[101]May 14'!I73+'[101]Jun 14'!I73+'[101]Jul 14'!I73+'[101]Aug 14'!I73+'[101]Sep 14'!I73+'[101]Oct 14'!I73+'[101]Nov 14'!I73+'[101]Dec 14'!I73+'[101]Jan 15'!I73+'[101]Feb 15'!I73+'[101]Mar 15'!I73</f>
        <v>-968</v>
      </c>
      <c r="G73" s="951">
        <f>+'[101]Apr 14'!J73+'[101]May 14'!J73+'[101]Jun 14'!J73+'[101]Jul 14'!J73+'[101]Aug 14'!J73+'[101]Sep 14'!J73+'[101]Oct 14'!J73+'[101]Nov 14'!J73+'[101]Dec 14'!J73+'[101]Jan 15'!J73+'[101]Feb 15'!J73+'[101]Mar 15'!J73</f>
        <v>-9089.52</v>
      </c>
      <c r="H73" s="951"/>
      <c r="I73" s="951">
        <f>+'[101]Apr 14'!L73+'[101]May 14'!L73+'[101]Jun 14'!L73+'[101]Jul 14'!L73+'[101]Aug 14'!L73+'[101]Sep 14'!L73+'[101]Oct 14'!L73+'[101]Nov 14'!L73+'[101]Dec 14'!L73+'[101]Jan 15'!L73+'[101]Feb 15'!L73+'[101]Mar 15'!L73</f>
        <v>-2449.04</v>
      </c>
      <c r="J73" s="951"/>
      <c r="K73" s="951"/>
      <c r="L73" s="4958"/>
    </row>
    <row r="74" spans="2:12" hidden="1">
      <c r="B74" s="962"/>
      <c r="C74" s="978"/>
      <c r="D74" s="978">
        <f>+'[101]Sep 14'!D74</f>
        <v>0</v>
      </c>
      <c r="E74" s="978">
        <f>+'[101]Sep 14'!E74</f>
        <v>0</v>
      </c>
      <c r="F74" s="966">
        <f>+'[101]Apr 14'!I74+'[101]May 14'!I74+'[101]Jun 14'!I74+'[101]Jul 14'!I74+'[101]Aug 14'!I74+'[101]Sep 14'!I74+'[101]Oct 14'!I74+'[101]Nov 14'!I74+'[101]Dec 14'!I74+'[101]Jan 15'!I74+'[101]Feb 15'!I74+'[101]Mar 15'!I74</f>
        <v>1695985</v>
      </c>
      <c r="G74" s="951">
        <f>+'[101]Apr 14'!J74+'[101]May 14'!J74+'[101]Jun 14'!J74+'[101]Jul 14'!J74+'[101]Aug 14'!J74+'[101]Sep 14'!J74+'[101]Oct 14'!J74+'[101]Nov 14'!J74+'[101]Dec 14'!J74+'[101]Jan 15'!J74+'[101]Feb 15'!J74+'[101]Mar 15'!J74</f>
        <v>17807842.5</v>
      </c>
      <c r="H74" s="951"/>
      <c r="I74" s="951">
        <f>+'[101]Apr 14'!L74+'[101]May 14'!L74+'[101]Jun 14'!L74+'[101]Jul 14'!L74+'[101]Aug 14'!L74+'[101]Sep 14'!L74+'[101]Oct 14'!L74+'[101]Nov 14'!L74+'[101]Dec 14'!L74+'[101]Jan 15'!L74+'[101]Feb 15'!L74+'[101]Mar 15'!L74</f>
        <v>4290842.05</v>
      </c>
      <c r="J74" s="951"/>
      <c r="K74" s="951"/>
      <c r="L74" s="4958"/>
    </row>
    <row r="75" spans="2:12" hidden="1">
      <c r="B75" s="962"/>
      <c r="C75" s="978"/>
      <c r="D75" s="978">
        <f>+'[101]Sep 14'!D75</f>
        <v>0</v>
      </c>
      <c r="E75" s="978">
        <f>+'[101]Sep 14'!E75</f>
        <v>0</v>
      </c>
      <c r="F75" s="966">
        <f>+'[101]Apr 14'!I75+'[101]May 14'!I75+'[101]Jun 14'!I75+'[101]Jul 14'!I75+'[101]Aug 14'!I75+'[101]Sep 14'!I75+'[101]Oct 14'!I75+'[101]Nov 14'!I75+'[101]Dec 14'!I75+'[101]Jan 15'!I75+'[101]Feb 15'!I75+'[101]Mar 15'!I75</f>
        <v>34672302</v>
      </c>
      <c r="G75" s="951">
        <f>+'[101]Apr 14'!J75+'[101]May 14'!J75+'[101]Jun 14'!J75+'[101]Jul 14'!J75+'[101]Aug 14'!J75+'[101]Sep 14'!J75+'[101]Oct 14'!J75+'[101]Nov 14'!J75+'[101]Dec 14'!J75+'[101]Jan 15'!J75+'[101]Feb 15'!J75+'[101]Mar 15'!J75</f>
        <v>398731473</v>
      </c>
      <c r="H75" s="951"/>
      <c r="I75" s="951">
        <f>+'[101]Apr 14'!L75+'[101]May 14'!L75+'[101]Jun 14'!L75+'[101]Jul 14'!L75+'[101]Aug 14'!L75+'[101]Sep 14'!L75+'[101]Oct 14'!L75+'[101]Nov 14'!L75+'[101]Dec 14'!L75+'[101]Jan 15'!L75+'[101]Feb 15'!L75+'[101]Mar 15'!L75</f>
        <v>87720924.059999987</v>
      </c>
      <c r="J75" s="951"/>
      <c r="K75" s="951"/>
      <c r="L75" s="4958"/>
    </row>
    <row r="76" spans="2:12">
      <c r="B76" s="962" t="s">
        <v>37</v>
      </c>
      <c r="C76" s="978" t="s">
        <v>28</v>
      </c>
      <c r="D76" s="978">
        <f>+'[101]Sep 14'!D76</f>
        <v>163</v>
      </c>
      <c r="E76" s="978">
        <f>+'[101]Sep 14'!E76</f>
        <v>1474</v>
      </c>
      <c r="F76" s="966">
        <f>SUM(F73:F75)</f>
        <v>36367319</v>
      </c>
      <c r="G76" s="951">
        <f t="shared" ref="G76:I76" si="11">SUM(G73:G75)</f>
        <v>416530225.98000002</v>
      </c>
      <c r="H76" s="951">
        <f>+'[101]Apr 14'!K76+'[101]May 14'!K76+'[101]Jun 14'!K76+'[101]Jul 14'!K76+'[101]Aug 14'!K76+'[101]Sep 14'!K76+'[101]Oct 14'!K76+'[101]Nov 14'!K76+'[101]Dec 14'!K76+'[101]Jan 15'!K76+'[101]Feb 15'!K76+'[101]Mar 15'!K76</f>
        <v>24084030.060000002</v>
      </c>
      <c r="I76" s="951">
        <f t="shared" si="11"/>
        <v>92009317.069999993</v>
      </c>
      <c r="J76" s="951">
        <f>+'[101]Apr 14'!M76+'[101]May 14'!M76+'[101]Jun 14'!M76+'[101]Jul 14'!M76+'[101]Aug 14'!M76+'[101]Sep 14'!M76+'[101]Oct 14'!M76+'[101]Nov 14'!M76+'[101]Dec 14'!M76+'[101]Jan 15'!M76+'[101]Feb 15'!M76+'[101]Mar 15'!M76</f>
        <v>68780615.400000006</v>
      </c>
      <c r="K76" s="951">
        <f>SUM(G76:J76)</f>
        <v>601404188.50999999</v>
      </c>
      <c r="L76" s="4958">
        <f>+K76/F76</f>
        <v>16.536940446723609</v>
      </c>
    </row>
    <row r="77" spans="2:12" hidden="1">
      <c r="B77" s="962" t="s">
        <v>38</v>
      </c>
      <c r="C77" s="978"/>
      <c r="D77" s="978">
        <f>+'[101]Sep 14'!D77</f>
        <v>0</v>
      </c>
      <c r="E77" s="978">
        <f>+'[101]Sep 14'!E77</f>
        <v>0</v>
      </c>
      <c r="F77" s="966">
        <f>+'[101]Apr 14'!I77+'[101]May 14'!I77+'[101]Jun 14'!I77+'[101]Jul 14'!I77+'[101]Aug 14'!I77+'[101]Sep 14'!I77+'[101]Oct 14'!I77+'[101]Nov 14'!I77+'[101]Dec 14'!I77+'[101]Jan 15'!I77+'[101]Feb 15'!I77+'[101]Mar 15'!I77</f>
        <v>0</v>
      </c>
      <c r="G77" s="951">
        <f>+'[101]Apr 14'!J77+'[101]May 14'!J77+'[101]Jun 14'!J77+'[101]Jul 14'!J77+'[101]Aug 14'!J77+'[101]Sep 14'!J77+'[101]Oct 14'!J77+'[101]Nov 14'!J77+'[101]Dec 14'!J77+'[101]Jan 15'!J77+'[101]Feb 15'!J77+'[101]Mar 15'!J77</f>
        <v>0</v>
      </c>
      <c r="H77" s="951"/>
      <c r="I77" s="951">
        <f>+'[101]Apr 14'!L77+'[101]May 14'!L77+'[101]Jun 14'!L77+'[101]Jul 14'!L77+'[101]Aug 14'!L77+'[101]Sep 14'!L77+'[101]Oct 14'!L77+'[101]Nov 14'!L77+'[101]Dec 14'!L77+'[101]Jan 15'!L77+'[101]Feb 15'!L77+'[101]Mar 15'!L77</f>
        <v>0</v>
      </c>
      <c r="J77" s="951"/>
      <c r="K77" s="951"/>
      <c r="L77" s="4958"/>
    </row>
    <row r="78" spans="2:12" hidden="1">
      <c r="B78" s="962"/>
      <c r="C78" s="978"/>
      <c r="D78" s="978">
        <f>+'[101]Sep 14'!D78</f>
        <v>0</v>
      </c>
      <c r="E78" s="978">
        <f>+'[101]Sep 14'!E78</f>
        <v>0</v>
      </c>
      <c r="F78" s="966">
        <f>+'[101]Apr 14'!I78+'[101]May 14'!I78+'[101]Jun 14'!I78+'[101]Jul 14'!I78+'[101]Aug 14'!I78+'[101]Sep 14'!I78+'[101]Oct 14'!I78+'[101]Nov 14'!I78+'[101]Dec 14'!I78+'[101]Jan 15'!I78+'[101]Feb 15'!I78+'[101]Mar 15'!I78</f>
        <v>104997</v>
      </c>
      <c r="G78" s="951">
        <f>+'[101]Apr 14'!J78+'[101]May 14'!J78+'[101]Jun 14'!J78+'[101]Jul 14'!J78+'[101]Aug 14'!J78+'[101]Sep 14'!J78+'[101]Oct 14'!J78+'[101]Nov 14'!J78+'[101]Dec 14'!J78+'[101]Jan 15'!J78+'[101]Feb 15'!J78+'[101]Mar 15'!J78</f>
        <v>393738.75</v>
      </c>
      <c r="H78" s="951"/>
      <c r="I78" s="951">
        <f>+'[101]Apr 14'!L78+'[101]May 14'!L78+'[101]Jun 14'!L78+'[101]Jul 14'!L78+'[101]Aug 14'!L78+'[101]Sep 14'!L78+'[101]Oct 14'!L78+'[101]Nov 14'!L78+'[101]Dec 14'!L78+'[101]Jan 15'!L78+'[101]Feb 15'!L78+'[101]Mar 15'!L78</f>
        <v>87147.51</v>
      </c>
      <c r="J78" s="951"/>
      <c r="K78" s="951"/>
      <c r="L78" s="4958"/>
    </row>
    <row r="79" spans="2:12" hidden="1">
      <c r="B79" s="962"/>
      <c r="C79" s="978"/>
      <c r="D79" s="978">
        <f>+'[101]Sep 14'!D79</f>
        <v>0</v>
      </c>
      <c r="E79" s="978">
        <f>+'[101]Sep 14'!E79</f>
        <v>0</v>
      </c>
      <c r="F79" s="966">
        <f>+'[101]Apr 14'!I79+'[101]May 14'!I79+'[101]Jun 14'!I79+'[101]Jul 14'!I79+'[101]Aug 14'!I79+'[101]Sep 14'!I79+'[101]Oct 14'!I79+'[101]Nov 14'!I79+'[101]Dec 14'!I79+'[101]Jan 15'!I79+'[101]Feb 15'!I79+'[101]Mar 15'!I79</f>
        <v>1095077</v>
      </c>
      <c r="G79" s="951">
        <f>+'[101]Apr 14'!J79+'[101]May 14'!J79+'[101]Jun 14'!J79+'[101]Jul 14'!J79+'[101]Aug 14'!J79+'[101]Sep 14'!J79+'[101]Oct 14'!J79+'[101]Nov 14'!J79+'[101]Dec 14'!J79+'[101]Jan 15'!J79+'[101]Feb 15'!J79+'[101]Mar 15'!J79</f>
        <v>4982600.3499999996</v>
      </c>
      <c r="H79" s="951"/>
      <c r="I79" s="951">
        <f>+'[101]Apr 14'!L79+'[101]May 14'!L79+'[101]Jun 14'!L79+'[101]Jul 14'!L79+'[101]Aug 14'!L79+'[101]Sep 14'!L79+'[101]Oct 14'!L79+'[101]Nov 14'!L79+'[101]Dec 14'!L79+'[101]Jan 15'!L79+'[101]Feb 15'!L79+'[101]Mar 15'!L79</f>
        <v>908913.90999999992</v>
      </c>
      <c r="J79" s="951"/>
      <c r="K79" s="951"/>
      <c r="L79" s="4958"/>
    </row>
    <row r="80" spans="2:12">
      <c r="B80" s="962" t="s">
        <v>38</v>
      </c>
      <c r="C80" s="978" t="s">
        <v>28</v>
      </c>
      <c r="D80" s="978">
        <f>+'[101]Sep 14'!D80</f>
        <v>9</v>
      </c>
      <c r="E80" s="978">
        <f>+'[101]Sep 14'!E80</f>
        <v>20</v>
      </c>
      <c r="F80" s="966">
        <f>SUM(F77:F79)</f>
        <v>1200074</v>
      </c>
      <c r="G80" s="951">
        <f t="shared" ref="G80:I80" si="12">SUM(G77:G79)</f>
        <v>5376339.0999999996</v>
      </c>
      <c r="H80" s="951">
        <f>+'[101]Apr 14'!K80+'[101]May 14'!K80+'[101]Jun 14'!K80+'[101]Jul 14'!K80+'[101]Aug 14'!K80+'[101]Sep 14'!K80+'[101]Oct 14'!K80+'[101]Nov 14'!K80+'[101]Dec 14'!K80+'[101]Jan 15'!K80+'[101]Feb 15'!K80+'[101]Mar 15'!K80</f>
        <v>70786.67</v>
      </c>
      <c r="I80" s="951">
        <f t="shared" si="12"/>
        <v>996061.41999999993</v>
      </c>
      <c r="J80" s="951">
        <f>+'[101]Apr 14'!M80+'[101]May 14'!M80+'[101]Jun 14'!M80+'[101]Jul 14'!M80+'[101]Aug 14'!M80+'[101]Sep 14'!M80+'[101]Oct 14'!M80+'[101]Nov 14'!M80+'[101]Dec 14'!M80+'[101]Jan 15'!M80+'[101]Feb 15'!M80+'[101]Mar 15'!M80</f>
        <v>660040.69999999995</v>
      </c>
      <c r="K80" s="951">
        <f>SUM(G80:J80)</f>
        <v>7103227.8899999997</v>
      </c>
      <c r="L80" s="4958">
        <f>+K80/F80</f>
        <v>5.9189915705198173</v>
      </c>
    </row>
    <row r="81" spans="2:12" hidden="1">
      <c r="B81" s="962" t="s">
        <v>39</v>
      </c>
      <c r="C81" s="978"/>
      <c r="D81" s="978">
        <f>+'[101]Sep 14'!D81</f>
        <v>0</v>
      </c>
      <c r="E81" s="978">
        <f>+'[101]Sep 14'!E81</f>
        <v>0</v>
      </c>
      <c r="F81" s="966">
        <f>+'[101]Apr 14'!I81+'[101]May 14'!I81+'[101]Jun 14'!I81+'[101]Jul 14'!I81+'[101]Aug 14'!I81+'[101]Sep 14'!I81+'[101]Oct 14'!I81+'[101]Nov 14'!I81+'[101]Dec 14'!I81+'[101]Jan 15'!I81+'[101]Feb 15'!I81+'[101]Mar 15'!I81</f>
        <v>-584</v>
      </c>
      <c r="G81" s="951">
        <f>+'[101]Apr 14'!J81+'[101]May 14'!J81+'[101]Jun 14'!J81+'[101]Jul 14'!J81+'[101]Aug 14'!J81+'[101]Sep 14'!J81+'[101]Oct 14'!J81+'[101]Nov 14'!J81+'[101]Dec 14'!J81+'[101]Jan 15'!J81+'[101]Feb 15'!J81+'[101]Mar 15'!J81</f>
        <v>-3971.2</v>
      </c>
      <c r="H81" s="951"/>
      <c r="I81" s="951">
        <f>+'[101]Apr 14'!L81+'[101]May 14'!L81+'[101]Jun 14'!L81+'[101]Jul 14'!L81+'[101]Aug 14'!L81+'[101]Sep 14'!L81+'[101]Oct 14'!L81+'[101]Nov 14'!L81+'[101]Dec 14'!L81+'[101]Jan 15'!L81+'[101]Feb 15'!L81+'[101]Mar 15'!L81</f>
        <v>-1068.72</v>
      </c>
      <c r="J81" s="951"/>
      <c r="K81" s="951"/>
      <c r="L81" s="4958"/>
    </row>
    <row r="82" spans="2:12" hidden="1">
      <c r="B82" s="962"/>
      <c r="C82" s="978"/>
      <c r="D82" s="978">
        <f>+'[101]Sep 14'!D82</f>
        <v>0</v>
      </c>
      <c r="E82" s="978">
        <f>+'[101]Sep 14'!E82</f>
        <v>0</v>
      </c>
      <c r="F82" s="966">
        <f>+'[101]Apr 14'!I82+'[101]May 14'!I82+'[101]Jun 14'!I82+'[101]Jul 14'!I82+'[101]Aug 14'!I82+'[101]Sep 14'!I82+'[101]Oct 14'!I82+'[101]Nov 14'!I82+'[101]Dec 14'!I82+'[101]Jan 15'!I82+'[101]Feb 15'!I82+'[101]Mar 15'!I82</f>
        <v>538921</v>
      </c>
      <c r="G82" s="951">
        <f>+'[101]Apr 14'!J82+'[101]May 14'!J82+'[101]Jun 14'!J82+'[101]Jul 14'!J82+'[101]Aug 14'!J82+'[101]Sep 14'!J82+'[101]Oct 14'!J82+'[101]Nov 14'!J82+'[101]Dec 14'!J82+'[101]Jan 15'!J82+'[101]Feb 15'!J82+'[101]Mar 15'!J82</f>
        <v>3934123.3000000003</v>
      </c>
      <c r="H82" s="951"/>
      <c r="I82" s="951">
        <f>+'[101]Apr 14'!L82+'[101]May 14'!L82+'[101]Jun 14'!L82+'[101]Jul 14'!L82+'[101]Aug 14'!L82+'[101]Sep 14'!L82+'[101]Oct 14'!L82+'[101]Nov 14'!L82+'[101]Dec 14'!L82+'[101]Jan 15'!L82+'[101]Feb 15'!L82+'[101]Mar 15'!L82</f>
        <v>986225.42999999993</v>
      </c>
      <c r="J82" s="951"/>
      <c r="K82" s="951"/>
      <c r="L82" s="4958"/>
    </row>
    <row r="83" spans="2:12" hidden="1">
      <c r="B83" s="962"/>
      <c r="C83" s="978"/>
      <c r="D83" s="978">
        <f>+'[101]Sep 14'!D83</f>
        <v>0</v>
      </c>
      <c r="E83" s="978">
        <f>+'[101]Sep 14'!E83</f>
        <v>0</v>
      </c>
      <c r="F83" s="966">
        <f>+'[101]Apr 14'!I83+'[101]May 14'!I83+'[101]Jun 14'!I83+'[101]Jul 14'!I83+'[101]Aug 14'!I83+'[101]Sep 14'!I83+'[101]Oct 14'!I83+'[101]Nov 14'!I83+'[101]Dec 14'!I83+'[101]Jan 15'!I83+'[101]Feb 15'!I83+'[101]Mar 15'!I83</f>
        <v>11908482</v>
      </c>
      <c r="G83" s="951">
        <f>+'[101]Apr 14'!J83+'[101]May 14'!J83+'[101]Jun 14'!J83+'[101]Jul 14'!J83+'[101]Aug 14'!J83+'[101]Sep 14'!J83+'[101]Oct 14'!J83+'[101]Nov 14'!J83+'[101]Dec 14'!J83+'[101]Jan 15'!J83+'[101]Feb 15'!J83+'[101]Mar 15'!J83</f>
        <v>98840400.600000009</v>
      </c>
      <c r="H83" s="951"/>
      <c r="I83" s="951">
        <f>+'[101]Apr 14'!L83+'[101]May 14'!L83+'[101]Jun 14'!L83+'[101]Jul 14'!L83+'[101]Aug 14'!L83+'[101]Sep 14'!L83+'[101]Oct 14'!L83+'[101]Nov 14'!L83+'[101]Dec 14'!L83+'[101]Jan 15'!L83+'[101]Feb 15'!L83+'[101]Mar 15'!L83</f>
        <v>21792522.060000002</v>
      </c>
      <c r="J83" s="951"/>
      <c r="K83" s="951"/>
      <c r="L83" s="4958"/>
    </row>
    <row r="84" spans="2:12">
      <c r="B84" s="962" t="s">
        <v>39</v>
      </c>
      <c r="C84" s="978" t="s">
        <v>28</v>
      </c>
      <c r="D84" s="978">
        <f>+'[101]Sep 14'!D84</f>
        <v>1486</v>
      </c>
      <c r="E84" s="978">
        <f>+'[101]Sep 14'!E84</f>
        <v>680</v>
      </c>
      <c r="F84" s="966">
        <f>SUM(F81:F83)</f>
        <v>12446819</v>
      </c>
      <c r="G84" s="951">
        <f>SUM(G81:G83)</f>
        <v>102770552.7</v>
      </c>
      <c r="H84" s="951">
        <f>+'[101]Apr 14'!K84+'[101]May 14'!K84+'[101]Jun 14'!K84+'[101]Jul 14'!K84+'[101]Aug 14'!K84+'[101]Sep 14'!K84+'[101]Oct 14'!K84+'[101]Nov 14'!K84+'[101]Dec 14'!K84+'[101]Jan 15'!K84+'[101]Feb 15'!K84+'[101]Mar 15'!K84</f>
        <v>6413558.3000000017</v>
      </c>
      <c r="I84" s="951">
        <f>SUM(I81:I83)</f>
        <v>22777678.770000003</v>
      </c>
      <c r="J84" s="951">
        <f>+'[101]Apr 14'!M84+'[101]May 14'!M84+'[101]Jun 14'!M84+'[101]Jul 14'!M84+'[101]Aug 14'!M84+'[101]Sep 14'!M84+'[101]Oct 14'!M84+'[101]Nov 14'!M84+'[101]Dec 14'!M84+'[101]Jan 15'!M84+'[101]Feb 15'!M84+'[101]Mar 15'!M84</f>
        <v>18825764.349999998</v>
      </c>
      <c r="K84" s="951">
        <f>SUM(G84:J84)</f>
        <v>150787554.12</v>
      </c>
      <c r="L84" s="4958">
        <f>+K84/F84</f>
        <v>12.114545420801894</v>
      </c>
    </row>
    <row r="85" spans="2:12" hidden="1">
      <c r="B85" s="962" t="s">
        <v>40</v>
      </c>
      <c r="C85" s="978"/>
      <c r="D85" s="978">
        <f>+'[101]Sep 14'!D85</f>
        <v>0</v>
      </c>
      <c r="E85" s="978">
        <f>+'[101]Sep 14'!E85</f>
        <v>0</v>
      </c>
      <c r="F85" s="966">
        <f>+'[101]Apr 14'!I85+'[101]May 14'!I85+'[101]Jun 14'!I85+'[101]Jul 14'!I85+'[101]Aug 14'!I85+'[101]Sep 14'!I85+'[101]Oct 14'!I85+'[101]Nov 14'!I85+'[101]Dec 14'!I85+'[101]Jan 15'!I85+'[101]Feb 15'!I85+'[101]Mar 15'!I85</f>
        <v>0</v>
      </c>
      <c r="G85" s="951">
        <f>+'[101]Apr 14'!J85+'[101]May 14'!J85+'[101]Jun 14'!J85+'[101]Jul 14'!J85+'[101]Aug 14'!J85+'[101]Sep 14'!J85+'[101]Oct 14'!J85+'[101]Nov 14'!J85+'[101]Dec 14'!J85+'[101]Jan 15'!J85+'[101]Feb 15'!J85+'[101]Mar 15'!J85</f>
        <v>0</v>
      </c>
      <c r="H85" s="951"/>
      <c r="I85" s="951">
        <f>+'[101]Apr 14'!L85+'[101]May 14'!L85+'[101]Jun 14'!L85+'[101]Jul 14'!L85+'[101]Aug 14'!L85+'[101]Sep 14'!L85+'[101]Oct 14'!L85+'[101]Nov 14'!L85+'[101]Dec 14'!L85+'[101]Jan 15'!L85+'[101]Feb 15'!L85+'[101]Mar 15'!L85</f>
        <v>0</v>
      </c>
      <c r="J85" s="951"/>
      <c r="K85" s="951"/>
      <c r="L85" s="4958"/>
    </row>
    <row r="86" spans="2:12" hidden="1">
      <c r="B86" s="962"/>
      <c r="C86" s="978"/>
      <c r="D86" s="978">
        <f>+'[101]Sep 14'!D86</f>
        <v>0</v>
      </c>
      <c r="E86" s="978">
        <f>+'[101]Sep 14'!E86</f>
        <v>0</v>
      </c>
      <c r="F86" s="966">
        <f>+'[101]Apr 14'!I86+'[101]May 14'!I86+'[101]Jun 14'!I86+'[101]Jul 14'!I86+'[101]Aug 14'!I86+'[101]Sep 14'!I86+'[101]Oct 14'!I86+'[101]Nov 14'!I86+'[101]Dec 14'!I86+'[101]Jan 15'!I86+'[101]Feb 15'!I86+'[101]Mar 15'!I86</f>
        <v>5667500</v>
      </c>
      <c r="G86" s="951">
        <f>+'[101]Apr 14'!J86+'[101]May 14'!J86+'[101]Jun 14'!J86+'[101]Jul 14'!J86+'[101]Aug 14'!J86+'[101]Sep 14'!J86+'[101]Oct 14'!J86+'[101]Nov 14'!J86+'[101]Dec 14'!J86+'[101]Jan 15'!J86+'[101]Feb 15'!J86+'[101]Mar 15'!J86</f>
        <v>41372750</v>
      </c>
      <c r="H86" s="951"/>
      <c r="I86" s="951">
        <f>+'[101]Apr 14'!L86+'[101]May 14'!L86+'[101]Jun 14'!L86+'[101]Jul 14'!L86+'[101]Aug 14'!L86+'[101]Sep 14'!L86+'[101]Oct 14'!L86+'[101]Nov 14'!L86+'[101]Dec 14'!L86+'[101]Jan 15'!L86+'[101]Feb 15'!L86+'[101]Mar 15'!L86</f>
        <v>10371525</v>
      </c>
      <c r="J86" s="951"/>
      <c r="K86" s="951"/>
      <c r="L86" s="4958"/>
    </row>
    <row r="87" spans="2:12" hidden="1">
      <c r="B87" s="962"/>
      <c r="C87" s="978"/>
      <c r="D87" s="978">
        <f>+'[101]Sep 14'!D87</f>
        <v>0</v>
      </c>
      <c r="E87" s="978">
        <f>+'[101]Sep 14'!E87</f>
        <v>0</v>
      </c>
      <c r="F87" s="966">
        <f>+'[101]Apr 14'!I87+'[101]May 14'!I87+'[101]Jun 14'!I87+'[101]Jul 14'!I87+'[101]Aug 14'!I87+'[101]Sep 14'!I87+'[101]Oct 14'!I87+'[101]Nov 14'!I87+'[101]Dec 14'!I87+'[101]Jan 15'!I87+'[101]Feb 15'!I87+'[101]Mar 15'!I87</f>
        <v>68324660</v>
      </c>
      <c r="G87" s="951">
        <f>+'[101]Apr 14'!J87+'[101]May 14'!J87+'[101]Jun 14'!J87+'[101]Jul 14'!J87+'[101]Aug 14'!J87+'[101]Sep 14'!J87+'[101]Oct 14'!J87+'[101]Nov 14'!J87+'[101]Dec 14'!J87+'[101]Jan 15'!J87+'[101]Feb 15'!J87+'[101]Mar 15'!J87</f>
        <v>567094678</v>
      </c>
      <c r="H87" s="951"/>
      <c r="I87" s="951">
        <f>+'[101]Apr 14'!L87+'[101]May 14'!L87+'[101]Jun 14'!L87+'[101]Jul 14'!L87+'[101]Aug 14'!L87+'[101]Sep 14'!L87+'[101]Oct 14'!L87+'[101]Nov 14'!L87+'[101]Dec 14'!L87+'[101]Jan 15'!L87+'[101]Feb 15'!L87+'[101]Mar 15'!L87</f>
        <v>125034127.80000001</v>
      </c>
      <c r="J87" s="951"/>
      <c r="K87" s="951"/>
      <c r="L87" s="4958"/>
    </row>
    <row r="88" spans="2:12">
      <c r="B88" s="962" t="s">
        <v>40</v>
      </c>
      <c r="C88" s="978" t="s">
        <v>28</v>
      </c>
      <c r="D88" s="978">
        <f>+'[101]Sep 14'!D88</f>
        <v>2</v>
      </c>
      <c r="E88" s="978">
        <f>+'[101]Sep 14'!E88</f>
        <v>515</v>
      </c>
      <c r="F88" s="966">
        <f>SUM(F85:F87)</f>
        <v>73992160</v>
      </c>
      <c r="G88" s="951">
        <f>SUM(G85:G87)</f>
        <v>608467428</v>
      </c>
      <c r="H88" s="951">
        <f>+'[101]Apr 14'!K88+'[101]May 14'!K88+'[101]Jun 14'!K88+'[101]Jul 14'!K88+'[101]Aug 14'!K88+'[101]Sep 14'!K88+'[101]Oct 14'!K88+'[101]Nov 14'!K88+'[101]Dec 14'!K88+'[101]Jan 15'!K88+'[101]Feb 15'!K88+'[101]Mar 15'!K88</f>
        <v>60867421.229999997</v>
      </c>
      <c r="I88" s="951">
        <f>SUM(I85:I87)</f>
        <v>135405652.80000001</v>
      </c>
      <c r="J88" s="951">
        <f>+'[101]Apr 14'!M88+'[101]May 14'!M88+'[101]Jun 14'!M88+'[101]Jul 14'!M88+'[101]Aug 14'!M88+'[101]Sep 14'!M88+'[101]Oct 14'!M88+'[101]Nov 14'!M88+'[101]Dec 14'!M88+'[101]Jan 15'!M88+'[101]Feb 15'!M88+'[101]Mar 15'!M88</f>
        <v>105068867.19999999</v>
      </c>
      <c r="K88" s="951">
        <f>SUM(G88:J88)</f>
        <v>909809369.23000002</v>
      </c>
      <c r="L88" s="4958">
        <f>+K88/F88</f>
        <v>12.296023919696358</v>
      </c>
    </row>
    <row r="89" spans="2:12" hidden="1">
      <c r="B89" s="962" t="s">
        <v>2231</v>
      </c>
      <c r="C89" s="978"/>
      <c r="D89" s="978">
        <f>+'[101]Sep 14'!D89</f>
        <v>0</v>
      </c>
      <c r="E89" s="978">
        <f>+'[101]Sep 14'!E89</f>
        <v>0</v>
      </c>
      <c r="F89" s="966">
        <f>+'[101]Apr 14'!I89+'[101]May 14'!I89+'[101]Jun 14'!I89+'[101]Jul 14'!I89+'[101]Aug 14'!I89+'[101]Sep 14'!I89+'[101]Oct 14'!I89+'[101]Nov 14'!I89+'[101]Dec 14'!I89+'[101]Jan 15'!I89+'[101]Feb 15'!I89+'[101]Mar 15'!I89</f>
        <v>0</v>
      </c>
      <c r="G89" s="951">
        <f>+'[101]Apr 14'!J89+'[101]May 14'!J89+'[101]Jun 14'!J89+'[101]Jul 14'!J89+'[101]Aug 14'!J89+'[101]Sep 14'!J89+'[101]Oct 14'!J89+'[101]Nov 14'!J89+'[101]Dec 14'!J89+'[101]Jan 15'!J89+'[101]Feb 15'!J89+'[101]Mar 15'!J89</f>
        <v>0</v>
      </c>
      <c r="H89" s="951"/>
      <c r="I89" s="951">
        <f>+'[101]Apr 14'!L89+'[101]May 14'!L89+'[101]Jun 14'!L89+'[101]Jul 14'!L89+'[101]Aug 14'!L89+'[101]Sep 14'!L89+'[101]Oct 14'!L89+'[101]Nov 14'!L89+'[101]Dec 14'!L89+'[101]Jan 15'!L89+'[101]Feb 15'!L89+'[101]Mar 15'!L89</f>
        <v>0</v>
      </c>
      <c r="J89" s="951"/>
      <c r="K89" s="951"/>
      <c r="L89" s="4958"/>
    </row>
    <row r="90" spans="2:12" hidden="1">
      <c r="B90" s="962"/>
      <c r="C90" s="978"/>
      <c r="D90" s="978">
        <f>+'[101]Sep 14'!D90</f>
        <v>0</v>
      </c>
      <c r="E90" s="978">
        <f>+'[101]Sep 14'!E90</f>
        <v>0</v>
      </c>
      <c r="F90" s="966">
        <f>+'[101]Apr 14'!I90+'[101]May 14'!I90+'[101]Jun 14'!I90+'[101]Jul 14'!I90+'[101]Aug 14'!I90+'[101]Sep 14'!I90+'[101]Oct 14'!I90+'[101]Nov 14'!I90+'[101]Dec 14'!I90+'[101]Jan 15'!I90+'[101]Feb 15'!I90+'[101]Mar 15'!I90</f>
        <v>14999732</v>
      </c>
      <c r="G90" s="951">
        <f>+'[101]Apr 14'!J90+'[101]May 14'!J90+'[101]Jun 14'!J90+'[101]Jul 14'!J90+'[101]Aug 14'!J90+'[101]Sep 14'!J90+'[101]Oct 14'!J90+'[101]Nov 14'!J90+'[101]Dec 14'!J90+'[101]Jan 15'!J90+'[101]Feb 15'!J90+'[101]Mar 15'!J90</f>
        <v>103498150.80000001</v>
      </c>
      <c r="H90" s="951"/>
      <c r="I90" s="951">
        <f>+'[101]Apr 14'!L90+'[101]May 14'!L90+'[101]Jun 14'!L90+'[101]Jul 14'!L90+'[101]Aug 14'!L90+'[101]Sep 14'!L90+'[101]Oct 14'!L90+'[101]Nov 14'!L90+'[101]Dec 14'!L90+'[101]Jan 15'!L90+'[101]Feb 15'!L90+'[101]Mar 15'!L90</f>
        <v>23849573.880000003</v>
      </c>
      <c r="J90" s="951"/>
      <c r="K90" s="951"/>
      <c r="L90" s="4958"/>
    </row>
    <row r="91" spans="2:12" hidden="1">
      <c r="B91" s="962"/>
      <c r="C91" s="978"/>
      <c r="D91" s="978">
        <f>+'[101]Sep 14'!D91</f>
        <v>0</v>
      </c>
      <c r="E91" s="978">
        <f>+'[101]Sep 14'!E91</f>
        <v>0</v>
      </c>
      <c r="F91" s="966">
        <f>+'[101]Apr 14'!I91+'[101]May 14'!I91+'[101]Jun 14'!I91+'[101]Jul 14'!I91+'[101]Aug 14'!I91+'[101]Sep 14'!I91+'[101]Oct 14'!I91+'[101]Nov 14'!I91+'[101]Dec 14'!I91+'[101]Jan 15'!I91+'[101]Feb 15'!I91+'[101]Mar 15'!I91</f>
        <v>170399698</v>
      </c>
      <c r="G91" s="951">
        <f>+'[101]Apr 14'!J91+'[101]May 14'!J91+'[101]Jun 14'!J91+'[101]Jul 14'!J91+'[101]Aug 14'!J91+'[101]Sep 14'!J91+'[101]Oct 14'!J91+'[101]Nov 14'!J91+'[101]Dec 14'!J91+'[101]Jan 15'!J91+'[101]Feb 15'!J91+'[101]Mar 15'!J91</f>
        <v>1363197584</v>
      </c>
      <c r="H91" s="951"/>
      <c r="I91" s="951">
        <f>+'[101]Apr 14'!L91+'[101]May 14'!L91+'[101]Jun 14'!L91+'[101]Jul 14'!L91+'[101]Aug 14'!L91+'[101]Sep 14'!L91+'[101]Oct 14'!L91+'[101]Nov 14'!L91+'[101]Dec 14'!L91+'[101]Jan 15'!L91+'[101]Feb 15'!L91+'[101]Mar 15'!L91</f>
        <v>270935519.81999999</v>
      </c>
      <c r="J91" s="951"/>
      <c r="K91" s="951"/>
      <c r="L91" s="4958"/>
    </row>
    <row r="92" spans="2:12">
      <c r="B92" s="962" t="s">
        <v>2231</v>
      </c>
      <c r="C92" s="978" t="s">
        <v>28</v>
      </c>
      <c r="D92" s="978">
        <f>+'[101]Sep 14'!D92</f>
        <v>0</v>
      </c>
      <c r="E92" s="978">
        <f>+'[101]Sep 14'!E92</f>
        <v>41</v>
      </c>
      <c r="F92" s="966">
        <f>SUM(F89:F91)</f>
        <v>185399430</v>
      </c>
      <c r="G92" s="951">
        <f t="shared" ref="G92:I92" si="13">SUM(G89:G91)</f>
        <v>1466695734.8</v>
      </c>
      <c r="H92" s="951">
        <f>+'[101]Apr 14'!K92+'[101]May 14'!K92+'[101]Jun 14'!K92+'[101]Jul 14'!K92+'[101]Aug 14'!K92+'[101]Sep 14'!K92+'[101]Oct 14'!K92+'[101]Nov 14'!K92+'[101]Dec 14'!K92+'[101]Jan 15'!K92+'[101]Feb 15'!K92+'[101]Mar 15'!K92</f>
        <v>112908660.23</v>
      </c>
      <c r="I92" s="951">
        <f t="shared" si="13"/>
        <v>294785093.69999999</v>
      </c>
      <c r="J92" s="951">
        <f>+'[101]Apr 14'!M92+'[101]May 14'!M92+'[101]Jun 14'!M92+'[101]Jul 14'!M92+'[101]Aug 14'!M92+'[101]Sep 14'!M92+'[101]Oct 14'!M92+'[101]Nov 14'!M92+'[101]Dec 14'!M92+'[101]Jan 15'!M92+'[101]Feb 15'!M92+'[101]Mar 15'!M92</f>
        <v>209501355.90000001</v>
      </c>
      <c r="K92" s="951">
        <f>SUM(G92:J92)</f>
        <v>2083890844.6300001</v>
      </c>
      <c r="L92" s="4958">
        <f>+K92/F92</f>
        <v>11.240006749912878</v>
      </c>
    </row>
    <row r="93" spans="2:12" hidden="1">
      <c r="B93" s="962" t="s">
        <v>2232</v>
      </c>
      <c r="C93" s="978"/>
      <c r="D93" s="978">
        <f>+'[101]Sep 14'!D93</f>
        <v>0</v>
      </c>
      <c r="E93" s="978">
        <f>+'[101]Sep 14'!E93</f>
        <v>0</v>
      </c>
      <c r="F93" s="966">
        <f>+'[101]Apr 14'!I93+'[101]May 14'!I93+'[101]Jun 14'!I93+'[101]Jul 14'!I93+'[101]Aug 14'!I93+'[101]Sep 14'!I93+'[101]Oct 14'!I93+'[101]Nov 14'!I93+'[101]Dec 14'!I93+'[101]Jan 15'!I93+'[101]Feb 15'!I93+'[101]Mar 15'!I93</f>
        <v>0</v>
      </c>
      <c r="G93" s="951">
        <f>+'[101]Apr 14'!J93+'[101]May 14'!J93+'[101]Jun 14'!J93+'[101]Jul 14'!J93+'[101]Aug 14'!J93+'[101]Sep 14'!J93+'[101]Oct 14'!J93+'[101]Nov 14'!J93+'[101]Dec 14'!J93+'[101]Jan 15'!J93+'[101]Feb 15'!J93+'[101]Mar 15'!J93</f>
        <v>0</v>
      </c>
      <c r="H93" s="951"/>
      <c r="I93" s="951">
        <f>+'[101]Apr 14'!L93+'[101]May 14'!L93+'[101]Jun 14'!L93+'[101]Jul 14'!L93+'[101]Aug 14'!L93+'[101]Sep 14'!L93+'[101]Oct 14'!L93+'[101]Nov 14'!L93+'[101]Dec 14'!L93+'[101]Jan 15'!L93+'[101]Feb 15'!L93+'[101]Mar 15'!L93</f>
        <v>0</v>
      </c>
      <c r="J93" s="951"/>
      <c r="K93" s="951"/>
      <c r="L93" s="4958"/>
    </row>
    <row r="94" spans="2:12" hidden="1">
      <c r="B94" s="962"/>
      <c r="C94" s="978"/>
      <c r="D94" s="978">
        <f>+'[101]Sep 14'!D94</f>
        <v>0</v>
      </c>
      <c r="E94" s="978">
        <f>+'[101]Sep 14'!E94</f>
        <v>0</v>
      </c>
      <c r="F94" s="966">
        <f>+'[101]Apr 14'!I94+'[101]May 14'!I94+'[101]Jun 14'!I94+'[101]Jul 14'!I94+'[101]Aug 14'!I94+'[101]Sep 14'!I94+'[101]Oct 14'!I94+'[101]Nov 14'!I94+'[101]Dec 14'!I94+'[101]Jan 15'!I94+'[101]Feb 15'!I94+'[101]Mar 15'!I94</f>
        <v>29040890</v>
      </c>
      <c r="G94" s="951">
        <f>+'[101]Apr 14'!J94+'[101]May 14'!J94+'[101]Jun 14'!J94+'[101]Jul 14'!J94+'[101]Aug 14'!J94+'[101]Sep 14'!J94+'[101]Oct 14'!J94+'[101]Nov 14'!J94+'[101]Dec 14'!J94+'[101]Jan 15'!J94+'[101]Feb 15'!J94+'[101]Mar 15'!J94</f>
        <v>217806675</v>
      </c>
      <c r="H94" s="951"/>
      <c r="I94" s="951">
        <f>+'[101]Apr 14'!L94+'[101]May 14'!L94+'[101]Jun 14'!L94+'[101]Jul 14'!L94+'[101]Aug 14'!L94+'[101]Sep 14'!L94+'[101]Oct 14'!L94+'[101]Nov 14'!L94+'[101]Dec 14'!L94+'[101]Jan 15'!L94+'[101]Feb 15'!L94+'[101]Mar 15'!L94</f>
        <v>49659921.899999999</v>
      </c>
      <c r="J94" s="951"/>
      <c r="K94" s="951"/>
      <c r="L94" s="4958"/>
    </row>
    <row r="95" spans="2:12" hidden="1">
      <c r="B95" s="962"/>
      <c r="C95" s="978"/>
      <c r="D95" s="978">
        <f>+'[101]Sep 14'!D95</f>
        <v>0</v>
      </c>
      <c r="E95" s="978">
        <f>+'[101]Sep 14'!E95</f>
        <v>0</v>
      </c>
      <c r="F95" s="966">
        <f>+'[101]Apr 14'!I95+'[101]May 14'!I95+'[101]Jun 14'!I95+'[101]Jul 14'!I95+'[101]Aug 14'!I95+'[101]Sep 14'!I95+'[101]Oct 14'!I95+'[101]Nov 14'!I95+'[101]Dec 14'!I95+'[101]Jan 15'!I95+'[101]Feb 15'!I95+'[101]Mar 15'!I95</f>
        <v>328967905</v>
      </c>
      <c r="G95" s="951">
        <f>+'[101]Apr 14'!J95+'[101]May 14'!J95+'[101]Jun 14'!J95+'[101]Jul 14'!J95+'[101]Aug 14'!J95+'[101]Sep 14'!J95+'[101]Oct 14'!J95+'[101]Nov 14'!J95+'[101]Dec 14'!J95+'[101]Jan 15'!J95+'[101]Feb 15'!J95+'[101]Mar 15'!J95</f>
        <v>2829123983.0000005</v>
      </c>
      <c r="H95" s="951"/>
      <c r="I95" s="951">
        <f>+'[101]Apr 14'!L95+'[101]May 14'!L95+'[101]Jun 14'!L95+'[101]Jul 14'!L95+'[101]Aug 14'!L95+'[101]Sep 14'!L95+'[101]Oct 14'!L95+'[101]Nov 14'!L95+'[101]Dec 14'!L95+'[101]Jan 15'!L95+'[101]Feb 15'!L95+'[101]Mar 15'!L95</f>
        <v>562535117.55000007</v>
      </c>
      <c r="J95" s="951"/>
      <c r="K95" s="951"/>
      <c r="L95" s="4958"/>
    </row>
    <row r="96" spans="2:12">
      <c r="B96" s="962" t="s">
        <v>2232</v>
      </c>
      <c r="C96" s="978" t="s">
        <v>28</v>
      </c>
      <c r="D96" s="978">
        <f>+'[101]Sep 14'!D96</f>
        <v>0</v>
      </c>
      <c r="E96" s="978">
        <f>+'[101]Sep 14'!E96</f>
        <v>103</v>
      </c>
      <c r="F96" s="966">
        <f>SUM(F93:F95)</f>
        <v>358008795</v>
      </c>
      <c r="G96" s="951">
        <f t="shared" ref="G96:I96" si="14">SUM(G93:G95)</f>
        <v>3046930658.0000005</v>
      </c>
      <c r="H96" s="951">
        <f>+'[101]Apr 14'!K96+'[101]May 14'!K96+'[101]Jun 14'!K96+'[101]Jul 14'!K96+'[101]Aug 14'!K96+'[101]Sep 14'!K96+'[101]Oct 14'!K96+'[101]Nov 14'!K96+'[101]Dec 14'!K96+'[101]Jan 15'!K96+'[101]Feb 15'!K96+'[101]Mar 15'!K96</f>
        <v>224259384.44999996</v>
      </c>
      <c r="I96" s="951">
        <f t="shared" si="14"/>
        <v>612195039.45000005</v>
      </c>
      <c r="J96" s="951">
        <f>+'[101]Apr 14'!M96+'[101]May 14'!M96+'[101]Jun 14'!M96+'[101]Jul 14'!M96+'[101]Aug 14'!M96+'[101]Sep 14'!M96+'[101]Oct 14'!M96+'[101]Nov 14'!M96+'[101]Dec 14'!M96+'[101]Jan 15'!M96+'[101]Feb 15'!M96+'[101]Mar 15'!M96</f>
        <v>426030466.05000001</v>
      </c>
      <c r="K96" s="951">
        <f>SUM(G96:J96)</f>
        <v>4309415547.9500008</v>
      </c>
      <c r="L96" s="4958">
        <f>+K96/F96</f>
        <v>12.037177879806</v>
      </c>
    </row>
    <row r="97" spans="2:13" hidden="1">
      <c r="B97" s="962" t="s">
        <v>2233</v>
      </c>
      <c r="C97" s="978"/>
      <c r="D97" s="978">
        <f>+'[101]Sep 14'!D97</f>
        <v>0</v>
      </c>
      <c r="E97" s="978">
        <f>+'[101]Sep 14'!E97</f>
        <v>0</v>
      </c>
      <c r="F97" s="966">
        <f>+'[101]Apr 14'!I97+'[101]May 14'!I97+'[101]Jun 14'!I97+'[101]Jul 14'!I97+'[101]Aug 14'!I97+'[101]Sep 14'!I97+'[101]Oct 14'!I97+'[101]Nov 14'!I97+'[101]Dec 14'!I97+'[101]Jan 15'!I97+'[101]Feb 15'!I97+'[101]Mar 15'!I97</f>
        <v>0</v>
      </c>
      <c r="G97" s="951">
        <f>+'[101]Apr 14'!J97+'[101]May 14'!J97+'[101]Jun 14'!J97+'[101]Jul 14'!J97+'[101]Aug 14'!J97+'[101]Sep 14'!J97+'[101]Oct 14'!J97+'[101]Nov 14'!J97+'[101]Dec 14'!J97+'[101]Jan 15'!J97+'[101]Feb 15'!J97+'[101]Mar 15'!J97</f>
        <v>0</v>
      </c>
      <c r="H97" s="951"/>
      <c r="I97" s="951">
        <f>+'[101]Apr 14'!L97+'[101]May 14'!L97+'[101]Jun 14'!L97+'[101]Jul 14'!L97+'[101]Aug 14'!L97+'[101]Sep 14'!L97+'[101]Oct 14'!L97+'[101]Nov 14'!L97+'[101]Dec 14'!L97+'[101]Jan 15'!L97+'[101]Feb 15'!L97+'[101]Mar 15'!L97</f>
        <v>0</v>
      </c>
      <c r="J97" s="951"/>
      <c r="K97" s="951"/>
      <c r="L97" s="4958"/>
    </row>
    <row r="98" spans="2:13" hidden="1">
      <c r="B98" s="962"/>
      <c r="C98" s="978"/>
      <c r="D98" s="978">
        <f>+'[101]Sep 14'!D98</f>
        <v>0</v>
      </c>
      <c r="E98" s="978">
        <f>+'[101]Sep 14'!E98</f>
        <v>0</v>
      </c>
      <c r="F98" s="966">
        <f>+'[101]Apr 14'!I98+'[101]May 14'!I98+'[101]Jun 14'!I98+'[101]Jul 14'!I98+'[101]Aug 14'!I98+'[101]Sep 14'!I98+'[101]Oct 14'!I98+'[101]Nov 14'!I98+'[101]Dec 14'!I98+'[101]Jan 15'!I98+'[101]Feb 15'!I98+'[101]Mar 15'!I98</f>
        <v>2719016</v>
      </c>
      <c r="G98" s="951">
        <f>+'[101]Apr 14'!J98+'[101]May 14'!J98+'[101]Jun 14'!J98+'[101]Jul 14'!J98+'[101]Aug 14'!J98+'[101]Sep 14'!J98+'[101]Oct 14'!J98+'[101]Nov 14'!J98+'[101]Dec 14'!J98+'[101]Jan 15'!J98+'[101]Feb 15'!J98+'[101]Mar 15'!J98</f>
        <v>14601115.92</v>
      </c>
      <c r="H98" s="951"/>
      <c r="I98" s="951">
        <f>+'[101]Apr 14'!L98+'[101]May 14'!L98+'[101]Jun 14'!L98+'[101]Jul 14'!L98+'[101]Aug 14'!L98+'[101]Sep 14'!L98+'[101]Oct 14'!L98+'[101]Nov 14'!L98+'[101]Dec 14'!L98+'[101]Jan 15'!L98+'[101]Feb 15'!L98+'[101]Mar 15'!L98</f>
        <v>2474304.56</v>
      </c>
      <c r="J98" s="951"/>
      <c r="K98" s="951"/>
      <c r="L98" s="4958"/>
    </row>
    <row r="99" spans="2:13" hidden="1">
      <c r="B99" s="962"/>
      <c r="C99" s="978"/>
      <c r="D99" s="978">
        <f>+'[101]Sep 14'!D99</f>
        <v>0</v>
      </c>
      <c r="E99" s="978">
        <f>+'[101]Sep 14'!E99</f>
        <v>0</v>
      </c>
      <c r="F99" s="966">
        <f>+'[101]Apr 14'!I99+'[101]May 14'!I99+'[101]Jun 14'!I99+'[101]Jul 14'!I99+'[101]Aug 14'!I99+'[101]Sep 14'!I99+'[101]Oct 14'!I99+'[101]Nov 14'!I99+'[101]Dec 14'!I99+'[101]Jan 15'!I99+'[101]Feb 15'!I99+'[101]Mar 15'!I99</f>
        <v>30467422</v>
      </c>
      <c r="G99" s="951">
        <f>+'[101]Apr 14'!J99+'[101]May 14'!J99+'[101]Jun 14'!J99+'[101]Jul 14'!J99+'[101]Aug 14'!J99+'[101]Sep 14'!J99+'[101]Oct 14'!J99+'[101]Nov 14'!J99+'[101]Dec 14'!J99+'[101]Jan 15'!J99+'[101]Feb 15'!J99+'[101]Mar 15'!J99</f>
        <v>181890509.34000003</v>
      </c>
      <c r="H99" s="951"/>
      <c r="I99" s="951">
        <f>+'[101]Apr 14'!L99+'[101]May 14'!L99+'[101]Jun 14'!L99+'[101]Jul 14'!L99+'[101]Aug 14'!L99+'[101]Sep 14'!L99+'[101]Oct 14'!L99+'[101]Nov 14'!L99+'[101]Dec 14'!L99+'[101]Jan 15'!L99+'[101]Feb 15'!L99+'[101]Mar 15'!L99</f>
        <v>27725354.019999996</v>
      </c>
      <c r="J99" s="951"/>
      <c r="K99" s="951"/>
      <c r="L99" s="4958"/>
    </row>
    <row r="100" spans="2:13">
      <c r="B100" s="962" t="s">
        <v>2233</v>
      </c>
      <c r="C100" s="978" t="s">
        <v>28</v>
      </c>
      <c r="D100" s="978">
        <f>+'[101]Sep 14'!D100</f>
        <v>0</v>
      </c>
      <c r="E100" s="978">
        <f>+'[101]Sep 14'!E100</f>
        <v>12</v>
      </c>
      <c r="F100" s="966">
        <f>SUM(F97:F99)</f>
        <v>33186438</v>
      </c>
      <c r="G100" s="951">
        <f t="shared" ref="G100:I100" si="15">SUM(G97:G99)</f>
        <v>196491625.26000002</v>
      </c>
      <c r="H100" s="951">
        <f>+'[101]Apr 14'!K100+'[101]May 14'!K100+'[101]Jun 14'!K100+'[101]Jul 14'!K100+'[101]Aug 14'!K100+'[101]Sep 14'!K100+'[101]Oct 14'!K100+'[101]Nov 14'!K100+'[101]Dec 14'!K100+'[101]Jan 15'!K100+'[101]Feb 15'!K100+'[101]Mar 15'!K100</f>
        <v>16684102.589999996</v>
      </c>
      <c r="I100" s="951">
        <f t="shared" si="15"/>
        <v>30199658.579999994</v>
      </c>
      <c r="J100" s="951">
        <f>+'[101]Apr 14'!M100+'[101]May 14'!M100+'[101]Jun 14'!M100+'[101]Jul 14'!M100+'[101]Aug 14'!M100+'[101]Sep 14'!M100+'[101]Oct 14'!M100+'[101]Nov 14'!M100+'[101]Dec 14'!M100+'[101]Jan 15'!M100+'[101]Feb 15'!M100+'[101]Mar 15'!M100</f>
        <v>21903049.079999994</v>
      </c>
      <c r="K100" s="951">
        <f>SUM(G100:J100)</f>
        <v>265278435.50999999</v>
      </c>
      <c r="L100" s="4958">
        <f>+K100/F100</f>
        <v>7.9935796517239961</v>
      </c>
    </row>
    <row r="101" spans="2:13" hidden="1">
      <c r="B101" s="962" t="s">
        <v>2234</v>
      </c>
      <c r="C101" s="978"/>
      <c r="D101" s="978">
        <f>+'[101]Sep 14'!D101</f>
        <v>0</v>
      </c>
      <c r="E101" s="978">
        <f>+'[101]Sep 14'!E101</f>
        <v>0</v>
      </c>
      <c r="F101" s="966">
        <f>+'[101]Apr 14'!I101+'[101]May 14'!I101+'[101]Jun 14'!I101+'[101]Jul 14'!I101+'[101]Aug 14'!I101+'[101]Sep 14'!I101+'[101]Oct 14'!I101+'[101]Nov 14'!I101+'[101]Dec 14'!I101+'[101]Jan 15'!I101+'[101]Feb 15'!I101+'[101]Mar 15'!I101</f>
        <v>0</v>
      </c>
      <c r="G101" s="951">
        <f>+'[101]Apr 14'!J101+'[101]May 14'!J101+'[101]Jun 14'!J101+'[101]Jul 14'!J101+'[101]Aug 14'!J101+'[101]Sep 14'!J101+'[101]Oct 14'!J101+'[101]Nov 14'!J101+'[101]Dec 14'!J101+'[101]Jan 15'!J101+'[101]Feb 15'!J101+'[101]Mar 15'!J101</f>
        <v>0</v>
      </c>
      <c r="H101" s="951"/>
      <c r="I101" s="951">
        <f>+'[101]Apr 14'!L101+'[101]May 14'!L101+'[101]Jun 14'!L101+'[101]Jul 14'!L101+'[101]Aug 14'!L101+'[101]Sep 14'!L101+'[101]Oct 14'!L101+'[101]Nov 14'!L101+'[101]Dec 14'!L101+'[101]Jan 15'!L101+'[101]Feb 15'!L101+'[101]Mar 15'!L101</f>
        <v>0</v>
      </c>
      <c r="J101" s="951"/>
      <c r="K101" s="951"/>
      <c r="L101" s="4958"/>
    </row>
    <row r="102" spans="2:13" hidden="1">
      <c r="B102" s="962"/>
      <c r="C102" s="978"/>
      <c r="D102" s="978">
        <f>+'[101]Sep 14'!D102</f>
        <v>0</v>
      </c>
      <c r="E102" s="978">
        <f>+'[101]Sep 14'!E102</f>
        <v>0</v>
      </c>
      <c r="F102" s="966">
        <f>+'[101]Apr 14'!I102+'[101]May 14'!I102+'[101]Jun 14'!I102+'[101]Jul 14'!I102+'[101]Aug 14'!I102+'[101]Sep 14'!I102+'[101]Oct 14'!I102+'[101]Nov 14'!I102+'[101]Dec 14'!I102+'[101]Jan 15'!I102+'[101]Feb 15'!I102+'[101]Mar 15'!I102</f>
        <v>1283524</v>
      </c>
      <c r="G102" s="951">
        <f>+'[101]Apr 14'!J102+'[101]May 14'!J102+'[101]Jun 14'!J102+'[101]Jul 14'!J102+'[101]Aug 14'!J102+'[101]Sep 14'!J102+'[101]Oct 14'!J102+'[101]Nov 14'!J102+'[101]Dec 14'!J102+'[101]Jan 15'!J102+'[101]Feb 15'!J102+'[101]Mar 15'!J102</f>
        <v>12835240</v>
      </c>
      <c r="H102" s="951"/>
      <c r="I102" s="951">
        <f>+'[101]Apr 14'!L102+'[101]May 14'!L102+'[101]Jun 14'!L102+'[101]Jul 14'!L102+'[101]Aug 14'!L102+'[101]Sep 14'!L102+'[101]Oct 14'!L102+'[101]Nov 14'!L102+'[101]Dec 14'!L102+'[101]Jan 15'!L102+'[101]Feb 15'!L102+'[101]Mar 15'!L102</f>
        <v>2990610.92</v>
      </c>
      <c r="J102" s="951"/>
      <c r="K102" s="951"/>
      <c r="L102" s="4958"/>
    </row>
    <row r="103" spans="2:13" hidden="1">
      <c r="B103" s="962"/>
      <c r="C103" s="978"/>
      <c r="D103" s="978">
        <f>+'[101]Sep 14'!D103</f>
        <v>0</v>
      </c>
      <c r="E103" s="978">
        <f>+'[101]Sep 14'!E103</f>
        <v>0</v>
      </c>
      <c r="F103" s="966">
        <f>+'[101]Apr 14'!I103+'[101]May 14'!I103+'[101]Jun 14'!I103+'[101]Jul 14'!I103+'[101]Aug 14'!I103+'[101]Sep 14'!I103+'[101]Oct 14'!I103+'[101]Nov 14'!I103+'[101]Dec 14'!I103+'[101]Jan 15'!I103+'[101]Feb 15'!I103+'[101]Mar 15'!I103</f>
        <v>10089714</v>
      </c>
      <c r="G103" s="951">
        <f>+'[101]Apr 14'!J103+'[101]May 14'!J103+'[101]Jun 14'!J103+'[101]Jul 14'!J103+'[101]Aug 14'!J103+'[101]Sep 14'!J103+'[101]Oct 14'!J103+'[101]Nov 14'!J103+'[101]Dec 14'!J103+'[101]Jan 15'!J103+'[101]Feb 15'!J103+'[101]Mar 15'!J103</f>
        <v>113509282.5</v>
      </c>
      <c r="H103" s="951"/>
      <c r="I103" s="951">
        <f>+'[101]Apr 14'!L103+'[101]May 14'!L103+'[101]Jun 14'!L103+'[101]Jul 14'!L103+'[101]Aug 14'!L103+'[101]Sep 14'!L103+'[101]Oct 14'!L103+'[101]Nov 14'!L103+'[101]Dec 14'!L103+'[101]Jan 15'!L103+'[101]Feb 15'!L103+'[101]Mar 15'!L103</f>
        <v>23509033.620000005</v>
      </c>
      <c r="J103" s="951"/>
      <c r="K103" s="951"/>
      <c r="L103" s="4958"/>
    </row>
    <row r="104" spans="2:13">
      <c r="B104" s="962" t="s">
        <v>2234</v>
      </c>
      <c r="C104" s="978" t="s">
        <v>28</v>
      </c>
      <c r="D104" s="978">
        <f>+'[101]Sep 14'!D104</f>
        <v>0</v>
      </c>
      <c r="E104" s="978">
        <f>+'[101]Sep 14'!E104</f>
        <v>6</v>
      </c>
      <c r="F104" s="966">
        <f>SUM(F101:F103)</f>
        <v>11373238</v>
      </c>
      <c r="G104" s="951">
        <f t="shared" ref="G104:I104" si="16">SUM(G101:G103)</f>
        <v>126344522.5</v>
      </c>
      <c r="H104" s="951">
        <f>+'[101]Apr 14'!K104+'[101]May 14'!K104+'[101]Jun 14'!K104+'[101]Jul 14'!K104+'[101]Aug 14'!K104+'[101]Sep 14'!K104+'[101]Oct 14'!K104+'[101]Nov 14'!K104+'[101]Dec 14'!K104+'[101]Jan 15'!K104+'[101]Feb 15'!K104+'[101]Mar 15'!K104</f>
        <v>16466.669999999998</v>
      </c>
      <c r="I104" s="951">
        <f t="shared" si="16"/>
        <v>26499644.540000007</v>
      </c>
      <c r="J104" s="951">
        <f>+'[101]Apr 14'!M104+'[101]May 14'!M104+'[101]Jun 14'!M104+'[101]Jul 14'!M104+'[101]Aug 14'!M104+'[101]Sep 14'!M104+'[101]Oct 14'!M104+'[101]Nov 14'!M104+'[101]Dec 14'!M104+'[101]Jan 15'!M104+'[101]Feb 15'!M104+'[101]Mar 15'!M104</f>
        <v>19107039.839999996</v>
      </c>
      <c r="K104" s="951">
        <f>SUM(G104:J104)</f>
        <v>171967673.55000001</v>
      </c>
      <c r="L104" s="4958">
        <f>+K104/F104</f>
        <v>15.120379398549472</v>
      </c>
    </row>
    <row r="105" spans="2:13" hidden="1">
      <c r="B105" s="962" t="s">
        <v>2235</v>
      </c>
      <c r="C105" s="978"/>
      <c r="D105" s="978">
        <f>+'[101]Sep 14'!D105</f>
        <v>0</v>
      </c>
      <c r="E105" s="978">
        <f>+'[101]Sep 14'!E105</f>
        <v>0</v>
      </c>
      <c r="F105" s="966">
        <f>+'[101]Apr 14'!I105+'[101]May 14'!I105+'[101]Jun 14'!I105+'[101]Jul 14'!I105+'[101]Aug 14'!I105+'[101]Sep 14'!I105+'[101]Oct 14'!I105+'[101]Nov 14'!I105+'[101]Dec 14'!I105+'[101]Jan 15'!I105+'[101]Feb 15'!I105+'[101]Mar 15'!I105</f>
        <v>0</v>
      </c>
      <c r="G105" s="951">
        <f>+'[101]Apr 14'!J105+'[101]May 14'!J105+'[101]Jun 14'!J105+'[101]Jul 14'!J105+'[101]Aug 14'!J105+'[101]Sep 14'!J105+'[101]Oct 14'!J105+'[101]Nov 14'!J105+'[101]Dec 14'!J105+'[101]Jan 15'!J105+'[101]Feb 15'!J105+'[101]Mar 15'!J105</f>
        <v>0</v>
      </c>
      <c r="H105" s="951"/>
      <c r="I105" s="951">
        <f>+'[101]Apr 14'!L105+'[101]May 14'!L105+'[101]Jun 14'!L105+'[101]Jul 14'!L105+'[101]Aug 14'!L105+'[101]Sep 14'!L105+'[101]Oct 14'!L105+'[101]Nov 14'!L105+'[101]Dec 14'!L105+'[101]Jan 15'!L105+'[101]Feb 15'!L105+'[101]Mar 15'!L105</f>
        <v>0</v>
      </c>
      <c r="J105" s="951"/>
      <c r="K105" s="951"/>
      <c r="L105" s="4958"/>
    </row>
    <row r="106" spans="2:13" hidden="1">
      <c r="B106" s="962"/>
      <c r="C106" s="978"/>
      <c r="D106" s="978">
        <f>+'[101]Sep 14'!D106</f>
        <v>0</v>
      </c>
      <c r="E106" s="978">
        <f>+'[101]Sep 14'!E106</f>
        <v>0</v>
      </c>
      <c r="F106" s="966">
        <f>+'[101]Apr 14'!I106+'[101]May 14'!I106+'[101]Jun 14'!I106+'[101]Jul 14'!I106+'[101]Aug 14'!I106+'[101]Sep 14'!I106+'[101]Oct 14'!I106+'[101]Nov 14'!I106+'[101]Dec 14'!I106+'[101]Jan 15'!I106+'[101]Feb 15'!I106+'[101]Mar 15'!I106</f>
        <v>6919823</v>
      </c>
      <c r="G106" s="951">
        <f>+'[101]Apr 14'!J106+'[101]May 14'!J106+'[101]Jun 14'!J106+'[101]Jul 14'!J106+'[101]Aug 14'!J106+'[101]Sep 14'!J106+'[101]Oct 14'!J106+'[101]Nov 14'!J106+'[101]Dec 14'!J106+'[101]Jan 15'!J106+'[101]Feb 15'!J106+'[101]Mar 15'!J106</f>
        <v>45670831.799999997</v>
      </c>
      <c r="H106" s="951"/>
      <c r="I106" s="951">
        <f>+'[101]Apr 14'!L106+'[101]May 14'!L106+'[101]Jun 14'!L106+'[101]Jul 14'!L106+'[101]Aug 14'!L106+'[101]Sep 14'!L106+'[101]Oct 14'!L106+'[101]Nov 14'!L106+'[101]Dec 14'!L106+'[101]Jan 15'!L106+'[101]Feb 15'!L106+'[101]Mar 15'!L106</f>
        <v>10448932.73</v>
      </c>
      <c r="J106" s="951"/>
      <c r="K106" s="951"/>
      <c r="L106" s="4958"/>
    </row>
    <row r="107" spans="2:13" hidden="1">
      <c r="B107" s="962"/>
      <c r="C107" s="978"/>
      <c r="D107" s="978">
        <f>+'[101]Sep 14'!D107</f>
        <v>0</v>
      </c>
      <c r="E107" s="978">
        <f>+'[101]Sep 14'!E107</f>
        <v>0</v>
      </c>
      <c r="F107" s="966">
        <f>+'[101]Apr 14'!I107+'[101]May 14'!I107+'[101]Jun 14'!I107+'[101]Jul 14'!I107+'[101]Aug 14'!I107+'[101]Sep 14'!I107+'[101]Oct 14'!I107+'[101]Nov 14'!I107+'[101]Dec 14'!I107+'[101]Jan 15'!I107+'[101]Feb 15'!I107+'[101]Mar 15'!I107</f>
        <v>91400403</v>
      </c>
      <c r="G107" s="951">
        <f>+'[101]Apr 14'!J107+'[101]May 14'!J107+'[101]Jun 14'!J107+'[101]Jul 14'!J107+'[101]Aug 14'!J107+'[101]Sep 14'!J107+'[101]Oct 14'!J107+'[101]Nov 14'!J107+'[101]Dec 14'!J107+'[101]Jan 15'!J107+'[101]Feb 15'!J107+'[101]Mar 15'!J107</f>
        <v>708353123.25</v>
      </c>
      <c r="H107" s="951"/>
      <c r="I107" s="951">
        <f>+'[101]Apr 14'!L107+'[101]May 14'!L107+'[101]Jun 14'!L107+'[101]Jul 14'!L107+'[101]Aug 14'!L107+'[101]Sep 14'!L107+'[101]Oct 14'!L107+'[101]Nov 14'!L107+'[101]Dec 14'!L107+'[101]Jan 15'!L107+'[101]Feb 15'!L107+'[101]Mar 15'!L107</f>
        <v>138014608.53</v>
      </c>
      <c r="J107" s="951"/>
      <c r="K107" s="951"/>
      <c r="L107" s="4958"/>
    </row>
    <row r="108" spans="2:13">
      <c r="B108" s="962" t="s">
        <v>2235</v>
      </c>
      <c r="C108" s="978" t="s">
        <v>28</v>
      </c>
      <c r="D108" s="978">
        <f>+'[101]Sep 14'!D108</f>
        <v>0</v>
      </c>
      <c r="E108" s="978">
        <f>+'[101]Sep 14'!E108</f>
        <v>17</v>
      </c>
      <c r="F108" s="966">
        <f>SUM(F105:F107)</f>
        <v>98320226</v>
      </c>
      <c r="G108" s="951">
        <f>SUM(G105:G107)</f>
        <v>754023955.04999995</v>
      </c>
      <c r="H108" s="951">
        <f>+'[101]Apr 14'!K108+'[101]May 14'!K108+'[101]Jun 14'!K108+'[101]Jul 14'!K108+'[101]Aug 14'!K108+'[101]Sep 14'!K108+'[101]Oct 14'!K108+'[101]Nov 14'!K108+'[101]Dec 14'!K108+'[101]Jan 15'!K108+'[101]Feb 15'!K108+'[101]Mar 15'!K108</f>
        <v>47242116.649999999</v>
      </c>
      <c r="I108" s="951">
        <f>SUM(I105:I107)</f>
        <v>148463541.25999999</v>
      </c>
      <c r="J108" s="951">
        <f>+'[101]Apr 14'!M108+'[101]May 14'!M108+'[101]Jun 14'!M108+'[101]Jul 14'!M108+'[101]Aug 14'!M108+'[101]Sep 14'!M108+'[101]Oct 14'!M108+'[101]Nov 14'!M108+'[101]Dec 14'!M108+'[101]Jan 15'!M108+'[101]Feb 15'!M108+'[101]Mar 15'!M108</f>
        <v>115034664.42</v>
      </c>
      <c r="K108" s="951">
        <f>SUM(G108:J108)</f>
        <v>1064764277.3799999</v>
      </c>
      <c r="L108" s="4958">
        <f>+K108/F108</f>
        <v>10.8295548199818</v>
      </c>
    </row>
    <row r="109" spans="2:13">
      <c r="B109" s="4086" t="s">
        <v>46</v>
      </c>
      <c r="C109" s="978"/>
      <c r="D109" s="978"/>
      <c r="E109" s="978"/>
      <c r="F109" s="966"/>
      <c r="G109" s="951">
        <f>+'[101]Apr 14'!J109+'[101]May 14'!J109+'[101]Jun 14'!J109+'[101]Jul 14'!J109+'[101]Aug 14'!J109+'[101]Sep 14'!J109+'[101]Oct 14'!J109+'[101]Nov 14'!J109+'[101]Dec 14'!J109+'[101]Jan 15'!J109+'[101]Feb 15'!J109+'[101]Mar 15'!J109</f>
        <v>-159113444.41</v>
      </c>
      <c r="H109" s="4958">
        <f>+'[101]Apr 14'!K109+'[101]May 14'!K109+'[101]Jun 14'!K109+'[101]Jul 14'!K109+'[101]Aug 14'!K109+'[101]Sep 14'!K109+'[101]Oct 14'!K109+'[101]Nov 14'!K109+'[101]Dec 14'!K109+'[101]Jan 15'!K109+'[101]Feb 15'!K109+'[101]Mar 15'!K109</f>
        <v>1916893.8900000004</v>
      </c>
      <c r="I109" s="951">
        <f>+'[101]Apr 14'!L109+'[101]May 14'!L109+'[101]Jun 14'!L109+'[101]Jul 14'!L109+'[101]Aug 14'!L109+'[101]Sep 14'!L109+'[101]Oct 14'!L109+'[101]Nov 14'!L109+'[101]Dec 14'!L109+'[101]Jan 15'!L109+'[101]Feb 15'!L109+'[101]Mar 15'!L109</f>
        <v>-38931798.574400723</v>
      </c>
      <c r="J109" s="4958">
        <f>+'[101]Apr 14'!M109+'[101]May 14'!M109+'[101]Jun 14'!M109+'[101]Jul 14'!M109+'[101]Aug 14'!M109+'[101]Sep 14'!M109+'[101]Oct 14'!M109+'[101]Nov 14'!M109+'[101]Dec 14'!M109+'[101]Jan 15'!M109+'[101]Feb 15'!M109+'[101]Mar 15'!M109</f>
        <v>28622779.890000008</v>
      </c>
      <c r="K109" s="951">
        <f>SUM(G109:J109)</f>
        <v>-167505569.20440072</v>
      </c>
      <c r="L109" s="4958"/>
    </row>
    <row r="110" spans="2:13">
      <c r="B110" s="4086" t="s">
        <v>47</v>
      </c>
      <c r="C110" s="978"/>
      <c r="D110" s="4981">
        <f t="shared" ref="D110:E110" si="17">+D108+D104+D100+D96+D92+D88+D84+D80+D76+D72+D68+D64+D60+D56+D52+D48+D47+D40+D36+D32+D31+D24+D23+D22+D21+D8+D109</f>
        <v>877713</v>
      </c>
      <c r="E110" s="4981">
        <f t="shared" si="17"/>
        <v>147213</v>
      </c>
      <c r="F110" s="4981">
        <f>+F108+F104+F100+F96+F92+F88+F84+F80+F76+F72+F68+F64+F60+F56+F52+F48+F47+F40+F36+F32+F31+F24+F23+F22+F21+F8+F109</f>
        <v>4418831327.7799997</v>
      </c>
      <c r="G110" s="951">
        <f>+G108+G104+G100+G96+G92+G88+G84+G80+G76+G72+G68+G64+G60+G56+G52+G48+G47+G40+G36+G32+G31+G24+G23+G22+G21+G8+G109</f>
        <v>31797190427.062004</v>
      </c>
      <c r="H110" s="951">
        <f>+H108+H104+H100+H96+H92+H88+H84+H80+H76+H72+H68+H64+H60+H56+H52+H48+H47+H40+H36+H32+H31+H24+H23+H22+H21+H8+H109</f>
        <v>2828118382.5299997</v>
      </c>
      <c r="I110" s="951">
        <f>+I108+I104+I100+I96+I92+I88+I84+I80+I76+I72+I68+I64+I60+I56+I52+I48+I47+I40+I36+I32+I31+I24+I23+I22+I21+I8+I109</f>
        <v>6619476394.5011997</v>
      </c>
      <c r="J110" s="951">
        <f>+J108+J104+J100+J96+J92+J88+J84+J80+J76+J72+J68+J64+J60+J56+J52+J48+J47+J40+J36+J32+J31+J24+J23+J22+J21+J8+J109</f>
        <v>5194841878.250001</v>
      </c>
      <c r="K110" s="951">
        <f>+K108+K104+K100+K96+K92+K88+K84+K80+K76+K72+K68+K64+K60+K56+K52+K47+K40+K36+K31+K21+K8+K109</f>
        <v>46439627082.343201</v>
      </c>
      <c r="L110" s="4958">
        <f>+K110/F110</f>
        <v>10.509481724362232</v>
      </c>
    </row>
    <row r="111" spans="2:13">
      <c r="B111" s="4982"/>
      <c r="C111" s="4982"/>
      <c r="D111" s="4982"/>
      <c r="E111" s="4982"/>
      <c r="F111" s="966"/>
      <c r="G111" s="951"/>
      <c r="H111" s="951"/>
      <c r="I111" s="951" t="s">
        <v>48</v>
      </c>
      <c r="J111" s="951"/>
      <c r="K111" s="951">
        <f>+'[101]Apr 14'!N111+'[101]May 14'!N111+'[101]Jun 14'!N111+'[101]Jul 14'!N111+'[101]Aug 14'!N111+'[101]Sep 14'!N111+'[101]Oct 14'!N111+'[101]Nov 14'!N111+'[101]Dec 14'!N111+'[101]Jan 15'!N111+'[101]Feb 15'!N111+'[101]Mar 15'!N111</f>
        <v>124614063.31000002</v>
      </c>
      <c r="L111" s="4983"/>
    </row>
    <row r="112" spans="2:13">
      <c r="B112" s="4982"/>
      <c r="C112" s="4982"/>
      <c r="D112" s="4982"/>
      <c r="E112" s="4982"/>
      <c r="F112" s="4981"/>
      <c r="G112" s="951"/>
      <c r="H112" s="951"/>
      <c r="I112" s="951" t="s">
        <v>49</v>
      </c>
      <c r="J112" s="951"/>
      <c r="K112" s="951">
        <f>-1564699531.64+95834133.66</f>
        <v>-1468865397.98</v>
      </c>
      <c r="L112" s="4983"/>
      <c r="M112" s="922"/>
    </row>
    <row r="113" spans="2:12">
      <c r="B113" s="4982"/>
      <c r="C113" s="4982"/>
      <c r="D113" s="4982"/>
      <c r="E113" s="4982"/>
      <c r="F113" s="951"/>
      <c r="G113" s="951"/>
      <c r="H113" s="951"/>
      <c r="I113" s="951" t="s">
        <v>50</v>
      </c>
      <c r="J113" s="951"/>
      <c r="K113" s="951">
        <f>+'[101]Apr 14'!N113+'[101]May 14'!N113+'[101]Jun 14'!N113+'[101]Jul 14'!N113+'[101]Aug 14'!N113+'[101]Sep 14'!N113+'[101]Oct 14'!N113+'[101]Nov 14'!N113+'[101]Dec 14'!N113+'[101]Jan 15'!N113+'[101]Feb 15'!N113+'[101]Mar 15'!N113</f>
        <v>-3752798.06</v>
      </c>
      <c r="L113" s="4983"/>
    </row>
    <row r="114" spans="2:12">
      <c r="B114" s="4982"/>
      <c r="C114" s="4982"/>
      <c r="D114" s="4982"/>
      <c r="E114" s="4982"/>
      <c r="F114" s="966"/>
      <c r="G114" s="951"/>
      <c r="H114" s="951"/>
      <c r="I114" s="951" t="s">
        <v>51</v>
      </c>
      <c r="J114" s="951"/>
      <c r="K114" s="951">
        <f>+'[101]Apr 14'!N114+'[101]May 14'!N114+'[101]Jun 14'!N114+'[101]Jul 14'!N114+'[101]Aug 14'!N114+'[101]Sep 14'!N114+'[101]Oct 14'!N114+'[101]Nov 14'!N114+'[101]Dec 14'!N114+'[101]Jan 15'!N114+'[101]Feb 15'!N114+'[101]Mar 15'!N114</f>
        <v>163418723.53</v>
      </c>
      <c r="L114" s="4983"/>
    </row>
    <row r="115" spans="2:12">
      <c r="B115" s="4982"/>
      <c r="C115" s="4982"/>
      <c r="D115" s="4982"/>
      <c r="E115" s="4982"/>
      <c r="F115" s="966"/>
      <c r="G115" s="951"/>
      <c r="H115" s="951"/>
      <c r="I115" s="951" t="s">
        <v>52</v>
      </c>
      <c r="J115" s="951"/>
      <c r="K115" s="951">
        <f>+'[101]Apr 14'!N115+'[101]May 14'!N115+'[101]Jun 14'!N115+'[101]Jul 14'!N115+'[101]Aug 14'!N115+'[101]Sep 14'!N115+'[101]Oct 14'!N115+'[101]Nov 14'!N115+'[101]Dec 14'!N115+'[101]Jan 15'!N115+'[101]Feb 15'!N115+'[101]Mar 15'!N115</f>
        <v>62300748.899999999</v>
      </c>
      <c r="L115" s="4983"/>
    </row>
    <row r="116" spans="2:12" ht="15.75">
      <c r="B116" s="4982"/>
      <c r="C116" s="4982"/>
      <c r="D116" s="4982"/>
      <c r="E116" s="4982"/>
      <c r="F116" s="966"/>
      <c r="G116" s="951"/>
      <c r="H116" s="951"/>
      <c r="I116" s="993" t="s">
        <v>47</v>
      </c>
      <c r="J116" s="993"/>
      <c r="K116" s="993">
        <f>SUM(K110:K115)</f>
        <v>45317342422.043198</v>
      </c>
      <c r="L116" s="4983"/>
    </row>
    <row r="117" spans="2:12" ht="15.75" hidden="1">
      <c r="B117" s="4982"/>
      <c r="C117" s="4982"/>
      <c r="D117" s="4982"/>
      <c r="E117" s="4982"/>
      <c r="F117" s="966"/>
      <c r="G117" s="951"/>
      <c r="H117" s="951"/>
      <c r="I117" s="994" t="s">
        <v>53</v>
      </c>
      <c r="J117" s="994"/>
      <c r="K117" s="995">
        <f>+'[101]Apr 14'!N117+'[101]May 14'!N117+'[101]Jun 14'!N117+'[101]Jul 14'!N117+'[101]Aug 14'!N117+'[101]Sep 14'!N117+'[101]Oct 14'!N117+'[101]Nov 14'!N117+'[101]Dec 14'!N117+'[101]Jan 15'!N117+'[101]Feb 15'!N117+'[101]Mar 15'!N117</f>
        <v>-178589431.39000002</v>
      </c>
      <c r="L117" s="4983"/>
    </row>
    <row r="118" spans="2:12" ht="15.75" hidden="1">
      <c r="B118" s="4982"/>
      <c r="C118" s="4982"/>
      <c r="D118" s="4982"/>
      <c r="E118" s="4982"/>
      <c r="F118" s="966"/>
      <c r="G118" s="951"/>
      <c r="H118" s="951"/>
      <c r="I118" s="994" t="s">
        <v>54</v>
      </c>
      <c r="J118" s="994"/>
      <c r="K118" s="995">
        <f>+'[101]Apr 14'!N118+'[101]May 14'!N118+'[101]Jun 14'!N118+'[101]Jul 14'!N118+'[101]Aug 14'!N118+'[101]Sep 14'!N118+'[101]Oct 14'!N118+'[101]Nov 14'!N118+'[101]Dec 14'!N118+'[101]Jan 15'!N118+'[101]Feb 15'!N118+'[101]Mar 15'!N118</f>
        <v>-845432362.42000008</v>
      </c>
      <c r="L118" s="4983"/>
    </row>
    <row r="119" spans="2:12" ht="15.75" hidden="1">
      <c r="B119" s="4982"/>
      <c r="C119" s="4982"/>
      <c r="D119" s="4982"/>
      <c r="E119" s="4982"/>
      <c r="F119" s="966"/>
      <c r="G119" s="951"/>
      <c r="H119" s="951"/>
      <c r="I119" s="994" t="s">
        <v>55</v>
      </c>
      <c r="J119" s="994"/>
      <c r="K119" s="995">
        <f>+'[101]Apr 14'!N119+'[101]May 14'!N119+'[101]Jun 14'!N119+'[101]Jul 14'!N119+'[101]Aug 14'!N119+'[101]Sep 14'!N119+'[101]Oct 14'!N119+'[101]Nov 14'!N119+'[101]Dec 14'!N119+'[101]Jan 15'!N119+'[101]Feb 15'!N119+'[101]Mar 15'!N119</f>
        <v>-4956240.0600000005</v>
      </c>
      <c r="L119" s="4983"/>
    </row>
    <row r="120" spans="2:12" ht="15.75" hidden="1">
      <c r="B120" s="4982"/>
      <c r="C120" s="4982"/>
      <c r="D120" s="4982"/>
      <c r="E120" s="4982"/>
      <c r="F120" s="966"/>
      <c r="G120" s="951"/>
      <c r="H120" s="951"/>
      <c r="I120" s="994" t="s">
        <v>56</v>
      </c>
      <c r="J120" s="994"/>
      <c r="K120" s="995">
        <f>+'[101]Apr 14'!N120+'[101]May 14'!N120+'[101]Jun 14'!N120+'[101]Jul 14'!N120+'[101]Aug 14'!N120+'[101]Sep 14'!N120+'[101]Oct 14'!N120+'[101]Nov 14'!N120+'[101]Dec 14'!N120+'[101]Jan 15'!N120+'[101]Feb 15'!N120+'[101]Mar 15'!N120</f>
        <v>-29201171.870000001</v>
      </c>
      <c r="L120" s="4983"/>
    </row>
    <row r="121" spans="2:12" ht="15.75" hidden="1">
      <c r="B121" s="4982"/>
      <c r="C121" s="4982"/>
      <c r="D121" s="4982"/>
      <c r="E121" s="4982"/>
      <c r="F121" s="966"/>
      <c r="G121" s="951"/>
      <c r="H121" s="951"/>
      <c r="I121" s="994" t="s">
        <v>2236</v>
      </c>
      <c r="J121" s="951"/>
      <c r="K121" s="995">
        <f>SUM(K117:K120)</f>
        <v>-1058179205.74</v>
      </c>
      <c r="L121" s="4983"/>
    </row>
    <row r="122" spans="2:12" ht="15.75">
      <c r="B122" s="4982"/>
      <c r="C122" s="4982"/>
      <c r="D122" s="4982"/>
      <c r="E122" s="4982"/>
      <c r="F122" s="966"/>
      <c r="G122" s="951"/>
      <c r="H122" s="951"/>
      <c r="I122" s="951" t="s">
        <v>58</v>
      </c>
      <c r="J122" s="951"/>
      <c r="K122" s="4984">
        <f>+K116/F110</f>
        <v>10.255504014635115</v>
      </c>
      <c r="L122" s="4983"/>
    </row>
    <row r="123" spans="2:12">
      <c r="B123" s="4982"/>
      <c r="C123" s="4982"/>
      <c r="D123" s="4982"/>
      <c r="E123" s="4982"/>
      <c r="F123" s="966"/>
      <c r="G123" s="951"/>
      <c r="H123" s="951"/>
      <c r="I123" s="951" t="s">
        <v>2237</v>
      </c>
      <c r="J123" s="951"/>
      <c r="K123" s="951">
        <f>+'[101]Apr 14'!N123+'[101]May 14'!N123+'[101]Jun 14'!N123+'[101]Jul 14'!N123+'[101]Aug 14'!N123+'[101]Sep 14'!N123+'[101]Oct 14'!N123+'[101]Nov 14'!N123+'[101]Dec 14'!N123+'[101]Jan 15'!N123+'[101]Feb 15'!N123+'[101]Mar 15'!N123</f>
        <v>290486295.06999999</v>
      </c>
      <c r="L123" s="4983"/>
    </row>
    <row r="124" spans="2:12">
      <c r="B124" s="4982"/>
      <c r="C124" s="4982"/>
      <c r="D124" s="4982"/>
      <c r="E124" s="4982"/>
      <c r="F124" s="966"/>
      <c r="G124" s="951"/>
      <c r="H124" s="951"/>
      <c r="I124" s="951" t="s">
        <v>2238</v>
      </c>
      <c r="J124" s="951"/>
      <c r="K124" s="951">
        <f>+'[101]Apr 14'!N124+'[101]May 14'!N124+'[101]Jun 14'!N124+'[101]Jul 14'!N124+'[101]Aug 14'!N124+'[101]Sep 14'!N124+'[101]Oct 14'!N124+'[101]Nov 14'!N124+'[101]Dec 14'!N124+'[101]Jan 15'!N124+'[101]Feb 15'!N124+'[101]Mar 15'!N124</f>
        <v>192088853.89000002</v>
      </c>
      <c r="L124" s="4983"/>
    </row>
    <row r="125" spans="2:12">
      <c r="B125" s="4982"/>
      <c r="C125" s="4982"/>
      <c r="D125" s="4982"/>
      <c r="E125" s="4982"/>
      <c r="F125" s="966"/>
      <c r="G125" s="951"/>
      <c r="H125" s="951"/>
      <c r="I125" s="951" t="s">
        <v>2239</v>
      </c>
      <c r="J125" s="951"/>
      <c r="K125" s="951">
        <f>+'[101]Apr 14'!N125+'[101]May 14'!N125+'[101]Jun 14'!N125+'[101]Jul 14'!N125+'[101]Aug 14'!N125+'[101]Sep 14'!N125+'[101]Oct 14'!N125+'[101]Nov 14'!N125+'[101]Dec 14'!N125+'[101]Jan 15'!N125+'[101]Feb 15'!N125+'[101]Mar 15'!N125</f>
        <v>168010209.97</v>
      </c>
      <c r="L125" s="4983"/>
    </row>
    <row r="126" spans="2:12">
      <c r="B126" s="4982"/>
      <c r="C126" s="4982"/>
      <c r="D126" s="4982"/>
      <c r="E126" s="4982"/>
      <c r="F126" s="966"/>
      <c r="G126" s="951"/>
      <c r="H126" s="951"/>
      <c r="I126" s="951" t="s">
        <v>2240</v>
      </c>
      <c r="J126" s="951"/>
      <c r="K126" s="951">
        <f>+'[101]Apr 14'!N126+'[101]May 14'!N126+'[101]Jun 14'!N126+'[101]Jul 14'!N126+'[101]Aug 14'!N126+'[101]Sep 14'!N126+'[101]Oct 14'!N126+'[101]Nov 14'!N126+'[101]Dec 14'!N126+'[101]Jan 15'!N126+'[101]Feb 15'!N126+'[101]Mar 15'!N126</f>
        <v>-26752800.149999999</v>
      </c>
      <c r="L126" s="4983"/>
    </row>
    <row r="127" spans="2:12">
      <c r="B127" s="4982"/>
      <c r="C127" s="4982"/>
      <c r="D127" s="4982"/>
      <c r="E127" s="4982"/>
      <c r="F127" s="966"/>
      <c r="G127" s="951"/>
      <c r="H127" s="951"/>
      <c r="I127" s="951" t="s">
        <v>2241</v>
      </c>
      <c r="J127" s="951"/>
      <c r="K127" s="951">
        <f>+'[101]Apr 14'!N127+'[101]May 14'!N127+'[101]Jun 14'!N127+'[101]Jul 14'!N127+'[101]Aug 14'!N127+'[101]Sep 14'!N127+'[101]Oct 14'!N127+'[101]Nov 14'!N127+'[101]Dec 14'!N127+'[101]Jan 15'!N127+'[101]Feb 15'!N127+'[101]Mar 15'!N127</f>
        <v>17252756</v>
      </c>
      <c r="L127" s="4983"/>
    </row>
    <row r="128" spans="2:12">
      <c r="B128" s="4982"/>
      <c r="C128" s="4982"/>
      <c r="D128" s="4982"/>
      <c r="E128" s="4982"/>
      <c r="F128" s="966"/>
      <c r="G128" s="951"/>
      <c r="H128" s="951"/>
      <c r="I128" s="951" t="s">
        <v>2242</v>
      </c>
      <c r="J128" s="951"/>
      <c r="K128" s="951">
        <f>SUM(K123:K127)</f>
        <v>641085314.78000009</v>
      </c>
      <c r="L128" s="4983"/>
    </row>
    <row r="129" spans="2:26" ht="15.75">
      <c r="B129" s="4982"/>
      <c r="C129" s="4982"/>
      <c r="D129" s="4982"/>
      <c r="E129" s="4982"/>
      <c r="F129" s="966"/>
      <c r="G129" s="951"/>
      <c r="H129" s="951"/>
      <c r="I129" s="993" t="s">
        <v>60</v>
      </c>
      <c r="J129" s="993"/>
      <c r="K129" s="993">
        <f>+K116+K128</f>
        <v>45958427736.823196</v>
      </c>
      <c r="L129" s="4983"/>
    </row>
    <row r="130" spans="2:26" ht="15.75">
      <c r="B130" s="4985"/>
      <c r="C130" s="4982"/>
      <c r="D130" s="4982"/>
      <c r="E130" s="4982"/>
      <c r="F130" s="4986"/>
      <c r="G130" s="951"/>
      <c r="H130" s="951"/>
      <c r="I130" s="951" t="s">
        <v>58</v>
      </c>
      <c r="J130" s="951"/>
      <c r="K130" s="4984">
        <f>+K129/F110</f>
        <v>10.40058430107865</v>
      </c>
      <c r="L130" s="4983"/>
    </row>
    <row r="132" spans="2:26" ht="20.100000000000001" customHeight="1">
      <c r="J132" s="922" t="s">
        <v>2244</v>
      </c>
      <c r="K132" s="922">
        <f>+K110+K111+K112+K113+K114+K115+K124+K125+K126+(K117+K118+K119+K120)</f>
        <v>44592509480.013199</v>
      </c>
    </row>
    <row r="133" spans="2:26" ht="20.100000000000001" customHeight="1">
      <c r="M133" s="1000" t="s">
        <v>3692</v>
      </c>
      <c r="N133" s="1001"/>
      <c r="O133" s="1001"/>
      <c r="P133" s="1001"/>
      <c r="Q133" s="1001"/>
      <c r="R133" s="1001"/>
      <c r="S133" s="1001"/>
      <c r="T133" s="1001"/>
      <c r="U133" s="1001"/>
      <c r="V133" s="1001"/>
      <c r="W133" s="1001"/>
      <c r="X133" s="1001"/>
      <c r="Y133" s="1001"/>
      <c r="Z133" s="1001"/>
    </row>
    <row r="134" spans="2:26" ht="20.100000000000001" customHeight="1">
      <c r="K134" s="4987"/>
      <c r="M134" s="1001"/>
      <c r="N134" s="1001"/>
      <c r="O134" s="1001"/>
      <c r="P134" s="1001"/>
      <c r="Q134" s="1001"/>
      <c r="R134" s="1001"/>
      <c r="S134" s="1001"/>
      <c r="T134" s="1001"/>
      <c r="U134" s="1001"/>
      <c r="V134" s="1001"/>
      <c r="W134" s="1001"/>
      <c r="X134" s="1001"/>
      <c r="Y134" s="1001"/>
      <c r="Z134" s="1001"/>
    </row>
    <row r="135" spans="2:26" ht="20.100000000000001" customHeight="1">
      <c r="M135" s="1002" t="s">
        <v>2245</v>
      </c>
      <c r="N135" s="1003">
        <v>41741</v>
      </c>
      <c r="O135" s="1003">
        <v>41772</v>
      </c>
      <c r="P135" s="1003">
        <v>41803</v>
      </c>
      <c r="Q135" s="1003">
        <v>41834</v>
      </c>
      <c r="R135" s="1003">
        <v>41865</v>
      </c>
      <c r="S135" s="1003">
        <v>41896</v>
      </c>
      <c r="T135" s="1003">
        <v>41927</v>
      </c>
      <c r="U135" s="1003">
        <v>41958</v>
      </c>
      <c r="V135" s="1003">
        <v>41989</v>
      </c>
      <c r="W135" s="1003">
        <v>42020</v>
      </c>
      <c r="X135" s="1003">
        <v>42051</v>
      </c>
      <c r="Y135" s="1003">
        <v>42082</v>
      </c>
      <c r="Z135" s="1004" t="s">
        <v>47</v>
      </c>
    </row>
    <row r="136" spans="2:26" ht="20.100000000000001" customHeight="1">
      <c r="M136" s="1005" t="s">
        <v>2246</v>
      </c>
      <c r="N136" s="1005">
        <f>'[101]Apr 14'!I110/10^6</f>
        <v>366.12322360000002</v>
      </c>
      <c r="O136" s="1005">
        <f>'[101]May 14'!I110/10^6</f>
        <v>403.75635109000001</v>
      </c>
      <c r="P136" s="1005">
        <f>'[101]Jun 14'!I110/10^6</f>
        <v>416.42232760000002</v>
      </c>
      <c r="Q136" s="1005">
        <f>'[101]Jul 14'!I110/10^6</f>
        <v>414.79526067</v>
      </c>
      <c r="R136" s="1005">
        <f>'[101]Aug 14'!I110/10^6</f>
        <v>387.57286984000001</v>
      </c>
      <c r="S136" s="1005">
        <f>'[101]Sep 14'!I110/10^6</f>
        <v>360.11936539999999</v>
      </c>
      <c r="T136" s="1005">
        <f>'[101]Oct 14'!I110/10^6</f>
        <v>387.47625299000003</v>
      </c>
      <c r="U136" s="1005">
        <f>'[101]Nov 14'!I110/10^6</f>
        <v>401.37264984000001</v>
      </c>
      <c r="V136" s="1005">
        <f>'[101]Dec 14'!I110/10^6</f>
        <v>355.57689385000003</v>
      </c>
      <c r="W136" s="1005">
        <f>'[101]Jan 15'!I110/10^6</f>
        <v>321.71939822000002</v>
      </c>
      <c r="X136" s="1005">
        <f>'[101]Feb 15'!I110/10^6</f>
        <v>298.88914455999998</v>
      </c>
      <c r="Y136" s="1005">
        <f>'[101]Mar 15'!I110/10^6</f>
        <v>305.00759012000003</v>
      </c>
      <c r="Z136" s="1005">
        <f>SUM(N136:Y136)</f>
        <v>4418.8313277799998</v>
      </c>
    </row>
    <row r="137" spans="2:26" ht="20.100000000000001" customHeight="1">
      <c r="M137" s="1005" t="s">
        <v>2247</v>
      </c>
      <c r="N137" s="1005">
        <f>('[101]Apr 14'!J110+'[101]Apr 14'!K110)/10^7</f>
        <v>266.53562784100001</v>
      </c>
      <c r="O137" s="1005">
        <f>('[101]May 14'!J110+'[101]May 14'!K110)/10^7</f>
        <v>320.72507534009998</v>
      </c>
      <c r="P137" s="1005">
        <f>('[101]Jun 14'!J110+'[101]Jun 14'!K110)/10^7</f>
        <v>330.32911571400001</v>
      </c>
      <c r="Q137" s="1005">
        <f>('[101]Jul 14'!J110+'[101]Jul 14'!K110)/10^7</f>
        <v>329.22629572529991</v>
      </c>
      <c r="R137" s="1005">
        <f>('[101]Aug 14'!J110+'[101]Aug 14'!K110)/10^7</f>
        <v>305.50875832259999</v>
      </c>
      <c r="S137" s="1005">
        <f>('[101]Sep 14'!J110+'[101]Sep 14'!K110)/10^7</f>
        <v>280.76048654800002</v>
      </c>
      <c r="T137" s="1005">
        <f>('[101]Oct 14'!J110+'[101]Oct 14'!K110)/10^7</f>
        <v>304.45523428109999</v>
      </c>
      <c r="U137" s="1005">
        <f>('[101]Nov 14'!J110+'[101]Nov 14'!K110)/10^7</f>
        <v>314.66625384059995</v>
      </c>
      <c r="V137" s="1005">
        <f>('[101]Dec 14'!J110+'[101]Dec 14'!K110)/10^7</f>
        <v>281.00576261949999</v>
      </c>
      <c r="W137" s="1005">
        <f>('[101]Jan 15'!J110+'[101]Jan 15'!K110)/10^7</f>
        <v>254.70103583779999</v>
      </c>
      <c r="X137" s="1005">
        <f>('[101]Feb 15'!J110+'[101]Feb 15'!K110)/10^7</f>
        <v>235.97371272939998</v>
      </c>
      <c r="Y137" s="1005">
        <f>('[101]Mar 15'!J110+'[101]Mar 15'!K110)/10^7</f>
        <v>238.64352215980006</v>
      </c>
      <c r="Z137" s="1005">
        <f t="shared" ref="Z137:Z143" si="18">SUM(N137:Y137)</f>
        <v>3462.5308809591997</v>
      </c>
    </row>
    <row r="138" spans="2:26" ht="20.100000000000001" customHeight="1">
      <c r="M138" s="1005" t="s">
        <v>2248</v>
      </c>
      <c r="N138" s="1005">
        <f>'[101]Apr 14'!L110/10^7</f>
        <v>54.890646865999997</v>
      </c>
      <c r="O138" s="1005">
        <f>'[101]May 14'!L110/10^7</f>
        <v>61.312737265999999</v>
      </c>
      <c r="P138" s="1005">
        <f>'[101]Jun 14'!L110/10^7</f>
        <v>63.214600040999997</v>
      </c>
      <c r="Q138" s="1005">
        <f>'[101]Jul 14'!L110/10^7</f>
        <v>63.092570037000002</v>
      </c>
      <c r="R138" s="1005">
        <f>'[101]Aug 14'!L110/10^7</f>
        <v>58.177945004999998</v>
      </c>
      <c r="S138" s="1005">
        <f>'[101]Sep 14'!L110/10^7</f>
        <v>52.978662139999997</v>
      </c>
      <c r="T138" s="1005">
        <f>'[101]Oct 14'!L110/10^7</f>
        <v>57.910525850999996</v>
      </c>
      <c r="U138" s="1005">
        <f>'[101]Nov 14'!L110/10^7</f>
        <v>59.907388197000003</v>
      </c>
      <c r="V138" s="1005">
        <f>'[101]Dec 14'!L110/10^7</f>
        <v>53.351270913999997</v>
      </c>
      <c r="W138" s="1005">
        <f>'[101]Jan 15'!L110/10^7</f>
        <v>48.083473144999999</v>
      </c>
      <c r="X138" s="1005">
        <f>'[101]Feb 15'!L110/10^7</f>
        <v>44.236007460119993</v>
      </c>
      <c r="Y138" s="1005">
        <f>'[101]Mar 15'!L110/10^7</f>
        <v>44.791812527999994</v>
      </c>
      <c r="Z138" s="1005">
        <f t="shared" si="18"/>
        <v>661.94763945011982</v>
      </c>
    </row>
    <row r="139" spans="2:26" ht="20.100000000000001" customHeight="1">
      <c r="M139" s="1005" t="s">
        <v>2249</v>
      </c>
      <c r="N139" s="1005">
        <f>'[101]Apr 14'!N111/10^7</f>
        <v>1.0245015070000001</v>
      </c>
      <c r="O139" s="1005">
        <f>'[101]May 14'!N111/10^7</f>
        <v>1.0349141390000001</v>
      </c>
      <c r="P139" s="1005">
        <f>'[101]Jun 14'!N111/10^7</f>
        <v>1.054288122</v>
      </c>
      <c r="Q139" s="1005">
        <f>'[101]Jul 14'!N111/10^7</f>
        <v>1.062261744</v>
      </c>
      <c r="R139" s="1005">
        <f>'[101]Aug 14'!N111/10^7</f>
        <v>1.1300040470000001</v>
      </c>
      <c r="S139" s="1005">
        <f>'[101]Sep 14'!N111/10^7</f>
        <v>1.1013088289999999</v>
      </c>
      <c r="T139" s="1005">
        <f>'[101]Oct 14'!N111/10^7</f>
        <v>1.0744442730000001</v>
      </c>
      <c r="U139" s="1005">
        <f>'[101]Nov 14'!N111/10^7</f>
        <v>1.072967</v>
      </c>
      <c r="V139" s="1005">
        <f>'[101]Dec 14'!N111/10^7</f>
        <v>1.0021671750000001</v>
      </c>
      <c r="W139" s="1005">
        <f>'[101]Jan 15'!N111/10^7</f>
        <v>1.050762757</v>
      </c>
      <c r="X139" s="1005">
        <f>'[101]Feb 15'!N111/10^7</f>
        <v>0.98297899</v>
      </c>
      <c r="Y139" s="1005">
        <f>'[101]Mar 15'!N111/10^7</f>
        <v>0.87080774800000005</v>
      </c>
      <c r="Z139" s="1005">
        <f t="shared" si="18"/>
        <v>12.461406330999999</v>
      </c>
    </row>
    <row r="140" spans="2:26" ht="20.100000000000001" customHeight="1">
      <c r="M140" s="1005" t="s">
        <v>2250</v>
      </c>
      <c r="N140" s="1005">
        <f>'[101]Apr 14'!N115/10^7</f>
        <v>0.69235696700000005</v>
      </c>
      <c r="O140" s="1005">
        <f>'[101]May 14'!N115/10^7</f>
        <v>0.77042662300000009</v>
      </c>
      <c r="P140" s="1005">
        <f>'[101]Jun 14'!N115/10^7</f>
        <v>0.73162066999999997</v>
      </c>
      <c r="Q140" s="1005">
        <f>'[101]Jul 14'!N115/10^7</f>
        <v>0.76627394999999998</v>
      </c>
      <c r="R140" s="1005">
        <f>'[101]Aug 14'!N115/10^7</f>
        <v>0.54217125499999996</v>
      </c>
      <c r="S140" s="1005">
        <f>'[101]Sep 14'!N115/10^7</f>
        <v>0.58435010799999998</v>
      </c>
      <c r="T140" s="1005">
        <f>'[101]Oct 14'!N115/10^7</f>
        <v>0.56840754199999999</v>
      </c>
      <c r="U140" s="1005">
        <f>'[101]Nov 14'!N115/10^7</f>
        <v>0.59567652900000001</v>
      </c>
      <c r="V140" s="1005">
        <f>'[101]Dec 14'!N115/10^7</f>
        <v>0.107929126</v>
      </c>
      <c r="W140" s="1005">
        <f>'[101]Jan 15'!N115/10^7</f>
        <v>0.38827967000000002</v>
      </c>
      <c r="X140" s="1005">
        <f>'[101]Feb 15'!N115/10^7</f>
        <v>0.147672314</v>
      </c>
      <c r="Y140" s="1005">
        <f>'[101]Mar 15'!N115/10^7</f>
        <v>0.33491013599999997</v>
      </c>
      <c r="Z140" s="1005">
        <f t="shared" si="18"/>
        <v>6.2300748900000009</v>
      </c>
    </row>
    <row r="141" spans="2:26" ht="20.100000000000001" customHeight="1">
      <c r="M141" s="1005" t="s">
        <v>2251</v>
      </c>
      <c r="N141" s="1005">
        <f>'[101]Apr 14'!N114/10^7</f>
        <v>1.3111819470000001</v>
      </c>
      <c r="O141" s="1005">
        <f>'[101]May 14'!N114/10^7</f>
        <v>1.4131766480000001</v>
      </c>
      <c r="P141" s="1005">
        <f>'[101]Jun 14'!N114/10^7</f>
        <v>1.538485138</v>
      </c>
      <c r="Q141" s="1005">
        <f>'[101]Jul 14'!N114/10^7</f>
        <v>1.5592795179999999</v>
      </c>
      <c r="R141" s="1005">
        <f>'[101]Aug 14'!N114/10^7</f>
        <v>1.454438407</v>
      </c>
      <c r="S141" s="1005">
        <f>'[101]Sep 14'!N114/10^7</f>
        <v>1.3210695059999999</v>
      </c>
      <c r="T141" s="1005">
        <f>'[101]Oct 14'!N114/10^7</f>
        <v>1.420373756</v>
      </c>
      <c r="U141" s="1005">
        <f>'[101]Nov 14'!N114/10^7</f>
        <v>1.3753177990000001</v>
      </c>
      <c r="V141" s="1005">
        <f>'[101]Dec 14'!N114/10^7</f>
        <v>1.3869166929999999</v>
      </c>
      <c r="W141" s="1005">
        <f>'[101]Jan 15'!N114/10^7</f>
        <v>1.250673143</v>
      </c>
      <c r="X141" s="1005">
        <f>'[101]Feb 15'!N114/10^7</f>
        <v>1.1417618810000001</v>
      </c>
      <c r="Y141" s="1005">
        <f>'[101]Mar 15'!N114/10^7</f>
        <v>1.169197917</v>
      </c>
      <c r="Z141" s="1005">
        <f t="shared" si="18"/>
        <v>16.341872352999999</v>
      </c>
    </row>
    <row r="142" spans="2:26" ht="20.100000000000001" customHeight="1">
      <c r="M142" s="1005" t="s">
        <v>2252</v>
      </c>
      <c r="N142" s="1005">
        <f>'[101]Apr 14'!N113/10^7</f>
        <v>-2.9753704999999998E-2</v>
      </c>
      <c r="O142" s="1005">
        <f>'[101]May 14'!N113/10^7</f>
        <v>3.2981489999999998E-3</v>
      </c>
      <c r="P142" s="1005">
        <f>'[101]Jun 14'!N113/10^7</f>
        <v>-5.0984348999999998E-2</v>
      </c>
      <c r="Q142" s="1005">
        <f>'[101]Jul 14'!N113/10^7</f>
        <v>-2.2749683E-2</v>
      </c>
      <c r="R142" s="1005">
        <f>'[101]Aug 14'!N113/10^7</f>
        <v>-2.0216919E-2</v>
      </c>
      <c r="S142" s="1005">
        <f>'[101]Sep 14'!N113/10^7</f>
        <v>-7.7244486000000001E-2</v>
      </c>
      <c r="T142" s="1005">
        <f>'[101]Oct 14'!N113/10^7</f>
        <v>-2.4802371E-2</v>
      </c>
      <c r="U142" s="1005">
        <f>'[101]Nov 14'!N113/10^7</f>
        <v>-4.2756460999999996E-2</v>
      </c>
      <c r="V142" s="1005">
        <f>'[101]Dec 14'!N113/10^7</f>
        <v>-1.8565827999999999E-2</v>
      </c>
      <c r="W142" s="1005">
        <f>'[101]Jan 15'!N113/10^7</f>
        <v>-5.8833401E-2</v>
      </c>
      <c r="X142" s="1005">
        <f>'[101]Feb 15'!N113/10^7</f>
        <v>-1.6281807999999995E-2</v>
      </c>
      <c r="Y142" s="1005">
        <f>'[101]Mar 15'!N113/10^7</f>
        <v>-1.6388943999999999E-2</v>
      </c>
      <c r="Z142" s="1005">
        <f t="shared" si="18"/>
        <v>-0.37527980600000005</v>
      </c>
    </row>
    <row r="143" spans="2:26" ht="20.100000000000001" customHeight="1">
      <c r="M143" s="1005" t="s">
        <v>2253</v>
      </c>
      <c r="N143" s="1005">
        <f>'[101]Apr 14'!M110/10^7</f>
        <v>47.245598982000004</v>
      </c>
      <c r="O143" s="1005">
        <f>'[101]May 14'!M110/10^7</f>
        <v>47.884602809</v>
      </c>
      <c r="P143" s="1005">
        <f>'[101]Jun 14'!M110/10^7</f>
        <v>49.455295433000003</v>
      </c>
      <c r="Q143" s="1005">
        <f>'[101]Jul 14'!M110/10^7</f>
        <v>49.333212146000001</v>
      </c>
      <c r="R143" s="1005">
        <f>'[101]Aug 14'!M110/10^7</f>
        <v>45.414044329000006</v>
      </c>
      <c r="S143" s="1005">
        <f>'[101]Sep 14'!M110/10^7</f>
        <v>41.017307189</v>
      </c>
      <c r="T143" s="1005">
        <f>'[101]Oct 14'!M110/10^7</f>
        <v>45.049787697999996</v>
      </c>
      <c r="U143" s="1005">
        <f>'[101]Nov 14'!M110/10^7</f>
        <v>46.638214668000003</v>
      </c>
      <c r="V143" s="1005">
        <f>'[101]Dec 14'!M110/10^7</f>
        <v>41.385792916</v>
      </c>
      <c r="W143" s="1005">
        <f>'[101]Jan 15'!M110/10^7</f>
        <v>37.191501073999994</v>
      </c>
      <c r="X143" s="1005">
        <f>'[101]Feb 15'!M110/10^7</f>
        <v>34.106558567999997</v>
      </c>
      <c r="Y143" s="1005">
        <f>'[101]Mar 15'!M110/10^7</f>
        <v>34.762272013000008</v>
      </c>
      <c r="Z143" s="1005">
        <f t="shared" si="18"/>
        <v>519.48418782499994</v>
      </c>
    </row>
    <row r="144" spans="2:26" ht="20.100000000000001" customHeight="1">
      <c r="M144" s="1005" t="s">
        <v>2254</v>
      </c>
      <c r="N144" s="1005">
        <f t="shared" ref="N144:S144" si="19">SUM(N137:N143)</f>
        <v>371.67016040500005</v>
      </c>
      <c r="O144" s="1005">
        <f t="shared" si="19"/>
        <v>433.14423097409997</v>
      </c>
      <c r="P144" s="1005">
        <f t="shared" si="19"/>
        <v>446.27242076900001</v>
      </c>
      <c r="Q144" s="1005">
        <f t="shared" si="19"/>
        <v>445.01714343729992</v>
      </c>
      <c r="R144" s="1005">
        <f t="shared" si="19"/>
        <v>412.20714444659995</v>
      </c>
      <c r="S144" s="1005">
        <f t="shared" si="19"/>
        <v>377.68593983400007</v>
      </c>
      <c r="T144" s="1005">
        <f t="shared" ref="T144:Y144" si="20">SUM(T137:T143)</f>
        <v>410.45397103009992</v>
      </c>
      <c r="U144" s="1005">
        <f t="shared" si="20"/>
        <v>424.21306157259994</v>
      </c>
      <c r="V144" s="1005">
        <f t="shared" si="20"/>
        <v>378.22127361549997</v>
      </c>
      <c r="W144" s="1005">
        <f t="shared" si="20"/>
        <v>342.60689222579987</v>
      </c>
      <c r="X144" s="1005">
        <f t="shared" si="20"/>
        <v>316.57241013451994</v>
      </c>
      <c r="Y144" s="1005">
        <f t="shared" si="20"/>
        <v>320.55613355780008</v>
      </c>
      <c r="Z144" s="1005">
        <f>SUM(Z137:Z143)</f>
        <v>4678.6207820023192</v>
      </c>
    </row>
    <row r="145" spans="13:27" ht="20.100000000000001" customHeight="1">
      <c r="M145" s="1005" t="s">
        <v>2255</v>
      </c>
      <c r="N145" s="1005">
        <f>'[101]Apr 14'!N112/10^7</f>
        <v>-0.17124853799999998</v>
      </c>
      <c r="O145" s="1005">
        <f>'[101]May 14'!N112/10^7</f>
        <v>-2.7428064000000002E-2</v>
      </c>
      <c r="P145" s="1005">
        <f>'[101]Jun 14'!N112/10^7</f>
        <v>0.785993371</v>
      </c>
      <c r="Q145" s="1005">
        <f>'[101]Jul 14'!N112/10^7</f>
        <v>4.4681249430000003</v>
      </c>
      <c r="R145" s="1005">
        <f>'[101]Aug 14'!N112/10^7</f>
        <v>-4.6305114840000003</v>
      </c>
      <c r="S145" s="1005">
        <f>'[101]Sep 14'!N112/10^7</f>
        <v>-13.066771291</v>
      </c>
      <c r="T145" s="1005">
        <f>'[101]Oct 14'!N112/10^7</f>
        <v>-21.389590253999998</v>
      </c>
      <c r="U145" s="1005">
        <f>'[101]Nov 14'!N112/10^7</f>
        <v>5.6594506950000003</v>
      </c>
      <c r="V145" s="1005">
        <f>'[101]Dec 14'!N112/10^7</f>
        <v>-4.055164381</v>
      </c>
      <c r="W145" s="1005">
        <f>'[101]Jan 15'!N112/10^7</f>
        <v>-17.115851191000001</v>
      </c>
      <c r="X145" s="1005">
        <f>'[101]Feb 15'!N112/10^7</f>
        <v>-49.846744810000004</v>
      </c>
      <c r="Y145" s="1005">
        <f>'[101]Mar 15'!N112/10^7</f>
        <v>-57.080212160000002</v>
      </c>
      <c r="Z145" s="1005">
        <f>SUM(N145:Y145)</f>
        <v>-156.469953164</v>
      </c>
    </row>
    <row r="146" spans="13:27" ht="20.100000000000001" customHeight="1">
      <c r="M146" s="1005" t="s">
        <v>2256</v>
      </c>
      <c r="N146" s="4988">
        <f t="shared" ref="N146:Z146" si="21">+N145*10/N136</f>
        <v>-4.6773470504316832E-3</v>
      </c>
      <c r="O146" s="4988">
        <f t="shared" si="21"/>
        <v>-6.7932216857899289E-4</v>
      </c>
      <c r="P146" s="4988">
        <f t="shared" si="21"/>
        <v>1.8874909410597128E-2</v>
      </c>
      <c r="Q146" s="4988">
        <f t="shared" si="21"/>
        <v>0.10771880411031795</v>
      </c>
      <c r="R146" s="4988">
        <f t="shared" si="21"/>
        <v>-0.11947460321233511</v>
      </c>
      <c r="S146" s="4988">
        <f t="shared" si="21"/>
        <v>-0.36284556029043807</v>
      </c>
      <c r="T146" s="4988">
        <f t="shared" si="21"/>
        <v>-0.55202325533358609</v>
      </c>
      <c r="U146" s="4988">
        <f t="shared" si="21"/>
        <v>0.14100240007025985</v>
      </c>
      <c r="V146" s="4988">
        <f t="shared" si="21"/>
        <v>-0.11404465394510897</v>
      </c>
      <c r="W146" s="4988">
        <f t="shared" si="21"/>
        <v>-0.53201178684586936</v>
      </c>
      <c r="X146" s="4988">
        <f t="shared" si="21"/>
        <v>-1.6677335298804608</v>
      </c>
      <c r="Y146" s="4988">
        <f t="shared" si="21"/>
        <v>-1.8714357940254129</v>
      </c>
      <c r="Z146" s="1005">
        <f t="shared" si="21"/>
        <v>-0.35409804438634179</v>
      </c>
      <c r="AA146" s="923"/>
    </row>
    <row r="147" spans="13:27" ht="20.100000000000001" customHeight="1">
      <c r="M147" s="1005" t="s">
        <v>2257</v>
      </c>
      <c r="N147" s="1005">
        <f t="shared" ref="N147:Y147" si="22">+N144+N145</f>
        <v>371.49891186700006</v>
      </c>
      <c r="O147" s="1005">
        <f t="shared" si="22"/>
        <v>433.11680291009998</v>
      </c>
      <c r="P147" s="1005">
        <f t="shared" si="22"/>
        <v>447.05841414000002</v>
      </c>
      <c r="Q147" s="1005">
        <f t="shared" si="22"/>
        <v>449.48526838029994</v>
      </c>
      <c r="R147" s="1005">
        <f t="shared" si="22"/>
        <v>407.57663296259994</v>
      </c>
      <c r="S147" s="1005">
        <f t="shared" si="22"/>
        <v>364.61916854300006</v>
      </c>
      <c r="T147" s="1005">
        <f t="shared" si="22"/>
        <v>389.06438077609994</v>
      </c>
      <c r="U147" s="1005">
        <f t="shared" si="22"/>
        <v>429.87251226759992</v>
      </c>
      <c r="V147" s="1005">
        <f t="shared" si="22"/>
        <v>374.16610923449997</v>
      </c>
      <c r="W147" s="1005">
        <f t="shared" si="22"/>
        <v>325.49104103479988</v>
      </c>
      <c r="X147" s="1005">
        <f t="shared" si="22"/>
        <v>266.72566532451992</v>
      </c>
      <c r="Y147" s="1005">
        <f t="shared" si="22"/>
        <v>263.47592139780011</v>
      </c>
      <c r="Z147" s="1005">
        <f>+Z144+Z145</f>
        <v>4522.1508288383193</v>
      </c>
    </row>
    <row r="148" spans="13:27" ht="20.100000000000001" customHeight="1">
      <c r="M148" s="1005" t="s">
        <v>2258</v>
      </c>
      <c r="N148" s="1005">
        <f>'[101]Apr 14'!N128/10^7</f>
        <v>5.1436332940000007</v>
      </c>
      <c r="O148" s="1005">
        <f>'[101]May 14'!N128/10^7</f>
        <v>5.1892799179999995</v>
      </c>
      <c r="P148" s="1005">
        <f>'[101]Jun 14'!N128/10^7</f>
        <v>5.9024452969999999</v>
      </c>
      <c r="Q148" s="1005">
        <f>'[101]Jul 14'!N128/10^7</f>
        <v>5.3193161139999994</v>
      </c>
      <c r="R148" s="1005">
        <f>'[101]Aug 14'!N128/10^7</f>
        <v>5.1886769140000002</v>
      </c>
      <c r="S148" s="1005">
        <f>'[101]Sep 14'!N128/10^7</f>
        <v>5.4926090959999998</v>
      </c>
      <c r="T148" s="1005">
        <f>'[101]Oct 14'!N128/10^7</f>
        <v>5.1274580930000004</v>
      </c>
      <c r="U148" s="1005">
        <f>'[101]Nov 14'!N128/10^7</f>
        <v>5.7606750919999996</v>
      </c>
      <c r="V148" s="1005">
        <f>'[101]Dec 14'!N128/10^7</f>
        <v>4.861446838</v>
      </c>
      <c r="W148" s="1005">
        <f>'[101]Jan 15'!N128/10^7</f>
        <v>5.466097746</v>
      </c>
      <c r="X148" s="1005">
        <f>'[101]Feb 15'!N128/10^7</f>
        <v>5.4517636650000005</v>
      </c>
      <c r="Y148" s="1005">
        <f>'[101]Mar 15'!N128/10^7</f>
        <v>5.2051294109999997</v>
      </c>
      <c r="Z148" s="1005">
        <f>SUM(N148:Y148)</f>
        <v>64.108531478000003</v>
      </c>
    </row>
    <row r="149" spans="13:27" ht="20.100000000000001" customHeight="1">
      <c r="M149" s="1005" t="s">
        <v>2259</v>
      </c>
      <c r="N149" s="1005">
        <f t="shared" ref="N149:Z149" si="23">SUM(N147:N148)</f>
        <v>376.64254516100004</v>
      </c>
      <c r="O149" s="1005">
        <f t="shared" si="23"/>
        <v>438.30608282809999</v>
      </c>
      <c r="P149" s="1005">
        <f t="shared" si="23"/>
        <v>452.96085943700001</v>
      </c>
      <c r="Q149" s="1005">
        <f t="shared" si="23"/>
        <v>454.80458449429995</v>
      </c>
      <c r="R149" s="1005">
        <f t="shared" si="23"/>
        <v>412.76530987659993</v>
      </c>
      <c r="S149" s="1005">
        <f t="shared" si="23"/>
        <v>370.11177763900008</v>
      </c>
      <c r="T149" s="1005">
        <f t="shared" si="23"/>
        <v>394.19183886909991</v>
      </c>
      <c r="U149" s="1005">
        <f t="shared" si="23"/>
        <v>435.6331873595999</v>
      </c>
      <c r="V149" s="1005">
        <f t="shared" si="23"/>
        <v>379.02755607249998</v>
      </c>
      <c r="W149" s="1005">
        <f t="shared" si="23"/>
        <v>330.95713878079988</v>
      </c>
      <c r="X149" s="1005">
        <f t="shared" si="23"/>
        <v>272.17742898951991</v>
      </c>
      <c r="Y149" s="1005">
        <f t="shared" si="23"/>
        <v>268.68105080880008</v>
      </c>
      <c r="Z149" s="1005">
        <f t="shared" si="23"/>
        <v>4586.2593603163195</v>
      </c>
    </row>
    <row r="150" spans="13:27" ht="20.100000000000001" customHeight="1">
      <c r="M150" s="1002" t="s">
        <v>2260</v>
      </c>
      <c r="N150" s="1002">
        <f t="shared" ref="N150:Z150" si="24">+N144*10/N136</f>
        <v>10.1515046423567</v>
      </c>
      <c r="O150" s="1002">
        <f t="shared" si="24"/>
        <v>10.727861736534003</v>
      </c>
      <c r="P150" s="1002">
        <f t="shared" si="24"/>
        <v>10.716822590686657</v>
      </c>
      <c r="Q150" s="1002">
        <f t="shared" si="24"/>
        <v>10.728597590977387</v>
      </c>
      <c r="R150" s="1002">
        <f t="shared" si="24"/>
        <v>10.635603689617636</v>
      </c>
      <c r="S150" s="1002">
        <f t="shared" si="24"/>
        <v>10.487798661271329</v>
      </c>
      <c r="T150" s="1002">
        <f t="shared" si="24"/>
        <v>10.593009709957448</v>
      </c>
      <c r="U150" s="1002">
        <f t="shared" si="24"/>
        <v>10.569057501593715</v>
      </c>
      <c r="V150" s="1002">
        <f t="shared" si="24"/>
        <v>10.636834961921133</v>
      </c>
      <c r="W150" s="1002">
        <f t="shared" si="24"/>
        <v>10.649245712921433</v>
      </c>
      <c r="X150" s="1002">
        <f t="shared" si="24"/>
        <v>10.591632914622972</v>
      </c>
      <c r="Y150" s="1002">
        <f t="shared" si="24"/>
        <v>10.509775623343756</v>
      </c>
      <c r="Z150" s="1002">
        <f t="shared" si="24"/>
        <v>10.587914393991673</v>
      </c>
    </row>
    <row r="151" spans="13:27" ht="20.100000000000001" customHeight="1">
      <c r="M151" s="1002" t="s">
        <v>2261</v>
      </c>
      <c r="N151" s="1002">
        <v>10.93</v>
      </c>
      <c r="O151" s="1002">
        <v>10.93</v>
      </c>
      <c r="P151" s="1002">
        <v>10.93</v>
      </c>
      <c r="Q151" s="1002">
        <v>10.93</v>
      </c>
      <c r="R151" s="1002">
        <v>10.93</v>
      </c>
      <c r="S151" s="1002">
        <v>10.93</v>
      </c>
      <c r="T151" s="1002">
        <v>10.93</v>
      </c>
      <c r="U151" s="1002">
        <v>10.93</v>
      </c>
      <c r="V151" s="1002">
        <v>10.93</v>
      </c>
      <c r="W151" s="1002">
        <v>10.93</v>
      </c>
      <c r="X151" s="1002">
        <v>10.93</v>
      </c>
      <c r="Y151" s="1002">
        <v>10.93</v>
      </c>
      <c r="Z151" s="1002">
        <v>10.93</v>
      </c>
    </row>
    <row r="152" spans="13:27" ht="20.100000000000001" customHeight="1">
      <c r="M152" s="1005" t="s">
        <v>2262</v>
      </c>
      <c r="N152" s="1005">
        <f t="shared" ref="N152:Z152" si="25">+N147*10/N136</f>
        <v>10.146827295306268</v>
      </c>
      <c r="O152" s="1005">
        <f t="shared" si="25"/>
        <v>10.727182414365423</v>
      </c>
      <c r="P152" s="1005">
        <f t="shared" si="25"/>
        <v>10.735697500097256</v>
      </c>
      <c r="Q152" s="1005">
        <f t="shared" si="25"/>
        <v>10.836316395087705</v>
      </c>
      <c r="R152" s="1005">
        <f t="shared" si="25"/>
        <v>10.5161290864053</v>
      </c>
      <c r="S152" s="1005">
        <f t="shared" si="25"/>
        <v>10.124953100980891</v>
      </c>
      <c r="T152" s="1005">
        <f t="shared" si="25"/>
        <v>10.040986454623862</v>
      </c>
      <c r="U152" s="1005">
        <f t="shared" si="25"/>
        <v>10.710059901663973</v>
      </c>
      <c r="V152" s="1005">
        <f t="shared" si="25"/>
        <v>10.522790307976024</v>
      </c>
      <c r="W152" s="1005">
        <f t="shared" si="25"/>
        <v>10.117233926075563</v>
      </c>
      <c r="X152" s="1005">
        <f t="shared" si="25"/>
        <v>8.9238993847425103</v>
      </c>
      <c r="Y152" s="1005">
        <f t="shared" si="25"/>
        <v>8.6383398293183458</v>
      </c>
      <c r="Z152" s="4988">
        <f t="shared" si="25"/>
        <v>10.23381634960533</v>
      </c>
    </row>
    <row r="153" spans="13:27" ht="20.100000000000001" customHeight="1">
      <c r="M153" s="1005" t="s">
        <v>2263</v>
      </c>
      <c r="N153" s="1005">
        <f t="shared" ref="N153:Y153" si="26">+N138*10/N136</f>
        <v>1.4992396911147483</v>
      </c>
      <c r="O153" s="1005">
        <f t="shared" si="26"/>
        <v>1.5185578406501148</v>
      </c>
      <c r="P153" s="1005">
        <f t="shared" si="26"/>
        <v>1.5180406008805949</v>
      </c>
      <c r="Q153" s="1005">
        <f t="shared" si="26"/>
        <v>1.5210533007317737</v>
      </c>
      <c r="R153" s="1005">
        <f t="shared" si="26"/>
        <v>1.5010840420542679</v>
      </c>
      <c r="S153" s="1005">
        <f t="shared" si="26"/>
        <v>1.4711417166126106</v>
      </c>
      <c r="T153" s="1005">
        <f t="shared" si="26"/>
        <v>1.494556773586188</v>
      </c>
      <c r="U153" s="1005">
        <f t="shared" si="26"/>
        <v>1.4925627897386882</v>
      </c>
      <c r="V153" s="1005">
        <f t="shared" si="26"/>
        <v>1.5004144486538602</v>
      </c>
      <c r="W153" s="1005">
        <f t="shared" si="26"/>
        <v>1.4945779897337519</v>
      </c>
      <c r="X153" s="1005">
        <f t="shared" si="26"/>
        <v>1.4800138534720158</v>
      </c>
      <c r="Y153" s="1005">
        <f t="shared" si="26"/>
        <v>1.4685474715687377</v>
      </c>
      <c r="Z153" s="1005">
        <f>+Z138*10/Z136</f>
        <v>1.4980151771999843</v>
      </c>
    </row>
    <row r="154" spans="13:27">
      <c r="M154" s="1006" t="s">
        <v>2264</v>
      </c>
      <c r="N154" s="1006">
        <f t="shared" ref="N154:Z154" si="27">+N149*10/N136</f>
        <v>10.287316424715321</v>
      </c>
      <c r="O154" s="1006">
        <f t="shared" si="27"/>
        <v>10.855707449426562</v>
      </c>
      <c r="P154" s="1006">
        <f t="shared" si="27"/>
        <v>10.877439306570938</v>
      </c>
      <c r="Q154" s="1006">
        <f t="shared" si="27"/>
        <v>10.964555953693269</v>
      </c>
      <c r="R154" s="1006">
        <f t="shared" si="27"/>
        <v>10.650005250548109</v>
      </c>
      <c r="S154" s="1006">
        <f t="shared" si="27"/>
        <v>10.27747500409763</v>
      </c>
      <c r="T154" s="1006">
        <f t="shared" si="27"/>
        <v>10.173316063301385</v>
      </c>
      <c r="U154" s="1006">
        <f t="shared" si="27"/>
        <v>10.85358425725463</v>
      </c>
      <c r="V154" s="1006">
        <f t="shared" si="27"/>
        <v>10.65951029518787</v>
      </c>
      <c r="W154" s="1006">
        <f t="shared" si="27"/>
        <v>10.28713657342113</v>
      </c>
      <c r="X154" s="1006">
        <f t="shared" si="27"/>
        <v>9.1063002435299936</v>
      </c>
      <c r="Y154" s="1006">
        <f t="shared" si="27"/>
        <v>8.8089955631298267</v>
      </c>
      <c r="Z154" s="4989">
        <f t="shared" si="27"/>
        <v>10.378896636048868</v>
      </c>
    </row>
    <row r="155" spans="13:27">
      <c r="M155" s="1007"/>
      <c r="N155" s="1007"/>
      <c r="O155" s="1007"/>
      <c r="P155" s="1007"/>
      <c r="Q155" s="1007"/>
      <c r="R155" s="1007"/>
      <c r="S155" s="1007"/>
      <c r="T155" s="1007"/>
      <c r="U155" s="1007"/>
      <c r="V155" s="1007"/>
      <c r="W155" s="1007"/>
      <c r="X155" s="1007"/>
      <c r="Y155" s="1007"/>
      <c r="Z155" s="1007"/>
    </row>
    <row r="156" spans="13:27">
      <c r="M156" s="1007"/>
      <c r="N156" s="1007">
        <f>+(N150-N151)*N136/10</f>
        <v>-28.502522989799967</v>
      </c>
      <c r="O156" s="1007">
        <f t="shared" ref="O156:Y156" si="28">+(O150-O151)*O136/10</f>
        <v>-8.1614607672700075</v>
      </c>
      <c r="P156" s="1007">
        <f t="shared" si="28"/>
        <v>-8.8771832977999914</v>
      </c>
      <c r="Q156" s="1007">
        <f t="shared" si="28"/>
        <v>-8.3540764750100713</v>
      </c>
      <c r="R156" s="1007">
        <f t="shared" si="28"/>
        <v>-11.410002288520026</v>
      </c>
      <c r="S156" s="1007">
        <f t="shared" si="28"/>
        <v>-15.924526548199935</v>
      </c>
      <c r="T156" s="1007">
        <f t="shared" si="28"/>
        <v>-13.057573487970132</v>
      </c>
      <c r="U156" s="1007">
        <f t="shared" si="28"/>
        <v>-14.48724470252005</v>
      </c>
      <c r="V156" s="1007">
        <f t="shared" si="28"/>
        <v>-10.42427136255003</v>
      </c>
      <c r="W156" s="1007">
        <f t="shared" si="28"/>
        <v>-9.0324100286601734</v>
      </c>
      <c r="X156" s="1007">
        <f t="shared" si="28"/>
        <v>-10.113424869560037</v>
      </c>
      <c r="Y156" s="1007">
        <f t="shared" si="28"/>
        <v>-12.817162443359996</v>
      </c>
      <c r="Z156" s="1007">
        <f>SUM(N156:Y156)</f>
        <v>-151.16185926122043</v>
      </c>
    </row>
    <row r="157" spans="13:27">
      <c r="Z157" s="922">
        <f>+(Z151-Z150)*Z136/10</f>
        <v>151.16185926122017</v>
      </c>
    </row>
  </sheetData>
  <mergeCells count="10">
    <mergeCell ref="K31:K32"/>
    <mergeCell ref="L31:L32"/>
    <mergeCell ref="K47:K48"/>
    <mergeCell ref="L47:L48"/>
    <mergeCell ref="D3:E3"/>
    <mergeCell ref="L9:L12"/>
    <mergeCell ref="L13:L16"/>
    <mergeCell ref="L17:L20"/>
    <mergeCell ref="K21:K24"/>
    <mergeCell ref="L21:L24"/>
  </mergeCells>
  <printOptions horizontalCentered="1" verticalCentered="1"/>
  <pageMargins left="0.45" right="0.45" top="0.25" bottom="0.25" header="0.3" footer="1.28"/>
  <pageSetup paperSize="9" scale="39" orientation="landscape" r:id="rId1"/>
  <headerFooter>
    <oddFooter>&amp;LCompiled from reports of CC dept.</oddFooter>
  </headerFooter>
</worksheet>
</file>

<file path=xl/worksheets/sheet57.xml><?xml version="1.0" encoding="utf-8"?>
<worksheet xmlns="http://schemas.openxmlformats.org/spreadsheetml/2006/main" xmlns:r="http://schemas.openxmlformats.org/officeDocument/2006/relationships">
  <sheetPr codeName="Sheet48">
    <pageSetUpPr fitToPage="1"/>
  </sheetPr>
  <dimension ref="B2:X72"/>
  <sheetViews>
    <sheetView view="pageBreakPreview" topLeftCell="G1" zoomScale="79" zoomScaleNormal="80" zoomScaleSheetLayoutView="79" workbookViewId="0">
      <selection activeCell="V1" sqref="V1"/>
    </sheetView>
  </sheetViews>
  <sheetFormatPr defaultRowHeight="12.75"/>
  <cols>
    <col min="1" max="1" width="9.140625" style="3976"/>
    <col min="2" max="2" width="13.140625" style="3976" customWidth="1"/>
    <col min="3" max="3" width="15.28515625" style="3976" customWidth="1"/>
    <col min="4" max="4" width="10.42578125" style="3976" bestFit="1" customWidth="1"/>
    <col min="5" max="5" width="10.28515625" style="3976" customWidth="1"/>
    <col min="6" max="6" width="10.7109375" style="3976" customWidth="1"/>
    <col min="7" max="11" width="9.42578125" style="3976" bestFit="1" customWidth="1"/>
    <col min="12" max="12" width="11" style="3976" bestFit="1" customWidth="1"/>
    <col min="13" max="15" width="9.42578125" style="3976" bestFit="1" customWidth="1"/>
    <col min="16" max="18" width="9.42578125" style="4009" bestFit="1" customWidth="1"/>
    <col min="19" max="19" width="9.42578125" style="4009" customWidth="1"/>
    <col min="20" max="21" width="10.140625" style="4009" customWidth="1"/>
    <col min="22" max="22" width="11.28515625" style="4009" customWidth="1"/>
    <col min="23" max="23" width="10" style="3976" customWidth="1"/>
    <col min="24" max="24" width="9.140625" style="3976" customWidth="1"/>
    <col min="25" max="16384" width="9.140625" style="3976"/>
  </cols>
  <sheetData>
    <row r="2" spans="2:24" s="3975" customFormat="1">
      <c r="C2" s="4171"/>
      <c r="D2" s="4171"/>
      <c r="E2" s="4171"/>
      <c r="F2" s="4171"/>
      <c r="G2" s="4171"/>
      <c r="H2" s="4171"/>
      <c r="I2" s="4171"/>
      <c r="J2" s="4167" t="s">
        <v>170</v>
      </c>
      <c r="K2" s="4171"/>
      <c r="L2" s="4171"/>
      <c r="M2" s="4171"/>
      <c r="N2" s="4171"/>
      <c r="O2" s="4171"/>
      <c r="P2" s="4171"/>
      <c r="Q2" s="4171"/>
      <c r="R2" s="4171"/>
      <c r="S2" s="4171"/>
      <c r="T2" s="4098"/>
      <c r="U2" s="4098"/>
      <c r="V2" s="4171"/>
    </row>
    <row r="3" spans="2:24" s="3975" customFormat="1">
      <c r="C3" s="4172"/>
      <c r="D3" s="4172"/>
      <c r="E3" s="4172"/>
      <c r="F3" s="4172"/>
      <c r="G3" s="4172"/>
      <c r="H3" s="4172"/>
      <c r="I3" s="4172"/>
      <c r="J3" s="4168" t="s">
        <v>3016</v>
      </c>
      <c r="K3" s="4172"/>
      <c r="L3" s="4172"/>
      <c r="M3" s="4172"/>
      <c r="N3" s="4172"/>
      <c r="O3" s="4172"/>
      <c r="P3" s="4172"/>
      <c r="Q3" s="4172"/>
      <c r="R3" s="4172"/>
      <c r="S3" s="4172"/>
      <c r="T3" s="4099"/>
      <c r="U3" s="4099"/>
      <c r="V3" s="4172"/>
    </row>
    <row r="4" spans="2:24" s="3975" customFormat="1">
      <c r="C4" s="4171"/>
      <c r="D4" s="4171"/>
      <c r="E4" s="4171"/>
      <c r="F4" s="4171"/>
      <c r="G4" s="4171"/>
      <c r="H4" s="4171"/>
      <c r="I4" s="4171"/>
      <c r="J4" s="4167" t="s">
        <v>3017</v>
      </c>
      <c r="K4" s="4171"/>
      <c r="L4" s="4171"/>
      <c r="M4" s="4171"/>
      <c r="N4" s="4171"/>
      <c r="O4" s="4171"/>
      <c r="P4" s="4171"/>
      <c r="Q4" s="4171"/>
      <c r="R4" s="4171"/>
      <c r="S4" s="4171"/>
      <c r="T4" s="4098"/>
      <c r="U4" s="4098"/>
      <c r="V4" s="4171"/>
    </row>
    <row r="5" spans="2:24" s="3975" customFormat="1">
      <c r="C5" s="4171"/>
      <c r="D5" s="4171"/>
      <c r="E5" s="4171"/>
      <c r="F5" s="4171"/>
      <c r="G5" s="4171"/>
      <c r="H5" s="4171"/>
      <c r="I5" s="4171"/>
      <c r="J5" s="4167" t="s">
        <v>3569</v>
      </c>
      <c r="K5" s="4171"/>
      <c r="L5" s="4171"/>
      <c r="M5" s="4171"/>
      <c r="N5" s="4171"/>
      <c r="O5" s="4171"/>
      <c r="P5" s="4171"/>
      <c r="Q5" s="4171"/>
      <c r="R5" s="4171"/>
      <c r="S5" s="4171"/>
      <c r="T5" s="4098"/>
      <c r="U5" s="4098"/>
      <c r="V5" s="4171"/>
    </row>
    <row r="7" spans="2:24" ht="32.25" customHeight="1">
      <c r="B7" s="5864" t="s">
        <v>1938</v>
      </c>
      <c r="C7" s="5866" t="s">
        <v>3077</v>
      </c>
      <c r="D7" s="5868" t="s">
        <v>3030</v>
      </c>
      <c r="E7" s="5869"/>
      <c r="F7" s="5870"/>
      <c r="G7" s="5868" t="s">
        <v>3078</v>
      </c>
      <c r="H7" s="5870"/>
      <c r="I7" s="5871" t="s">
        <v>3079</v>
      </c>
      <c r="J7" s="5871" t="s">
        <v>3253</v>
      </c>
      <c r="K7" s="5868" t="s">
        <v>3080</v>
      </c>
      <c r="L7" s="5870"/>
      <c r="M7" s="5873" t="s">
        <v>3081</v>
      </c>
      <c r="N7" s="5874"/>
      <c r="O7" s="5875"/>
      <c r="P7" s="5862" t="s">
        <v>3082</v>
      </c>
      <c r="Q7" s="5862" t="s">
        <v>3083</v>
      </c>
      <c r="R7" s="5862" t="s">
        <v>3084</v>
      </c>
      <c r="S7" s="5862" t="s">
        <v>3085</v>
      </c>
      <c r="T7" s="5861" t="s">
        <v>3211</v>
      </c>
      <c r="U7" s="5861" t="s">
        <v>3212</v>
      </c>
      <c r="V7" s="5862" t="s">
        <v>3281</v>
      </c>
      <c r="W7" s="5859"/>
      <c r="X7" s="5860" t="s">
        <v>3086</v>
      </c>
    </row>
    <row r="8" spans="2:24" ht="52.5">
      <c r="B8" s="5865"/>
      <c r="C8" s="5867"/>
      <c r="D8" s="4645" t="s">
        <v>3031</v>
      </c>
      <c r="E8" s="4645" t="s">
        <v>3032</v>
      </c>
      <c r="F8" s="4645" t="s">
        <v>3089</v>
      </c>
      <c r="G8" s="4646" t="s">
        <v>3090</v>
      </c>
      <c r="H8" s="4646" t="s">
        <v>3091</v>
      </c>
      <c r="I8" s="5872"/>
      <c r="J8" s="5872"/>
      <c r="K8" s="4646" t="s">
        <v>3282</v>
      </c>
      <c r="L8" s="4646" t="s">
        <v>3092</v>
      </c>
      <c r="M8" s="4646" t="s">
        <v>3093</v>
      </c>
      <c r="N8" s="4646" t="s">
        <v>3094</v>
      </c>
      <c r="O8" s="4646" t="s">
        <v>3095</v>
      </c>
      <c r="P8" s="5863"/>
      <c r="Q8" s="5863"/>
      <c r="R8" s="5863"/>
      <c r="S8" s="5863"/>
      <c r="T8" s="5861"/>
      <c r="U8" s="5861"/>
      <c r="V8" s="5863"/>
      <c r="W8" s="5859"/>
      <c r="X8" s="5860"/>
    </row>
    <row r="9" spans="2:24">
      <c r="B9" s="3978" t="s">
        <v>14</v>
      </c>
      <c r="C9" s="3978" t="s">
        <v>15</v>
      </c>
      <c r="D9" s="3979">
        <f>'F1'!G48</f>
        <v>189</v>
      </c>
      <c r="E9" s="3979">
        <f>'F1'!H48</f>
        <v>0</v>
      </c>
      <c r="F9" s="3979">
        <f>SUM(D9:E9)</f>
        <v>189</v>
      </c>
      <c r="G9" s="3980">
        <v>3</v>
      </c>
      <c r="H9" s="3980">
        <f>[102]F20!J12</f>
        <v>0</v>
      </c>
      <c r="I9" s="3980">
        <v>0.8</v>
      </c>
      <c r="J9" s="3980">
        <f>[102]F20!L12</f>
        <v>0.12</v>
      </c>
      <c r="K9" s="3980">
        <f>'F1'!G11</f>
        <v>4.8749000000000001E-2</v>
      </c>
      <c r="L9" s="3980"/>
      <c r="M9" s="3981">
        <f>G9*F9*12/10^7</f>
        <v>6.8039999999999995E-4</v>
      </c>
      <c r="N9" s="3980"/>
      <c r="O9" s="3980">
        <f>M9+N9</f>
        <v>6.8039999999999995E-4</v>
      </c>
      <c r="P9" s="3982">
        <f>K9*I9/10</f>
        <v>3.8999200000000003E-3</v>
      </c>
      <c r="Q9" s="3983">
        <f t="shared" ref="Q9:Q16" si="0">SUM(O9:P9)</f>
        <v>4.5803200000000006E-3</v>
      </c>
      <c r="R9" s="3982">
        <f>K9*J9/10</f>
        <v>5.8498800000000004E-4</v>
      </c>
      <c r="S9" s="3983">
        <f>Q9+R9</f>
        <v>5.1653080000000004E-3</v>
      </c>
      <c r="T9" s="3983">
        <v>0.09</v>
      </c>
      <c r="U9" s="3982">
        <f>IF(Assumptions!$D$130="YES",$K9*T9/10,0)</f>
        <v>4.3874099999999998E-4</v>
      </c>
      <c r="V9" s="3982">
        <f>S9+U9</f>
        <v>5.6040490000000007E-3</v>
      </c>
      <c r="W9" s="4209">
        <f>$V9/$K9*10</f>
        <v>1.1495720937865392</v>
      </c>
      <c r="X9" s="4209">
        <f>$V9/$K9*10</f>
        <v>1.1495720937865392</v>
      </c>
    </row>
    <row r="10" spans="2:24">
      <c r="B10" s="3987" t="s">
        <v>3018</v>
      </c>
      <c r="C10" s="3988" t="s">
        <v>17</v>
      </c>
      <c r="D10" s="3979">
        <f>'F1'!G49</f>
        <v>302776.55060820997</v>
      </c>
      <c r="E10" s="3979">
        <f>'F1'!H49</f>
        <v>14860.39939272367</v>
      </c>
      <c r="F10" s="3979">
        <f t="shared" ref="F10:F28" si="1">SUM(D10:E10)</f>
        <v>317636.95000093366</v>
      </c>
      <c r="G10" s="3980">
        <v>40</v>
      </c>
      <c r="H10" s="3980">
        <f>[102]F20!J13</f>
        <v>0</v>
      </c>
      <c r="I10" s="3980">
        <v>2.65</v>
      </c>
      <c r="J10" s="3980">
        <f>[102]F20!L13</f>
        <v>0.55000000000000004</v>
      </c>
      <c r="K10" s="3980">
        <f>'F1'!G12</f>
        <v>706.79374499999994</v>
      </c>
      <c r="L10" s="3980"/>
      <c r="M10" s="3981">
        <f>G10*F10*12/10^7</f>
        <v>15.246573600044817</v>
      </c>
      <c r="N10" s="3980"/>
      <c r="O10" s="3980">
        <f t="shared" ref="O10:O35" si="2">M10+N10</f>
        <v>15.246573600044817</v>
      </c>
      <c r="P10" s="3982">
        <f>K10*I10/10</f>
        <v>187.300342425</v>
      </c>
      <c r="Q10" s="3983">
        <f t="shared" si="0"/>
        <v>202.54691602504482</v>
      </c>
      <c r="R10" s="3982">
        <f t="shared" ref="R10:R32" si="3">K10*J10/10</f>
        <v>38.873655975000005</v>
      </c>
      <c r="S10" s="3983">
        <f t="shared" ref="S10:S35" si="4">Q10+R10</f>
        <v>241.42057200004484</v>
      </c>
      <c r="T10" s="3983">
        <v>0.38</v>
      </c>
      <c r="U10" s="3982">
        <f>IF(Assumptions!$D$130="YES",$K10*T10/10,0)</f>
        <v>26.858162310000001</v>
      </c>
      <c r="V10" s="3982">
        <f t="shared" ref="V10:V35" si="5">S10+U10</f>
        <v>268.27873431004485</v>
      </c>
      <c r="W10" s="4209">
        <f>SUM(V10:V13)/SUM(K10:K13)*10</f>
        <v>7.3981165914057598</v>
      </c>
      <c r="X10" s="4209">
        <f t="shared" ref="X10:X37" si="6">$V10/$K10*10</f>
        <v>3.7957146085106466</v>
      </c>
    </row>
    <row r="11" spans="2:24">
      <c r="B11" s="3987"/>
      <c r="C11" s="3988" t="s">
        <v>18</v>
      </c>
      <c r="D11" s="3979">
        <f>'F1'!G50</f>
        <v>325028.32302121434</v>
      </c>
      <c r="E11" s="3979">
        <f>'F1'!H50</f>
        <v>28005.272755443006</v>
      </c>
      <c r="F11" s="3979">
        <f t="shared" si="1"/>
        <v>353033.59577665734</v>
      </c>
      <c r="G11" s="3980">
        <v>75</v>
      </c>
      <c r="H11" s="3980">
        <f>[102]F20!J14</f>
        <v>0</v>
      </c>
      <c r="I11" s="3980">
        <v>5.35</v>
      </c>
      <c r="J11" s="3980">
        <f>[102]F20!L14</f>
        <v>1.03</v>
      </c>
      <c r="K11" s="3980">
        <f>'F1'!G13</f>
        <v>609.68066599999997</v>
      </c>
      <c r="L11" s="3980"/>
      <c r="M11" s="3981">
        <f>G11*F11*12/10^7+(D11*G11*12/10^7+E11*150*12/10^7)*0</f>
        <v>31.773023619899167</v>
      </c>
      <c r="N11" s="3980"/>
      <c r="O11" s="3980">
        <f t="shared" si="2"/>
        <v>31.773023619899167</v>
      </c>
      <c r="P11" s="3982">
        <f>K11*I11/10</f>
        <v>326.17915630999994</v>
      </c>
      <c r="Q11" s="3983">
        <f t="shared" si="0"/>
        <v>357.9521799298991</v>
      </c>
      <c r="R11" s="3982">
        <f t="shared" si="3"/>
        <v>62.797108598000001</v>
      </c>
      <c r="S11" s="3983">
        <f t="shared" si="4"/>
        <v>420.74928852789913</v>
      </c>
      <c r="T11" s="3983">
        <v>0.73</v>
      </c>
      <c r="U11" s="3982">
        <f>IF(Assumptions!$D$130="YES",$K11*T11/10,0)</f>
        <v>44.506688617999998</v>
      </c>
      <c r="V11" s="3982">
        <f t="shared" si="5"/>
        <v>465.25597714589912</v>
      </c>
      <c r="W11" s="4175"/>
      <c r="X11" s="4209">
        <f t="shared" si="6"/>
        <v>7.6311420566828208</v>
      </c>
    </row>
    <row r="12" spans="2:24">
      <c r="B12" s="3987"/>
      <c r="C12" s="3988" t="s">
        <v>19</v>
      </c>
      <c r="D12" s="3979">
        <f>'F1'!G51</f>
        <v>33844.600487113501</v>
      </c>
      <c r="E12" s="3979">
        <f>'F1'!H51</f>
        <v>19521.644031722939</v>
      </c>
      <c r="F12" s="3979">
        <f t="shared" si="1"/>
        <v>53366.244518836436</v>
      </c>
      <c r="G12" s="3980">
        <v>75</v>
      </c>
      <c r="H12" s="3980">
        <f>[102]F20!J15</f>
        <v>0</v>
      </c>
      <c r="I12" s="3980">
        <v>7.5</v>
      </c>
      <c r="J12" s="3980">
        <f>[102]F20!L15</f>
        <v>1.44</v>
      </c>
      <c r="K12" s="3980">
        <f>'F1'!G14</f>
        <v>186.52222900000001</v>
      </c>
      <c r="L12" s="3980"/>
      <c r="M12" s="3981">
        <f>G12*F12*12/10^7+(D12*G12*12/10^7+E12*150*12/10^7)*0</f>
        <v>4.8029620066952798</v>
      </c>
      <c r="N12" s="3980"/>
      <c r="O12" s="3980">
        <f t="shared" si="2"/>
        <v>4.8029620066952798</v>
      </c>
      <c r="P12" s="3982">
        <f>K12*I12/10</f>
        <v>139.89167175</v>
      </c>
      <c r="Q12" s="3983">
        <f t="shared" si="0"/>
        <v>144.69463375669528</v>
      </c>
      <c r="R12" s="3982">
        <f t="shared" si="3"/>
        <v>26.859200976</v>
      </c>
      <c r="S12" s="3983">
        <f t="shared" si="4"/>
        <v>171.55383473269529</v>
      </c>
      <c r="T12" s="3983">
        <v>1.05</v>
      </c>
      <c r="U12" s="3982">
        <f>IF(Assumptions!$D$130="YES",$K12*T12/10,0)</f>
        <v>19.584834045000001</v>
      </c>
      <c r="V12" s="3982">
        <f t="shared" si="5"/>
        <v>191.1386687776953</v>
      </c>
      <c r="W12" s="4175"/>
      <c r="X12" s="4209">
        <f t="shared" si="6"/>
        <v>10.247500783281723</v>
      </c>
    </row>
    <row r="13" spans="2:24">
      <c r="B13" s="3987"/>
      <c r="C13" s="3988" t="s">
        <v>20</v>
      </c>
      <c r="D13" s="3979">
        <f>'F1'!G52</f>
        <v>7718.3345030689352</v>
      </c>
      <c r="E13" s="3979">
        <f>'F1'!H52</f>
        <v>23614.793094377714</v>
      </c>
      <c r="F13" s="3979">
        <f t="shared" si="1"/>
        <v>31333.127597446648</v>
      </c>
      <c r="G13" s="3980">
        <v>100</v>
      </c>
      <c r="H13" s="3980">
        <f>[102]F20!J16</f>
        <v>0</v>
      </c>
      <c r="I13" s="3980">
        <v>9.5500000000000007</v>
      </c>
      <c r="J13" s="3980">
        <f>[102]F20!L16</f>
        <v>1.85</v>
      </c>
      <c r="K13" s="3980">
        <f>'F1'!G15</f>
        <v>343.51382899999999</v>
      </c>
      <c r="L13" s="3980"/>
      <c r="M13" s="3981">
        <f>G13*F13*12/10^7+(D13*G13*12/10^7+E13*150*12/10^7)*0</f>
        <v>3.7599753116935974</v>
      </c>
      <c r="N13" s="3980"/>
      <c r="O13" s="3980">
        <f t="shared" si="2"/>
        <v>3.7599753116935974</v>
      </c>
      <c r="P13" s="3982">
        <f t="shared" ref="P13:P28" si="7">K13*I13/10</f>
        <v>328.05570669500003</v>
      </c>
      <c r="Q13" s="3983">
        <f t="shared" si="0"/>
        <v>331.81568200669363</v>
      </c>
      <c r="R13" s="3982">
        <f t="shared" si="3"/>
        <v>63.550058364999998</v>
      </c>
      <c r="S13" s="3983">
        <f t="shared" si="4"/>
        <v>395.36574037169362</v>
      </c>
      <c r="T13" s="3983">
        <v>1.34</v>
      </c>
      <c r="U13" s="3982">
        <f>IF(Assumptions!$D$130="YES",$K13*T13/10,0)</f>
        <v>46.030853086</v>
      </c>
      <c r="V13" s="3982">
        <f t="shared" si="5"/>
        <v>441.3965934576936</v>
      </c>
      <c r="W13" s="4175"/>
      <c r="X13" s="4209">
        <f t="shared" si="6"/>
        <v>12.849456301152102</v>
      </c>
    </row>
    <row r="14" spans="2:24">
      <c r="B14" s="3987" t="s">
        <v>1991</v>
      </c>
      <c r="C14" s="3988" t="s">
        <v>3096</v>
      </c>
      <c r="D14" s="3979">
        <f>'F1'!G53</f>
        <v>201481.61052478431</v>
      </c>
      <c r="E14" s="3979">
        <f>'F1'!H53</f>
        <v>23201.367750449273</v>
      </c>
      <c r="F14" s="3979">
        <f t="shared" si="1"/>
        <v>224682.97827523359</v>
      </c>
      <c r="G14" s="3980">
        <v>250</v>
      </c>
      <c r="H14" s="3980">
        <f>[102]F20!J18</f>
        <v>0</v>
      </c>
      <c r="I14" s="3980">
        <v>7.45</v>
      </c>
      <c r="J14" s="3980">
        <f>[102]F20!L18</f>
        <v>1.48</v>
      </c>
      <c r="K14" s="3980">
        <f>'F1'!G17</f>
        <v>542.73403499999995</v>
      </c>
      <c r="L14" s="3980"/>
      <c r="M14" s="3981">
        <f t="shared" ref="M14:M35" si="8">G14*F14*12/10^7</f>
        <v>67.404893482570074</v>
      </c>
      <c r="N14" s="3980"/>
      <c r="O14" s="3980">
        <f t="shared" si="2"/>
        <v>67.404893482570074</v>
      </c>
      <c r="P14" s="3982">
        <f t="shared" si="7"/>
        <v>404.33685607499996</v>
      </c>
      <c r="Q14" s="3983">
        <f t="shared" si="0"/>
        <v>471.74174955757002</v>
      </c>
      <c r="R14" s="3982">
        <f t="shared" si="3"/>
        <v>80.324637179999996</v>
      </c>
      <c r="S14" s="3983">
        <f t="shared" si="4"/>
        <v>552.06638673757004</v>
      </c>
      <c r="T14" s="3983">
        <v>1.1000000000000001</v>
      </c>
      <c r="U14" s="3982">
        <f>IF(Assumptions!$D$130="YES",$K14*T14/10,0)</f>
        <v>59.700743850000002</v>
      </c>
      <c r="V14" s="3982">
        <f t="shared" si="5"/>
        <v>611.76713058757002</v>
      </c>
      <c r="W14" s="4209">
        <f>SUM(V14:V15)/SUM(K14:K15)*10</f>
        <v>12.712861962587565</v>
      </c>
      <c r="X14" s="4209">
        <f t="shared" si="6"/>
        <v>11.271950737115098</v>
      </c>
    </row>
    <row r="15" spans="2:24">
      <c r="B15" s="3987"/>
      <c r="C15" s="3988" t="s">
        <v>20</v>
      </c>
      <c r="D15" s="3979">
        <f>'F1'!G54</f>
        <v>12099.707986352003</v>
      </c>
      <c r="E15" s="3979">
        <f>'F1'!H54</f>
        <v>20404.430204832701</v>
      </c>
      <c r="F15" s="3979">
        <f t="shared" si="1"/>
        <v>32504.138191184706</v>
      </c>
      <c r="G15" s="3980">
        <v>250</v>
      </c>
      <c r="H15" s="3980">
        <f>[102]F20!J20</f>
        <v>0</v>
      </c>
      <c r="I15" s="3980">
        <v>10</v>
      </c>
      <c r="J15" s="3980">
        <f>[102]F20!L20</f>
        <v>2.2000000000000002</v>
      </c>
      <c r="K15" s="3980">
        <f>'F1'!G18</f>
        <v>344.47488600000003</v>
      </c>
      <c r="L15" s="3980"/>
      <c r="M15" s="3981">
        <f t="shared" si="8"/>
        <v>9.7512414573554125</v>
      </c>
      <c r="N15" s="3980"/>
      <c r="O15" s="3980">
        <f t="shared" si="2"/>
        <v>9.7512414573554125</v>
      </c>
      <c r="P15" s="3982">
        <f t="shared" si="7"/>
        <v>344.47488600000003</v>
      </c>
      <c r="Q15" s="3983">
        <f t="shared" si="0"/>
        <v>354.22612745735546</v>
      </c>
      <c r="R15" s="3982">
        <f t="shared" si="3"/>
        <v>75.784474920000008</v>
      </c>
      <c r="S15" s="3983">
        <f t="shared" si="4"/>
        <v>430.01060237735544</v>
      </c>
      <c r="T15" s="3983">
        <v>2.5</v>
      </c>
      <c r="U15" s="3982">
        <f>IF(Assumptions!$D$130="YES",$K15*T15/10,0)</f>
        <v>86.118721500000007</v>
      </c>
      <c r="V15" s="3982">
        <f t="shared" si="5"/>
        <v>516.12932387735543</v>
      </c>
      <c r="W15" s="4175"/>
      <c r="X15" s="4209">
        <f t="shared" si="6"/>
        <v>14.983075540588331</v>
      </c>
    </row>
    <row r="16" spans="2:24">
      <c r="B16" s="3987" t="s">
        <v>1992</v>
      </c>
      <c r="C16" s="3987" t="s">
        <v>28</v>
      </c>
      <c r="D16" s="3979">
        <f>'F1'!G55</f>
        <v>58</v>
      </c>
      <c r="E16" s="3979">
        <f>'F1'!H55</f>
        <v>5850</v>
      </c>
      <c r="F16" s="3979">
        <f t="shared" si="1"/>
        <v>5908</v>
      </c>
      <c r="G16" s="3980">
        <f>[102]F20!I21</f>
        <v>0</v>
      </c>
      <c r="H16" s="3980">
        <v>200</v>
      </c>
      <c r="I16" s="3980">
        <v>9.3000000000000007</v>
      </c>
      <c r="J16" s="3980">
        <f>[102]F20!L21</f>
        <v>2.15</v>
      </c>
      <c r="K16" s="3980">
        <f>'F1'!G20</f>
        <v>234.58796100000001</v>
      </c>
      <c r="L16" s="3980">
        <f>K16*10^6/(365*24*0.97*0.27)</f>
        <v>102250.65904062516</v>
      </c>
      <c r="M16" s="3981">
        <f t="shared" si="8"/>
        <v>0</v>
      </c>
      <c r="N16" s="3980">
        <f>L16*H16*12/10^7</f>
        <v>24.54015816975004</v>
      </c>
      <c r="O16" s="3980">
        <f t="shared" si="2"/>
        <v>24.54015816975004</v>
      </c>
      <c r="P16" s="3982">
        <f t="shared" si="7"/>
        <v>218.16680373000003</v>
      </c>
      <c r="Q16" s="3983">
        <f t="shared" si="0"/>
        <v>242.70696189975007</v>
      </c>
      <c r="R16" s="3982">
        <f t="shared" si="3"/>
        <v>50.436411614999997</v>
      </c>
      <c r="S16" s="3983">
        <f t="shared" si="4"/>
        <v>293.14337351475007</v>
      </c>
      <c r="T16" s="3983">
        <v>1.58</v>
      </c>
      <c r="U16" s="3982">
        <f>IF(Assumptions!$D$130="YES",$K16*T16/10,0)</f>
        <v>37.064897838</v>
      </c>
      <c r="V16" s="3982">
        <f t="shared" si="5"/>
        <v>330.20827135275005</v>
      </c>
      <c r="W16" s="4209">
        <f>V16/K16*10</f>
        <v>14.076096230392235</v>
      </c>
      <c r="X16" s="4209">
        <f t="shared" si="6"/>
        <v>14.076096230392235</v>
      </c>
    </row>
    <row r="17" spans="2:24">
      <c r="B17" s="3987" t="s">
        <v>1993</v>
      </c>
      <c r="C17" s="3987" t="s">
        <v>28</v>
      </c>
      <c r="D17" s="3979">
        <f>'F1'!G56</f>
        <v>0</v>
      </c>
      <c r="E17" s="3979">
        <f>'F1'!H56</f>
        <v>2649</v>
      </c>
      <c r="F17" s="3979">
        <f t="shared" si="1"/>
        <v>2649</v>
      </c>
      <c r="G17" s="3980">
        <f>[102]F20!I22</f>
        <v>0</v>
      </c>
      <c r="H17" s="3980">
        <v>200</v>
      </c>
      <c r="I17" s="3980">
        <v>9.6999999999999993</v>
      </c>
      <c r="J17" s="3980">
        <f>[102]F20!L22</f>
        <v>2.1800000000000002</v>
      </c>
      <c r="K17" s="3980">
        <f>'F1'!G21</f>
        <v>462.90675199999998</v>
      </c>
      <c r="L17" s="3980">
        <f>K17*10^6/(365*24*0.97*0.32)</f>
        <v>170242.38572706305</v>
      </c>
      <c r="M17" s="3981">
        <f t="shared" si="8"/>
        <v>0</v>
      </c>
      <c r="N17" s="3980">
        <f>L17*H17*12/10^7</f>
        <v>40.858172574495129</v>
      </c>
      <c r="O17" s="3980">
        <f t="shared" si="2"/>
        <v>40.858172574495129</v>
      </c>
      <c r="P17" s="3982">
        <f t="shared" si="7"/>
        <v>449.01954943999999</v>
      </c>
      <c r="Q17" s="3983">
        <f t="shared" ref="Q17:Q35" si="9">SUM(O17:P17)</f>
        <v>489.87772201449513</v>
      </c>
      <c r="R17" s="3982">
        <f t="shared" si="3"/>
        <v>100.913671936</v>
      </c>
      <c r="S17" s="3983">
        <f t="shared" si="4"/>
        <v>590.79139395049515</v>
      </c>
      <c r="T17" s="3983">
        <v>1.61</v>
      </c>
      <c r="U17" s="3982">
        <f>IF(Assumptions!$D$130="YES",$K17*T17/10,0)</f>
        <v>74.527987072000002</v>
      </c>
      <c r="V17" s="3982">
        <f t="shared" si="5"/>
        <v>665.31938102249512</v>
      </c>
      <c r="W17" s="4209">
        <f>V17/K17*10</f>
        <v>14.372643694393448</v>
      </c>
      <c r="X17" s="4209">
        <f t="shared" si="6"/>
        <v>14.372643694393448</v>
      </c>
    </row>
    <row r="18" spans="2:24">
      <c r="B18" s="3987" t="s">
        <v>3022</v>
      </c>
      <c r="C18" s="3988" t="s">
        <v>25</v>
      </c>
      <c r="D18" s="3979">
        <f>'F1'!G57</f>
        <v>2438</v>
      </c>
      <c r="E18" s="3979">
        <f>'F1'!H57</f>
        <v>3567</v>
      </c>
      <c r="F18" s="3979">
        <f t="shared" si="1"/>
        <v>6005</v>
      </c>
      <c r="G18" s="3980">
        <v>325</v>
      </c>
      <c r="H18" s="3980">
        <f>[102]F20!J24</f>
        <v>0</v>
      </c>
      <c r="I18" s="3980">
        <v>6.35</v>
      </c>
      <c r="J18" s="3980">
        <f>[102]F20!L24</f>
        <v>1.4</v>
      </c>
      <c r="K18" s="3980">
        <f>'F1'!G22</f>
        <v>20.789632000000001</v>
      </c>
      <c r="L18" s="3980"/>
      <c r="M18" s="3981">
        <f t="shared" si="8"/>
        <v>2.3419500000000002</v>
      </c>
      <c r="N18" s="3980"/>
      <c r="O18" s="3980">
        <f t="shared" si="2"/>
        <v>2.3419500000000002</v>
      </c>
      <c r="P18" s="3982">
        <f t="shared" si="7"/>
        <v>13.201416320000002</v>
      </c>
      <c r="Q18" s="3983">
        <f>SUM(O18:P18)</f>
        <v>15.543366320000002</v>
      </c>
      <c r="R18" s="3982">
        <f t="shared" si="3"/>
        <v>2.9105484800000001</v>
      </c>
      <c r="S18" s="3983">
        <f t="shared" si="4"/>
        <v>18.453914800000003</v>
      </c>
      <c r="T18" s="3983">
        <v>1.04</v>
      </c>
      <c r="U18" s="3982">
        <f>IF(Assumptions!$D$130="YES",$K18*T18/10,0)</f>
        <v>2.1621217280000002</v>
      </c>
      <c r="V18" s="3982">
        <f t="shared" si="5"/>
        <v>20.616036528000002</v>
      </c>
      <c r="W18" s="4209">
        <f>SUM(V18:V19)/SUM(K18:K19)*10</f>
        <v>11.599823051374536</v>
      </c>
      <c r="X18" s="4209">
        <f t="shared" si="6"/>
        <v>9.9164990164328071</v>
      </c>
    </row>
    <row r="19" spans="2:24">
      <c r="B19" s="3987"/>
      <c r="C19" s="3988" t="s">
        <v>20</v>
      </c>
      <c r="D19" s="3979">
        <f>'F1'!G58</f>
        <v>101</v>
      </c>
      <c r="E19" s="3979">
        <f>'F1'!H58</f>
        <v>1971</v>
      </c>
      <c r="F19" s="3979">
        <f t="shared" si="1"/>
        <v>2072</v>
      </c>
      <c r="G19" s="3980">
        <v>425</v>
      </c>
      <c r="H19" s="3980">
        <f>[102]F20!J26</f>
        <v>0</v>
      </c>
      <c r="I19" s="3980">
        <v>8.5500000000000007</v>
      </c>
      <c r="J19" s="3980">
        <f>[102]F20!L26</f>
        <v>1.96</v>
      </c>
      <c r="K19" s="3980">
        <f>'F1'!G23</f>
        <v>22.826587</v>
      </c>
      <c r="L19" s="3980"/>
      <c r="M19" s="3981">
        <f t="shared" si="8"/>
        <v>1.0567200000000001</v>
      </c>
      <c r="N19" s="3980"/>
      <c r="O19" s="3980">
        <f t="shared" si="2"/>
        <v>1.0567200000000001</v>
      </c>
      <c r="P19" s="3982">
        <f t="shared" si="7"/>
        <v>19.516731885000002</v>
      </c>
      <c r="Q19" s="3983">
        <f t="shared" si="9"/>
        <v>20.573451885000001</v>
      </c>
      <c r="R19" s="3982">
        <f t="shared" si="3"/>
        <v>4.4740110519999998</v>
      </c>
      <c r="S19" s="3983">
        <f t="shared" si="4"/>
        <v>25.047462936999999</v>
      </c>
      <c r="T19" s="3983">
        <v>2.16</v>
      </c>
      <c r="U19" s="3982">
        <f>IF(Assumptions!$D$130="YES",$K19*T19/10,0)</f>
        <v>4.9305427919999998</v>
      </c>
      <c r="V19" s="3982">
        <f t="shared" si="5"/>
        <v>29.978005728999999</v>
      </c>
      <c r="W19" s="4175"/>
      <c r="X19" s="4209">
        <f t="shared" si="6"/>
        <v>13.13293385866227</v>
      </c>
    </row>
    <row r="20" spans="2:24">
      <c r="B20" s="3987" t="s">
        <v>1995</v>
      </c>
      <c r="C20" s="3987" t="s">
        <v>28</v>
      </c>
      <c r="D20" s="3979">
        <f>'F1'!G59</f>
        <v>11</v>
      </c>
      <c r="E20" s="3979">
        <f>'F1'!H59</f>
        <v>1142</v>
      </c>
      <c r="F20" s="3979">
        <f t="shared" si="1"/>
        <v>1153</v>
      </c>
      <c r="G20" s="3980">
        <f>[102]F20!I27</f>
        <v>0</v>
      </c>
      <c r="H20" s="3980">
        <v>200</v>
      </c>
      <c r="I20" s="3980">
        <v>8.1</v>
      </c>
      <c r="J20" s="3980">
        <f>[102]F20!L27</f>
        <v>1.75</v>
      </c>
      <c r="K20" s="3980">
        <f>'F1'!G25</f>
        <v>52.106870999999998</v>
      </c>
      <c r="L20" s="3980">
        <f>K20*10^6/(365*24*0.97*0.25)</f>
        <v>24528.960598785485</v>
      </c>
      <c r="M20" s="3981">
        <f t="shared" si="8"/>
        <v>0</v>
      </c>
      <c r="N20" s="3980">
        <f>L20*H20*12/10^7</f>
        <v>5.886950543708517</v>
      </c>
      <c r="O20" s="3980">
        <f t="shared" si="2"/>
        <v>5.886950543708517</v>
      </c>
      <c r="P20" s="3982">
        <f t="shared" si="7"/>
        <v>42.206565509999997</v>
      </c>
      <c r="Q20" s="3983">
        <f t="shared" si="9"/>
        <v>48.093516053708512</v>
      </c>
      <c r="R20" s="3982">
        <f>K20*J20/10</f>
        <v>9.1187024249999986</v>
      </c>
      <c r="S20" s="3983">
        <f t="shared" si="4"/>
        <v>57.212218478708508</v>
      </c>
      <c r="T20" s="3983">
        <v>1.28</v>
      </c>
      <c r="U20" s="3982">
        <f>IF(Assumptions!$D$130="YES",$K20*T20/10,0)</f>
        <v>6.6696794879999999</v>
      </c>
      <c r="V20" s="3982">
        <f t="shared" si="5"/>
        <v>63.881897966708507</v>
      </c>
      <c r="W20" s="4209">
        <f t="shared" ref="W20:W28" si="10">V20/K20*10</f>
        <v>12.259783928823611</v>
      </c>
      <c r="X20" s="4209">
        <f t="shared" si="6"/>
        <v>12.259783928823611</v>
      </c>
    </row>
    <row r="21" spans="2:24">
      <c r="B21" s="3987" t="s">
        <v>1996</v>
      </c>
      <c r="C21" s="3987" t="s">
        <v>28</v>
      </c>
      <c r="D21" s="3979">
        <f>'F1'!G60</f>
        <v>0</v>
      </c>
      <c r="E21" s="3979">
        <f>'F1'!H60</f>
        <v>120</v>
      </c>
      <c r="F21" s="3979">
        <f t="shared" si="1"/>
        <v>120</v>
      </c>
      <c r="G21" s="3980">
        <f>[102]F20!I28</f>
        <v>0</v>
      </c>
      <c r="H21" s="3980">
        <v>200</v>
      </c>
      <c r="I21" s="3980">
        <v>8.25</v>
      </c>
      <c r="J21" s="3980">
        <f>[102]F20!L28</f>
        <v>1.72</v>
      </c>
      <c r="K21" s="3980">
        <f>'F1'!G26</f>
        <v>47.695689000000002</v>
      </c>
      <c r="L21" s="3980">
        <f>K21*10^6/(365*24*0.97*0.42)</f>
        <v>13364.539411301876</v>
      </c>
      <c r="M21" s="3981">
        <f t="shared" si="8"/>
        <v>0</v>
      </c>
      <c r="N21" s="3980">
        <f>L21*H21*12/10^7</f>
        <v>3.2074894587124505</v>
      </c>
      <c r="O21" s="3980">
        <f t="shared" si="2"/>
        <v>3.2074894587124505</v>
      </c>
      <c r="P21" s="3982">
        <f t="shared" si="7"/>
        <v>39.348943425000002</v>
      </c>
      <c r="Q21" s="3983">
        <f t="shared" si="9"/>
        <v>42.556432883712453</v>
      </c>
      <c r="R21" s="3982">
        <f>K21*J21/10</f>
        <v>8.2036585080000002</v>
      </c>
      <c r="S21" s="3983">
        <f t="shared" si="4"/>
        <v>50.76009139171245</v>
      </c>
      <c r="T21" s="3983">
        <v>1.24</v>
      </c>
      <c r="U21" s="3982">
        <f>IF(Assumptions!$D$130="YES",$K21*T21/10,0)</f>
        <v>5.914265436</v>
      </c>
      <c r="V21" s="3982">
        <f t="shared" si="5"/>
        <v>56.674356827712451</v>
      </c>
      <c r="W21" s="4209">
        <f t="shared" si="10"/>
        <v>11.882490433823579</v>
      </c>
      <c r="X21" s="4209">
        <f t="shared" si="6"/>
        <v>11.882490433823579</v>
      </c>
    </row>
    <row r="22" spans="2:24">
      <c r="B22" s="3987" t="s">
        <v>3023</v>
      </c>
      <c r="C22" s="3987" t="s">
        <v>28</v>
      </c>
      <c r="D22" s="3979">
        <f>'F1'!G61</f>
        <v>770</v>
      </c>
      <c r="E22" s="3979">
        <f>'F1'!H61</f>
        <v>147</v>
      </c>
      <c r="F22" s="3979">
        <f t="shared" si="1"/>
        <v>917</v>
      </c>
      <c r="G22" s="3980">
        <v>400</v>
      </c>
      <c r="H22" s="3980">
        <f>[102]F20!J29</f>
        <v>0</v>
      </c>
      <c r="I22" s="3980">
        <v>14.35</v>
      </c>
      <c r="J22" s="3980">
        <f>[102]F20!L29</f>
        <v>3.16</v>
      </c>
      <c r="K22" s="3980">
        <f>'F1'!G27</f>
        <v>1.600147</v>
      </c>
      <c r="L22" s="3980"/>
      <c r="M22" s="3981">
        <f t="shared" si="8"/>
        <v>0.44016</v>
      </c>
      <c r="N22" s="3980"/>
      <c r="O22" s="3980">
        <f t="shared" si="2"/>
        <v>0.44016</v>
      </c>
      <c r="P22" s="3982">
        <f t="shared" si="7"/>
        <v>2.2962109449999999</v>
      </c>
      <c r="Q22" s="3983">
        <f t="shared" si="9"/>
        <v>2.736370945</v>
      </c>
      <c r="R22" s="3982">
        <f>K22*J22/10</f>
        <v>0.50564645200000002</v>
      </c>
      <c r="S22" s="3983">
        <f t="shared" si="4"/>
        <v>3.2420173970000001</v>
      </c>
      <c r="T22" s="3983">
        <v>2.29</v>
      </c>
      <c r="U22" s="3982">
        <f>IF(Assumptions!$D$130="YES",$K22*T22/10,0)</f>
        <v>0.36643366300000002</v>
      </c>
      <c r="V22" s="3982">
        <f t="shared" si="5"/>
        <v>3.6084510600000002</v>
      </c>
      <c r="W22" s="4209">
        <f t="shared" si="10"/>
        <v>22.5507472750941</v>
      </c>
      <c r="X22" s="4209">
        <f t="shared" si="6"/>
        <v>22.5507472750941</v>
      </c>
    </row>
    <row r="23" spans="2:24">
      <c r="B23" s="3987" t="s">
        <v>3024</v>
      </c>
      <c r="C23" s="3987" t="s">
        <v>28</v>
      </c>
      <c r="D23" s="3979">
        <f>'F1'!G62</f>
        <v>604.58125151564627</v>
      </c>
      <c r="E23" s="3979">
        <f>'F1'!H62</f>
        <v>124.11932978135785</v>
      </c>
      <c r="F23" s="3979">
        <f t="shared" si="1"/>
        <v>728.70058129700408</v>
      </c>
      <c r="G23" s="3980">
        <f>[102]F20!I30</f>
        <v>0</v>
      </c>
      <c r="H23" s="3980">
        <v>200</v>
      </c>
      <c r="I23" s="3980">
        <v>7.9</v>
      </c>
      <c r="J23" s="3980">
        <f>[102]F20!L30</f>
        <v>1.52</v>
      </c>
      <c r="K23" s="3980">
        <f>'F1'!G28</f>
        <v>29.985994780000002</v>
      </c>
      <c r="L23" s="3980">
        <f>K23*10^6/(365*24*0.97*0.27)</f>
        <v>13070.098376633003</v>
      </c>
      <c r="M23" s="3981">
        <f t="shared" si="8"/>
        <v>0</v>
      </c>
      <c r="N23" s="3980">
        <f>L23*H23*12/10^7</f>
        <v>3.1368236103919207</v>
      </c>
      <c r="O23" s="3980">
        <f t="shared" si="2"/>
        <v>3.1368236103919207</v>
      </c>
      <c r="P23" s="3982">
        <f t="shared" si="7"/>
        <v>23.688935876200002</v>
      </c>
      <c r="Q23" s="3983">
        <f t="shared" si="9"/>
        <v>26.825759486591924</v>
      </c>
      <c r="R23" s="3982">
        <f>K23*J23/10</f>
        <v>4.5578712065599998</v>
      </c>
      <c r="S23" s="3983">
        <f t="shared" si="4"/>
        <v>31.383630693151922</v>
      </c>
      <c r="T23" s="3983">
        <v>1.1200000000000001</v>
      </c>
      <c r="U23" s="3982">
        <f>IF(Assumptions!$D$130="YES",$K23*T23/10,0)</f>
        <v>3.3584314153600006</v>
      </c>
      <c r="V23" s="3982">
        <f t="shared" si="5"/>
        <v>34.742062108511924</v>
      </c>
      <c r="W23" s="4209">
        <f t="shared" si="10"/>
        <v>11.586096230392233</v>
      </c>
      <c r="X23" s="4209">
        <f t="shared" si="6"/>
        <v>11.586096230392233</v>
      </c>
    </row>
    <row r="24" spans="2:24">
      <c r="B24" s="3987" t="s">
        <v>1999</v>
      </c>
      <c r="C24" s="3987" t="s">
        <v>28</v>
      </c>
      <c r="D24" s="3979">
        <f>'F1'!G63</f>
        <v>1</v>
      </c>
      <c r="E24" s="3979">
        <f>'F1'!H63</f>
        <v>2</v>
      </c>
      <c r="F24" s="3979">
        <f t="shared" si="1"/>
        <v>3</v>
      </c>
      <c r="G24" s="3980">
        <v>200</v>
      </c>
      <c r="H24" s="3980">
        <f>[102]F20!J31</f>
        <v>0</v>
      </c>
      <c r="I24" s="3980">
        <v>4.4000000000000004</v>
      </c>
      <c r="J24" s="3980">
        <f>[102]F20!L31</f>
        <v>0.87</v>
      </c>
      <c r="K24" s="3980">
        <f>'F1'!G29</f>
        <v>2.269056</v>
      </c>
      <c r="L24" s="3980"/>
      <c r="M24" s="3981">
        <f>G24*F24*2/10^7</f>
        <v>1.2E-4</v>
      </c>
      <c r="N24" s="3980"/>
      <c r="O24" s="3980">
        <f t="shared" si="2"/>
        <v>1.2E-4</v>
      </c>
      <c r="P24" s="3982">
        <f t="shared" si="7"/>
        <v>0.99838464000000005</v>
      </c>
      <c r="Q24" s="3983">
        <f t="shared" si="9"/>
        <v>0.99850464000000005</v>
      </c>
      <c r="R24" s="3982">
        <f t="shared" si="3"/>
        <v>0.19740787200000001</v>
      </c>
      <c r="S24" s="3983">
        <f t="shared" si="4"/>
        <v>1.195912512</v>
      </c>
      <c r="T24" s="3983">
        <v>0.72</v>
      </c>
      <c r="U24" s="3982">
        <f>IF(Assumptions!$D$130="YES",$K24*T24/10,0)</f>
        <v>0.163372032</v>
      </c>
      <c r="V24" s="3982">
        <f t="shared" si="5"/>
        <v>1.3592845440000001</v>
      </c>
      <c r="W24" s="4209">
        <f t="shared" si="10"/>
        <v>5.9905288542900674</v>
      </c>
      <c r="X24" s="4209">
        <f t="shared" si="6"/>
        <v>5.9905288542900674</v>
      </c>
    </row>
    <row r="25" spans="2:24">
      <c r="B25" s="3987" t="s">
        <v>2000</v>
      </c>
      <c r="C25" s="3987" t="s">
        <v>28</v>
      </c>
      <c r="D25" s="3979">
        <f>'F1'!G64</f>
        <v>150</v>
      </c>
      <c r="E25" s="3979">
        <f>'F1'!H64</f>
        <v>1502</v>
      </c>
      <c r="F25" s="3979">
        <f t="shared" si="1"/>
        <v>1652</v>
      </c>
      <c r="G25" s="3980">
        <v>400</v>
      </c>
      <c r="H25" s="3980">
        <f>[102]F20!J32</f>
        <v>0</v>
      </c>
      <c r="I25" s="3980">
        <v>11.5</v>
      </c>
      <c r="J25" s="3980">
        <f>[102]F20!L32</f>
        <v>2.5299999999999998</v>
      </c>
      <c r="K25" s="3980">
        <f>'F1'!G30</f>
        <v>36.367319000000002</v>
      </c>
      <c r="L25" s="3980"/>
      <c r="M25" s="3981">
        <f>G25*F25*12/10^7</f>
        <v>0.79296</v>
      </c>
      <c r="N25" s="3980"/>
      <c r="O25" s="3980">
        <f t="shared" si="2"/>
        <v>0.79296</v>
      </c>
      <c r="P25" s="3982">
        <f t="shared" si="7"/>
        <v>41.822416850000003</v>
      </c>
      <c r="Q25" s="3983">
        <f t="shared" si="9"/>
        <v>42.615376850000004</v>
      </c>
      <c r="R25" s="3982">
        <f t="shared" si="3"/>
        <v>9.2009317069999987</v>
      </c>
      <c r="S25" s="3983">
        <f t="shared" si="4"/>
        <v>51.816308556999999</v>
      </c>
      <c r="T25" s="3983">
        <v>1.89</v>
      </c>
      <c r="U25" s="3982">
        <f>IF(Assumptions!$D$130="YES",$K25*T25/10,0)</f>
        <v>6.8734232909999999</v>
      </c>
      <c r="V25" s="3982">
        <f t="shared" si="5"/>
        <v>58.689731848000001</v>
      </c>
      <c r="W25" s="4209">
        <f t="shared" si="10"/>
        <v>16.138041918349824</v>
      </c>
      <c r="X25" s="4209">
        <f t="shared" si="6"/>
        <v>16.138041918349824</v>
      </c>
    </row>
    <row r="26" spans="2:24">
      <c r="B26" s="3987" t="s">
        <v>2001</v>
      </c>
      <c r="C26" s="3987" t="s">
        <v>28</v>
      </c>
      <c r="D26" s="3979">
        <f>'F1'!G65</f>
        <v>9</v>
      </c>
      <c r="E26" s="3979">
        <f>'F1'!H65</f>
        <v>20</v>
      </c>
      <c r="F26" s="3979">
        <f t="shared" si="1"/>
        <v>29</v>
      </c>
      <c r="G26" s="3980">
        <v>200</v>
      </c>
      <c r="H26" s="3980">
        <f>[102]F20!J33</f>
        <v>0</v>
      </c>
      <c r="I26" s="3980">
        <v>4.5</v>
      </c>
      <c r="J26" s="3980">
        <f>[102]F20!L33</f>
        <v>0.83</v>
      </c>
      <c r="K26" s="3980">
        <f>'F1'!G31</f>
        <v>1.2000740000000001</v>
      </c>
      <c r="L26" s="3980"/>
      <c r="M26" s="3981">
        <f t="shared" si="8"/>
        <v>6.96E-3</v>
      </c>
      <c r="N26" s="3980"/>
      <c r="O26" s="3980">
        <f t="shared" si="2"/>
        <v>6.96E-3</v>
      </c>
      <c r="P26" s="3982">
        <f t="shared" si="7"/>
        <v>0.54003330000000005</v>
      </c>
      <c r="Q26" s="3983">
        <f t="shared" si="9"/>
        <v>0.54699330000000002</v>
      </c>
      <c r="R26" s="3982">
        <f t="shared" si="3"/>
        <v>9.9606141999999995E-2</v>
      </c>
      <c r="S26" s="3983">
        <f t="shared" si="4"/>
        <v>0.64659944199999997</v>
      </c>
      <c r="T26" s="3983">
        <v>0.55000000000000004</v>
      </c>
      <c r="U26" s="3982">
        <f>IF(Assumptions!$D$130="YES",$K26*T26/10,0)</f>
        <v>6.6004070000000012E-2</v>
      </c>
      <c r="V26" s="3982">
        <f t="shared" si="5"/>
        <v>0.71260351199999994</v>
      </c>
      <c r="W26" s="4209">
        <f t="shared" si="10"/>
        <v>5.93799642355388</v>
      </c>
      <c r="X26" s="4209">
        <f t="shared" si="6"/>
        <v>5.93799642355388</v>
      </c>
    </row>
    <row r="27" spans="2:24">
      <c r="B27" s="3992" t="s">
        <v>2002</v>
      </c>
      <c r="C27" s="3987" t="s">
        <v>28</v>
      </c>
      <c r="D27" s="3979">
        <f>'F1'!G66</f>
        <v>1444.5171361219443</v>
      </c>
      <c r="E27" s="3979">
        <f>'F1'!H66</f>
        <v>609.64028821778516</v>
      </c>
      <c r="F27" s="3979">
        <f t="shared" si="1"/>
        <v>2054.1574243397295</v>
      </c>
      <c r="G27" s="3980">
        <v>250</v>
      </c>
      <c r="H27" s="3980">
        <f>[102]F20!J34</f>
        <v>0</v>
      </c>
      <c r="I27" s="3980">
        <v>8.3000000000000007</v>
      </c>
      <c r="J27" s="3980">
        <f>[102]F20!L34</f>
        <v>1.83</v>
      </c>
      <c r="K27" s="3980">
        <f>'F1'!G32</f>
        <v>12.446819</v>
      </c>
      <c r="L27" s="3980"/>
      <c r="M27" s="3981">
        <f t="shared" si="8"/>
        <v>0.61624722730191883</v>
      </c>
      <c r="N27" s="3980"/>
      <c r="O27" s="3980">
        <f t="shared" si="2"/>
        <v>0.61624722730191883</v>
      </c>
      <c r="P27" s="3982">
        <f t="shared" si="7"/>
        <v>10.33085977</v>
      </c>
      <c r="Q27" s="3983">
        <f t="shared" si="9"/>
        <v>10.947106997301919</v>
      </c>
      <c r="R27" s="3982">
        <f t="shared" si="3"/>
        <v>2.2777678770000001</v>
      </c>
      <c r="S27" s="3983">
        <f t="shared" si="4"/>
        <v>13.22487487430192</v>
      </c>
      <c r="T27" s="3983">
        <v>1.51</v>
      </c>
      <c r="U27" s="3982">
        <f>IF(Assumptions!$D$130="YES",$K27*T27/10,0)</f>
        <v>1.8794696689999999</v>
      </c>
      <c r="V27" s="3982">
        <f t="shared" si="5"/>
        <v>15.10434454330192</v>
      </c>
      <c r="W27" s="4209">
        <f t="shared" si="10"/>
        <v>12.135104192727411</v>
      </c>
      <c r="X27" s="4209">
        <f t="shared" si="6"/>
        <v>12.135104192727411</v>
      </c>
    </row>
    <row r="28" spans="2:24">
      <c r="B28" s="3992" t="s">
        <v>2003</v>
      </c>
      <c r="C28" s="3987" t="s">
        <v>28</v>
      </c>
      <c r="D28" s="3979">
        <f>'F1'!G67</f>
        <v>3</v>
      </c>
      <c r="E28" s="3979">
        <f>'F1'!H67</f>
        <v>490</v>
      </c>
      <c r="F28" s="3979">
        <f t="shared" si="1"/>
        <v>493</v>
      </c>
      <c r="G28" s="3980">
        <f>[102]F20!I35</f>
        <v>0</v>
      </c>
      <c r="H28" s="3980">
        <v>200</v>
      </c>
      <c r="I28" s="3980">
        <v>8.3000000000000007</v>
      </c>
      <c r="J28" s="3980">
        <f>[102]F20!L35</f>
        <v>1.83</v>
      </c>
      <c r="K28" s="3980">
        <f>'F1'!G33</f>
        <v>73.992159999999998</v>
      </c>
      <c r="L28" s="3980">
        <f>K28*10^6/(365*24*0.97*0.35)</f>
        <v>24879.509888971832</v>
      </c>
      <c r="M28" s="3981">
        <f t="shared" si="8"/>
        <v>0</v>
      </c>
      <c r="N28" s="3980">
        <f>L28*H28*12/10^7</f>
        <v>5.971082373353239</v>
      </c>
      <c r="O28" s="3980">
        <f t="shared" si="2"/>
        <v>5.971082373353239</v>
      </c>
      <c r="P28" s="3982">
        <f t="shared" si="7"/>
        <v>61.413492800000007</v>
      </c>
      <c r="Q28" s="3983">
        <f t="shared" si="9"/>
        <v>67.384575173353241</v>
      </c>
      <c r="R28" s="3982">
        <f t="shared" si="3"/>
        <v>13.540565280000001</v>
      </c>
      <c r="S28" s="3983">
        <f t="shared" si="4"/>
        <v>80.925140453353237</v>
      </c>
      <c r="T28" s="3983">
        <v>1.42</v>
      </c>
      <c r="U28" s="3982">
        <f>IF(Assumptions!$D$130="YES",$K28*T28/10,0)</f>
        <v>10.506886719999999</v>
      </c>
      <c r="V28" s="3982">
        <f t="shared" si="5"/>
        <v>91.432027173353234</v>
      </c>
      <c r="W28" s="4209">
        <f t="shared" si="10"/>
        <v>12.356988520588295</v>
      </c>
      <c r="X28" s="4209">
        <f t="shared" si="6"/>
        <v>12.356988520588295</v>
      </c>
    </row>
    <row r="29" spans="2:24">
      <c r="B29" s="3987" t="s">
        <v>3097</v>
      </c>
      <c r="C29" s="3987"/>
      <c r="D29" s="3993">
        <f>SUM(D9:D28)</f>
        <v>888728.22551838064</v>
      </c>
      <c r="E29" s="3993">
        <f>SUM(E9:E28)</f>
        <v>147801.66684754845</v>
      </c>
      <c r="F29" s="3994">
        <f>SUM(D29:E29)</f>
        <v>1036529.8923659291</v>
      </c>
      <c r="G29" s="3980"/>
      <c r="H29" s="3980"/>
      <c r="I29" s="3980"/>
      <c r="J29" s="3980"/>
      <c r="K29" s="3995">
        <f>SUM(K9:K28)</f>
        <v>3732.5432007799996</v>
      </c>
      <c r="L29" s="3995"/>
      <c r="M29" s="3981"/>
      <c r="N29" s="3980"/>
      <c r="O29" s="3980"/>
      <c r="P29" s="3982"/>
      <c r="Q29" s="3983"/>
      <c r="R29" s="3982"/>
      <c r="S29" s="3983"/>
      <c r="T29" s="3983"/>
      <c r="U29" s="3983"/>
      <c r="V29" s="3982"/>
      <c r="W29" s="4175"/>
      <c r="X29" s="4209">
        <f t="shared" si="6"/>
        <v>0</v>
      </c>
    </row>
    <row r="30" spans="2:24">
      <c r="B30" s="3996" t="s">
        <v>2004</v>
      </c>
      <c r="C30" s="3987"/>
      <c r="D30" s="3997"/>
      <c r="E30" s="3997"/>
      <c r="F30" s="3979"/>
      <c r="G30" s="3980"/>
      <c r="H30" s="3980"/>
      <c r="I30" s="3980"/>
      <c r="J30" s="3980"/>
      <c r="K30" s="3980"/>
      <c r="L30" s="3980"/>
      <c r="M30" s="3981"/>
      <c r="N30" s="3980"/>
      <c r="O30" s="3980"/>
      <c r="P30" s="3982"/>
      <c r="Q30" s="3983"/>
      <c r="R30" s="3982"/>
      <c r="S30" s="3983"/>
      <c r="T30" s="3983"/>
      <c r="U30" s="3983"/>
      <c r="V30" s="3982"/>
      <c r="W30" s="4175"/>
      <c r="X30" s="4209" t="e">
        <f t="shared" si="6"/>
        <v>#DIV/0!</v>
      </c>
    </row>
    <row r="31" spans="2:24">
      <c r="B31" s="3998" t="s">
        <v>3027</v>
      </c>
      <c r="C31" s="3987" t="s">
        <v>28</v>
      </c>
      <c r="D31" s="3997">
        <f>'F1'!G69</f>
        <v>0</v>
      </c>
      <c r="E31" s="3997">
        <f>'F1'!H69</f>
        <v>42.519317348678207</v>
      </c>
      <c r="F31" s="3979">
        <f t="shared" ref="F31:F35" si="11">SUM(D31:E31)</f>
        <v>42.519317348678207</v>
      </c>
      <c r="G31" s="3980">
        <f>[102]F20!I37</f>
        <v>0</v>
      </c>
      <c r="H31" s="3980">
        <v>200</v>
      </c>
      <c r="I31" s="3980">
        <v>8</v>
      </c>
      <c r="J31" s="3980">
        <f>[102]F20!L37</f>
        <v>1.59</v>
      </c>
      <c r="K31" s="3980">
        <f>'F1'!G35</f>
        <v>185.39943</v>
      </c>
      <c r="L31" s="3980">
        <f>K31*10^6/(365*24*0.97*0.46)</f>
        <v>47432.358792359228</v>
      </c>
      <c r="M31" s="3981">
        <f t="shared" si="8"/>
        <v>0</v>
      </c>
      <c r="N31" s="3980">
        <f>L31*H31*12/10^7</f>
        <v>11.383766110166214</v>
      </c>
      <c r="O31" s="3980">
        <f t="shared" si="2"/>
        <v>11.383766110166214</v>
      </c>
      <c r="P31" s="3982">
        <f t="shared" ref="P31:P35" si="12">K31*I31/10</f>
        <v>148.31954400000001</v>
      </c>
      <c r="Q31" s="3983">
        <f t="shared" si="9"/>
        <v>159.70331011016623</v>
      </c>
      <c r="R31" s="3982">
        <f t="shared" si="3"/>
        <v>29.478509370000001</v>
      </c>
      <c r="S31" s="3983">
        <f t="shared" si="4"/>
        <v>189.18181948016624</v>
      </c>
      <c r="T31" s="3983">
        <v>1.1299999999999999</v>
      </c>
      <c r="U31" s="3982">
        <f>IF(Assumptions!$D$130="YES",$K31*T31/10,0)</f>
        <v>20.950135589999995</v>
      </c>
      <c r="V31" s="3982">
        <f t="shared" si="5"/>
        <v>210.13195507016624</v>
      </c>
      <c r="W31" s="4209">
        <f>V31/K31*10</f>
        <v>11.334013004795443</v>
      </c>
      <c r="X31" s="4209">
        <f t="shared" si="6"/>
        <v>11.334013004795443</v>
      </c>
    </row>
    <row r="32" spans="2:24">
      <c r="B32" s="3998" t="s">
        <v>3028</v>
      </c>
      <c r="C32" s="3987" t="s">
        <v>28</v>
      </c>
      <c r="D32" s="3997">
        <f>'F1'!G70</f>
        <v>0</v>
      </c>
      <c r="E32" s="3997">
        <f>'F1'!H70</f>
        <v>105.55470147087884</v>
      </c>
      <c r="F32" s="3979">
        <f t="shared" si="11"/>
        <v>105.55470147087884</v>
      </c>
      <c r="G32" s="3980">
        <f>[102]F20!I38</f>
        <v>0</v>
      </c>
      <c r="H32" s="3980">
        <v>200</v>
      </c>
      <c r="I32" s="3980">
        <v>8.6</v>
      </c>
      <c r="J32" s="3980">
        <f>[102]F20!L38</f>
        <v>1.71</v>
      </c>
      <c r="K32" s="3980">
        <f>'F1'!G36</f>
        <v>358.00879500000002</v>
      </c>
      <c r="L32" s="3980">
        <f>K32*10^6/(365*24*0.97*0.45)</f>
        <v>93627.912724191498</v>
      </c>
      <c r="M32" s="3981">
        <f t="shared" si="8"/>
        <v>0</v>
      </c>
      <c r="N32" s="3980">
        <f>L32*H32*12/10^7</f>
        <v>22.470699053805959</v>
      </c>
      <c r="O32" s="3980">
        <f t="shared" si="2"/>
        <v>22.470699053805959</v>
      </c>
      <c r="P32" s="3982">
        <f t="shared" si="12"/>
        <v>307.88756369999999</v>
      </c>
      <c r="Q32" s="3983">
        <f t="shared" si="9"/>
        <v>330.35826275380595</v>
      </c>
      <c r="R32" s="3982">
        <f t="shared" si="3"/>
        <v>61.219503945</v>
      </c>
      <c r="S32" s="3983">
        <f t="shared" si="4"/>
        <v>391.57776669880593</v>
      </c>
      <c r="T32" s="3983">
        <v>1.19</v>
      </c>
      <c r="U32" s="3982">
        <f>IF(Assumptions!$D$130="YES",$K32*T32/10,0)</f>
        <v>42.603046605000003</v>
      </c>
      <c r="V32" s="3982">
        <f t="shared" si="5"/>
        <v>434.18081330380596</v>
      </c>
      <c r="W32" s="4209">
        <f>V32/K32*10</f>
        <v>12.127657738235341</v>
      </c>
      <c r="X32" s="4209">
        <f t="shared" si="6"/>
        <v>12.127657738235341</v>
      </c>
    </row>
    <row r="33" spans="2:24">
      <c r="B33" s="3998" t="s">
        <v>43</v>
      </c>
      <c r="C33" s="3987" t="s">
        <v>28</v>
      </c>
      <c r="D33" s="3997">
        <f>'F1'!G71</f>
        <v>0</v>
      </c>
      <c r="E33" s="3997">
        <f>'F1'!H71</f>
        <v>13.191782533759952</v>
      </c>
      <c r="F33" s="3979">
        <f t="shared" si="11"/>
        <v>13.191782533759952</v>
      </c>
      <c r="G33" s="3980">
        <f>[102]F20!I39</f>
        <v>0</v>
      </c>
      <c r="H33" s="3980">
        <v>200</v>
      </c>
      <c r="I33" s="3980">
        <v>5.97</v>
      </c>
      <c r="J33" s="3980">
        <f>[102]F20!L39</f>
        <v>0.91</v>
      </c>
      <c r="K33" s="3980">
        <f>'F1'!G37</f>
        <v>33.186438000000003</v>
      </c>
      <c r="L33" s="3980">
        <f>K33*10^6/(365*24*0.97*0.56)</f>
        <v>6974.2381523997828</v>
      </c>
      <c r="M33" s="3981">
        <f t="shared" si="8"/>
        <v>0</v>
      </c>
      <c r="N33" s="3980">
        <f>L33*H33*12/10^7</f>
        <v>1.6738171565759479</v>
      </c>
      <c r="O33" s="3980">
        <f t="shared" si="2"/>
        <v>1.6738171565759479</v>
      </c>
      <c r="P33" s="3982">
        <f t="shared" si="12"/>
        <v>19.812303486000001</v>
      </c>
      <c r="Q33" s="3983">
        <f t="shared" si="9"/>
        <v>21.486120642575948</v>
      </c>
      <c r="R33" s="3982">
        <f>K33*J33/10</f>
        <v>3.0199658580000004</v>
      </c>
      <c r="S33" s="3983">
        <f t="shared" si="4"/>
        <v>24.506086500575947</v>
      </c>
      <c r="T33" s="3983">
        <v>0.66</v>
      </c>
      <c r="U33" s="3982">
        <f>IF(Assumptions!$D$130="YES",$K33*T33/10,0)</f>
        <v>2.1903049080000003</v>
      </c>
      <c r="V33" s="3982">
        <f t="shared" si="5"/>
        <v>26.696391408575948</v>
      </c>
      <c r="W33" s="4209">
        <f>V33/K33*10</f>
        <v>8.0443678253676847</v>
      </c>
      <c r="X33" s="4209">
        <f t="shared" si="6"/>
        <v>8.0443678253676847</v>
      </c>
    </row>
    <row r="34" spans="2:24">
      <c r="B34" s="3998" t="s">
        <v>44</v>
      </c>
      <c r="C34" s="3987" t="s">
        <v>28</v>
      </c>
      <c r="D34" s="3997">
        <f>'F1'!G72</f>
        <v>0</v>
      </c>
      <c r="E34" s="3997">
        <f>'F1'!H72</f>
        <v>6</v>
      </c>
      <c r="F34" s="3979">
        <f t="shared" si="11"/>
        <v>6</v>
      </c>
      <c r="G34" s="3980">
        <v>250</v>
      </c>
      <c r="H34" s="3980">
        <f>[102]F20!J40</f>
        <v>0</v>
      </c>
      <c r="I34" s="3980">
        <v>11.25</v>
      </c>
      <c r="J34" s="3980">
        <f>[102]F20!L40</f>
        <v>2.33</v>
      </c>
      <c r="K34" s="3980">
        <f>'F1'!G38</f>
        <v>11.373238000000001</v>
      </c>
      <c r="L34" s="3980"/>
      <c r="M34" s="3981">
        <f t="shared" si="8"/>
        <v>1.8E-3</v>
      </c>
      <c r="N34" s="3980"/>
      <c r="O34" s="3980">
        <f t="shared" si="2"/>
        <v>1.8E-3</v>
      </c>
      <c r="P34" s="3982">
        <f t="shared" si="12"/>
        <v>12.794892750000001</v>
      </c>
      <c r="Q34" s="3983">
        <f t="shared" si="9"/>
        <v>12.79669275</v>
      </c>
      <c r="R34" s="3982">
        <f>K34*J34/10</f>
        <v>2.649964454</v>
      </c>
      <c r="S34" s="3983">
        <f t="shared" si="4"/>
        <v>15.446657204000001</v>
      </c>
      <c r="T34" s="3983">
        <v>1.68</v>
      </c>
      <c r="U34" s="3982">
        <f>IF(Assumptions!$D$130="YES",$K34*T34/10,0)</f>
        <v>1.910703984</v>
      </c>
      <c r="V34" s="3982">
        <f t="shared" si="5"/>
        <v>17.357361188000002</v>
      </c>
      <c r="W34" s="4209">
        <f>V34/K34*10</f>
        <v>15.261582662738615</v>
      </c>
      <c r="X34" s="4209">
        <f t="shared" si="6"/>
        <v>15.261582662738615</v>
      </c>
    </row>
    <row r="35" spans="2:24">
      <c r="B35" s="3998" t="s">
        <v>3098</v>
      </c>
      <c r="C35" s="3987" t="s">
        <v>28</v>
      </c>
      <c r="D35" s="3997">
        <f>'F1'!G73</f>
        <v>0</v>
      </c>
      <c r="E35" s="3997">
        <f>'F1'!H73</f>
        <v>16.39684683042778</v>
      </c>
      <c r="F35" s="3979">
        <f t="shared" si="11"/>
        <v>16.39684683042778</v>
      </c>
      <c r="G35" s="3980">
        <f>[102]F20!I41</f>
        <v>0</v>
      </c>
      <c r="H35" s="3980">
        <v>200</v>
      </c>
      <c r="I35" s="3980">
        <v>7.75</v>
      </c>
      <c r="J35" s="3980">
        <f>[102]F20!L41</f>
        <v>1.51</v>
      </c>
      <c r="K35" s="3980">
        <f>'F1'!G39</f>
        <v>98.320226000000005</v>
      </c>
      <c r="L35" s="3980">
        <f>K35*10^6/(365*24*0.97*0.55)</f>
        <v>21037.994547936647</v>
      </c>
      <c r="M35" s="3981">
        <f t="shared" si="8"/>
        <v>0</v>
      </c>
      <c r="N35" s="3980">
        <f>L35*H35*12/10^7</f>
        <v>5.0491186915047948</v>
      </c>
      <c r="O35" s="3980">
        <f t="shared" si="2"/>
        <v>5.0491186915047948</v>
      </c>
      <c r="P35" s="3982">
        <f t="shared" si="12"/>
        <v>76.198175150000012</v>
      </c>
      <c r="Q35" s="3983">
        <f t="shared" si="9"/>
        <v>81.247293841504813</v>
      </c>
      <c r="R35" s="3982">
        <f>K35*J35/10</f>
        <v>14.846354126</v>
      </c>
      <c r="S35" s="3983">
        <f t="shared" si="4"/>
        <v>96.093647967504808</v>
      </c>
      <c r="T35" s="3983">
        <v>1.17</v>
      </c>
      <c r="U35" s="3982">
        <f>IF(Assumptions!$D$130="YES",$K35*T35/10,0)</f>
        <v>11.503466442000001</v>
      </c>
      <c r="V35" s="3982">
        <f t="shared" si="5"/>
        <v>107.59711440950481</v>
      </c>
      <c r="W35" s="4209">
        <f>V35/K35*10</f>
        <v>10.943538149465279</v>
      </c>
      <c r="X35" s="4209">
        <f t="shared" si="6"/>
        <v>10.943538149465279</v>
      </c>
    </row>
    <row r="36" spans="2:24">
      <c r="B36" s="3998" t="s">
        <v>3099</v>
      </c>
      <c r="C36" s="3987" t="s">
        <v>28</v>
      </c>
      <c r="D36" s="3993">
        <f>SUM(D31:D35)</f>
        <v>0</v>
      </c>
      <c r="E36" s="3993">
        <f t="shared" ref="E36" si="13">SUM(E31:E35)</f>
        <v>183.66264818374478</v>
      </c>
      <c r="F36" s="3979">
        <f>SUM(D36:E36)</f>
        <v>183.66264818374478</v>
      </c>
      <c r="G36" s="3980"/>
      <c r="H36" s="3980"/>
      <c r="I36" s="3980"/>
      <c r="J36" s="3980"/>
      <c r="K36" s="3980">
        <f>SUM(K31:K35)</f>
        <v>686.28812700000003</v>
      </c>
      <c r="L36" s="3980"/>
      <c r="M36" s="3981"/>
      <c r="N36" s="3980"/>
      <c r="O36" s="3980"/>
      <c r="P36" s="3982"/>
      <c r="Q36" s="3983"/>
      <c r="R36" s="3982"/>
      <c r="S36" s="3982"/>
      <c r="T36" s="3983"/>
      <c r="U36" s="3983"/>
      <c r="V36" s="3983"/>
      <c r="W36" s="4175"/>
      <c r="X36" s="4209">
        <f t="shared" si="6"/>
        <v>0</v>
      </c>
    </row>
    <row r="37" spans="2:24" ht="15">
      <c r="B37" s="4000" t="s">
        <v>47</v>
      </c>
      <c r="C37" s="4001"/>
      <c r="D37" s="3994">
        <f>SUM(D29,D36)</f>
        <v>888728.22551838064</v>
      </c>
      <c r="E37" s="3994">
        <f>SUM(E29,E36)</f>
        <v>147985.32949573221</v>
      </c>
      <c r="F37" s="3994">
        <f>SUM(F29,F36)</f>
        <v>1036713.5550141128</v>
      </c>
      <c r="G37" s="4002"/>
      <c r="H37" s="4002"/>
      <c r="I37" s="4002"/>
      <c r="J37" s="3995"/>
      <c r="K37" s="3995">
        <f>SUM(K29,K36)</f>
        <v>4418.8313277799998</v>
      </c>
      <c r="L37" s="3995"/>
      <c r="M37" s="4176">
        <f t="shared" ref="M37:N37" si="14">SUM(M9:M28,M31:M35)</f>
        <v>137.99626710556026</v>
      </c>
      <c r="N37" s="4176">
        <f t="shared" si="14"/>
        <v>124.17807774246421</v>
      </c>
      <c r="O37" s="4003">
        <f>SUM(O9:O28,O31:O35)</f>
        <v>262.17434484802448</v>
      </c>
      <c r="P37" s="4004">
        <f>SUM(P9:P28,P31:P35)</f>
        <v>3217.8053427522004</v>
      </c>
      <c r="Q37" s="4005">
        <f>SUM(Q9:Q28,Q31:Q35)</f>
        <v>3479.9796876002247</v>
      </c>
      <c r="R37" s="4005">
        <f>SUM(R9:R28,R31:R35)</f>
        <v>665.84081930755985</v>
      </c>
      <c r="S37" s="4005">
        <f>SUM(S9:S28,S31:S35)</f>
        <v>4145.8205069077858</v>
      </c>
      <c r="T37" s="4005"/>
      <c r="U37" s="4005">
        <f>SUM(U9:U28,U31:U35)</f>
        <v>516.44161489336</v>
      </c>
      <c r="V37" s="4005">
        <f>SUM(V9:V28,V31:V35)</f>
        <v>4662.2621218011454</v>
      </c>
      <c r="W37" s="4209">
        <f>V37/K37*10</f>
        <v>10.550894062171512</v>
      </c>
      <c r="X37" s="4209">
        <f t="shared" si="6"/>
        <v>10.550894062171512</v>
      </c>
    </row>
    <row r="38" spans="2:24">
      <c r="S38" s="4100"/>
      <c r="U38" s="3980" t="s">
        <v>48</v>
      </c>
      <c r="V38" s="3980">
        <v>17.32</v>
      </c>
    </row>
    <row r="39" spans="2:24">
      <c r="S39" s="4100"/>
      <c r="U39" s="3980" t="s">
        <v>52</v>
      </c>
      <c r="V39" s="3980">
        <v>11.8</v>
      </c>
      <c r="X39" s="4006"/>
    </row>
    <row r="40" spans="2:24">
      <c r="S40" s="4100"/>
      <c r="U40" s="3980" t="s">
        <v>3182</v>
      </c>
      <c r="V40" s="3980">
        <v>18.399999999999999</v>
      </c>
    </row>
    <row r="41" spans="2:24" ht="45">
      <c r="S41" s="4100"/>
      <c r="U41" s="4790" t="s">
        <v>3575</v>
      </c>
      <c r="V41" s="3980">
        <f>-'F19'!E14</f>
        <v>-78.649640454999997</v>
      </c>
    </row>
    <row r="42" spans="2:24">
      <c r="U42" s="4070" t="s">
        <v>47</v>
      </c>
      <c r="V42" s="4070">
        <f>SUM(V37:V41)</f>
        <v>4631.1324813461451</v>
      </c>
    </row>
    <row r="46" spans="2:24">
      <c r="V46" s="4896"/>
    </row>
    <row r="62" spans="2:22" s="4448" customFormat="1" ht="17.25" hidden="1" customHeight="1">
      <c r="B62" s="4447" t="s">
        <v>1</v>
      </c>
      <c r="C62" s="4447" t="s">
        <v>3324</v>
      </c>
      <c r="P62" s="4449"/>
      <c r="Q62" s="4449"/>
      <c r="R62" s="4449"/>
      <c r="S62" s="4449"/>
      <c r="T62" s="4449"/>
      <c r="U62" s="4449"/>
      <c r="V62" s="4449"/>
    </row>
    <row r="63" spans="2:22" hidden="1">
      <c r="B63" s="4446" t="str">
        <f>B16</f>
        <v>LT - II (b)</v>
      </c>
      <c r="C63" s="4450">
        <f>'[103]Year 2014-15'!$I137</f>
        <v>0.27350595326895388</v>
      </c>
    </row>
    <row r="64" spans="2:22" hidden="1">
      <c r="B64" s="4446" t="str">
        <f>B17</f>
        <v>LT - II (c)</v>
      </c>
      <c r="C64" s="4450">
        <f>'[103]Year 2014-15'!$I138</f>
        <v>0.32045516954957998</v>
      </c>
    </row>
    <row r="65" spans="2:3" hidden="1">
      <c r="B65" s="4446" t="str">
        <f>B20</f>
        <v>LT - IV (a)</v>
      </c>
      <c r="C65" s="4450">
        <f>'[103]Year 2014-15'!$I139</f>
        <v>0.24680087021461325</v>
      </c>
    </row>
    <row r="66" spans="2:3" hidden="1">
      <c r="B66" s="4446" t="str">
        <f>B21</f>
        <v>LT - IV (b)</v>
      </c>
      <c r="C66" s="4450">
        <f>'[103]Year 2014-15'!$I140</f>
        <v>0.41657880721483226</v>
      </c>
    </row>
    <row r="67" spans="2:3" hidden="1">
      <c r="B67" s="4446" t="str">
        <f>B23</f>
        <v>LT - VI</v>
      </c>
      <c r="C67" s="4450">
        <f>'[103]Year 2014-15'!$I141</f>
        <v>0.26639590811743852</v>
      </c>
    </row>
    <row r="68" spans="2:3" hidden="1">
      <c r="B68" s="4446" t="str">
        <f>B28</f>
        <v>LT - IX (b)</v>
      </c>
      <c r="C68" s="4450">
        <f>'[103]Year 2014-15'!$I142</f>
        <v>0.34902482033633725</v>
      </c>
    </row>
    <row r="69" spans="2:3" hidden="1">
      <c r="B69" s="4446" t="str">
        <f>B31</f>
        <v>HT - I</v>
      </c>
      <c r="C69" s="4450">
        <f>'[103]Year 2014-15'!$I143</f>
        <v>0.4602246060998475</v>
      </c>
    </row>
    <row r="70" spans="2:3" hidden="1">
      <c r="B70" s="4446" t="str">
        <f t="shared" ref="B70:B71" si="15">B32</f>
        <v>HT - II</v>
      </c>
      <c r="C70" s="4450">
        <f>'[103]Year 2014-15'!$I144</f>
        <v>0.44898296651565578</v>
      </c>
    </row>
    <row r="71" spans="2:3" hidden="1">
      <c r="B71" s="4446" t="str">
        <f t="shared" si="15"/>
        <v>HT - III</v>
      </c>
      <c r="C71" s="4450">
        <f>'[103]Year 2014-15'!$I145</f>
        <v>0.56201041544863395</v>
      </c>
    </row>
    <row r="72" spans="2:3" hidden="1">
      <c r="B72" s="4446" t="str">
        <f>B35</f>
        <v>HT-V</v>
      </c>
      <c r="C72" s="4450">
        <f>'[103]Year 2014-15'!$I146</f>
        <v>0.54925925288495914</v>
      </c>
    </row>
  </sheetData>
  <mergeCells count="17">
    <mergeCell ref="R7:R8"/>
    <mergeCell ref="J7:J8"/>
    <mergeCell ref="K7:L7"/>
    <mergeCell ref="M7:O7"/>
    <mergeCell ref="P7:P8"/>
    <mergeCell ref="Q7:Q8"/>
    <mergeCell ref="B7:B8"/>
    <mergeCell ref="C7:C8"/>
    <mergeCell ref="D7:F7"/>
    <mergeCell ref="G7:H7"/>
    <mergeCell ref="I7:I8"/>
    <mergeCell ref="W7:W8"/>
    <mergeCell ref="X7:X8"/>
    <mergeCell ref="T7:T8"/>
    <mergeCell ref="U7:U8"/>
    <mergeCell ref="S7:S8"/>
    <mergeCell ref="V7:V8"/>
  </mergeCells>
  <pageMargins left="0.41" right="0.45" top="0.75" bottom="0.75" header="0.3" footer="0.3"/>
  <pageSetup paperSize="9" scale="58" orientation="landscape" r:id="rId1"/>
</worksheet>
</file>

<file path=xl/worksheets/sheet58.xml><?xml version="1.0" encoding="utf-8"?>
<worksheet xmlns="http://schemas.openxmlformats.org/spreadsheetml/2006/main" xmlns:r="http://schemas.openxmlformats.org/officeDocument/2006/relationships">
  <sheetPr>
    <pageSetUpPr fitToPage="1"/>
  </sheetPr>
  <dimension ref="B2:AA72"/>
  <sheetViews>
    <sheetView view="pageBreakPreview" zoomScale="79" zoomScaleNormal="80" zoomScaleSheetLayoutView="79" workbookViewId="0">
      <selection activeCell="V1" sqref="V1"/>
    </sheetView>
  </sheetViews>
  <sheetFormatPr defaultRowHeight="12.75"/>
  <cols>
    <col min="1" max="1" width="9.140625" style="3976"/>
    <col min="2" max="2" width="13.140625" style="3976" customWidth="1"/>
    <col min="3" max="3" width="15.28515625" style="3976" customWidth="1"/>
    <col min="4" max="4" width="10.42578125" style="3976" bestFit="1" customWidth="1"/>
    <col min="5" max="5" width="10.28515625" style="3976" customWidth="1"/>
    <col min="6" max="6" width="10.7109375" style="3976" customWidth="1"/>
    <col min="7" max="11" width="9.42578125" style="3976" bestFit="1" customWidth="1"/>
    <col min="12" max="12" width="11" style="3976" bestFit="1" customWidth="1"/>
    <col min="13" max="15" width="9.42578125" style="3976" bestFit="1" customWidth="1"/>
    <col min="16" max="18" width="9.42578125" style="4009" bestFit="1" customWidth="1"/>
    <col min="19" max="19" width="9.42578125" style="4009" customWidth="1"/>
    <col min="20" max="21" width="10.140625" style="4009" customWidth="1"/>
    <col min="22" max="22" width="11.28515625" style="4009" customWidth="1"/>
    <col min="23" max="23" width="10.140625" style="4208" customWidth="1"/>
    <col min="24" max="25" width="9.140625" style="3976" hidden="1" customWidth="1"/>
    <col min="26" max="26" width="11.140625" style="3976" hidden="1" customWidth="1"/>
    <col min="27" max="16384" width="9.140625" style="3976"/>
  </cols>
  <sheetData>
    <row r="2" spans="2:27" s="3975" customFormat="1">
      <c r="C2" s="4171"/>
      <c r="D2" s="4171"/>
      <c r="E2" s="4171"/>
      <c r="F2" s="4171"/>
      <c r="G2" s="4171"/>
      <c r="H2" s="4171"/>
      <c r="I2" s="4171"/>
      <c r="J2" s="4167" t="s">
        <v>170</v>
      </c>
      <c r="K2" s="4171"/>
      <c r="L2" s="4171"/>
      <c r="M2" s="4171"/>
      <c r="N2" s="4171"/>
      <c r="O2" s="4171"/>
      <c r="P2" s="4171"/>
      <c r="Q2" s="4171"/>
      <c r="R2" s="4171"/>
      <c r="S2" s="4171"/>
      <c r="T2" s="4167"/>
      <c r="U2" s="4167"/>
      <c r="V2" s="4171"/>
      <c r="W2" s="4307"/>
    </row>
    <row r="3" spans="2:27" s="3975" customFormat="1">
      <c r="C3" s="4172"/>
      <c r="D3" s="4172"/>
      <c r="E3" s="4172"/>
      <c r="F3" s="4172"/>
      <c r="G3" s="4172"/>
      <c r="H3" s="4172"/>
      <c r="I3" s="4172"/>
      <c r="J3" s="4168" t="s">
        <v>3016</v>
      </c>
      <c r="K3" s="4172"/>
      <c r="L3" s="4172"/>
      <c r="M3" s="4172"/>
      <c r="N3" s="4172"/>
      <c r="O3" s="4172"/>
      <c r="P3" s="4172"/>
      <c r="Q3" s="4172"/>
      <c r="R3" s="4172"/>
      <c r="S3" s="4172"/>
      <c r="T3" s="4168"/>
      <c r="U3" s="4168"/>
      <c r="V3" s="4172"/>
      <c r="W3" s="4308"/>
    </row>
    <row r="4" spans="2:27" s="3975" customFormat="1">
      <c r="C4" s="4171"/>
      <c r="D4" s="4171"/>
      <c r="E4" s="4171"/>
      <c r="F4" s="4171"/>
      <c r="G4" s="4171"/>
      <c r="H4" s="4171"/>
      <c r="I4" s="4171"/>
      <c r="J4" s="4167" t="s">
        <v>3017</v>
      </c>
      <c r="K4" s="4171"/>
      <c r="L4" s="4171"/>
      <c r="M4" s="4171"/>
      <c r="N4" s="4171"/>
      <c r="O4" s="4171"/>
      <c r="P4" s="4171"/>
      <c r="Q4" s="4171"/>
      <c r="R4" s="4171"/>
      <c r="S4" s="4171"/>
      <c r="T4" s="4167"/>
      <c r="U4" s="4167"/>
      <c r="V4" s="4171"/>
      <c r="W4" s="4307"/>
    </row>
    <row r="5" spans="2:27" s="3975" customFormat="1">
      <c r="C5" s="4171"/>
      <c r="D5" s="4171"/>
      <c r="E5" s="4171"/>
      <c r="F5" s="4171"/>
      <c r="G5" s="4171"/>
      <c r="H5" s="4171"/>
      <c r="I5" s="4171"/>
      <c r="J5" s="4167" t="s">
        <v>3569</v>
      </c>
      <c r="K5" s="4171"/>
      <c r="L5" s="4171"/>
      <c r="M5" s="4171"/>
      <c r="N5" s="4171"/>
      <c r="O5" s="4171"/>
      <c r="P5" s="4171"/>
      <c r="Q5" s="4171"/>
      <c r="R5" s="4171"/>
      <c r="S5" s="4171"/>
      <c r="T5" s="4167"/>
      <c r="U5" s="4167"/>
      <c r="V5" s="4171"/>
      <c r="W5" s="4307"/>
    </row>
    <row r="7" spans="2:27" ht="32.25" customHeight="1">
      <c r="B7" s="5864" t="s">
        <v>1938</v>
      </c>
      <c r="C7" s="5866" t="s">
        <v>3077</v>
      </c>
      <c r="D7" s="5868" t="s">
        <v>3030</v>
      </c>
      <c r="E7" s="5869"/>
      <c r="F7" s="5870"/>
      <c r="G7" s="5868" t="s">
        <v>3078</v>
      </c>
      <c r="H7" s="5870"/>
      <c r="I7" s="5871" t="s">
        <v>3079</v>
      </c>
      <c r="J7" s="5871" t="s">
        <v>3253</v>
      </c>
      <c r="K7" s="5868" t="s">
        <v>3080</v>
      </c>
      <c r="L7" s="5870"/>
      <c r="M7" s="5873" t="s">
        <v>3081</v>
      </c>
      <c r="N7" s="5874"/>
      <c r="O7" s="5875"/>
      <c r="P7" s="5862" t="s">
        <v>3082</v>
      </c>
      <c r="Q7" s="5862" t="s">
        <v>3083</v>
      </c>
      <c r="R7" s="5862" t="s">
        <v>3084</v>
      </c>
      <c r="S7" s="5862" t="s">
        <v>3085</v>
      </c>
      <c r="T7" s="5861" t="s">
        <v>3211</v>
      </c>
      <c r="U7" s="5861" t="s">
        <v>3212</v>
      </c>
      <c r="V7" s="5862" t="s">
        <v>3281</v>
      </c>
      <c r="W7" s="5876" t="s">
        <v>3250</v>
      </c>
      <c r="X7" s="5860" t="s">
        <v>3086</v>
      </c>
      <c r="Y7" s="5860" t="s">
        <v>3087</v>
      </c>
      <c r="Z7" s="5860" t="s">
        <v>3088</v>
      </c>
    </row>
    <row r="8" spans="2:27" ht="52.5">
      <c r="B8" s="5865"/>
      <c r="C8" s="5867"/>
      <c r="D8" s="4645" t="s">
        <v>3031</v>
      </c>
      <c r="E8" s="4645" t="s">
        <v>3032</v>
      </c>
      <c r="F8" s="4645" t="s">
        <v>3089</v>
      </c>
      <c r="G8" s="4894" t="s">
        <v>3090</v>
      </c>
      <c r="H8" s="4894" t="s">
        <v>3091</v>
      </c>
      <c r="I8" s="5872"/>
      <c r="J8" s="5872"/>
      <c r="K8" s="4894" t="s">
        <v>3282</v>
      </c>
      <c r="L8" s="4894" t="s">
        <v>3092</v>
      </c>
      <c r="M8" s="4894" t="s">
        <v>3093</v>
      </c>
      <c r="N8" s="4894" t="s">
        <v>3094</v>
      </c>
      <c r="O8" s="4894" t="s">
        <v>3095</v>
      </c>
      <c r="P8" s="5863"/>
      <c r="Q8" s="5863"/>
      <c r="R8" s="5863"/>
      <c r="S8" s="5863"/>
      <c r="T8" s="5861"/>
      <c r="U8" s="5861"/>
      <c r="V8" s="5863"/>
      <c r="W8" s="5876"/>
      <c r="X8" s="5860"/>
      <c r="Y8" s="5860"/>
      <c r="Z8" s="5860"/>
    </row>
    <row r="9" spans="2:27">
      <c r="B9" s="3978" t="s">
        <v>14</v>
      </c>
      <c r="C9" s="3978" t="s">
        <v>15</v>
      </c>
      <c r="D9" s="4919">
        <f>F14.1!D9</f>
        <v>189</v>
      </c>
      <c r="E9" s="4919">
        <f>F14.1!E9</f>
        <v>0</v>
      </c>
      <c r="F9" s="4919">
        <f>D9+E9</f>
        <v>189</v>
      </c>
      <c r="G9" s="3980">
        <v>3</v>
      </c>
      <c r="H9" s="3980">
        <f>[102]F20!J12</f>
        <v>0</v>
      </c>
      <c r="I9" s="3980">
        <v>0.8</v>
      </c>
      <c r="J9" s="3980">
        <f>[102]F20!L12</f>
        <v>0.12</v>
      </c>
      <c r="K9" s="4920">
        <f>F14.1!K9</f>
        <v>5.0000473283962926E-2</v>
      </c>
      <c r="L9" s="4920">
        <f>F14.1!L9</f>
        <v>0</v>
      </c>
      <c r="M9" s="3981">
        <f>G9*F9*12/10^7</f>
        <v>6.8039999999999995E-4</v>
      </c>
      <c r="N9" s="3980"/>
      <c r="O9" s="3980">
        <f>M9+N9</f>
        <v>6.8039999999999995E-4</v>
      </c>
      <c r="P9" s="3982">
        <f>K9*I9/10</f>
        <v>4.0000378627170347E-3</v>
      </c>
      <c r="Q9" s="3983">
        <f t="shared" ref="Q9:Q16" si="0">SUM(O9:P9)</f>
        <v>4.6804378627170349E-3</v>
      </c>
      <c r="R9" s="3982">
        <f>K9*J9/10</f>
        <v>6.0000567940755509E-4</v>
      </c>
      <c r="S9" s="3983">
        <f>Q9+R9</f>
        <v>5.2804435421245901E-3</v>
      </c>
      <c r="T9" s="3983">
        <v>0.09</v>
      </c>
      <c r="U9" s="3982">
        <f>IF([104]Assumptions!$D$130="YES",$K9*T9/10,0)</f>
        <v>4.5000425955566629E-4</v>
      </c>
      <c r="V9" s="3982">
        <f>S9+U9</f>
        <v>5.7304478016802565E-3</v>
      </c>
      <c r="W9" s="4209">
        <f>V9/K9*10</f>
        <v>1.1460787119225593</v>
      </c>
      <c r="X9" s="3984">
        <f>S9*10/K9</f>
        <v>1.0560787119225592</v>
      </c>
      <c r="Y9" s="3985"/>
      <c r="Z9" s="3986">
        <f>X9/$Y$37</f>
        <v>0.10039190204611866</v>
      </c>
      <c r="AA9" s="4209">
        <f>$V9/$K9*10</f>
        <v>1.1460787119225593</v>
      </c>
    </row>
    <row r="10" spans="2:27">
      <c r="B10" s="3987" t="s">
        <v>3018</v>
      </c>
      <c r="C10" s="3988" t="s">
        <v>17</v>
      </c>
      <c r="D10" s="4919">
        <f>F14.1!D10</f>
        <v>309363.34356361459</v>
      </c>
      <c r="E10" s="4919">
        <f>F14.1!E10</f>
        <v>15183.681938343097</v>
      </c>
      <c r="F10" s="4919">
        <f t="shared" ref="F10:F28" si="1">D10+E10</f>
        <v>324547.02550195769</v>
      </c>
      <c r="G10" s="3980">
        <v>40</v>
      </c>
      <c r="H10" s="3980">
        <f>[102]F20!J13</f>
        <v>0</v>
      </c>
      <c r="I10" s="3980">
        <v>2.65</v>
      </c>
      <c r="J10" s="3980">
        <f>[102]F20!L13</f>
        <v>0.55000000000000004</v>
      </c>
      <c r="K10" s="4920">
        <f>F14.1!K10</f>
        <v>740.70916312206168</v>
      </c>
      <c r="L10" s="4920">
        <f>F14.1!L10</f>
        <v>0</v>
      </c>
      <c r="M10" s="3981">
        <f>G10*F10*12/10^7</f>
        <v>15.578257224093967</v>
      </c>
      <c r="N10" s="3980"/>
      <c r="O10" s="3980">
        <f t="shared" ref="O10:O35" si="2">M10+N10</f>
        <v>15.578257224093967</v>
      </c>
      <c r="P10" s="3982">
        <f>K10*I10/10</f>
        <v>196.28792822734633</v>
      </c>
      <c r="Q10" s="3983">
        <f t="shared" si="0"/>
        <v>211.86618545144029</v>
      </c>
      <c r="R10" s="3982">
        <f t="shared" ref="R10:R32" si="3">K10*J10/10</f>
        <v>40.739003971713394</v>
      </c>
      <c r="S10" s="3983">
        <f t="shared" ref="S10:S35" si="4">Q10+R10</f>
        <v>252.60518942315369</v>
      </c>
      <c r="T10" s="3983">
        <v>0.38</v>
      </c>
      <c r="U10" s="3982">
        <f>IF([104]Assumptions!$D$130="YES",$K10*T10/10,0)</f>
        <v>28.146948198638341</v>
      </c>
      <c r="V10" s="3982">
        <f t="shared" ref="V10:V35" si="5">S10+U10</f>
        <v>280.75213762179203</v>
      </c>
      <c r="W10" s="4209">
        <f>SUM(V10:V13)/SUM(K10:K13)*10</f>
        <v>7.3905824452668112</v>
      </c>
      <c r="X10" s="3989">
        <f t="shared" ref="X10:X28" si="6">V10*10/K10</f>
        <v>3.7903154382272275</v>
      </c>
      <c r="Y10" s="3990"/>
      <c r="Z10" s="3991">
        <f t="shared" ref="Z10:Z28" si="7">X10/$Y$37</f>
        <v>0.36031118883712704</v>
      </c>
      <c r="AA10" s="4209">
        <f t="shared" ref="AA10:AA37" si="8">$V10/$K10*10</f>
        <v>3.7903154382272275</v>
      </c>
    </row>
    <row r="11" spans="2:27">
      <c r="B11" s="3987"/>
      <c r="C11" s="3988" t="s">
        <v>18</v>
      </c>
      <c r="D11" s="4919">
        <f>F14.1!D11</f>
        <v>332099.19513493171</v>
      </c>
      <c r="E11" s="4919">
        <f>F14.1!E11</f>
        <v>28614.517206273787</v>
      </c>
      <c r="F11" s="4919">
        <f t="shared" si="1"/>
        <v>360713.71234120551</v>
      </c>
      <c r="G11" s="3980">
        <v>75</v>
      </c>
      <c r="H11" s="3980">
        <f>[102]F20!J14</f>
        <v>0</v>
      </c>
      <c r="I11" s="3980">
        <v>5.35</v>
      </c>
      <c r="J11" s="3980">
        <f>[102]F20!L14</f>
        <v>1.03</v>
      </c>
      <c r="K11" s="4920">
        <f>F14.1!K11</f>
        <v>638.93612398134803</v>
      </c>
      <c r="L11" s="4920">
        <f>F14.1!L11</f>
        <v>0</v>
      </c>
      <c r="M11" s="3981">
        <f>G11*F11*12/10^7+(D11*G11*12/10^7+E11*150*12/10^7)*0</f>
        <v>32.464234110708496</v>
      </c>
      <c r="N11" s="3980"/>
      <c r="O11" s="3980">
        <f t="shared" si="2"/>
        <v>32.464234110708496</v>
      </c>
      <c r="P11" s="3982">
        <f>K11*I11/10</f>
        <v>341.83082633002118</v>
      </c>
      <c r="Q11" s="3983">
        <f t="shared" si="0"/>
        <v>374.29506044072969</v>
      </c>
      <c r="R11" s="3982">
        <f t="shared" si="3"/>
        <v>65.810420770078849</v>
      </c>
      <c r="S11" s="3983">
        <f t="shared" si="4"/>
        <v>440.10548121080853</v>
      </c>
      <c r="T11" s="3983">
        <v>0.73</v>
      </c>
      <c r="U11" s="3982">
        <f>IF([104]Assumptions!$D$130="YES",$K11*T11/10,0)</f>
        <v>46.642337050638403</v>
      </c>
      <c r="V11" s="3982">
        <f t="shared" si="5"/>
        <v>486.74781826144692</v>
      </c>
      <c r="W11" s="4175"/>
      <c r="X11" s="3989">
        <f t="shared" si="6"/>
        <v>7.6180982729293323</v>
      </c>
      <c r="Y11" s="3990"/>
      <c r="Z11" s="3991">
        <f t="shared" si="7"/>
        <v>0.72418406597870011</v>
      </c>
      <c r="AA11" s="4209">
        <f t="shared" si="8"/>
        <v>7.6180982729293323</v>
      </c>
    </row>
    <row r="12" spans="2:27">
      <c r="B12" s="3987"/>
      <c r="C12" s="3988" t="s">
        <v>19</v>
      </c>
      <c r="D12" s="4919">
        <f>F14.1!D12</f>
        <v>34580.877373877658</v>
      </c>
      <c r="E12" s="4919">
        <f>F14.1!E12</f>
        <v>19946.330247111055</v>
      </c>
      <c r="F12" s="4919">
        <f t="shared" si="1"/>
        <v>54527.207620988716</v>
      </c>
      <c r="G12" s="3980">
        <v>75</v>
      </c>
      <c r="H12" s="3980">
        <f>[102]F20!J15</f>
        <v>0</v>
      </c>
      <c r="I12" s="3980">
        <v>7.5</v>
      </c>
      <c r="J12" s="3980">
        <f>[102]F20!L15</f>
        <v>1.44</v>
      </c>
      <c r="K12" s="4920">
        <f>F14.1!K12</f>
        <v>195.47247711742492</v>
      </c>
      <c r="L12" s="4920">
        <f>F14.1!L12</f>
        <v>0</v>
      </c>
      <c r="M12" s="3981">
        <f>G12*F12*12/10^7+(D12*G12*12/10^7+E12*150*12/10^7)*0</f>
        <v>4.9074486858889852</v>
      </c>
      <c r="N12" s="3980"/>
      <c r="O12" s="3980">
        <f t="shared" si="2"/>
        <v>4.9074486858889852</v>
      </c>
      <c r="P12" s="3982">
        <f>K12*I12/10</f>
        <v>146.60435783806867</v>
      </c>
      <c r="Q12" s="3983">
        <f t="shared" si="0"/>
        <v>151.51180652395766</v>
      </c>
      <c r="R12" s="3982">
        <f t="shared" si="3"/>
        <v>28.148036704909185</v>
      </c>
      <c r="S12" s="3983">
        <f t="shared" si="4"/>
        <v>179.65984322886683</v>
      </c>
      <c r="T12" s="3983">
        <v>1.05</v>
      </c>
      <c r="U12" s="3982">
        <f>IF([104]Assumptions!$D$130="YES",$K12*T12/10,0)</f>
        <v>20.524610097329617</v>
      </c>
      <c r="V12" s="3982">
        <f t="shared" si="5"/>
        <v>200.18445332619646</v>
      </c>
      <c r="W12" s="4175"/>
      <c r="X12" s="3989">
        <f t="shared" si="6"/>
        <v>10.241055737270928</v>
      </c>
      <c r="Y12" s="3990"/>
      <c r="Z12" s="3991">
        <f t="shared" si="7"/>
        <v>0.9735250344676345</v>
      </c>
      <c r="AA12" s="4209">
        <f t="shared" si="8"/>
        <v>10.241055737270928</v>
      </c>
    </row>
    <row r="13" spans="2:27">
      <c r="B13" s="3987"/>
      <c r="C13" s="3988" t="s">
        <v>20</v>
      </c>
      <c r="D13" s="4919">
        <f>F14.1!D13</f>
        <v>7886.2440430585639</v>
      </c>
      <c r="E13" s="4919">
        <f>F14.1!E13</f>
        <v>24128.524268357101</v>
      </c>
      <c r="F13" s="4919">
        <f t="shared" si="1"/>
        <v>32014.768311415664</v>
      </c>
      <c r="G13" s="3980">
        <v>100</v>
      </c>
      <c r="H13" s="3980">
        <f>[102]F20!J16</f>
        <v>0</v>
      </c>
      <c r="I13" s="3980">
        <v>9.5500000000000007</v>
      </c>
      <c r="J13" s="3980">
        <f>[102]F20!L16</f>
        <v>1.85</v>
      </c>
      <c r="K13" s="4920">
        <f>F14.1!K13</f>
        <v>359.99730133356655</v>
      </c>
      <c r="L13" s="4920">
        <f>F14.1!L13</f>
        <v>0</v>
      </c>
      <c r="M13" s="3981">
        <f>G13*F13*12/10^7+(D13*G13*12/10^7+E13*150*12/10^7)*0</f>
        <v>3.8417721973698793</v>
      </c>
      <c r="N13" s="3980"/>
      <c r="O13" s="3980">
        <f t="shared" si="2"/>
        <v>3.8417721973698793</v>
      </c>
      <c r="P13" s="3982">
        <f t="shared" ref="P13:P28" si="9">K13*I13/10</f>
        <v>343.79742277355609</v>
      </c>
      <c r="Q13" s="3983">
        <f t="shared" si="0"/>
        <v>347.63919497092598</v>
      </c>
      <c r="R13" s="3982">
        <f t="shared" si="3"/>
        <v>66.599500746709822</v>
      </c>
      <c r="S13" s="3983">
        <f t="shared" si="4"/>
        <v>414.23869571763578</v>
      </c>
      <c r="T13" s="3983">
        <v>1.34</v>
      </c>
      <c r="U13" s="3982">
        <f>IF([104]Assumptions!$D$130="YES",$K13*T13/10,0)</f>
        <v>48.239638378697919</v>
      </c>
      <c r="V13" s="3982">
        <f t="shared" si="5"/>
        <v>462.4783340963337</v>
      </c>
      <c r="W13" s="4175"/>
      <c r="X13" s="3989">
        <f t="shared" si="6"/>
        <v>12.846716694351278</v>
      </c>
      <c r="Y13" s="3990"/>
      <c r="Z13" s="3991">
        <f t="shared" si="7"/>
        <v>1.2212217796206493</v>
      </c>
      <c r="AA13" s="4209">
        <f t="shared" si="8"/>
        <v>12.846716694351276</v>
      </c>
    </row>
    <row r="14" spans="2:27">
      <c r="B14" s="3987" t="s">
        <v>1991</v>
      </c>
      <c r="C14" s="3988" t="s">
        <v>3096</v>
      </c>
      <c r="D14" s="4919">
        <f>F14.1!D14</f>
        <v>201693.44353187692</v>
      </c>
      <c r="E14" s="4919">
        <f>F14.1!E14</f>
        <v>23225.761120575899</v>
      </c>
      <c r="F14" s="4919">
        <f t="shared" si="1"/>
        <v>224919.20465245281</v>
      </c>
      <c r="G14" s="3980">
        <v>250</v>
      </c>
      <c r="H14" s="3980">
        <f>[102]F20!J18</f>
        <v>0</v>
      </c>
      <c r="I14" s="3980">
        <v>7.45</v>
      </c>
      <c r="J14" s="3980">
        <f>[102]F20!L18</f>
        <v>1.48</v>
      </c>
      <c r="K14" s="4920">
        <f>F14.1!K14</f>
        <v>557.25224670732882</v>
      </c>
      <c r="L14" s="4920">
        <f>F14.1!L14</f>
        <v>0</v>
      </c>
      <c r="M14" s="3981">
        <f t="shared" ref="M14:M35" si="10">G14*F14*12/10^7</f>
        <v>67.475761395735844</v>
      </c>
      <c r="N14" s="3980"/>
      <c r="O14" s="3980">
        <f t="shared" si="2"/>
        <v>67.475761395735844</v>
      </c>
      <c r="P14" s="3982">
        <f t="shared" si="9"/>
        <v>415.15292379696001</v>
      </c>
      <c r="Q14" s="3983">
        <f t="shared" si="0"/>
        <v>482.62868519269585</v>
      </c>
      <c r="R14" s="3982">
        <f t="shared" si="3"/>
        <v>82.473332512684664</v>
      </c>
      <c r="S14" s="3983">
        <f t="shared" si="4"/>
        <v>565.10201770538049</v>
      </c>
      <c r="T14" s="3983">
        <v>1.1000000000000001</v>
      </c>
      <c r="U14" s="3982">
        <f>IF([104]Assumptions!$D$130="YES",$K14*T14/10,0)</f>
        <v>61.297747137806176</v>
      </c>
      <c r="V14" s="3982">
        <f t="shared" si="5"/>
        <v>626.39976484318663</v>
      </c>
      <c r="W14" s="4209">
        <f>SUM(V14:V15)/SUM(K14:K15)*10</f>
        <v>12.691095290657362</v>
      </c>
      <c r="X14" s="3989">
        <f t="shared" si="6"/>
        <v>11.240865668006439</v>
      </c>
      <c r="Y14" s="3990"/>
      <c r="Z14" s="3991">
        <f t="shared" si="7"/>
        <v>1.068567969712878</v>
      </c>
      <c r="AA14" s="4209">
        <f t="shared" si="8"/>
        <v>11.240865668006439</v>
      </c>
    </row>
    <row r="15" spans="2:27">
      <c r="B15" s="3987"/>
      <c r="C15" s="3988" t="s">
        <v>20</v>
      </c>
      <c r="D15" s="4919">
        <f>F14.1!D15</f>
        <v>12112.429333580742</v>
      </c>
      <c r="E15" s="4919">
        <f>F14.1!E15</f>
        <v>20425.882940876665</v>
      </c>
      <c r="F15" s="4919">
        <f t="shared" si="1"/>
        <v>32538.312274457407</v>
      </c>
      <c r="G15" s="3980">
        <v>250</v>
      </c>
      <c r="H15" s="3980">
        <f>[102]F20!J20</f>
        <v>0</v>
      </c>
      <c r="I15" s="3980">
        <v>10</v>
      </c>
      <c r="J15" s="3980">
        <f>[102]F20!L20</f>
        <v>2.2000000000000002</v>
      </c>
      <c r="K15" s="4920">
        <f>F14.1!K15</f>
        <v>353.68963760997781</v>
      </c>
      <c r="L15" s="4920">
        <f>F14.1!L15</f>
        <v>0</v>
      </c>
      <c r="M15" s="3981">
        <f t="shared" si="10"/>
        <v>9.7614936823372211</v>
      </c>
      <c r="N15" s="3980"/>
      <c r="O15" s="3980">
        <f t="shared" si="2"/>
        <v>9.7614936823372211</v>
      </c>
      <c r="P15" s="3982">
        <f t="shared" si="9"/>
        <v>353.68963760997781</v>
      </c>
      <c r="Q15" s="3983">
        <f t="shared" si="0"/>
        <v>363.45113129231504</v>
      </c>
      <c r="R15" s="3982">
        <f t="shared" si="3"/>
        <v>77.811720274195125</v>
      </c>
      <c r="S15" s="3983">
        <f t="shared" si="4"/>
        <v>441.26285156651016</v>
      </c>
      <c r="T15" s="3983">
        <v>2.5</v>
      </c>
      <c r="U15" s="3982">
        <f>IF([104]Assumptions!$D$130="YES",$K15*T15/10,0)</f>
        <v>88.422409402494452</v>
      </c>
      <c r="V15" s="3982">
        <f t="shared" si="5"/>
        <v>529.68526096900462</v>
      </c>
      <c r="W15" s="4175"/>
      <c r="X15" s="3989">
        <f t="shared" si="6"/>
        <v>14.975990378126415</v>
      </c>
      <c r="Y15" s="3990"/>
      <c r="Z15" s="3991">
        <f t="shared" si="7"/>
        <v>1.4236326725566359</v>
      </c>
      <c r="AA15" s="4209">
        <f t="shared" si="8"/>
        <v>14.975990378126415</v>
      </c>
    </row>
    <row r="16" spans="2:27">
      <c r="B16" s="3987" t="s">
        <v>1992</v>
      </c>
      <c r="C16" s="3987" t="s">
        <v>28</v>
      </c>
      <c r="D16" s="4919">
        <f>F14.1!D16</f>
        <v>58</v>
      </c>
      <c r="E16" s="4919">
        <f>F14.1!E16</f>
        <v>5850</v>
      </c>
      <c r="F16" s="4919">
        <f t="shared" si="1"/>
        <v>5908</v>
      </c>
      <c r="G16" s="3980">
        <f>[102]F20!I21</f>
        <v>0</v>
      </c>
      <c r="H16" s="3980">
        <v>200</v>
      </c>
      <c r="I16" s="3980">
        <v>9.3000000000000007</v>
      </c>
      <c r="J16" s="3980">
        <f>[102]F20!L21</f>
        <v>2.15</v>
      </c>
      <c r="K16" s="4920">
        <f>F14.1!K16</f>
        <v>240.61024998912467</v>
      </c>
      <c r="L16" s="4920">
        <f>F14.1!L16</f>
        <v>104875.61479473181</v>
      </c>
      <c r="M16" s="3981">
        <f t="shared" si="10"/>
        <v>0</v>
      </c>
      <c r="N16" s="3980">
        <f>L16*H16*12/10^7</f>
        <v>25.170147550735635</v>
      </c>
      <c r="O16" s="3980">
        <f t="shared" si="2"/>
        <v>25.170147550735635</v>
      </c>
      <c r="P16" s="3982">
        <f t="shared" si="9"/>
        <v>223.76753248988598</v>
      </c>
      <c r="Q16" s="3983">
        <f t="shared" si="0"/>
        <v>248.93768004062161</v>
      </c>
      <c r="R16" s="3982">
        <f t="shared" si="3"/>
        <v>51.731203747661802</v>
      </c>
      <c r="S16" s="3983">
        <f t="shared" si="4"/>
        <v>300.66888378828344</v>
      </c>
      <c r="T16" s="3983">
        <v>1.58</v>
      </c>
      <c r="U16" s="3982">
        <f>IF([104]Assumptions!$D$130="YES",$K16*T16/10,0)</f>
        <v>38.016419498281699</v>
      </c>
      <c r="V16" s="3982">
        <f t="shared" si="5"/>
        <v>338.68530328656516</v>
      </c>
      <c r="W16" s="4209">
        <f>V16/K16*10</f>
        <v>14.076096230392237</v>
      </c>
      <c r="X16" s="3989">
        <f t="shared" si="6"/>
        <v>14.076096230392237</v>
      </c>
      <c r="Y16" s="3990"/>
      <c r="Z16" s="3991">
        <f t="shared" si="7"/>
        <v>1.3380878319010185</v>
      </c>
      <c r="AA16" s="4209">
        <f t="shared" si="8"/>
        <v>14.076096230392237</v>
      </c>
    </row>
    <row r="17" spans="2:27">
      <c r="B17" s="3987" t="s">
        <v>1993</v>
      </c>
      <c r="C17" s="3987" t="s">
        <v>28</v>
      </c>
      <c r="D17" s="4919">
        <f>F14.1!D17</f>
        <v>0</v>
      </c>
      <c r="E17" s="4919">
        <f>F14.1!E17</f>
        <v>2649</v>
      </c>
      <c r="F17" s="4919">
        <f t="shared" si="1"/>
        <v>2649</v>
      </c>
      <c r="G17" s="3980">
        <f>[102]F20!I22</f>
        <v>0</v>
      </c>
      <c r="H17" s="3980">
        <v>200</v>
      </c>
      <c r="I17" s="3980">
        <v>9.6999999999999993</v>
      </c>
      <c r="J17" s="3980">
        <f>[102]F20!L22</f>
        <v>2.1800000000000002</v>
      </c>
      <c r="K17" s="4920">
        <f>F14.1!K17</f>
        <v>474.79038926628346</v>
      </c>
      <c r="L17" s="4920">
        <f>F14.1!L17</f>
        <v>174612.80968520642</v>
      </c>
      <c r="M17" s="3981">
        <f t="shared" si="10"/>
        <v>0</v>
      </c>
      <c r="N17" s="3980">
        <f>L17*H17*12/10^7</f>
        <v>41.907074324449539</v>
      </c>
      <c r="O17" s="3980">
        <f t="shared" si="2"/>
        <v>41.907074324449539</v>
      </c>
      <c r="P17" s="3982">
        <f t="shared" si="9"/>
        <v>460.54667758829493</v>
      </c>
      <c r="Q17" s="3983">
        <f t="shared" ref="Q17:Q35" si="11">SUM(O17:P17)</f>
        <v>502.45375191274445</v>
      </c>
      <c r="R17" s="3982">
        <f t="shared" si="3"/>
        <v>103.5043048600498</v>
      </c>
      <c r="S17" s="3983">
        <f t="shared" si="4"/>
        <v>605.95805677279429</v>
      </c>
      <c r="T17" s="3983">
        <v>1.61</v>
      </c>
      <c r="U17" s="3982">
        <f>IF([104]Assumptions!$D$130="YES",$K17*T17/10,0)</f>
        <v>76.441252671871638</v>
      </c>
      <c r="V17" s="3982">
        <f t="shared" si="5"/>
        <v>682.39930944466596</v>
      </c>
      <c r="W17" s="4209">
        <f>V17/K17*10</f>
        <v>14.372643694393448</v>
      </c>
      <c r="X17" s="3989">
        <f t="shared" si="6"/>
        <v>14.372643694393448</v>
      </c>
      <c r="Y17" s="3990"/>
      <c r="Z17" s="3991">
        <f t="shared" si="7"/>
        <v>1.3662779313907027</v>
      </c>
      <c r="AA17" s="4209">
        <f t="shared" si="8"/>
        <v>14.372643694393448</v>
      </c>
    </row>
    <row r="18" spans="2:27">
      <c r="B18" s="3987" t="s">
        <v>3022</v>
      </c>
      <c r="C18" s="3988" t="s">
        <v>25</v>
      </c>
      <c r="D18" s="4919">
        <f>F14.1!D18</f>
        <v>2438</v>
      </c>
      <c r="E18" s="4919">
        <f>F14.1!E18</f>
        <v>3567</v>
      </c>
      <c r="F18" s="4919">
        <f t="shared" si="1"/>
        <v>6005</v>
      </c>
      <c r="G18" s="3980">
        <v>325</v>
      </c>
      <c r="H18" s="3980">
        <f>[102]F20!J24</f>
        <v>0</v>
      </c>
      <c r="I18" s="3980">
        <v>6.35</v>
      </c>
      <c r="J18" s="3980">
        <f>[102]F20!L24</f>
        <v>1.4</v>
      </c>
      <c r="K18" s="4920">
        <f>F14.1!K18</f>
        <v>21.323338722833718</v>
      </c>
      <c r="L18" s="4920">
        <f>F14.1!L18</f>
        <v>0</v>
      </c>
      <c r="M18" s="3981">
        <f t="shared" si="10"/>
        <v>2.3419500000000002</v>
      </c>
      <c r="N18" s="3980"/>
      <c r="O18" s="3980">
        <f t="shared" si="2"/>
        <v>2.3419500000000002</v>
      </c>
      <c r="P18" s="3982">
        <f t="shared" si="9"/>
        <v>13.540320088999412</v>
      </c>
      <c r="Q18" s="3983">
        <f>SUM(O18:P18)</f>
        <v>15.882270088999412</v>
      </c>
      <c r="R18" s="3982">
        <f t="shared" si="3"/>
        <v>2.9852674211967201</v>
      </c>
      <c r="S18" s="3983">
        <f t="shared" si="4"/>
        <v>18.867537510196133</v>
      </c>
      <c r="T18" s="3983">
        <v>1.04</v>
      </c>
      <c r="U18" s="3982">
        <f>IF([104]Assumptions!$D$130="YES",$K18*T18/10,0)</f>
        <v>2.2176272271747068</v>
      </c>
      <c r="V18" s="3982">
        <f t="shared" si="5"/>
        <v>21.085164737370839</v>
      </c>
      <c r="W18" s="4209">
        <f>SUM(V18:V19)/SUM(K18:K19)*10</f>
        <v>11.580319735667182</v>
      </c>
      <c r="X18" s="3989">
        <f t="shared" si="6"/>
        <v>9.8883036148519103</v>
      </c>
      <c r="Y18" s="3990"/>
      <c r="Z18" s="3991">
        <f t="shared" si="7"/>
        <v>0.93999206375186151</v>
      </c>
      <c r="AA18" s="4209">
        <f t="shared" si="8"/>
        <v>9.8883036148519103</v>
      </c>
    </row>
    <row r="19" spans="2:27">
      <c r="B19" s="3987"/>
      <c r="C19" s="3988" t="s">
        <v>20</v>
      </c>
      <c r="D19" s="4919">
        <f>F14.1!D19</f>
        <v>101</v>
      </c>
      <c r="E19" s="4919">
        <f>F14.1!E19</f>
        <v>1971</v>
      </c>
      <c r="F19" s="4919">
        <f t="shared" si="1"/>
        <v>2072</v>
      </c>
      <c r="G19" s="3980">
        <v>425</v>
      </c>
      <c r="H19" s="3980">
        <f>[102]F20!J26</f>
        <v>0</v>
      </c>
      <c r="I19" s="3980">
        <v>8.5500000000000007</v>
      </c>
      <c r="J19" s="3980">
        <f>[102]F20!L26</f>
        <v>1.96</v>
      </c>
      <c r="K19" s="4920">
        <f>F14.1!K19</f>
        <v>23.412585970123601</v>
      </c>
      <c r="L19" s="4920">
        <f>F14.1!L19</f>
        <v>0</v>
      </c>
      <c r="M19" s="3981">
        <f t="shared" si="10"/>
        <v>1.0567200000000001</v>
      </c>
      <c r="N19" s="3980"/>
      <c r="O19" s="3980">
        <f t="shared" si="2"/>
        <v>1.0567200000000001</v>
      </c>
      <c r="P19" s="3982">
        <f t="shared" si="9"/>
        <v>20.017761004455682</v>
      </c>
      <c r="Q19" s="3983">
        <f t="shared" si="11"/>
        <v>21.074481004455681</v>
      </c>
      <c r="R19" s="3982">
        <f t="shared" si="3"/>
        <v>4.5888668501442256</v>
      </c>
      <c r="S19" s="3983">
        <f t="shared" si="4"/>
        <v>25.663347854599905</v>
      </c>
      <c r="T19" s="3983">
        <v>2.16</v>
      </c>
      <c r="U19" s="3982">
        <f>IF([104]Assumptions!$D$130="YES",$K19*T19/10,0)</f>
        <v>5.0571185695466978</v>
      </c>
      <c r="V19" s="3982">
        <f t="shared" si="5"/>
        <v>30.720466424146604</v>
      </c>
      <c r="W19" s="4175"/>
      <c r="X19" s="3989">
        <f t="shared" si="6"/>
        <v>13.121346981212783</v>
      </c>
      <c r="Y19" s="3990"/>
      <c r="Z19" s="3991">
        <f t="shared" si="7"/>
        <v>1.2473284102592939</v>
      </c>
      <c r="AA19" s="4209">
        <f t="shared" si="8"/>
        <v>13.121346981212783</v>
      </c>
    </row>
    <row r="20" spans="2:27">
      <c r="B20" s="3987" t="s">
        <v>1995</v>
      </c>
      <c r="C20" s="3987" t="s">
        <v>28</v>
      </c>
      <c r="D20" s="4919">
        <f>F14.1!D20</f>
        <v>11</v>
      </c>
      <c r="E20" s="4919">
        <f>F14.1!E20</f>
        <v>1142</v>
      </c>
      <c r="F20" s="4919">
        <f t="shared" si="1"/>
        <v>1153</v>
      </c>
      <c r="G20" s="3980">
        <f>[102]F20!I27</f>
        <v>0</v>
      </c>
      <c r="H20" s="3980">
        <v>200</v>
      </c>
      <c r="I20" s="3980">
        <v>8.1</v>
      </c>
      <c r="J20" s="3980">
        <f>[102]F20!L27</f>
        <v>1.75</v>
      </c>
      <c r="K20" s="4920">
        <f>F14.1!K20</f>
        <v>53.444546787552618</v>
      </c>
      <c r="L20" s="4920">
        <f>F14.1!L20</f>
        <v>25158.662518266075</v>
      </c>
      <c r="M20" s="3981">
        <f t="shared" si="10"/>
        <v>0</v>
      </c>
      <c r="N20" s="3980">
        <f>L20*H20*12/10^7</f>
        <v>6.0380790043838584</v>
      </c>
      <c r="O20" s="3980">
        <f t="shared" si="2"/>
        <v>6.0380790043838584</v>
      </c>
      <c r="P20" s="3982">
        <f t="shared" si="9"/>
        <v>43.290082897917621</v>
      </c>
      <c r="Q20" s="3983">
        <f t="shared" si="11"/>
        <v>49.328161902301481</v>
      </c>
      <c r="R20" s="3982">
        <f>K20*J20/10</f>
        <v>9.3527956878217076</v>
      </c>
      <c r="S20" s="3983">
        <f t="shared" si="4"/>
        <v>58.680957590123185</v>
      </c>
      <c r="T20" s="3983">
        <v>1.28</v>
      </c>
      <c r="U20" s="3982">
        <f>IF([104]Assumptions!$D$130="YES",$K20*T20/10,0)</f>
        <v>6.8409019888067348</v>
      </c>
      <c r="V20" s="3982">
        <f t="shared" si="5"/>
        <v>65.52185957892992</v>
      </c>
      <c r="W20" s="4209">
        <f t="shared" ref="W20:W28" si="12">V20/K20*10</f>
        <v>12.259783928823612</v>
      </c>
      <c r="X20" s="3989">
        <f t="shared" si="6"/>
        <v>12.259783928823612</v>
      </c>
      <c r="Y20" s="3990"/>
      <c r="Z20" s="3991">
        <f t="shared" si="7"/>
        <v>1.1654273619893698</v>
      </c>
      <c r="AA20" s="4209">
        <f t="shared" si="8"/>
        <v>12.259783928823612</v>
      </c>
    </row>
    <row r="21" spans="2:27">
      <c r="B21" s="3987" t="s">
        <v>1996</v>
      </c>
      <c r="C21" s="3987" t="s">
        <v>28</v>
      </c>
      <c r="D21" s="4919">
        <f>F14.1!D21</f>
        <v>0</v>
      </c>
      <c r="E21" s="4919">
        <f>F14.1!E21</f>
        <v>120</v>
      </c>
      <c r="F21" s="4919">
        <f t="shared" si="1"/>
        <v>120</v>
      </c>
      <c r="G21" s="3980">
        <f>[102]F20!I28</f>
        <v>0</v>
      </c>
      <c r="H21" s="3980">
        <v>200</v>
      </c>
      <c r="I21" s="3980">
        <v>8.25</v>
      </c>
      <c r="J21" s="3980">
        <f>[102]F20!L28</f>
        <v>1.72</v>
      </c>
      <c r="K21" s="4920">
        <f>F14.1!K21</f>
        <v>48.920121922597481</v>
      </c>
      <c r="L21" s="4920">
        <f>F14.1!L21</f>
        <v>13707.630839345815</v>
      </c>
      <c r="M21" s="3981">
        <f t="shared" si="10"/>
        <v>0</v>
      </c>
      <c r="N21" s="3980">
        <f>L21*H21*12/10^7</f>
        <v>3.2898314014429952</v>
      </c>
      <c r="O21" s="3980">
        <f t="shared" si="2"/>
        <v>3.2898314014429952</v>
      </c>
      <c r="P21" s="3982">
        <f t="shared" si="9"/>
        <v>40.359100586142922</v>
      </c>
      <c r="Q21" s="3983">
        <f t="shared" si="11"/>
        <v>43.648931987585918</v>
      </c>
      <c r="R21" s="3982">
        <f>K21*J21/10</f>
        <v>8.4142609706867653</v>
      </c>
      <c r="S21" s="3983">
        <f t="shared" si="4"/>
        <v>52.06319295827268</v>
      </c>
      <c r="T21" s="3983">
        <v>1.24</v>
      </c>
      <c r="U21" s="3982">
        <f>IF([104]Assumptions!$D$130="YES",$K21*T21/10,0)</f>
        <v>6.066095118402087</v>
      </c>
      <c r="V21" s="3982">
        <f t="shared" si="5"/>
        <v>58.129288076674769</v>
      </c>
      <c r="W21" s="4209">
        <f t="shared" si="12"/>
        <v>11.882490433823579</v>
      </c>
      <c r="X21" s="3989">
        <f t="shared" si="6"/>
        <v>11.882490433823577</v>
      </c>
      <c r="Y21" s="3990"/>
      <c r="Z21" s="3991">
        <f t="shared" si="7"/>
        <v>1.1295614637707352</v>
      </c>
      <c r="AA21" s="4209">
        <f t="shared" si="8"/>
        <v>11.882490433823579</v>
      </c>
    </row>
    <row r="22" spans="2:27">
      <c r="B22" s="3987" t="s">
        <v>3023</v>
      </c>
      <c r="C22" s="3987" t="s">
        <v>28</v>
      </c>
      <c r="D22" s="4919">
        <f>F14.1!D22</f>
        <v>770</v>
      </c>
      <c r="E22" s="4919">
        <f>F14.1!E22</f>
        <v>147</v>
      </c>
      <c r="F22" s="4919">
        <f t="shared" si="1"/>
        <v>917</v>
      </c>
      <c r="G22" s="3980">
        <v>400</v>
      </c>
      <c r="H22" s="3980">
        <f>[102]F20!J29</f>
        <v>0</v>
      </c>
      <c r="I22" s="3980">
        <v>14.35</v>
      </c>
      <c r="J22" s="3980">
        <f>[102]F20!L29</f>
        <v>3.16</v>
      </c>
      <c r="K22" s="4920">
        <f>F14.1!K22</f>
        <v>1.6412256112723016</v>
      </c>
      <c r="L22" s="4920">
        <f>F14.1!L22</f>
        <v>0</v>
      </c>
      <c r="M22" s="3981">
        <f t="shared" si="10"/>
        <v>0.44016</v>
      </c>
      <c r="N22" s="3980"/>
      <c r="O22" s="3980">
        <f t="shared" si="2"/>
        <v>0.44016</v>
      </c>
      <c r="P22" s="3982">
        <f t="shared" si="9"/>
        <v>2.3551587521757527</v>
      </c>
      <c r="Q22" s="3983">
        <f t="shared" si="11"/>
        <v>2.7953187521757528</v>
      </c>
      <c r="R22" s="3982">
        <f>K22*J22/10</f>
        <v>0.51862729316204725</v>
      </c>
      <c r="S22" s="3983">
        <f t="shared" si="4"/>
        <v>3.3139460453377998</v>
      </c>
      <c r="T22" s="3983">
        <v>2.29</v>
      </c>
      <c r="U22" s="3982">
        <f>IF([104]Assumptions!$D$130="YES",$K22*T22/10,0)</f>
        <v>0.3758406649813571</v>
      </c>
      <c r="V22" s="3982">
        <f t="shared" si="5"/>
        <v>3.6897867103191571</v>
      </c>
      <c r="W22" s="4209">
        <f t="shared" si="12"/>
        <v>22.481898192283154</v>
      </c>
      <c r="X22" s="3989">
        <f t="shared" si="6"/>
        <v>22.481898192283154</v>
      </c>
      <c r="Y22" s="3990"/>
      <c r="Z22" s="3991">
        <f t="shared" si="7"/>
        <v>2.1371518009502357</v>
      </c>
      <c r="AA22" s="4209">
        <f t="shared" si="8"/>
        <v>22.481898192283154</v>
      </c>
    </row>
    <row r="23" spans="2:27">
      <c r="B23" s="3987" t="s">
        <v>3024</v>
      </c>
      <c r="C23" s="3987" t="s">
        <v>28</v>
      </c>
      <c r="D23" s="4919">
        <f>F14.1!D23</f>
        <v>605.16306239110122</v>
      </c>
      <c r="E23" s="4919">
        <f>F14.1!E23</f>
        <v>124.23877439817309</v>
      </c>
      <c r="F23" s="4919">
        <f t="shared" si="1"/>
        <v>729.40183678927428</v>
      </c>
      <c r="G23" s="3980">
        <f>[102]F20!I30</f>
        <v>0</v>
      </c>
      <c r="H23" s="3980">
        <v>200</v>
      </c>
      <c r="I23" s="3980">
        <v>7.9</v>
      </c>
      <c r="J23" s="3980">
        <f>[102]F20!L30</f>
        <v>1.52</v>
      </c>
      <c r="K23" s="4920">
        <f>F14.1!K23</f>
        <v>30.785385876232155</v>
      </c>
      <c r="L23" s="4920">
        <f>F14.1!L23</f>
        <v>13418.531715123658</v>
      </c>
      <c r="M23" s="3981">
        <f t="shared" si="10"/>
        <v>0</v>
      </c>
      <c r="N23" s="3980">
        <f>L23*H23*12/10^7</f>
        <v>3.2204476116296781</v>
      </c>
      <c r="O23" s="3980">
        <f t="shared" si="2"/>
        <v>3.2204476116296781</v>
      </c>
      <c r="P23" s="3982">
        <f t="shared" si="9"/>
        <v>24.320454842223405</v>
      </c>
      <c r="Q23" s="3983">
        <f t="shared" si="11"/>
        <v>27.540902453853082</v>
      </c>
      <c r="R23" s="3982">
        <f>K23*J23/10</f>
        <v>4.6793786531872872</v>
      </c>
      <c r="S23" s="3983">
        <f t="shared" si="4"/>
        <v>32.220281107040371</v>
      </c>
      <c r="T23" s="3983">
        <v>1.1200000000000001</v>
      </c>
      <c r="U23" s="3982">
        <f>IF([104]Assumptions!$D$130="YES",$K23*T23/10,0)</f>
        <v>3.447963218138002</v>
      </c>
      <c r="V23" s="3982">
        <f t="shared" si="5"/>
        <v>35.668244325178371</v>
      </c>
      <c r="W23" s="4209">
        <f t="shared" si="12"/>
        <v>11.586096230392236</v>
      </c>
      <c r="X23" s="3989">
        <f t="shared" si="6"/>
        <v>11.586096230392235</v>
      </c>
      <c r="Y23" s="3990"/>
      <c r="Z23" s="3991">
        <f t="shared" si="7"/>
        <v>1.1013859333846074</v>
      </c>
      <c r="AA23" s="4209">
        <f t="shared" si="8"/>
        <v>11.586096230392236</v>
      </c>
    </row>
    <row r="24" spans="2:27">
      <c r="B24" s="3987" t="s">
        <v>1999</v>
      </c>
      <c r="C24" s="3987" t="s">
        <v>28</v>
      </c>
      <c r="D24" s="4919">
        <f>F14.1!D24</f>
        <v>1</v>
      </c>
      <c r="E24" s="4919">
        <f>F14.1!E24</f>
        <v>2</v>
      </c>
      <c r="F24" s="4919">
        <f t="shared" si="1"/>
        <v>3</v>
      </c>
      <c r="G24" s="3980">
        <v>200</v>
      </c>
      <c r="H24" s="3980">
        <f>[102]F20!J31</f>
        <v>0</v>
      </c>
      <c r="I24" s="3980">
        <v>4.4000000000000004</v>
      </c>
      <c r="J24" s="3980">
        <f>[102]F20!L31</f>
        <v>0.87</v>
      </c>
      <c r="K24" s="4920">
        <f>F14.1!K24</f>
        <v>2.3273066915796381</v>
      </c>
      <c r="L24" s="4920">
        <f>F14.1!L24</f>
        <v>0</v>
      </c>
      <c r="M24" s="3981">
        <f>G24*F24*2/10^7</f>
        <v>1.2E-4</v>
      </c>
      <c r="N24" s="3980"/>
      <c r="O24" s="3980">
        <f t="shared" si="2"/>
        <v>1.2E-4</v>
      </c>
      <c r="P24" s="3982">
        <f t="shared" si="9"/>
        <v>1.0240149442950408</v>
      </c>
      <c r="Q24" s="3983">
        <f t="shared" si="11"/>
        <v>1.0241349442950407</v>
      </c>
      <c r="R24" s="3982">
        <f t="shared" si="3"/>
        <v>0.20247568216742851</v>
      </c>
      <c r="S24" s="3983">
        <f t="shared" si="4"/>
        <v>1.2266106264624692</v>
      </c>
      <c r="T24" s="3983">
        <v>0.72</v>
      </c>
      <c r="U24" s="3982">
        <f>IF([104]Assumptions!$D$130="YES",$K24*T24/10,0)</f>
        <v>0.16756608179373395</v>
      </c>
      <c r="V24" s="3982">
        <f t="shared" si="5"/>
        <v>1.3941767082562031</v>
      </c>
      <c r="W24" s="4209">
        <f t="shared" si="12"/>
        <v>5.990515617475058</v>
      </c>
      <c r="X24" s="3989">
        <f t="shared" si="6"/>
        <v>5.990515617475058</v>
      </c>
      <c r="Y24" s="3990"/>
      <c r="Z24" s="3991">
        <f t="shared" si="7"/>
        <v>0.56946442560182942</v>
      </c>
      <c r="AA24" s="4209">
        <f t="shared" si="8"/>
        <v>5.990515617475058</v>
      </c>
    </row>
    <row r="25" spans="2:27">
      <c r="B25" s="3987" t="s">
        <v>2000</v>
      </c>
      <c r="C25" s="3987" t="s">
        <v>28</v>
      </c>
      <c r="D25" s="4919">
        <f>F14.1!D25</f>
        <v>150</v>
      </c>
      <c r="E25" s="4919">
        <f>F14.1!E25</f>
        <v>1502</v>
      </c>
      <c r="F25" s="4919">
        <f t="shared" si="1"/>
        <v>1652</v>
      </c>
      <c r="G25" s="3980">
        <v>400</v>
      </c>
      <c r="H25" s="3980">
        <f>[102]F20!J32</f>
        <v>0</v>
      </c>
      <c r="I25" s="3980">
        <v>11.5</v>
      </c>
      <c r="J25" s="3980">
        <f>[102]F20!L32</f>
        <v>2.5299999999999998</v>
      </c>
      <c r="K25" s="4920">
        <f>F14.1!K25</f>
        <v>37.300932574388348</v>
      </c>
      <c r="L25" s="4920">
        <f>F14.1!L25</f>
        <v>0</v>
      </c>
      <c r="M25" s="3981">
        <f>G25*F25*12/10^7</f>
        <v>0.79296</v>
      </c>
      <c r="N25" s="3980"/>
      <c r="O25" s="3980">
        <f t="shared" si="2"/>
        <v>0.79296</v>
      </c>
      <c r="P25" s="3982">
        <f t="shared" si="9"/>
        <v>42.896072460546598</v>
      </c>
      <c r="Q25" s="3983">
        <f t="shared" si="11"/>
        <v>43.689032460546599</v>
      </c>
      <c r="R25" s="3982">
        <f t="shared" si="3"/>
        <v>9.4371359413202516</v>
      </c>
      <c r="S25" s="3983">
        <f t="shared" si="4"/>
        <v>53.126168401866849</v>
      </c>
      <c r="T25" s="3983">
        <v>1.89</v>
      </c>
      <c r="U25" s="3982">
        <f>IF([104]Assumptions!$D$130="YES",$K25*T25/10,0)</f>
        <v>7.049876256559398</v>
      </c>
      <c r="V25" s="3982">
        <f t="shared" si="5"/>
        <v>60.17604465842625</v>
      </c>
      <c r="W25" s="4209">
        <f t="shared" si="12"/>
        <v>16.132584497296044</v>
      </c>
      <c r="X25" s="3989">
        <f t="shared" si="6"/>
        <v>16.132584497296044</v>
      </c>
      <c r="Y25" s="3990"/>
      <c r="Z25" s="3991">
        <f t="shared" si="7"/>
        <v>1.5335796700748556</v>
      </c>
      <c r="AA25" s="4209">
        <f t="shared" si="8"/>
        <v>16.132584497296044</v>
      </c>
    </row>
    <row r="26" spans="2:27">
      <c r="B26" s="3987" t="s">
        <v>2001</v>
      </c>
      <c r="C26" s="3987" t="s">
        <v>28</v>
      </c>
      <c r="D26" s="4919">
        <f>F14.1!D26</f>
        <v>9</v>
      </c>
      <c r="E26" s="4919">
        <f>F14.1!E26</f>
        <v>20</v>
      </c>
      <c r="F26" s="4919">
        <f t="shared" si="1"/>
        <v>29</v>
      </c>
      <c r="G26" s="3980">
        <v>200</v>
      </c>
      <c r="H26" s="3980">
        <f>[102]F20!J33</f>
        <v>0</v>
      </c>
      <c r="I26" s="3980">
        <v>4.5</v>
      </c>
      <c r="J26" s="3980">
        <f>[102]F20!L33</f>
        <v>0.83</v>
      </c>
      <c r="K26" s="4920">
        <f>F14.1!K26</f>
        <v>1.2308820278524386</v>
      </c>
      <c r="L26" s="4920">
        <f>F14.1!L26</f>
        <v>0</v>
      </c>
      <c r="M26" s="3981">
        <f t="shared" si="10"/>
        <v>6.96E-3</v>
      </c>
      <c r="N26" s="3980"/>
      <c r="O26" s="3980">
        <f t="shared" si="2"/>
        <v>6.96E-3</v>
      </c>
      <c r="P26" s="3982">
        <f t="shared" si="9"/>
        <v>0.5538969125335973</v>
      </c>
      <c r="Q26" s="3983">
        <f t="shared" si="11"/>
        <v>0.56085691253359726</v>
      </c>
      <c r="R26" s="3982">
        <f t="shared" si="3"/>
        <v>0.10216320831175241</v>
      </c>
      <c r="S26" s="3983">
        <f t="shared" si="4"/>
        <v>0.66302012084534967</v>
      </c>
      <c r="T26" s="3983">
        <v>0.55000000000000004</v>
      </c>
      <c r="U26" s="3982">
        <f>IF([104]Assumptions!$D$130="YES",$K26*T26/10,0)</f>
        <v>6.7698511531884137E-2</v>
      </c>
      <c r="V26" s="3982">
        <f t="shared" si="5"/>
        <v>0.73071863237723378</v>
      </c>
      <c r="W26" s="4209">
        <f t="shared" si="12"/>
        <v>5.9365448178014528</v>
      </c>
      <c r="X26" s="3989">
        <f t="shared" si="6"/>
        <v>5.9365448178014528</v>
      </c>
      <c r="Y26" s="3990"/>
      <c r="Z26" s="3991">
        <f t="shared" si="7"/>
        <v>0.56433390722946342</v>
      </c>
      <c r="AA26" s="4209">
        <f t="shared" si="8"/>
        <v>5.9365448178014528</v>
      </c>
    </row>
    <row r="27" spans="2:27">
      <c r="B27" s="3992" t="s">
        <v>2002</v>
      </c>
      <c r="C27" s="3987" t="s">
        <v>28</v>
      </c>
      <c r="D27" s="4919">
        <f>F14.1!D27</f>
        <v>1446.0358673249784</v>
      </c>
      <c r="E27" s="4919">
        <f>F14.1!E27</f>
        <v>610.28124961948151</v>
      </c>
      <c r="F27" s="4919">
        <f t="shared" si="1"/>
        <v>2056.3171169444599</v>
      </c>
      <c r="G27" s="3980">
        <v>250</v>
      </c>
      <c r="H27" s="3980">
        <f>[102]F20!J34</f>
        <v>0</v>
      </c>
      <c r="I27" s="3980">
        <v>8.3000000000000007</v>
      </c>
      <c r="J27" s="3980">
        <f>[102]F20!L34</f>
        <v>1.83</v>
      </c>
      <c r="K27" s="4920">
        <f>F14.1!K27</f>
        <v>12.779773157416724</v>
      </c>
      <c r="L27" s="4920">
        <f>F14.1!L27</f>
        <v>0</v>
      </c>
      <c r="M27" s="3981">
        <f t="shared" si="10"/>
        <v>0.61689513508333793</v>
      </c>
      <c r="N27" s="3980"/>
      <c r="O27" s="3980">
        <f t="shared" si="2"/>
        <v>0.61689513508333793</v>
      </c>
      <c r="P27" s="3982">
        <f t="shared" si="9"/>
        <v>10.607211720655881</v>
      </c>
      <c r="Q27" s="3983">
        <f t="shared" si="11"/>
        <v>11.224106855739219</v>
      </c>
      <c r="R27" s="3982">
        <f t="shared" si="3"/>
        <v>2.3386984878072608</v>
      </c>
      <c r="S27" s="3983">
        <f t="shared" si="4"/>
        <v>13.562805343546479</v>
      </c>
      <c r="T27" s="3983">
        <v>1.51</v>
      </c>
      <c r="U27" s="3982">
        <f>IF([104]Assumptions!$D$130="YES",$K27*T27/10,0)</f>
        <v>1.9297457467699253</v>
      </c>
      <c r="V27" s="3982">
        <f t="shared" si="5"/>
        <v>15.492551090316404</v>
      </c>
      <c r="W27" s="4209">
        <f t="shared" si="12"/>
        <v>12.122712116627298</v>
      </c>
      <c r="X27" s="3989">
        <f t="shared" si="6"/>
        <v>12.122712116627298</v>
      </c>
      <c r="Y27" s="3990"/>
      <c r="Z27" s="3991">
        <f t="shared" si="7"/>
        <v>1.1523971779813569</v>
      </c>
      <c r="AA27" s="4209">
        <f t="shared" si="8"/>
        <v>12.122712116627298</v>
      </c>
    </row>
    <row r="28" spans="2:27">
      <c r="B28" s="3992" t="s">
        <v>2003</v>
      </c>
      <c r="C28" s="3987" t="s">
        <v>28</v>
      </c>
      <c r="D28" s="4919">
        <f>F14.1!D28</f>
        <v>3</v>
      </c>
      <c r="E28" s="4919">
        <f>F14.1!E28</f>
        <v>490</v>
      </c>
      <c r="F28" s="4919">
        <f t="shared" si="1"/>
        <v>493</v>
      </c>
      <c r="G28" s="3980">
        <f>[102]F20!I35</f>
        <v>0</v>
      </c>
      <c r="H28" s="3980">
        <v>200</v>
      </c>
      <c r="I28" s="3980">
        <v>8.3000000000000007</v>
      </c>
      <c r="J28" s="3980">
        <f>[102]F20!L35</f>
        <v>1.83</v>
      </c>
      <c r="K28" s="4920">
        <f>F14.1!K28</f>
        <v>75.891669968670342</v>
      </c>
      <c r="L28" s="4920">
        <f>F14.1!L28</f>
        <v>25518.211030413499</v>
      </c>
      <c r="M28" s="3981">
        <f t="shared" si="10"/>
        <v>0</v>
      </c>
      <c r="N28" s="3980">
        <f>L28*H28*12/10^7</f>
        <v>6.1243706472992399</v>
      </c>
      <c r="O28" s="3980">
        <f t="shared" si="2"/>
        <v>6.1243706472992399</v>
      </c>
      <c r="P28" s="3982">
        <f t="shared" si="9"/>
        <v>62.990086073996395</v>
      </c>
      <c r="Q28" s="3983">
        <f t="shared" si="11"/>
        <v>69.114456721295639</v>
      </c>
      <c r="R28" s="3982">
        <f t="shared" si="3"/>
        <v>13.888175604266673</v>
      </c>
      <c r="S28" s="3983">
        <f t="shared" si="4"/>
        <v>83.002632325562317</v>
      </c>
      <c r="T28" s="3983">
        <v>1.42</v>
      </c>
      <c r="U28" s="3982">
        <f>IF([104]Assumptions!$D$130="YES",$K28*T28/10,0)</f>
        <v>10.776617135551188</v>
      </c>
      <c r="V28" s="3982">
        <f t="shared" si="5"/>
        <v>93.779249461113508</v>
      </c>
      <c r="W28" s="4209">
        <f t="shared" si="12"/>
        <v>12.356988520588297</v>
      </c>
      <c r="X28" s="3989">
        <f t="shared" si="6"/>
        <v>12.356988520588299</v>
      </c>
      <c r="Y28" s="3990"/>
      <c r="Z28" s="3991">
        <f t="shared" si="7"/>
        <v>1.1746677280195763</v>
      </c>
      <c r="AA28" s="4209">
        <f t="shared" si="8"/>
        <v>12.356988520588297</v>
      </c>
    </row>
    <row r="29" spans="2:27">
      <c r="B29" s="3987" t="s">
        <v>3097</v>
      </c>
      <c r="C29" s="3987"/>
      <c r="D29" s="3993">
        <f>SUM(D9:D28)</f>
        <v>903516.73191065644</v>
      </c>
      <c r="E29" s="3993">
        <f>SUM(E9:E28)</f>
        <v>149719.21774555524</v>
      </c>
      <c r="F29" s="3994">
        <f>SUM(D29:E29)</f>
        <v>1053235.9496562118</v>
      </c>
      <c r="G29" s="3980"/>
      <c r="H29" s="3980"/>
      <c r="I29" s="3980"/>
      <c r="J29" s="3980"/>
      <c r="K29" s="3995">
        <f>SUM(K9:K28)</f>
        <v>3870.5653589109193</v>
      </c>
      <c r="L29" s="3995"/>
      <c r="M29" s="3981"/>
      <c r="N29" s="3980"/>
      <c r="O29" s="3980"/>
      <c r="P29" s="3982"/>
      <c r="Q29" s="3983"/>
      <c r="R29" s="3982"/>
      <c r="S29" s="3983"/>
      <c r="T29" s="3983"/>
      <c r="U29" s="3983"/>
      <c r="V29" s="3982"/>
      <c r="W29" s="4175"/>
      <c r="X29" s="3989"/>
      <c r="Y29" s="3990"/>
      <c r="Z29" s="3991"/>
      <c r="AA29" s="4209">
        <f t="shared" si="8"/>
        <v>0</v>
      </c>
    </row>
    <row r="30" spans="2:27">
      <c r="B30" s="3996" t="s">
        <v>2004</v>
      </c>
      <c r="C30" s="3987"/>
      <c r="D30" s="3997"/>
      <c r="E30" s="3997"/>
      <c r="F30" s="3979"/>
      <c r="G30" s="3980"/>
      <c r="H30" s="3980"/>
      <c r="I30" s="3980"/>
      <c r="J30" s="3980"/>
      <c r="K30" s="3980"/>
      <c r="L30" s="3980"/>
      <c r="M30" s="3981"/>
      <c r="N30" s="3980"/>
      <c r="O30" s="3980"/>
      <c r="P30" s="3982"/>
      <c r="Q30" s="3983"/>
      <c r="R30" s="3982"/>
      <c r="S30" s="3983"/>
      <c r="T30" s="3983"/>
      <c r="U30" s="3983"/>
      <c r="V30" s="3982"/>
      <c r="W30" s="4175"/>
      <c r="X30" s="3989"/>
      <c r="Y30" s="3990"/>
      <c r="Z30" s="3991"/>
      <c r="AA30" s="4209" t="e">
        <f t="shared" si="8"/>
        <v>#DIV/0!</v>
      </c>
    </row>
    <row r="31" spans="2:27">
      <c r="B31" s="3998" t="s">
        <v>3027</v>
      </c>
      <c r="C31" s="3987" t="s">
        <v>28</v>
      </c>
      <c r="D31" s="4919">
        <f>F14.1!D31</f>
        <v>0</v>
      </c>
      <c r="E31" s="4919">
        <f>F14.1!E31</f>
        <v>44.094935312136769</v>
      </c>
      <c r="F31" s="4919">
        <f t="shared" ref="F31:F36" si="13">D31+E31</f>
        <v>44.094935312136769</v>
      </c>
      <c r="G31" s="3980">
        <f>[102]F20!I37</f>
        <v>0</v>
      </c>
      <c r="H31" s="3980">
        <v>200</v>
      </c>
      <c r="I31" s="3980">
        <v>8</v>
      </c>
      <c r="J31" s="3980">
        <f>[102]F20!L37</f>
        <v>1.59</v>
      </c>
      <c r="K31" s="4920">
        <f>F14.1!K31</f>
        <v>197.20559168255826</v>
      </c>
      <c r="L31" s="4920">
        <f>F14.1!L31</f>
        <v>50452.832463112733</v>
      </c>
      <c r="M31" s="3981">
        <f t="shared" si="10"/>
        <v>0</v>
      </c>
      <c r="N31" s="3980">
        <f>L31*H31*12/10^7</f>
        <v>12.108679791147056</v>
      </c>
      <c r="O31" s="3980">
        <f t="shared" si="2"/>
        <v>12.108679791147056</v>
      </c>
      <c r="P31" s="3982">
        <f t="shared" ref="P31:P35" si="14">K31*I31/10</f>
        <v>157.7644733460466</v>
      </c>
      <c r="Q31" s="3983">
        <f t="shared" si="11"/>
        <v>169.87315313719367</v>
      </c>
      <c r="R31" s="3982">
        <f t="shared" si="3"/>
        <v>31.355689077526769</v>
      </c>
      <c r="S31" s="3983">
        <f t="shared" si="4"/>
        <v>201.22884221472043</v>
      </c>
      <c r="T31" s="3983">
        <v>1.1299999999999999</v>
      </c>
      <c r="U31" s="3982">
        <f>IF([104]Assumptions!$D$130="YES",$K31*T31/10,0)</f>
        <v>22.284231860129083</v>
      </c>
      <c r="V31" s="3982">
        <f t="shared" si="5"/>
        <v>223.5130740748495</v>
      </c>
      <c r="W31" s="4209">
        <f>V31/K31*10</f>
        <v>11.334013004795441</v>
      </c>
      <c r="X31" s="3989">
        <f>V31*10/K31</f>
        <v>11.334013004795441</v>
      </c>
      <c r="Y31" s="3990"/>
      <c r="Z31" s="3991">
        <f>X31/$Y$37</f>
        <v>1.0774226490139642</v>
      </c>
      <c r="AA31" s="4209">
        <f t="shared" si="8"/>
        <v>11.334013004795441</v>
      </c>
    </row>
    <row r="32" spans="2:27">
      <c r="B32" s="3998" t="s">
        <v>3028</v>
      </c>
      <c r="C32" s="3987" t="s">
        <v>28</v>
      </c>
      <c r="D32" s="4919">
        <f>F14.1!D32</f>
        <v>0</v>
      </c>
      <c r="E32" s="4919">
        <f>F14.1!E32</f>
        <v>108.17276701559564</v>
      </c>
      <c r="F32" s="4919">
        <f t="shared" si="13"/>
        <v>108.17276701559564</v>
      </c>
      <c r="G32" s="3980">
        <f>[102]F20!I38</f>
        <v>0</v>
      </c>
      <c r="H32" s="3980">
        <v>200</v>
      </c>
      <c r="I32" s="3980">
        <v>8.6</v>
      </c>
      <c r="J32" s="3980">
        <f>[102]F20!L38</f>
        <v>1.71</v>
      </c>
      <c r="K32" s="4920">
        <f>F14.1!K32</f>
        <v>376.30713842443834</v>
      </c>
      <c r="L32" s="4920">
        <f>F14.1!L32</f>
        <v>98413.36974387338</v>
      </c>
      <c r="M32" s="3981">
        <f t="shared" si="10"/>
        <v>0</v>
      </c>
      <c r="N32" s="3980">
        <f>L32*H32*12/10^7</f>
        <v>23.619208738529611</v>
      </c>
      <c r="O32" s="3980">
        <f t="shared" si="2"/>
        <v>23.619208738529611</v>
      </c>
      <c r="P32" s="3982">
        <f t="shared" si="14"/>
        <v>323.62413904501693</v>
      </c>
      <c r="Q32" s="3983">
        <f t="shared" si="11"/>
        <v>347.24334778354654</v>
      </c>
      <c r="R32" s="3982">
        <f t="shared" si="3"/>
        <v>64.348520670578949</v>
      </c>
      <c r="S32" s="3983">
        <f t="shared" si="4"/>
        <v>411.59186845412546</v>
      </c>
      <c r="T32" s="3983">
        <v>1.19</v>
      </c>
      <c r="U32" s="3982">
        <f>IF([104]Assumptions!$D$130="YES",$K32*T32/10,0)</f>
        <v>44.780549472508156</v>
      </c>
      <c r="V32" s="3982">
        <f t="shared" si="5"/>
        <v>456.3724179266336</v>
      </c>
      <c r="W32" s="4209">
        <f>V32/K32*10</f>
        <v>12.127657738235339</v>
      </c>
      <c r="X32" s="3989">
        <f>V32*10/K32</f>
        <v>12.127657738235339</v>
      </c>
      <c r="Y32" s="3990"/>
      <c r="Z32" s="3991">
        <f>X32/$Y$37</f>
        <v>1.152867313733954</v>
      </c>
      <c r="AA32" s="4209">
        <f t="shared" si="8"/>
        <v>12.127657738235339</v>
      </c>
    </row>
    <row r="33" spans="2:27">
      <c r="B33" s="3998" t="s">
        <v>43</v>
      </c>
      <c r="C33" s="3987" t="s">
        <v>28</v>
      </c>
      <c r="D33" s="4919">
        <f>F14.1!D33</f>
        <v>0</v>
      </c>
      <c r="E33" s="4919">
        <f>F14.1!E33</f>
        <v>13.386394339847239</v>
      </c>
      <c r="F33" s="4919">
        <f t="shared" si="13"/>
        <v>13.386394339847239</v>
      </c>
      <c r="G33" s="3980">
        <f>[102]F20!I39</f>
        <v>0</v>
      </c>
      <c r="H33" s="3980">
        <v>200</v>
      </c>
      <c r="I33" s="3980">
        <v>5.97</v>
      </c>
      <c r="J33" s="3980">
        <f>[102]F20!L39</f>
        <v>0.91</v>
      </c>
      <c r="K33" s="4920">
        <f>F14.1!K33</f>
        <v>34.54054419494873</v>
      </c>
      <c r="L33" s="4920">
        <f>F14.1!L33</f>
        <v>7258.8079844261165</v>
      </c>
      <c r="M33" s="3981">
        <f t="shared" si="10"/>
        <v>0</v>
      </c>
      <c r="N33" s="3980">
        <f>L33*H33*12/10^7</f>
        <v>1.7421139162622683</v>
      </c>
      <c r="O33" s="3980">
        <f t="shared" si="2"/>
        <v>1.7421139162622683</v>
      </c>
      <c r="P33" s="3982">
        <f t="shared" si="14"/>
        <v>20.620704884384391</v>
      </c>
      <c r="Q33" s="3983">
        <f t="shared" si="11"/>
        <v>22.362818800646661</v>
      </c>
      <c r="R33" s="3982">
        <f>K33*J33/10</f>
        <v>3.1431895217403345</v>
      </c>
      <c r="S33" s="3983">
        <f t="shared" si="4"/>
        <v>25.506008322386997</v>
      </c>
      <c r="T33" s="3983">
        <v>0.66</v>
      </c>
      <c r="U33" s="3982">
        <f>IF([104]Assumptions!$D$130="YES",$K33*T33/10,0)</f>
        <v>2.2796759168666165</v>
      </c>
      <c r="V33" s="3982">
        <f t="shared" si="5"/>
        <v>27.785684239253612</v>
      </c>
      <c r="W33" s="4209">
        <f>V33/K33*10</f>
        <v>8.0443678253676847</v>
      </c>
      <c r="X33" s="3989">
        <f>V33*10/K33</f>
        <v>8.0443678253676847</v>
      </c>
      <c r="Y33" s="3990"/>
      <c r="Z33" s="3991">
        <f>X33/$Y$37</f>
        <v>0.76470567736098882</v>
      </c>
      <c r="AA33" s="4209">
        <f t="shared" si="8"/>
        <v>8.0443678253676847</v>
      </c>
    </row>
    <row r="34" spans="2:27">
      <c r="B34" s="3998" t="s">
        <v>44</v>
      </c>
      <c r="C34" s="3987" t="s">
        <v>28</v>
      </c>
      <c r="D34" s="4919">
        <f>F14.1!D34</f>
        <v>0</v>
      </c>
      <c r="E34" s="4919">
        <f>F14.1!E34</f>
        <v>6</v>
      </c>
      <c r="F34" s="4919">
        <f t="shared" si="13"/>
        <v>6</v>
      </c>
      <c r="G34" s="3980">
        <v>250</v>
      </c>
      <c r="H34" s="3980">
        <f>[102]F20!J40</f>
        <v>0</v>
      </c>
      <c r="I34" s="3980">
        <v>11.25</v>
      </c>
      <c r="J34" s="3980">
        <f>[102]F20!L40</f>
        <v>2.33</v>
      </c>
      <c r="K34" s="4920">
        <f>F14.1!K34</f>
        <v>11.665209189340334</v>
      </c>
      <c r="L34" s="4920">
        <f>F14.1!L34</f>
        <v>0</v>
      </c>
      <c r="M34" s="3981">
        <f t="shared" si="10"/>
        <v>1.8E-3</v>
      </c>
      <c r="N34" s="3980"/>
      <c r="O34" s="3980">
        <f t="shared" si="2"/>
        <v>1.8E-3</v>
      </c>
      <c r="P34" s="3982">
        <f t="shared" si="14"/>
        <v>13.123360338007876</v>
      </c>
      <c r="Q34" s="3983">
        <f t="shared" si="11"/>
        <v>13.125160338007875</v>
      </c>
      <c r="R34" s="3982">
        <f>K34*J34/10</f>
        <v>2.717993741116298</v>
      </c>
      <c r="S34" s="3983">
        <f t="shared" si="4"/>
        <v>15.843154079124172</v>
      </c>
      <c r="T34" s="3983">
        <v>1.68</v>
      </c>
      <c r="U34" s="3982">
        <f>IF([104]Assumptions!$D$130="YES",$K34*T34/10,0)</f>
        <v>1.959755143809176</v>
      </c>
      <c r="V34" s="3982">
        <f t="shared" si="5"/>
        <v>17.802909222933348</v>
      </c>
      <c r="W34" s="4209">
        <f>V34/K34*10</f>
        <v>15.261543049910877</v>
      </c>
      <c r="X34" s="3989">
        <f>V34*10/K34</f>
        <v>15.261543049910879</v>
      </c>
      <c r="Y34" s="3990"/>
      <c r="Z34" s="3991">
        <f>X34/$Y$37</f>
        <v>1.4507775960657989</v>
      </c>
      <c r="AA34" s="4209">
        <f t="shared" si="8"/>
        <v>15.261543049910877</v>
      </c>
    </row>
    <row r="35" spans="2:27">
      <c r="B35" s="3998" t="s">
        <v>3098</v>
      </c>
      <c r="C35" s="3987" t="s">
        <v>28</v>
      </c>
      <c r="D35" s="4919">
        <f>F14.1!D35</f>
        <v>0</v>
      </c>
      <c r="E35" s="4919">
        <f>F14.1!E35</f>
        <v>16.803536623781845</v>
      </c>
      <c r="F35" s="4919">
        <f t="shared" si="13"/>
        <v>16.803536623781845</v>
      </c>
      <c r="G35" s="3980">
        <f>[102]F20!I41</f>
        <v>0</v>
      </c>
      <c r="H35" s="3980">
        <v>200</v>
      </c>
      <c r="I35" s="3980">
        <v>7.75</v>
      </c>
      <c r="J35" s="3980">
        <f>[102]F20!L41</f>
        <v>1.51</v>
      </c>
      <c r="K35" s="4920">
        <f>F14.1!K35</f>
        <v>103.34551388689785</v>
      </c>
      <c r="L35" s="4920">
        <f>F14.1!L35</f>
        <v>22113.276648756564</v>
      </c>
      <c r="M35" s="3981">
        <f t="shared" si="10"/>
        <v>0</v>
      </c>
      <c r="N35" s="3980">
        <f>L35*H35*12/10^7</f>
        <v>5.3071863957015752</v>
      </c>
      <c r="O35" s="3980">
        <f t="shared" si="2"/>
        <v>5.3071863957015752</v>
      </c>
      <c r="P35" s="3982">
        <f t="shared" si="14"/>
        <v>80.09277326234583</v>
      </c>
      <c r="Q35" s="3983">
        <f t="shared" si="11"/>
        <v>85.399959658047408</v>
      </c>
      <c r="R35" s="3982">
        <f>K35*J35/10</f>
        <v>15.605172596921573</v>
      </c>
      <c r="S35" s="3983">
        <f t="shared" si="4"/>
        <v>101.00513225496898</v>
      </c>
      <c r="T35" s="3983">
        <v>1.17</v>
      </c>
      <c r="U35" s="3982">
        <f>IF([104]Assumptions!$D$130="YES",$K35*T35/10,0)</f>
        <v>12.091425124767047</v>
      </c>
      <c r="V35" s="3982">
        <f t="shared" si="5"/>
        <v>113.09655737973603</v>
      </c>
      <c r="W35" s="4209">
        <f>V35/K35*10</f>
        <v>10.943538149465278</v>
      </c>
      <c r="X35" s="3989">
        <f>V35*10/K35</f>
        <v>10.943538149465278</v>
      </c>
      <c r="Y35" s="3990"/>
      <c r="Z35" s="3991">
        <f>X35/$Y$37</f>
        <v>1.0403037174559038</v>
      </c>
      <c r="AA35" s="4209">
        <f t="shared" si="8"/>
        <v>10.943538149465278</v>
      </c>
    </row>
    <row r="36" spans="2:27">
      <c r="B36" s="3998" t="s">
        <v>3099</v>
      </c>
      <c r="C36" s="3987" t="s">
        <v>28</v>
      </c>
      <c r="D36" s="4919">
        <f>SUM(D31:D35)</f>
        <v>0</v>
      </c>
      <c r="E36" s="4919">
        <f>SUM(E31:E35)</f>
        <v>188.4576332913615</v>
      </c>
      <c r="F36" s="4919">
        <f t="shared" si="13"/>
        <v>188.4576332913615</v>
      </c>
      <c r="G36" s="3980"/>
      <c r="H36" s="3980"/>
      <c r="I36" s="3980"/>
      <c r="J36" s="3980"/>
      <c r="K36" s="4920">
        <f>F14.1!K36</f>
        <v>723.06399737818356</v>
      </c>
      <c r="L36" s="4920">
        <f>F14.1!L36</f>
        <v>178238.28684016879</v>
      </c>
      <c r="M36" s="3981"/>
      <c r="N36" s="3980"/>
      <c r="O36" s="3980"/>
      <c r="P36" s="3982"/>
      <c r="Q36" s="3983"/>
      <c r="R36" s="3982"/>
      <c r="S36" s="3982"/>
      <c r="T36" s="3983"/>
      <c r="U36" s="3983"/>
      <c r="V36" s="3983"/>
      <c r="W36" s="4175"/>
      <c r="X36" s="3989"/>
      <c r="Y36" s="3990"/>
      <c r="Z36" s="3999"/>
      <c r="AA36" s="4209">
        <f t="shared" si="8"/>
        <v>0</v>
      </c>
    </row>
    <row r="37" spans="2:27" ht="15">
      <c r="B37" s="4000" t="s">
        <v>47</v>
      </c>
      <c r="C37" s="4001"/>
      <c r="D37" s="3994">
        <f>SUM(D29,D36)</f>
        <v>903516.73191065644</v>
      </c>
      <c r="E37" s="3994">
        <f>SUM(E29,E36)</f>
        <v>149907.67537884662</v>
      </c>
      <c r="F37" s="3994">
        <f>SUM(F29,F36)</f>
        <v>1053424.4072895031</v>
      </c>
      <c r="G37" s="4002"/>
      <c r="H37" s="4002"/>
      <c r="I37" s="4002"/>
      <c r="J37" s="3995"/>
      <c r="K37" s="3995">
        <f>SUM(K29,K36)</f>
        <v>4593.6293562891024</v>
      </c>
      <c r="L37" s="3995">
        <f>SUM(L29,L36)</f>
        <v>178238.28684016879</v>
      </c>
      <c r="M37" s="4176">
        <f t="shared" ref="M37:N37" si="15">SUM(M9:M28,M31:M35)</f>
        <v>139.28721283121772</v>
      </c>
      <c r="N37" s="4176">
        <f t="shared" si="15"/>
        <v>128.52713938158146</v>
      </c>
      <c r="O37" s="4003">
        <f>SUM(O9:O28,O31:O35)</f>
        <v>267.81435221279924</v>
      </c>
      <c r="P37" s="4004">
        <f>SUM(P9:P28,P31:P35)</f>
        <v>3338.8609178517181</v>
      </c>
      <c r="Q37" s="4005">
        <f>SUM(Q9:Q28,Q31:Q35)</f>
        <v>3606.6752700645161</v>
      </c>
      <c r="R37" s="4005">
        <f>SUM(R9:R28,R31:R35)</f>
        <v>690.49653500163799</v>
      </c>
      <c r="S37" s="4005">
        <f>SUM(S9:S28,S31:S35)</f>
        <v>4297.1718050661557</v>
      </c>
      <c r="T37" s="4005"/>
      <c r="U37" s="4005">
        <f>SUM(U9:U28,U31:U35)</f>
        <v>535.12450047735365</v>
      </c>
      <c r="V37" s="4005">
        <f>SUM(V9:V28,V31:V35)</f>
        <v>4832.2963055435084</v>
      </c>
      <c r="W37" s="4209">
        <f>V37/K37*10</f>
        <v>10.51956074542159</v>
      </c>
      <c r="X37" s="4006">
        <f>V37*10/K37</f>
        <v>10.51956074542159</v>
      </c>
      <c r="Y37" s="4007">
        <f>X37</f>
        <v>10.51956074542159</v>
      </c>
      <c r="Z37" s="4008"/>
      <c r="AA37" s="4209">
        <f t="shared" si="8"/>
        <v>10.51956074542159</v>
      </c>
    </row>
    <row r="38" spans="2:27">
      <c r="S38" s="4100"/>
      <c r="U38" s="3980" t="s">
        <v>48</v>
      </c>
      <c r="V38" s="3980">
        <f>F14.1!U38</f>
        <v>19.05</v>
      </c>
      <c r="W38" s="4192"/>
    </row>
    <row r="39" spans="2:27">
      <c r="S39" s="4100"/>
      <c r="U39" s="3980" t="s">
        <v>52</v>
      </c>
      <c r="V39" s="3980">
        <f>F14.1!U39</f>
        <v>12.97</v>
      </c>
      <c r="W39" s="4192"/>
      <c r="X39" s="4006"/>
    </row>
    <row r="40" spans="2:27">
      <c r="S40" s="4100"/>
      <c r="U40" s="3980" t="s">
        <v>3182</v>
      </c>
      <c r="V40" s="3980">
        <f>F14.1!U40</f>
        <v>20.22</v>
      </c>
      <c r="W40" s="4192"/>
    </row>
    <row r="41" spans="2:27" ht="45">
      <c r="S41" s="4100"/>
      <c r="U41" s="4790" t="s">
        <v>3575</v>
      </c>
      <c r="V41" s="3980" t="e">
        <f>F14.1!#REF!</f>
        <v>#REF!</v>
      </c>
      <c r="W41" s="4192"/>
    </row>
    <row r="42" spans="2:27">
      <c r="U42" s="4070" t="s">
        <v>47</v>
      </c>
      <c r="V42" s="4070" t="e">
        <f>SUM(V37:V41)</f>
        <v>#REF!</v>
      </c>
      <c r="W42" s="4222"/>
    </row>
    <row r="43" spans="2:27">
      <c r="V43" s="4009" t="e">
        <f>V42/K37*10</f>
        <v>#REF!</v>
      </c>
    </row>
    <row r="62" spans="2:23" s="4448" customFormat="1" ht="17.25" hidden="1" customHeight="1">
      <c r="B62" s="4447" t="s">
        <v>1</v>
      </c>
      <c r="C62" s="4447" t="s">
        <v>3324</v>
      </c>
      <c r="P62" s="4449"/>
      <c r="Q62" s="4449"/>
      <c r="R62" s="4449"/>
      <c r="S62" s="4449"/>
      <c r="T62" s="4449"/>
      <c r="U62" s="4449"/>
      <c r="V62" s="4449"/>
      <c r="W62" s="4208"/>
    </row>
    <row r="63" spans="2:23" ht="12.75" hidden="1" customHeight="1">
      <c r="B63" s="4446" t="str">
        <f>B16</f>
        <v>LT - II (b)</v>
      </c>
      <c r="C63" s="4450">
        <f>'[103]Year 2014-15'!$I137</f>
        <v>0.27350595326895388</v>
      </c>
    </row>
    <row r="64" spans="2:23" ht="12.75" hidden="1" customHeight="1">
      <c r="B64" s="4446" t="str">
        <f>B17</f>
        <v>LT - II (c)</v>
      </c>
      <c r="C64" s="4450">
        <f>'[103]Year 2014-15'!$I138</f>
        <v>0.32045516954957998</v>
      </c>
    </row>
    <row r="65" spans="2:3" ht="12.75" hidden="1" customHeight="1">
      <c r="B65" s="4446" t="str">
        <f>B20</f>
        <v>LT - IV (a)</v>
      </c>
      <c r="C65" s="4450">
        <f>'[103]Year 2014-15'!$I139</f>
        <v>0.24680087021461325</v>
      </c>
    </row>
    <row r="66" spans="2:3" ht="12.75" hidden="1" customHeight="1">
      <c r="B66" s="4446" t="str">
        <f>B21</f>
        <v>LT - IV (b)</v>
      </c>
      <c r="C66" s="4450">
        <f>'[103]Year 2014-15'!$I140</f>
        <v>0.41657880721483226</v>
      </c>
    </row>
    <row r="67" spans="2:3" ht="12.75" hidden="1" customHeight="1">
      <c r="B67" s="4446" t="str">
        <f>B23</f>
        <v>LT - VI</v>
      </c>
      <c r="C67" s="4450">
        <f>'[103]Year 2014-15'!$I141</f>
        <v>0.26639590811743852</v>
      </c>
    </row>
    <row r="68" spans="2:3" ht="12.75" hidden="1" customHeight="1">
      <c r="B68" s="4446" t="str">
        <f>B28</f>
        <v>LT - IX (b)</v>
      </c>
      <c r="C68" s="4450">
        <f>'[103]Year 2014-15'!$I142</f>
        <v>0.34902482033633725</v>
      </c>
    </row>
    <row r="69" spans="2:3" ht="12.75" hidden="1" customHeight="1">
      <c r="B69" s="4446" t="str">
        <f>B31</f>
        <v>HT - I</v>
      </c>
      <c r="C69" s="4450">
        <f>'[103]Year 2014-15'!$I143</f>
        <v>0.4602246060998475</v>
      </c>
    </row>
    <row r="70" spans="2:3" ht="12.75" hidden="1" customHeight="1">
      <c r="B70" s="4446" t="str">
        <f t="shared" ref="B70:B71" si="16">B32</f>
        <v>HT - II</v>
      </c>
      <c r="C70" s="4450">
        <f>'[103]Year 2014-15'!$I144</f>
        <v>0.44898296651565578</v>
      </c>
    </row>
    <row r="71" spans="2:3" ht="12.75" hidden="1" customHeight="1">
      <c r="B71" s="4446" t="str">
        <f t="shared" si="16"/>
        <v>HT - III</v>
      </c>
      <c r="C71" s="4450">
        <f>'[103]Year 2014-15'!$I145</f>
        <v>0.56201041544863395</v>
      </c>
    </row>
    <row r="72" spans="2:3" ht="12.75" hidden="1" customHeight="1">
      <c r="B72" s="4446" t="str">
        <f>B35</f>
        <v>HT-V</v>
      </c>
      <c r="C72" s="4450">
        <f>'[103]Year 2014-15'!$I146</f>
        <v>0.54925925288495914</v>
      </c>
    </row>
  </sheetData>
  <mergeCells count="19">
    <mergeCell ref="Z7:Z8"/>
    <mergeCell ref="T7:T8"/>
    <mergeCell ref="U7:U8"/>
    <mergeCell ref="V7:V8"/>
    <mergeCell ref="W7:W8"/>
    <mergeCell ref="X7:X8"/>
    <mergeCell ref="Y7:Y8"/>
    <mergeCell ref="S7:S8"/>
    <mergeCell ref="B7:B8"/>
    <mergeCell ref="C7:C8"/>
    <mergeCell ref="D7:F7"/>
    <mergeCell ref="G7:H7"/>
    <mergeCell ref="I7:I8"/>
    <mergeCell ref="J7:J8"/>
    <mergeCell ref="K7:L7"/>
    <mergeCell ref="M7:O7"/>
    <mergeCell ref="P7:P8"/>
    <mergeCell ref="Q7:Q8"/>
    <mergeCell ref="R7:R8"/>
  </mergeCells>
  <pageMargins left="0.41" right="0.45" top="0.75" bottom="0.75" header="0.3" footer="0.3"/>
  <pageSetup paperSize="9" scale="58" orientation="landscape" r:id="rId1"/>
</worksheet>
</file>

<file path=xl/worksheets/sheet59.xml><?xml version="1.0" encoding="utf-8"?>
<worksheet xmlns="http://schemas.openxmlformats.org/spreadsheetml/2006/main" xmlns:r="http://schemas.openxmlformats.org/officeDocument/2006/relationships">
  <sheetPr codeName="Sheet49">
    <pageSetUpPr fitToPage="1"/>
  </sheetPr>
  <dimension ref="B1:Y64"/>
  <sheetViews>
    <sheetView view="pageBreakPreview" zoomScale="86" zoomScaleNormal="80" zoomScaleSheetLayoutView="86" workbookViewId="0">
      <selection activeCell="B2" sqref="B2:U41"/>
    </sheetView>
  </sheetViews>
  <sheetFormatPr defaultRowHeight="11.25"/>
  <cols>
    <col min="1" max="3" width="9.140625" style="4199"/>
    <col min="4" max="4" width="10.42578125" style="4199" bestFit="1" customWidth="1"/>
    <col min="5" max="5" width="10.28515625" style="4199" customWidth="1"/>
    <col min="6" max="6" width="10.7109375" style="4199" customWidth="1"/>
    <col min="7" max="11" width="9.42578125" style="4199" bestFit="1" customWidth="1"/>
    <col min="12" max="12" width="11.42578125" style="4199" bestFit="1" customWidth="1"/>
    <col min="13" max="18" width="9.42578125" style="4199" bestFit="1" customWidth="1"/>
    <col min="19" max="19" width="9.42578125" style="4199" customWidth="1"/>
    <col min="20" max="20" width="10.140625" style="4200" customWidth="1"/>
    <col min="21" max="22" width="10.140625" style="4199" customWidth="1"/>
    <col min="23" max="23" width="10.140625" style="4200" customWidth="1"/>
    <col min="24" max="24" width="9.140625" style="4199" customWidth="1"/>
    <col min="25" max="25" width="11.140625" style="4199" customWidth="1"/>
    <col min="26" max="16384" width="9.140625" style="4199"/>
  </cols>
  <sheetData>
    <row r="1" spans="2:25">
      <c r="V1" s="4200"/>
    </row>
    <row r="2" spans="2:25" s="4194" customFormat="1">
      <c r="C2" s="4195"/>
      <c r="D2" s="4195"/>
      <c r="E2" s="4195"/>
      <c r="F2" s="4195"/>
      <c r="G2" s="4195"/>
      <c r="H2" s="4195"/>
      <c r="I2" s="4195"/>
      <c r="J2" s="4195"/>
      <c r="K2" s="4196" t="s">
        <v>170</v>
      </c>
      <c r="L2" s="4195"/>
      <c r="M2" s="4195"/>
      <c r="N2" s="4195"/>
      <c r="O2" s="4195"/>
      <c r="P2" s="4195"/>
      <c r="Q2" s="4195"/>
      <c r="R2" s="4195"/>
      <c r="S2" s="4195"/>
      <c r="T2" s="4196"/>
      <c r="U2" s="4195"/>
      <c r="V2" s="4200"/>
      <c r="W2" s="4196"/>
    </row>
    <row r="3" spans="2:25" s="4194" customFormat="1">
      <c r="C3" s="4197"/>
      <c r="D3" s="4197"/>
      <c r="E3" s="4197"/>
      <c r="F3" s="4197"/>
      <c r="G3" s="4197"/>
      <c r="H3" s="4197"/>
      <c r="I3" s="4197"/>
      <c r="J3" s="4197"/>
      <c r="K3" s="4198" t="s">
        <v>3016</v>
      </c>
      <c r="L3" s="4197"/>
      <c r="M3" s="4197"/>
      <c r="N3" s="4197"/>
      <c r="O3" s="4197"/>
      <c r="P3" s="4197"/>
      <c r="Q3" s="4197"/>
      <c r="R3" s="4197"/>
      <c r="S3" s="4197"/>
      <c r="T3" s="4198"/>
      <c r="U3" s="4197"/>
      <c r="V3" s="4200"/>
      <c r="W3" s="4198"/>
    </row>
    <row r="4" spans="2:25" s="4194" customFormat="1">
      <c r="C4" s="4195"/>
      <c r="D4" s="4195"/>
      <c r="E4" s="4195"/>
      <c r="F4" s="4195"/>
      <c r="G4" s="4195"/>
      <c r="H4" s="4195"/>
      <c r="I4" s="4195"/>
      <c r="J4" s="4195"/>
      <c r="K4" s="4196" t="s">
        <v>3017</v>
      </c>
      <c r="L4" s="4195"/>
      <c r="M4" s="4195"/>
      <c r="N4" s="4195"/>
      <c r="O4" s="4195"/>
      <c r="P4" s="4195"/>
      <c r="Q4" s="4195"/>
      <c r="R4" s="4195"/>
      <c r="S4" s="4195"/>
      <c r="T4" s="4196"/>
      <c r="U4" s="4195"/>
      <c r="V4" s="4200"/>
      <c r="W4" s="4196"/>
    </row>
    <row r="5" spans="2:25" s="4194" customFormat="1">
      <c r="C5" s="4195"/>
      <c r="D5" s="4195"/>
      <c r="E5" s="4195"/>
      <c r="F5" s="4195"/>
      <c r="G5" s="4195"/>
      <c r="H5" s="4195"/>
      <c r="I5" s="4195"/>
      <c r="J5" s="4195"/>
      <c r="K5" s="4196" t="s">
        <v>3909</v>
      </c>
      <c r="L5" s="4195"/>
      <c r="M5" s="4195"/>
      <c r="N5" s="4195"/>
      <c r="O5" s="4195"/>
      <c r="P5" s="4195"/>
      <c r="Q5" s="4195"/>
      <c r="R5" s="4195"/>
      <c r="S5" s="4195"/>
      <c r="T5" s="4196"/>
      <c r="U5" s="4195"/>
      <c r="V5" s="4200"/>
      <c r="W5" s="4196"/>
    </row>
    <row r="6" spans="2:25">
      <c r="V6" s="4200"/>
    </row>
    <row r="7" spans="2:25" ht="32.25" customHeight="1">
      <c r="B7" s="5880" t="s">
        <v>1</v>
      </c>
      <c r="C7" s="5881" t="s">
        <v>3077</v>
      </c>
      <c r="D7" s="5877" t="s">
        <v>3030</v>
      </c>
      <c r="E7" s="5877"/>
      <c r="F7" s="5877"/>
      <c r="G7" s="5877" t="s">
        <v>3078</v>
      </c>
      <c r="H7" s="5877"/>
      <c r="I7" s="5877" t="s">
        <v>3079</v>
      </c>
      <c r="J7" s="5871" t="s">
        <v>3253</v>
      </c>
      <c r="K7" s="5877" t="s">
        <v>3080</v>
      </c>
      <c r="L7" s="5877"/>
      <c r="M7" s="5879" t="s">
        <v>3081</v>
      </c>
      <c r="N7" s="5879"/>
      <c r="O7" s="5879"/>
      <c r="P7" s="5877" t="s">
        <v>3082</v>
      </c>
      <c r="Q7" s="5877" t="s">
        <v>3083</v>
      </c>
      <c r="R7" s="5877" t="s">
        <v>3084</v>
      </c>
      <c r="S7" s="5877" t="s">
        <v>3085</v>
      </c>
      <c r="T7" s="5877" t="s">
        <v>3212</v>
      </c>
      <c r="U7" s="5871" t="s">
        <v>3281</v>
      </c>
      <c r="V7" s="4200"/>
      <c r="W7" s="5878" t="s">
        <v>3086</v>
      </c>
      <c r="X7" s="5878" t="s">
        <v>3087</v>
      </c>
      <c r="Y7" s="5878" t="s">
        <v>3088</v>
      </c>
    </row>
    <row r="8" spans="2:25" ht="52.5">
      <c r="B8" s="5880"/>
      <c r="C8" s="5881"/>
      <c r="D8" s="4645" t="s">
        <v>3031</v>
      </c>
      <c r="E8" s="4645" t="s">
        <v>3032</v>
      </c>
      <c r="F8" s="4645" t="s">
        <v>3089</v>
      </c>
      <c r="G8" s="4646" t="s">
        <v>3090</v>
      </c>
      <c r="H8" s="4646" t="s">
        <v>3091</v>
      </c>
      <c r="I8" s="5877"/>
      <c r="J8" s="5872"/>
      <c r="K8" s="4646" t="s">
        <v>3282</v>
      </c>
      <c r="L8" s="4646" t="s">
        <v>3092</v>
      </c>
      <c r="M8" s="4646" t="s">
        <v>3093</v>
      </c>
      <c r="N8" s="4646" t="s">
        <v>3094</v>
      </c>
      <c r="O8" s="4646" t="s">
        <v>3095</v>
      </c>
      <c r="P8" s="5877"/>
      <c r="Q8" s="5877"/>
      <c r="R8" s="5877"/>
      <c r="S8" s="5877"/>
      <c r="T8" s="5877"/>
      <c r="U8" s="5872"/>
      <c r="V8" s="4200"/>
      <c r="W8" s="5878"/>
      <c r="X8" s="5878"/>
      <c r="Y8" s="5878"/>
    </row>
    <row r="9" spans="2:25">
      <c r="B9" s="4173" t="s">
        <v>14</v>
      </c>
      <c r="C9" s="4173" t="s">
        <v>15</v>
      </c>
      <c r="D9" s="4174">
        <f>'F1'!M48</f>
        <v>189</v>
      </c>
      <c r="E9" s="4174">
        <f>'F1'!N48</f>
        <v>0</v>
      </c>
      <c r="F9" s="4174">
        <f>SUM(D9:E9)</f>
        <v>189</v>
      </c>
      <c r="G9" s="4175">
        <v>3</v>
      </c>
      <c r="H9" s="4175">
        <f>[102]F20!J12</f>
        <v>0</v>
      </c>
      <c r="I9" s="4175">
        <v>1</v>
      </c>
      <c r="J9" s="4175">
        <f>[102]F20!L12</f>
        <v>0.12</v>
      </c>
      <c r="K9" s="4175">
        <f>'F1'!I11</f>
        <v>5.0000473283962926E-2</v>
      </c>
      <c r="L9" s="4175"/>
      <c r="M9" s="4176">
        <f>G9*F9*12/10^7</f>
        <v>6.8039999999999995E-4</v>
      </c>
      <c r="N9" s="4175"/>
      <c r="O9" s="4175">
        <f>M9+N9</f>
        <v>6.8039999999999995E-4</v>
      </c>
      <c r="P9" s="4176">
        <f>K9*I9/10</f>
        <v>5.0000473283962924E-3</v>
      </c>
      <c r="Q9" s="4175">
        <f t="shared" ref="Q9:Q16" si="0">SUM(O9:P9)</f>
        <v>5.6804473283962927E-3</v>
      </c>
      <c r="R9" s="4176">
        <f t="shared" ref="R9:R25" si="1">K9*J9/10</f>
        <v>6.0000567940755509E-4</v>
      </c>
      <c r="S9" s="4175">
        <f>Q9+R9</f>
        <v>6.2804530078038479E-3</v>
      </c>
      <c r="T9" s="4178">
        <f>'F20'!I8</f>
        <v>7.3386320808741163E-5</v>
      </c>
      <c r="U9" s="4175">
        <f t="shared" ref="U9:U28" si="2">S9+T9</f>
        <v>6.3538393286125894E-3</v>
      </c>
      <c r="V9" s="4209">
        <f>U9/K9*10</f>
        <v>1.2707558371553473</v>
      </c>
      <c r="W9" s="4209">
        <f t="shared" ref="W9:W37" si="3">$U9/$K9*10</f>
        <v>1.2707558371553473</v>
      </c>
      <c r="X9" s="4201"/>
      <c r="Y9" s="4202">
        <f>W9/$X$37</f>
        <v>0.11724350968514952</v>
      </c>
    </row>
    <row r="10" spans="2:25">
      <c r="B10" s="4179" t="s">
        <v>3018</v>
      </c>
      <c r="C10" s="4180" t="s">
        <v>17</v>
      </c>
      <c r="D10" s="4174">
        <f>'F1'!M49</f>
        <v>309363.34356361459</v>
      </c>
      <c r="E10" s="4174">
        <f>'F1'!N49</f>
        <v>15183.681938343097</v>
      </c>
      <c r="F10" s="4174">
        <f t="shared" ref="F10:F28" si="4">SUM(D10:E10)</f>
        <v>324547.02550195769</v>
      </c>
      <c r="G10" s="4175">
        <v>40</v>
      </c>
      <c r="H10" s="4175">
        <f>[102]F20!J13</f>
        <v>0</v>
      </c>
      <c r="I10" s="4175">
        <v>3</v>
      </c>
      <c r="J10" s="4175">
        <f>[102]F20!L13</f>
        <v>0.55000000000000004</v>
      </c>
      <c r="K10" s="4175">
        <f>'F1'!I12</f>
        <v>740.70916312206168</v>
      </c>
      <c r="L10" s="4175"/>
      <c r="M10" s="4176">
        <f>G10*F10*12/10^7</f>
        <v>15.578257224093967</v>
      </c>
      <c r="N10" s="4175"/>
      <c r="O10" s="4175">
        <f t="shared" ref="O10:O35" si="5">M10+N10</f>
        <v>15.578257224093967</v>
      </c>
      <c r="P10" s="4176">
        <f>K10*I10/10</f>
        <v>222.21274893661848</v>
      </c>
      <c r="Q10" s="4175">
        <f t="shared" si="0"/>
        <v>237.79100616071244</v>
      </c>
      <c r="R10" s="4176">
        <f t="shared" si="1"/>
        <v>40.739003971713394</v>
      </c>
      <c r="S10" s="4175">
        <f t="shared" ref="S10:S28" si="6">Q10+R10</f>
        <v>278.53001013242584</v>
      </c>
      <c r="T10" s="4178">
        <f>'F20'!I9</f>
        <v>9.7709570477388361</v>
      </c>
      <c r="U10" s="4175">
        <f t="shared" si="2"/>
        <v>288.30096718016466</v>
      </c>
      <c r="V10" s="4209">
        <f>SUM(U10:U13)/SUM(K10:K13)*10</f>
        <v>7.7883246472077268</v>
      </c>
      <c r="W10" s="4209">
        <f t="shared" si="3"/>
        <v>3.8922289818177318</v>
      </c>
      <c r="X10" s="4201"/>
      <c r="Y10" s="4202">
        <f t="shared" ref="Y10:Y28" si="7">W10/$X$37</f>
        <v>0.35910799933691778</v>
      </c>
    </row>
    <row r="11" spans="2:25">
      <c r="B11" s="4179"/>
      <c r="C11" s="4180" t="s">
        <v>18</v>
      </c>
      <c r="D11" s="4174">
        <f>'F1'!M50</f>
        <v>332099.19513493171</v>
      </c>
      <c r="E11" s="4174">
        <f>'F1'!N50</f>
        <v>28614.517206273787</v>
      </c>
      <c r="F11" s="4174">
        <f t="shared" si="4"/>
        <v>360713.71234120551</v>
      </c>
      <c r="G11" s="4175">
        <v>75</v>
      </c>
      <c r="H11" s="4175">
        <f>[102]F20!J14</f>
        <v>0</v>
      </c>
      <c r="I11" s="4175">
        <v>6.4</v>
      </c>
      <c r="J11" s="4175">
        <f>[102]F20!L14</f>
        <v>1.03</v>
      </c>
      <c r="K11" s="4175">
        <f>'F1'!I13</f>
        <v>638.93612398134803</v>
      </c>
      <c r="L11" s="4175"/>
      <c r="M11" s="4176">
        <f>G11*F11*12/10^7+(D11*G11*12/10^7+E11*150*12/10^7)*0</f>
        <v>32.464234110708496</v>
      </c>
      <c r="N11" s="4175"/>
      <c r="O11" s="4175">
        <f t="shared" si="5"/>
        <v>32.464234110708496</v>
      </c>
      <c r="P11" s="4176">
        <f>K11*I11/10</f>
        <v>408.91911934806274</v>
      </c>
      <c r="Q11" s="4175">
        <f t="shared" si="0"/>
        <v>441.38335345877124</v>
      </c>
      <c r="R11" s="4176">
        <f t="shared" si="1"/>
        <v>65.810420770078849</v>
      </c>
      <c r="S11" s="4175">
        <f>Q11+R11</f>
        <v>507.19377422885009</v>
      </c>
      <c r="T11" s="4178">
        <f>'F20'!I10</f>
        <v>17.356992763721749</v>
      </c>
      <c r="U11" s="4175">
        <f t="shared" si="2"/>
        <v>524.55076699257188</v>
      </c>
      <c r="V11" s="4175"/>
      <c r="W11" s="4209">
        <f t="shared" si="3"/>
        <v>8.2097528579849826</v>
      </c>
      <c r="X11" s="4201"/>
      <c r="Y11" s="4202">
        <f t="shared" si="7"/>
        <v>0.75745490248743796</v>
      </c>
    </row>
    <row r="12" spans="2:25">
      <c r="B12" s="4179"/>
      <c r="C12" s="4180" t="s">
        <v>19</v>
      </c>
      <c r="D12" s="4174">
        <f>'F1'!M51</f>
        <v>34580.877373877658</v>
      </c>
      <c r="E12" s="4174">
        <f>'F1'!N51</f>
        <v>19946.330247111055</v>
      </c>
      <c r="F12" s="4174">
        <f t="shared" si="4"/>
        <v>54527.207620988716</v>
      </c>
      <c r="G12" s="4175">
        <v>75</v>
      </c>
      <c r="H12" s="4175">
        <f>[102]F20!J15</f>
        <v>0</v>
      </c>
      <c r="I12" s="4175">
        <v>8.8000000000000007</v>
      </c>
      <c r="J12" s="4175">
        <f>[102]F20!L15</f>
        <v>1.44</v>
      </c>
      <c r="K12" s="4175">
        <f>'F1'!I14</f>
        <v>195.47247711742492</v>
      </c>
      <c r="L12" s="4175"/>
      <c r="M12" s="4176">
        <f>G12*F12*12/10^7+(D12*G12*12/10^7+E12*150*12/10^7)*0</f>
        <v>4.9074486858889852</v>
      </c>
      <c r="N12" s="4175"/>
      <c r="O12" s="4175">
        <f t="shared" si="5"/>
        <v>4.9074486858889852</v>
      </c>
      <c r="P12" s="4176">
        <f>K12*I12/10</f>
        <v>172.01577986333393</v>
      </c>
      <c r="Q12" s="4175">
        <f t="shared" si="0"/>
        <v>176.92322854922293</v>
      </c>
      <c r="R12" s="4176">
        <f t="shared" si="1"/>
        <v>28.148036704909185</v>
      </c>
      <c r="S12" s="4175">
        <f t="shared" si="6"/>
        <v>205.0712652541321</v>
      </c>
      <c r="T12" s="4178">
        <f>'F20'!I11</f>
        <v>8.1199838346642146</v>
      </c>
      <c r="U12" s="4175">
        <f t="shared" si="2"/>
        <v>213.19124908879633</v>
      </c>
      <c r="V12" s="4175"/>
      <c r="W12" s="4209">
        <f t="shared" si="3"/>
        <v>10.906458660199377</v>
      </c>
      <c r="X12" s="4201"/>
      <c r="Y12" s="4202">
        <f t="shared" si="7"/>
        <v>1.0062605688439963</v>
      </c>
    </row>
    <row r="13" spans="2:25">
      <c r="B13" s="4179"/>
      <c r="C13" s="4180" t="s">
        <v>20</v>
      </c>
      <c r="D13" s="4174">
        <f>'F1'!M52</f>
        <v>7886.2440430585639</v>
      </c>
      <c r="E13" s="4174">
        <f>'F1'!N52</f>
        <v>24128.524268357101</v>
      </c>
      <c r="F13" s="4174">
        <f t="shared" si="4"/>
        <v>32014.768311415664</v>
      </c>
      <c r="G13" s="4175">
        <v>100</v>
      </c>
      <c r="H13" s="4175">
        <f>[102]F20!J16</f>
        <v>0</v>
      </c>
      <c r="I13" s="4175">
        <v>10.8</v>
      </c>
      <c r="J13" s="4175">
        <f>[102]F20!L16</f>
        <v>1.85</v>
      </c>
      <c r="K13" s="4175">
        <f>'F1'!I15</f>
        <v>359.99730133356655</v>
      </c>
      <c r="L13" s="4175"/>
      <c r="M13" s="4176">
        <f>G13*F13*12/10^7+(D13*G13*12/10^7+E13*150*12/10^7)*0</f>
        <v>3.8417721973698793</v>
      </c>
      <c r="N13" s="4175"/>
      <c r="O13" s="4175">
        <f t="shared" si="5"/>
        <v>3.8417721973698793</v>
      </c>
      <c r="P13" s="4176">
        <f t="shared" ref="P13:P28" si="8">K13*I13/10</f>
        <v>388.79708544025186</v>
      </c>
      <c r="Q13" s="4175">
        <f t="shared" si="0"/>
        <v>392.63885763762175</v>
      </c>
      <c r="R13" s="4176">
        <f t="shared" si="1"/>
        <v>66.599500746709822</v>
      </c>
      <c r="S13" s="4175">
        <f t="shared" si="6"/>
        <v>459.2383583843316</v>
      </c>
      <c r="T13" s="4178">
        <f>'F20'!I12</f>
        <v>21.849094378169674</v>
      </c>
      <c r="U13" s="4175">
        <f t="shared" si="2"/>
        <v>481.0874527625013</v>
      </c>
      <c r="V13" s="4175"/>
      <c r="W13" s="4209">
        <f t="shared" si="3"/>
        <v>13.363640532314296</v>
      </c>
      <c r="X13" s="4201"/>
      <c r="Y13" s="4202">
        <f t="shared" si="7"/>
        <v>1.232967083343572</v>
      </c>
    </row>
    <row r="14" spans="2:25">
      <c r="B14" s="4179" t="s">
        <v>1991</v>
      </c>
      <c r="C14" s="4180" t="s">
        <v>3096</v>
      </c>
      <c r="D14" s="4174">
        <f>'F1'!M53</f>
        <v>201693.44353187692</v>
      </c>
      <c r="E14" s="4174">
        <f>'F1'!N53</f>
        <v>23225.761120575899</v>
      </c>
      <c r="F14" s="4174">
        <f t="shared" si="4"/>
        <v>224919.20465245281</v>
      </c>
      <c r="G14" s="4175">
        <v>250</v>
      </c>
      <c r="H14" s="4175">
        <f>[102]F20!J18</f>
        <v>0</v>
      </c>
      <c r="I14" s="4175">
        <v>8.4499999999999993</v>
      </c>
      <c r="J14" s="4175">
        <f>[102]F20!L18</f>
        <v>1.48</v>
      </c>
      <c r="K14" s="4175">
        <f>'F1'!I17</f>
        <v>557.25224670732882</v>
      </c>
      <c r="L14" s="4175"/>
      <c r="M14" s="4176">
        <f t="shared" ref="M14:M23" si="9">G14*F14*12/10^7</f>
        <v>67.475761395735844</v>
      </c>
      <c r="N14" s="4175"/>
      <c r="O14" s="4175">
        <f t="shared" si="5"/>
        <v>67.475761395735844</v>
      </c>
      <c r="P14" s="4176">
        <f t="shared" si="8"/>
        <v>470.87814846769277</v>
      </c>
      <c r="Q14" s="4175">
        <f t="shared" si="0"/>
        <v>538.35390986342861</v>
      </c>
      <c r="R14" s="4176">
        <f t="shared" si="1"/>
        <v>82.473332512684664</v>
      </c>
      <c r="S14" s="4175">
        <f t="shared" si="6"/>
        <v>620.8272423761133</v>
      </c>
      <c r="T14" s="4178">
        <f>'F20'!I13</f>
        <v>25.411138879101962</v>
      </c>
      <c r="U14" s="4175">
        <f t="shared" si="2"/>
        <v>646.23838125521524</v>
      </c>
      <c r="V14" s="4209">
        <f>SUM(U14:U15)/SUM(K14:K15)*10</f>
        <v>12.945523927304748</v>
      </c>
      <c r="W14" s="4209">
        <f t="shared" si="3"/>
        <v>11.596873499814212</v>
      </c>
      <c r="X14" s="4201"/>
      <c r="Y14" s="4202">
        <f t="shared" si="7"/>
        <v>1.0699601849058482</v>
      </c>
    </row>
    <row r="15" spans="2:25">
      <c r="B15" s="4179"/>
      <c r="C15" s="4180" t="s">
        <v>20</v>
      </c>
      <c r="D15" s="4174">
        <f>'F1'!M54</f>
        <v>12112.429333580742</v>
      </c>
      <c r="E15" s="4174">
        <f>'F1'!N54</f>
        <v>20425.882940876665</v>
      </c>
      <c r="F15" s="4174">
        <f t="shared" si="4"/>
        <v>32538.312274457407</v>
      </c>
      <c r="G15" s="4175">
        <v>250</v>
      </c>
      <c r="H15" s="4175">
        <f>[102]F20!J20</f>
        <v>0</v>
      </c>
      <c r="I15" s="4175">
        <v>10.95</v>
      </c>
      <c r="J15" s="4175">
        <f>[102]F20!L20</f>
        <v>2.2000000000000002</v>
      </c>
      <c r="K15" s="4175">
        <f>'F1'!I18</f>
        <v>353.68963760997781</v>
      </c>
      <c r="L15" s="4175"/>
      <c r="M15" s="4176">
        <f t="shared" si="9"/>
        <v>9.7614936823372211</v>
      </c>
      <c r="N15" s="4175"/>
      <c r="O15" s="4175">
        <f t="shared" si="5"/>
        <v>9.7614936823372211</v>
      </c>
      <c r="P15" s="4176">
        <f t="shared" si="8"/>
        <v>387.29015318292568</v>
      </c>
      <c r="Q15" s="4175">
        <f t="shared" si="0"/>
        <v>397.05164686526291</v>
      </c>
      <c r="R15" s="4176">
        <f t="shared" si="1"/>
        <v>77.811720274195125</v>
      </c>
      <c r="S15" s="4175">
        <f t="shared" si="6"/>
        <v>474.86336713945803</v>
      </c>
      <c r="T15" s="4178">
        <f>'F20'!I14</f>
        <v>58.160247586703434</v>
      </c>
      <c r="U15" s="4175">
        <f t="shared" si="2"/>
        <v>533.02361472616144</v>
      </c>
      <c r="V15" s="4175"/>
      <c r="W15" s="4209">
        <f t="shared" si="3"/>
        <v>15.070376908071578</v>
      </c>
      <c r="X15" s="4201"/>
      <c r="Y15" s="4202">
        <f t="shared" si="7"/>
        <v>1.3904353844524922</v>
      </c>
    </row>
    <row r="16" spans="2:25">
      <c r="B16" s="4179" t="s">
        <v>1992</v>
      </c>
      <c r="C16" s="4179" t="s">
        <v>28</v>
      </c>
      <c r="D16" s="4174">
        <f>'F1'!M55</f>
        <v>58</v>
      </c>
      <c r="E16" s="4174">
        <f>'F1'!N55</f>
        <v>5850</v>
      </c>
      <c r="F16" s="4174">
        <f t="shared" si="4"/>
        <v>5908</v>
      </c>
      <c r="G16" s="4175">
        <f>[102]F20!I21</f>
        <v>0</v>
      </c>
      <c r="H16" s="4175">
        <v>200</v>
      </c>
      <c r="I16" s="4175">
        <v>10.3</v>
      </c>
      <c r="J16" s="4175">
        <f>[102]F20!L21</f>
        <v>2.15</v>
      </c>
      <c r="K16" s="4175">
        <f>'F1'!I20</f>
        <v>240.61024998912467</v>
      </c>
      <c r="L16" s="3980">
        <f>K16*10^6/(365*24*0.97*0.27)</f>
        <v>104875.61479473181</v>
      </c>
      <c r="M16" s="4176">
        <f t="shared" si="9"/>
        <v>0</v>
      </c>
      <c r="N16" s="4175">
        <f>L16*H16*12/10^7</f>
        <v>25.170147550735635</v>
      </c>
      <c r="O16" s="4175">
        <f t="shared" si="5"/>
        <v>25.170147550735635</v>
      </c>
      <c r="P16" s="4176">
        <f t="shared" si="8"/>
        <v>247.82855748879842</v>
      </c>
      <c r="Q16" s="4175">
        <f t="shared" si="0"/>
        <v>272.99870503953406</v>
      </c>
      <c r="R16" s="4176">
        <f t="shared" si="1"/>
        <v>51.731203747661802</v>
      </c>
      <c r="S16" s="4175">
        <f t="shared" si="6"/>
        <v>324.72990878719588</v>
      </c>
      <c r="T16" s="4178">
        <f>'F20'!I15</f>
        <v>20.131901195624163</v>
      </c>
      <c r="U16" s="4175">
        <f t="shared" si="2"/>
        <v>344.86180998282003</v>
      </c>
      <c r="V16" s="4209">
        <f>U16/K16*10</f>
        <v>14.332797958458022</v>
      </c>
      <c r="W16" s="4209">
        <f t="shared" si="3"/>
        <v>14.332797958458022</v>
      </c>
      <c r="X16" s="4201"/>
      <c r="Y16" s="4202">
        <f t="shared" si="7"/>
        <v>1.3223842748733605</v>
      </c>
    </row>
    <row r="17" spans="2:25">
      <c r="B17" s="4179" t="s">
        <v>1993</v>
      </c>
      <c r="C17" s="4179" t="s">
        <v>28</v>
      </c>
      <c r="D17" s="4174">
        <f>'F1'!M56</f>
        <v>0</v>
      </c>
      <c r="E17" s="4174">
        <f>'F1'!N56</f>
        <v>2649</v>
      </c>
      <c r="F17" s="4174">
        <f t="shared" si="4"/>
        <v>2649</v>
      </c>
      <c r="G17" s="4175">
        <f>[102]F20!I22</f>
        <v>0</v>
      </c>
      <c r="H17" s="4175">
        <v>200</v>
      </c>
      <c r="I17" s="4175">
        <v>10.7</v>
      </c>
      <c r="J17" s="4175">
        <f>[102]F20!L22</f>
        <v>2.1800000000000002</v>
      </c>
      <c r="K17" s="4175">
        <f>'F1'!I21</f>
        <v>474.79038926628346</v>
      </c>
      <c r="L17" s="3980">
        <f>K17*10^6/(365*24*0.97*0.32)</f>
        <v>174612.80968520642</v>
      </c>
      <c r="M17" s="4176">
        <f t="shared" si="9"/>
        <v>0</v>
      </c>
      <c r="N17" s="4175">
        <f>L17*H17*12/10^7</f>
        <v>41.907074324449539</v>
      </c>
      <c r="O17" s="4175">
        <f t="shared" si="5"/>
        <v>41.907074324449539</v>
      </c>
      <c r="P17" s="4176">
        <f t="shared" si="8"/>
        <v>508.02571651492326</v>
      </c>
      <c r="Q17" s="4175">
        <f t="shared" ref="Q17:Q35" si="10">SUM(O17:P17)</f>
        <v>549.93279083937284</v>
      </c>
      <c r="R17" s="4176">
        <f t="shared" si="1"/>
        <v>103.5043048600498</v>
      </c>
      <c r="S17" s="4175">
        <f t="shared" si="6"/>
        <v>653.43709569942268</v>
      </c>
      <c r="T17" s="4178">
        <f>'F20'!I16</f>
        <v>40.149972288790764</v>
      </c>
      <c r="U17" s="4175">
        <f t="shared" si="2"/>
        <v>693.58706798821345</v>
      </c>
      <c r="V17" s="4209">
        <f>U17/K17*10</f>
        <v>14.608279435901114</v>
      </c>
      <c r="W17" s="4209">
        <f t="shared" si="3"/>
        <v>14.608279435901114</v>
      </c>
      <c r="X17" s="4201"/>
      <c r="Y17" s="4202">
        <f t="shared" si="7"/>
        <v>1.3478009712396588</v>
      </c>
    </row>
    <row r="18" spans="2:25">
      <c r="B18" s="4179" t="s">
        <v>3022</v>
      </c>
      <c r="C18" s="4180" t="s">
        <v>25</v>
      </c>
      <c r="D18" s="4174">
        <f>'F1'!M57</f>
        <v>2438</v>
      </c>
      <c r="E18" s="4174">
        <f>'F1'!N57</f>
        <v>3567</v>
      </c>
      <c r="F18" s="4174">
        <f t="shared" si="4"/>
        <v>6005</v>
      </c>
      <c r="G18" s="4175">
        <v>325</v>
      </c>
      <c r="H18" s="4175">
        <f>[102]F20!J24</f>
        <v>0</v>
      </c>
      <c r="I18" s="4175">
        <v>7</v>
      </c>
      <c r="J18" s="4175">
        <f>[102]F20!L24</f>
        <v>1.4</v>
      </c>
      <c r="K18" s="4175">
        <f>'F1'!I22</f>
        <v>21.323338722833718</v>
      </c>
      <c r="L18" s="3980"/>
      <c r="M18" s="4176">
        <f t="shared" si="9"/>
        <v>2.3419500000000002</v>
      </c>
      <c r="N18" s="4175"/>
      <c r="O18" s="4175">
        <f t="shared" si="5"/>
        <v>2.3419500000000002</v>
      </c>
      <c r="P18" s="4176">
        <f t="shared" si="8"/>
        <v>14.926337105983603</v>
      </c>
      <c r="Q18" s="4175">
        <f>SUM(O18:P18)</f>
        <v>17.268287105983603</v>
      </c>
      <c r="R18" s="4176">
        <f t="shared" si="1"/>
        <v>2.9852674211967201</v>
      </c>
      <c r="S18" s="4175">
        <f t="shared" si="6"/>
        <v>20.253554527180324</v>
      </c>
      <c r="T18" s="4178">
        <f>'F20'!I17</f>
        <v>1.0056359097896994</v>
      </c>
      <c r="U18" s="4175">
        <f t="shared" si="2"/>
        <v>21.259190436970023</v>
      </c>
      <c r="V18" s="4209">
        <f>SUM(U18:U19)/SUM(K18:K19)*10</f>
        <v>11.635449796156617</v>
      </c>
      <c r="W18" s="4209">
        <f t="shared" si="3"/>
        <v>9.9699163969125522</v>
      </c>
      <c r="X18" s="4201"/>
      <c r="Y18" s="4202">
        <f t="shared" si="7"/>
        <v>0.91985254402467176</v>
      </c>
    </row>
    <row r="19" spans="2:25">
      <c r="B19" s="4179"/>
      <c r="C19" s="4180" t="s">
        <v>20</v>
      </c>
      <c r="D19" s="4174">
        <f>'F1'!M58</f>
        <v>101</v>
      </c>
      <c r="E19" s="4174">
        <f>'F1'!N58</f>
        <v>1971</v>
      </c>
      <c r="F19" s="4174">
        <f t="shared" si="4"/>
        <v>2072</v>
      </c>
      <c r="G19" s="4175">
        <v>425</v>
      </c>
      <c r="H19" s="4175">
        <f>[102]F20!J26</f>
        <v>0</v>
      </c>
      <c r="I19" s="4175">
        <v>9.3000000000000007</v>
      </c>
      <c r="J19" s="4175">
        <f>[102]F20!L26</f>
        <v>1.96</v>
      </c>
      <c r="K19" s="4175">
        <f>'F1'!I23</f>
        <v>23.412585970123601</v>
      </c>
      <c r="L19" s="3980"/>
      <c r="M19" s="4176">
        <f t="shared" si="9"/>
        <v>1.0567200000000001</v>
      </c>
      <c r="N19" s="4175"/>
      <c r="O19" s="4175">
        <f t="shared" si="5"/>
        <v>1.0567200000000001</v>
      </c>
      <c r="P19" s="4176">
        <f t="shared" si="8"/>
        <v>21.773704952214949</v>
      </c>
      <c r="Q19" s="4175">
        <f t="shared" si="10"/>
        <v>22.830424952214948</v>
      </c>
      <c r="R19" s="4176">
        <f t="shared" si="1"/>
        <v>4.5888668501442256</v>
      </c>
      <c r="S19" s="4175">
        <f t="shared" si="6"/>
        <v>27.419291802359172</v>
      </c>
      <c r="T19" s="4178">
        <f>'F20'!I18</f>
        <v>3.3737783456256163</v>
      </c>
      <c r="U19" s="4175">
        <f t="shared" si="2"/>
        <v>30.793070147984789</v>
      </c>
      <c r="V19" s="4175"/>
      <c r="W19" s="4209">
        <f t="shared" si="3"/>
        <v>13.152357534225095</v>
      </c>
      <c r="X19" s="4201"/>
      <c r="Y19" s="4202">
        <f t="shared" si="7"/>
        <v>1.2134735193492243</v>
      </c>
    </row>
    <row r="20" spans="2:25">
      <c r="B20" s="4179" t="s">
        <v>1995</v>
      </c>
      <c r="C20" s="4179" t="s">
        <v>28</v>
      </c>
      <c r="D20" s="4174">
        <f>'F1'!M59</f>
        <v>11</v>
      </c>
      <c r="E20" s="4174">
        <f>'F1'!N59</f>
        <v>1142</v>
      </c>
      <c r="F20" s="4174">
        <f t="shared" si="4"/>
        <v>1153</v>
      </c>
      <c r="G20" s="4175">
        <f>[102]F20!I27</f>
        <v>0</v>
      </c>
      <c r="H20" s="4175">
        <v>200</v>
      </c>
      <c r="I20" s="4175">
        <v>8.9</v>
      </c>
      <c r="J20" s="4175">
        <f>[102]F20!L27</f>
        <v>1.75</v>
      </c>
      <c r="K20" s="4175">
        <f>'F1'!I25</f>
        <v>53.444546787552618</v>
      </c>
      <c r="L20" s="3980">
        <f>K20*10^6/(365*24*0.97*0.25)</f>
        <v>25158.662518266075</v>
      </c>
      <c r="M20" s="4176">
        <f t="shared" si="9"/>
        <v>0</v>
      </c>
      <c r="N20" s="4175">
        <f>L20*H20*12/10^7</f>
        <v>6.0380790043838584</v>
      </c>
      <c r="O20" s="4175">
        <f t="shared" si="5"/>
        <v>6.0380790043838584</v>
      </c>
      <c r="P20" s="4176">
        <f t="shared" si="8"/>
        <v>47.565646640921827</v>
      </c>
      <c r="Q20" s="4175">
        <f t="shared" si="10"/>
        <v>53.603725645305687</v>
      </c>
      <c r="R20" s="4176">
        <f t="shared" si="1"/>
        <v>9.3527956878217076</v>
      </c>
      <c r="S20" s="4175">
        <f t="shared" si="6"/>
        <v>62.956521333127398</v>
      </c>
      <c r="T20" s="4178">
        <f>'F20'!I19</f>
        <v>3.4414089804021573</v>
      </c>
      <c r="U20" s="4175">
        <f t="shared" si="2"/>
        <v>66.397930313529557</v>
      </c>
      <c r="V20" s="4209">
        <f t="shared" ref="V20:V28" si="11">U20/K20*10</f>
        <v>12.423705373995952</v>
      </c>
      <c r="W20" s="4209">
        <f t="shared" si="3"/>
        <v>12.423705373995952</v>
      </c>
      <c r="X20" s="4201"/>
      <c r="Y20" s="4202">
        <f t="shared" si="7"/>
        <v>1.1462460204803862</v>
      </c>
    </row>
    <row r="21" spans="2:25">
      <c r="B21" s="4179" t="s">
        <v>1996</v>
      </c>
      <c r="C21" s="4179" t="s">
        <v>28</v>
      </c>
      <c r="D21" s="4174">
        <f>'F1'!M60</f>
        <v>0</v>
      </c>
      <c r="E21" s="4174">
        <f>'F1'!N60</f>
        <v>120</v>
      </c>
      <c r="F21" s="4174">
        <f t="shared" si="4"/>
        <v>120</v>
      </c>
      <c r="G21" s="4175">
        <f>[102]F20!I28</f>
        <v>0</v>
      </c>
      <c r="H21" s="4175">
        <v>200</v>
      </c>
      <c r="I21" s="4175">
        <v>8.9</v>
      </c>
      <c r="J21" s="4175">
        <f>[102]F20!L28</f>
        <v>1.72</v>
      </c>
      <c r="K21" s="4175">
        <f>'F1'!I26</f>
        <v>48.920121922597481</v>
      </c>
      <c r="L21" s="3980">
        <f>K21*10^6/(365*24*0.97*0.42)</f>
        <v>13707.630839345815</v>
      </c>
      <c r="M21" s="4176">
        <f t="shared" si="9"/>
        <v>0</v>
      </c>
      <c r="N21" s="4175">
        <f>L21*H21*12/10^7</f>
        <v>3.2898314014429952</v>
      </c>
      <c r="O21" s="4175">
        <f t="shared" si="5"/>
        <v>3.2898314014429952</v>
      </c>
      <c r="P21" s="4176">
        <f t="shared" si="8"/>
        <v>43.538908511111757</v>
      </c>
      <c r="Q21" s="4175">
        <f t="shared" si="10"/>
        <v>46.828739912554752</v>
      </c>
      <c r="R21" s="4176">
        <f t="shared" si="1"/>
        <v>8.4142609706867653</v>
      </c>
      <c r="S21" s="4175">
        <f t="shared" si="6"/>
        <v>55.243000883241521</v>
      </c>
      <c r="T21" s="4178">
        <f>'F20'!I20</f>
        <v>3.0568576605342601</v>
      </c>
      <c r="U21" s="4175">
        <f t="shared" si="2"/>
        <v>58.299858543775784</v>
      </c>
      <c r="V21" s="4209">
        <f t="shared" si="11"/>
        <v>11.917357572415526</v>
      </c>
      <c r="W21" s="4209">
        <f t="shared" si="3"/>
        <v>11.917357572415526</v>
      </c>
      <c r="X21" s="4201"/>
      <c r="Y21" s="4202">
        <f t="shared" si="7"/>
        <v>1.0995289473473264</v>
      </c>
    </row>
    <row r="22" spans="2:25">
      <c r="B22" s="4179" t="s">
        <v>3023</v>
      </c>
      <c r="C22" s="4179" t="s">
        <v>28</v>
      </c>
      <c r="D22" s="4174">
        <f>'F1'!M61</f>
        <v>770</v>
      </c>
      <c r="E22" s="4174">
        <f>'F1'!N61</f>
        <v>147</v>
      </c>
      <c r="F22" s="4174">
        <f t="shared" si="4"/>
        <v>917</v>
      </c>
      <c r="G22" s="4175">
        <v>400</v>
      </c>
      <c r="H22" s="4175">
        <f>[102]F20!J29</f>
        <v>0</v>
      </c>
      <c r="I22" s="4175">
        <v>15</v>
      </c>
      <c r="J22" s="4175">
        <f>[102]F20!L29</f>
        <v>3.16</v>
      </c>
      <c r="K22" s="4175">
        <f>'F1'!I27</f>
        <v>1.6412256112723016</v>
      </c>
      <c r="L22" s="3980"/>
      <c r="M22" s="4176">
        <f t="shared" si="9"/>
        <v>0.44016</v>
      </c>
      <c r="N22" s="4175"/>
      <c r="O22" s="4175">
        <f t="shared" si="5"/>
        <v>0.44016</v>
      </c>
      <c r="P22" s="4176">
        <f t="shared" si="8"/>
        <v>2.4618384169084524</v>
      </c>
      <c r="Q22" s="4175">
        <f t="shared" si="10"/>
        <v>2.9019984169084525</v>
      </c>
      <c r="R22" s="4176">
        <f t="shared" si="1"/>
        <v>0.51862729316204725</v>
      </c>
      <c r="S22" s="4175">
        <f t="shared" si="6"/>
        <v>3.4206257100704995</v>
      </c>
      <c r="T22" s="4178">
        <f>'F20'!I21</f>
        <v>0.17537234403278401</v>
      </c>
      <c r="U22" s="4175">
        <f t="shared" si="2"/>
        <v>3.5959980541032834</v>
      </c>
      <c r="V22" s="4209">
        <f t="shared" si="11"/>
        <v>21.910443204183331</v>
      </c>
      <c r="W22" s="4209">
        <f t="shared" si="3"/>
        <v>21.910443204183331</v>
      </c>
      <c r="X22" s="4201"/>
      <c r="Y22" s="4202">
        <f t="shared" si="7"/>
        <v>2.0215191501823879</v>
      </c>
    </row>
    <row r="23" spans="2:25">
      <c r="B23" s="4179" t="s">
        <v>3024</v>
      </c>
      <c r="C23" s="4179" t="s">
        <v>28</v>
      </c>
      <c r="D23" s="4174">
        <f>'F1'!M62</f>
        <v>605.16306239110122</v>
      </c>
      <c r="E23" s="4174">
        <f>'F1'!N62</f>
        <v>124.23877439817309</v>
      </c>
      <c r="F23" s="4174">
        <f t="shared" si="4"/>
        <v>729.40183678927428</v>
      </c>
      <c r="G23" s="4175">
        <f>[102]F20!I30</f>
        <v>0</v>
      </c>
      <c r="H23" s="4175">
        <v>200</v>
      </c>
      <c r="I23" s="4175">
        <v>8.9</v>
      </c>
      <c r="J23" s="4175">
        <f>[102]F20!L30</f>
        <v>1.52</v>
      </c>
      <c r="K23" s="4175">
        <f>'F1'!I28</f>
        <v>30.785385876232155</v>
      </c>
      <c r="L23" s="3980">
        <f>K23*10^6/(365*24*0.97*0.27)</f>
        <v>13418.531715123658</v>
      </c>
      <c r="M23" s="4176">
        <f t="shared" si="9"/>
        <v>0</v>
      </c>
      <c r="N23" s="4175">
        <f>L23*H23*12/10^7</f>
        <v>3.2204476116296781</v>
      </c>
      <c r="O23" s="4175">
        <f t="shared" si="5"/>
        <v>3.2204476116296781</v>
      </c>
      <c r="P23" s="4176">
        <f t="shared" si="8"/>
        <v>27.39899342984662</v>
      </c>
      <c r="Q23" s="4175">
        <f t="shared" si="10"/>
        <v>30.619441041476296</v>
      </c>
      <c r="R23" s="4176">
        <f t="shared" si="1"/>
        <v>4.6793786531872872</v>
      </c>
      <c r="S23" s="4175">
        <f t="shared" si="6"/>
        <v>35.298819694663585</v>
      </c>
      <c r="T23" s="4178">
        <f>'F20'!I22</f>
        <v>1.9129683278558463</v>
      </c>
      <c r="U23" s="4175">
        <f t="shared" si="2"/>
        <v>37.211788022519428</v>
      </c>
      <c r="V23" s="4209">
        <f t="shared" si="11"/>
        <v>12.087484682545032</v>
      </c>
      <c r="W23" s="4209">
        <f t="shared" si="3"/>
        <v>12.087484682545032</v>
      </c>
      <c r="X23" s="4201"/>
      <c r="Y23" s="4202">
        <f t="shared" si="7"/>
        <v>1.1152253532979977</v>
      </c>
    </row>
    <row r="24" spans="2:25">
      <c r="B24" s="4179" t="s">
        <v>1999</v>
      </c>
      <c r="C24" s="4179" t="s">
        <v>28</v>
      </c>
      <c r="D24" s="4174">
        <f>'F1'!M63</f>
        <v>1</v>
      </c>
      <c r="E24" s="4174">
        <f>'F1'!N63</f>
        <v>2</v>
      </c>
      <c r="F24" s="4174">
        <f t="shared" si="4"/>
        <v>3</v>
      </c>
      <c r="G24" s="4175">
        <v>200</v>
      </c>
      <c r="H24" s="4175">
        <f>[102]F20!J31</f>
        <v>0</v>
      </c>
      <c r="I24" s="4175">
        <v>4.9000000000000004</v>
      </c>
      <c r="J24" s="4175">
        <f>[102]F20!L31</f>
        <v>0.87</v>
      </c>
      <c r="K24" s="4175">
        <f>'F1'!I29</f>
        <v>2.3273066915796381</v>
      </c>
      <c r="L24" s="3980"/>
      <c r="M24" s="4176">
        <f>G24*F24*2/10^7</f>
        <v>1.2E-4</v>
      </c>
      <c r="N24" s="4175"/>
      <c r="O24" s="4175">
        <f t="shared" si="5"/>
        <v>1.2E-4</v>
      </c>
      <c r="P24" s="4176">
        <f t="shared" si="8"/>
        <v>1.1403802788740227</v>
      </c>
      <c r="Q24" s="4175">
        <f t="shared" si="10"/>
        <v>1.1405002788740226</v>
      </c>
      <c r="R24" s="4176">
        <f t="shared" si="1"/>
        <v>0.20247568216742851</v>
      </c>
      <c r="S24" s="4175">
        <f t="shared" si="6"/>
        <v>1.3429759610414511</v>
      </c>
      <c r="T24" s="4178">
        <f>'F20'!I23</f>
        <v>-0.6202663517069944</v>
      </c>
      <c r="U24" s="4175">
        <f t="shared" si="2"/>
        <v>0.72270960933445672</v>
      </c>
      <c r="V24" s="4209">
        <f t="shared" si="11"/>
        <v>3.105347533048703</v>
      </c>
      <c r="W24" s="4209">
        <f t="shared" si="3"/>
        <v>3.105347533048703</v>
      </c>
      <c r="X24" s="4201"/>
      <c r="Y24" s="4202">
        <f t="shared" si="7"/>
        <v>0.28650810243907027</v>
      </c>
    </row>
    <row r="25" spans="2:25">
      <c r="B25" s="4179" t="s">
        <v>2000</v>
      </c>
      <c r="C25" s="4179" t="s">
        <v>28</v>
      </c>
      <c r="D25" s="4174">
        <f>'F1'!M64</f>
        <v>150</v>
      </c>
      <c r="E25" s="4174">
        <f>'F1'!N64</f>
        <v>1502</v>
      </c>
      <c r="F25" s="4174">
        <f t="shared" si="4"/>
        <v>1652</v>
      </c>
      <c r="G25" s="4175">
        <v>400</v>
      </c>
      <c r="H25" s="4175">
        <f>[102]F20!J32</f>
        <v>0</v>
      </c>
      <c r="I25" s="4175">
        <v>12.5</v>
      </c>
      <c r="J25" s="4175">
        <f>[102]F20!L32</f>
        <v>2.5299999999999998</v>
      </c>
      <c r="K25" s="4175">
        <f>'F1'!I30</f>
        <v>37.300932574388348</v>
      </c>
      <c r="L25" s="3980"/>
      <c r="M25" s="4176">
        <f>G25*F25*12/10^7</f>
        <v>0.79296</v>
      </c>
      <c r="N25" s="4175"/>
      <c r="O25" s="4175">
        <f t="shared" si="5"/>
        <v>0.79296</v>
      </c>
      <c r="P25" s="4176">
        <f t="shared" si="8"/>
        <v>46.626165717985437</v>
      </c>
      <c r="Q25" s="4175">
        <f t="shared" si="10"/>
        <v>47.419125717985438</v>
      </c>
      <c r="R25" s="4176">
        <f t="shared" si="1"/>
        <v>9.4371359413202516</v>
      </c>
      <c r="S25" s="4175">
        <f t="shared" si="6"/>
        <v>56.856261659305687</v>
      </c>
      <c r="T25" s="4178">
        <f>'F20'!I24</f>
        <v>4.5399969845501547</v>
      </c>
      <c r="U25" s="4175">
        <f t="shared" si="2"/>
        <v>61.396258643855845</v>
      </c>
      <c r="V25" s="4209">
        <f t="shared" si="11"/>
        <v>16.459711435207357</v>
      </c>
      <c r="W25" s="4209">
        <f t="shared" si="3"/>
        <v>16.459711435207357</v>
      </c>
      <c r="X25" s="4201"/>
      <c r="Y25" s="4202">
        <f t="shared" si="7"/>
        <v>1.5186192977782769</v>
      </c>
    </row>
    <row r="26" spans="2:25">
      <c r="B26" s="4179" t="s">
        <v>2001</v>
      </c>
      <c r="C26" s="4179" t="s">
        <v>28</v>
      </c>
      <c r="D26" s="4174">
        <f>'F1'!M65</f>
        <v>9</v>
      </c>
      <c r="E26" s="4174">
        <f>'F1'!N65</f>
        <v>20</v>
      </c>
      <c r="F26" s="4174">
        <f t="shared" si="4"/>
        <v>29</v>
      </c>
      <c r="G26" s="4175">
        <v>200</v>
      </c>
      <c r="H26" s="4175">
        <f>[102]F20!J33</f>
        <v>0</v>
      </c>
      <c r="I26" s="4175">
        <v>5.0999999999999996</v>
      </c>
      <c r="J26" s="4175">
        <f>[102]F20!L33</f>
        <v>0.83</v>
      </c>
      <c r="K26" s="4175">
        <f>'F1'!I31</f>
        <v>1.2308820278524386</v>
      </c>
      <c r="L26" s="3980"/>
      <c r="M26" s="4176">
        <f>G26*F26*12/10^7</f>
        <v>6.96E-3</v>
      </c>
      <c r="N26" s="4175"/>
      <c r="O26" s="4175">
        <f t="shared" si="5"/>
        <v>6.96E-3</v>
      </c>
      <c r="P26" s="4176">
        <f t="shared" si="8"/>
        <v>0.62774983420474362</v>
      </c>
      <c r="Q26" s="4175">
        <f t="shared" si="10"/>
        <v>0.63470983420474358</v>
      </c>
      <c r="R26" s="4176">
        <f t="shared" ref="R26:R28" si="12">K26*J26/10</f>
        <v>0.10216320831175241</v>
      </c>
      <c r="S26" s="4175">
        <f t="shared" si="6"/>
        <v>0.73687304251649599</v>
      </c>
      <c r="T26" s="4178">
        <f>'F20'!I25</f>
        <v>2.1397579887162045E-2</v>
      </c>
      <c r="U26" s="4175">
        <f t="shared" si="2"/>
        <v>0.75827062240365806</v>
      </c>
      <c r="V26" s="4209">
        <f t="shared" si="11"/>
        <v>6.1603842224151926</v>
      </c>
      <c r="W26" s="4209">
        <f t="shared" si="3"/>
        <v>6.1603842224151926</v>
      </c>
      <c r="X26" s="4201"/>
      <c r="Y26" s="4202">
        <f t="shared" si="7"/>
        <v>0.56837438485571357</v>
      </c>
    </row>
    <row r="27" spans="2:25">
      <c r="B27" s="4181" t="s">
        <v>2002</v>
      </c>
      <c r="C27" s="4179" t="s">
        <v>28</v>
      </c>
      <c r="D27" s="4174">
        <f>'F1'!M66</f>
        <v>1446.0358673249784</v>
      </c>
      <c r="E27" s="4174">
        <f>'F1'!N66</f>
        <v>610.28124961948151</v>
      </c>
      <c r="F27" s="4174">
        <f t="shared" si="4"/>
        <v>2056.3171169444599</v>
      </c>
      <c r="G27" s="4175">
        <v>250</v>
      </c>
      <c r="H27" s="4175">
        <f>[102]F20!J34</f>
        <v>0</v>
      </c>
      <c r="I27" s="4175">
        <v>9</v>
      </c>
      <c r="J27" s="4175">
        <f>[102]F20!L34</f>
        <v>1.83</v>
      </c>
      <c r="K27" s="4175">
        <f>'F1'!I32</f>
        <v>12.779773157416724</v>
      </c>
      <c r="L27" s="3980"/>
      <c r="M27" s="4176">
        <f>G27*F27*12/10^7</f>
        <v>0.61689513508333793</v>
      </c>
      <c r="N27" s="4175"/>
      <c r="O27" s="4175">
        <f t="shared" si="5"/>
        <v>0.61689513508333793</v>
      </c>
      <c r="P27" s="4176">
        <f t="shared" si="8"/>
        <v>11.501795841675051</v>
      </c>
      <c r="Q27" s="4175">
        <f t="shared" si="10"/>
        <v>12.118690976758389</v>
      </c>
      <c r="R27" s="4176">
        <f t="shared" si="12"/>
        <v>2.3386984878072608</v>
      </c>
      <c r="S27" s="4175">
        <f t="shared" si="6"/>
        <v>14.457389464565649</v>
      </c>
      <c r="T27" s="4178">
        <f>'F20'!I26</f>
        <v>1.0774379592659908</v>
      </c>
      <c r="U27" s="4175">
        <f t="shared" si="2"/>
        <v>15.53482742383164</v>
      </c>
      <c r="V27" s="4209">
        <f t="shared" si="11"/>
        <v>12.155792776975876</v>
      </c>
      <c r="W27" s="4209">
        <f t="shared" si="3"/>
        <v>12.155792776975876</v>
      </c>
      <c r="X27" s="4201"/>
      <c r="Y27" s="4202">
        <f t="shared" si="7"/>
        <v>1.121527650322188</v>
      </c>
    </row>
    <row r="28" spans="2:25">
      <c r="B28" s="4181" t="s">
        <v>2003</v>
      </c>
      <c r="C28" s="4179" t="s">
        <v>28</v>
      </c>
      <c r="D28" s="4174">
        <f>'F1'!M67</f>
        <v>3</v>
      </c>
      <c r="E28" s="4174">
        <f>'F1'!N67</f>
        <v>490</v>
      </c>
      <c r="F28" s="4174">
        <f t="shared" si="4"/>
        <v>493</v>
      </c>
      <c r="G28" s="4175">
        <f>[102]F20!I35</f>
        <v>0</v>
      </c>
      <c r="H28" s="4175">
        <v>200</v>
      </c>
      <c r="I28" s="4175">
        <v>9</v>
      </c>
      <c r="J28" s="4175">
        <f>[102]F20!L35</f>
        <v>1.83</v>
      </c>
      <c r="K28" s="4175">
        <f>'F1'!I33</f>
        <v>75.891669968670342</v>
      </c>
      <c r="L28" s="3980">
        <f>K28*10^6/(365*24*0.97*0.35)</f>
        <v>25518.211030413499</v>
      </c>
      <c r="M28" s="4176">
        <f>G28*F28*12/10^7</f>
        <v>0</v>
      </c>
      <c r="N28" s="4175">
        <f>L28*H28*12/10^7</f>
        <v>6.1243706472992399</v>
      </c>
      <c r="O28" s="4175">
        <f t="shared" si="5"/>
        <v>6.1243706472992399</v>
      </c>
      <c r="P28" s="4176">
        <f t="shared" si="8"/>
        <v>68.302502971803307</v>
      </c>
      <c r="Q28" s="4175">
        <f t="shared" si="10"/>
        <v>74.426873619102551</v>
      </c>
      <c r="R28" s="4176">
        <f t="shared" si="12"/>
        <v>13.888175604266673</v>
      </c>
      <c r="S28" s="4175">
        <f t="shared" si="6"/>
        <v>88.315049223369229</v>
      </c>
      <c r="T28" s="4178">
        <f>'F20'!I27</f>
        <v>5.9519132488758713</v>
      </c>
      <c r="U28" s="4175">
        <f t="shared" si="2"/>
        <v>94.266962472245098</v>
      </c>
      <c r="V28" s="4209">
        <f t="shared" si="11"/>
        <v>12.421252887327483</v>
      </c>
      <c r="W28" s="4209">
        <f t="shared" si="3"/>
        <v>12.421252887327483</v>
      </c>
      <c r="X28" s="4201"/>
      <c r="Y28" s="4202">
        <f t="shared" si="7"/>
        <v>1.1460197471585882</v>
      </c>
    </row>
    <row r="29" spans="2:25">
      <c r="B29" s="4179" t="s">
        <v>3097</v>
      </c>
      <c r="C29" s="4179"/>
      <c r="D29" s="4182">
        <f>SUM(D9:D28)</f>
        <v>903516.73191065644</v>
      </c>
      <c r="E29" s="4182">
        <f>SUM(E9:E28)</f>
        <v>149719.21774555524</v>
      </c>
      <c r="F29" s="4183">
        <f>SUM(D29:E29)</f>
        <v>1053235.9496562118</v>
      </c>
      <c r="G29" s="4175"/>
      <c r="H29" s="4175"/>
      <c r="I29" s="4175"/>
      <c r="J29" s="4175"/>
      <c r="K29" s="4184">
        <f>SUM(K9:K28)</f>
        <v>3870.5653589109193</v>
      </c>
      <c r="L29" s="4184">
        <f>SUM(L9:L28)</f>
        <v>357291.46058308729</v>
      </c>
      <c r="M29" s="4176"/>
      <c r="N29" s="4175"/>
      <c r="O29" s="4175"/>
      <c r="P29" s="4176"/>
      <c r="Q29" s="4175"/>
      <c r="R29" s="4176"/>
      <c r="S29" s="4176"/>
      <c r="T29" s="4177"/>
      <c r="U29" s="4175"/>
      <c r="V29" s="4175"/>
      <c r="W29" s="4209">
        <f t="shared" si="3"/>
        <v>0</v>
      </c>
      <c r="X29" s="4201"/>
      <c r="Y29" s="4202"/>
    </row>
    <row r="30" spans="2:25" ht="21">
      <c r="B30" s="4185" t="s">
        <v>2004</v>
      </c>
      <c r="C30" s="4179"/>
      <c r="D30" s="4186"/>
      <c r="E30" s="4186"/>
      <c r="F30" s="4174"/>
      <c r="G30" s="4175"/>
      <c r="H30" s="4175"/>
      <c r="I30" s="4175"/>
      <c r="J30" s="4175"/>
      <c r="K30" s="4175"/>
      <c r="L30" s="4175"/>
      <c r="M30" s="4176"/>
      <c r="N30" s="4175"/>
      <c r="O30" s="4175"/>
      <c r="P30" s="4176"/>
      <c r="Q30" s="4175"/>
      <c r="R30" s="4176"/>
      <c r="S30" s="4176"/>
      <c r="T30" s="4177"/>
      <c r="U30" s="4175"/>
      <c r="V30" s="4175"/>
      <c r="W30" s="4209" t="e">
        <f t="shared" si="3"/>
        <v>#DIV/0!</v>
      </c>
      <c r="X30" s="4201"/>
      <c r="Y30" s="4202"/>
    </row>
    <row r="31" spans="2:25">
      <c r="B31" s="4187" t="s">
        <v>3027</v>
      </c>
      <c r="C31" s="4179" t="s">
        <v>28</v>
      </c>
      <c r="D31" s="4186">
        <f>'F1'!M69</f>
        <v>0</v>
      </c>
      <c r="E31" s="4186">
        <f>'F1'!N69</f>
        <v>44.094935312136769</v>
      </c>
      <c r="F31" s="4174">
        <f t="shared" ref="F31:F35" si="13">SUM(D31:E31)</f>
        <v>44.094935312136769</v>
      </c>
      <c r="G31" s="4175">
        <f>[102]F20!I37</f>
        <v>0</v>
      </c>
      <c r="H31" s="4175">
        <v>200</v>
      </c>
      <c r="I31" s="4175">
        <v>9</v>
      </c>
      <c r="J31" s="4175">
        <f>[102]F20!L37</f>
        <v>1.59</v>
      </c>
      <c r="K31" s="4175">
        <f>'F1'!I35</f>
        <v>197.20559168255826</v>
      </c>
      <c r="L31" s="3980">
        <f>K31*10^6/(365*24*0.97*0.46)</f>
        <v>50452.832463112733</v>
      </c>
      <c r="M31" s="4176">
        <f t="shared" ref="M31:M35" si="14">G31*F31*12/10^7</f>
        <v>0</v>
      </c>
      <c r="N31" s="4175">
        <f>L31*H31*12/10^7</f>
        <v>12.108679791147056</v>
      </c>
      <c r="O31" s="4175">
        <f t="shared" si="5"/>
        <v>12.108679791147056</v>
      </c>
      <c r="P31" s="4176">
        <f t="shared" ref="P31:P35" si="15">K31*I31/10</f>
        <v>177.48503251430242</v>
      </c>
      <c r="Q31" s="4175">
        <f t="shared" si="10"/>
        <v>189.59371230544949</v>
      </c>
      <c r="R31" s="4176">
        <f>K31*J31/10</f>
        <v>31.355689077526769</v>
      </c>
      <c r="S31" s="4175">
        <f t="shared" ref="S31:S35" si="16">Q31+R31</f>
        <v>220.94940138297625</v>
      </c>
      <c r="T31" s="4178">
        <f>'F20'!I30</f>
        <v>8.9838779565692999</v>
      </c>
      <c r="U31" s="4175">
        <f>S31+T31</f>
        <v>229.93327933954555</v>
      </c>
      <c r="V31" s="4209">
        <f>U31/K31*10</f>
        <v>11.65957199173485</v>
      </c>
      <c r="W31" s="4209">
        <f t="shared" si="3"/>
        <v>11.65957199173485</v>
      </c>
      <c r="X31" s="4201"/>
      <c r="Y31" s="4202">
        <f t="shared" ref="Y31:Y35" si="17">W31/$X$37</f>
        <v>1.075744924215956</v>
      </c>
    </row>
    <row r="32" spans="2:25">
      <c r="B32" s="4187" t="s">
        <v>3028</v>
      </c>
      <c r="C32" s="4179" t="s">
        <v>28</v>
      </c>
      <c r="D32" s="4186">
        <f>'F1'!M70</f>
        <v>0</v>
      </c>
      <c r="E32" s="4186">
        <f>'F1'!N70</f>
        <v>108.17276701559564</v>
      </c>
      <c r="F32" s="4174">
        <f t="shared" si="13"/>
        <v>108.17276701559564</v>
      </c>
      <c r="G32" s="4175">
        <f>[102]F20!I38</f>
        <v>0</v>
      </c>
      <c r="H32" s="4175">
        <v>200</v>
      </c>
      <c r="I32" s="4175">
        <v>9.6999999999999993</v>
      </c>
      <c r="J32" s="4175">
        <f>[102]F20!L38</f>
        <v>1.71</v>
      </c>
      <c r="K32" s="4175">
        <f>'F1'!I36</f>
        <v>376.30713842443834</v>
      </c>
      <c r="L32" s="3980">
        <f>K32*10^6/(365*24*0.97*0.45)</f>
        <v>98413.36974387338</v>
      </c>
      <c r="M32" s="4176">
        <f t="shared" si="14"/>
        <v>0</v>
      </c>
      <c r="N32" s="4175">
        <f>L32*H32*12/10^7</f>
        <v>23.619208738529611</v>
      </c>
      <c r="O32" s="4175">
        <f t="shared" si="5"/>
        <v>23.619208738529611</v>
      </c>
      <c r="P32" s="4176">
        <f t="shared" si="15"/>
        <v>365.01792427170517</v>
      </c>
      <c r="Q32" s="4175">
        <f t="shared" si="10"/>
        <v>388.63713301023478</v>
      </c>
      <c r="R32" s="4176">
        <f>K32*J32/10</f>
        <v>64.348520670578949</v>
      </c>
      <c r="S32" s="4175">
        <f t="shared" si="16"/>
        <v>452.9856536808137</v>
      </c>
      <c r="T32" s="4178">
        <f>'F20'!I31</f>
        <v>17.555617075315411</v>
      </c>
      <c r="U32" s="4175">
        <f>S32+T32</f>
        <v>470.54127075612911</v>
      </c>
      <c r="V32" s="4209">
        <f>U32/K32*10</f>
        <v>12.504181364356786</v>
      </c>
      <c r="W32" s="4209">
        <f t="shared" si="3"/>
        <v>12.504181364356786</v>
      </c>
      <c r="X32" s="4201"/>
      <c r="Y32" s="4202">
        <f t="shared" si="17"/>
        <v>1.1536709618258565</v>
      </c>
    </row>
    <row r="33" spans="2:25">
      <c r="B33" s="4187" t="s">
        <v>43</v>
      </c>
      <c r="C33" s="4179" t="s">
        <v>28</v>
      </c>
      <c r="D33" s="4186">
        <f>'F1'!M71</f>
        <v>0</v>
      </c>
      <c r="E33" s="4186">
        <f>'F1'!N71</f>
        <v>13.386394339847239</v>
      </c>
      <c r="F33" s="4174">
        <f t="shared" si="13"/>
        <v>13.386394339847239</v>
      </c>
      <c r="G33" s="4175">
        <f>[102]F20!I39</f>
        <v>0</v>
      </c>
      <c r="H33" s="4175">
        <v>200</v>
      </c>
      <c r="I33" s="4175">
        <v>6.65</v>
      </c>
      <c r="J33" s="4175">
        <f>[102]F20!L39</f>
        <v>0.91</v>
      </c>
      <c r="K33" s="4175">
        <f>'F1'!I37</f>
        <v>34.54054419494873</v>
      </c>
      <c r="L33" s="3980">
        <f>K33*10^6/(365*24*0.97*0.56)</f>
        <v>7258.8079844261165</v>
      </c>
      <c r="M33" s="4176">
        <f t="shared" si="14"/>
        <v>0</v>
      </c>
      <c r="N33" s="4175">
        <f>L33*H33*12/10^7</f>
        <v>1.7421139162622683</v>
      </c>
      <c r="O33" s="4175">
        <f t="shared" si="5"/>
        <v>1.7421139162622683</v>
      </c>
      <c r="P33" s="4176">
        <f t="shared" si="15"/>
        <v>22.969461889640904</v>
      </c>
      <c r="Q33" s="4175">
        <f t="shared" si="10"/>
        <v>24.711575805903173</v>
      </c>
      <c r="R33" s="4176">
        <f>K33*J33/10</f>
        <v>3.1431895217403345</v>
      </c>
      <c r="S33" s="4175">
        <f t="shared" si="16"/>
        <v>27.854765327643509</v>
      </c>
      <c r="T33" s="4178">
        <f>'F20'!I32</f>
        <v>0.59461947126505366</v>
      </c>
      <c r="U33" s="4175">
        <f>S33+T33</f>
        <v>28.449384798908564</v>
      </c>
      <c r="V33" s="4209">
        <f>U33/K33*10</f>
        <v>8.2365189842808135</v>
      </c>
      <c r="W33" s="4209">
        <f t="shared" si="3"/>
        <v>8.2365189842808135</v>
      </c>
      <c r="X33" s="4201"/>
      <c r="Y33" s="4202">
        <f t="shared" si="17"/>
        <v>0.75992442062447374</v>
      </c>
    </row>
    <row r="34" spans="2:25">
      <c r="B34" s="4187" t="s">
        <v>44</v>
      </c>
      <c r="C34" s="4179" t="s">
        <v>28</v>
      </c>
      <c r="D34" s="4186">
        <f>'F1'!M72</f>
        <v>0</v>
      </c>
      <c r="E34" s="4186">
        <f>'F1'!N72</f>
        <v>6</v>
      </c>
      <c r="F34" s="4174">
        <f t="shared" si="13"/>
        <v>6</v>
      </c>
      <c r="G34" s="4175">
        <v>250</v>
      </c>
      <c r="H34" s="4175">
        <f>[102]F20!J40</f>
        <v>0</v>
      </c>
      <c r="I34" s="4175">
        <v>12</v>
      </c>
      <c r="J34" s="4175">
        <f>[102]F20!L40</f>
        <v>2.33</v>
      </c>
      <c r="K34" s="4175">
        <f>'F1'!I38</f>
        <v>11.665209189340334</v>
      </c>
      <c r="L34" s="3980"/>
      <c r="M34" s="4176">
        <f t="shared" si="14"/>
        <v>1.8E-3</v>
      </c>
      <c r="N34" s="4175"/>
      <c r="O34" s="4175">
        <f t="shared" si="5"/>
        <v>1.8E-3</v>
      </c>
      <c r="P34" s="4176">
        <f t="shared" si="15"/>
        <v>13.998251027208402</v>
      </c>
      <c r="Q34" s="4175">
        <f t="shared" si="10"/>
        <v>14.000051027208402</v>
      </c>
      <c r="R34" s="4176">
        <f>K34*J34/10</f>
        <v>2.717993741116298</v>
      </c>
      <c r="S34" s="4175">
        <f t="shared" si="16"/>
        <v>16.718044768324699</v>
      </c>
      <c r="T34" s="4178">
        <f>'F20'!I33</f>
        <v>0.7069417441788588</v>
      </c>
      <c r="U34" s="4175">
        <f>S34+T34</f>
        <v>17.424986512503558</v>
      </c>
      <c r="V34" s="4209">
        <f>U34/K34*10</f>
        <v>14.93756882510646</v>
      </c>
      <c r="W34" s="4209">
        <f t="shared" si="3"/>
        <v>14.93756882510646</v>
      </c>
      <c r="X34" s="4201"/>
      <c r="Y34" s="4202">
        <f t="shared" si="17"/>
        <v>1.3781821369708647</v>
      </c>
    </row>
    <row r="35" spans="2:25">
      <c r="B35" s="4187" t="s">
        <v>3098</v>
      </c>
      <c r="C35" s="4179" t="s">
        <v>28</v>
      </c>
      <c r="D35" s="4186">
        <f>'F1'!M73</f>
        <v>0</v>
      </c>
      <c r="E35" s="4186">
        <f>'F1'!N73</f>
        <v>16.803536623781845</v>
      </c>
      <c r="F35" s="4174">
        <f t="shared" si="13"/>
        <v>16.803536623781845</v>
      </c>
      <c r="G35" s="4175">
        <f>[102]F20!I41</f>
        <v>0</v>
      </c>
      <c r="H35" s="4175">
        <v>200</v>
      </c>
      <c r="I35" s="4175">
        <v>8.8000000000000007</v>
      </c>
      <c r="J35" s="4175">
        <f>[102]F20!L41</f>
        <v>1.51</v>
      </c>
      <c r="K35" s="4175">
        <f>'F1'!I39</f>
        <v>103.34551388689785</v>
      </c>
      <c r="L35" s="3980">
        <f>K35*10^6/(365*24*0.97*0.55)</f>
        <v>22113.276648756564</v>
      </c>
      <c r="M35" s="4176">
        <f t="shared" si="14"/>
        <v>0</v>
      </c>
      <c r="N35" s="4175">
        <f>L35*H35*12/10^7</f>
        <v>5.3071863957015752</v>
      </c>
      <c r="O35" s="4175">
        <f t="shared" si="5"/>
        <v>5.3071863957015752</v>
      </c>
      <c r="P35" s="4176">
        <f t="shared" si="15"/>
        <v>90.944052220470113</v>
      </c>
      <c r="Q35" s="4175">
        <f t="shared" si="10"/>
        <v>96.25123861617169</v>
      </c>
      <c r="R35" s="4176">
        <f>K35*J35/10</f>
        <v>15.605172596921573</v>
      </c>
      <c r="S35" s="4175">
        <f t="shared" si="16"/>
        <v>111.85641121309327</v>
      </c>
      <c r="T35" s="4178">
        <f>'F20'!I34</f>
        <v>5.5625584039652054</v>
      </c>
      <c r="U35" s="4175">
        <f>S35+T35</f>
        <v>117.41896961705848</v>
      </c>
      <c r="V35" s="4209">
        <f>U35/K35*10</f>
        <v>11.361786806301311</v>
      </c>
      <c r="W35" s="4209">
        <f t="shared" si="3"/>
        <v>11.361786806301311</v>
      </c>
      <c r="X35" s="4201"/>
      <c r="Y35" s="4202">
        <f t="shared" si="17"/>
        <v>1.0482704249835728</v>
      </c>
    </row>
    <row r="36" spans="2:25">
      <c r="B36" s="4187" t="s">
        <v>3099</v>
      </c>
      <c r="C36" s="4179" t="s">
        <v>28</v>
      </c>
      <c r="D36" s="4182">
        <f>SUM(D31:D35)</f>
        <v>0</v>
      </c>
      <c r="E36" s="4182">
        <f>SUM(E31:E35)</f>
        <v>188.4576332913615</v>
      </c>
      <c r="F36" s="4174">
        <f>SUM(D36:E36)</f>
        <v>188.4576332913615</v>
      </c>
      <c r="G36" s="4175"/>
      <c r="H36" s="4175"/>
      <c r="I36" s="4175"/>
      <c r="J36" s="4175"/>
      <c r="K36" s="4175">
        <f>SUM(K31:K35)</f>
        <v>723.06399737818356</v>
      </c>
      <c r="L36" s="4175">
        <f>SUM(L31:L35)</f>
        <v>178238.28684016879</v>
      </c>
      <c r="M36" s="4176"/>
      <c r="N36" s="4175"/>
      <c r="O36" s="4175"/>
      <c r="P36" s="4176"/>
      <c r="Q36" s="4175"/>
      <c r="R36" s="4176"/>
      <c r="S36" s="4176"/>
      <c r="T36" s="4177"/>
      <c r="U36" s="4175"/>
      <c r="V36" s="4175"/>
      <c r="W36" s="4209">
        <f t="shared" si="3"/>
        <v>0</v>
      </c>
      <c r="X36" s="4201"/>
      <c r="Y36" s="4201"/>
    </row>
    <row r="37" spans="2:25">
      <c r="B37" s="4188" t="s">
        <v>47</v>
      </c>
      <c r="C37" s="4189"/>
      <c r="D37" s="4183">
        <f>SUM(D29,D36)</f>
        <v>903516.73191065644</v>
      </c>
      <c r="E37" s="4183">
        <f>SUM(E29,E36)</f>
        <v>149907.67537884662</v>
      </c>
      <c r="F37" s="4183">
        <f>SUM(F29,F36)</f>
        <v>1053424.4072895031</v>
      </c>
      <c r="G37" s="4184"/>
      <c r="H37" s="4184"/>
      <c r="I37" s="4184"/>
      <c r="J37" s="4184"/>
      <c r="K37" s="4184">
        <f>SUM(K29,K36)</f>
        <v>4593.6293562891024</v>
      </c>
      <c r="L37" s="4184">
        <f>SUM(L29,L36)</f>
        <v>535529.74742325605</v>
      </c>
      <c r="M37" s="4176">
        <f t="shared" ref="M37:N37" si="18">SUM(M9:M28,M31:M35)</f>
        <v>139.28721283121772</v>
      </c>
      <c r="N37" s="4176">
        <f t="shared" si="18"/>
        <v>128.52713938158146</v>
      </c>
      <c r="O37" s="4190">
        <f t="shared" ref="O37:U37" si="19">SUM(O9:O28,O31:O35)</f>
        <v>267.81435221279924</v>
      </c>
      <c r="P37" s="4190">
        <f t="shared" si="19"/>
        <v>3762.2510549147923</v>
      </c>
      <c r="Q37" s="4184">
        <f t="shared" si="19"/>
        <v>4030.0654071275922</v>
      </c>
      <c r="R37" s="4184">
        <f t="shared" si="19"/>
        <v>690.49653500163799</v>
      </c>
      <c r="S37" s="4184">
        <f t="shared" si="19"/>
        <v>4720.5619421292304</v>
      </c>
      <c r="T37" s="4191">
        <f t="shared" si="19"/>
        <v>258.29047700124198</v>
      </c>
      <c r="U37" s="4184">
        <f t="shared" si="19"/>
        <v>4978.8524191304732</v>
      </c>
      <c r="V37" s="4209">
        <f>U37/K37*10</f>
        <v>10.838602840940933</v>
      </c>
      <c r="W37" s="4209">
        <f t="shared" si="3"/>
        <v>10.838602840940933</v>
      </c>
      <c r="X37" s="4201">
        <f>$U37*10/$K37</f>
        <v>10.838602840940933</v>
      </c>
      <c r="Y37" s="4201"/>
    </row>
    <row r="38" spans="2:25">
      <c r="S38" s="4192"/>
      <c r="T38" s="4175" t="s">
        <v>48</v>
      </c>
      <c r="U38" s="4175">
        <v>19.05</v>
      </c>
      <c r="V38" s="4200"/>
    </row>
    <row r="39" spans="2:25">
      <c r="S39" s="4192"/>
      <c r="T39" s="4175" t="s">
        <v>52</v>
      </c>
      <c r="U39" s="4175">
        <v>12.97</v>
      </c>
      <c r="V39" s="4192"/>
    </row>
    <row r="40" spans="2:25">
      <c r="S40" s="4192"/>
      <c r="T40" s="4175" t="s">
        <v>3182</v>
      </c>
      <c r="U40" s="4175">
        <v>20.22</v>
      </c>
      <c r="V40" s="4192"/>
    </row>
    <row r="41" spans="2:25">
      <c r="T41" s="4193" t="s">
        <v>47</v>
      </c>
      <c r="U41" s="4193">
        <f>SUM(U37:U40)</f>
        <v>5031.0924191304739</v>
      </c>
    </row>
    <row r="44" spans="2:25">
      <c r="U44" s="4926"/>
    </row>
    <row r="51" spans="2:4" hidden="1">
      <c r="B51" s="4437" t="s">
        <v>3069</v>
      </c>
    </row>
    <row r="52" spans="2:4" hidden="1"/>
    <row r="53" spans="2:4" hidden="1">
      <c r="C53" s="4440" t="s">
        <v>3382</v>
      </c>
    </row>
    <row r="54" spans="2:4" hidden="1">
      <c r="B54" s="4438" t="str">
        <f>B16</f>
        <v>LT - II (b)</v>
      </c>
      <c r="C54" s="4439"/>
      <c r="D54" s="4199">
        <v>44</v>
      </c>
    </row>
    <row r="55" spans="2:4" hidden="1">
      <c r="B55" s="4438" t="str">
        <f>B17</f>
        <v>LT - II (c)</v>
      </c>
      <c r="C55" s="4439"/>
      <c r="D55" s="4199">
        <v>41</v>
      </c>
    </row>
    <row r="56" spans="2:4" hidden="1">
      <c r="B56" s="4438" t="str">
        <f>B20</f>
        <v>LT - IV (a)</v>
      </c>
      <c r="C56" s="4439"/>
      <c r="D56" s="4199">
        <v>31</v>
      </c>
    </row>
    <row r="57" spans="2:4" hidden="1">
      <c r="B57" s="4438" t="str">
        <f>B21</f>
        <v>LT - IV (b)</v>
      </c>
      <c r="C57" s="4439"/>
      <c r="D57" s="4199">
        <v>45</v>
      </c>
    </row>
    <row r="58" spans="2:4" hidden="1">
      <c r="B58" s="4438" t="str">
        <f>B23</f>
        <v>LT - VI</v>
      </c>
      <c r="C58" s="4439"/>
      <c r="D58" s="4199">
        <v>44</v>
      </c>
    </row>
    <row r="59" spans="2:4" hidden="1">
      <c r="B59" s="4438" t="str">
        <f>B28</f>
        <v>LT - IX (b)</v>
      </c>
      <c r="C59" s="4439"/>
      <c r="D59" s="4199">
        <v>44</v>
      </c>
    </row>
    <row r="60" spans="2:4" hidden="1">
      <c r="B60" s="4439"/>
      <c r="C60" s="4439"/>
    </row>
    <row r="61" spans="2:4" hidden="1">
      <c r="B61" s="4438" t="str">
        <f>B31</f>
        <v>HT - I</v>
      </c>
      <c r="C61" s="4439"/>
      <c r="D61" s="4199">
        <v>56</v>
      </c>
    </row>
    <row r="62" spans="2:4" hidden="1">
      <c r="B62" s="4438" t="str">
        <f>B32</f>
        <v>HT - II</v>
      </c>
      <c r="C62" s="4439"/>
      <c r="D62" s="4199">
        <v>56</v>
      </c>
    </row>
    <row r="63" spans="2:4" hidden="1">
      <c r="B63" s="4438" t="str">
        <f>B33</f>
        <v>HT - III</v>
      </c>
      <c r="C63" s="4439"/>
      <c r="D63" s="4199">
        <v>56</v>
      </c>
    </row>
    <row r="64" spans="2:4" hidden="1">
      <c r="B64" s="4438" t="str">
        <f>B35</f>
        <v>HT-V</v>
      </c>
      <c r="C64" s="4439"/>
      <c r="D64" s="4199">
        <v>50</v>
      </c>
    </row>
  </sheetData>
  <mergeCells count="17">
    <mergeCell ref="B7:B8"/>
    <mergeCell ref="C7:C8"/>
    <mergeCell ref="D7:F7"/>
    <mergeCell ref="G7:H7"/>
    <mergeCell ref="I7:I8"/>
    <mergeCell ref="J7:J8"/>
    <mergeCell ref="S7:S8"/>
    <mergeCell ref="K7:L7"/>
    <mergeCell ref="M7:O7"/>
    <mergeCell ref="P7:P8"/>
    <mergeCell ref="Q7:Q8"/>
    <mergeCell ref="R7:R8"/>
    <mergeCell ref="U7:U8"/>
    <mergeCell ref="T7:T8"/>
    <mergeCell ref="X7:X8"/>
    <mergeCell ref="Y7:Y8"/>
    <mergeCell ref="W7:W8"/>
  </mergeCells>
  <pageMargins left="0.54" right="0.42" top="0.48" bottom="0.5" header="0.3" footer="0.3"/>
  <pageSetup paperSize="9" scale="70" orientation="landscape" r:id="rId1"/>
</worksheet>
</file>

<file path=xl/worksheets/sheet6.xml><?xml version="1.0" encoding="utf-8"?>
<worksheet xmlns="http://schemas.openxmlformats.org/spreadsheetml/2006/main" xmlns:r="http://schemas.openxmlformats.org/officeDocument/2006/relationships">
  <sheetPr codeName="Sheet6"/>
  <dimension ref="B1:M56"/>
  <sheetViews>
    <sheetView topLeftCell="A34" workbookViewId="0">
      <selection activeCell="K58" sqref="K58"/>
    </sheetView>
  </sheetViews>
  <sheetFormatPr defaultRowHeight="15"/>
  <cols>
    <col min="7" max="7" width="11.28515625" customWidth="1"/>
    <col min="10" max="10" width="19.140625" customWidth="1"/>
    <col min="11" max="11" width="15.7109375" customWidth="1"/>
    <col min="12" max="12" width="21.140625" customWidth="1"/>
    <col min="13" max="13" width="14.28515625" customWidth="1"/>
  </cols>
  <sheetData>
    <row r="1" spans="2:13" ht="15.75" thickBot="1"/>
    <row r="2" spans="2:13">
      <c r="B2" s="5402" t="s">
        <v>68</v>
      </c>
      <c r="C2" s="5403"/>
      <c r="D2" s="5403"/>
      <c r="E2" s="5403"/>
      <c r="F2" s="5404"/>
    </row>
    <row r="3" spans="2:13" ht="43.5" customHeight="1">
      <c r="B3" s="7" t="s">
        <v>1</v>
      </c>
      <c r="C3" s="7" t="s">
        <v>2</v>
      </c>
      <c r="D3" s="7" t="s">
        <v>62</v>
      </c>
      <c r="E3" s="7"/>
      <c r="F3" s="7" t="s">
        <v>4</v>
      </c>
      <c r="G3" s="7" t="s">
        <v>5</v>
      </c>
      <c r="H3" s="7" t="s">
        <v>6</v>
      </c>
      <c r="I3" s="7" t="s">
        <v>7</v>
      </c>
      <c r="J3" s="7" t="s">
        <v>8</v>
      </c>
      <c r="K3" s="7" t="s">
        <v>9</v>
      </c>
      <c r="L3" s="9" t="s">
        <v>69</v>
      </c>
      <c r="M3" s="7" t="s">
        <v>11</v>
      </c>
    </row>
    <row r="4" spans="2:13">
      <c r="B4" s="1"/>
      <c r="C4" s="1"/>
      <c r="D4" s="1" t="s">
        <v>12</v>
      </c>
      <c r="E4" s="1" t="s">
        <v>13</v>
      </c>
      <c r="F4" s="1"/>
      <c r="G4" s="1"/>
      <c r="H4" s="1"/>
      <c r="I4" s="1"/>
      <c r="J4" s="1"/>
      <c r="K4" s="1"/>
      <c r="L4" s="1"/>
      <c r="M4" s="1"/>
    </row>
    <row r="5" spans="2:13">
      <c r="B5" s="1" t="s">
        <v>14</v>
      </c>
      <c r="C5" s="1" t="s">
        <v>15</v>
      </c>
      <c r="D5" s="1"/>
      <c r="E5" s="1"/>
      <c r="F5" s="1">
        <v>49102</v>
      </c>
      <c r="G5" s="1">
        <v>21592.2</v>
      </c>
      <c r="H5" s="1">
        <v>1730.4</v>
      </c>
      <c r="I5" s="1">
        <v>5854.2</v>
      </c>
      <c r="J5" s="1">
        <v>29176.800000000003</v>
      </c>
      <c r="K5" s="1">
        <v>0.59420797523522473</v>
      </c>
      <c r="L5" s="1">
        <v>2913.85</v>
      </c>
      <c r="M5" s="1">
        <v>5.9342796627428619E-2</v>
      </c>
    </row>
    <row r="6" spans="2:13">
      <c r="B6" s="1" t="s">
        <v>16</v>
      </c>
      <c r="C6" s="1" t="s">
        <v>17</v>
      </c>
      <c r="D6" s="1"/>
      <c r="E6" s="1"/>
      <c r="F6" s="1">
        <v>58964755</v>
      </c>
      <c r="G6" s="1">
        <v>121293300.67999999</v>
      </c>
      <c r="H6" s="5399">
        <v>62576406.780000001</v>
      </c>
      <c r="I6" s="1">
        <v>32242866.150000002</v>
      </c>
      <c r="J6" s="1">
        <v>937431183.14999998</v>
      </c>
      <c r="K6" s="5399">
        <v>5.4816743771759935</v>
      </c>
      <c r="L6" s="1">
        <v>15305064.539999999</v>
      </c>
      <c r="M6" s="1">
        <v>0.25956292941435943</v>
      </c>
    </row>
    <row r="7" spans="2:13">
      <c r="B7" s="1"/>
      <c r="C7" s="1" t="s">
        <v>18</v>
      </c>
      <c r="D7" s="1"/>
      <c r="E7" s="1"/>
      <c r="F7" s="1">
        <v>56025688</v>
      </c>
      <c r="G7" s="1">
        <v>213323925.38999999</v>
      </c>
      <c r="H7" s="5400"/>
      <c r="I7" s="1">
        <v>57435940.469999999</v>
      </c>
      <c r="J7" s="1"/>
      <c r="K7" s="5400"/>
      <c r="L7" s="1">
        <v>26818025.640000001</v>
      </c>
      <c r="M7" s="1">
        <v>0.47867374051702855</v>
      </c>
    </row>
    <row r="8" spans="2:13">
      <c r="B8" s="1"/>
      <c r="C8" s="1" t="s">
        <v>19</v>
      </c>
      <c r="D8" s="1"/>
      <c r="E8" s="1"/>
      <c r="F8" s="1">
        <v>19134971</v>
      </c>
      <c r="G8" s="1">
        <v>102558092.86</v>
      </c>
      <c r="H8" s="5400"/>
      <c r="I8" s="1">
        <v>27425917.439999998</v>
      </c>
      <c r="J8" s="1"/>
      <c r="K8" s="5400"/>
      <c r="L8" s="1">
        <v>12968050.300000001</v>
      </c>
      <c r="M8" s="1">
        <v>0.67771465658348795</v>
      </c>
    </row>
    <row r="9" spans="2:13">
      <c r="B9" s="1"/>
      <c r="C9" s="1" t="s">
        <v>20</v>
      </c>
      <c r="D9" s="1"/>
      <c r="E9" s="1"/>
      <c r="F9" s="1">
        <v>36886419</v>
      </c>
      <c r="G9" s="1">
        <v>253018657.08000001</v>
      </c>
      <c r="H9" s="5401"/>
      <c r="I9" s="1">
        <v>67556076.299999997</v>
      </c>
      <c r="J9" s="1"/>
      <c r="K9" s="5401"/>
      <c r="L9" s="1">
        <v>32128955.640000001</v>
      </c>
      <c r="M9" s="1">
        <v>0.8710239841932067</v>
      </c>
    </row>
    <row r="10" spans="2:13">
      <c r="B10" s="1" t="s">
        <v>21</v>
      </c>
      <c r="C10" s="1" t="s">
        <v>22</v>
      </c>
      <c r="D10" s="1"/>
      <c r="E10" s="1"/>
      <c r="F10" s="1">
        <v>189116</v>
      </c>
      <c r="G10" s="1">
        <v>756464</v>
      </c>
      <c r="H10" s="5399">
        <v>63264149.030000001</v>
      </c>
      <c r="I10" s="1"/>
      <c r="J10" s="1">
        <v>789764962.25</v>
      </c>
      <c r="K10" s="5399">
        <v>9.1585792802570385</v>
      </c>
      <c r="L10" s="1"/>
      <c r="M10" s="1"/>
    </row>
    <row r="11" spans="2:13">
      <c r="B11" s="1"/>
      <c r="C11" s="1" t="s">
        <v>19</v>
      </c>
      <c r="D11" s="1"/>
      <c r="E11" s="1"/>
      <c r="F11" s="1">
        <v>50758</v>
      </c>
      <c r="G11" s="1">
        <v>304548</v>
      </c>
      <c r="H11" s="5400"/>
      <c r="I11" s="1"/>
      <c r="J11" s="1"/>
      <c r="K11" s="5400"/>
      <c r="L11" s="1"/>
      <c r="M11" s="1"/>
    </row>
    <row r="12" spans="2:13">
      <c r="B12" s="1"/>
      <c r="C12" s="1" t="s">
        <v>23</v>
      </c>
      <c r="D12" s="1"/>
      <c r="E12" s="1"/>
      <c r="F12" s="1">
        <v>56393</v>
      </c>
      <c r="G12" s="1">
        <v>389111.7</v>
      </c>
      <c r="H12" s="5400"/>
      <c r="I12" s="1"/>
      <c r="J12" s="1"/>
      <c r="K12" s="5400"/>
      <c r="L12" s="1"/>
      <c r="M12" s="1"/>
    </row>
    <row r="13" spans="2:13">
      <c r="B13" s="1"/>
      <c r="C13" s="1" t="s">
        <v>24</v>
      </c>
      <c r="D13" s="1"/>
      <c r="E13" s="1"/>
      <c r="F13" s="1">
        <v>189261</v>
      </c>
      <c r="G13" s="1">
        <v>1438383.5999999999</v>
      </c>
      <c r="H13" s="5400"/>
      <c r="I13" s="1"/>
      <c r="J13" s="1"/>
      <c r="K13" s="5400"/>
      <c r="L13" s="1"/>
      <c r="M13" s="1"/>
    </row>
    <row r="14" spans="2:13">
      <c r="B14" s="1"/>
      <c r="C14" s="1" t="s">
        <v>25</v>
      </c>
      <c r="D14" s="1"/>
      <c r="E14" s="1"/>
      <c r="F14" s="1">
        <v>48734854</v>
      </c>
      <c r="G14" s="1">
        <v>268041697</v>
      </c>
      <c r="H14" s="5400"/>
      <c r="I14" s="1">
        <v>72127583.920000002</v>
      </c>
      <c r="J14" s="1"/>
      <c r="K14" s="5400"/>
      <c r="L14" s="1">
        <v>34150966.32</v>
      </c>
      <c r="M14" s="1">
        <v>0.69731814171586615</v>
      </c>
    </row>
    <row r="15" spans="2:13">
      <c r="B15" s="1"/>
      <c r="C15" s="1" t="s">
        <v>26</v>
      </c>
      <c r="D15" s="1"/>
      <c r="E15" s="1"/>
      <c r="F15" s="1">
        <v>37011875</v>
      </c>
      <c r="G15" s="1">
        <v>302016900</v>
      </c>
      <c r="H15" s="5401"/>
      <c r="I15" s="1">
        <v>81426125</v>
      </c>
      <c r="J15" s="1"/>
      <c r="K15" s="5401"/>
      <c r="L15" s="1">
        <v>38712588.240000002</v>
      </c>
      <c r="M15" s="1">
        <v>1.0390540993741157</v>
      </c>
    </row>
    <row r="16" spans="2:13">
      <c r="B16" s="1" t="s">
        <v>27</v>
      </c>
      <c r="C16" s="1" t="s">
        <v>28</v>
      </c>
      <c r="D16" s="1"/>
      <c r="E16" s="1"/>
      <c r="F16" s="1">
        <v>25358206</v>
      </c>
      <c r="G16" s="1">
        <v>202779018.80000001</v>
      </c>
      <c r="H16" s="1">
        <v>23781612.789999999</v>
      </c>
      <c r="I16" s="1">
        <v>54254067.5</v>
      </c>
      <c r="J16" s="1">
        <v>280814699.09000003</v>
      </c>
      <c r="K16" s="1">
        <v>11.073918205806832</v>
      </c>
      <c r="L16" s="1">
        <v>25961333</v>
      </c>
      <c r="M16" s="1">
        <v>1.0237842929424896</v>
      </c>
    </row>
    <row r="17" spans="2:13">
      <c r="B17" s="1" t="s">
        <v>29</v>
      </c>
      <c r="C17" s="1" t="s">
        <v>28</v>
      </c>
      <c r="D17" s="1"/>
      <c r="E17" s="1"/>
      <c r="F17" s="1">
        <v>50948225</v>
      </c>
      <c r="G17" s="1">
        <v>412152475.69</v>
      </c>
      <c r="H17" s="1">
        <v>39134618.719999999</v>
      </c>
      <c r="I17" s="1">
        <v>110991780.98</v>
      </c>
      <c r="J17" s="1">
        <v>562278875.38999999</v>
      </c>
      <c r="K17" s="1">
        <v>11.036279976191516</v>
      </c>
      <c r="L17" s="1">
        <v>52479140.469999999</v>
      </c>
      <c r="M17" s="1">
        <v>1.0300484554663092</v>
      </c>
    </row>
    <row r="18" spans="2:13">
      <c r="B18" s="1" t="s">
        <v>30</v>
      </c>
      <c r="C18" s="1" t="s">
        <v>22</v>
      </c>
      <c r="D18" s="1"/>
      <c r="E18" s="1"/>
      <c r="F18" s="1">
        <v>3294</v>
      </c>
      <c r="G18" s="1">
        <v>12187.800000000001</v>
      </c>
      <c r="H18" s="5399">
        <v>3087772.17</v>
      </c>
      <c r="I18" s="1"/>
      <c r="J18" s="1">
        <v>36709835.840000004</v>
      </c>
      <c r="K18" s="5399">
        <v>8.7496721754175315</v>
      </c>
      <c r="L18" s="1"/>
      <c r="M18" s="1"/>
    </row>
    <row r="19" spans="2:13">
      <c r="B19" s="1"/>
      <c r="C19" s="1" t="s">
        <v>19</v>
      </c>
      <c r="D19" s="1"/>
      <c r="E19" s="1"/>
      <c r="F19" s="1">
        <v>1460</v>
      </c>
      <c r="G19" s="1">
        <v>8030</v>
      </c>
      <c r="H19" s="5400"/>
      <c r="I19" s="1"/>
      <c r="J19" s="1"/>
      <c r="K19" s="5400"/>
      <c r="L19" s="1"/>
      <c r="M19" s="1"/>
    </row>
    <row r="20" spans="2:13">
      <c r="B20" s="1"/>
      <c r="C20" s="1" t="s">
        <v>23</v>
      </c>
      <c r="D20" s="1"/>
      <c r="E20" s="1"/>
      <c r="F20" s="1">
        <v>1557</v>
      </c>
      <c r="G20" s="1">
        <v>9264.15</v>
      </c>
      <c r="H20" s="5400"/>
      <c r="I20" s="1"/>
      <c r="J20" s="1"/>
      <c r="K20" s="5400"/>
      <c r="L20" s="1"/>
      <c r="M20" s="1"/>
    </row>
    <row r="21" spans="2:13">
      <c r="B21" s="1"/>
      <c r="C21" s="1" t="s">
        <v>24</v>
      </c>
      <c r="D21" s="1"/>
      <c r="E21" s="1"/>
      <c r="F21" s="1">
        <v>561</v>
      </c>
      <c r="G21" s="1">
        <v>3590.4</v>
      </c>
      <c r="H21" s="5400"/>
      <c r="I21" s="1"/>
      <c r="J21" s="1"/>
      <c r="K21" s="5400"/>
      <c r="L21" s="1"/>
      <c r="M21" s="1"/>
    </row>
    <row r="22" spans="2:13">
      <c r="B22" s="1"/>
      <c r="C22" s="1" t="s">
        <v>25</v>
      </c>
      <c r="D22" s="1"/>
      <c r="E22" s="1"/>
      <c r="F22" s="1">
        <v>1944696</v>
      </c>
      <c r="G22" s="1">
        <v>10131866.16</v>
      </c>
      <c r="H22" s="5400"/>
      <c r="I22" s="1">
        <v>2722574.4</v>
      </c>
      <c r="J22" s="1"/>
      <c r="K22" s="5400"/>
      <c r="L22" s="1">
        <v>1283949.22</v>
      </c>
      <c r="M22" s="1">
        <v>0.65862126240734564</v>
      </c>
    </row>
    <row r="23" spans="2:13">
      <c r="B23" s="1"/>
      <c r="C23" s="1" t="s">
        <v>26</v>
      </c>
      <c r="D23" s="1"/>
      <c r="E23" s="1"/>
      <c r="F23" s="1">
        <v>2243999</v>
      </c>
      <c r="G23" s="1">
        <v>16336312.720000001</v>
      </c>
      <c r="H23" s="5401"/>
      <c r="I23" s="1">
        <v>4398238.04</v>
      </c>
      <c r="J23" s="1"/>
      <c r="K23" s="5401"/>
      <c r="L23" s="1">
        <v>2063116.18</v>
      </c>
      <c r="M23" s="1">
        <v>0.91852569567836406</v>
      </c>
    </row>
    <row r="24" spans="2:13">
      <c r="B24" s="1" t="s">
        <v>31</v>
      </c>
      <c r="C24" s="1" t="s">
        <v>28</v>
      </c>
      <c r="D24" s="1"/>
      <c r="E24" s="1"/>
      <c r="F24" s="1">
        <v>4916742</v>
      </c>
      <c r="G24" s="1">
        <v>31963313.039999999</v>
      </c>
      <c r="H24" s="1">
        <v>5336395.3899999997</v>
      </c>
      <c r="I24" s="1">
        <v>8457666</v>
      </c>
      <c r="J24" s="1">
        <v>45757374.43</v>
      </c>
      <c r="K24" s="1">
        <v>9.3064420362101572</v>
      </c>
      <c r="L24" s="1">
        <v>4133683.56</v>
      </c>
      <c r="M24" s="1">
        <v>0.84073631685372141</v>
      </c>
    </row>
    <row r="25" spans="2:13">
      <c r="B25" s="1" t="s">
        <v>32</v>
      </c>
      <c r="C25" s="1" t="s">
        <v>28</v>
      </c>
      <c r="D25" s="1"/>
      <c r="E25" s="1"/>
      <c r="F25" s="1">
        <v>4179658</v>
      </c>
      <c r="G25" s="1">
        <v>26708014.619999997</v>
      </c>
      <c r="H25" s="1">
        <v>2761968</v>
      </c>
      <c r="I25" s="1">
        <v>7189011.7599999998</v>
      </c>
      <c r="J25" s="1">
        <v>36658994.379999995</v>
      </c>
      <c r="K25" s="1">
        <v>8.7708119611700273</v>
      </c>
      <c r="L25" s="1">
        <v>3403676.58</v>
      </c>
      <c r="M25" s="1">
        <v>0.81434332186987546</v>
      </c>
    </row>
    <row r="26" spans="2:13">
      <c r="B26" s="1" t="s">
        <v>33</v>
      </c>
      <c r="C26" s="1" t="s">
        <v>28</v>
      </c>
      <c r="D26" s="1"/>
      <c r="E26" s="1"/>
      <c r="F26" s="1">
        <v>359982</v>
      </c>
      <c r="G26" s="1">
        <v>4175990.35</v>
      </c>
      <c r="H26" s="1">
        <v>1245440</v>
      </c>
      <c r="I26" s="1">
        <v>651822.68000000005</v>
      </c>
      <c r="J26" s="1">
        <v>6073253.0299999993</v>
      </c>
      <c r="K26" s="1">
        <v>16.870990855098309</v>
      </c>
      <c r="L26" s="1">
        <v>656259.89</v>
      </c>
      <c r="M26" s="1">
        <v>1.8230352906534215</v>
      </c>
    </row>
    <row r="27" spans="2:13">
      <c r="B27" s="1" t="s">
        <v>34</v>
      </c>
      <c r="C27" s="1" t="s">
        <v>28</v>
      </c>
      <c r="D27" s="1"/>
      <c r="E27" s="1"/>
      <c r="F27" s="1">
        <v>1903779.57</v>
      </c>
      <c r="G27" s="1">
        <v>10775392.3662</v>
      </c>
      <c r="H27" s="1">
        <v>1747517.79</v>
      </c>
      <c r="I27" s="1">
        <v>2893744.9464000002</v>
      </c>
      <c r="J27" s="1">
        <v>15416655.102599999</v>
      </c>
      <c r="K27" s="1">
        <v>8.0979202348515589</v>
      </c>
      <c r="L27" s="1">
        <v>1370721.29</v>
      </c>
      <c r="M27" s="1">
        <v>0.7199999997898916</v>
      </c>
    </row>
    <row r="28" spans="2:13">
      <c r="B28" s="1" t="s">
        <v>35</v>
      </c>
      <c r="C28" s="1" t="s">
        <v>28</v>
      </c>
      <c r="D28" s="1"/>
      <c r="E28" s="1"/>
      <c r="F28" s="1">
        <v>334990</v>
      </c>
      <c r="G28" s="1">
        <v>1896225.2</v>
      </c>
      <c r="H28" s="1">
        <v>215588.68</v>
      </c>
      <c r="I28" s="1">
        <v>509952.4</v>
      </c>
      <c r="J28" s="1">
        <v>2621766.2799999998</v>
      </c>
      <c r="K28" s="1">
        <v>7.8264016239290717</v>
      </c>
      <c r="L28" s="1">
        <v>239133.03</v>
      </c>
      <c r="M28" s="1">
        <v>0.71385124929102362</v>
      </c>
    </row>
    <row r="29" spans="2:13">
      <c r="B29" s="1" t="s">
        <v>36</v>
      </c>
      <c r="C29" s="1" t="s">
        <v>28</v>
      </c>
      <c r="D29" s="1"/>
      <c r="E29" s="1"/>
      <c r="F29" s="1">
        <v>8311</v>
      </c>
      <c r="G29" s="1">
        <v>25663.489999999998</v>
      </c>
      <c r="H29" s="1">
        <v>1996.67</v>
      </c>
      <c r="I29" s="1">
        <v>4526.6099999999997</v>
      </c>
      <c r="J29" s="1">
        <v>32186.769999999997</v>
      </c>
      <c r="K29" s="1">
        <v>3.8727914811695339</v>
      </c>
      <c r="L29" s="1">
        <v>3891.75</v>
      </c>
      <c r="M29" s="1">
        <v>0.46826495006617735</v>
      </c>
    </row>
    <row r="30" spans="2:13">
      <c r="B30" s="1" t="s">
        <v>37</v>
      </c>
      <c r="C30" s="1" t="s">
        <v>28</v>
      </c>
      <c r="D30" s="1"/>
      <c r="E30" s="1"/>
      <c r="F30" s="1">
        <v>3103080</v>
      </c>
      <c r="G30" s="1">
        <v>28738397.360000003</v>
      </c>
      <c r="H30" s="1">
        <v>1842321.7</v>
      </c>
      <c r="I30" s="1">
        <v>6271424.7199999997</v>
      </c>
      <c r="J30" s="1">
        <v>36852143.780000001</v>
      </c>
      <c r="K30" s="1">
        <v>11.875988946466093</v>
      </c>
      <c r="L30" s="1">
        <v>5646566.1100000003</v>
      </c>
      <c r="M30" s="1">
        <v>1.8196650134704875</v>
      </c>
    </row>
    <row r="31" spans="2:13">
      <c r="B31" s="1" t="s">
        <v>38</v>
      </c>
      <c r="C31" s="1" t="s">
        <v>28</v>
      </c>
      <c r="D31" s="1"/>
      <c r="E31" s="1"/>
      <c r="F31" s="1">
        <v>106340</v>
      </c>
      <c r="G31" s="1">
        <v>329660.75</v>
      </c>
      <c r="H31" s="1">
        <v>3300</v>
      </c>
      <c r="I31" s="1">
        <v>88274.65</v>
      </c>
      <c r="J31" s="1">
        <v>421235.4</v>
      </c>
      <c r="K31" s="1">
        <v>3.9612130900883957</v>
      </c>
      <c r="L31" s="1">
        <v>41430.959999999999</v>
      </c>
      <c r="M31" s="1">
        <v>0.38960842580402483</v>
      </c>
    </row>
    <row r="32" spans="2:13">
      <c r="B32" s="1" t="s">
        <v>39</v>
      </c>
      <c r="C32" s="1" t="s">
        <v>28</v>
      </c>
      <c r="D32" s="1"/>
      <c r="E32" s="1"/>
      <c r="F32" s="1">
        <v>98462</v>
      </c>
      <c r="G32" s="1">
        <v>669541.6</v>
      </c>
      <c r="H32" s="1">
        <v>73983.100000000006</v>
      </c>
      <c r="I32" s="1">
        <v>180185.46000000002</v>
      </c>
      <c r="J32" s="1">
        <v>923710.15999999992</v>
      </c>
      <c r="K32" s="1">
        <v>9.3813873372468564</v>
      </c>
      <c r="L32" s="1">
        <v>84675.64</v>
      </c>
      <c r="M32" s="1">
        <v>0.85998293757998012</v>
      </c>
    </row>
    <row r="33" spans="2:13">
      <c r="B33" s="1" t="s">
        <v>40</v>
      </c>
      <c r="C33" s="1" t="s">
        <v>28</v>
      </c>
      <c r="D33" s="1"/>
      <c r="E33" s="1"/>
      <c r="F33" s="1">
        <v>8246</v>
      </c>
      <c r="G33" s="1">
        <v>56072.799999999996</v>
      </c>
      <c r="H33" s="1">
        <v>11724.27</v>
      </c>
      <c r="I33" s="1">
        <v>15090.18</v>
      </c>
      <c r="J33" s="1">
        <v>82887.25</v>
      </c>
      <c r="K33" s="1">
        <v>10.051813000242541</v>
      </c>
      <c r="L33" s="1">
        <v>7091.56</v>
      </c>
      <c r="M33" s="1">
        <v>0.8600000000000001</v>
      </c>
    </row>
    <row r="34" spans="2:13">
      <c r="B34" s="1" t="s">
        <v>41</v>
      </c>
      <c r="C34" s="1" t="s">
        <v>28</v>
      </c>
      <c r="D34" s="1"/>
      <c r="E34" s="1"/>
      <c r="F34" s="1">
        <v>14746599</v>
      </c>
      <c r="G34" s="1">
        <v>87004934.100000009</v>
      </c>
      <c r="H34" s="1">
        <v>8963672</v>
      </c>
      <c r="I34" s="1">
        <v>23447092.41</v>
      </c>
      <c r="J34" s="1">
        <v>119415698.51000001</v>
      </c>
      <c r="K34" s="1">
        <v>8.0978467313039442</v>
      </c>
      <c r="L34" s="1">
        <v>11059949.25</v>
      </c>
      <c r="M34" s="1">
        <v>0.75</v>
      </c>
    </row>
    <row r="35" spans="2:13">
      <c r="B35" s="1" t="s">
        <v>42</v>
      </c>
      <c r="C35" s="1" t="s">
        <v>28</v>
      </c>
      <c r="D35" s="1"/>
      <c r="E35" s="1"/>
      <c r="F35" s="1">
        <v>36954558</v>
      </c>
      <c r="G35" s="1">
        <v>234661443.29999998</v>
      </c>
      <c r="H35" s="1">
        <v>20416074.489999998</v>
      </c>
      <c r="I35" s="1">
        <v>63192294.18</v>
      </c>
      <c r="J35" s="1">
        <v>318269811.96999997</v>
      </c>
      <c r="K35" s="1">
        <v>8.6124643127919427</v>
      </c>
      <c r="L35" s="1">
        <v>29933191.98</v>
      </c>
      <c r="M35" s="1">
        <v>0.81</v>
      </c>
    </row>
    <row r="36" spans="2:13">
      <c r="B36" s="1" t="s">
        <v>43</v>
      </c>
      <c r="C36" s="1" t="s">
        <v>28</v>
      </c>
      <c r="D36" s="1"/>
      <c r="E36" s="1"/>
      <c r="F36" s="1">
        <v>2755531</v>
      </c>
      <c r="G36" s="1">
        <v>9368805.4000000004</v>
      </c>
      <c r="H36" s="1">
        <v>1390811</v>
      </c>
      <c r="I36" s="1">
        <v>2507533.21</v>
      </c>
      <c r="J36" s="1">
        <v>13267149.609999999</v>
      </c>
      <c r="K36" s="1">
        <v>4.8147342962209461</v>
      </c>
      <c r="L36" s="1">
        <v>1184878.33</v>
      </c>
      <c r="M36" s="1">
        <v>0.43000000000000005</v>
      </c>
    </row>
    <row r="37" spans="2:13">
      <c r="B37" s="1" t="s">
        <v>44</v>
      </c>
      <c r="C37" s="1" t="s">
        <v>28</v>
      </c>
      <c r="D37" s="1"/>
      <c r="E37" s="1"/>
      <c r="F37" s="1">
        <v>289956</v>
      </c>
      <c r="G37" s="1">
        <v>2508119.4</v>
      </c>
      <c r="H37" s="1">
        <v>750</v>
      </c>
      <c r="I37" s="1">
        <v>675597.48</v>
      </c>
      <c r="J37" s="1">
        <v>3184466.88</v>
      </c>
      <c r="K37" s="1">
        <v>10.982586599346106</v>
      </c>
      <c r="L37" s="1">
        <v>318951.59999999998</v>
      </c>
      <c r="M37" s="1">
        <v>1.0999999999999999</v>
      </c>
    </row>
    <row r="38" spans="2:13">
      <c r="B38" s="1" t="s">
        <v>45</v>
      </c>
      <c r="C38" s="1" t="s">
        <v>28</v>
      </c>
      <c r="D38" s="1"/>
      <c r="E38" s="1"/>
      <c r="F38" s="1">
        <v>0</v>
      </c>
      <c r="G38" s="1">
        <v>0</v>
      </c>
      <c r="H38" s="1">
        <v>0</v>
      </c>
      <c r="I38" s="1">
        <v>0</v>
      </c>
      <c r="J38" s="1">
        <v>0</v>
      </c>
      <c r="K38" s="1" t="e">
        <v>#DIV/0!</v>
      </c>
      <c r="L38" s="1">
        <v>0</v>
      </c>
      <c r="M38" s="1" t="e">
        <v>#DIV/0!</v>
      </c>
    </row>
    <row r="39" spans="2:13">
      <c r="B39" s="1" t="s">
        <v>46</v>
      </c>
      <c r="C39" s="1"/>
      <c r="D39" s="1"/>
      <c r="E39" s="1"/>
      <c r="F39" s="1"/>
      <c r="G39" s="1">
        <v>-13706334.41</v>
      </c>
      <c r="H39" s="1">
        <v>-5115003.62</v>
      </c>
      <c r="I39" s="1">
        <v>0</v>
      </c>
      <c r="J39" s="1">
        <v>-18821338.030000001</v>
      </c>
      <c r="K39" s="1"/>
      <c r="L39" s="1">
        <v>-1204397.8700000001</v>
      </c>
      <c r="M39" s="1"/>
    </row>
    <row r="40" spans="2:13">
      <c r="B40" s="1" t="s">
        <v>47</v>
      </c>
      <c r="C40" s="1"/>
      <c r="D40" s="1">
        <v>0</v>
      </c>
      <c r="E40" s="1">
        <v>0</v>
      </c>
      <c r="F40" s="1">
        <v>407561424.56999999</v>
      </c>
      <c r="G40" s="1">
        <v>2329770657.5962005</v>
      </c>
      <c r="H40" s="1">
        <v>230742829.35999995</v>
      </c>
      <c r="I40" s="1">
        <v>626671241.08640003</v>
      </c>
      <c r="J40" s="1">
        <v>3187184728.0426006</v>
      </c>
      <c r="K40" s="1">
        <v>7.8201334471368531</v>
      </c>
      <c r="L40" s="1">
        <v>298753807.06</v>
      </c>
      <c r="M40" s="1">
        <v>0.73302768380300443</v>
      </c>
    </row>
    <row r="41" spans="2:13">
      <c r="B41" s="1"/>
      <c r="C41" s="1"/>
      <c r="D41" s="1"/>
      <c r="E41" s="1"/>
      <c r="F41" s="1"/>
      <c r="G41" s="1"/>
      <c r="H41" s="1"/>
      <c r="I41" s="1" t="s">
        <v>48</v>
      </c>
      <c r="J41" s="1">
        <v>13681716</v>
      </c>
      <c r="K41" s="1"/>
      <c r="L41" s="1"/>
      <c r="M41" s="1"/>
    </row>
    <row r="42" spans="2:13">
      <c r="B42" s="1"/>
      <c r="C42" s="1"/>
      <c r="D42" s="1"/>
      <c r="E42" s="1"/>
      <c r="F42" s="1"/>
      <c r="G42" s="1"/>
      <c r="H42" s="1"/>
      <c r="I42" s="1" t="s">
        <v>49</v>
      </c>
      <c r="J42" s="1">
        <v>298828669.92000002</v>
      </c>
      <c r="K42" s="1"/>
      <c r="L42" s="1">
        <v>-74862.860000014305</v>
      </c>
      <c r="M42" s="1"/>
    </row>
    <row r="43" spans="2:13">
      <c r="B43" s="1"/>
      <c r="C43" s="1"/>
      <c r="D43" s="1"/>
      <c r="E43" s="1"/>
      <c r="F43" s="1"/>
      <c r="G43" s="1"/>
      <c r="H43" s="1"/>
      <c r="I43" s="1" t="s">
        <v>50</v>
      </c>
      <c r="J43" s="1">
        <v>-340277.43</v>
      </c>
      <c r="K43" s="1"/>
      <c r="L43" s="1"/>
      <c r="M43" s="1"/>
    </row>
    <row r="44" spans="2:13">
      <c r="B44" s="1"/>
      <c r="C44" s="1"/>
      <c r="D44" s="1"/>
      <c r="E44" s="1"/>
      <c r="F44" s="1"/>
      <c r="G44" s="1"/>
      <c r="H44" s="1"/>
      <c r="I44" s="1" t="s">
        <v>51</v>
      </c>
      <c r="J44" s="1">
        <v>15068672.85</v>
      </c>
      <c r="K44" s="1"/>
      <c r="L44" s="1"/>
      <c r="M44" s="1"/>
    </row>
    <row r="45" spans="2:13">
      <c r="B45" s="1"/>
      <c r="C45" s="1"/>
      <c r="D45" s="1"/>
      <c r="E45" s="1"/>
      <c r="F45" s="1"/>
      <c r="G45" s="1"/>
      <c r="H45" s="1"/>
      <c r="I45" s="1" t="s">
        <v>52</v>
      </c>
      <c r="J45" s="1">
        <v>10127465.85</v>
      </c>
      <c r="K45" s="1"/>
      <c r="L45" s="1"/>
      <c r="M45" s="1"/>
    </row>
    <row r="46" spans="2:13">
      <c r="B46" s="1"/>
      <c r="C46" s="1"/>
      <c r="D46" s="1"/>
      <c r="E46" s="1"/>
      <c r="F46" s="1"/>
      <c r="G46" s="1"/>
      <c r="H46" s="1"/>
      <c r="I46" s="1" t="s">
        <v>47</v>
      </c>
      <c r="J46" s="1">
        <v>3524550975.2326007</v>
      </c>
      <c r="K46" s="1"/>
      <c r="L46" s="1"/>
      <c r="M46" s="1"/>
    </row>
    <row r="47" spans="2:13">
      <c r="B47" s="1"/>
      <c r="C47" s="1"/>
      <c r="D47" s="1"/>
      <c r="E47" s="1"/>
      <c r="F47" s="1"/>
      <c r="G47" s="1"/>
      <c r="H47" s="1"/>
      <c r="I47" s="1" t="s">
        <v>53</v>
      </c>
      <c r="J47" s="1">
        <v>-8273332.7400000002</v>
      </c>
      <c r="K47" s="1"/>
      <c r="L47" s="1"/>
      <c r="M47" s="1"/>
    </row>
    <row r="48" spans="2:13">
      <c r="B48" s="1"/>
      <c r="C48" s="1"/>
      <c r="D48" s="1"/>
      <c r="E48" s="1"/>
      <c r="F48" s="1"/>
      <c r="G48" s="1"/>
      <c r="H48" s="1"/>
      <c r="I48" s="1" t="s">
        <v>54</v>
      </c>
      <c r="J48" s="1">
        <v>-59570028.43</v>
      </c>
      <c r="K48" s="1"/>
      <c r="L48" s="1"/>
      <c r="M48" s="1"/>
    </row>
    <row r="49" spans="2:13">
      <c r="B49" s="1"/>
      <c r="C49" s="1"/>
      <c r="D49" s="1"/>
      <c r="E49" s="1"/>
      <c r="F49" s="1"/>
      <c r="G49" s="1"/>
      <c r="H49" s="1"/>
      <c r="I49" s="1" t="s">
        <v>55</v>
      </c>
      <c r="J49" s="1">
        <v>-300941.8</v>
      </c>
      <c r="K49" s="1"/>
      <c r="L49" s="1"/>
      <c r="M49" s="1"/>
    </row>
    <row r="50" spans="2:13">
      <c r="B50" s="1"/>
      <c r="C50" s="1"/>
      <c r="D50" s="1"/>
      <c r="E50" s="1"/>
      <c r="F50" s="1"/>
      <c r="G50" s="1"/>
      <c r="H50" s="1"/>
      <c r="I50" s="1" t="s">
        <v>56</v>
      </c>
      <c r="J50" s="1">
        <v>0</v>
      </c>
      <c r="K50" s="1"/>
      <c r="L50" s="1"/>
      <c r="M50" s="1"/>
    </row>
    <row r="51" spans="2:13">
      <c r="B51" s="1"/>
      <c r="C51" s="1"/>
      <c r="D51" s="1"/>
      <c r="E51" s="1"/>
      <c r="F51" s="1"/>
      <c r="G51" s="1"/>
      <c r="H51" s="1"/>
      <c r="I51" s="1" t="s">
        <v>57</v>
      </c>
      <c r="J51" s="1">
        <v>3456406672.2626009</v>
      </c>
      <c r="K51" s="1"/>
      <c r="L51" s="1"/>
      <c r="M51" s="1"/>
    </row>
    <row r="52" spans="2:13">
      <c r="B52" s="1"/>
      <c r="C52" s="1"/>
      <c r="D52" s="1"/>
      <c r="E52" s="1"/>
      <c r="F52" s="1"/>
      <c r="G52" s="1"/>
      <c r="H52" s="1"/>
      <c r="I52" s="1" t="s">
        <v>58</v>
      </c>
      <c r="J52" s="1">
        <v>8.6479013045731659</v>
      </c>
      <c r="K52" s="1"/>
      <c r="L52" s="1"/>
      <c r="M52" s="1"/>
    </row>
    <row r="53" spans="2:13">
      <c r="B53" s="1"/>
      <c r="C53" s="1"/>
      <c r="D53" s="1"/>
      <c r="E53" s="1"/>
      <c r="F53" s="1"/>
      <c r="G53" s="1"/>
      <c r="H53" s="1"/>
      <c r="I53" s="1" t="s">
        <v>59</v>
      </c>
      <c r="J53" s="1">
        <v>33858934</v>
      </c>
      <c r="K53" s="1"/>
      <c r="L53" s="1"/>
      <c r="M53" s="1"/>
    </row>
    <row r="54" spans="2:13">
      <c r="B54" s="1"/>
      <c r="C54" s="1"/>
      <c r="D54" s="1"/>
      <c r="E54" s="1"/>
      <c r="F54" s="1"/>
      <c r="G54" s="1"/>
      <c r="H54" s="1"/>
      <c r="I54" s="1" t="s">
        <v>60</v>
      </c>
      <c r="J54" s="1">
        <v>3558409909.2326007</v>
      </c>
      <c r="K54" s="1"/>
      <c r="L54" s="1"/>
      <c r="M54" s="1"/>
    </row>
    <row r="55" spans="2:13">
      <c r="B55" s="1"/>
      <c r="C55" s="1"/>
      <c r="D55" s="1"/>
      <c r="E55" s="1"/>
      <c r="F55" s="1"/>
      <c r="G55" s="1"/>
      <c r="H55" s="1"/>
      <c r="I55" s="1" t="s">
        <v>58</v>
      </c>
      <c r="J55" s="1"/>
      <c r="K55" s="1"/>
      <c r="L55" s="1"/>
      <c r="M55" s="1"/>
    </row>
    <row r="56" spans="2:13">
      <c r="B56" s="1"/>
      <c r="C56" s="1"/>
      <c r="D56" s="1"/>
      <c r="E56" s="1"/>
      <c r="F56" s="1"/>
      <c r="G56" s="1"/>
      <c r="H56" s="1"/>
      <c r="I56" s="1"/>
      <c r="J56" s="1">
        <v>8.7309781905559909</v>
      </c>
      <c r="K56" s="1"/>
      <c r="L56" s="1"/>
      <c r="M56" s="1"/>
    </row>
  </sheetData>
  <mergeCells count="7">
    <mergeCell ref="H18:H23"/>
    <mergeCell ref="K18:K23"/>
    <mergeCell ref="B2:F2"/>
    <mergeCell ref="H6:H9"/>
    <mergeCell ref="K6:K9"/>
    <mergeCell ref="H10:H15"/>
    <mergeCell ref="K10:K15"/>
  </mergeCells>
  <pageMargins left="0.7" right="0.7" top="0.75" bottom="0.75" header="0.3" footer="0.3"/>
</worksheet>
</file>

<file path=xl/worksheets/sheet60.xml><?xml version="1.0" encoding="utf-8"?>
<worksheet xmlns="http://schemas.openxmlformats.org/spreadsheetml/2006/main" xmlns:r="http://schemas.openxmlformats.org/officeDocument/2006/relationships">
  <sheetPr codeName="Sheet40">
    <pageSetUpPr fitToPage="1"/>
  </sheetPr>
  <dimension ref="B1:M23"/>
  <sheetViews>
    <sheetView showGridLines="0" view="pageBreakPreview" topLeftCell="B1" zoomScale="70" zoomScaleSheetLayoutView="70" workbookViewId="0">
      <pane xSplit="2" ySplit="7" topLeftCell="D8" activePane="bottomRight" state="frozen"/>
      <selection activeCell="B1" sqref="B1"/>
      <selection pane="topRight" activeCell="D1" sqref="D1"/>
      <selection pane="bottomLeft" activeCell="B7" sqref="B7"/>
      <selection pane="bottomRight" activeCell="P16" sqref="P16"/>
    </sheetView>
  </sheetViews>
  <sheetFormatPr defaultRowHeight="15"/>
  <cols>
    <col min="1" max="1" width="4.85546875" customWidth="1"/>
    <col min="3" max="3" width="36.42578125" customWidth="1"/>
    <col min="4" max="4" width="17.5703125" customWidth="1"/>
    <col min="5" max="5" width="16.7109375" customWidth="1"/>
    <col min="6" max="6" width="16.42578125" customWidth="1"/>
    <col min="7" max="7" width="17" customWidth="1"/>
    <col min="8" max="8" width="19.28515625" hidden="1" customWidth="1"/>
    <col min="9" max="9" width="18.140625" hidden="1" customWidth="1"/>
    <col min="10" max="10" width="24" hidden="1" customWidth="1"/>
    <col min="11" max="11" width="20.140625" hidden="1" customWidth="1"/>
  </cols>
  <sheetData>
    <row r="1" spans="2:13" ht="15.75">
      <c r="B1" s="5443" t="s">
        <v>100</v>
      </c>
      <c r="C1" s="5443"/>
      <c r="D1" s="5443"/>
      <c r="E1" s="5443"/>
      <c r="F1" s="5443"/>
      <c r="G1" s="5443"/>
      <c r="H1" s="874"/>
      <c r="I1" s="874"/>
      <c r="J1" s="874"/>
      <c r="K1" s="874"/>
      <c r="L1" s="874"/>
      <c r="M1" s="874"/>
    </row>
    <row r="2" spans="2:13" ht="15.75">
      <c r="B2" s="5381" t="s">
        <v>3915</v>
      </c>
      <c r="C2" s="5381"/>
      <c r="D2" s="5381"/>
      <c r="E2" s="5381"/>
      <c r="F2" s="5381"/>
      <c r="G2" s="5381"/>
      <c r="H2" s="259"/>
      <c r="I2" s="259"/>
      <c r="J2" s="259"/>
      <c r="K2" s="259"/>
      <c r="L2" s="259"/>
      <c r="M2" s="259"/>
    </row>
    <row r="3" spans="2:13" ht="15.75">
      <c r="B3" s="5381" t="s">
        <v>3456</v>
      </c>
      <c r="C3" s="5381"/>
      <c r="D3" s="5381"/>
      <c r="E3" s="5381"/>
      <c r="F3" s="5381"/>
      <c r="G3" s="5381"/>
      <c r="H3" s="259"/>
      <c r="I3" s="259"/>
      <c r="J3" s="259"/>
      <c r="K3" s="259"/>
      <c r="L3" s="259"/>
      <c r="M3" s="259"/>
    </row>
    <row r="4" spans="2:13" ht="15.75">
      <c r="B4" s="3739"/>
      <c r="C4" s="806"/>
      <c r="D4" s="3739"/>
      <c r="F4" s="259"/>
      <c r="G4" s="3851" t="s">
        <v>151</v>
      </c>
      <c r="H4" s="259"/>
      <c r="I4" s="259"/>
      <c r="J4" s="259"/>
      <c r="L4" s="259"/>
      <c r="M4" s="259"/>
    </row>
    <row r="5" spans="2:13" ht="15.75">
      <c r="B5" s="5882" t="s">
        <v>101</v>
      </c>
      <c r="C5" s="5435" t="s">
        <v>2018</v>
      </c>
      <c r="D5" s="5437" t="s">
        <v>82</v>
      </c>
      <c r="E5" s="5439"/>
      <c r="F5" s="5437" t="s">
        <v>1845</v>
      </c>
      <c r="G5" s="5439"/>
      <c r="H5" s="5885" t="s">
        <v>2613</v>
      </c>
      <c r="I5" s="5885"/>
      <c r="J5" s="5885"/>
      <c r="K5" s="5885"/>
      <c r="L5" s="259"/>
      <c r="M5" s="259"/>
    </row>
    <row r="6" spans="2:13" ht="15.75">
      <c r="B6" s="5883"/>
      <c r="C6" s="5449"/>
      <c r="D6" s="5440"/>
      <c r="E6" s="5442"/>
      <c r="F6" s="5440"/>
      <c r="G6" s="5442"/>
      <c r="H6" s="5447" t="s">
        <v>2442</v>
      </c>
      <c r="I6" s="5447"/>
      <c r="J6" s="5447" t="s">
        <v>2443</v>
      </c>
      <c r="K6" s="5447"/>
    </row>
    <row r="7" spans="2:13" ht="31.5">
      <c r="B7" s="5884"/>
      <c r="C7" s="5436"/>
      <c r="D7" s="3579" t="s">
        <v>755</v>
      </c>
      <c r="E7" s="5044" t="s">
        <v>3743</v>
      </c>
      <c r="F7" s="5033" t="s">
        <v>755</v>
      </c>
      <c r="G7" s="5044" t="s">
        <v>3743</v>
      </c>
      <c r="H7" s="3740" t="s">
        <v>755</v>
      </c>
      <c r="I7" s="5044" t="s">
        <v>3743</v>
      </c>
      <c r="J7" s="3740" t="s">
        <v>755</v>
      </c>
      <c r="K7" s="5044" t="s">
        <v>3743</v>
      </c>
    </row>
    <row r="8" spans="2:13" ht="31.5" customHeight="1">
      <c r="B8" s="873">
        <v>1</v>
      </c>
      <c r="C8" s="481" t="s">
        <v>3183</v>
      </c>
      <c r="D8" s="3747">
        <v>406.71</v>
      </c>
      <c r="E8" s="3748">
        <f>[105]F26!E8</f>
        <v>633.5</v>
      </c>
      <c r="F8" s="3747">
        <v>405.89</v>
      </c>
      <c r="G8" s="5313">
        <f>[105]F26!G8</f>
        <v>767.74</v>
      </c>
      <c r="H8" s="3748">
        <v>387.44</v>
      </c>
      <c r="I8" s="3748">
        <f>Assumptions!G122*0+H8</f>
        <v>387.44</v>
      </c>
      <c r="J8" s="3748">
        <v>152.16</v>
      </c>
      <c r="K8" s="3748">
        <f>Assumptions!H122*0+J8</f>
        <v>152.16</v>
      </c>
    </row>
    <row r="9" spans="2:13" ht="15.75">
      <c r="B9" s="873">
        <f>B8+1</f>
        <v>2</v>
      </c>
      <c r="C9" s="481" t="s">
        <v>2020</v>
      </c>
      <c r="D9" s="3747">
        <v>133.68</v>
      </c>
      <c r="E9" s="5313">
        <f>[105]F26!E9</f>
        <v>130.02730559782063</v>
      </c>
      <c r="F9" s="3747">
        <v>144.91999999999999</v>
      </c>
      <c r="G9" s="5313">
        <f>[105]F26!G9</f>
        <v>134.31730194815094</v>
      </c>
      <c r="H9" s="3748">
        <v>158.58000000000001</v>
      </c>
      <c r="I9" s="3748">
        <f>Assumptions!G56+Assumptions!G60</f>
        <v>139.2243257339963</v>
      </c>
      <c r="J9" s="3748">
        <v>172.5</v>
      </c>
      <c r="K9" s="3748">
        <f>Assumptions!H56+Assumptions!H60</f>
        <v>146.16532155795829</v>
      </c>
    </row>
    <row r="10" spans="2:13" ht="34.5" customHeight="1">
      <c r="B10" s="873">
        <f>B9+1</f>
        <v>3</v>
      </c>
      <c r="C10" s="481" t="s">
        <v>2021</v>
      </c>
      <c r="D10" s="3747">
        <f>D8-D9</f>
        <v>273.02999999999997</v>
      </c>
      <c r="E10" s="5313">
        <f>[105]F26!E10</f>
        <v>503.4726944021794</v>
      </c>
      <c r="F10" s="3747">
        <f>F8-F9</f>
        <v>260.97000000000003</v>
      </c>
      <c r="G10" s="5313">
        <f>[105]F26!G10</f>
        <v>633.42269805184901</v>
      </c>
      <c r="H10" s="3748">
        <f t="shared" ref="H10:J10" si="0">H8-H9</f>
        <v>228.85999999999999</v>
      </c>
      <c r="I10" s="3748">
        <f>I8-I9</f>
        <v>248.2156742660037</v>
      </c>
      <c r="J10" s="3386">
        <f t="shared" si="0"/>
        <v>-20.340000000000003</v>
      </c>
      <c r="K10" s="3386">
        <f>K8-K9</f>
        <v>5.9946784420417032</v>
      </c>
    </row>
    <row r="11" spans="2:13" ht="34.5" customHeight="1">
      <c r="B11" s="873">
        <f>B10+1</f>
        <v>4</v>
      </c>
      <c r="C11" s="481" t="s">
        <v>2022</v>
      </c>
      <c r="D11" s="3747">
        <v>273.02999999999997</v>
      </c>
      <c r="E11" s="3748">
        <f>E10</f>
        <v>503.4726944021794</v>
      </c>
      <c r="F11" s="3747">
        <f>F10</f>
        <v>260.97000000000003</v>
      </c>
      <c r="G11" s="3748">
        <f>G10</f>
        <v>633.42269805184901</v>
      </c>
      <c r="H11" s="3748">
        <f t="shared" ref="H11" si="1">H10</f>
        <v>228.85999999999999</v>
      </c>
      <c r="I11" s="3748">
        <f>I10</f>
        <v>248.2156742660037</v>
      </c>
      <c r="J11" s="3386">
        <f>J10</f>
        <v>-20.340000000000003</v>
      </c>
      <c r="K11" s="3386">
        <f>K10</f>
        <v>5.9946784420417032</v>
      </c>
    </row>
    <row r="12" spans="2:13" ht="15.75">
      <c r="B12" s="5371">
        <v>5</v>
      </c>
      <c r="C12" s="481" t="s">
        <v>3927</v>
      </c>
      <c r="D12" s="5369"/>
      <c r="E12" s="5370">
        <f>D8-E9</f>
        <v>276.68269440217932</v>
      </c>
      <c r="F12" s="5369"/>
      <c r="G12" s="5370">
        <f>F8-G9</f>
        <v>271.57269805184904</v>
      </c>
    </row>
    <row r="13" spans="2:13" ht="15.75">
      <c r="C13" s="5045"/>
    </row>
    <row r="14" spans="2:13" ht="15.75">
      <c r="C14" s="3787"/>
      <c r="D14" s="155"/>
      <c r="E14" s="155"/>
      <c r="F14" s="155"/>
      <c r="G14" s="155"/>
      <c r="H14" s="155"/>
      <c r="I14" s="155"/>
      <c r="J14" s="155"/>
      <c r="K14" s="155"/>
    </row>
    <row r="15" spans="2:13">
      <c r="C15" s="155"/>
      <c r="D15" s="155"/>
      <c r="E15" s="155"/>
      <c r="F15" s="155"/>
      <c r="G15" s="155"/>
      <c r="H15" s="155"/>
      <c r="I15" s="155"/>
      <c r="J15" s="155"/>
      <c r="K15" s="155"/>
    </row>
    <row r="16" spans="2:13" ht="15" customHeight="1">
      <c r="C16" s="5048"/>
      <c r="D16" s="5048"/>
      <c r="E16" s="5048"/>
      <c r="F16" s="5048"/>
      <c r="G16" s="5048"/>
      <c r="H16" s="5048"/>
      <c r="I16" s="5048"/>
      <c r="J16" s="5048"/>
      <c r="K16" s="5048"/>
    </row>
    <row r="17" spans="3:13" ht="15" customHeight="1">
      <c r="C17" s="5048"/>
      <c r="D17" s="5048"/>
      <c r="E17" s="5048"/>
      <c r="F17" s="5048"/>
      <c r="G17" s="5048"/>
      <c r="H17" s="5048"/>
      <c r="I17" s="5048"/>
      <c r="J17" s="5048"/>
      <c r="K17" s="5048"/>
    </row>
    <row r="18" spans="3:13" ht="15" customHeight="1">
      <c r="C18" s="5048"/>
      <c r="D18" s="5048"/>
      <c r="E18" s="5048">
        <v>205.02</v>
      </c>
      <c r="F18" s="5048"/>
      <c r="G18" s="5048"/>
      <c r="H18" s="5048"/>
      <c r="I18" s="5048"/>
      <c r="J18" s="5048"/>
      <c r="K18" s="5048"/>
    </row>
    <row r="19" spans="3:13" ht="15" customHeight="1">
      <c r="C19" s="5048"/>
      <c r="D19" s="5048"/>
      <c r="E19" s="5048">
        <v>149.9</v>
      </c>
      <c r="F19" s="5048"/>
      <c r="G19" s="5048"/>
      <c r="H19" s="5048"/>
      <c r="I19" s="5048"/>
      <c r="J19" s="5048"/>
      <c r="K19" s="5048"/>
    </row>
    <row r="20" spans="3:13" ht="15" customHeight="1">
      <c r="C20" s="5048"/>
      <c r="D20" s="5048"/>
      <c r="E20" s="5048"/>
      <c r="F20" s="5048"/>
      <c r="G20" s="5048"/>
      <c r="H20" s="5048"/>
      <c r="I20" s="5048"/>
      <c r="J20" s="5048"/>
      <c r="K20" s="5048"/>
    </row>
    <row r="23" spans="3:13">
      <c r="M23" s="155"/>
    </row>
  </sheetData>
  <mergeCells count="10">
    <mergeCell ref="B1:G1"/>
    <mergeCell ref="B2:G2"/>
    <mergeCell ref="B3:G3"/>
    <mergeCell ref="H6:I6"/>
    <mergeCell ref="J6:K6"/>
    <mergeCell ref="B5:B7"/>
    <mergeCell ref="C5:C7"/>
    <mergeCell ref="D5:E6"/>
    <mergeCell ref="F5:G6"/>
    <mergeCell ref="H5:K5"/>
  </mergeCells>
  <printOptions horizontalCentered="1"/>
  <pageMargins left="0.7" right="0.56000000000000005" top="0.97" bottom="0.75" header="0.3" footer="0.3"/>
  <pageSetup paperSize="9" orientation="landscape" r:id="rId1"/>
</worksheet>
</file>

<file path=xl/worksheets/sheet61.xml><?xml version="1.0" encoding="utf-8"?>
<worksheet xmlns="http://schemas.openxmlformats.org/spreadsheetml/2006/main" xmlns:r="http://schemas.openxmlformats.org/officeDocument/2006/relationships">
  <sheetPr codeName="Sheet41">
    <pageSetUpPr fitToPage="1"/>
  </sheetPr>
  <dimension ref="A1:M49"/>
  <sheetViews>
    <sheetView showGridLines="0" view="pageBreakPreview" zoomScale="60" zoomScaleNormal="90" workbookViewId="0">
      <selection activeCell="AB31" sqref="AB31"/>
    </sheetView>
  </sheetViews>
  <sheetFormatPr defaultRowHeight="15"/>
  <cols>
    <col min="1" max="1" width="9.140625" style="1013"/>
    <col min="2" max="2" width="47.42578125" style="1013" customWidth="1"/>
    <col min="3" max="3" width="22.42578125" style="1013" customWidth="1"/>
    <col min="4" max="4" width="19.28515625" style="1013" customWidth="1"/>
    <col min="5" max="5" width="16.140625" style="1013" customWidth="1"/>
    <col min="6" max="6" width="9.140625" style="1013"/>
    <col min="7" max="7" width="10.85546875" style="1013" hidden="1" customWidth="1"/>
    <col min="8" max="9" width="0" style="1013" hidden="1" customWidth="1"/>
    <col min="10" max="10" width="10.42578125" style="1013" hidden="1" customWidth="1"/>
    <col min="11" max="11" width="0" style="1013" hidden="1" customWidth="1"/>
    <col min="12" max="16384" width="9.140625" style="1013"/>
  </cols>
  <sheetData>
    <row r="1" spans="1:13" customFormat="1" ht="15.75">
      <c r="B1" s="5443" t="s">
        <v>3414</v>
      </c>
      <c r="C1" s="5443"/>
      <c r="D1" s="5443"/>
      <c r="E1" s="5443"/>
      <c r="F1" s="5443"/>
      <c r="G1" s="5443"/>
      <c r="H1" s="5443"/>
      <c r="I1" s="5443"/>
      <c r="J1" s="5443"/>
      <c r="K1" s="5443"/>
      <c r="L1" s="874"/>
      <c r="M1" s="874"/>
    </row>
    <row r="2" spans="1:13" customFormat="1" ht="15.75">
      <c r="B2" s="5381" t="s">
        <v>3915</v>
      </c>
      <c r="C2" s="5381"/>
      <c r="D2" s="5381"/>
      <c r="E2" s="5381"/>
      <c r="F2" s="5381"/>
      <c r="G2" s="5381"/>
      <c r="H2" s="5381"/>
      <c r="I2" s="5381"/>
      <c r="J2" s="5381"/>
      <c r="K2" s="5381"/>
      <c r="L2" s="259"/>
      <c r="M2" s="259"/>
    </row>
    <row r="3" spans="1:13" customFormat="1" ht="15.75">
      <c r="B3" s="5381" t="s">
        <v>3457</v>
      </c>
      <c r="C3" s="5381"/>
      <c r="D3" s="5381"/>
      <c r="E3" s="5381"/>
      <c r="F3" s="5381"/>
      <c r="G3" s="5381"/>
      <c r="H3" s="5381"/>
      <c r="I3" s="5381"/>
      <c r="J3" s="5381"/>
      <c r="K3" s="5381"/>
      <c r="L3" s="259"/>
      <c r="M3" s="259"/>
    </row>
    <row r="4" spans="1:13" customFormat="1" ht="15.75">
      <c r="B4" s="4462"/>
      <c r="C4" s="4462"/>
      <c r="D4" s="4462"/>
      <c r="E4" s="4462"/>
      <c r="F4" s="4462"/>
      <c r="G4" s="4462"/>
      <c r="H4" s="4462"/>
      <c r="I4" s="4462"/>
      <c r="J4" s="4462"/>
      <c r="K4" s="4462"/>
      <c r="L4" s="259"/>
      <c r="M4" s="259"/>
    </row>
    <row r="5" spans="1:13" ht="15.75">
      <c r="A5" s="3696" t="s">
        <v>3500</v>
      </c>
      <c r="B5" s="3695"/>
      <c r="C5" s="3695"/>
    </row>
    <row r="7" spans="1:13" ht="42.75">
      <c r="A7" s="3665" t="s">
        <v>101</v>
      </c>
      <c r="B7" s="3665" t="s">
        <v>2717</v>
      </c>
      <c r="C7" s="3664" t="s">
        <v>2718</v>
      </c>
      <c r="D7" s="3664" t="s">
        <v>2719</v>
      </c>
      <c r="E7" s="3664" t="s">
        <v>2720</v>
      </c>
    </row>
    <row r="8" spans="1:13">
      <c r="A8" s="3672">
        <v>1</v>
      </c>
      <c r="B8" s="3687" t="s">
        <v>2441</v>
      </c>
      <c r="C8" s="1475">
        <v>40.65</v>
      </c>
      <c r="D8" s="3688"/>
      <c r="E8" s="3689"/>
    </row>
    <row r="9" spans="1:13">
      <c r="A9" s="4961">
        <f>A8+1</f>
        <v>2</v>
      </c>
      <c r="B9" s="1015" t="s">
        <v>3701</v>
      </c>
      <c r="C9" s="1475"/>
      <c r="D9" s="3688">
        <v>0.1187</v>
      </c>
      <c r="E9" s="4963">
        <f>C$8*$D9/2</f>
        <v>2.4125774999999998</v>
      </c>
    </row>
    <row r="10" spans="1:13">
      <c r="A10" s="4961">
        <f>A9+1</f>
        <v>3</v>
      </c>
      <c r="B10" s="1015" t="s">
        <v>2721</v>
      </c>
      <c r="C10" s="3674"/>
      <c r="D10" s="1312">
        <f>'SBI PLR'!$E$34</f>
        <v>0.12263698630136986</v>
      </c>
      <c r="E10" s="3675">
        <f>C$8*$D10</f>
        <v>4.9851934931506845</v>
      </c>
      <c r="L10" s="1268"/>
    </row>
    <row r="11" spans="1:13">
      <c r="A11" s="3672">
        <f t="shared" ref="A11:A25" si="0">A10+1</f>
        <v>4</v>
      </c>
      <c r="B11" s="1015" t="s">
        <v>2275</v>
      </c>
      <c r="C11" s="3674"/>
      <c r="D11" s="1312">
        <f>'SBI PLR'!$E$44</f>
        <v>0.14397540983606558</v>
      </c>
      <c r="E11" s="3675">
        <f>C$8*$D11</f>
        <v>5.8526004098360653</v>
      </c>
      <c r="L11" s="1268"/>
    </row>
    <row r="12" spans="1:13">
      <c r="A12" s="3672">
        <f t="shared" si="0"/>
        <v>5</v>
      </c>
      <c r="B12" s="1015" t="s">
        <v>2276</v>
      </c>
      <c r="C12" s="3674"/>
      <c r="D12" s="1312">
        <f>Assumptions!$E$42</f>
        <v>0.14614931506849316</v>
      </c>
      <c r="E12" s="3675">
        <f>C$8*$D12</f>
        <v>5.9409696575342466</v>
      </c>
      <c r="L12" s="1268"/>
    </row>
    <row r="13" spans="1:13">
      <c r="A13" s="3672">
        <f t="shared" si="0"/>
        <v>6</v>
      </c>
      <c r="B13" s="1015" t="s">
        <v>2899</v>
      </c>
      <c r="C13" s="3674"/>
      <c r="D13" s="1312">
        <f>Assumptions!$F$42</f>
        <v>0.14582602739726028</v>
      </c>
      <c r="E13" s="3675">
        <f>C$8*$D13</f>
        <v>5.9278280136986297</v>
      </c>
      <c r="H13" s="1268"/>
      <c r="I13" s="1268"/>
      <c r="L13" s="1268"/>
    </row>
    <row r="14" spans="1:13">
      <c r="A14" s="3672">
        <f t="shared" si="0"/>
        <v>7</v>
      </c>
      <c r="B14" s="1015" t="s">
        <v>2921</v>
      </c>
      <c r="C14" s="3674"/>
      <c r="D14" s="1312">
        <f>Assumptions!$G$42</f>
        <v>0.14749999999999999</v>
      </c>
      <c r="E14" s="3675">
        <f>C$8*$D14</f>
        <v>5.9958749999999998</v>
      </c>
      <c r="H14" s="1268"/>
      <c r="I14" s="1268"/>
    </row>
    <row r="15" spans="1:13">
      <c r="A15" s="4396">
        <f t="shared" si="0"/>
        <v>8</v>
      </c>
      <c r="B15" s="1015" t="s">
        <v>3338</v>
      </c>
      <c r="C15" s="1475"/>
      <c r="D15" s="1312">
        <f>Assumptions!$G$42</f>
        <v>0.14749999999999999</v>
      </c>
      <c r="E15" s="4397">
        <f>C$8*$D15/2</f>
        <v>2.9979374999999999</v>
      </c>
      <c r="H15" s="1268"/>
      <c r="I15" s="1268"/>
    </row>
    <row r="16" spans="1:13">
      <c r="A16" s="3672"/>
      <c r="B16" s="1444"/>
      <c r="C16" s="1475"/>
      <c r="D16" s="3690"/>
      <c r="E16" s="3691"/>
      <c r="G16" s="1022" t="s">
        <v>2466</v>
      </c>
      <c r="H16" s="1016">
        <v>93.73</v>
      </c>
      <c r="I16" s="1016">
        <v>53.06</v>
      </c>
      <c r="J16" s="1016">
        <f>H16-I16</f>
        <v>40.67</v>
      </c>
    </row>
    <row r="17" spans="1:11">
      <c r="A17" s="3672">
        <f t="shared" si="0"/>
        <v>1</v>
      </c>
      <c r="B17" s="1022" t="s">
        <v>2314</v>
      </c>
      <c r="C17" s="3674">
        <v>29.35</v>
      </c>
      <c r="D17" s="3708"/>
      <c r="E17" s="3708"/>
      <c r="G17" s="1022" t="s">
        <v>2474</v>
      </c>
      <c r="H17" s="1016">
        <v>111.53</v>
      </c>
      <c r="I17" s="1015">
        <v>82.19</v>
      </c>
      <c r="J17" s="1016">
        <f>H17-I17</f>
        <v>29.340000000000003</v>
      </c>
    </row>
    <row r="18" spans="1:11">
      <c r="A18" s="4961">
        <f>A17+1</f>
        <v>2</v>
      </c>
      <c r="B18" s="1015" t="s">
        <v>3702</v>
      </c>
      <c r="C18" s="4962"/>
      <c r="D18" s="3708">
        <v>0.1226</v>
      </c>
      <c r="E18" s="4963">
        <f>C$17*D18/2</f>
        <v>1.7991550000000001</v>
      </c>
      <c r="G18" s="1022"/>
      <c r="H18" s="1016"/>
      <c r="I18" s="1015"/>
      <c r="J18" s="1016"/>
    </row>
    <row r="19" spans="1:11">
      <c r="A19" s="4961">
        <f>A18+1</f>
        <v>3</v>
      </c>
      <c r="B19" s="1015" t="s">
        <v>2275</v>
      </c>
      <c r="C19" s="3674"/>
      <c r="D19" s="1312">
        <f>'SBI PLR'!$E$44</f>
        <v>0.14397540983606558</v>
      </c>
      <c r="E19" s="3675">
        <f>C$17*D19</f>
        <v>4.225678278688525</v>
      </c>
      <c r="G19" s="1022"/>
      <c r="H19" s="1022">
        <v>109.59</v>
      </c>
      <c r="I19" s="1022">
        <v>76.58</v>
      </c>
      <c r="J19" s="4232">
        <f>H19-I19</f>
        <v>33.010000000000005</v>
      </c>
      <c r="K19" s="1268">
        <f>J19-J17</f>
        <v>3.6700000000000017</v>
      </c>
    </row>
    <row r="20" spans="1:11">
      <c r="A20" s="3672">
        <f t="shared" si="0"/>
        <v>4</v>
      </c>
      <c r="B20" s="1015" t="s">
        <v>2276</v>
      </c>
      <c r="C20" s="3674"/>
      <c r="D20" s="1312">
        <f>Assumptions!$E$42</f>
        <v>0.14614931506849316</v>
      </c>
      <c r="E20" s="4553">
        <f t="shared" ref="E20:E22" si="1">C$17*D20</f>
        <v>4.289482397260274</v>
      </c>
    </row>
    <row r="21" spans="1:11">
      <c r="A21" s="3672">
        <f t="shared" si="0"/>
        <v>5</v>
      </c>
      <c r="B21" s="1015" t="s">
        <v>2899</v>
      </c>
      <c r="C21" s="3674"/>
      <c r="D21" s="1312">
        <f>Assumptions!$F$42</f>
        <v>0.14582602739726028</v>
      </c>
      <c r="E21" s="4553">
        <f t="shared" si="1"/>
        <v>4.2799939041095891</v>
      </c>
    </row>
    <row r="22" spans="1:11">
      <c r="A22" s="3672">
        <f t="shared" si="0"/>
        <v>6</v>
      </c>
      <c r="B22" s="1015" t="s">
        <v>2921</v>
      </c>
      <c r="C22" s="3674"/>
      <c r="D22" s="1312">
        <f>Assumptions!$G$42</f>
        <v>0.14749999999999999</v>
      </c>
      <c r="E22" s="4553">
        <f t="shared" si="1"/>
        <v>4.3291250000000003</v>
      </c>
    </row>
    <row r="23" spans="1:11">
      <c r="A23" s="4396">
        <f t="shared" si="0"/>
        <v>7</v>
      </c>
      <c r="B23" s="1015" t="s">
        <v>3338</v>
      </c>
      <c r="C23" s="1475"/>
      <c r="D23" s="1312">
        <f>Assumptions!$G$42</f>
        <v>0.14749999999999999</v>
      </c>
      <c r="E23" s="4553">
        <f>C$17*D23/2</f>
        <v>2.1645625000000002</v>
      </c>
    </row>
    <row r="24" spans="1:11">
      <c r="A24" s="4396">
        <f t="shared" si="0"/>
        <v>8</v>
      </c>
      <c r="B24" s="1014" t="s">
        <v>2722</v>
      </c>
      <c r="C24" s="3692">
        <f>SUM(C8:C22)</f>
        <v>70</v>
      </c>
      <c r="D24" s="1015"/>
      <c r="E24" s="3692">
        <f>SUM(E8:E23)</f>
        <v>55.200978654278011</v>
      </c>
    </row>
    <row r="25" spans="1:11">
      <c r="A25" s="3672">
        <f t="shared" si="0"/>
        <v>9</v>
      </c>
      <c r="B25" s="2822" t="s">
        <v>2781</v>
      </c>
      <c r="C25" s="3709"/>
      <c r="D25" s="3709"/>
      <c r="E25" s="3583">
        <f>C24+E24</f>
        <v>125.200978654278</v>
      </c>
    </row>
    <row r="28" spans="1:11" ht="15.75">
      <c r="A28" s="3696" t="s">
        <v>2936</v>
      </c>
    </row>
    <row r="30" spans="1:11" ht="42.75">
      <c r="A30" s="3665" t="s">
        <v>101</v>
      </c>
      <c r="B30" s="3665" t="s">
        <v>2717</v>
      </c>
      <c r="C30" s="3664" t="s">
        <v>2718</v>
      </c>
      <c r="D30" s="3664" t="s">
        <v>2719</v>
      </c>
      <c r="E30" s="3664" t="s">
        <v>2720</v>
      </c>
    </row>
    <row r="31" spans="1:11">
      <c r="A31" s="3672">
        <v>1</v>
      </c>
      <c r="B31" s="3687" t="s">
        <v>2939</v>
      </c>
      <c r="C31" s="1475">
        <v>2.68</v>
      </c>
      <c r="D31" s="3688"/>
      <c r="E31" s="3689"/>
    </row>
    <row r="32" spans="1:11">
      <c r="A32" s="4944">
        <f>A31+1</f>
        <v>2</v>
      </c>
      <c r="B32" s="1444" t="s">
        <v>3699</v>
      </c>
      <c r="C32" s="5000"/>
      <c r="D32" s="5003">
        <v>0.1283</v>
      </c>
      <c r="E32" s="3691">
        <f>C$31*$D32/2</f>
        <v>0.17192200000000002</v>
      </c>
    </row>
    <row r="33" spans="1:10">
      <c r="A33" s="3672">
        <f>A32+1</f>
        <v>3</v>
      </c>
      <c r="B33" s="1444" t="s">
        <v>2940</v>
      </c>
      <c r="C33" s="5000"/>
      <c r="D33" s="1312">
        <f>'SBI PLR'!$E$17</f>
        <v>0.12790300546448086</v>
      </c>
      <c r="E33" s="3691">
        <f t="shared" ref="E33:E39" si="2">C$31*$D33</f>
        <v>0.34278005464480871</v>
      </c>
    </row>
    <row r="34" spans="1:10">
      <c r="A34" s="3672">
        <f t="shared" ref="A34:A48" si="3">A33+1</f>
        <v>4</v>
      </c>
      <c r="B34" s="1444" t="s">
        <v>2941</v>
      </c>
      <c r="C34" s="1475"/>
      <c r="D34" s="1312">
        <f>'SBI PLR'!$E$24</f>
        <v>0.11871917808219179</v>
      </c>
      <c r="E34" s="3675">
        <f t="shared" si="2"/>
        <v>0.31816739726027404</v>
      </c>
    </row>
    <row r="35" spans="1:10">
      <c r="A35" s="3672">
        <f t="shared" si="3"/>
        <v>5</v>
      </c>
      <c r="B35" s="1444" t="s">
        <v>2721</v>
      </c>
      <c r="C35" s="1475"/>
      <c r="D35" s="1312">
        <f>'SBI PLR'!$E$34</f>
        <v>0.12263698630136986</v>
      </c>
      <c r="E35" s="3675">
        <f t="shared" si="2"/>
        <v>0.32866712328767123</v>
      </c>
    </row>
    <row r="36" spans="1:10">
      <c r="A36" s="3672">
        <f t="shared" si="3"/>
        <v>6</v>
      </c>
      <c r="B36" s="1444" t="s">
        <v>2275</v>
      </c>
      <c r="C36" s="1475"/>
      <c r="D36" s="1312">
        <f>'SBI PLR'!$E$44</f>
        <v>0.14397540983606558</v>
      </c>
      <c r="E36" s="3675">
        <f t="shared" si="2"/>
        <v>0.38585409836065576</v>
      </c>
    </row>
    <row r="37" spans="1:10">
      <c r="A37" s="3672">
        <f t="shared" si="3"/>
        <v>7</v>
      </c>
      <c r="B37" s="1444" t="s">
        <v>2276</v>
      </c>
      <c r="C37" s="1475"/>
      <c r="D37" s="1312">
        <f>Assumptions!$E$42</f>
        <v>0.14614931506849316</v>
      </c>
      <c r="E37" s="3675">
        <f t="shared" si="2"/>
        <v>0.39168016438356168</v>
      </c>
    </row>
    <row r="38" spans="1:10">
      <c r="A38" s="3672">
        <f t="shared" si="3"/>
        <v>8</v>
      </c>
      <c r="B38" s="1444" t="s">
        <v>2899</v>
      </c>
      <c r="C38" s="1475"/>
      <c r="D38" s="1312">
        <f>Assumptions!$F$42</f>
        <v>0.14582602739726028</v>
      </c>
      <c r="E38" s="3675">
        <f t="shared" si="2"/>
        <v>0.39081375342465757</v>
      </c>
    </row>
    <row r="39" spans="1:10">
      <c r="A39" s="3672">
        <f t="shared" si="3"/>
        <v>9</v>
      </c>
      <c r="B39" s="1444" t="s">
        <v>2921</v>
      </c>
      <c r="C39" s="1475"/>
      <c r="D39" s="1312">
        <f>Assumptions!$G$42</f>
        <v>0.14749999999999999</v>
      </c>
      <c r="E39" s="3675">
        <f t="shared" si="2"/>
        <v>0.39529999999999998</v>
      </c>
    </row>
    <row r="40" spans="1:10">
      <c r="A40" s="4396">
        <f t="shared" si="3"/>
        <v>10</v>
      </c>
      <c r="B40" s="1015" t="s">
        <v>3338</v>
      </c>
      <c r="C40" s="1475"/>
      <c r="D40" s="1312">
        <f>Assumptions!$G$42</f>
        <v>0.14749999999999999</v>
      </c>
      <c r="E40" s="4397">
        <f>C$31*$D40/2</f>
        <v>0.19764999999999999</v>
      </c>
    </row>
    <row r="41" spans="1:10">
      <c r="A41" s="3672"/>
      <c r="B41" s="1444"/>
      <c r="C41" s="1475"/>
      <c r="D41" s="3690"/>
      <c r="E41" s="3691"/>
    </row>
    <row r="42" spans="1:10">
      <c r="A42" s="3672"/>
      <c r="B42" s="1022" t="s">
        <v>1897</v>
      </c>
      <c r="C42" s="3674">
        <v>4.63</v>
      </c>
      <c r="D42" s="3688"/>
      <c r="E42" s="3689"/>
    </row>
    <row r="43" spans="1:10">
      <c r="A43" s="4961">
        <v>1</v>
      </c>
      <c r="B43" s="1444" t="s">
        <v>3700</v>
      </c>
      <c r="C43" s="4962"/>
      <c r="D43" s="3690">
        <v>0.14399999999999999</v>
      </c>
      <c r="E43" s="4963">
        <f>C$42*D43/2</f>
        <v>0.33335999999999999</v>
      </c>
    </row>
    <row r="44" spans="1:10">
      <c r="A44" s="3672">
        <f>A43+1</f>
        <v>2</v>
      </c>
      <c r="B44" s="1444" t="s">
        <v>2276</v>
      </c>
      <c r="C44" s="1015"/>
      <c r="D44" s="1312">
        <f>Assumptions!$E$42</f>
        <v>0.14614931506849316</v>
      </c>
      <c r="E44" s="3675">
        <f>C$42*D44</f>
        <v>0.67667132876712333</v>
      </c>
    </row>
    <row r="45" spans="1:10">
      <c r="A45" s="3672">
        <f t="shared" si="3"/>
        <v>3</v>
      </c>
      <c r="B45" s="1444" t="s">
        <v>2899</v>
      </c>
      <c r="C45" s="3674"/>
      <c r="D45" s="1312">
        <f>Assumptions!$F$42</f>
        <v>0.14582602739726028</v>
      </c>
      <c r="E45" s="3675">
        <f>C$42*D45</f>
        <v>0.67517450684931501</v>
      </c>
    </row>
    <row r="46" spans="1:10">
      <c r="A46" s="3672">
        <f t="shared" si="3"/>
        <v>4</v>
      </c>
      <c r="B46" s="1444" t="s">
        <v>2921</v>
      </c>
      <c r="C46" s="3674"/>
      <c r="D46" s="3690">
        <f>Assumptions!$G$42</f>
        <v>0.14749999999999999</v>
      </c>
      <c r="E46" s="3675">
        <f>C$42*D46</f>
        <v>0.68292499999999989</v>
      </c>
    </row>
    <row r="47" spans="1:10">
      <c r="A47" s="4396">
        <f t="shared" si="3"/>
        <v>5</v>
      </c>
      <c r="B47" s="1444" t="s">
        <v>3338</v>
      </c>
      <c r="C47" s="1475"/>
      <c r="D47" s="1312">
        <f>Assumptions!$G$42</f>
        <v>0.14749999999999999</v>
      </c>
      <c r="E47" s="4397">
        <f>C$42*D47/2</f>
        <v>0.34146249999999995</v>
      </c>
    </row>
    <row r="48" spans="1:10">
      <c r="A48" s="4396">
        <f t="shared" si="3"/>
        <v>6</v>
      </c>
      <c r="B48" s="1014" t="s">
        <v>2722</v>
      </c>
      <c r="C48" s="3692">
        <f>SUM(C31:C46)</f>
        <v>7.3100000000000005</v>
      </c>
      <c r="D48" s="1015"/>
      <c r="E48" s="3692">
        <f>SUM(E32:E47)</f>
        <v>5.6324279269780657</v>
      </c>
      <c r="J48" s="1013">
        <v>9646123449</v>
      </c>
    </row>
    <row r="49" spans="1:5">
      <c r="A49" s="3672">
        <f>A48+1</f>
        <v>7</v>
      </c>
      <c r="B49" s="2822" t="s">
        <v>2781</v>
      </c>
      <c r="C49" s="3693"/>
      <c r="D49" s="3694"/>
      <c r="E49" s="3583">
        <f>C48+E48</f>
        <v>12.942427926978066</v>
      </c>
    </row>
  </sheetData>
  <mergeCells count="3">
    <mergeCell ref="B1:K1"/>
    <mergeCell ref="B2:K2"/>
    <mergeCell ref="B3:K3"/>
  </mergeCells>
  <pageMargins left="0.2" right="0.2" top="0.37" bottom="0.42" header="0.3" footer="0.3"/>
  <pageSetup paperSize="9" scale="81" orientation="portrait" horizontalDpi="300" r:id="rId1"/>
  <colBreaks count="1" manualBreakCount="1">
    <brk id="12" max="1048575" man="1"/>
  </colBreaks>
</worksheet>
</file>

<file path=xl/worksheets/sheet62.xml><?xml version="1.0" encoding="utf-8"?>
<worksheet xmlns="http://schemas.openxmlformats.org/spreadsheetml/2006/main" xmlns:r="http://schemas.openxmlformats.org/officeDocument/2006/relationships">
  <sheetPr codeName="Sheet43">
    <tabColor rgb="FFFFFF00"/>
  </sheetPr>
  <dimension ref="A1:N68"/>
  <sheetViews>
    <sheetView showGridLines="0" view="pageBreakPreview" zoomScale="70" zoomScaleSheetLayoutView="70" workbookViewId="0"/>
  </sheetViews>
  <sheetFormatPr defaultRowHeight="15.75"/>
  <cols>
    <col min="1" max="1" width="9.140625" style="781"/>
    <col min="2" max="2" width="34.85546875" style="781" customWidth="1"/>
    <col min="3" max="3" width="36.42578125" style="781" customWidth="1"/>
    <col min="4" max="4" width="20.140625" style="781" customWidth="1"/>
    <col min="5" max="5" width="16.28515625" style="781" customWidth="1"/>
    <col min="6" max="6" width="34.140625" style="781" customWidth="1"/>
    <col min="7" max="8" width="18.5703125" style="781" customWidth="1"/>
    <col min="9" max="16384" width="9.140625" style="781"/>
  </cols>
  <sheetData>
    <row r="1" spans="1:10">
      <c r="A1" s="3148"/>
      <c r="B1" s="3149"/>
      <c r="G1" s="2846" t="s">
        <v>151</v>
      </c>
    </row>
    <row r="2" spans="1:10">
      <c r="A2" s="5435" t="s">
        <v>101</v>
      </c>
      <c r="B2" s="5437" t="s">
        <v>81</v>
      </c>
      <c r="C2" s="5439"/>
      <c r="D2" s="5846" t="s">
        <v>1641</v>
      </c>
      <c r="E2" s="5846"/>
      <c r="F2" s="5846" t="s">
        <v>758</v>
      </c>
      <c r="G2" s="5846"/>
      <c r="H2" s="5435" t="s">
        <v>604</v>
      </c>
      <c r="I2" s="5437" t="s">
        <v>2621</v>
      </c>
      <c r="J2" s="5439"/>
    </row>
    <row r="3" spans="1:10">
      <c r="A3" s="5436"/>
      <c r="B3" s="5933"/>
      <c r="C3" s="5934"/>
      <c r="D3" s="3150" t="s">
        <v>759</v>
      </c>
      <c r="E3" s="3150" t="s">
        <v>515</v>
      </c>
      <c r="F3" s="3150" t="s">
        <v>760</v>
      </c>
      <c r="G3" s="3150" t="s">
        <v>515</v>
      </c>
      <c r="H3" s="5436"/>
      <c r="I3" s="5440"/>
      <c r="J3" s="5442"/>
    </row>
    <row r="4" spans="1:10" s="1298" customFormat="1">
      <c r="A4" s="2846">
        <v>1</v>
      </c>
      <c r="B4" s="2848" t="s">
        <v>199</v>
      </c>
      <c r="C4" s="2848"/>
      <c r="D4" s="2846"/>
      <c r="E4" s="3151">
        <f>E8+E20+E25</f>
        <v>390.75228500000003</v>
      </c>
      <c r="F4" s="2848" t="s">
        <v>178</v>
      </c>
      <c r="G4" s="1924">
        <f>'F3'!$H$15</f>
        <v>332.92</v>
      </c>
      <c r="H4" s="1924">
        <f>E4-G4</f>
        <v>57.832285000000013</v>
      </c>
      <c r="I4" s="5888" t="s">
        <v>2804</v>
      </c>
      <c r="J4" s="5889"/>
    </row>
    <row r="5" spans="1:10" s="3152" customFormat="1">
      <c r="A5" s="5901"/>
      <c r="B5" s="5902"/>
      <c r="C5" s="5902"/>
      <c r="D5" s="5902"/>
      <c r="E5" s="5902"/>
      <c r="F5" s="5902"/>
      <c r="G5" s="5902"/>
      <c r="H5" s="5902"/>
      <c r="I5" s="5902"/>
      <c r="J5" s="5903"/>
    </row>
    <row r="6" spans="1:10" s="1298" customFormat="1">
      <c r="A6" s="5890">
        <f>A4+1</f>
        <v>2</v>
      </c>
      <c r="B6" s="5924" t="s">
        <v>236</v>
      </c>
      <c r="C6" s="2848" t="s">
        <v>1645</v>
      </c>
      <c r="D6" s="2846" t="s">
        <v>761</v>
      </c>
      <c r="E6" s="3151">
        <f>'E2 2012-13'!F14/10000000</f>
        <v>284.19696440000001</v>
      </c>
      <c r="F6" s="2848" t="s">
        <v>757</v>
      </c>
      <c r="G6" s="1924">
        <f>F3.3!F26</f>
        <v>284.20000000000005</v>
      </c>
      <c r="H6" s="5893"/>
      <c r="I6" s="5904" t="s">
        <v>2804</v>
      </c>
      <c r="J6" s="5905"/>
    </row>
    <row r="7" spans="1:10" s="1298" customFormat="1" ht="47.25">
      <c r="A7" s="5891"/>
      <c r="B7" s="5924"/>
      <c r="C7" s="783" t="s">
        <v>120</v>
      </c>
      <c r="D7" s="3431" t="s">
        <v>2803</v>
      </c>
      <c r="E7" s="3431">
        <v>31.57</v>
      </c>
      <c r="F7" s="2846"/>
      <c r="G7" s="3435">
        <f>F3.3!F27</f>
        <v>31.57</v>
      </c>
      <c r="H7" s="5894"/>
      <c r="I7" s="5906"/>
      <c r="J7" s="5907"/>
    </row>
    <row r="8" spans="1:10" s="1298" customFormat="1">
      <c r="A8" s="5892"/>
      <c r="B8" s="5924"/>
      <c r="C8" s="782" t="s">
        <v>121</v>
      </c>
      <c r="D8" s="2846"/>
      <c r="E8" s="3151">
        <f>E6-E7</f>
        <v>252.62696440000002</v>
      </c>
      <c r="F8" s="2848"/>
      <c r="G8" s="1924">
        <f>F3.3!F28</f>
        <v>252.63000000000005</v>
      </c>
      <c r="H8" s="1924">
        <f>E8-G8</f>
        <v>-3.0356000000324457E-3</v>
      </c>
      <c r="I8" s="5908"/>
      <c r="J8" s="5909"/>
    </row>
    <row r="9" spans="1:10" s="3152" customFormat="1">
      <c r="A9" s="5901"/>
      <c r="B9" s="5902"/>
      <c r="C9" s="5902"/>
      <c r="D9" s="5902"/>
      <c r="E9" s="5902"/>
      <c r="F9" s="5902"/>
      <c r="G9" s="5902"/>
      <c r="H9" s="5902"/>
      <c r="I9" s="5902"/>
      <c r="J9" s="5903"/>
    </row>
    <row r="10" spans="1:10" s="1298" customFormat="1">
      <c r="A10" s="5855">
        <f>A6+1</f>
        <v>3</v>
      </c>
      <c r="B10" s="5855" t="s">
        <v>762</v>
      </c>
      <c r="C10" s="2851" t="s">
        <v>1643</v>
      </c>
      <c r="D10" s="2846" t="s">
        <v>761</v>
      </c>
      <c r="E10" s="1924">
        <f>('E2 2012-13'!F15+'E2 2012-13'!F17+'E2 2012-13'!F18+'E2 2012-13'!F21+'E2 2012-13'!F24+'E2 2012-13'!F27)/10^7</f>
        <v>88.994663200000005</v>
      </c>
      <c r="F10" s="5919" t="s">
        <v>182</v>
      </c>
      <c r="G10" s="1924">
        <f>F3.4!F27</f>
        <v>95.419999999999987</v>
      </c>
      <c r="H10" s="5849">
        <f>E20-G20</f>
        <v>4.6631999999959817E-3</v>
      </c>
      <c r="I10" s="5904" t="s">
        <v>2622</v>
      </c>
      <c r="J10" s="5905"/>
    </row>
    <row r="11" spans="1:10" s="1298" customFormat="1">
      <c r="A11" s="5855"/>
      <c r="B11" s="5855"/>
      <c r="C11" s="3432" t="s">
        <v>2792</v>
      </c>
      <c r="D11" s="2846"/>
      <c r="E11" s="3433">
        <v>8.0500000000000007</v>
      </c>
      <c r="F11" s="5920"/>
      <c r="G11" s="5916">
        <v>0</v>
      </c>
      <c r="H11" s="5853"/>
      <c r="I11" s="5906"/>
      <c r="J11" s="5907"/>
    </row>
    <row r="12" spans="1:10" s="1298" customFormat="1">
      <c r="A12" s="5855"/>
      <c r="B12" s="5855"/>
      <c r="C12" s="3423" t="s">
        <v>2793</v>
      </c>
      <c r="D12" s="5930" t="s">
        <v>2810</v>
      </c>
      <c r="E12" s="3433">
        <v>4.1900000000000004</v>
      </c>
      <c r="F12" s="5920"/>
      <c r="G12" s="5917"/>
      <c r="H12" s="5853"/>
      <c r="I12" s="5906"/>
      <c r="J12" s="5907"/>
    </row>
    <row r="13" spans="1:10" s="3434" customFormat="1">
      <c r="A13" s="5855"/>
      <c r="B13" s="5855"/>
      <c r="C13" s="3424" t="s">
        <v>2799</v>
      </c>
      <c r="D13" s="5931"/>
      <c r="E13" s="3445">
        <f>SUM(E11:E12)</f>
        <v>12.240000000000002</v>
      </c>
      <c r="F13" s="5920"/>
      <c r="G13" s="5917"/>
      <c r="H13" s="5853"/>
      <c r="I13" s="5906"/>
      <c r="J13" s="5907"/>
    </row>
    <row r="14" spans="1:10" s="3434" customFormat="1">
      <c r="A14" s="5855"/>
      <c r="B14" s="5855"/>
      <c r="C14" s="3423" t="s">
        <v>2794</v>
      </c>
      <c r="D14" s="5931"/>
      <c r="E14" s="3444">
        <v>0.01</v>
      </c>
      <c r="F14" s="5920"/>
      <c r="G14" s="5917"/>
      <c r="H14" s="5853"/>
      <c r="I14" s="5906"/>
      <c r="J14" s="5907"/>
    </row>
    <row r="15" spans="1:10" s="3434" customFormat="1">
      <c r="A15" s="5855"/>
      <c r="B15" s="5855"/>
      <c r="C15" s="3423" t="s">
        <v>2795</v>
      </c>
      <c r="D15" s="5931"/>
      <c r="E15" s="3444">
        <v>0.01</v>
      </c>
      <c r="F15" s="5920"/>
      <c r="G15" s="5917"/>
      <c r="H15" s="5853"/>
      <c r="I15" s="5906"/>
      <c r="J15" s="5907"/>
    </row>
    <row r="16" spans="1:10" s="3434" customFormat="1">
      <c r="A16" s="5855"/>
      <c r="B16" s="5855"/>
      <c r="C16" s="3423" t="s">
        <v>2796</v>
      </c>
      <c r="D16" s="5931"/>
      <c r="E16" s="3444">
        <v>0.03</v>
      </c>
      <c r="F16" s="5920"/>
      <c r="G16" s="5917"/>
      <c r="H16" s="5853"/>
      <c r="I16" s="5906"/>
      <c r="J16" s="5907"/>
    </row>
    <row r="17" spans="1:14" s="3434" customFormat="1">
      <c r="A17" s="5855"/>
      <c r="B17" s="5855"/>
      <c r="C17" s="3423" t="s">
        <v>2797</v>
      </c>
      <c r="D17" s="5931"/>
      <c r="E17" s="3444">
        <v>7.0000000000000007E-2</v>
      </c>
      <c r="F17" s="5920"/>
      <c r="G17" s="5917"/>
      <c r="H17" s="5853"/>
      <c r="I17" s="5906"/>
      <c r="J17" s="5907"/>
    </row>
    <row r="18" spans="1:14" s="3434" customFormat="1">
      <c r="A18" s="5855"/>
      <c r="B18" s="5855"/>
      <c r="C18" s="3423" t="s">
        <v>2798</v>
      </c>
      <c r="D18" s="5931"/>
      <c r="E18" s="3444">
        <v>5.69</v>
      </c>
      <c r="F18" s="5920"/>
      <c r="G18" s="5917"/>
      <c r="H18" s="5853"/>
      <c r="I18" s="5906"/>
      <c r="J18" s="5907"/>
    </row>
    <row r="19" spans="1:14" s="3434" customFormat="1">
      <c r="A19" s="5855"/>
      <c r="B19" s="5855"/>
      <c r="C19" s="3424" t="s">
        <v>2800</v>
      </c>
      <c r="D19" s="5931"/>
      <c r="E19" s="3445">
        <f>SUM(E14:E18)</f>
        <v>5.8100000000000005</v>
      </c>
      <c r="F19" s="5920"/>
      <c r="G19" s="5918"/>
      <c r="H19" s="5853"/>
      <c r="I19" s="5906"/>
      <c r="J19" s="5907"/>
    </row>
    <row r="20" spans="1:14" s="1298" customFormat="1">
      <c r="A20" s="5855"/>
      <c r="B20" s="5855"/>
      <c r="C20" s="3432" t="s">
        <v>1642</v>
      </c>
      <c r="D20" s="5932"/>
      <c r="E20" s="1924">
        <f>E10+E13-E19</f>
        <v>95.424663199999998</v>
      </c>
      <c r="F20" s="5921"/>
      <c r="G20" s="1924">
        <v>95.42</v>
      </c>
      <c r="H20" s="5850"/>
      <c r="I20" s="5908"/>
      <c r="J20" s="5909"/>
    </row>
    <row r="21" spans="1:14" s="3153" customFormat="1">
      <c r="A21" s="5898"/>
      <c r="B21" s="5899"/>
      <c r="C21" s="5899"/>
      <c r="D21" s="5899"/>
      <c r="E21" s="5899"/>
      <c r="F21" s="5899"/>
      <c r="G21" s="5899"/>
      <c r="H21" s="5899"/>
      <c r="I21" s="5899"/>
      <c r="J21" s="5900"/>
      <c r="N21" s="3154"/>
    </row>
    <row r="22" spans="1:14" s="1298" customFormat="1">
      <c r="A22" s="5855">
        <f>A10+1</f>
        <v>4</v>
      </c>
      <c r="B22" s="5924" t="s">
        <v>238</v>
      </c>
      <c r="C22" s="783" t="s">
        <v>1637</v>
      </c>
      <c r="D22" s="2846" t="s">
        <v>761</v>
      </c>
      <c r="E22" s="1924">
        <f>'E2 2012-13'!F20/10000000</f>
        <v>46.260657399999999</v>
      </c>
      <c r="F22" s="5919" t="s">
        <v>184</v>
      </c>
      <c r="G22" s="5849">
        <f>F3.5!F20</f>
        <v>42.699999999999996</v>
      </c>
      <c r="H22" s="5849">
        <f>E25-G25</f>
        <v>42.700657399999997</v>
      </c>
      <c r="I22" s="5904" t="s">
        <v>2622</v>
      </c>
      <c r="J22" s="5905"/>
    </row>
    <row r="23" spans="1:14" s="1298" customFormat="1">
      <c r="A23" s="5855"/>
      <c r="B23" s="5924"/>
      <c r="C23" s="783" t="s">
        <v>2801</v>
      </c>
      <c r="D23" s="2846"/>
      <c r="E23" s="871">
        <v>3.35</v>
      </c>
      <c r="F23" s="5920"/>
      <c r="G23" s="5853"/>
      <c r="H23" s="5853"/>
      <c r="I23" s="5906"/>
      <c r="J23" s="5907"/>
    </row>
    <row r="24" spans="1:14" s="3434" customFormat="1">
      <c r="A24" s="5855"/>
      <c r="B24" s="5924"/>
      <c r="C24" s="783" t="s">
        <v>2802</v>
      </c>
      <c r="D24" s="3423"/>
      <c r="E24" s="871">
        <v>0.21</v>
      </c>
      <c r="F24" s="5920"/>
      <c r="G24" s="5853"/>
      <c r="H24" s="5853"/>
      <c r="I24" s="5906"/>
      <c r="J24" s="5907"/>
    </row>
    <row r="25" spans="1:14" s="1298" customFormat="1">
      <c r="A25" s="5855"/>
      <c r="B25" s="5924"/>
      <c r="C25" s="783" t="s">
        <v>1638</v>
      </c>
      <c r="D25" s="2846"/>
      <c r="E25" s="1924">
        <f>E22-E23-E24</f>
        <v>42.700657399999997</v>
      </c>
      <c r="F25" s="5921"/>
      <c r="G25" s="5850"/>
      <c r="H25" s="5850"/>
      <c r="I25" s="5908"/>
      <c r="J25" s="5909"/>
    </row>
    <row r="26" spans="1:14" s="3152" customFormat="1" ht="15.75" customHeight="1">
      <c r="A26" s="5901"/>
      <c r="B26" s="5902"/>
      <c r="C26" s="5902"/>
      <c r="D26" s="5902"/>
      <c r="E26" s="5902"/>
      <c r="F26" s="5902"/>
      <c r="G26" s="5902"/>
      <c r="H26" s="5902"/>
      <c r="I26" s="5902"/>
      <c r="J26" s="5903"/>
    </row>
    <row r="27" spans="1:14" s="3152" customFormat="1" ht="15.75" customHeight="1">
      <c r="A27" s="5901"/>
      <c r="B27" s="5902"/>
      <c r="C27" s="5902"/>
      <c r="D27" s="5902"/>
      <c r="E27" s="5902"/>
      <c r="F27" s="5902"/>
      <c r="G27" s="5902"/>
      <c r="H27" s="5902"/>
      <c r="I27" s="5902"/>
      <c r="J27" s="5903"/>
    </row>
    <row r="28" spans="1:14" s="1298" customFormat="1">
      <c r="A28" s="5855">
        <f>A22+1</f>
        <v>5</v>
      </c>
      <c r="B28" s="5924" t="s">
        <v>763</v>
      </c>
      <c r="C28" s="3155" t="s">
        <v>2012</v>
      </c>
      <c r="D28" s="5855" t="s">
        <v>761</v>
      </c>
      <c r="E28" s="5922">
        <f>'E2 2012-13'!E8/10^7</f>
        <v>2590.4646219000001</v>
      </c>
      <c r="F28" s="5923" t="s">
        <v>176</v>
      </c>
      <c r="G28" s="1924">
        <f>'F2'!J12</f>
        <v>2739.2086402614177</v>
      </c>
      <c r="H28" s="5925">
        <f>E28-G32</f>
        <v>-2.049738473092475</v>
      </c>
      <c r="I28" s="5910" t="s">
        <v>2622</v>
      </c>
      <c r="J28" s="5911"/>
      <c r="K28" s="3156"/>
    </row>
    <row r="29" spans="1:14" s="1298" customFormat="1">
      <c r="A29" s="5855"/>
      <c r="B29" s="5924"/>
      <c r="C29" s="3155" t="s">
        <v>2016</v>
      </c>
      <c r="D29" s="5855"/>
      <c r="E29" s="5922"/>
      <c r="F29" s="5923"/>
      <c r="G29" s="3157">
        <f>'F2'!J20</f>
        <v>-315.43438640000005</v>
      </c>
      <c r="H29" s="5926"/>
      <c r="I29" s="5912"/>
      <c r="J29" s="5913"/>
      <c r="K29" s="3156"/>
    </row>
    <row r="30" spans="1:14" s="1298" customFormat="1">
      <c r="A30" s="5855"/>
      <c r="B30" s="5924"/>
      <c r="C30" s="3155" t="s">
        <v>93</v>
      </c>
      <c r="D30" s="5855"/>
      <c r="E30" s="5922"/>
      <c r="F30" s="5923"/>
      <c r="G30" s="1924">
        <f>'F2'!J15+'F2'!J16</f>
        <v>122.87010651167499</v>
      </c>
      <c r="H30" s="5926"/>
      <c r="I30" s="5912"/>
      <c r="J30" s="5913"/>
      <c r="K30" s="3156"/>
    </row>
    <row r="31" spans="1:14" s="1298" customFormat="1" ht="31.5">
      <c r="A31" s="5855"/>
      <c r="B31" s="5924"/>
      <c r="C31" s="3158" t="s">
        <v>249</v>
      </c>
      <c r="D31" s="5855"/>
      <c r="E31" s="5922"/>
      <c r="F31" s="5923"/>
      <c r="G31" s="1924">
        <f>'F2'!J26</f>
        <v>45.870000000000005</v>
      </c>
      <c r="H31" s="5926"/>
      <c r="I31" s="5912"/>
      <c r="J31" s="5913"/>
      <c r="K31" s="3156"/>
    </row>
    <row r="32" spans="1:14" s="1298" customFormat="1">
      <c r="A32" s="5855"/>
      <c r="B32" s="5924"/>
      <c r="C32" s="3158" t="s">
        <v>2017</v>
      </c>
      <c r="D32" s="5855"/>
      <c r="E32" s="5922"/>
      <c r="F32" s="5923"/>
      <c r="G32" s="1924">
        <f>SUM(G28:G31)</f>
        <v>2592.5143603730926</v>
      </c>
      <c r="H32" s="5927"/>
      <c r="I32" s="5912"/>
      <c r="J32" s="5913"/>
      <c r="K32" s="3156"/>
    </row>
    <row r="33" spans="1:11" s="1298" customFormat="1">
      <c r="A33" s="5855"/>
      <c r="B33" s="5924"/>
      <c r="C33" s="3159" t="s">
        <v>1635</v>
      </c>
      <c r="D33" s="5855"/>
      <c r="E33" s="812"/>
      <c r="F33" s="5923"/>
      <c r="G33" s="3160">
        <f>CostOfPowerPurchase!S34</f>
        <v>-1.66</v>
      </c>
      <c r="H33" s="1924">
        <f>E33-G33</f>
        <v>1.66</v>
      </c>
      <c r="I33" s="5912"/>
      <c r="J33" s="5913"/>
      <c r="K33" s="3156"/>
    </row>
    <row r="34" spans="1:11" s="1298" customFormat="1">
      <c r="A34" s="5855"/>
      <c r="B34" s="5924"/>
      <c r="C34" s="3159" t="s">
        <v>1636</v>
      </c>
      <c r="D34" s="5855"/>
      <c r="E34" s="812"/>
      <c r="F34" s="5923"/>
      <c r="G34" s="3160">
        <f>CostOfPowerPurchase!S35</f>
        <v>-0.12</v>
      </c>
      <c r="H34" s="1924">
        <f>E34-G34</f>
        <v>0.12</v>
      </c>
      <c r="I34" s="5912"/>
      <c r="J34" s="5913"/>
      <c r="K34" s="3156"/>
    </row>
    <row r="35" spans="1:11" s="1298" customFormat="1">
      <c r="A35" s="5855"/>
      <c r="B35" s="5924"/>
      <c r="C35" s="2846" t="s">
        <v>2013</v>
      </c>
      <c r="D35" s="5855"/>
      <c r="E35" s="5922">
        <f>'E2 2012-13'!E9/10^7</f>
        <v>36.773176499999998</v>
      </c>
      <c r="F35" s="5923"/>
      <c r="G35" s="1924">
        <f>'F2'!J18</f>
        <v>33.694781027559991</v>
      </c>
      <c r="H35" s="5849">
        <f>E35-SUM(G35:G38)</f>
        <v>0.26532397244000094</v>
      </c>
      <c r="I35" s="5912"/>
      <c r="J35" s="5913"/>
      <c r="K35" s="3156"/>
    </row>
    <row r="36" spans="1:11" s="1298" customFormat="1">
      <c r="A36" s="5855"/>
      <c r="B36" s="5924"/>
      <c r="C36" s="3158" t="s">
        <v>747</v>
      </c>
      <c r="D36" s="5855"/>
      <c r="E36" s="5922"/>
      <c r="F36" s="5923"/>
      <c r="G36" s="1924">
        <f>'F2'!J21</f>
        <v>3.1995670999999999</v>
      </c>
      <c r="H36" s="5853"/>
      <c r="I36" s="5912"/>
      <c r="J36" s="5913"/>
      <c r="K36" s="3156"/>
    </row>
    <row r="37" spans="1:11" s="1298" customFormat="1">
      <c r="A37" s="5855"/>
      <c r="B37" s="5924"/>
      <c r="C37" s="2849" t="s">
        <v>99</v>
      </c>
      <c r="D37" s="5855"/>
      <c r="E37" s="5922"/>
      <c r="F37" s="5923"/>
      <c r="G37" s="3157">
        <f>'F2'!J19</f>
        <v>-1.1324955999999999</v>
      </c>
      <c r="H37" s="5853"/>
      <c r="I37" s="5912"/>
      <c r="J37" s="5913"/>
      <c r="K37" s="3156"/>
    </row>
    <row r="38" spans="1:11" s="1298" customFormat="1">
      <c r="A38" s="5855"/>
      <c r="B38" s="5924"/>
      <c r="C38" s="2849" t="s">
        <v>743</v>
      </c>
      <c r="D38" s="5855"/>
      <c r="E38" s="5922"/>
      <c r="F38" s="5923"/>
      <c r="G38" s="1924">
        <f>'F2'!J23</f>
        <v>0.74599999999999989</v>
      </c>
      <c r="H38" s="5850"/>
      <c r="I38" s="5912"/>
      <c r="J38" s="5913"/>
      <c r="K38" s="3156"/>
    </row>
    <row r="39" spans="1:11" s="1298" customFormat="1">
      <c r="A39" s="5855"/>
      <c r="B39" s="5924"/>
      <c r="C39" s="2846" t="s">
        <v>2014</v>
      </c>
      <c r="D39" s="5855"/>
      <c r="E39" s="812">
        <f>'E2 2012-13'!E10/10^7</f>
        <v>193.20680200000001</v>
      </c>
      <c r="F39" s="5923"/>
      <c r="G39" s="1924">
        <f>'F2'!J22</f>
        <v>193.20680140000005</v>
      </c>
      <c r="H39" s="1924">
        <f>E39-G39</f>
        <v>5.9999996437909431E-7</v>
      </c>
      <c r="I39" s="5912"/>
      <c r="J39" s="5913"/>
      <c r="K39" s="3156"/>
    </row>
    <row r="40" spans="1:11" s="1298" customFormat="1">
      <c r="A40" s="5855"/>
      <c r="B40" s="5924"/>
      <c r="C40" s="3155" t="s">
        <v>746</v>
      </c>
      <c r="D40" s="5855"/>
      <c r="E40" s="812">
        <f>'E2 2012-13'!E11/10^7</f>
        <v>107.85</v>
      </c>
      <c r="F40" s="5923"/>
      <c r="G40" s="1924">
        <f>'F2'!J24</f>
        <v>107.84999999999998</v>
      </c>
      <c r="H40" s="3359">
        <f>E40-G40</f>
        <v>0</v>
      </c>
      <c r="I40" s="5912"/>
      <c r="J40" s="5913"/>
      <c r="K40" s="3156"/>
    </row>
    <row r="41" spans="1:11" s="1298" customFormat="1">
      <c r="A41" s="5855"/>
      <c r="B41" s="5924"/>
      <c r="C41" s="3155" t="s">
        <v>2015</v>
      </c>
      <c r="D41" s="5855"/>
      <c r="E41" s="812">
        <f>SUM(E28:E40)</f>
        <v>2928.2946004</v>
      </c>
      <c r="F41" s="3161"/>
      <c r="G41" s="1924">
        <f>SUM(G32:G40)</f>
        <v>2928.2990143006532</v>
      </c>
      <c r="H41" s="1924">
        <f>E41-G41</f>
        <v>-4.4139006531622726E-3</v>
      </c>
      <c r="I41" s="5914"/>
      <c r="J41" s="5915"/>
      <c r="K41" s="3156"/>
    </row>
    <row r="42" spans="1:11" s="3153" customFormat="1">
      <c r="A42" s="5898"/>
      <c r="B42" s="5899"/>
      <c r="C42" s="5899"/>
      <c r="D42" s="5899"/>
      <c r="E42" s="5899"/>
      <c r="F42" s="5899"/>
      <c r="G42" s="5899"/>
      <c r="H42" s="5899"/>
      <c r="I42" s="5899"/>
      <c r="J42" s="5900"/>
    </row>
    <row r="43" spans="1:11" s="1298" customFormat="1">
      <c r="A43" s="5855">
        <f>A28+1</f>
        <v>6</v>
      </c>
      <c r="B43" s="5924" t="s">
        <v>447</v>
      </c>
      <c r="C43" s="2852" t="s">
        <v>152</v>
      </c>
      <c r="D43" s="2846" t="s">
        <v>1123</v>
      </c>
      <c r="E43" s="1924">
        <f>'E6 -2012-13'!T34/10000000</f>
        <v>1851.3757146999999</v>
      </c>
      <c r="F43" s="3161" t="s">
        <v>186</v>
      </c>
      <c r="G43" s="1924">
        <f>F5.1!H23</f>
        <v>1851.3757147000001</v>
      </c>
      <c r="H43" s="3162">
        <f>E43-G43</f>
        <v>0</v>
      </c>
      <c r="I43" s="5910" t="s">
        <v>2622</v>
      </c>
      <c r="J43" s="5911"/>
      <c r="K43" s="3156"/>
    </row>
    <row r="44" spans="1:11" s="1298" customFormat="1">
      <c r="A44" s="5855"/>
      <c r="B44" s="5924"/>
      <c r="C44" s="2852" t="s">
        <v>153</v>
      </c>
      <c r="D44" s="2846" t="s">
        <v>1123</v>
      </c>
      <c r="E44" s="1924">
        <f>'E6 -2012-13'!Y34/10000000</f>
        <v>126.2490523095</v>
      </c>
      <c r="F44" s="3161" t="s">
        <v>186</v>
      </c>
      <c r="G44" s="1924">
        <f>F5.1!I23</f>
        <v>126.24905230950002</v>
      </c>
      <c r="H44" s="3162">
        <f>E44-G44</f>
        <v>0</v>
      </c>
      <c r="I44" s="5912"/>
      <c r="J44" s="5913"/>
      <c r="K44" s="3156"/>
    </row>
    <row r="45" spans="1:11" s="1298" customFormat="1" ht="31.5">
      <c r="A45" s="5855"/>
      <c r="B45" s="5924"/>
      <c r="C45" s="2852" t="s">
        <v>154</v>
      </c>
      <c r="D45" s="2846" t="s">
        <v>1123</v>
      </c>
      <c r="E45" s="1924">
        <f>('E6 -2012-13'!AA34-'E6 -2012-13'!AC34)/10^7</f>
        <v>16.1145678315</v>
      </c>
      <c r="F45" s="3161" t="s">
        <v>186</v>
      </c>
      <c r="G45" s="1924">
        <f>F5.1!J23-F5.1!K23</f>
        <v>16.1145678315</v>
      </c>
      <c r="H45" s="3162">
        <f>E45-G45</f>
        <v>0</v>
      </c>
      <c r="I45" s="5912"/>
      <c r="J45" s="5913"/>
      <c r="K45" s="3156"/>
    </row>
    <row r="46" spans="1:11" s="1298" customFormat="1">
      <c r="A46" s="5855"/>
      <c r="B46" s="5924"/>
      <c r="C46" s="2852" t="s">
        <v>155</v>
      </c>
      <c r="D46" s="2846" t="s">
        <v>1123</v>
      </c>
      <c r="E46" s="1924">
        <f>('E6 -2012-13'!AD34+'E6 -2012-13'!AD20/2)/10^7</f>
        <v>1961.5101991779998</v>
      </c>
      <c r="F46" s="3161" t="s">
        <v>186</v>
      </c>
      <c r="G46" s="1924">
        <f>F5.1!L23</f>
        <v>1961.6681166780002</v>
      </c>
      <c r="H46" s="3162">
        <f>E46-G46</f>
        <v>-0.15791750000039428</v>
      </c>
      <c r="I46" s="5914"/>
      <c r="J46" s="5915"/>
      <c r="K46" s="3156"/>
    </row>
    <row r="47" spans="1:11" s="3153" customFormat="1">
      <c r="A47" s="5898"/>
      <c r="B47" s="5899"/>
      <c r="C47" s="5899"/>
      <c r="D47" s="5899"/>
      <c r="E47" s="5899"/>
      <c r="F47" s="5899"/>
      <c r="G47" s="5899"/>
      <c r="H47" s="5899"/>
      <c r="I47" s="5899"/>
      <c r="J47" s="5900"/>
    </row>
    <row r="48" spans="1:11" s="1298" customFormat="1">
      <c r="A48" s="2850">
        <f>A43+1</f>
        <v>7</v>
      </c>
      <c r="B48" s="5897" t="s">
        <v>240</v>
      </c>
      <c r="C48" s="5897"/>
      <c r="D48" s="2846" t="s">
        <v>761</v>
      </c>
      <c r="E48" s="1924">
        <f>'E2 2012-13'!F26/10000000</f>
        <v>91.160447700000006</v>
      </c>
      <c r="F48" s="3161" t="s">
        <v>186</v>
      </c>
      <c r="G48" s="1924">
        <f>F5.1!I50</f>
        <v>91.160447745359988</v>
      </c>
      <c r="H48" s="3162">
        <f>E48-G48</f>
        <v>-4.5359982436821156E-8</v>
      </c>
      <c r="I48" s="5895" t="s">
        <v>2622</v>
      </c>
      <c r="J48" s="5896"/>
      <c r="K48" s="3156"/>
    </row>
    <row r="49" spans="1:11" s="3153" customFormat="1">
      <c r="A49" s="5898"/>
      <c r="B49" s="5899"/>
      <c r="C49" s="5899"/>
      <c r="D49" s="5899"/>
      <c r="E49" s="5899"/>
      <c r="F49" s="5899"/>
      <c r="G49" s="5899"/>
      <c r="H49" s="5899"/>
      <c r="I49" s="5899"/>
      <c r="J49" s="5900"/>
    </row>
    <row r="50" spans="1:11" s="1298" customFormat="1">
      <c r="A50" s="5855">
        <f>A48+1</f>
        <v>8</v>
      </c>
      <c r="B50" s="5855" t="s">
        <v>187</v>
      </c>
      <c r="C50" s="2852" t="s">
        <v>2623</v>
      </c>
      <c r="D50" s="2846" t="s">
        <v>971</v>
      </c>
      <c r="E50" s="1924">
        <f>('E13_H1-2012-13'!S29+'E13_H1-2012-13'!S52+'E13_H1-2012-13'!S53+'E13_H2-2012-13'!S22+'E13_H2-2012-13'!S33+'E13_H2-2012-13'!S37+'E13_H2-2012-13'!S46+'E13_H2-2012-13'!S47)/100</f>
        <v>8.4287703999999994</v>
      </c>
      <c r="F50" s="3161" t="s">
        <v>188</v>
      </c>
      <c r="G50" s="1924">
        <f>'F6'!$F$75</f>
        <v>8.43</v>
      </c>
      <c r="H50" s="3162">
        <f>E50-G50</f>
        <v>-1.2296000000002749E-3</v>
      </c>
      <c r="I50" s="5895" t="s">
        <v>2622</v>
      </c>
      <c r="J50" s="5896"/>
      <c r="K50" s="3156"/>
    </row>
    <row r="51" spans="1:11" s="1298" customFormat="1">
      <c r="A51" s="5855"/>
      <c r="B51" s="5855"/>
      <c r="C51" s="2852" t="s">
        <v>972</v>
      </c>
      <c r="D51" s="2846" t="s">
        <v>971</v>
      </c>
      <c r="E51" s="1924">
        <f>('E13_H1-2012-13'!S13+'E13_H1-2012-13'!S14+'E13_H1-2012-13'!S41+'E13_H1-2012-13'!S51+'E13_H1-2012-13'!S59+'E13_H2-2012-13'!S7+'E13_H2-2012-13'!S8+'E13_H2-2012-13'!S45+'E13_H2-2012-13'!S49+'E13_H2-2012-13'!S54)/100</f>
        <v>24.144469806000004</v>
      </c>
      <c r="F51" s="2846" t="s">
        <v>188</v>
      </c>
      <c r="G51" s="1924">
        <f>'F6'!I217</f>
        <v>132.41353329999998</v>
      </c>
      <c r="H51" s="3162">
        <f>E51-G51</f>
        <v>-108.26906349399998</v>
      </c>
      <c r="I51" s="5895" t="s">
        <v>2622</v>
      </c>
      <c r="J51" s="5896"/>
      <c r="K51" s="3156"/>
    </row>
    <row r="52" spans="1:11" s="3152" customFormat="1">
      <c r="A52" s="5901"/>
      <c r="B52" s="5902"/>
      <c r="C52" s="5902"/>
      <c r="D52" s="5902"/>
      <c r="E52" s="5902"/>
      <c r="F52" s="5902"/>
      <c r="G52" s="5902"/>
      <c r="H52" s="5902"/>
      <c r="I52" s="5902"/>
      <c r="J52" s="5903"/>
    </row>
    <row r="53" spans="1:11" s="1298" customFormat="1">
      <c r="A53" s="2846">
        <f>A50+1</f>
        <v>9</v>
      </c>
      <c r="B53" s="2846" t="s">
        <v>618</v>
      </c>
      <c r="C53" s="3163"/>
      <c r="D53" s="2846" t="s">
        <v>761</v>
      </c>
      <c r="E53" s="1924">
        <f>'E2 2012-13'!E10/10^7</f>
        <v>193.20680200000001</v>
      </c>
      <c r="F53" s="3161" t="s">
        <v>191</v>
      </c>
      <c r="G53" s="1924">
        <f>F2.4!$E$12</f>
        <v>193.20680140000005</v>
      </c>
      <c r="H53" s="3162">
        <f>E53-G53</f>
        <v>5.9999996437909431E-7</v>
      </c>
      <c r="I53" s="5895" t="s">
        <v>2622</v>
      </c>
      <c r="J53" s="5896"/>
      <c r="K53" s="3156"/>
    </row>
    <row r="54" spans="1:11" s="3152" customFormat="1">
      <c r="A54" s="5901"/>
      <c r="B54" s="5902"/>
      <c r="C54" s="5902"/>
      <c r="D54" s="5902"/>
      <c r="E54" s="5902"/>
      <c r="F54" s="5902"/>
      <c r="G54" s="5902"/>
      <c r="H54" s="5902"/>
      <c r="I54" s="5902"/>
      <c r="J54" s="5903"/>
    </row>
    <row r="55" spans="1:11" s="1298" customFormat="1">
      <c r="A55" s="2846">
        <f>A53+1</f>
        <v>10</v>
      </c>
      <c r="B55" s="2846" t="s">
        <v>746</v>
      </c>
      <c r="C55" s="3163"/>
      <c r="D55" s="2846" t="s">
        <v>761</v>
      </c>
      <c r="E55" s="1924">
        <f>'E2 2012-13'!E11/10^7</f>
        <v>107.85</v>
      </c>
      <c r="F55" s="3161" t="s">
        <v>191</v>
      </c>
      <c r="G55" s="1924">
        <f>'F2'!J24</f>
        <v>107.84999999999998</v>
      </c>
      <c r="H55" s="3162">
        <f>E55-G55</f>
        <v>0</v>
      </c>
      <c r="I55" s="5895" t="s">
        <v>2622</v>
      </c>
      <c r="J55" s="5896"/>
      <c r="K55" s="3164"/>
    </row>
    <row r="56" spans="1:11" s="3152" customFormat="1">
      <c r="A56" s="5901"/>
      <c r="B56" s="5902"/>
      <c r="C56" s="5902"/>
      <c r="D56" s="5902"/>
      <c r="E56" s="5902"/>
      <c r="F56" s="5902"/>
      <c r="G56" s="5902"/>
      <c r="H56" s="5902"/>
      <c r="I56" s="5902"/>
      <c r="J56" s="5903"/>
    </row>
    <row r="57" spans="1:11" s="1298" customFormat="1">
      <c r="A57" s="2850">
        <f>A55+1</f>
        <v>11</v>
      </c>
      <c r="B57" s="2850"/>
      <c r="C57" s="785" t="s">
        <v>241</v>
      </c>
      <c r="D57" s="784" t="s">
        <v>1123</v>
      </c>
      <c r="E57" s="1924">
        <f>'E6 -2012-13'!Y34/10^7</f>
        <v>126.2490523095</v>
      </c>
      <c r="F57" s="3161"/>
      <c r="G57" s="1924">
        <f>'F5'!E12</f>
        <v>126.25000000000001</v>
      </c>
      <c r="H57" s="3162">
        <f>E57-G57</f>
        <v>-9.4769050001275446E-4</v>
      </c>
      <c r="I57" s="5895" t="s">
        <v>2622</v>
      </c>
      <c r="J57" s="5896"/>
      <c r="K57" s="3164"/>
    </row>
    <row r="58" spans="1:11" s="3152" customFormat="1">
      <c r="A58" s="5901"/>
      <c r="B58" s="5902"/>
      <c r="C58" s="5902"/>
      <c r="D58" s="5902"/>
      <c r="E58" s="5902"/>
      <c r="F58" s="5902"/>
      <c r="G58" s="5902"/>
      <c r="H58" s="5902"/>
      <c r="I58" s="5902"/>
      <c r="J58" s="5903"/>
    </row>
    <row r="59" spans="1:11" s="1298" customFormat="1" ht="15.75" customHeight="1">
      <c r="A59" s="5855">
        <f>A57+1</f>
        <v>12</v>
      </c>
      <c r="B59" s="5855" t="s">
        <v>47</v>
      </c>
      <c r="C59" s="3423" t="s">
        <v>194</v>
      </c>
      <c r="D59" s="5943" t="s">
        <v>761</v>
      </c>
      <c r="E59" s="5935">
        <f>'E2 2012-13'!F23/10^7</f>
        <v>115.35459729999999</v>
      </c>
      <c r="F59" s="3436" t="s">
        <v>195</v>
      </c>
      <c r="G59" s="1924">
        <f>'F7 '!$F$18</f>
        <v>78.38</v>
      </c>
      <c r="H59" s="5940">
        <f>E64-G64</f>
        <v>-1.5402699999995662E-2</v>
      </c>
      <c r="I59" s="5904" t="s">
        <v>2622</v>
      </c>
      <c r="J59" s="5905"/>
      <c r="K59" s="3164"/>
    </row>
    <row r="60" spans="1:11" s="1298" customFormat="1">
      <c r="A60" s="5855"/>
      <c r="B60" s="5855"/>
      <c r="C60" s="3423" t="s">
        <v>2618</v>
      </c>
      <c r="D60" s="5943"/>
      <c r="E60" s="5935"/>
      <c r="F60" s="3436" t="s">
        <v>2620</v>
      </c>
      <c r="G60" s="1924">
        <f>'F8'!G15</f>
        <v>5.69</v>
      </c>
      <c r="H60" s="5941"/>
      <c r="I60" s="5906"/>
      <c r="J60" s="5907"/>
      <c r="K60" s="3164"/>
    </row>
    <row r="61" spans="1:11" s="1298" customFormat="1">
      <c r="A61" s="5855"/>
      <c r="B61" s="5855"/>
      <c r="C61" s="3423" t="s">
        <v>2619</v>
      </c>
      <c r="D61" s="5943"/>
      <c r="E61" s="5935"/>
      <c r="F61" s="3436" t="s">
        <v>188</v>
      </c>
      <c r="G61" s="1924">
        <f>'F6'!F192</f>
        <v>23.18</v>
      </c>
      <c r="H61" s="5941"/>
      <c r="I61" s="5906"/>
      <c r="J61" s="5907"/>
      <c r="K61" s="3164"/>
    </row>
    <row r="62" spans="1:11" s="3434" customFormat="1">
      <c r="A62" s="5855"/>
      <c r="B62" s="5855"/>
      <c r="C62" s="3423" t="s">
        <v>2806</v>
      </c>
      <c r="D62" s="1047"/>
      <c r="E62" s="3433">
        <v>8.0500000000000007</v>
      </c>
      <c r="F62" s="5936"/>
      <c r="G62" s="5937"/>
      <c r="H62" s="5941"/>
      <c r="I62" s="5906"/>
      <c r="J62" s="5907"/>
      <c r="K62" s="3164"/>
    </row>
    <row r="63" spans="1:11" s="3434" customFormat="1">
      <c r="A63" s="5855"/>
      <c r="B63" s="5855"/>
      <c r="C63" s="3423" t="s">
        <v>2807</v>
      </c>
      <c r="D63" s="1047"/>
      <c r="E63" s="3433">
        <v>7.0000000000000007E-2</v>
      </c>
      <c r="F63" s="5938"/>
      <c r="G63" s="5939"/>
      <c r="H63" s="5941"/>
      <c r="I63" s="5906"/>
      <c r="J63" s="5907"/>
      <c r="K63" s="3164"/>
    </row>
    <row r="64" spans="1:11" s="3434" customFormat="1">
      <c r="A64" s="5855"/>
      <c r="B64" s="5855"/>
      <c r="C64" s="3423" t="s">
        <v>2808</v>
      </c>
      <c r="D64" s="1047"/>
      <c r="E64" s="3433">
        <f>E59-E62-E63</f>
        <v>107.2345973</v>
      </c>
      <c r="F64" s="3436"/>
      <c r="G64" s="1924">
        <f>SUM(G59:G61)</f>
        <v>107.25</v>
      </c>
      <c r="H64" s="5942"/>
      <c r="I64" s="5908"/>
      <c r="J64" s="5909"/>
      <c r="K64" s="3164"/>
    </row>
    <row r="65" spans="1:14" s="3152" customFormat="1">
      <c r="A65" s="5901"/>
      <c r="B65" s="5902"/>
      <c r="C65" s="5902"/>
      <c r="D65" s="5902"/>
      <c r="E65" s="5902"/>
      <c r="F65" s="5902"/>
      <c r="G65" s="5902"/>
      <c r="H65" s="5902"/>
      <c r="I65" s="5902"/>
      <c r="J65" s="5903"/>
    </row>
    <row r="66" spans="1:14" s="1298" customFormat="1" ht="49.5" customHeight="1">
      <c r="A66" s="2850">
        <f>A59+1</f>
        <v>13</v>
      </c>
      <c r="B66" s="3165" t="s">
        <v>1124</v>
      </c>
      <c r="C66" s="1047"/>
      <c r="D66" s="1047" t="s">
        <v>761</v>
      </c>
      <c r="E66" s="1009">
        <f>('E2 2012-13'!K20+'E2 2012-13'!K25)/10^7</f>
        <v>60.489894999999997</v>
      </c>
      <c r="F66" s="3161" t="s">
        <v>197</v>
      </c>
      <c r="G66" s="2850">
        <f>'F10 '!E33</f>
        <v>57.709265200000004</v>
      </c>
      <c r="H66" s="3386">
        <f>E66-G66</f>
        <v>2.7806297999999927</v>
      </c>
      <c r="I66" s="5886" t="s">
        <v>2622</v>
      </c>
      <c r="J66" s="5887"/>
      <c r="N66" s="3164"/>
    </row>
    <row r="67" spans="1:14">
      <c r="E67" s="3166"/>
      <c r="K67" s="1298"/>
      <c r="L67" s="1298"/>
      <c r="M67" s="1298"/>
      <c r="N67" s="3164"/>
    </row>
    <row r="68" spans="1:14">
      <c r="A68" s="2850">
        <f>A66+1</f>
        <v>14</v>
      </c>
      <c r="B68" s="5928" t="s">
        <v>2560</v>
      </c>
      <c r="C68" s="5929"/>
      <c r="D68" s="258" t="s">
        <v>761</v>
      </c>
      <c r="E68" s="1924">
        <f>('E2 2012-13'!K8+'E2 2012-13'!K10)/10^7</f>
        <v>3636.9341453000002</v>
      </c>
      <c r="F68" s="258" t="s">
        <v>2420</v>
      </c>
      <c r="G68" s="1924">
        <f>'F14'!J64/10^7</f>
        <v>3636.9359052718596</v>
      </c>
      <c r="H68" s="1924">
        <f>E68-G68</f>
        <v>-1.7599718594283331E-3</v>
      </c>
      <c r="I68" s="5895" t="s">
        <v>2622</v>
      </c>
      <c r="J68" s="5896"/>
    </row>
  </sheetData>
  <mergeCells count="67">
    <mergeCell ref="A59:A64"/>
    <mergeCell ref="B59:B64"/>
    <mergeCell ref="F62:G63"/>
    <mergeCell ref="H59:H64"/>
    <mergeCell ref="G22:G25"/>
    <mergeCell ref="F22:F25"/>
    <mergeCell ref="D59:D61"/>
    <mergeCell ref="I68:J68"/>
    <mergeCell ref="B68:C68"/>
    <mergeCell ref="D2:E2"/>
    <mergeCell ref="F2:G2"/>
    <mergeCell ref="A10:A20"/>
    <mergeCell ref="D12:D20"/>
    <mergeCell ref="B22:B25"/>
    <mergeCell ref="A22:A25"/>
    <mergeCell ref="A2:A3"/>
    <mergeCell ref="B2:C3"/>
    <mergeCell ref="B6:B8"/>
    <mergeCell ref="D28:D41"/>
    <mergeCell ref="B43:B46"/>
    <mergeCell ref="A28:A41"/>
    <mergeCell ref="B10:B20"/>
    <mergeCell ref="E59:E61"/>
    <mergeCell ref="I57:J57"/>
    <mergeCell ref="A43:A46"/>
    <mergeCell ref="E35:E38"/>
    <mergeCell ref="F28:F40"/>
    <mergeCell ref="E28:E32"/>
    <mergeCell ref="B28:B41"/>
    <mergeCell ref="H28:H32"/>
    <mergeCell ref="I43:J46"/>
    <mergeCell ref="I48:J48"/>
    <mergeCell ref="I50:J50"/>
    <mergeCell ref="I53:J53"/>
    <mergeCell ref="I55:J55"/>
    <mergeCell ref="H2:H3"/>
    <mergeCell ref="A5:J5"/>
    <mergeCell ref="A9:J9"/>
    <mergeCell ref="A26:J27"/>
    <mergeCell ref="A42:J42"/>
    <mergeCell ref="I2:J3"/>
    <mergeCell ref="I6:J8"/>
    <mergeCell ref="I10:J20"/>
    <mergeCell ref="H35:H38"/>
    <mergeCell ref="I22:J25"/>
    <mergeCell ref="I28:J41"/>
    <mergeCell ref="A21:J21"/>
    <mergeCell ref="G11:G19"/>
    <mergeCell ref="F10:F20"/>
    <mergeCell ref="H10:H20"/>
    <mergeCell ref="H22:H25"/>
    <mergeCell ref="I66:J66"/>
    <mergeCell ref="I4:J4"/>
    <mergeCell ref="A6:A8"/>
    <mergeCell ref="H6:H7"/>
    <mergeCell ref="A50:A51"/>
    <mergeCell ref="B50:B51"/>
    <mergeCell ref="I51:J51"/>
    <mergeCell ref="B48:C48"/>
    <mergeCell ref="A47:J47"/>
    <mergeCell ref="A49:J49"/>
    <mergeCell ref="A52:J52"/>
    <mergeCell ref="A54:J54"/>
    <mergeCell ref="A56:J56"/>
    <mergeCell ref="A58:J58"/>
    <mergeCell ref="A65:J65"/>
    <mergeCell ref="I59:J64"/>
  </mergeCells>
  <pageMargins left="0.7" right="0.7" top="0.75" bottom="0.75" header="0.3" footer="0.3"/>
  <pageSetup scale="41" orientation="portrait" r:id="rId1"/>
  <colBreaks count="1" manualBreakCount="1">
    <brk id="12" max="1048575" man="1"/>
  </colBreaks>
  <legacyDrawing r:id="rId2"/>
</worksheet>
</file>

<file path=xl/worksheets/sheet63.xml><?xml version="1.0" encoding="utf-8"?>
<worksheet xmlns="http://schemas.openxmlformats.org/spreadsheetml/2006/main" xmlns:r="http://schemas.openxmlformats.org/officeDocument/2006/relationships">
  <sheetPr codeName="Sheet44">
    <tabColor rgb="FFFFFF00"/>
  </sheetPr>
  <dimension ref="A1:L56"/>
  <sheetViews>
    <sheetView showGridLines="0" zoomScale="80" zoomScaleNormal="80" workbookViewId="0">
      <pane xSplit="2" ySplit="3" topLeftCell="C4" activePane="bottomRight" state="frozen"/>
      <selection activeCell="A10" sqref="A10:J25"/>
      <selection pane="topRight" activeCell="A10" sqref="A10:J25"/>
      <selection pane="bottomLeft" activeCell="A10" sqref="A10:J25"/>
      <selection pane="bottomRight" activeCell="G25" sqref="G25"/>
    </sheetView>
  </sheetViews>
  <sheetFormatPr defaultRowHeight="15"/>
  <cols>
    <col min="1" max="1" width="9.140625" style="1013"/>
    <col min="2" max="2" width="31.28515625" style="1013" customWidth="1"/>
    <col min="3" max="3" width="43.7109375" style="1013" customWidth="1"/>
    <col min="4" max="4" width="10.140625" style="1013" bestFit="1" customWidth="1"/>
    <col min="5" max="5" width="14" style="1013" customWidth="1"/>
    <col min="6" max="6" width="9.140625" style="1013"/>
    <col min="7" max="7" width="13.5703125" style="1013" customWidth="1"/>
    <col min="8" max="8" width="17" style="1013" customWidth="1"/>
    <col min="9" max="9" width="9.140625" style="1013"/>
    <col min="10" max="10" width="13.85546875" style="1013" customWidth="1"/>
    <col min="11" max="11" width="9.140625" style="1013"/>
    <col min="12" max="12" width="10.140625" style="1013" bestFit="1" customWidth="1"/>
    <col min="13" max="16384" width="9.140625" style="1013"/>
  </cols>
  <sheetData>
    <row r="1" spans="1:12">
      <c r="J1" s="1015" t="s">
        <v>151</v>
      </c>
    </row>
    <row r="2" spans="1:12">
      <c r="A2" s="5425" t="s">
        <v>101</v>
      </c>
      <c r="B2" s="5425" t="s">
        <v>81</v>
      </c>
      <c r="C2" s="5425"/>
      <c r="D2" s="5982" t="s">
        <v>1641</v>
      </c>
      <c r="E2" s="5982"/>
      <c r="F2" s="5982" t="s">
        <v>758</v>
      </c>
      <c r="G2" s="5982"/>
      <c r="H2" s="5425" t="s">
        <v>604</v>
      </c>
      <c r="I2" s="5425" t="s">
        <v>2612</v>
      </c>
      <c r="J2" s="5425"/>
    </row>
    <row r="3" spans="1:12">
      <c r="A3" s="5425"/>
      <c r="B3" s="5425"/>
      <c r="C3" s="5425"/>
      <c r="D3" s="1915" t="s">
        <v>759</v>
      </c>
      <c r="E3" s="1915" t="s">
        <v>515</v>
      </c>
      <c r="F3" s="1915" t="s">
        <v>760</v>
      </c>
      <c r="G3" s="1915" t="s">
        <v>515</v>
      </c>
      <c r="H3" s="5425"/>
      <c r="I3" s="5425"/>
      <c r="J3" s="5425"/>
    </row>
    <row r="4" spans="1:12">
      <c r="A4" s="5971">
        <v>1</v>
      </c>
      <c r="B4" s="5978" t="s">
        <v>175</v>
      </c>
      <c r="C4" s="2817" t="s">
        <v>2012</v>
      </c>
      <c r="D4" s="5978" t="s">
        <v>761</v>
      </c>
      <c r="E4" s="5947">
        <f>'E2_2013-14'!E9/10^7</f>
        <v>2396.437641</v>
      </c>
      <c r="F4" s="5971" t="s">
        <v>176</v>
      </c>
      <c r="G4" s="2820">
        <f>'F2'!P12</f>
        <v>1870.8965876420827</v>
      </c>
      <c r="H4" s="5947">
        <f>E4-SUM(G4:G8)</f>
        <v>301.2002801579174</v>
      </c>
      <c r="I4" s="5961" t="s">
        <v>2628</v>
      </c>
      <c r="J4" s="5961"/>
    </row>
    <row r="5" spans="1:12">
      <c r="A5" s="5971"/>
      <c r="B5" s="5953"/>
      <c r="C5" s="2817" t="s">
        <v>2016</v>
      </c>
      <c r="D5" s="5953"/>
      <c r="E5" s="5948"/>
      <c r="F5" s="5971"/>
      <c r="G5" s="2820">
        <f>'F2'!P20</f>
        <v>29.213327200000002</v>
      </c>
      <c r="H5" s="5948"/>
      <c r="I5" s="5961"/>
      <c r="J5" s="5961"/>
    </row>
    <row r="6" spans="1:12">
      <c r="A6" s="5971"/>
      <c r="B6" s="5953"/>
      <c r="C6" s="2817" t="s">
        <v>93</v>
      </c>
      <c r="D6" s="5953"/>
      <c r="E6" s="5948"/>
      <c r="F6" s="5971"/>
      <c r="G6" s="2820">
        <f>SUM('F2'!P14+'F2'!P15+'F2'!P16)</f>
        <v>169.00744599999999</v>
      </c>
      <c r="H6" s="5948"/>
      <c r="I6" s="5961"/>
      <c r="J6" s="5961"/>
    </row>
    <row r="7" spans="1:12" ht="17.25" customHeight="1">
      <c r="A7" s="5971"/>
      <c r="B7" s="5953"/>
      <c r="C7" s="2818" t="s">
        <v>249</v>
      </c>
      <c r="D7" s="5953"/>
      <c r="E7" s="5948"/>
      <c r="F7" s="5971"/>
      <c r="G7" s="2820">
        <f>'F2'!P26</f>
        <v>26.12</v>
      </c>
      <c r="H7" s="5948"/>
      <c r="I7" s="5961"/>
      <c r="J7" s="5961"/>
      <c r="L7" s="2828"/>
    </row>
    <row r="8" spans="1:12" ht="17.25" customHeight="1">
      <c r="A8" s="5971"/>
      <c r="B8" s="5953"/>
      <c r="C8" s="2818" t="s">
        <v>2624</v>
      </c>
      <c r="D8" s="5953"/>
      <c r="E8" s="5949"/>
      <c r="F8" s="5971"/>
      <c r="G8" s="2820">
        <f>'F2'!P28</f>
        <v>0</v>
      </c>
      <c r="H8" s="5949"/>
      <c r="I8" s="5961"/>
      <c r="J8" s="5961"/>
      <c r="L8" s="2828"/>
    </row>
    <row r="9" spans="1:12" ht="15" customHeight="1">
      <c r="A9" s="5971"/>
      <c r="B9" s="5953"/>
      <c r="C9" s="2819" t="s">
        <v>1635</v>
      </c>
      <c r="D9" s="5953"/>
      <c r="E9" s="5978"/>
      <c r="F9" s="5971"/>
      <c r="G9" s="5976"/>
      <c r="H9" s="2829"/>
      <c r="I9" s="5961"/>
      <c r="J9" s="5961"/>
    </row>
    <row r="10" spans="1:12" ht="17.25" customHeight="1">
      <c r="A10" s="5971"/>
      <c r="B10" s="5953"/>
      <c r="C10" s="2819" t="s">
        <v>1636</v>
      </c>
      <c r="D10" s="5953"/>
      <c r="E10" s="5954"/>
      <c r="F10" s="5971"/>
      <c r="G10" s="5977"/>
      <c r="H10" s="2829"/>
      <c r="I10" s="5961"/>
      <c r="J10" s="5961"/>
    </row>
    <row r="11" spans="1:12">
      <c r="A11" s="5971"/>
      <c r="B11" s="5953"/>
      <c r="C11" s="1933" t="s">
        <v>2013</v>
      </c>
      <c r="D11" s="5953"/>
      <c r="E11" s="5970">
        <f>'E2_2013-14'!E10/10^7</f>
        <v>80.277752899999996</v>
      </c>
      <c r="F11" s="5971"/>
      <c r="G11" s="2820">
        <f>'PP FY 2013-14 '!G13</f>
        <v>78.592800001000001</v>
      </c>
      <c r="H11" s="5950">
        <f>E11-SUM(G11:G13)</f>
        <v>-0.83559513100000515</v>
      </c>
      <c r="I11" s="5961"/>
      <c r="J11" s="5961"/>
    </row>
    <row r="12" spans="1:12" ht="18" customHeight="1">
      <c r="A12" s="5971"/>
      <c r="B12" s="5953"/>
      <c r="C12" s="2818" t="s">
        <v>747</v>
      </c>
      <c r="D12" s="5953"/>
      <c r="E12" s="5970"/>
      <c r="F12" s="5971"/>
      <c r="G12" s="2820">
        <f>'PP FY 2013-14 '!G16</f>
        <v>2.5205480299999996</v>
      </c>
      <c r="H12" s="5951"/>
      <c r="I12" s="5961"/>
      <c r="J12" s="5961"/>
    </row>
    <row r="13" spans="1:12">
      <c r="A13" s="5971"/>
      <c r="B13" s="5953"/>
      <c r="C13" s="1869" t="s">
        <v>99</v>
      </c>
      <c r="D13" s="5953"/>
      <c r="E13" s="5970"/>
      <c r="F13" s="5971"/>
      <c r="G13" s="2820">
        <f>'PP FY 2013-14 '!G14</f>
        <v>0</v>
      </c>
      <c r="H13" s="5952"/>
      <c r="I13" s="5961"/>
      <c r="J13" s="5961"/>
    </row>
    <row r="14" spans="1:12" ht="17.25" customHeight="1">
      <c r="A14" s="5971"/>
      <c r="B14" s="5953"/>
      <c r="C14" s="1869" t="s">
        <v>743</v>
      </c>
      <c r="D14" s="5953"/>
      <c r="E14" s="2821"/>
      <c r="F14" s="5971"/>
      <c r="G14" s="2820">
        <f>'PP FY 2013-14 '!G18</f>
        <v>1.2721999999999998</v>
      </c>
      <c r="H14" s="2827">
        <f>E14-G14</f>
        <v>-1.2721999999999998</v>
      </c>
      <c r="I14" s="5961"/>
      <c r="J14" s="5961"/>
    </row>
    <row r="15" spans="1:12">
      <c r="A15" s="5971"/>
      <c r="B15" s="5953"/>
      <c r="C15" s="1933" t="s">
        <v>2014</v>
      </c>
      <c r="D15" s="5953"/>
      <c r="E15" s="1933">
        <f>'E2_2013-14'!E11/10^7</f>
        <v>341.52</v>
      </c>
      <c r="F15" s="5971"/>
      <c r="G15" s="2820">
        <f>'PP FY 2013-14 '!G17</f>
        <v>341.52</v>
      </c>
      <c r="H15" s="2827">
        <f>E15-G15</f>
        <v>0</v>
      </c>
      <c r="I15" s="5961"/>
      <c r="J15" s="5961"/>
    </row>
    <row r="16" spans="1:12">
      <c r="A16" s="5971"/>
      <c r="B16" s="5953"/>
      <c r="C16" s="2817" t="s">
        <v>746</v>
      </c>
      <c r="D16" s="5953"/>
      <c r="E16" s="1354">
        <f>'E2_2013-14'!E12/10^7</f>
        <v>113.2699999</v>
      </c>
      <c r="F16" s="5971"/>
      <c r="G16" s="2820">
        <f>'PP FY 2013-14 '!G19</f>
        <v>113.27043519999999</v>
      </c>
      <c r="H16" s="2827">
        <f>E16-G16</f>
        <v>-4.3529999999236679E-4</v>
      </c>
      <c r="I16" s="5961"/>
      <c r="J16" s="5961"/>
    </row>
    <row r="17" spans="1:10">
      <c r="A17" s="5971"/>
      <c r="B17" s="5954"/>
      <c r="C17" s="2817" t="s">
        <v>2015</v>
      </c>
      <c r="D17" s="5954"/>
      <c r="E17" s="1354">
        <f>SUM(E4:E16)</f>
        <v>2931.5053938000001</v>
      </c>
      <c r="F17" s="5971"/>
      <c r="G17" s="2820">
        <f>SUM(G4:G16)</f>
        <v>2632.4133440730825</v>
      </c>
      <c r="H17" s="2827">
        <f>E17-G17</f>
        <v>299.09204972691759</v>
      </c>
      <c r="I17" s="5961"/>
      <c r="J17" s="5961"/>
    </row>
    <row r="20" spans="1:10" ht="15.75">
      <c r="A20" s="5890">
        <f>A4+1</f>
        <v>2</v>
      </c>
      <c r="B20" s="5924" t="s">
        <v>236</v>
      </c>
      <c r="C20" s="1929" t="s">
        <v>1645</v>
      </c>
      <c r="D20" s="1933" t="s">
        <v>761</v>
      </c>
      <c r="E20" s="1354">
        <f>'E2_2013-14'!F15/10^7</f>
        <v>359.49510270000002</v>
      </c>
      <c r="F20" s="1015" t="s">
        <v>757</v>
      </c>
      <c r="G20" s="1933">
        <f>F3.3!H26</f>
        <v>359.49000000000007</v>
      </c>
      <c r="H20" s="2825">
        <f>E20-G20</f>
        <v>5.1026999999521649E-3</v>
      </c>
      <c r="I20" s="5955" t="s">
        <v>2629</v>
      </c>
      <c r="J20" s="5956"/>
    </row>
    <row r="21" spans="1:10" ht="15.75">
      <c r="A21" s="5891"/>
      <c r="B21" s="5924"/>
      <c r="C21" s="782" t="s">
        <v>119</v>
      </c>
      <c r="D21" s="1015"/>
      <c r="E21" s="1015"/>
      <c r="F21" s="1015"/>
      <c r="G21" s="1015"/>
      <c r="H21" s="1015"/>
      <c r="I21" s="5957"/>
      <c r="J21" s="5958"/>
    </row>
    <row r="22" spans="1:10" ht="47.25">
      <c r="A22" s="5891"/>
      <c r="B22" s="5924"/>
      <c r="C22" s="783" t="s">
        <v>120</v>
      </c>
      <c r="D22" s="1015"/>
      <c r="E22" s="1015"/>
      <c r="F22" s="1015"/>
      <c r="G22" s="3362">
        <f>F3.3!H27</f>
        <v>37.39</v>
      </c>
      <c r="H22" s="2172">
        <f>E22-G22</f>
        <v>-37.39</v>
      </c>
      <c r="I22" s="5957"/>
      <c r="J22" s="5958"/>
    </row>
    <row r="23" spans="1:10" ht="15.75">
      <c r="A23" s="5892"/>
      <c r="B23" s="5924"/>
      <c r="C23" s="782" t="s">
        <v>121</v>
      </c>
      <c r="D23" s="1015"/>
      <c r="E23" s="1354">
        <f>E20-E22</f>
        <v>359.49510270000002</v>
      </c>
      <c r="F23" s="1015"/>
      <c r="G23" s="1354">
        <f>F3.3!H28</f>
        <v>322.10000000000008</v>
      </c>
      <c r="H23" s="1015"/>
      <c r="I23" s="5959"/>
      <c r="J23" s="5960"/>
    </row>
    <row r="25" spans="1:10" ht="15.75">
      <c r="A25" s="5855">
        <f>A20+1</f>
        <v>3</v>
      </c>
      <c r="B25" s="5855" t="s">
        <v>762</v>
      </c>
      <c r="C25" s="1932" t="s">
        <v>1643</v>
      </c>
      <c r="D25" s="1015" t="s">
        <v>761</v>
      </c>
      <c r="E25" s="1354">
        <f>('E2_2013-14'!F16+'E2_2013-14'!F18+'E2_2013-14'!F19+'E2_2013-14'!F22+'E2_2013-14'!F25+'E2_2013-14'!F28)/10^7</f>
        <v>99.6797021</v>
      </c>
      <c r="F25" s="1015" t="s">
        <v>182</v>
      </c>
      <c r="G25" s="1354">
        <f>F3.4!H27</f>
        <v>100.75000000000001</v>
      </c>
      <c r="H25" s="3446">
        <f>E25-G25</f>
        <v>-1.0702979000000141</v>
      </c>
      <c r="I25" s="5955" t="s">
        <v>2805</v>
      </c>
      <c r="J25" s="5956"/>
    </row>
    <row r="26" spans="1:10" ht="15.75">
      <c r="A26" s="5855"/>
      <c r="B26" s="5855"/>
      <c r="C26" s="1932" t="s">
        <v>1835</v>
      </c>
      <c r="D26" s="1015"/>
      <c r="E26" s="1015"/>
      <c r="F26" s="1015"/>
      <c r="G26" s="1015"/>
      <c r="H26" s="1015"/>
      <c r="I26" s="5957"/>
      <c r="J26" s="5958"/>
    </row>
    <row r="27" spans="1:10" ht="15.75">
      <c r="A27" s="5855"/>
      <c r="B27" s="5855"/>
      <c r="C27" s="1927" t="s">
        <v>1644</v>
      </c>
      <c r="D27" s="1015"/>
      <c r="E27" s="1015"/>
      <c r="F27" s="1015"/>
      <c r="G27" s="1015"/>
      <c r="H27" s="1015"/>
      <c r="I27" s="5957"/>
      <c r="J27" s="5958"/>
    </row>
    <row r="28" spans="1:10" ht="15.75">
      <c r="A28" s="5855"/>
      <c r="B28" s="5855"/>
      <c r="C28" s="1932" t="s">
        <v>1642</v>
      </c>
      <c r="D28" s="1015"/>
      <c r="E28" s="1015"/>
      <c r="F28" s="1015"/>
      <c r="G28" s="1015"/>
      <c r="H28" s="1015"/>
      <c r="I28" s="5959"/>
      <c r="J28" s="5960"/>
    </row>
    <row r="30" spans="1:10" ht="15.75">
      <c r="A30" s="5855">
        <f>A25+1</f>
        <v>4</v>
      </c>
      <c r="B30" s="5924" t="s">
        <v>238</v>
      </c>
      <c r="C30" s="783" t="s">
        <v>1637</v>
      </c>
      <c r="D30" s="1015" t="s">
        <v>761</v>
      </c>
      <c r="E30" s="1354">
        <f>'E2_2013-14'!F21/10^7</f>
        <v>46.9847222</v>
      </c>
      <c r="F30" s="1015" t="s">
        <v>184</v>
      </c>
      <c r="G30" s="1933">
        <f>F3.5!H20</f>
        <v>41.31</v>
      </c>
      <c r="H30" s="1354">
        <f>E30-G30</f>
        <v>5.6747221999999979</v>
      </c>
      <c r="I30" s="5955" t="s">
        <v>2786</v>
      </c>
      <c r="J30" s="5956"/>
    </row>
    <row r="31" spans="1:10" ht="15.75">
      <c r="A31" s="5855"/>
      <c r="B31" s="5924"/>
      <c r="C31" s="783" t="s">
        <v>1646</v>
      </c>
      <c r="D31" s="1015"/>
      <c r="E31" s="1015"/>
      <c r="F31" s="1015"/>
      <c r="G31" s="1015"/>
      <c r="H31" s="2705"/>
      <c r="I31" s="5957"/>
      <c r="J31" s="5958"/>
    </row>
    <row r="32" spans="1:10" ht="15.75">
      <c r="A32" s="5855"/>
      <c r="B32" s="5924"/>
      <c r="C32" s="783" t="s">
        <v>1638</v>
      </c>
      <c r="D32" s="1015"/>
      <c r="E32" s="1015"/>
      <c r="F32" s="1015"/>
      <c r="G32" s="1015"/>
      <c r="H32" s="2705"/>
      <c r="I32" s="5959"/>
      <c r="J32" s="5960"/>
    </row>
    <row r="34" spans="1:12" ht="15.75">
      <c r="A34" s="5855">
        <f>A30+1</f>
        <v>5</v>
      </c>
      <c r="B34" s="5924" t="s">
        <v>447</v>
      </c>
      <c r="C34" s="614" t="s">
        <v>152</v>
      </c>
      <c r="D34" s="5971" t="s">
        <v>1123</v>
      </c>
      <c r="E34" s="1354">
        <f>(('E6 Summury_2013-14'!AD20/2)+'E6 Summury_2013-14'!AD34)/10^7</f>
        <v>1961.5101995499999</v>
      </c>
      <c r="F34" s="5978" t="s">
        <v>186</v>
      </c>
      <c r="G34" s="1354">
        <f>F5.1!M23</f>
        <v>1961.6681170500003</v>
      </c>
      <c r="H34" s="3295">
        <f>E34-G34</f>
        <v>-0.15791750000039428</v>
      </c>
      <c r="I34" s="5962" t="s">
        <v>2622</v>
      </c>
      <c r="J34" s="5963"/>
    </row>
    <row r="35" spans="1:12" ht="15.75">
      <c r="A35" s="5855"/>
      <c r="B35" s="5924"/>
      <c r="C35" s="614" t="s">
        <v>153</v>
      </c>
      <c r="D35" s="5971"/>
      <c r="E35" s="1354">
        <f>(('E6 Summury_2013-14'!AG20/2)+('E6 Summury_2013-14'!AG34))/10^7-(0.73+0.83)</f>
        <v>99.945659300000003</v>
      </c>
      <c r="F35" s="5953"/>
      <c r="G35" s="1354">
        <f>F5.1!N23-(0.73+0.83)</f>
        <v>99.950761200000002</v>
      </c>
      <c r="H35" s="3295">
        <f>E35-G35</f>
        <v>-5.1018999999996595E-3</v>
      </c>
      <c r="I35" s="5964"/>
      <c r="J35" s="5965"/>
    </row>
    <row r="36" spans="1:12" ht="15.75">
      <c r="A36" s="5855"/>
      <c r="B36" s="5924"/>
      <c r="C36" s="614" t="s">
        <v>169</v>
      </c>
      <c r="D36" s="5971"/>
      <c r="E36" s="1354">
        <f>(('E6 Summury_2013-14'!AH20/2)+('E6 Summury_2013-14'!AH34))/10^7</f>
        <v>15.203106050000001</v>
      </c>
      <c r="F36" s="5953"/>
      <c r="G36" s="1354">
        <f>F5.1!O23</f>
        <v>15.203106049999999</v>
      </c>
      <c r="H36" s="3295">
        <f>E36-G36</f>
        <v>0</v>
      </c>
      <c r="I36" s="5964"/>
      <c r="J36" s="5965"/>
    </row>
    <row r="37" spans="1:12" ht="15.75">
      <c r="A37" s="5855"/>
      <c r="B37" s="5924"/>
      <c r="C37" s="614" t="s">
        <v>2541</v>
      </c>
      <c r="D37" s="5971"/>
      <c r="E37" s="1354">
        <f>'E6 Summury_2013-14'!AI34/10^7</f>
        <v>-10.58</v>
      </c>
      <c r="F37" s="5953"/>
      <c r="G37" s="1933">
        <f>F5.1!P23</f>
        <v>-10.58</v>
      </c>
      <c r="H37" s="3295">
        <f>E37-G37</f>
        <v>0</v>
      </c>
      <c r="I37" s="5964"/>
      <c r="J37" s="5965"/>
    </row>
    <row r="38" spans="1:12" ht="15.75">
      <c r="A38" s="5855"/>
      <c r="B38" s="5924"/>
      <c r="C38" s="614" t="s">
        <v>155</v>
      </c>
      <c r="D38" s="5971"/>
      <c r="E38" s="1354">
        <f>(('E6 Summury_2013-14'!AJ20/2)+('E6 Summury_2013-14'!AJ34))/10^7</f>
        <v>2037.2327528000001</v>
      </c>
      <c r="F38" s="5954"/>
      <c r="G38" s="1354">
        <f>F5.1!Q23</f>
        <v>2037.2327527999998</v>
      </c>
      <c r="H38" s="3295">
        <f>E38-G38</f>
        <v>0</v>
      </c>
      <c r="I38" s="5966"/>
      <c r="J38" s="5967"/>
    </row>
    <row r="40" spans="1:12" ht="15.75">
      <c r="A40" s="1931">
        <f>A34+1</f>
        <v>6</v>
      </c>
      <c r="B40" s="5972" t="s">
        <v>240</v>
      </c>
      <c r="C40" s="5973"/>
      <c r="D40" s="1015" t="s">
        <v>761</v>
      </c>
      <c r="E40" s="1354">
        <f>'E2_2013-14'!F27/10^7</f>
        <v>96.526377600000004</v>
      </c>
      <c r="F40" s="1015" t="s">
        <v>186</v>
      </c>
      <c r="G40" s="1354">
        <f>F5.1!V50</f>
        <v>0</v>
      </c>
      <c r="H40" s="2826">
        <f>E40-G40</f>
        <v>96.526377600000004</v>
      </c>
      <c r="I40" s="5968" t="s">
        <v>2622</v>
      </c>
      <c r="J40" s="5969"/>
    </row>
    <row r="42" spans="1:12">
      <c r="A42" s="5855">
        <f>A40+1</f>
        <v>7</v>
      </c>
      <c r="B42" s="5855" t="s">
        <v>187</v>
      </c>
      <c r="C42" s="1933" t="s">
        <v>2625</v>
      </c>
      <c r="D42" s="1015" t="s">
        <v>761</v>
      </c>
      <c r="E42" s="1354">
        <f>'E2_2013-14'!F30/10^7</f>
        <v>139.7107972</v>
      </c>
      <c r="F42" s="1015"/>
      <c r="G42" s="1354">
        <f>G43+G44</f>
        <v>31.439299999999999</v>
      </c>
      <c r="H42" s="2826">
        <f>E42-G42</f>
        <v>108.2714972</v>
      </c>
      <c r="I42" s="5962" t="s">
        <v>2622</v>
      </c>
      <c r="J42" s="5963"/>
    </row>
    <row r="43" spans="1:12" ht="15.75">
      <c r="A43" s="5855"/>
      <c r="B43" s="5855"/>
      <c r="C43" s="614" t="s">
        <v>2623</v>
      </c>
      <c r="D43" s="1015"/>
      <c r="E43" s="3294">
        <f>('E13_H1F-2013-14'!S24+'E13_H1F-2013-14'!S34+'E13_H1F-2013-14'!S35+'E13_H2F-2013-14'!S24+'E13_H2F-2013-14'!S28+'E13_H2F-2013-14'!S42+'E13_H2F-2013-14'!S43)/100</f>
        <v>7.2970365350000002</v>
      </c>
      <c r="F43" s="1015" t="s">
        <v>188</v>
      </c>
      <c r="G43" s="1933">
        <f>'F6'!G88</f>
        <v>7.29</v>
      </c>
      <c r="H43" s="3296">
        <f>E43-G43</f>
        <v>7.0365350000001214E-3</v>
      </c>
      <c r="I43" s="5964"/>
      <c r="J43" s="5965"/>
    </row>
    <row r="44" spans="1:12" ht="15.75">
      <c r="A44" s="5855"/>
      <c r="B44" s="5855"/>
      <c r="C44" s="614" t="s">
        <v>972</v>
      </c>
      <c r="D44" s="1015" t="s">
        <v>971</v>
      </c>
      <c r="E44" s="1354">
        <f>('E13_H1F-2013-14'!S33+'E13_H1F-2013-14'!S37+'E13_H1F-2013-14'!S41+'E13_H2F-2013-14'!S41+'E13_H2F-2013-14'!S45+'E13_H2F-2013-14'!S49)/100</f>
        <v>132.41353329999998</v>
      </c>
      <c r="F44" s="1015" t="s">
        <v>188</v>
      </c>
      <c r="G44" s="1354">
        <f>'F6'!I209</f>
        <v>24.1493</v>
      </c>
      <c r="H44" s="3295">
        <f>E44-G44</f>
        <v>108.26423329999999</v>
      </c>
      <c r="I44" s="5966"/>
      <c r="J44" s="5967"/>
    </row>
    <row r="46" spans="1:12" ht="44.25" customHeight="1">
      <c r="A46" s="1931">
        <f>A42+1</f>
        <v>8</v>
      </c>
      <c r="B46" s="5974" t="s">
        <v>2791</v>
      </c>
      <c r="C46" s="5975"/>
      <c r="D46" s="3422" t="s">
        <v>1123</v>
      </c>
      <c r="E46" s="3361">
        <f>(('E6 Summury_2013-14'!AG20/2)+('E6 Summury_2013-14'!AG34))/10^7-(0.73+0.83)</f>
        <v>99.945659300000003</v>
      </c>
      <c r="F46" s="3422" t="s">
        <v>186</v>
      </c>
      <c r="G46" s="3361">
        <f>'F5'!G12</f>
        <v>99.952000000000012</v>
      </c>
      <c r="H46" s="3296">
        <f>E46-G46</f>
        <v>-6.3407000000097469E-3</v>
      </c>
      <c r="I46" s="5945" t="s">
        <v>2622</v>
      </c>
      <c r="J46" s="5946"/>
      <c r="L46" s="1268"/>
    </row>
    <row r="48" spans="1:12" ht="15.75">
      <c r="A48" s="5979">
        <f>A46+1</f>
        <v>9</v>
      </c>
      <c r="B48" s="5890" t="s">
        <v>47</v>
      </c>
      <c r="C48" s="1927" t="s">
        <v>194</v>
      </c>
      <c r="D48" s="5971" t="s">
        <v>761</v>
      </c>
      <c r="E48" s="5970">
        <f>'E2_2013-14'!F24/10^7</f>
        <v>121.758145</v>
      </c>
      <c r="F48" s="1015" t="s">
        <v>195</v>
      </c>
      <c r="G48" s="1933">
        <f>'F7 '!H18</f>
        <v>90.21</v>
      </c>
      <c r="H48" s="5947">
        <f>E48-SUM(G48:G50)</f>
        <v>2.5481450000000052</v>
      </c>
      <c r="I48" s="5955" t="s">
        <v>2787</v>
      </c>
      <c r="J48" s="5956"/>
    </row>
    <row r="49" spans="1:10" ht="15.75">
      <c r="A49" s="5980"/>
      <c r="B49" s="5891"/>
      <c r="C49" s="1927" t="s">
        <v>2618</v>
      </c>
      <c r="D49" s="5971"/>
      <c r="E49" s="5970"/>
      <c r="F49" s="1015" t="s">
        <v>2626</v>
      </c>
      <c r="G49" s="1933">
        <f>'F8'!I15</f>
        <v>6.5</v>
      </c>
      <c r="H49" s="5953"/>
      <c r="I49" s="5957"/>
      <c r="J49" s="5958"/>
    </row>
    <row r="50" spans="1:10" ht="15.75">
      <c r="A50" s="5981"/>
      <c r="B50" s="5892"/>
      <c r="C50" s="1927" t="s">
        <v>2619</v>
      </c>
      <c r="D50" s="5971"/>
      <c r="E50" s="5970"/>
      <c r="F50" s="1015" t="s">
        <v>188</v>
      </c>
      <c r="G50" s="1354">
        <f>'F6'!H192</f>
        <v>22.5</v>
      </c>
      <c r="H50" s="5954"/>
      <c r="I50" s="5959"/>
      <c r="J50" s="5960"/>
    </row>
    <row r="52" spans="1:10" ht="15.75">
      <c r="A52" s="1931">
        <f>A48+1</f>
        <v>10</v>
      </c>
      <c r="B52" s="5928" t="s">
        <v>1124</v>
      </c>
      <c r="C52" s="5929"/>
      <c r="D52" s="1015" t="s">
        <v>761</v>
      </c>
      <c r="E52" s="1354">
        <f>('E2_2013-14'!K20+'E2_2013-14'!K26)/10^7</f>
        <v>63.971479899999999</v>
      </c>
      <c r="F52" s="1015" t="s">
        <v>197</v>
      </c>
      <c r="G52" s="1933">
        <f>'F10 '!G33</f>
        <v>61.7873825</v>
      </c>
      <c r="H52" s="3295">
        <f>E52-G52</f>
        <v>2.1840973999999989</v>
      </c>
      <c r="I52" s="5944" t="s">
        <v>2622</v>
      </c>
      <c r="J52" s="5944"/>
    </row>
    <row r="53" spans="1:10">
      <c r="G53" s="2704"/>
    </row>
    <row r="54" spans="1:10" ht="15.75">
      <c r="A54" s="1931">
        <f>A52+1</f>
        <v>11</v>
      </c>
      <c r="B54" s="5928" t="s">
        <v>2627</v>
      </c>
      <c r="C54" s="5929"/>
      <c r="D54" s="1015" t="s">
        <v>761</v>
      </c>
      <c r="E54" s="1354">
        <f>'E2_2013-14'!F34/10^7</f>
        <v>4.8928959000000001</v>
      </c>
      <c r="F54" s="1015" t="s">
        <v>186</v>
      </c>
      <c r="G54" s="1354">
        <f>F5.1!G125</f>
        <v>4.9041702926250013</v>
      </c>
      <c r="H54" s="3295">
        <f>E54-G54</f>
        <v>-1.1274392625001184E-2</v>
      </c>
      <c r="I54" s="5944" t="s">
        <v>2622</v>
      </c>
      <c r="J54" s="5944"/>
    </row>
    <row r="56" spans="1:10" s="3507" customFormat="1" ht="27.75" customHeight="1">
      <c r="A56" s="3484">
        <f>A54+1</f>
        <v>12</v>
      </c>
      <c r="B56" s="5928" t="s">
        <v>2560</v>
      </c>
      <c r="C56" s="5929"/>
      <c r="D56" s="3422" t="s">
        <v>761</v>
      </c>
      <c r="E56" s="3485">
        <f>('E2_2013-14'!K9+'E2_2013-14'!K11)/10^7</f>
        <v>3886.0611250000002</v>
      </c>
      <c r="F56" s="3422" t="s">
        <v>2420</v>
      </c>
      <c r="G56" s="3485">
        <f>'F14'!K105/10^7</f>
        <v>3876.4969516137107</v>
      </c>
      <c r="H56" s="3485">
        <f>E56-G56</f>
        <v>9.5641733862894398</v>
      </c>
      <c r="I56" s="5945" t="s">
        <v>2788</v>
      </c>
      <c r="J56" s="5946"/>
    </row>
  </sheetData>
  <mergeCells count="50">
    <mergeCell ref="F34:F38"/>
    <mergeCell ref="I42:J44"/>
    <mergeCell ref="I2:J3"/>
    <mergeCell ref="A2:A3"/>
    <mergeCell ref="B2:C3"/>
    <mergeCell ref="D2:E2"/>
    <mergeCell ref="F2:G2"/>
    <mergeCell ref="H2:H3"/>
    <mergeCell ref="F4:F17"/>
    <mergeCell ref="E4:E8"/>
    <mergeCell ref="A4:A17"/>
    <mergeCell ref="D4:D17"/>
    <mergeCell ref="E9:E10"/>
    <mergeCell ref="A20:A23"/>
    <mergeCell ref="B20:B23"/>
    <mergeCell ref="A25:A28"/>
    <mergeCell ref="B25:B28"/>
    <mergeCell ref="B4:B17"/>
    <mergeCell ref="A48:A50"/>
    <mergeCell ref="B48:B50"/>
    <mergeCell ref="B42:B44"/>
    <mergeCell ref="A42:A44"/>
    <mergeCell ref="A30:A32"/>
    <mergeCell ref="B30:B32"/>
    <mergeCell ref="A34:A38"/>
    <mergeCell ref="B34:B38"/>
    <mergeCell ref="B56:C56"/>
    <mergeCell ref="I4:J17"/>
    <mergeCell ref="I20:J23"/>
    <mergeCell ref="I25:J28"/>
    <mergeCell ref="I30:J32"/>
    <mergeCell ref="I34:J38"/>
    <mergeCell ref="I40:J40"/>
    <mergeCell ref="E48:E50"/>
    <mergeCell ref="D48:D50"/>
    <mergeCell ref="D34:D38"/>
    <mergeCell ref="B40:C40"/>
    <mergeCell ref="B52:C52"/>
    <mergeCell ref="B54:C54"/>
    <mergeCell ref="B46:C46"/>
    <mergeCell ref="G9:G10"/>
    <mergeCell ref="E11:E13"/>
    <mergeCell ref="I52:J52"/>
    <mergeCell ref="I54:J54"/>
    <mergeCell ref="I56:J56"/>
    <mergeCell ref="H4:H8"/>
    <mergeCell ref="H11:H13"/>
    <mergeCell ref="I46:J46"/>
    <mergeCell ref="H48:H50"/>
    <mergeCell ref="I48:J50"/>
  </mergeCells>
  <pageMargins left="0.7" right="0.7" top="0.75" bottom="0.75" header="0.3" footer="0.3"/>
  <legacyDrawing r:id="rId1"/>
</worksheet>
</file>

<file path=xl/worksheets/sheet64.xml><?xml version="1.0" encoding="utf-8"?>
<worksheet xmlns="http://schemas.openxmlformats.org/spreadsheetml/2006/main" xmlns:r="http://schemas.openxmlformats.org/officeDocument/2006/relationships">
  <sheetPr codeName="Sheet15">
    <pageSetUpPr fitToPage="1"/>
  </sheetPr>
  <dimension ref="A1:X85"/>
  <sheetViews>
    <sheetView showGridLines="0" tabSelected="1" view="pageBreakPreview" zoomScale="70" zoomScaleNormal="66" zoomScaleSheetLayoutView="70" workbookViewId="0">
      <selection activeCell="A25" sqref="A25:XFD60"/>
    </sheetView>
  </sheetViews>
  <sheetFormatPr defaultRowHeight="15.75"/>
  <cols>
    <col min="1" max="1" width="9.140625" style="254" customWidth="1"/>
    <col min="2" max="2" width="9.140625" style="254"/>
    <col min="3" max="3" width="47.7109375" style="254" customWidth="1"/>
    <col min="4" max="4" width="16.28515625" style="254" customWidth="1"/>
    <col min="5" max="5" width="16.140625" style="254" customWidth="1"/>
    <col min="6" max="6" width="16.85546875" style="261" customWidth="1"/>
    <col min="7" max="7" width="14" style="261" customWidth="1"/>
    <col min="8" max="9" width="10.5703125" style="254" customWidth="1"/>
    <col min="10" max="10" width="11" style="254" customWidth="1"/>
    <col min="11" max="11" width="9.140625" style="254" hidden="1" customWidth="1"/>
    <col min="12" max="12" width="39" style="254" hidden="1" customWidth="1"/>
    <col min="13" max="13" width="12.140625" style="254" hidden="1" customWidth="1"/>
    <col min="14" max="14" width="13.85546875" style="254" hidden="1" customWidth="1"/>
    <col min="15" max="15" width="20.140625" style="254" hidden="1" customWidth="1"/>
    <col min="16" max="16" width="18.7109375" style="254" hidden="1" customWidth="1"/>
    <col min="17" max="17" width="17.85546875" style="254" hidden="1" customWidth="1"/>
    <col min="18" max="18" width="9.28515625" style="254" customWidth="1"/>
    <col min="19" max="19" width="9.140625" style="254" customWidth="1"/>
    <col min="20" max="20" width="31.7109375" style="254" customWidth="1"/>
    <col min="21" max="21" width="13.42578125" style="254" customWidth="1"/>
    <col min="22" max="24" width="13" style="254" customWidth="1"/>
    <col min="25" max="28" width="9.140625" style="254" customWidth="1"/>
    <col min="29" max="16384" width="9.140625" style="254"/>
  </cols>
  <sheetData>
    <row r="1" spans="2:17" s="3527" customFormat="1">
      <c r="B1" s="5396" t="s">
        <v>3414</v>
      </c>
      <c r="C1" s="5396"/>
      <c r="D1" s="5396"/>
      <c r="E1" s="5396"/>
      <c r="F1" s="5396"/>
      <c r="G1" s="5396"/>
      <c r="H1" s="5396"/>
      <c r="I1" s="4240"/>
      <c r="J1" s="3727"/>
      <c r="K1" s="4463"/>
      <c r="L1" s="4463"/>
      <c r="M1" s="4463"/>
      <c r="N1" s="4463"/>
      <c r="O1" s="3526"/>
    </row>
    <row r="2" spans="2:17" s="3527" customFormat="1">
      <c r="B2" s="5397" t="s">
        <v>3915</v>
      </c>
      <c r="C2" s="5397"/>
      <c r="D2" s="5397"/>
      <c r="E2" s="5397"/>
      <c r="F2" s="5397"/>
      <c r="G2" s="5397"/>
      <c r="H2" s="5397"/>
      <c r="I2" s="3832"/>
      <c r="J2" s="3831"/>
      <c r="K2" s="4464"/>
      <c r="L2" s="4464"/>
      <c r="M2" s="4464"/>
      <c r="N2" s="4464"/>
    </row>
    <row r="3" spans="2:17" s="3527" customFormat="1">
      <c r="B3" s="5397" t="s">
        <v>3925</v>
      </c>
      <c r="C3" s="5397"/>
      <c r="D3" s="5397"/>
      <c r="E3" s="5397"/>
      <c r="F3" s="5397"/>
      <c r="G3" s="5397"/>
      <c r="H3" s="5397"/>
      <c r="I3" s="3832"/>
      <c r="J3" s="3832"/>
      <c r="K3" s="4464"/>
      <c r="L3" s="4464"/>
      <c r="M3" s="4464"/>
      <c r="N3" s="4464"/>
    </row>
    <row r="5" spans="2:17">
      <c r="B5" s="3710" t="s">
        <v>3400</v>
      </c>
      <c r="C5" s="3710"/>
      <c r="D5" s="3710"/>
    </row>
    <row r="6" spans="2:17">
      <c r="H6" s="1503"/>
    </row>
    <row r="7" spans="2:17" ht="31.5">
      <c r="B7" s="3722" t="s">
        <v>371</v>
      </c>
      <c r="C7" s="3722" t="s">
        <v>81</v>
      </c>
      <c r="D7" s="4869"/>
      <c r="E7" s="3722" t="s">
        <v>2281</v>
      </c>
      <c r="F7" s="4875" t="s">
        <v>755</v>
      </c>
      <c r="G7" s="4872" t="s">
        <v>3298</v>
      </c>
      <c r="H7" s="1503"/>
      <c r="K7" s="3722" t="s">
        <v>371</v>
      </c>
      <c r="L7" s="3722" t="s">
        <v>81</v>
      </c>
      <c r="M7" s="4811"/>
      <c r="N7" s="3722" t="s">
        <v>2281</v>
      </c>
      <c r="O7" s="4813" t="s">
        <v>660</v>
      </c>
      <c r="P7" s="4813" t="s">
        <v>3582</v>
      </c>
      <c r="Q7" s="4813" t="s">
        <v>47</v>
      </c>
    </row>
    <row r="8" spans="2:17">
      <c r="B8" s="4874">
        <v>1</v>
      </c>
      <c r="C8" s="1303" t="s">
        <v>1920</v>
      </c>
      <c r="D8" s="4874"/>
      <c r="E8" s="4874"/>
      <c r="F8" s="4873">
        <v>589.33000000000004</v>
      </c>
      <c r="G8" s="4873">
        <f>Q8</f>
        <v>589.33000000000004</v>
      </c>
      <c r="H8" s="1503"/>
      <c r="K8" s="4821">
        <v>1</v>
      </c>
      <c r="L8" s="481" t="s">
        <v>1920</v>
      </c>
      <c r="M8" s="4816"/>
      <c r="N8" s="4821"/>
      <c r="O8" s="4815">
        <v>-91.05</v>
      </c>
      <c r="P8" s="4815">
        <f>'Transport deficit'!D25+'Transport deficit'!E25</f>
        <v>680.38</v>
      </c>
      <c r="Q8" s="4815">
        <f>O8+P8</f>
        <v>589.33000000000004</v>
      </c>
    </row>
    <row r="9" spans="2:17">
      <c r="B9" s="4874">
        <f>B8+1</f>
        <v>2</v>
      </c>
      <c r="C9" s="1303" t="s">
        <v>2275</v>
      </c>
      <c r="D9" s="4874"/>
      <c r="E9" s="1383">
        <v>0.1439</v>
      </c>
      <c r="F9" s="4873">
        <f>F$8*$E9</f>
        <v>84.804587000000012</v>
      </c>
      <c r="G9" s="4873">
        <f>G$8*$E9</f>
        <v>84.804587000000012</v>
      </c>
      <c r="H9" s="1503"/>
      <c r="K9" s="4821">
        <f>K8+1</f>
        <v>2</v>
      </c>
      <c r="L9" s="481" t="s">
        <v>2275</v>
      </c>
      <c r="M9" s="4816"/>
      <c r="N9" s="840">
        <v>0.1439</v>
      </c>
      <c r="O9" s="4815">
        <f>O$8*$N9</f>
        <v>-13.102095</v>
      </c>
      <c r="P9" s="4815">
        <f>P$8*$N9</f>
        <v>97.906682000000004</v>
      </c>
      <c r="Q9" s="4815">
        <f>O9+P9</f>
        <v>84.804586999999998</v>
      </c>
    </row>
    <row r="10" spans="2:17">
      <c r="B10" s="4874">
        <f t="shared" ref="B10:B22" si="0">B9+1</f>
        <v>3</v>
      </c>
      <c r="C10" s="1303" t="s">
        <v>2276</v>
      </c>
      <c r="D10" s="4874"/>
      <c r="E10" s="1383">
        <v>0.1462</v>
      </c>
      <c r="F10" s="4873">
        <f>F$8*$E10</f>
        <v>86.160046000000008</v>
      </c>
      <c r="G10" s="4873">
        <f>G$8*$E10</f>
        <v>86.160046000000008</v>
      </c>
      <c r="H10" s="1503"/>
      <c r="K10" s="4821">
        <f t="shared" ref="K10:K22" si="1">K9+1</f>
        <v>3</v>
      </c>
      <c r="L10" s="481" t="s">
        <v>2276</v>
      </c>
      <c r="M10" s="4816"/>
      <c r="N10" s="840">
        <v>0.1462</v>
      </c>
      <c r="O10" s="4815">
        <f>O$8*$N10</f>
        <v>-13.311509999999998</v>
      </c>
      <c r="P10" s="4815">
        <f>P$8*$N10</f>
        <v>99.471555999999993</v>
      </c>
      <c r="Q10" s="4815">
        <f>O10+P10</f>
        <v>86.160045999999994</v>
      </c>
    </row>
    <row r="11" spans="2:17" ht="31.5">
      <c r="B11" s="4868">
        <f t="shared" si="0"/>
        <v>4</v>
      </c>
      <c r="C11" s="4880" t="s">
        <v>2951</v>
      </c>
      <c r="D11" s="4868" t="s">
        <v>233</v>
      </c>
      <c r="E11" s="4868"/>
      <c r="F11" s="814">
        <f>SUM(F8:F10)</f>
        <v>760.29463299999998</v>
      </c>
      <c r="G11" s="814">
        <f>SUM(G8:G10)</f>
        <v>760.29463299999998</v>
      </c>
      <c r="H11" s="1503"/>
      <c r="K11" s="4817">
        <f t="shared" si="1"/>
        <v>4</v>
      </c>
      <c r="L11" s="904" t="s">
        <v>2951</v>
      </c>
      <c r="M11" s="4810" t="s">
        <v>233</v>
      </c>
      <c r="N11" s="4817"/>
      <c r="O11" s="814">
        <f>SUM(O8:O10)</f>
        <v>-117.463605</v>
      </c>
      <c r="P11" s="814">
        <f>SUM(P8:P10)</f>
        <v>877.75823800000001</v>
      </c>
      <c r="Q11" s="814">
        <f>SUM(Q8:Q10)</f>
        <v>760.29463299999998</v>
      </c>
    </row>
    <row r="12" spans="2:17">
      <c r="B12" s="4874">
        <f t="shared" si="0"/>
        <v>5</v>
      </c>
      <c r="C12" s="1303" t="s">
        <v>2277</v>
      </c>
      <c r="D12" s="4874"/>
      <c r="E12" s="4874"/>
      <c r="F12" s="4873">
        <v>559.34</v>
      </c>
      <c r="G12" s="4873">
        <f>Q12</f>
        <v>559.34</v>
      </c>
      <c r="H12" s="1503"/>
      <c r="K12" s="4821">
        <f t="shared" si="1"/>
        <v>5</v>
      </c>
      <c r="L12" s="481" t="s">
        <v>2277</v>
      </c>
      <c r="M12" s="4816"/>
      <c r="N12" s="4821"/>
      <c r="O12" s="4815">
        <v>294.64999999999998</v>
      </c>
      <c r="P12" s="4815">
        <f>'Transport deficit'!F25</f>
        <v>264.69000000000005</v>
      </c>
      <c r="Q12" s="4815">
        <f>O12+P12</f>
        <v>559.34</v>
      </c>
    </row>
    <row r="13" spans="2:17" ht="31.5">
      <c r="B13" s="4874">
        <f t="shared" si="0"/>
        <v>6</v>
      </c>
      <c r="C13" s="1303" t="s">
        <v>2280</v>
      </c>
      <c r="D13" s="4874"/>
      <c r="E13" s="1383">
        <v>0.1462</v>
      </c>
      <c r="F13" s="4873">
        <f>$G$12*$E$13</f>
        <v>81.775508000000002</v>
      </c>
      <c r="G13" s="4873">
        <f>$G$12*$E$13</f>
        <v>81.775508000000002</v>
      </c>
      <c r="H13" s="1503"/>
      <c r="K13" s="4821">
        <f t="shared" si="1"/>
        <v>6</v>
      </c>
      <c r="L13" s="481" t="s">
        <v>2280</v>
      </c>
      <c r="M13" s="4816"/>
      <c r="N13" s="840">
        <v>0.1462</v>
      </c>
      <c r="O13" s="4815">
        <f>O$12*$N13</f>
        <v>43.077829999999999</v>
      </c>
      <c r="P13" s="4815">
        <f>P$12*$N13</f>
        <v>38.69767800000001</v>
      </c>
      <c r="Q13" s="4815">
        <f>O13+P13</f>
        <v>81.775508000000002</v>
      </c>
    </row>
    <row r="14" spans="2:17" ht="31.5">
      <c r="B14" s="4868">
        <f t="shared" si="0"/>
        <v>7</v>
      </c>
      <c r="C14" s="4880" t="s">
        <v>2952</v>
      </c>
      <c r="D14" s="4868" t="s">
        <v>234</v>
      </c>
      <c r="E14" s="4868"/>
      <c r="F14" s="814">
        <f>SUM(F12:F13)</f>
        <v>641.11550800000009</v>
      </c>
      <c r="G14" s="814">
        <f>SUM(G12:G13)</f>
        <v>641.11550800000009</v>
      </c>
      <c r="H14" s="1503"/>
      <c r="K14" s="4817">
        <f t="shared" si="1"/>
        <v>7</v>
      </c>
      <c r="L14" s="904" t="s">
        <v>2952</v>
      </c>
      <c r="M14" s="4810" t="s">
        <v>234</v>
      </c>
      <c r="N14" s="4817"/>
      <c r="O14" s="814">
        <f>SUM(O12:O13)</f>
        <v>337.72782999999998</v>
      </c>
      <c r="P14" s="814">
        <f>SUM(P12:P13)</f>
        <v>303.38767800000005</v>
      </c>
      <c r="Q14" s="814">
        <f>SUM(Q12:Q13)</f>
        <v>641.11550800000009</v>
      </c>
    </row>
    <row r="15" spans="2:17" ht="31.5">
      <c r="B15" s="4874">
        <f t="shared" si="0"/>
        <v>8</v>
      </c>
      <c r="C15" s="1303" t="s">
        <v>2282</v>
      </c>
      <c r="D15" s="4874"/>
      <c r="E15" s="4874"/>
      <c r="F15" s="4874">
        <v>300</v>
      </c>
      <c r="G15" s="4873">
        <f>Q15</f>
        <v>300</v>
      </c>
      <c r="H15" s="1503"/>
      <c r="K15" s="4821">
        <f t="shared" si="1"/>
        <v>8</v>
      </c>
      <c r="L15" s="481" t="s">
        <v>2282</v>
      </c>
      <c r="M15" s="4816"/>
      <c r="N15" s="4821"/>
      <c r="O15" s="4815">
        <v>300</v>
      </c>
      <c r="P15" s="4815">
        <f>0</f>
        <v>0</v>
      </c>
      <c r="Q15" s="4815">
        <f t="shared" ref="Q15:Q16" si="2">O15+P15</f>
        <v>300</v>
      </c>
    </row>
    <row r="16" spans="2:17">
      <c r="B16" s="4874">
        <f t="shared" si="0"/>
        <v>9</v>
      </c>
      <c r="C16" s="1303" t="s">
        <v>2276</v>
      </c>
      <c r="D16" s="4874"/>
      <c r="E16" s="1383">
        <v>0.1462</v>
      </c>
      <c r="F16" s="4873">
        <f>$G$15*$E$16</f>
        <v>43.86</v>
      </c>
      <c r="G16" s="4873">
        <f>$G$15*$E$16</f>
        <v>43.86</v>
      </c>
      <c r="H16" s="1503"/>
      <c r="K16" s="4821">
        <f t="shared" si="1"/>
        <v>9</v>
      </c>
      <c r="L16" s="481" t="s">
        <v>2276</v>
      </c>
      <c r="M16" s="4816"/>
      <c r="N16" s="840">
        <v>0.1462</v>
      </c>
      <c r="O16" s="4815">
        <f>O15*N16</f>
        <v>43.86</v>
      </c>
      <c r="P16" s="4815">
        <f>P15*O16</f>
        <v>0</v>
      </c>
      <c r="Q16" s="4815">
        <f t="shared" si="2"/>
        <v>43.86</v>
      </c>
    </row>
    <row r="17" spans="2:24" ht="31.5">
      <c r="B17" s="4868">
        <f t="shared" si="0"/>
        <v>10</v>
      </c>
      <c r="C17" s="4880" t="s">
        <v>2278</v>
      </c>
      <c r="D17" s="4868" t="s">
        <v>1116</v>
      </c>
      <c r="E17" s="4868"/>
      <c r="F17" s="814">
        <f>SUM(F15:F16)</f>
        <v>343.86</v>
      </c>
      <c r="G17" s="814">
        <f>SUM(G15:G16)</f>
        <v>343.86</v>
      </c>
      <c r="H17" s="1503"/>
      <c r="K17" s="4817">
        <f t="shared" si="1"/>
        <v>10</v>
      </c>
      <c r="L17" s="904" t="s">
        <v>2278</v>
      </c>
      <c r="M17" s="4810" t="s">
        <v>1116</v>
      </c>
      <c r="N17" s="4817"/>
      <c r="O17" s="814">
        <f>SUM(O15:O16)</f>
        <v>343.86</v>
      </c>
      <c r="P17" s="814">
        <f>SUM(P15:P16)</f>
        <v>0</v>
      </c>
      <c r="Q17" s="814">
        <f>SUM(Q15:Q16)</f>
        <v>343.86</v>
      </c>
    </row>
    <row r="18" spans="2:24" ht="31.5">
      <c r="B18" s="4868">
        <f t="shared" si="0"/>
        <v>11</v>
      </c>
      <c r="C18" s="4880" t="s">
        <v>2279</v>
      </c>
      <c r="D18" s="4868" t="s">
        <v>2956</v>
      </c>
      <c r="E18" s="4868"/>
      <c r="F18" s="4868">
        <v>1187.71</v>
      </c>
      <c r="G18" s="814">
        <f>Q18</f>
        <v>1187.71</v>
      </c>
      <c r="H18" s="1503"/>
      <c r="K18" s="4817">
        <f t="shared" si="1"/>
        <v>11</v>
      </c>
      <c r="L18" s="904" t="s">
        <v>2279</v>
      </c>
      <c r="M18" s="4810" t="s">
        <v>2956</v>
      </c>
      <c r="N18" s="4817"/>
      <c r="O18" s="814">
        <v>0</v>
      </c>
      <c r="P18" s="814">
        <f>'Transport deficit'!C25</f>
        <v>1187.71</v>
      </c>
      <c r="Q18" s="814">
        <f>SUM(O18:P18)</f>
        <v>1187.71</v>
      </c>
    </row>
    <row r="19" spans="2:24" ht="31.5">
      <c r="B19" s="4868">
        <f t="shared" si="0"/>
        <v>12</v>
      </c>
      <c r="C19" s="4880" t="s">
        <v>2949</v>
      </c>
      <c r="D19" s="4868" t="s">
        <v>2959</v>
      </c>
      <c r="E19" s="4874"/>
      <c r="F19" s="814">
        <f>F11+F14+F17+F18</f>
        <v>2932.980141</v>
      </c>
      <c r="G19" s="814">
        <f>G11+G14+G17+G18</f>
        <v>2932.980141</v>
      </c>
      <c r="H19" s="1503"/>
      <c r="K19" s="4817">
        <f t="shared" si="1"/>
        <v>12</v>
      </c>
      <c r="L19" s="904" t="s">
        <v>2949</v>
      </c>
      <c r="M19" s="4810" t="s">
        <v>2959</v>
      </c>
      <c r="N19" s="4821"/>
      <c r="O19" s="814">
        <f>O11+O14+O17+O18</f>
        <v>564.12422500000002</v>
      </c>
      <c r="P19" s="814">
        <f>P11+P14+P17+P18</f>
        <v>2368.855916</v>
      </c>
      <c r="Q19" s="814">
        <f>Q11+Q14+Q17+Q18</f>
        <v>2932.980141</v>
      </c>
    </row>
    <row r="20" spans="2:24">
      <c r="B20" s="4868"/>
      <c r="C20" s="4880"/>
      <c r="D20" s="4874"/>
      <c r="E20" s="4874"/>
      <c r="F20" s="4874"/>
      <c r="G20" s="814"/>
      <c r="H20" s="1503"/>
      <c r="K20" s="4817"/>
      <c r="L20" s="904"/>
      <c r="M20" s="4816"/>
      <c r="N20" s="4821"/>
      <c r="O20" s="814"/>
      <c r="P20" s="814"/>
      <c r="Q20" s="814"/>
    </row>
    <row r="21" spans="2:24">
      <c r="B21" s="4868">
        <f>B19+1</f>
        <v>13</v>
      </c>
      <c r="C21" s="4880" t="s">
        <v>2950</v>
      </c>
      <c r="D21" s="4868" t="s">
        <v>2957</v>
      </c>
      <c r="E21" s="4874"/>
      <c r="F21" s="4868">
        <v>271.85000000000002</v>
      </c>
      <c r="G21" s="814">
        <f>-F33</f>
        <v>314.44637512811806</v>
      </c>
      <c r="H21" s="3014"/>
      <c r="K21" s="4817">
        <f>K19+1</f>
        <v>13</v>
      </c>
      <c r="L21" s="904" t="s">
        <v>2950</v>
      </c>
      <c r="M21" s="4810" t="s">
        <v>2957</v>
      </c>
      <c r="N21" s="4821"/>
      <c r="O21" s="814">
        <f>-'ARR_Supply and Trans'!G39</f>
        <v>540.16684746717897</v>
      </c>
      <c r="P21" s="814">
        <f>-'ARR_Supply and Trans'!G52</f>
        <v>-225.72047233906079</v>
      </c>
      <c r="Q21" s="814">
        <f>SUM(O21:P21)</f>
        <v>314.44637512811818</v>
      </c>
    </row>
    <row r="22" spans="2:24" ht="31.5">
      <c r="B22" s="4868">
        <f t="shared" si="0"/>
        <v>14</v>
      </c>
      <c r="C22" s="4880" t="s">
        <v>2216</v>
      </c>
      <c r="D22" s="4868" t="s">
        <v>2958</v>
      </c>
      <c r="E22" s="4868"/>
      <c r="F22" s="4868">
        <v>304.14999999999998</v>
      </c>
      <c r="G22" s="814">
        <f>O22</f>
        <v>304.14999999999998</v>
      </c>
      <c r="H22" s="1503"/>
      <c r="K22" s="4817">
        <f t="shared" si="1"/>
        <v>14</v>
      </c>
      <c r="L22" s="904" t="s">
        <v>2216</v>
      </c>
      <c r="M22" s="4810" t="s">
        <v>2958</v>
      </c>
      <c r="N22" s="4817"/>
      <c r="O22" s="814">
        <v>304.14999999999998</v>
      </c>
      <c r="P22" s="814"/>
      <c r="Q22" s="814">
        <f>SUM(O22:P22)</f>
        <v>304.14999999999998</v>
      </c>
    </row>
    <row r="23" spans="2:24">
      <c r="B23" s="4868"/>
      <c r="C23" s="4880"/>
      <c r="D23" s="4874"/>
      <c r="E23" s="4868"/>
      <c r="F23" s="4874"/>
      <c r="G23" s="814"/>
      <c r="H23" s="1503"/>
      <c r="K23" s="4817"/>
      <c r="L23" s="904"/>
      <c r="M23" s="4816"/>
      <c r="N23" s="4817"/>
      <c r="O23" s="814"/>
      <c r="P23" s="814"/>
      <c r="Q23" s="814"/>
    </row>
    <row r="24" spans="2:24" ht="31.5">
      <c r="B24" s="4868">
        <f>B22+1</f>
        <v>15</v>
      </c>
      <c r="C24" s="4880" t="s">
        <v>2953</v>
      </c>
      <c r="D24" s="4868" t="s">
        <v>2960</v>
      </c>
      <c r="E24" s="4868"/>
      <c r="F24" s="814">
        <f>F19+F21+F22</f>
        <v>3508.980141</v>
      </c>
      <c r="G24" s="814">
        <f>G19+G21+G22</f>
        <v>3551.5765161281183</v>
      </c>
      <c r="H24" s="1504"/>
      <c r="K24" s="4817">
        <f>K22+1</f>
        <v>15</v>
      </c>
      <c r="L24" s="904" t="s">
        <v>2953</v>
      </c>
      <c r="M24" s="4810" t="s">
        <v>2960</v>
      </c>
      <c r="N24" s="4817"/>
      <c r="O24" s="814">
        <f>O19+O21+O22</f>
        <v>1408.4410724671789</v>
      </c>
      <c r="P24" s="814">
        <f>P19+P21+P22</f>
        <v>2143.135443660939</v>
      </c>
      <c r="Q24" s="814">
        <f>Q19+Q21+Q22</f>
        <v>3551.5765161281183</v>
      </c>
    </row>
    <row r="25" spans="2:24" hidden="1">
      <c r="F25" s="263"/>
      <c r="H25" s="1503"/>
    </row>
    <row r="26" spans="2:24" hidden="1">
      <c r="B26" s="3696" t="s">
        <v>2945</v>
      </c>
      <c r="C26" s="1642"/>
      <c r="H26" s="1503"/>
      <c r="K26" s="4458" t="s">
        <v>1435</v>
      </c>
      <c r="S26" s="4458" t="s">
        <v>3287</v>
      </c>
    </row>
    <row r="27" spans="2:24" hidden="1">
      <c r="B27" s="3712"/>
      <c r="C27" s="3713"/>
      <c r="H27" s="1503"/>
    </row>
    <row r="28" spans="2:24" ht="31.5" hidden="1">
      <c r="B28" s="3667" t="s">
        <v>651</v>
      </c>
      <c r="C28" s="3667" t="s">
        <v>491</v>
      </c>
      <c r="D28" s="3667" t="s">
        <v>2898</v>
      </c>
      <c r="E28" s="3666" t="s">
        <v>755</v>
      </c>
      <c r="F28" s="4870" t="s">
        <v>758</v>
      </c>
      <c r="H28" s="1503"/>
      <c r="K28" s="4812" t="s">
        <v>651</v>
      </c>
      <c r="L28" s="4812" t="s">
        <v>81</v>
      </c>
      <c r="M28" s="4812" t="s">
        <v>2898</v>
      </c>
      <c r="N28" s="4812" t="s">
        <v>1845</v>
      </c>
      <c r="O28" s="4812" t="s">
        <v>2442</v>
      </c>
      <c r="P28" s="4812" t="s">
        <v>2443</v>
      </c>
      <c r="S28" s="4812" t="s">
        <v>651</v>
      </c>
      <c r="T28" s="4812" t="s">
        <v>81</v>
      </c>
      <c r="U28" s="4812" t="s">
        <v>2898</v>
      </c>
      <c r="V28" s="4812" t="s">
        <v>1845</v>
      </c>
      <c r="W28" s="4812" t="s">
        <v>2442</v>
      </c>
      <c r="X28" s="4812" t="s">
        <v>2443</v>
      </c>
    </row>
    <row r="29" spans="2:24" hidden="1">
      <c r="B29" s="3673">
        <v>1</v>
      </c>
      <c r="C29" s="258" t="s">
        <v>2272</v>
      </c>
      <c r="D29" s="258" t="s">
        <v>151</v>
      </c>
      <c r="E29" s="799">
        <v>3882.57</v>
      </c>
      <c r="F29" s="257">
        <f>'ARR Summary'!$G$30</f>
        <v>3927.0522803999775</v>
      </c>
      <c r="H29" s="1503"/>
      <c r="K29" s="3720"/>
      <c r="L29" s="3721" t="s">
        <v>2962</v>
      </c>
      <c r="M29" s="3720"/>
      <c r="N29" s="3720"/>
      <c r="O29" s="3720"/>
      <c r="P29" s="3720"/>
      <c r="R29" s="4458"/>
      <c r="S29" s="3720"/>
      <c r="T29" s="788" t="s">
        <v>660</v>
      </c>
      <c r="U29" s="3720"/>
      <c r="V29" s="3720"/>
      <c r="W29" s="3720"/>
      <c r="X29" s="3720"/>
    </row>
    <row r="30" spans="2:24" hidden="1">
      <c r="B30" s="3673">
        <f>B29+1</f>
        <v>2</v>
      </c>
      <c r="C30" s="258" t="s">
        <v>2273</v>
      </c>
      <c r="D30" s="258" t="s">
        <v>151</v>
      </c>
      <c r="E30" s="799">
        <v>3610.73</v>
      </c>
      <c r="F30" s="257">
        <f>'ARR Summary'!$G$36</f>
        <v>3610.7259052718596</v>
      </c>
      <c r="H30" s="1503"/>
      <c r="K30" s="4821">
        <v>1</v>
      </c>
      <c r="L30" s="258" t="s">
        <v>2946</v>
      </c>
      <c r="M30" s="258" t="s">
        <v>151</v>
      </c>
      <c r="N30" s="799">
        <f>O24-O22</f>
        <v>1104.2910724671788</v>
      </c>
      <c r="O30" s="799">
        <f>N32</f>
        <v>736.19404831145243</v>
      </c>
      <c r="P30" s="799">
        <f>O32</f>
        <v>368.09702415572616</v>
      </c>
      <c r="S30" s="4821">
        <v>1</v>
      </c>
      <c r="T30" s="258" t="s">
        <v>2139</v>
      </c>
      <c r="U30" s="258" t="s">
        <v>151</v>
      </c>
      <c r="V30" s="799">
        <f>O24-O21+F21-P21</f>
        <v>1365.8446973390608</v>
      </c>
      <c r="W30" s="799">
        <f>V32</f>
        <v>910.56313155937391</v>
      </c>
      <c r="X30" s="799">
        <f>W32</f>
        <v>455.28156577968701</v>
      </c>
    </row>
    <row r="31" spans="2:24" hidden="1">
      <c r="B31" s="4788">
        <v>3</v>
      </c>
      <c r="C31" s="258" t="s">
        <v>3570</v>
      </c>
      <c r="D31" s="258" t="s">
        <v>151</v>
      </c>
      <c r="E31" s="799"/>
      <c r="F31" s="257">
        <v>6.93</v>
      </c>
      <c r="H31" s="1503"/>
      <c r="K31" s="4821">
        <f t="shared" ref="K31:K47" si="3">K30+1</f>
        <v>2</v>
      </c>
      <c r="L31" s="258" t="s">
        <v>2948</v>
      </c>
      <c r="M31" s="258" t="s">
        <v>151</v>
      </c>
      <c r="N31" s="799">
        <f>N30/3</f>
        <v>368.09702415572627</v>
      </c>
      <c r="O31" s="799">
        <f>N31</f>
        <v>368.09702415572627</v>
      </c>
      <c r="P31" s="799">
        <f>O31</f>
        <v>368.09702415572627</v>
      </c>
      <c r="S31" s="4821">
        <f t="shared" ref="S31:S36" si="4">S30+1</f>
        <v>2</v>
      </c>
      <c r="T31" s="258" t="s">
        <v>2948</v>
      </c>
      <c r="U31" s="258" t="s">
        <v>151</v>
      </c>
      <c r="V31" s="799">
        <f>V30/3</f>
        <v>455.2815657796869</v>
      </c>
      <c r="W31" s="799">
        <f>V31</f>
        <v>455.2815657796869</v>
      </c>
      <c r="X31" s="799">
        <f>W31</f>
        <v>455.2815657796869</v>
      </c>
    </row>
    <row r="32" spans="2:24" hidden="1">
      <c r="B32" s="4788">
        <v>4</v>
      </c>
      <c r="C32" s="258" t="s">
        <v>3571</v>
      </c>
      <c r="D32" s="258" t="s">
        <v>151</v>
      </c>
      <c r="E32" s="799"/>
      <c r="F32" s="257">
        <v>5.05</v>
      </c>
      <c r="H32" s="1503"/>
      <c r="K32" s="4821">
        <f t="shared" si="3"/>
        <v>3</v>
      </c>
      <c r="L32" s="258" t="s">
        <v>2142</v>
      </c>
      <c r="M32" s="258" t="s">
        <v>151</v>
      </c>
      <c r="N32" s="799">
        <f>N30-N31</f>
        <v>736.19404831145243</v>
      </c>
      <c r="O32" s="799">
        <f>O30-O31</f>
        <v>368.09702415572616</v>
      </c>
      <c r="P32" s="799">
        <f>P30-P31</f>
        <v>0</v>
      </c>
      <c r="S32" s="4821">
        <f t="shared" si="4"/>
        <v>3</v>
      </c>
      <c r="T32" s="258" t="s">
        <v>2142</v>
      </c>
      <c r="U32" s="258" t="s">
        <v>151</v>
      </c>
      <c r="V32" s="799">
        <f>V30-V31</f>
        <v>910.56313155937391</v>
      </c>
      <c r="W32" s="799">
        <f>W30-W31</f>
        <v>455.28156577968701</v>
      </c>
      <c r="X32" s="799">
        <f>X30-X31</f>
        <v>0</v>
      </c>
    </row>
    <row r="33" spans="1:24" hidden="1">
      <c r="B33" s="3673">
        <v>5</v>
      </c>
      <c r="C33" s="258" t="s">
        <v>2274</v>
      </c>
      <c r="D33" s="258" t="s">
        <v>151</v>
      </c>
      <c r="E33" s="1267">
        <f>E30-E29</f>
        <v>-271.84000000000015</v>
      </c>
      <c r="F33" s="4876">
        <f>F30+F31-F29-F32</f>
        <v>-314.44637512811806</v>
      </c>
      <c r="H33" s="1503"/>
      <c r="K33" s="4819">
        <f t="shared" si="3"/>
        <v>4</v>
      </c>
      <c r="L33" s="258" t="s">
        <v>2268</v>
      </c>
      <c r="M33" s="258" t="s">
        <v>151</v>
      </c>
      <c r="N33" s="799">
        <f>AVERAGE(N30,N32)</f>
        <v>920.2425603893156</v>
      </c>
      <c r="O33" s="799">
        <f t="shared" ref="O33:P33" si="5">AVERAGE(O30,O32)</f>
        <v>552.14553623358927</v>
      </c>
      <c r="P33" s="799">
        <f t="shared" si="5"/>
        <v>184.04851207786308</v>
      </c>
      <c r="S33" s="4819">
        <f t="shared" si="4"/>
        <v>4</v>
      </c>
      <c r="T33" s="258" t="s">
        <v>2268</v>
      </c>
      <c r="U33" s="258" t="s">
        <v>151</v>
      </c>
      <c r="V33" s="799">
        <f>AVERAGE(V30,V32)</f>
        <v>1138.2039144492173</v>
      </c>
      <c r="W33" s="799">
        <f t="shared" ref="W33:X33" si="6">AVERAGE(W30,W32)</f>
        <v>682.92234866953049</v>
      </c>
      <c r="X33" s="799">
        <f t="shared" si="6"/>
        <v>227.64078288984351</v>
      </c>
    </row>
    <row r="34" spans="1:24" hidden="1">
      <c r="H34" s="1503"/>
      <c r="K34" s="4819">
        <f t="shared" si="3"/>
        <v>5</v>
      </c>
      <c r="L34" s="258" t="s">
        <v>2947</v>
      </c>
      <c r="M34" s="258" t="s">
        <v>151</v>
      </c>
      <c r="N34" s="3715">
        <f>Assumptions!$F$42</f>
        <v>0.14582602739726028</v>
      </c>
      <c r="O34" s="3715">
        <f>Assumptions!$G$42</f>
        <v>0.14749999999999999</v>
      </c>
      <c r="P34" s="3715">
        <f>Assumptions!$H$42</f>
        <v>0.14749999999999999</v>
      </c>
      <c r="S34" s="4819">
        <f t="shared" si="4"/>
        <v>5</v>
      </c>
      <c r="T34" s="258" t="s">
        <v>2947</v>
      </c>
      <c r="U34" s="258" t="s">
        <v>151</v>
      </c>
      <c r="V34" s="3715">
        <f>Assumptions!$F$42</f>
        <v>0.14582602739726028</v>
      </c>
      <c r="W34" s="3715">
        <f>Assumptions!$G$42</f>
        <v>0.14749999999999999</v>
      </c>
      <c r="X34" s="3715">
        <f>Assumptions!$H$42</f>
        <v>0.14749999999999999</v>
      </c>
    </row>
    <row r="35" spans="1:24" hidden="1">
      <c r="C35" s="1642"/>
      <c r="D35" s="1642"/>
      <c r="H35" s="1503"/>
      <c r="K35" s="4819">
        <f t="shared" si="3"/>
        <v>6</v>
      </c>
      <c r="L35" s="258" t="s">
        <v>2270</v>
      </c>
      <c r="M35" s="258" t="s">
        <v>151</v>
      </c>
      <c r="N35" s="799">
        <f>N33*N34</f>
        <v>134.19531682345729</v>
      </c>
      <c r="O35" s="799">
        <f t="shared" ref="O35:P35" si="7">O33*O34</f>
        <v>81.441466594454411</v>
      </c>
      <c r="P35" s="799">
        <f t="shared" si="7"/>
        <v>27.147155531484803</v>
      </c>
      <c r="S35" s="4819">
        <f t="shared" si="4"/>
        <v>6</v>
      </c>
      <c r="T35" s="258" t="s">
        <v>2270</v>
      </c>
      <c r="U35" s="258" t="s">
        <v>151</v>
      </c>
      <c r="V35" s="799">
        <f>V33*V34</f>
        <v>165.97975521214045</v>
      </c>
      <c r="W35" s="799">
        <f t="shared" ref="W35:X35" si="8">W33*W34</f>
        <v>100.73104642875575</v>
      </c>
      <c r="X35" s="799">
        <f t="shared" si="8"/>
        <v>33.577015476251916</v>
      </c>
    </row>
    <row r="36" spans="1:24" hidden="1">
      <c r="A36" s="3716"/>
      <c r="B36" s="3717" t="s">
        <v>2961</v>
      </c>
      <c r="C36" s="3716"/>
      <c r="D36" s="3716"/>
      <c r="E36" s="3716"/>
      <c r="F36" s="4877"/>
      <c r="G36" s="4877"/>
      <c r="H36" s="4877"/>
      <c r="K36" s="4819">
        <f t="shared" si="3"/>
        <v>7</v>
      </c>
      <c r="L36" s="258" t="s">
        <v>2271</v>
      </c>
      <c r="M36" s="258" t="s">
        <v>151</v>
      </c>
      <c r="N36" s="799">
        <f>N31+N35</f>
        <v>502.29234097918356</v>
      </c>
      <c r="O36" s="799">
        <f>O31+O35</f>
        <v>449.5384907501807</v>
      </c>
      <c r="P36" s="799">
        <f>P31+P35</f>
        <v>395.2441796872111</v>
      </c>
      <c r="S36" s="4819">
        <f t="shared" si="4"/>
        <v>7</v>
      </c>
      <c r="T36" s="258" t="s">
        <v>2271</v>
      </c>
      <c r="U36" s="258" t="s">
        <v>151</v>
      </c>
      <c r="V36" s="799">
        <f>V31+V35</f>
        <v>621.26132099182735</v>
      </c>
      <c r="W36" s="799">
        <f>W31+W35</f>
        <v>556.01261220844265</v>
      </c>
      <c r="X36" s="799">
        <f>X31+X35</f>
        <v>488.85858125593882</v>
      </c>
    </row>
    <row r="37" spans="1:24" s="1042" customFormat="1" hidden="1">
      <c r="B37" s="3723"/>
      <c r="F37" s="1067"/>
      <c r="G37" s="1067"/>
      <c r="H37" s="3724"/>
      <c r="K37" s="4819">
        <f t="shared" si="3"/>
        <v>8</v>
      </c>
      <c r="L37" s="258"/>
      <c r="M37" s="258"/>
      <c r="N37" s="258"/>
      <c r="O37" s="799"/>
      <c r="P37" s="258"/>
      <c r="R37" s="254"/>
      <c r="S37" s="258"/>
      <c r="T37" s="788" t="s">
        <v>3582</v>
      </c>
      <c r="U37" s="4840"/>
      <c r="V37" s="4840"/>
      <c r="W37" s="4840"/>
      <c r="X37" s="4840"/>
    </row>
    <row r="38" spans="1:24" hidden="1">
      <c r="B38" s="3718" t="s">
        <v>755</v>
      </c>
      <c r="C38" s="3714"/>
      <c r="H38" s="1503"/>
      <c r="K38" s="4819">
        <f t="shared" si="3"/>
        <v>9</v>
      </c>
      <c r="L38" s="788" t="s">
        <v>2954</v>
      </c>
      <c r="M38" s="258"/>
      <c r="N38" s="258"/>
      <c r="O38" s="258"/>
      <c r="P38" s="258"/>
      <c r="S38" s="4821">
        <v>1</v>
      </c>
      <c r="T38" s="258" t="s">
        <v>2139</v>
      </c>
      <c r="U38" s="258" t="s">
        <v>151</v>
      </c>
      <c r="V38" s="799">
        <f>P24</f>
        <v>2143.135443660939</v>
      </c>
      <c r="W38" s="799">
        <f>V40</f>
        <v>1428.756962440626</v>
      </c>
      <c r="X38" s="799">
        <f>W40</f>
        <v>714.37848122031301</v>
      </c>
    </row>
    <row r="39" spans="1:24" hidden="1">
      <c r="B39" s="3718"/>
      <c r="C39" s="3714"/>
      <c r="H39" s="1503"/>
      <c r="K39" s="4819">
        <f t="shared" si="3"/>
        <v>10</v>
      </c>
      <c r="L39" s="258" t="s">
        <v>2139</v>
      </c>
      <c r="M39" s="258" t="s">
        <v>151</v>
      </c>
      <c r="N39" s="799">
        <f>O22</f>
        <v>304.14999999999998</v>
      </c>
      <c r="O39" s="258">
        <v>0</v>
      </c>
      <c r="P39" s="258">
        <v>0</v>
      </c>
      <c r="S39" s="4821">
        <f t="shared" ref="S39:S44" si="9">S38+1</f>
        <v>2</v>
      </c>
      <c r="T39" s="258" t="s">
        <v>2948</v>
      </c>
      <c r="U39" s="258" t="s">
        <v>151</v>
      </c>
      <c r="V39" s="799">
        <f>V38/3</f>
        <v>714.37848122031301</v>
      </c>
      <c r="W39" s="799">
        <f>V39</f>
        <v>714.37848122031301</v>
      </c>
      <c r="X39" s="799">
        <f>W39</f>
        <v>714.37848122031301</v>
      </c>
    </row>
    <row r="40" spans="1:24" s="612" customFormat="1" hidden="1">
      <c r="B40" s="3667" t="s">
        <v>651</v>
      </c>
      <c r="C40" s="3667" t="s">
        <v>81</v>
      </c>
      <c r="D40" s="3667" t="s">
        <v>2898</v>
      </c>
      <c r="E40" s="3667" t="s">
        <v>1845</v>
      </c>
      <c r="F40" s="4870" t="s">
        <v>2442</v>
      </c>
      <c r="G40" s="4870" t="s">
        <v>2443</v>
      </c>
      <c r="H40" s="1503"/>
      <c r="K40" s="4819">
        <f t="shared" si="3"/>
        <v>11</v>
      </c>
      <c r="L40" s="258" t="s">
        <v>2948</v>
      </c>
      <c r="M40" s="258" t="s">
        <v>151</v>
      </c>
      <c r="N40" s="799">
        <f>N39</f>
        <v>304.14999999999998</v>
      </c>
      <c r="O40" s="258"/>
      <c r="P40" s="258"/>
      <c r="S40" s="4821">
        <f t="shared" si="9"/>
        <v>3</v>
      </c>
      <c r="T40" s="258" t="s">
        <v>2142</v>
      </c>
      <c r="U40" s="258" t="s">
        <v>151</v>
      </c>
      <c r="V40" s="799">
        <f>V38-V39</f>
        <v>1428.756962440626</v>
      </c>
      <c r="W40" s="799">
        <f>W38-W39</f>
        <v>714.37848122031301</v>
      </c>
      <c r="X40" s="799">
        <f>X38-X39</f>
        <v>0</v>
      </c>
    </row>
    <row r="41" spans="1:24" hidden="1">
      <c r="B41" s="3720"/>
      <c r="C41" s="3721" t="s">
        <v>2962</v>
      </c>
      <c r="D41" s="3720"/>
      <c r="E41" s="3720"/>
      <c r="F41" s="3720"/>
      <c r="G41" s="3720"/>
      <c r="H41" s="1503"/>
      <c r="K41" s="4819">
        <f t="shared" si="3"/>
        <v>12</v>
      </c>
      <c r="L41" s="258" t="s">
        <v>2142</v>
      </c>
      <c r="M41" s="258" t="s">
        <v>151</v>
      </c>
      <c r="N41" s="799">
        <f>N39-N40</f>
        <v>0</v>
      </c>
      <c r="O41" s="258"/>
      <c r="P41" s="258"/>
      <c r="S41" s="4819">
        <f t="shared" si="9"/>
        <v>4</v>
      </c>
      <c r="T41" s="258" t="s">
        <v>2268</v>
      </c>
      <c r="U41" s="258" t="s">
        <v>151</v>
      </c>
      <c r="V41" s="799">
        <f>AVERAGE(V38,V40)</f>
        <v>1785.9462030507825</v>
      </c>
      <c r="W41" s="799">
        <f t="shared" ref="W41:X41" si="10">AVERAGE(W38,W40)</f>
        <v>1071.5677218304695</v>
      </c>
      <c r="X41" s="799">
        <f t="shared" si="10"/>
        <v>357.1892406101565</v>
      </c>
    </row>
    <row r="42" spans="1:24" hidden="1">
      <c r="B42" s="3673">
        <v>1</v>
      </c>
      <c r="C42" s="258" t="s">
        <v>2946</v>
      </c>
      <c r="D42" s="258" t="s">
        <v>151</v>
      </c>
      <c r="E42" s="799">
        <f>G24-G22-G21+271.84</f>
        <v>3204.8201410000001</v>
      </c>
      <c r="F42" s="257">
        <f>E44</f>
        <v>2136.5467606666671</v>
      </c>
      <c r="G42" s="257">
        <f>F44</f>
        <v>1068.2733803333338</v>
      </c>
      <c r="K42" s="4819">
        <f t="shared" si="3"/>
        <v>13</v>
      </c>
      <c r="L42" s="258" t="s">
        <v>2268</v>
      </c>
      <c r="M42" s="258" t="s">
        <v>151</v>
      </c>
      <c r="N42" s="799">
        <f>AVERAGE(N39,N41)</f>
        <v>152.07499999999999</v>
      </c>
      <c r="O42" s="258"/>
      <c r="P42" s="258"/>
      <c r="S42" s="4819">
        <f t="shared" si="9"/>
        <v>5</v>
      </c>
      <c r="T42" s="258" t="s">
        <v>2947</v>
      </c>
      <c r="U42" s="258" t="s">
        <v>151</v>
      </c>
      <c r="V42" s="3715">
        <f>Assumptions!$F$42</f>
        <v>0.14582602739726028</v>
      </c>
      <c r="W42" s="3715">
        <f>Assumptions!$G$42</f>
        <v>0.14749999999999999</v>
      </c>
      <c r="X42" s="3715">
        <f>Assumptions!$H$42</f>
        <v>0.14749999999999999</v>
      </c>
    </row>
    <row r="43" spans="1:24" hidden="1">
      <c r="B43" s="3673">
        <f t="shared" ref="B43:B59" si="11">B42+1</f>
        <v>2</v>
      </c>
      <c r="C43" s="258" t="s">
        <v>2948</v>
      </c>
      <c r="D43" s="258" t="s">
        <v>151</v>
      </c>
      <c r="E43" s="799">
        <f>$E$42/3</f>
        <v>1068.2733803333333</v>
      </c>
      <c r="F43" s="257">
        <f t="shared" ref="F43:G43" si="12">$E$42/3</f>
        <v>1068.2733803333333</v>
      </c>
      <c r="G43" s="257">
        <f t="shared" si="12"/>
        <v>1068.2733803333333</v>
      </c>
      <c r="K43" s="4819">
        <f t="shared" si="3"/>
        <v>14</v>
      </c>
      <c r="L43" s="258" t="s">
        <v>2947</v>
      </c>
      <c r="M43" s="258" t="s">
        <v>151</v>
      </c>
      <c r="N43" s="3715">
        <f>Assumptions!$F$42</f>
        <v>0.14582602739726028</v>
      </c>
      <c r="O43" s="258"/>
      <c r="P43" s="258"/>
      <c r="S43" s="4819">
        <f t="shared" si="9"/>
        <v>6</v>
      </c>
      <c r="T43" s="258" t="s">
        <v>2270</v>
      </c>
      <c r="U43" s="258" t="s">
        <v>151</v>
      </c>
      <c r="V43" s="799">
        <f>V41*V42</f>
        <v>260.43743993611639</v>
      </c>
      <c r="W43" s="799">
        <f t="shared" ref="W43:X43" si="13">W41*W42</f>
        <v>158.05623896999424</v>
      </c>
      <c r="X43" s="799">
        <f t="shared" si="13"/>
        <v>52.685412989998085</v>
      </c>
    </row>
    <row r="44" spans="1:24" hidden="1">
      <c r="B44" s="3673">
        <f t="shared" si="11"/>
        <v>3</v>
      </c>
      <c r="C44" s="258" t="s">
        <v>2142</v>
      </c>
      <c r="D44" s="258" t="s">
        <v>151</v>
      </c>
      <c r="E44" s="799">
        <f t="shared" ref="E44:G44" si="14">E42-E43</f>
        <v>2136.5467606666671</v>
      </c>
      <c r="F44" s="257">
        <f t="shared" si="14"/>
        <v>1068.2733803333338</v>
      </c>
      <c r="G44" s="257">
        <f t="shared" si="14"/>
        <v>0</v>
      </c>
      <c r="K44" s="4819">
        <f t="shared" si="3"/>
        <v>15</v>
      </c>
      <c r="L44" s="258" t="s">
        <v>2270</v>
      </c>
      <c r="M44" s="258" t="s">
        <v>151</v>
      </c>
      <c r="N44" s="799">
        <f>N42*N43</f>
        <v>22.176493116438355</v>
      </c>
      <c r="O44" s="258"/>
      <c r="P44" s="258"/>
      <c r="S44" s="4819">
        <f t="shared" si="9"/>
        <v>7</v>
      </c>
      <c r="T44" s="258" t="s">
        <v>2271</v>
      </c>
      <c r="U44" s="258" t="s">
        <v>151</v>
      </c>
      <c r="V44" s="799">
        <f>V39+V43</f>
        <v>974.81592115642934</v>
      </c>
      <c r="W44" s="799">
        <f>W39+W43</f>
        <v>872.43472019030719</v>
      </c>
      <c r="X44" s="799">
        <f>X39+X43</f>
        <v>767.0638942103111</v>
      </c>
    </row>
    <row r="45" spans="1:24" hidden="1">
      <c r="B45" s="3670">
        <f t="shared" si="11"/>
        <v>4</v>
      </c>
      <c r="C45" s="258" t="s">
        <v>2268</v>
      </c>
      <c r="D45" s="258" t="s">
        <v>151</v>
      </c>
      <c r="E45" s="799">
        <f>AVERAGE(E42,E44)</f>
        <v>2670.6834508333336</v>
      </c>
      <c r="F45" s="257">
        <f t="shared" ref="F45" si="15">AVERAGE(F42,F44)</f>
        <v>1602.4100705000005</v>
      </c>
      <c r="G45" s="257">
        <f t="shared" ref="G45" si="16">AVERAGE(G42,G44)</f>
        <v>534.13669016666688</v>
      </c>
      <c r="K45" s="4819">
        <f t="shared" si="3"/>
        <v>16</v>
      </c>
      <c r="L45" s="258" t="s">
        <v>2271</v>
      </c>
      <c r="M45" s="258" t="s">
        <v>151</v>
      </c>
      <c r="N45" s="799">
        <f>N40+N44</f>
        <v>326.32649311643831</v>
      </c>
      <c r="O45" s="258">
        <v>0</v>
      </c>
      <c r="P45" s="258">
        <v>0</v>
      </c>
      <c r="S45" s="258"/>
      <c r="T45" s="788" t="s">
        <v>47</v>
      </c>
      <c r="U45" s="258"/>
      <c r="V45" s="258"/>
      <c r="W45" s="258"/>
      <c r="X45" s="258"/>
    </row>
    <row r="46" spans="1:24" hidden="1">
      <c r="B46" s="3670">
        <f t="shared" si="11"/>
        <v>5</v>
      </c>
      <c r="C46" s="258" t="s">
        <v>2947</v>
      </c>
      <c r="D46" s="258" t="s">
        <v>151</v>
      </c>
      <c r="E46" s="3715">
        <v>0.1462</v>
      </c>
      <c r="F46" s="262">
        <v>0.1462</v>
      </c>
      <c r="G46" s="262">
        <v>0.1462</v>
      </c>
      <c r="K46" s="4819">
        <f t="shared" si="3"/>
        <v>17</v>
      </c>
      <c r="L46" s="258"/>
      <c r="M46" s="258"/>
      <c r="N46" s="258"/>
      <c r="O46" s="258"/>
      <c r="P46" s="258"/>
      <c r="S46" s="4821">
        <v>1</v>
      </c>
      <c r="T46" s="258" t="s">
        <v>2139</v>
      </c>
      <c r="U46" s="258" t="s">
        <v>151</v>
      </c>
      <c r="V46" s="799">
        <f>V30+V38</f>
        <v>3508.980141</v>
      </c>
      <c r="W46" s="799">
        <f>V48</f>
        <v>2339.3200939999997</v>
      </c>
      <c r="X46" s="799">
        <f>W48</f>
        <v>1169.6600469999996</v>
      </c>
    </row>
    <row r="47" spans="1:24" hidden="1">
      <c r="B47" s="3670">
        <f t="shared" si="11"/>
        <v>6</v>
      </c>
      <c r="C47" s="258" t="s">
        <v>2270</v>
      </c>
      <c r="D47" s="258" t="s">
        <v>151</v>
      </c>
      <c r="E47" s="799">
        <f>E45*E46</f>
        <v>390.45392051183336</v>
      </c>
      <c r="F47" s="257">
        <f t="shared" ref="F47" si="17">F45*F46</f>
        <v>234.27235230710008</v>
      </c>
      <c r="G47" s="257">
        <f t="shared" ref="G47" si="18">G45*G46</f>
        <v>78.090784102366698</v>
      </c>
      <c r="K47" s="4819">
        <f t="shared" si="3"/>
        <v>18</v>
      </c>
      <c r="L47" s="788" t="s">
        <v>2955</v>
      </c>
      <c r="M47" s="788" t="s">
        <v>151</v>
      </c>
      <c r="N47" s="3719">
        <f>N45+N36</f>
        <v>828.61883409562188</v>
      </c>
      <c r="O47" s="3719">
        <f>O45+O36</f>
        <v>449.5384907501807</v>
      </c>
      <c r="P47" s="3719">
        <f>P45+P36</f>
        <v>395.2441796872111</v>
      </c>
      <c r="S47" s="4821">
        <f t="shared" ref="S47:S52" si="19">S46+1</f>
        <v>2</v>
      </c>
      <c r="T47" s="258" t="s">
        <v>2948</v>
      </c>
      <c r="U47" s="258" t="s">
        <v>151</v>
      </c>
      <c r="V47" s="799">
        <f>V46/3</f>
        <v>1169.6600470000001</v>
      </c>
      <c r="W47" s="799">
        <f>V47</f>
        <v>1169.6600470000001</v>
      </c>
      <c r="X47" s="799">
        <f>W47</f>
        <v>1169.6600470000001</v>
      </c>
    </row>
    <row r="48" spans="1:24" hidden="1">
      <c r="B48" s="3670">
        <f t="shared" si="11"/>
        <v>7</v>
      </c>
      <c r="C48" s="258" t="s">
        <v>2271</v>
      </c>
      <c r="D48" s="258" t="s">
        <v>151</v>
      </c>
      <c r="E48" s="799">
        <f>E43+E47</f>
        <v>1458.7273008451666</v>
      </c>
      <c r="F48" s="257">
        <f>F43+F47</f>
        <v>1302.5457326404335</v>
      </c>
      <c r="G48" s="257">
        <f>G43+G47</f>
        <v>1146.3641644357001</v>
      </c>
      <c r="S48" s="4821">
        <f t="shared" si="19"/>
        <v>3</v>
      </c>
      <c r="T48" s="258" t="s">
        <v>2142</v>
      </c>
      <c r="U48" s="258" t="s">
        <v>151</v>
      </c>
      <c r="V48" s="799">
        <f>V46-V47</f>
        <v>2339.3200939999997</v>
      </c>
      <c r="W48" s="799">
        <f>W46-W47</f>
        <v>1169.6600469999996</v>
      </c>
      <c r="X48" s="799">
        <f>X46-X47</f>
        <v>0</v>
      </c>
    </row>
    <row r="49" spans="2:24" hidden="1">
      <c r="B49" s="3670">
        <f t="shared" si="11"/>
        <v>8</v>
      </c>
      <c r="C49" s="258"/>
      <c r="D49" s="258"/>
      <c r="E49" s="258"/>
      <c r="F49" s="257"/>
      <c r="G49" s="4871"/>
      <c r="H49" s="1503"/>
      <c r="K49" s="4458" t="s">
        <v>3591</v>
      </c>
      <c r="S49" s="4819">
        <f t="shared" si="19"/>
        <v>4</v>
      </c>
      <c r="T49" s="258" t="s">
        <v>2268</v>
      </c>
      <c r="U49" s="258" t="s">
        <v>151</v>
      </c>
      <c r="V49" s="799">
        <f>AVERAGE(V46,V48)</f>
        <v>2924.1501174999999</v>
      </c>
      <c r="W49" s="799">
        <f t="shared" ref="W49:X49" si="20">AVERAGE(W46,W48)</f>
        <v>1754.4900704999995</v>
      </c>
      <c r="X49" s="799">
        <f t="shared" si="20"/>
        <v>584.83002349999981</v>
      </c>
    </row>
    <row r="50" spans="2:24" hidden="1">
      <c r="B50" s="3670">
        <f t="shared" si="11"/>
        <v>9</v>
      </c>
      <c r="C50" s="788" t="s">
        <v>2954</v>
      </c>
      <c r="D50" s="258"/>
      <c r="E50" s="258"/>
      <c r="F50" s="4871"/>
      <c r="G50" s="4871"/>
      <c r="H50" s="1503"/>
      <c r="S50" s="4819">
        <f t="shared" si="19"/>
        <v>5</v>
      </c>
      <c r="T50" s="258" t="s">
        <v>2947</v>
      </c>
      <c r="U50" s="258" t="s">
        <v>151</v>
      </c>
      <c r="V50" s="3715">
        <f>Assumptions!$F$42</f>
        <v>0.14582602739726028</v>
      </c>
      <c r="W50" s="3715">
        <f>Assumptions!$G$42</f>
        <v>0.14749999999999999</v>
      </c>
      <c r="X50" s="3715">
        <f>Assumptions!$H$42</f>
        <v>0.14749999999999999</v>
      </c>
    </row>
    <row r="51" spans="2:24" hidden="1">
      <c r="B51" s="3670">
        <f t="shared" si="11"/>
        <v>10</v>
      </c>
      <c r="C51" s="258" t="s">
        <v>2139</v>
      </c>
      <c r="D51" s="258" t="s">
        <v>151</v>
      </c>
      <c r="E51" s="799">
        <f>$G$22</f>
        <v>304.14999999999998</v>
      </c>
      <c r="F51" s="257">
        <f>E53</f>
        <v>202.76666666666665</v>
      </c>
      <c r="G51" s="257">
        <f>F53</f>
        <v>101.38333333333333</v>
      </c>
      <c r="H51" s="1503"/>
      <c r="K51" s="4812" t="s">
        <v>651</v>
      </c>
      <c r="L51" s="4812" t="s">
        <v>81</v>
      </c>
      <c r="M51" s="4812" t="s">
        <v>2898</v>
      </c>
      <c r="N51" s="4812" t="s">
        <v>1845</v>
      </c>
      <c r="O51" s="4812" t="s">
        <v>2442</v>
      </c>
      <c r="P51" s="4812" t="s">
        <v>2443</v>
      </c>
      <c r="S51" s="4819">
        <f t="shared" si="19"/>
        <v>6</v>
      </c>
      <c r="T51" s="258" t="s">
        <v>2270</v>
      </c>
      <c r="U51" s="258" t="s">
        <v>151</v>
      </c>
      <c r="V51" s="799">
        <f>V49*V50</f>
        <v>426.41719514825684</v>
      </c>
      <c r="W51" s="799">
        <f t="shared" ref="W51:X51" si="21">W49*W50</f>
        <v>258.78728539874993</v>
      </c>
      <c r="X51" s="799">
        <f t="shared" si="21"/>
        <v>86.262428466249972</v>
      </c>
    </row>
    <row r="52" spans="2:24" hidden="1">
      <c r="B52" s="3670">
        <f t="shared" si="11"/>
        <v>11</v>
      </c>
      <c r="C52" s="258" t="s">
        <v>2948</v>
      </c>
      <c r="D52" s="258" t="s">
        <v>151</v>
      </c>
      <c r="E52" s="799">
        <f>$E$51/3</f>
        <v>101.38333333333333</v>
      </c>
      <c r="F52" s="257">
        <f t="shared" ref="F52:G52" si="22">$E$51/3</f>
        <v>101.38333333333333</v>
      </c>
      <c r="G52" s="257">
        <f t="shared" si="22"/>
        <v>101.38333333333333</v>
      </c>
      <c r="H52" s="1503"/>
      <c r="K52" s="3720"/>
      <c r="L52" s="3721" t="s">
        <v>2962</v>
      </c>
      <c r="M52" s="3720"/>
      <c r="N52" s="3720"/>
      <c r="O52" s="3720"/>
      <c r="P52" s="3720"/>
      <c r="S52" s="4819">
        <f t="shared" si="19"/>
        <v>7</v>
      </c>
      <c r="T52" s="258" t="s">
        <v>2271</v>
      </c>
      <c r="U52" s="258" t="s">
        <v>151</v>
      </c>
      <c r="V52" s="799">
        <f>V47+V51</f>
        <v>1596.077242148257</v>
      </c>
      <c r="W52" s="799">
        <f>W47+W51</f>
        <v>1428.4473323987499</v>
      </c>
      <c r="X52" s="799">
        <f>X47+X51</f>
        <v>1255.92247546625</v>
      </c>
    </row>
    <row r="53" spans="2:24" hidden="1">
      <c r="B53" s="3670">
        <f t="shared" si="11"/>
        <v>12</v>
      </c>
      <c r="C53" s="258" t="s">
        <v>2142</v>
      </c>
      <c r="D53" s="258" t="s">
        <v>151</v>
      </c>
      <c r="E53" s="799">
        <f>E51-E52</f>
        <v>202.76666666666665</v>
      </c>
      <c r="F53" s="257">
        <f t="shared" ref="F53:G53" si="23">F51-F52</f>
        <v>101.38333333333333</v>
      </c>
      <c r="G53" s="257">
        <f t="shared" si="23"/>
        <v>0</v>
      </c>
      <c r="H53" s="1503"/>
      <c r="K53" s="4821">
        <v>1</v>
      </c>
      <c r="L53" s="258" t="s">
        <v>2946</v>
      </c>
      <c r="M53" s="258" t="s">
        <v>151</v>
      </c>
      <c r="N53" s="799">
        <f>P24</f>
        <v>2143.135443660939</v>
      </c>
      <c r="O53" s="799">
        <f>N55</f>
        <v>1428.756962440626</v>
      </c>
      <c r="P53" s="799">
        <f>O55</f>
        <v>714.37848122031301</v>
      </c>
    </row>
    <row r="54" spans="2:24" hidden="1">
      <c r="B54" s="3670">
        <f t="shared" si="11"/>
        <v>13</v>
      </c>
      <c r="C54" s="258" t="s">
        <v>2268</v>
      </c>
      <c r="D54" s="258" t="s">
        <v>151</v>
      </c>
      <c r="E54" s="799">
        <f>AVERAGE(E51,E53)</f>
        <v>253.45833333333331</v>
      </c>
      <c r="F54" s="257">
        <f t="shared" ref="F54:G54" si="24">AVERAGE(F51,F53)</f>
        <v>152.07499999999999</v>
      </c>
      <c r="G54" s="257">
        <f t="shared" si="24"/>
        <v>50.691666666666663</v>
      </c>
      <c r="H54" s="1503"/>
      <c r="K54" s="4821">
        <f t="shared" ref="K54:K59" si="25">K53+1</f>
        <v>2</v>
      </c>
      <c r="L54" s="258" t="s">
        <v>2948</v>
      </c>
      <c r="M54" s="258" t="s">
        <v>151</v>
      </c>
      <c r="N54" s="799">
        <f>N53/3</f>
        <v>714.37848122031301</v>
      </c>
      <c r="O54" s="799">
        <f>N54</f>
        <v>714.37848122031301</v>
      </c>
      <c r="P54" s="799">
        <f>O54</f>
        <v>714.37848122031301</v>
      </c>
    </row>
    <row r="55" spans="2:24" hidden="1">
      <c r="B55" s="3670">
        <f t="shared" si="11"/>
        <v>14</v>
      </c>
      <c r="C55" s="258" t="s">
        <v>2947</v>
      </c>
      <c r="D55" s="258" t="s">
        <v>151</v>
      </c>
      <c r="E55" s="3715">
        <v>0.1462</v>
      </c>
      <c r="F55" s="262">
        <v>0.1462</v>
      </c>
      <c r="G55" s="262">
        <v>0.1462</v>
      </c>
      <c r="H55" s="1503"/>
      <c r="K55" s="4821">
        <f t="shared" si="25"/>
        <v>3</v>
      </c>
      <c r="L55" s="258" t="s">
        <v>2142</v>
      </c>
      <c r="M55" s="258" t="s">
        <v>151</v>
      </c>
      <c r="N55" s="799">
        <f>N53-N54</f>
        <v>1428.756962440626</v>
      </c>
      <c r="O55" s="799">
        <f>O53-O54</f>
        <v>714.37848122031301</v>
      </c>
      <c r="P55" s="799">
        <f>P53-P54</f>
        <v>0</v>
      </c>
    </row>
    <row r="56" spans="2:24" hidden="1">
      <c r="B56" s="3670">
        <f t="shared" si="11"/>
        <v>15</v>
      </c>
      <c r="C56" s="258" t="s">
        <v>2270</v>
      </c>
      <c r="D56" s="258" t="s">
        <v>151</v>
      </c>
      <c r="E56" s="799">
        <f>E54*E55</f>
        <v>37.055608333333332</v>
      </c>
      <c r="F56" s="257">
        <f t="shared" ref="F56:G56" si="26">F54*F55</f>
        <v>22.233364999999999</v>
      </c>
      <c r="G56" s="257">
        <f t="shared" si="26"/>
        <v>7.4111216666666664</v>
      </c>
      <c r="H56" s="1503"/>
      <c r="K56" s="4819">
        <f t="shared" si="25"/>
        <v>4</v>
      </c>
      <c r="L56" s="258" t="s">
        <v>2268</v>
      </c>
      <c r="M56" s="258" t="s">
        <v>151</v>
      </c>
      <c r="N56" s="799">
        <f>AVERAGE(N53,N55)</f>
        <v>1785.9462030507825</v>
      </c>
      <c r="O56" s="799">
        <f t="shared" ref="O56:P56" si="27">AVERAGE(O53,O55)</f>
        <v>1071.5677218304695</v>
      </c>
      <c r="P56" s="799">
        <f t="shared" si="27"/>
        <v>357.1892406101565</v>
      </c>
    </row>
    <row r="57" spans="2:24" hidden="1">
      <c r="B57" s="3670">
        <f t="shared" si="11"/>
        <v>16</v>
      </c>
      <c r="C57" s="258" t="s">
        <v>2271</v>
      </c>
      <c r="D57" s="258" t="s">
        <v>151</v>
      </c>
      <c r="E57" s="799">
        <f>E52+E56</f>
        <v>138.43894166666666</v>
      </c>
      <c r="F57" s="257">
        <f>F52+F56</f>
        <v>123.61669833333332</v>
      </c>
      <c r="G57" s="257">
        <f>G52+G56</f>
        <v>108.794455</v>
      </c>
      <c r="H57" s="1503"/>
      <c r="K57" s="4819">
        <f t="shared" si="25"/>
        <v>5</v>
      </c>
      <c r="L57" s="258" t="s">
        <v>2947</v>
      </c>
      <c r="M57" s="258" t="s">
        <v>151</v>
      </c>
      <c r="N57" s="3715">
        <f>Assumptions!$F$42</f>
        <v>0.14582602739726028</v>
      </c>
      <c r="O57" s="3715">
        <f>Assumptions!$G$42</f>
        <v>0.14749999999999999</v>
      </c>
      <c r="P57" s="3715">
        <f>Assumptions!$H$42</f>
        <v>0.14749999999999999</v>
      </c>
    </row>
    <row r="58" spans="2:24" hidden="1">
      <c r="B58" s="3670">
        <f t="shared" si="11"/>
        <v>17</v>
      </c>
      <c r="C58" s="258"/>
      <c r="D58" s="258"/>
      <c r="E58" s="258"/>
      <c r="F58" s="4871"/>
      <c r="G58" s="4871"/>
      <c r="H58" s="1503"/>
      <c r="K58" s="4819">
        <f t="shared" si="25"/>
        <v>6</v>
      </c>
      <c r="L58" s="258" t="s">
        <v>2270</v>
      </c>
      <c r="M58" s="258" t="s">
        <v>151</v>
      </c>
      <c r="N58" s="799">
        <f>N56*N57</f>
        <v>260.43743993611639</v>
      </c>
      <c r="O58" s="799">
        <f t="shared" ref="O58:P58" si="28">O56*O57</f>
        <v>158.05623896999424</v>
      </c>
      <c r="P58" s="799">
        <f t="shared" si="28"/>
        <v>52.685412989998085</v>
      </c>
    </row>
    <row r="59" spans="2:24" hidden="1">
      <c r="B59" s="3670">
        <f t="shared" si="11"/>
        <v>18</v>
      </c>
      <c r="C59" s="788" t="s">
        <v>2955</v>
      </c>
      <c r="D59" s="788" t="s">
        <v>151</v>
      </c>
      <c r="E59" s="3719">
        <f>E57+E48</f>
        <v>1597.1662425118334</v>
      </c>
      <c r="F59" s="1062">
        <f>F57+F48</f>
        <v>1426.1624309737667</v>
      </c>
      <c r="G59" s="1062">
        <f>G57+G48</f>
        <v>1255.1586194357001</v>
      </c>
      <c r="H59" s="1504"/>
      <c r="I59" s="264"/>
      <c r="K59" s="4819">
        <f t="shared" si="25"/>
        <v>7</v>
      </c>
      <c r="L59" s="258" t="s">
        <v>2271</v>
      </c>
      <c r="M59" s="258" t="s">
        <v>151</v>
      </c>
      <c r="N59" s="799">
        <f>N54+N58</f>
        <v>974.81592115642934</v>
      </c>
      <c r="O59" s="799">
        <f>O54+O58</f>
        <v>872.43472019030719</v>
      </c>
      <c r="P59" s="799">
        <f>P54+P58</f>
        <v>767.0638942103111</v>
      </c>
    </row>
    <row r="60" spans="2:24" hidden="1">
      <c r="B60" s="3668"/>
      <c r="C60" s="612"/>
      <c r="D60" s="612"/>
      <c r="E60" s="3725"/>
      <c r="F60" s="4878"/>
      <c r="G60" s="4878"/>
      <c r="H60" s="1503"/>
      <c r="I60" s="264"/>
    </row>
    <row r="61" spans="2:24">
      <c r="B61" s="3668"/>
      <c r="C61" s="612"/>
      <c r="D61" s="612"/>
      <c r="E61" s="3711"/>
      <c r="F61" s="4879"/>
      <c r="H61" s="1503"/>
    </row>
    <row r="62" spans="2:24">
      <c r="B62" s="4458" t="s">
        <v>3513</v>
      </c>
      <c r="C62" s="612"/>
      <c r="D62" s="612"/>
      <c r="E62" s="3711"/>
      <c r="F62" s="4879"/>
      <c r="H62" s="1503"/>
      <c r="K62" s="4458" t="s">
        <v>47</v>
      </c>
    </row>
    <row r="63" spans="2:24">
      <c r="E63" s="3711"/>
      <c r="F63" s="4879"/>
      <c r="G63" s="4879"/>
      <c r="H63" s="1503"/>
    </row>
    <row r="64" spans="2:24">
      <c r="B64" s="3667" t="s">
        <v>651</v>
      </c>
      <c r="C64" s="3667" t="s">
        <v>81</v>
      </c>
      <c r="D64" s="3667" t="s">
        <v>2898</v>
      </c>
      <c r="E64" s="3667" t="s">
        <v>1845</v>
      </c>
      <c r="F64" s="4870" t="s">
        <v>2442</v>
      </c>
      <c r="G64" s="4870" t="s">
        <v>2443</v>
      </c>
      <c r="K64" s="4812" t="s">
        <v>651</v>
      </c>
      <c r="L64" s="4812" t="s">
        <v>81</v>
      </c>
      <c r="M64" s="4812" t="s">
        <v>2898</v>
      </c>
      <c r="N64" s="4812" t="s">
        <v>1845</v>
      </c>
      <c r="O64" s="4812" t="s">
        <v>2442</v>
      </c>
      <c r="P64" s="4812" t="s">
        <v>2443</v>
      </c>
    </row>
    <row r="65" spans="2:19" s="1042" customFormat="1">
      <c r="B65" s="3720"/>
      <c r="C65" s="3721" t="s">
        <v>2962</v>
      </c>
      <c r="D65" s="3720"/>
      <c r="E65" s="3720"/>
      <c r="F65" s="3720"/>
      <c r="G65" s="3720"/>
      <c r="K65" s="3720"/>
      <c r="L65" s="3721" t="s">
        <v>2962</v>
      </c>
      <c r="M65" s="3720"/>
      <c r="N65" s="3720"/>
      <c r="O65" s="3720"/>
      <c r="P65" s="3720"/>
    </row>
    <row r="66" spans="2:19">
      <c r="B66" s="3673">
        <v>1</v>
      </c>
      <c r="C66" s="258" t="s">
        <v>2946</v>
      </c>
      <c r="D66" s="258" t="s">
        <v>151</v>
      </c>
      <c r="E66" s="799">
        <f>$G$24-$G$22</f>
        <v>3247.4265161281182</v>
      </c>
      <c r="F66" s="257">
        <f>E68</f>
        <v>2164.9510107520791</v>
      </c>
      <c r="G66" s="257">
        <f>F68</f>
        <v>1082.4755053760398</v>
      </c>
      <c r="K66" s="4821">
        <v>1</v>
      </c>
      <c r="L66" s="258" t="s">
        <v>2946</v>
      </c>
      <c r="M66" s="258" t="s">
        <v>151</v>
      </c>
      <c r="N66" s="799">
        <f>N30+N53</f>
        <v>3247.4265161281178</v>
      </c>
      <c r="O66" s="799">
        <f>N68</f>
        <v>2164.9510107520782</v>
      </c>
      <c r="P66" s="799">
        <f>O68</f>
        <v>1082.4755053760389</v>
      </c>
    </row>
    <row r="67" spans="2:19">
      <c r="B67" s="3673">
        <f t="shared" ref="B67:B83" si="29">B66+1</f>
        <v>2</v>
      </c>
      <c r="C67" s="258" t="s">
        <v>2948</v>
      </c>
      <c r="D67" s="258" t="s">
        <v>151</v>
      </c>
      <c r="E67" s="799">
        <f>E66/3</f>
        <v>1082.4755053760393</v>
      </c>
      <c r="F67" s="257">
        <f>E67</f>
        <v>1082.4755053760393</v>
      </c>
      <c r="G67" s="257">
        <f>F67</f>
        <v>1082.4755053760393</v>
      </c>
      <c r="K67" s="4821">
        <f t="shared" ref="K67:K83" si="30">K66+1</f>
        <v>2</v>
      </c>
      <c r="L67" s="258" t="s">
        <v>2948</v>
      </c>
      <c r="M67" s="258" t="s">
        <v>151</v>
      </c>
      <c r="N67" s="799">
        <f>N66/3</f>
        <v>1082.4755053760393</v>
      </c>
      <c r="O67" s="799">
        <f>N67</f>
        <v>1082.4755053760393</v>
      </c>
      <c r="P67" s="799">
        <f>O67</f>
        <v>1082.4755053760393</v>
      </c>
    </row>
    <row r="68" spans="2:19">
      <c r="B68" s="3673">
        <f t="shared" si="29"/>
        <v>3</v>
      </c>
      <c r="C68" s="258" t="s">
        <v>2142</v>
      </c>
      <c r="D68" s="258" t="s">
        <v>151</v>
      </c>
      <c r="E68" s="799">
        <f>E66-E67</f>
        <v>2164.9510107520791</v>
      </c>
      <c r="F68" s="257">
        <f>F66-F67</f>
        <v>1082.4755053760398</v>
      </c>
      <c r="G68" s="257">
        <f>G66-G67</f>
        <v>0</v>
      </c>
      <c r="K68" s="4821">
        <f t="shared" si="30"/>
        <v>3</v>
      </c>
      <c r="L68" s="258" t="s">
        <v>2142</v>
      </c>
      <c r="M68" s="258" t="s">
        <v>151</v>
      </c>
      <c r="N68" s="799">
        <f>N66-N67</f>
        <v>2164.9510107520782</v>
      </c>
      <c r="O68" s="799">
        <f>O66-O67</f>
        <v>1082.4755053760389</v>
      </c>
      <c r="P68" s="799">
        <f>P66-P67</f>
        <v>0</v>
      </c>
    </row>
    <row r="69" spans="2:19">
      <c r="B69" s="3670">
        <f t="shared" si="29"/>
        <v>4</v>
      </c>
      <c r="C69" s="258" t="s">
        <v>2268</v>
      </c>
      <c r="D69" s="258" t="s">
        <v>151</v>
      </c>
      <c r="E69" s="799">
        <f>AVERAGE(E66,E68)</f>
        <v>2706.1887634400987</v>
      </c>
      <c r="F69" s="257">
        <f t="shared" ref="F69:G69" si="31">AVERAGE(F66,F68)</f>
        <v>1623.7132580640596</v>
      </c>
      <c r="G69" s="257">
        <f t="shared" si="31"/>
        <v>541.2377526880199</v>
      </c>
      <c r="K69" s="4819">
        <f t="shared" si="30"/>
        <v>4</v>
      </c>
      <c r="L69" s="258" t="s">
        <v>2268</v>
      </c>
      <c r="M69" s="258" t="s">
        <v>151</v>
      </c>
      <c r="N69" s="799">
        <f>AVERAGE(N66,N68)</f>
        <v>2706.1887634400982</v>
      </c>
      <c r="O69" s="799">
        <f>AVERAGE(O66,O68)</f>
        <v>1623.7132580640587</v>
      </c>
      <c r="P69" s="799">
        <f t="shared" ref="P69" si="32">AVERAGE(P66,P68)</f>
        <v>541.23775268801944</v>
      </c>
    </row>
    <row r="70" spans="2:19">
      <c r="B70" s="3670">
        <f t="shared" si="29"/>
        <v>5</v>
      </c>
      <c r="C70" s="258" t="s">
        <v>2947</v>
      </c>
      <c r="D70" s="258" t="s">
        <v>151</v>
      </c>
      <c r="E70" s="3715">
        <f>Assumptions!$F$42</f>
        <v>0.14582602739726028</v>
      </c>
      <c r="F70" s="262">
        <f>Assumptions!$G$42</f>
        <v>0.14749999999999999</v>
      </c>
      <c r="G70" s="262">
        <f>Assumptions!$H$42</f>
        <v>0.14749999999999999</v>
      </c>
      <c r="K70" s="4819">
        <f t="shared" si="30"/>
        <v>5</v>
      </c>
      <c r="L70" s="258" t="s">
        <v>2947</v>
      </c>
      <c r="M70" s="258" t="s">
        <v>151</v>
      </c>
      <c r="N70" s="3715">
        <f>Assumptions!$F$42</f>
        <v>0.14582602739726028</v>
      </c>
      <c r="O70" s="3715">
        <f>Assumptions!$G$42</f>
        <v>0.14749999999999999</v>
      </c>
      <c r="P70" s="3715">
        <f>Assumptions!$H$42</f>
        <v>0.14749999999999999</v>
      </c>
    </row>
    <row r="71" spans="2:19">
      <c r="B71" s="3670">
        <f t="shared" si="29"/>
        <v>6</v>
      </c>
      <c r="C71" s="258" t="s">
        <v>2270</v>
      </c>
      <c r="D71" s="258" t="s">
        <v>151</v>
      </c>
      <c r="E71" s="799">
        <f>E69*E70</f>
        <v>394.63275675957374</v>
      </c>
      <c r="F71" s="257">
        <f t="shared" ref="F71:G71" si="33">F69*F70</f>
        <v>239.49770556444878</v>
      </c>
      <c r="G71" s="257">
        <f t="shared" si="33"/>
        <v>79.832568521482926</v>
      </c>
      <c r="K71" s="4819">
        <f t="shared" si="30"/>
        <v>6</v>
      </c>
      <c r="L71" s="258" t="s">
        <v>2270</v>
      </c>
      <c r="M71" s="258" t="s">
        <v>151</v>
      </c>
      <c r="N71" s="799">
        <f>N69*N70</f>
        <v>394.63275675957368</v>
      </c>
      <c r="O71" s="799">
        <f>O69*O70</f>
        <v>239.49770556444864</v>
      </c>
      <c r="P71" s="799">
        <f t="shared" ref="P71" si="34">P69*P70</f>
        <v>79.83256852148287</v>
      </c>
    </row>
    <row r="72" spans="2:19">
      <c r="B72" s="3670">
        <f t="shared" si="29"/>
        <v>7</v>
      </c>
      <c r="C72" s="258" t="s">
        <v>2271</v>
      </c>
      <c r="D72" s="258" t="s">
        <v>151</v>
      </c>
      <c r="E72" s="799">
        <f>E67+E71</f>
        <v>1477.1082621356131</v>
      </c>
      <c r="F72" s="257">
        <f>F67+F71</f>
        <v>1321.9732109404881</v>
      </c>
      <c r="G72" s="257">
        <f>G67+G71</f>
        <v>1162.3080738975223</v>
      </c>
      <c r="H72" s="264"/>
      <c r="K72" s="4819">
        <f t="shared" si="30"/>
        <v>7</v>
      </c>
      <c r="L72" s="258" t="s">
        <v>2271</v>
      </c>
      <c r="M72" s="258" t="s">
        <v>151</v>
      </c>
      <c r="N72" s="799">
        <f>N67+N71</f>
        <v>1477.1082621356131</v>
      </c>
      <c r="O72" s="799">
        <f>O67+O71</f>
        <v>1321.9732109404879</v>
      </c>
      <c r="P72" s="799">
        <f>P67+P71</f>
        <v>1162.3080738975223</v>
      </c>
    </row>
    <row r="73" spans="2:19">
      <c r="B73" s="3670">
        <f t="shared" si="29"/>
        <v>8</v>
      </c>
      <c r="C73" s="258"/>
      <c r="D73" s="258"/>
      <c r="E73" s="258"/>
      <c r="F73" s="257"/>
      <c r="G73" s="4871"/>
      <c r="K73" s="4819">
        <f t="shared" si="30"/>
        <v>8</v>
      </c>
      <c r="L73" s="258"/>
      <c r="M73" s="258"/>
      <c r="N73" s="258"/>
      <c r="O73" s="799"/>
      <c r="P73" s="258"/>
    </row>
    <row r="74" spans="2:19">
      <c r="B74" s="3670">
        <f t="shared" si="29"/>
        <v>9</v>
      </c>
      <c r="C74" s="788" t="s">
        <v>2954</v>
      </c>
      <c r="D74" s="258"/>
      <c r="E74" s="258"/>
      <c r="F74" s="4871"/>
      <c r="G74" s="4871"/>
      <c r="K74" s="4819">
        <f t="shared" si="30"/>
        <v>9</v>
      </c>
      <c r="L74" s="788" t="s">
        <v>2954</v>
      </c>
      <c r="M74" s="258"/>
      <c r="N74" s="258"/>
      <c r="O74" s="258"/>
      <c r="P74" s="258"/>
    </row>
    <row r="75" spans="2:19">
      <c r="B75" s="3670">
        <f t="shared" si="29"/>
        <v>10</v>
      </c>
      <c r="C75" s="258" t="s">
        <v>2139</v>
      </c>
      <c r="D75" s="258" t="s">
        <v>151</v>
      </c>
      <c r="E75" s="799">
        <f>$G$22</f>
        <v>304.14999999999998</v>
      </c>
      <c r="F75" s="4871">
        <v>0</v>
      </c>
      <c r="G75" s="4871">
        <v>0</v>
      </c>
      <c r="K75" s="4819">
        <f t="shared" si="30"/>
        <v>10</v>
      </c>
      <c r="L75" s="258" t="s">
        <v>2139</v>
      </c>
      <c r="M75" s="258" t="s">
        <v>151</v>
      </c>
      <c r="N75" s="799">
        <f>N39</f>
        <v>304.14999999999998</v>
      </c>
      <c r="O75" s="258">
        <v>0</v>
      </c>
      <c r="P75" s="258">
        <v>0</v>
      </c>
    </row>
    <row r="76" spans="2:19">
      <c r="B76" s="3670">
        <f t="shared" si="29"/>
        <v>11</v>
      </c>
      <c r="C76" s="258" t="s">
        <v>2948</v>
      </c>
      <c r="D76" s="258" t="s">
        <v>151</v>
      </c>
      <c r="E76" s="799">
        <f>E75</f>
        <v>304.14999999999998</v>
      </c>
      <c r="F76" s="4871"/>
      <c r="G76" s="4871"/>
      <c r="K76" s="4819">
        <f t="shared" si="30"/>
        <v>11</v>
      </c>
      <c r="L76" s="258" t="s">
        <v>2948</v>
      </c>
      <c r="M76" s="258" t="s">
        <v>151</v>
      </c>
      <c r="N76" s="799">
        <f>N75</f>
        <v>304.14999999999998</v>
      </c>
      <c r="O76" s="258"/>
      <c r="P76" s="258"/>
    </row>
    <row r="77" spans="2:19">
      <c r="B77" s="3670">
        <f t="shared" si="29"/>
        <v>12</v>
      </c>
      <c r="C77" s="258" t="s">
        <v>2142</v>
      </c>
      <c r="D77" s="258" t="s">
        <v>151</v>
      </c>
      <c r="E77" s="799">
        <f>E75-E76</f>
        <v>0</v>
      </c>
      <c r="F77" s="4871"/>
      <c r="G77" s="4871"/>
      <c r="K77" s="4819">
        <f t="shared" si="30"/>
        <v>12</v>
      </c>
      <c r="L77" s="258" t="s">
        <v>2142</v>
      </c>
      <c r="M77" s="258" t="s">
        <v>151</v>
      </c>
      <c r="N77" s="799">
        <f>N75-N76</f>
        <v>0</v>
      </c>
      <c r="O77" s="258"/>
      <c r="P77" s="258"/>
    </row>
    <row r="78" spans="2:19">
      <c r="B78" s="3670">
        <f t="shared" si="29"/>
        <v>13</v>
      </c>
      <c r="C78" s="258" t="s">
        <v>2268</v>
      </c>
      <c r="D78" s="258" t="s">
        <v>151</v>
      </c>
      <c r="E78" s="799">
        <f>AVERAGE(E75,E77)</f>
        <v>152.07499999999999</v>
      </c>
      <c r="F78" s="4871"/>
      <c r="G78" s="4871"/>
      <c r="K78" s="4819">
        <f t="shared" si="30"/>
        <v>13</v>
      </c>
      <c r="L78" s="258" t="s">
        <v>2268</v>
      </c>
      <c r="M78" s="258" t="s">
        <v>151</v>
      </c>
      <c r="N78" s="799">
        <f>AVERAGE(N75,N77)</f>
        <v>152.07499999999999</v>
      </c>
      <c r="O78" s="258"/>
      <c r="P78" s="258"/>
    </row>
    <row r="79" spans="2:19">
      <c r="B79" s="3670">
        <f t="shared" si="29"/>
        <v>14</v>
      </c>
      <c r="C79" s="258" t="s">
        <v>2947</v>
      </c>
      <c r="D79" s="258" t="s">
        <v>151</v>
      </c>
      <c r="E79" s="3715">
        <f>Assumptions!$F$42</f>
        <v>0.14582602739726028</v>
      </c>
      <c r="F79" s="4871"/>
      <c r="G79" s="4871"/>
      <c r="K79" s="4819">
        <f t="shared" si="30"/>
        <v>14</v>
      </c>
      <c r="L79" s="258" t="s">
        <v>2947</v>
      </c>
      <c r="M79" s="258" t="s">
        <v>151</v>
      </c>
      <c r="N79" s="3715">
        <f>Assumptions!$F$42</f>
        <v>0.14582602739726028</v>
      </c>
      <c r="O79" s="258"/>
      <c r="P79" s="258"/>
      <c r="Q79" s="1631"/>
      <c r="R79" s="1631"/>
      <c r="S79" s="1631"/>
    </row>
    <row r="80" spans="2:19">
      <c r="B80" s="3670">
        <f t="shared" si="29"/>
        <v>15</v>
      </c>
      <c r="C80" s="258" t="s">
        <v>2270</v>
      </c>
      <c r="D80" s="258" t="s">
        <v>151</v>
      </c>
      <c r="E80" s="799">
        <f>E78*E79</f>
        <v>22.176493116438355</v>
      </c>
      <c r="F80" s="4871"/>
      <c r="G80" s="4871"/>
      <c r="K80" s="4819">
        <f t="shared" si="30"/>
        <v>15</v>
      </c>
      <c r="L80" s="258" t="s">
        <v>2270</v>
      </c>
      <c r="M80" s="258" t="s">
        <v>151</v>
      </c>
      <c r="N80" s="799">
        <f>N78*N79</f>
        <v>22.176493116438355</v>
      </c>
      <c r="O80" s="258"/>
      <c r="P80" s="258"/>
    </row>
    <row r="81" spans="2:19">
      <c r="B81" s="3670">
        <f t="shared" si="29"/>
        <v>16</v>
      </c>
      <c r="C81" s="258" t="s">
        <v>2271</v>
      </c>
      <c r="D81" s="258" t="s">
        <v>151</v>
      </c>
      <c r="E81" s="799">
        <f>E76+E80</f>
        <v>326.32649311643831</v>
      </c>
      <c r="F81" s="4871">
        <v>0</v>
      </c>
      <c r="G81" s="4871">
        <v>0</v>
      </c>
      <c r="K81" s="4819">
        <f t="shared" si="30"/>
        <v>16</v>
      </c>
      <c r="L81" s="258" t="s">
        <v>2271</v>
      </c>
      <c r="M81" s="258" t="s">
        <v>151</v>
      </c>
      <c r="N81" s="799">
        <f>N76+N80</f>
        <v>326.32649311643831</v>
      </c>
      <c r="O81" s="258">
        <v>0</v>
      </c>
      <c r="P81" s="258">
        <v>0</v>
      </c>
    </row>
    <row r="82" spans="2:19">
      <c r="B82" s="3670">
        <f t="shared" si="29"/>
        <v>17</v>
      </c>
      <c r="C82" s="258"/>
      <c r="D82" s="258"/>
      <c r="E82" s="258"/>
      <c r="F82" s="4871"/>
      <c r="G82" s="4871"/>
      <c r="K82" s="4819">
        <f t="shared" si="30"/>
        <v>17</v>
      </c>
      <c r="L82" s="258"/>
      <c r="M82" s="258"/>
      <c r="N82" s="258"/>
      <c r="O82" s="258"/>
      <c r="P82" s="258"/>
    </row>
    <row r="83" spans="2:19">
      <c r="B83" s="3670">
        <f t="shared" si="29"/>
        <v>18</v>
      </c>
      <c r="C83" s="788" t="s">
        <v>2955</v>
      </c>
      <c r="D83" s="788" t="s">
        <v>151</v>
      </c>
      <c r="E83" s="3719">
        <f>E81+E72</f>
        <v>1803.4347552520514</v>
      </c>
      <c r="F83" s="1062">
        <f>F81+F72</f>
        <v>1321.9732109404881</v>
      </c>
      <c r="G83" s="1062">
        <f>G81+G72</f>
        <v>1162.3080738975223</v>
      </c>
      <c r="H83" s="264"/>
      <c r="K83" s="4819">
        <f t="shared" si="30"/>
        <v>18</v>
      </c>
      <c r="L83" s="788" t="s">
        <v>2955</v>
      </c>
      <c r="M83" s="788" t="s">
        <v>151</v>
      </c>
      <c r="N83" s="3719">
        <f>N81+N72</f>
        <v>1803.4347552520514</v>
      </c>
      <c r="O83" s="3719">
        <f>O81+O72</f>
        <v>1321.9732109404879</v>
      </c>
      <c r="P83" s="3719">
        <f>P81+P72</f>
        <v>1162.3080738975223</v>
      </c>
    </row>
    <row r="84" spans="2:19">
      <c r="H84" s="264"/>
      <c r="N84" s="254" t="b">
        <f>N83=E83</f>
        <v>1</v>
      </c>
      <c r="O84" s="254" t="b">
        <f t="shared" ref="O84:P84" si="35">O83=F83</f>
        <v>1</v>
      </c>
      <c r="P84" s="254" t="b">
        <f t="shared" si="35"/>
        <v>1</v>
      </c>
      <c r="Q84" s="4801"/>
      <c r="R84" s="4801"/>
      <c r="S84" s="4801"/>
    </row>
    <row r="85" spans="2:19">
      <c r="N85" s="264">
        <f>N83-N59-N47</f>
        <v>0</v>
      </c>
      <c r="O85" s="264">
        <f t="shared" ref="O85:P85" si="36">O83-O59-O47</f>
        <v>0</v>
      </c>
      <c r="P85" s="264">
        <f t="shared" si="36"/>
        <v>0</v>
      </c>
    </row>
  </sheetData>
  <sheetProtection insertColumns="0" insertRows="0" deleteColumns="0" deleteRows="0"/>
  <mergeCells count="3">
    <mergeCell ref="B1:H1"/>
    <mergeCell ref="B2:H2"/>
    <mergeCell ref="B3:H3"/>
  </mergeCells>
  <dataValidations count="1">
    <dataValidation type="date" allowBlank="1" showInputMessage="1" showErrorMessage="1" sqref="H21">
      <formula1>41863</formula1>
      <formula2>41869</formula2>
    </dataValidation>
  </dataValidations>
  <printOptions horizontalCentered="1"/>
  <pageMargins left="0.95" right="0.2" top="0.48" bottom="0.27" header="0.3" footer="0.2"/>
  <pageSetup paperSize="9" scale="64" orientation="portrait" r:id="rId1"/>
</worksheet>
</file>

<file path=xl/worksheets/sheet65.xml><?xml version="1.0" encoding="utf-8"?>
<worksheet xmlns="http://schemas.openxmlformats.org/spreadsheetml/2006/main" xmlns:r="http://schemas.openxmlformats.org/officeDocument/2006/relationships">
  <sheetPr codeName="Sheet16">
    <pageSetUpPr fitToPage="1"/>
  </sheetPr>
  <dimension ref="A1:P79"/>
  <sheetViews>
    <sheetView showGridLines="0" view="pageBreakPreview" zoomScale="70" zoomScaleSheetLayoutView="70" workbookViewId="0">
      <selection activeCell="T61" sqref="T61"/>
    </sheetView>
  </sheetViews>
  <sheetFormatPr defaultRowHeight="15.75"/>
  <cols>
    <col min="1" max="1" width="9.140625" style="254" customWidth="1"/>
    <col min="2" max="2" width="9.140625" style="254"/>
    <col min="3" max="3" width="53.5703125" style="254" customWidth="1"/>
    <col min="4" max="4" width="16.28515625" style="254" customWidth="1"/>
    <col min="5" max="5" width="16.140625" style="254" customWidth="1"/>
    <col min="6" max="6" width="15.85546875" style="4092" customWidth="1"/>
    <col min="7" max="7" width="15.85546875" style="254" customWidth="1"/>
    <col min="8" max="8" width="14.85546875" style="254" customWidth="1"/>
    <col min="9" max="9" width="9.140625" style="254"/>
    <col min="10" max="10" width="9.140625" style="254" hidden="1" customWidth="1"/>
    <col min="11" max="11" width="47.5703125" style="254" hidden="1" customWidth="1"/>
    <col min="12" max="12" width="11.7109375" style="254" hidden="1" customWidth="1"/>
    <col min="13" max="13" width="10.42578125" style="254" hidden="1" customWidth="1"/>
    <col min="14" max="14" width="12.7109375" style="254" hidden="1" customWidth="1"/>
    <col min="15" max="15" width="13" style="254" hidden="1" customWidth="1"/>
    <col min="16" max="16" width="12.42578125" style="254" hidden="1" customWidth="1"/>
    <col min="17" max="16384" width="9.140625" style="254"/>
  </cols>
  <sheetData>
    <row r="1" spans="2:16" s="3527" customFormat="1">
      <c r="B1" s="5396" t="s">
        <v>3414</v>
      </c>
      <c r="C1" s="5396"/>
      <c r="D1" s="5396"/>
      <c r="E1" s="5396"/>
      <c r="F1" s="5396"/>
      <c r="G1" s="5396"/>
      <c r="H1" s="4240"/>
      <c r="I1" s="3727"/>
      <c r="J1" s="4463"/>
      <c r="K1" s="4463"/>
      <c r="L1" s="4463"/>
      <c r="M1" s="4463"/>
      <c r="N1" s="3526"/>
    </row>
    <row r="2" spans="2:16" s="3527" customFormat="1">
      <c r="B2" s="5397" t="s">
        <v>3401</v>
      </c>
      <c r="C2" s="5397"/>
      <c r="D2" s="5397"/>
      <c r="E2" s="5397"/>
      <c r="F2" s="5397"/>
      <c r="G2" s="5397"/>
      <c r="H2" s="3832"/>
      <c r="I2" s="3831"/>
      <c r="J2" s="4464"/>
      <c r="K2" s="4464"/>
      <c r="L2" s="4464"/>
      <c r="M2" s="4464"/>
    </row>
    <row r="3" spans="2:16" s="3527" customFormat="1">
      <c r="B3" s="5397" t="s">
        <v>3508</v>
      </c>
      <c r="C3" s="5397"/>
      <c r="D3" s="5397"/>
      <c r="E3" s="5397"/>
      <c r="F3" s="5397"/>
      <c r="G3" s="5397"/>
      <c r="H3" s="3832"/>
      <c r="I3" s="3832"/>
      <c r="J3" s="4464"/>
      <c r="K3" s="4464"/>
      <c r="L3" s="4464"/>
      <c r="M3" s="4464"/>
    </row>
    <row r="5" spans="2:16">
      <c r="B5" s="3710" t="s">
        <v>3199</v>
      </c>
      <c r="C5" s="3710"/>
      <c r="D5" s="3710"/>
    </row>
    <row r="7" spans="2:16" ht="31.5">
      <c r="B7" s="3722" t="s">
        <v>651</v>
      </c>
      <c r="C7" s="3722" t="s">
        <v>81</v>
      </c>
      <c r="D7" s="3856"/>
      <c r="E7" s="3722" t="s">
        <v>2281</v>
      </c>
      <c r="F7" s="4093" t="s">
        <v>3403</v>
      </c>
      <c r="J7" s="3722" t="s">
        <v>651</v>
      </c>
      <c r="K7" s="3722" t="s">
        <v>81</v>
      </c>
      <c r="L7" s="4811"/>
      <c r="M7" s="3722" t="s">
        <v>2281</v>
      </c>
      <c r="N7" s="4093" t="s">
        <v>660</v>
      </c>
      <c r="O7" s="4093" t="s">
        <v>3582</v>
      </c>
      <c r="P7" s="4093" t="s">
        <v>47</v>
      </c>
    </row>
    <row r="8" spans="2:16">
      <c r="B8" s="3870">
        <v>1</v>
      </c>
      <c r="C8" s="481" t="s">
        <v>3201</v>
      </c>
      <c r="D8" s="3861"/>
      <c r="E8" s="3870"/>
      <c r="F8" s="4094">
        <f>-'ARR Summary'!J39</f>
        <v>1684.0147324810184</v>
      </c>
      <c r="J8" s="4821">
        <v>1</v>
      </c>
      <c r="K8" s="481" t="s">
        <v>3201</v>
      </c>
      <c r="L8" s="4816"/>
      <c r="M8" s="4821"/>
      <c r="N8" s="4094">
        <f>-'ARR_Supply and Trans'!J39</f>
        <v>1091.2298009516596</v>
      </c>
      <c r="O8" s="4094">
        <f>-'ARR_Supply and Trans'!I52</f>
        <v>954.63493152935825</v>
      </c>
      <c r="P8" s="4094">
        <f>SUM(N8:O8)</f>
        <v>2045.8647324810179</v>
      </c>
    </row>
    <row r="9" spans="2:16">
      <c r="B9" s="5056"/>
      <c r="C9" s="481" t="s">
        <v>3747</v>
      </c>
      <c r="D9" s="5055"/>
      <c r="E9" s="840">
        <f>Assumptions!$F$42</f>
        <v>0.14582602739726028</v>
      </c>
      <c r="F9" s="4451">
        <f>F8*E9/2</f>
        <v>122.78658925808347</v>
      </c>
      <c r="J9" s="5056"/>
      <c r="K9" s="481" t="s">
        <v>3747</v>
      </c>
      <c r="L9" s="5055"/>
      <c r="M9" s="840">
        <f>Assumptions!$F$42</f>
        <v>0.14582602739726028</v>
      </c>
      <c r="N9" s="4451">
        <f>N$8*$M9/2</f>
        <v>79.564853425141791</v>
      </c>
      <c r="O9" s="4451">
        <f>O$8*$M9/2</f>
        <v>69.605309839790948</v>
      </c>
      <c r="P9" s="4094">
        <f>SUM(N9:O9)</f>
        <v>149.17016326493274</v>
      </c>
    </row>
    <row r="10" spans="2:16">
      <c r="B10" s="3870"/>
      <c r="C10" s="481" t="s">
        <v>3200</v>
      </c>
      <c r="D10" s="3861"/>
      <c r="E10" s="840">
        <f>Assumptions!$G$42</f>
        <v>0.14749999999999999</v>
      </c>
      <c r="F10" s="4451">
        <f>F8*E10</f>
        <v>248.39217304095021</v>
      </c>
      <c r="J10" s="4821"/>
      <c r="K10" s="481" t="s">
        <v>3200</v>
      </c>
      <c r="L10" s="4816"/>
      <c r="M10" s="840">
        <f>Assumptions!$G$42</f>
        <v>0.14749999999999999</v>
      </c>
      <c r="N10" s="4451">
        <f>N$8*$M10</f>
        <v>160.95639564036978</v>
      </c>
      <c r="O10" s="4451">
        <f>O8*$M10</f>
        <v>140.80865240058034</v>
      </c>
      <c r="P10" s="4094">
        <f>SUM(N10:O10)</f>
        <v>301.76504804095009</v>
      </c>
    </row>
    <row r="11" spans="2:16" ht="31.5">
      <c r="B11" s="3870"/>
      <c r="C11" s="904" t="s">
        <v>3202</v>
      </c>
      <c r="D11" s="3876" t="s">
        <v>234</v>
      </c>
      <c r="E11" s="3855"/>
      <c r="F11" s="4452">
        <f>SUM(F8:F10)</f>
        <v>2055.1934947800523</v>
      </c>
      <c r="J11" s="4821"/>
      <c r="K11" s="904" t="s">
        <v>3202</v>
      </c>
      <c r="L11" s="4810" t="s">
        <v>234</v>
      </c>
      <c r="M11" s="4817"/>
      <c r="N11" s="4452">
        <f>SUM(N8:N10)</f>
        <v>1331.7510500171711</v>
      </c>
      <c r="O11" s="4452">
        <f t="shared" ref="O11" si="0">SUM(O8:O10)</f>
        <v>1165.0488937697296</v>
      </c>
      <c r="P11" s="4095">
        <f>SUM(N11:O11)</f>
        <v>2496.7999437869007</v>
      </c>
    </row>
    <row r="12" spans="2:16">
      <c r="B12" s="3870"/>
      <c r="C12" s="904"/>
      <c r="D12" s="3876"/>
      <c r="E12" s="3855"/>
      <c r="F12" s="4095"/>
      <c r="J12" s="4821"/>
      <c r="K12" s="904"/>
      <c r="L12" s="4810"/>
      <c r="M12" s="4817"/>
      <c r="N12" s="4095"/>
      <c r="O12" s="4095"/>
      <c r="P12" s="4095"/>
    </row>
    <row r="13" spans="2:16">
      <c r="B13" s="3870">
        <v>2</v>
      </c>
      <c r="C13" s="481" t="s">
        <v>3203</v>
      </c>
      <c r="D13" s="3876"/>
      <c r="E13" s="3855"/>
      <c r="F13" s="4094">
        <f>-'ARR Summary'!L39</f>
        <v>729.74059532515616</v>
      </c>
      <c r="J13" s="4821">
        <v>2</v>
      </c>
      <c r="K13" s="481" t="s">
        <v>3203</v>
      </c>
      <c r="L13" s="4810"/>
      <c r="M13" s="4817"/>
      <c r="N13" s="4094">
        <f>-'ARR_Supply and Trans'!L39</f>
        <v>271.29088884567705</v>
      </c>
      <c r="O13" s="4094">
        <f>-'ARR_Supply and Trans'!L52</f>
        <v>458.44970647947912</v>
      </c>
      <c r="P13" s="4094">
        <f>SUM(N13:O13)</f>
        <v>729.74059532515616</v>
      </c>
    </row>
    <row r="14" spans="2:16">
      <c r="B14" s="5056"/>
      <c r="C14" s="481" t="s">
        <v>3200</v>
      </c>
      <c r="D14" s="5055"/>
      <c r="E14" s="840">
        <f>Assumptions!$G$42</f>
        <v>0.14749999999999999</v>
      </c>
      <c r="F14" s="4451">
        <f>F13*E14/2</f>
        <v>53.818368905230265</v>
      </c>
      <c r="J14" s="5056"/>
      <c r="K14" s="481" t="s">
        <v>3200</v>
      </c>
      <c r="L14" s="5055"/>
      <c r="M14" s="840">
        <f>Assumptions!$G$42</f>
        <v>0.14749999999999999</v>
      </c>
      <c r="N14" s="4451">
        <f>N$13*$M14/2</f>
        <v>20.007703052368679</v>
      </c>
      <c r="O14" s="4451">
        <f>O$13*$M14/2</f>
        <v>33.810665852861582</v>
      </c>
      <c r="P14" s="4094">
        <f>SUM(N14:O14)</f>
        <v>53.818368905230258</v>
      </c>
    </row>
    <row r="15" spans="2:16" ht="31.5">
      <c r="B15" s="3870"/>
      <c r="C15" s="904" t="s">
        <v>3204</v>
      </c>
      <c r="D15" s="3876" t="s">
        <v>1116</v>
      </c>
      <c r="E15" s="3855"/>
      <c r="F15" s="4095">
        <f>SUM(F13:F14)</f>
        <v>783.55896423038644</v>
      </c>
      <c r="J15" s="4821"/>
      <c r="K15" s="904" t="s">
        <v>3204</v>
      </c>
      <c r="L15" s="4810" t="s">
        <v>1116</v>
      </c>
      <c r="M15" s="4817"/>
      <c r="N15" s="4095">
        <f>SUM(N13:N14)</f>
        <v>291.29859189804574</v>
      </c>
      <c r="O15" s="4095">
        <f t="shared" ref="O15" si="1">SUM(O13:O14)</f>
        <v>492.26037233234069</v>
      </c>
      <c r="P15" s="4095">
        <f>SUM(N15:O15)</f>
        <v>783.55896423038644</v>
      </c>
    </row>
    <row r="16" spans="2:16">
      <c r="B16" s="3870"/>
      <c r="C16" s="481" t="s">
        <v>94</v>
      </c>
      <c r="D16" s="3861"/>
      <c r="E16" s="840"/>
      <c r="F16" s="4094"/>
      <c r="J16" s="4821"/>
      <c r="K16" s="481" t="s">
        <v>94</v>
      </c>
      <c r="L16" s="4816"/>
      <c r="M16" s="840"/>
      <c r="N16" s="4094"/>
      <c r="O16" s="4094"/>
      <c r="P16" s="4094"/>
    </row>
    <row r="17" spans="1:16">
      <c r="B17" s="3855">
        <v>3</v>
      </c>
      <c r="C17" s="904" t="s">
        <v>3383</v>
      </c>
      <c r="D17" s="3876" t="s">
        <v>3205</v>
      </c>
      <c r="E17" s="3855"/>
      <c r="F17" s="4095">
        <f>F11+F15</f>
        <v>2838.7524590104385</v>
      </c>
      <c r="G17" s="3711"/>
      <c r="J17" s="4817">
        <v>3</v>
      </c>
      <c r="K17" s="904" t="s">
        <v>3383</v>
      </c>
      <c r="L17" s="4810" t="s">
        <v>3205</v>
      </c>
      <c r="M17" s="4817"/>
      <c r="N17" s="4095">
        <f>N11+N15</f>
        <v>1623.0496419152169</v>
      </c>
      <c r="O17" s="4095">
        <f>O11+O15</f>
        <v>1657.3092661020703</v>
      </c>
      <c r="P17" s="4095">
        <f>P11+P15</f>
        <v>3280.3589080172869</v>
      </c>
    </row>
    <row r="19" spans="1:16" hidden="1">
      <c r="B19" s="3696" t="s">
        <v>3576</v>
      </c>
      <c r="C19" s="3858"/>
    </row>
    <row r="20" spans="1:16" hidden="1">
      <c r="B20" s="3712"/>
      <c r="C20" s="3713"/>
    </row>
    <row r="21" spans="1:16" ht="31.5" hidden="1">
      <c r="B21" s="3854" t="s">
        <v>651</v>
      </c>
      <c r="C21" s="3854" t="s">
        <v>491</v>
      </c>
      <c r="D21" s="3854" t="s">
        <v>2898</v>
      </c>
      <c r="E21" s="3853" t="s">
        <v>755</v>
      </c>
      <c r="F21" s="4093" t="s">
        <v>3403</v>
      </c>
    </row>
    <row r="22" spans="1:16" hidden="1">
      <c r="B22" s="3870">
        <v>1</v>
      </c>
      <c r="C22" s="258" t="s">
        <v>3206</v>
      </c>
      <c r="D22" s="258" t="s">
        <v>151</v>
      </c>
      <c r="E22" s="799">
        <f>'ARR Summary'!M35</f>
        <v>5616.2925661630343</v>
      </c>
      <c r="F22" s="4094">
        <f>'ARR Summary'!$N$35</f>
        <v>5180.6895020761604</v>
      </c>
    </row>
    <row r="23" spans="1:16" hidden="1">
      <c r="B23" s="3870">
        <f t="shared" ref="B23:B28" si="2">B22+1</f>
        <v>2</v>
      </c>
      <c r="C23" s="258" t="s">
        <v>3210</v>
      </c>
      <c r="D23" s="258" t="s">
        <v>151</v>
      </c>
      <c r="E23" s="799">
        <f>-'Tariff as per MYT Order'!E9+'Tariff as per MYT Order'!E13</f>
        <v>1230.8499999999995</v>
      </c>
      <c r="F23" s="4094">
        <f>$F$17</f>
        <v>2838.7524590104385</v>
      </c>
    </row>
    <row r="24" spans="1:16" hidden="1">
      <c r="B24" s="3870">
        <f t="shared" si="2"/>
        <v>3</v>
      </c>
      <c r="C24" s="258" t="s">
        <v>3207</v>
      </c>
      <c r="D24" s="258" t="s">
        <v>151</v>
      </c>
      <c r="E24" s="4094">
        <f>SUM(E22:E23)</f>
        <v>6847.1425661630337</v>
      </c>
      <c r="F24" s="4094">
        <f>SUM(F22:F23)</f>
        <v>8019.4419610865989</v>
      </c>
    </row>
    <row r="25" spans="1:16" hidden="1">
      <c r="B25" s="3878">
        <f t="shared" si="2"/>
        <v>4</v>
      </c>
      <c r="C25" s="788" t="s">
        <v>1929</v>
      </c>
      <c r="D25" s="788" t="s">
        <v>83</v>
      </c>
      <c r="E25" s="3719">
        <f>Assumptions!$H$70</f>
        <v>5734.66</v>
      </c>
      <c r="F25" s="3719">
        <f>Assumptions!$H$71</f>
        <v>4593.6293562891042</v>
      </c>
    </row>
    <row r="26" spans="1:16" hidden="1">
      <c r="B26" s="3870">
        <v>4</v>
      </c>
      <c r="C26" s="258" t="s">
        <v>2273</v>
      </c>
      <c r="D26" s="258" t="s">
        <v>151</v>
      </c>
      <c r="E26" s="799">
        <f>'ARR Summary'!M36</f>
        <v>6849.76</v>
      </c>
      <c r="F26" s="4094">
        <f>'ARR Summary'!$N$36</f>
        <v>5031.0924191304739</v>
      </c>
    </row>
    <row r="27" spans="1:16" hidden="1">
      <c r="B27" s="3855">
        <v>5</v>
      </c>
      <c r="C27" s="788" t="s">
        <v>3577</v>
      </c>
      <c r="D27" s="788" t="s">
        <v>151</v>
      </c>
      <c r="E27" s="4097">
        <f>E26-E24</f>
        <v>2.6174338369664838</v>
      </c>
      <c r="F27" s="4710">
        <f>F24-F26</f>
        <v>2988.349541956125</v>
      </c>
    </row>
    <row r="28" spans="1:16" hidden="1">
      <c r="B28" s="3855">
        <f t="shared" si="2"/>
        <v>6</v>
      </c>
      <c r="C28" s="788" t="s">
        <v>3208</v>
      </c>
      <c r="D28" s="788" t="s">
        <v>3209</v>
      </c>
      <c r="E28" s="3719">
        <f>E24/E25*10</f>
        <v>11.939927678647093</v>
      </c>
      <c r="F28" s="3719">
        <f>F24/F25*10</f>
        <v>17.457747108192873</v>
      </c>
    </row>
    <row r="29" spans="1:16" hidden="1"/>
    <row r="30" spans="1:16">
      <c r="C30" s="3858"/>
      <c r="D30" s="3858"/>
    </row>
    <row r="31" spans="1:16">
      <c r="A31" s="1042"/>
      <c r="B31" s="3696" t="s">
        <v>3576</v>
      </c>
      <c r="C31" s="1042"/>
      <c r="D31" s="1042"/>
      <c r="E31" s="1042"/>
      <c r="F31" s="4709"/>
      <c r="G31" s="1042"/>
      <c r="H31" s="1042"/>
    </row>
    <row r="32" spans="1:16" s="1042" customFormat="1">
      <c r="B32" s="254"/>
      <c r="C32" s="254"/>
      <c r="D32" s="254"/>
      <c r="E32" s="4092"/>
    </row>
    <row r="33" spans="2:16" ht="31.5">
      <c r="B33" s="3854" t="s">
        <v>651</v>
      </c>
      <c r="C33" s="3854" t="s">
        <v>491</v>
      </c>
      <c r="D33" s="3854" t="s">
        <v>2898</v>
      </c>
      <c r="E33" s="4093" t="s">
        <v>3403</v>
      </c>
      <c r="J33" s="4812" t="s">
        <v>651</v>
      </c>
      <c r="K33" s="4812" t="s">
        <v>491</v>
      </c>
      <c r="L33" s="4812" t="s">
        <v>2898</v>
      </c>
      <c r="M33" s="4814"/>
      <c r="N33" s="4839" t="s">
        <v>660</v>
      </c>
      <c r="O33" s="4839" t="s">
        <v>3582</v>
      </c>
      <c r="P33" s="4839" t="s">
        <v>47</v>
      </c>
    </row>
    <row r="34" spans="2:16">
      <c r="B34" s="3870">
        <v>1</v>
      </c>
      <c r="C34" s="258" t="s">
        <v>3206</v>
      </c>
      <c r="D34" s="258" t="s">
        <v>151</v>
      </c>
      <c r="E34" s="4094">
        <f>'ARR Summary'!$N$35</f>
        <v>5180.6895020761604</v>
      </c>
      <c r="J34" s="4821">
        <v>1</v>
      </c>
      <c r="K34" s="258" t="s">
        <v>3206</v>
      </c>
      <c r="L34" s="258" t="s">
        <v>151</v>
      </c>
      <c r="M34" s="799"/>
      <c r="N34" s="4094">
        <f>'ARR_Supply and Trans'!N35</f>
        <v>4408.2085172521465</v>
      </c>
      <c r="O34" s="799">
        <f>'ARR_Supply and Trans'!N48+'ARR_Supply and Trans'!N51</f>
        <v>772.48098482401463</v>
      </c>
      <c r="P34" s="799">
        <f>SUM(N34:O34)</f>
        <v>5180.6895020761613</v>
      </c>
    </row>
    <row r="35" spans="2:16">
      <c r="B35" s="3870">
        <f t="shared" ref="B35:B50" si="3">B34+1</f>
        <v>2</v>
      </c>
      <c r="C35" s="258" t="s">
        <v>3210</v>
      </c>
      <c r="D35" s="258" t="s">
        <v>151</v>
      </c>
      <c r="E35" s="4094">
        <f>'F18'!$F$17</f>
        <v>2838.7524590104385</v>
      </c>
      <c r="J35" s="4821">
        <f t="shared" ref="J35:J37" si="4">J34+1</f>
        <v>2</v>
      </c>
      <c r="K35" s="258" t="s">
        <v>3210</v>
      </c>
      <c r="L35" s="258" t="s">
        <v>151</v>
      </c>
      <c r="M35" s="799"/>
      <c r="N35" s="4094">
        <f>N17</f>
        <v>1623.0496419152169</v>
      </c>
      <c r="O35" s="4094">
        <f>O17</f>
        <v>1657.3092661020703</v>
      </c>
      <c r="P35" s="799">
        <f>SUM(N35:O35)</f>
        <v>3280.3589080172869</v>
      </c>
    </row>
    <row r="36" spans="2:16">
      <c r="B36" s="3870">
        <f t="shared" si="3"/>
        <v>3</v>
      </c>
      <c r="C36" s="258" t="s">
        <v>3207</v>
      </c>
      <c r="D36" s="258" t="s">
        <v>151</v>
      </c>
      <c r="E36" s="4094">
        <f>SUM(E34:E35)</f>
        <v>8019.4419610865989</v>
      </c>
      <c r="J36" s="4821">
        <f t="shared" si="4"/>
        <v>3</v>
      </c>
      <c r="K36" s="258" t="s">
        <v>3207</v>
      </c>
      <c r="L36" s="258" t="s">
        <v>151</v>
      </c>
      <c r="M36" s="4094"/>
      <c r="N36" s="4094">
        <f>SUM(N34:N35)</f>
        <v>6031.2581591673634</v>
      </c>
      <c r="O36" s="4094">
        <f>SUM(O34:O35)</f>
        <v>2429.7902509260848</v>
      </c>
      <c r="P36" s="799">
        <f>SUM(N36:O36)</f>
        <v>8461.0484100934482</v>
      </c>
    </row>
    <row r="37" spans="2:16">
      <c r="B37" s="3870">
        <f t="shared" si="3"/>
        <v>4</v>
      </c>
      <c r="C37" s="258" t="s">
        <v>1929</v>
      </c>
      <c r="D37" s="258" t="s">
        <v>83</v>
      </c>
      <c r="E37" s="4065">
        <f>Assumptions!$H$71</f>
        <v>4593.6293562891042</v>
      </c>
      <c r="G37" s="264"/>
      <c r="H37" s="807"/>
      <c r="J37" s="4817">
        <f t="shared" si="4"/>
        <v>4</v>
      </c>
      <c r="K37" s="788" t="s">
        <v>1929</v>
      </c>
      <c r="L37" s="788" t="s">
        <v>83</v>
      </c>
      <c r="M37" s="3719"/>
      <c r="N37" s="799">
        <f>E37</f>
        <v>4593.6293562891042</v>
      </c>
      <c r="O37" s="799">
        <f>N37</f>
        <v>4593.6293562891042</v>
      </c>
      <c r="P37" s="799">
        <f>O37</f>
        <v>4593.6293562891042</v>
      </c>
    </row>
    <row r="38" spans="2:16">
      <c r="B38" s="3870">
        <f t="shared" si="3"/>
        <v>5</v>
      </c>
      <c r="C38" s="258" t="s">
        <v>2273</v>
      </c>
      <c r="D38" s="258" t="s">
        <v>151</v>
      </c>
      <c r="E38" s="4094">
        <f>'ARR Summary'!$N$36</f>
        <v>5031.0924191304739</v>
      </c>
      <c r="F38" s="4453"/>
      <c r="G38" s="264"/>
      <c r="J38" s="4821">
        <v>4</v>
      </c>
      <c r="K38" s="258" t="s">
        <v>2273</v>
      </c>
      <c r="L38" s="258" t="s">
        <v>151</v>
      </c>
      <c r="M38" s="799"/>
      <c r="N38" s="4094">
        <f>'ARR_Supply and Trans'!N36</f>
        <v>4340.5958841288357</v>
      </c>
      <c r="O38" s="799">
        <f>'ARR_Supply and Trans'!N49</f>
        <v>690.49653500163799</v>
      </c>
      <c r="P38" s="799">
        <f>SUM(N38:O38)</f>
        <v>5031.0924191304739</v>
      </c>
    </row>
    <row r="39" spans="2:16">
      <c r="B39" s="3870">
        <f t="shared" si="3"/>
        <v>6</v>
      </c>
      <c r="C39" s="788" t="s">
        <v>3577</v>
      </c>
      <c r="D39" s="788" t="s">
        <v>151</v>
      </c>
      <c r="E39" s="4710">
        <f>E36-E38</f>
        <v>2988.349541956125</v>
      </c>
      <c r="J39" s="4817">
        <v>5</v>
      </c>
      <c r="K39" s="788" t="s">
        <v>3577</v>
      </c>
      <c r="L39" s="788" t="s">
        <v>151</v>
      </c>
      <c r="M39" s="4097"/>
      <c r="N39" s="4710">
        <f>N36-N38</f>
        <v>1690.6622750385277</v>
      </c>
      <c r="O39" s="4710">
        <f>O36-O38</f>
        <v>1739.2937159244468</v>
      </c>
      <c r="P39" s="4710">
        <f>P36-P38</f>
        <v>3429.9559909629743</v>
      </c>
    </row>
    <row r="40" spans="2:16" hidden="1">
      <c r="B40" s="3870">
        <f t="shared" si="3"/>
        <v>7</v>
      </c>
      <c r="C40" s="788" t="s">
        <v>3208</v>
      </c>
      <c r="D40" s="788" t="s">
        <v>3209</v>
      </c>
      <c r="E40" s="4262">
        <f>E36/E37*10</f>
        <v>17.457747108192873</v>
      </c>
    </row>
    <row r="41" spans="2:16" hidden="1">
      <c r="B41" s="3870">
        <f t="shared" si="3"/>
        <v>8</v>
      </c>
      <c r="C41" s="258" t="s">
        <v>3216</v>
      </c>
      <c r="D41" s="258" t="s">
        <v>3209</v>
      </c>
      <c r="E41" s="4262">
        <f>(E36+E39)/E37*10</f>
        <v>23.963168660902166</v>
      </c>
    </row>
    <row r="42" spans="2:16" hidden="1">
      <c r="B42" s="3870">
        <f t="shared" si="3"/>
        <v>9</v>
      </c>
      <c r="C42" s="258" t="s">
        <v>3215</v>
      </c>
      <c r="D42" s="258" t="s">
        <v>89</v>
      </c>
      <c r="E42" s="4122">
        <f>(E40-E41)/E41</f>
        <v>-0.27147584882309039</v>
      </c>
    </row>
    <row r="43" spans="2:16" hidden="1">
      <c r="B43" s="3870">
        <f t="shared" si="3"/>
        <v>10</v>
      </c>
      <c r="C43" s="258"/>
      <c r="D43" s="258"/>
      <c r="E43" s="4096"/>
    </row>
    <row r="44" spans="2:16" hidden="1">
      <c r="B44" s="3870">
        <f t="shared" si="3"/>
        <v>11</v>
      </c>
      <c r="C44" s="4123" t="s">
        <v>3217</v>
      </c>
      <c r="D44" s="258"/>
      <c r="E44" s="4096"/>
    </row>
    <row r="45" spans="2:16" hidden="1">
      <c r="B45" s="3870">
        <f t="shared" si="3"/>
        <v>12</v>
      </c>
      <c r="C45" s="258" t="s">
        <v>3221</v>
      </c>
      <c r="D45" s="788" t="s">
        <v>151</v>
      </c>
      <c r="E45" s="4124">
        <f>(('F18'!$E$28*$E$37/10)-E38)*0</f>
        <v>0</v>
      </c>
    </row>
    <row r="46" spans="2:16" hidden="1">
      <c r="B46" s="3870">
        <f t="shared" si="3"/>
        <v>13</v>
      </c>
      <c r="C46" s="258" t="s">
        <v>3213</v>
      </c>
      <c r="D46" s="788" t="s">
        <v>151</v>
      </c>
      <c r="E46" s="4431">
        <f>E45+E39</f>
        <v>2988.349541956125</v>
      </c>
    </row>
    <row r="47" spans="2:16" hidden="1">
      <c r="B47" s="3870">
        <f t="shared" si="3"/>
        <v>14</v>
      </c>
      <c r="C47" s="258"/>
      <c r="D47" s="258"/>
      <c r="E47" s="4096"/>
    </row>
    <row r="48" spans="2:16" hidden="1">
      <c r="B48" s="3870">
        <f t="shared" si="3"/>
        <v>15</v>
      </c>
      <c r="C48" s="258" t="s">
        <v>3214</v>
      </c>
      <c r="D48" s="788" t="s">
        <v>3209</v>
      </c>
      <c r="E48" s="4143">
        <f>(E38+E45)/E37*10</f>
        <v>10.952325555483579</v>
      </c>
    </row>
    <row r="49" spans="2:16" hidden="1">
      <c r="B49" s="3870">
        <f t="shared" si="3"/>
        <v>16</v>
      </c>
      <c r="C49" s="258" t="s">
        <v>3215</v>
      </c>
      <c r="D49" s="258" t="s">
        <v>89</v>
      </c>
      <c r="E49" s="4122">
        <f>(E48-E41)/E41</f>
        <v>-0.54295169764618079</v>
      </c>
    </row>
    <row r="50" spans="2:16" hidden="1">
      <c r="B50" s="4445">
        <f t="shared" si="3"/>
        <v>17</v>
      </c>
      <c r="C50" s="258" t="s">
        <v>3397</v>
      </c>
      <c r="D50" s="258" t="s">
        <v>3209</v>
      </c>
      <c r="E50" s="799">
        <f>'F22'!V42/E37*10</f>
        <v>11.554973270404458</v>
      </c>
      <c r="G50" s="4457"/>
    </row>
    <row r="51" spans="2:16">
      <c r="C51" s="612"/>
      <c r="E51" s="807"/>
      <c r="G51" s="4457"/>
    </row>
    <row r="53" spans="2:16">
      <c r="B53" s="4458" t="s">
        <v>3391</v>
      </c>
    </row>
    <row r="54" spans="2:16">
      <c r="B54" s="4458"/>
    </row>
    <row r="55" spans="2:16" ht="31.5">
      <c r="B55" s="4444" t="s">
        <v>651</v>
      </c>
      <c r="C55" s="4444" t="s">
        <v>491</v>
      </c>
      <c r="D55" s="4444" t="s">
        <v>2898</v>
      </c>
      <c r="E55" s="4093" t="s">
        <v>3403</v>
      </c>
      <c r="J55" s="4812" t="s">
        <v>651</v>
      </c>
      <c r="K55" s="4812" t="s">
        <v>491</v>
      </c>
      <c r="L55" s="4812" t="s">
        <v>2898</v>
      </c>
      <c r="M55" s="4839"/>
      <c r="N55" s="4839" t="s">
        <v>660</v>
      </c>
      <c r="O55" s="4839" t="s">
        <v>3582</v>
      </c>
      <c r="P55" s="4839" t="s">
        <v>47</v>
      </c>
    </row>
    <row r="56" spans="2:16">
      <c r="B56" s="4445">
        <v>1</v>
      </c>
      <c r="C56" s="4890" t="s">
        <v>3392</v>
      </c>
      <c r="D56" s="4890" t="s">
        <v>151</v>
      </c>
      <c r="E56" s="257">
        <f>E35</f>
        <v>2838.7524590104385</v>
      </c>
      <c r="J56" s="4821">
        <v>1</v>
      </c>
      <c r="K56" s="258" t="s">
        <v>3392</v>
      </c>
      <c r="L56" s="258" t="s">
        <v>151</v>
      </c>
      <c r="M56" s="799"/>
      <c r="N56" s="799">
        <f>N17</f>
        <v>1623.0496419152169</v>
      </c>
      <c r="O56" s="799">
        <f>O17</f>
        <v>1657.3092661020703</v>
      </c>
      <c r="P56" s="799">
        <f>SUM(N56:O56)</f>
        <v>3280.3589080172869</v>
      </c>
    </row>
    <row r="57" spans="2:16">
      <c r="B57" s="4895">
        <f>B56+1</f>
        <v>2</v>
      </c>
      <c r="C57" s="4890" t="s">
        <v>3393</v>
      </c>
      <c r="D57" s="4890" t="s">
        <v>151</v>
      </c>
      <c r="E57" s="257">
        <f>-'ARR Summary'!N39</f>
        <v>149.59708294568645</v>
      </c>
      <c r="J57" s="4999">
        <f>J56+1</f>
        <v>2</v>
      </c>
      <c r="K57" s="258" t="s">
        <v>3393</v>
      </c>
      <c r="L57" s="258" t="s">
        <v>151</v>
      </c>
      <c r="M57" s="799"/>
      <c r="N57" s="799">
        <f>-'ARR_Supply and Trans'!N39</f>
        <v>67.612633123310843</v>
      </c>
      <c r="O57" s="799">
        <f>-'ARR_Supply and Trans'!N52</f>
        <v>81.984449822376632</v>
      </c>
      <c r="P57" s="799">
        <f>SUM(N57:O57)</f>
        <v>149.59708294568748</v>
      </c>
    </row>
    <row r="58" spans="2:16">
      <c r="B58" s="4999">
        <f t="shared" ref="B58:B60" si="5">B57+1</f>
        <v>3</v>
      </c>
      <c r="C58" s="4890" t="s">
        <v>3394</v>
      </c>
      <c r="D58" s="4890" t="s">
        <v>89</v>
      </c>
      <c r="E58" s="1304">
        <f>Assumptions!$H$42</f>
        <v>0.14749999999999999</v>
      </c>
      <c r="J58" s="4999">
        <f t="shared" ref="J58:J60" si="6">J57+1</f>
        <v>3</v>
      </c>
      <c r="K58" s="258" t="s">
        <v>3394</v>
      </c>
      <c r="L58" s="258" t="s">
        <v>89</v>
      </c>
      <c r="M58" s="4459"/>
      <c r="N58" s="3715">
        <f>14.75%</f>
        <v>0.14749999999999999</v>
      </c>
      <c r="O58" s="3715">
        <f>14.75%</f>
        <v>0.14749999999999999</v>
      </c>
      <c r="P58" s="799">
        <f>SUM(N58:O58)</f>
        <v>0.29499999999999998</v>
      </c>
    </row>
    <row r="59" spans="2:16">
      <c r="B59" s="4999">
        <f t="shared" si="5"/>
        <v>4</v>
      </c>
      <c r="C59" s="4890" t="s">
        <v>3629</v>
      </c>
      <c r="D59" s="4890" t="s">
        <v>151</v>
      </c>
      <c r="E59" s="257">
        <f>E56*E58+(E57*E58/2)</f>
        <v>429.74877257128406</v>
      </c>
      <c r="J59" s="4999">
        <f t="shared" si="6"/>
        <v>4</v>
      </c>
      <c r="K59" s="258" t="s">
        <v>3396</v>
      </c>
      <c r="L59" s="258" t="s">
        <v>151</v>
      </c>
      <c r="M59" s="799"/>
      <c r="N59" s="257">
        <f>N56*N58+(N57*N58/2)</f>
        <v>244.38625387533864</v>
      </c>
      <c r="O59" s="257">
        <f>O56*O58+(O57*O58/2)</f>
        <v>250.49946992445564</v>
      </c>
      <c r="P59" s="799">
        <f>SUM(N59:O59)</f>
        <v>494.88572379979428</v>
      </c>
    </row>
    <row r="60" spans="2:16" ht="31.5">
      <c r="B60" s="4999">
        <f t="shared" si="5"/>
        <v>5</v>
      </c>
      <c r="C60" s="4880" t="s">
        <v>3630</v>
      </c>
      <c r="D60" s="4109"/>
      <c r="E60" s="1062">
        <f>E56+E59+E57</f>
        <v>3418.098314527409</v>
      </c>
      <c r="J60" s="4999">
        <f t="shared" si="6"/>
        <v>5</v>
      </c>
      <c r="K60" s="904" t="s">
        <v>3395</v>
      </c>
      <c r="L60" s="788"/>
      <c r="M60" s="3719"/>
      <c r="N60" s="3719">
        <f>N56+N59+N57</f>
        <v>1935.0485289138664</v>
      </c>
      <c r="O60" s="3719">
        <f>O56+O59+O57</f>
        <v>1989.7931858489023</v>
      </c>
      <c r="P60" s="3719">
        <f>SUM(N60:O60)</f>
        <v>3924.8417147627688</v>
      </c>
    </row>
    <row r="62" spans="2:16">
      <c r="E62" s="264"/>
    </row>
    <row r="67" spans="3:8">
      <c r="C67" s="4889" t="s">
        <v>81</v>
      </c>
      <c r="D67" s="4889" t="s">
        <v>3631</v>
      </c>
      <c r="E67" s="4889" t="s">
        <v>3632</v>
      </c>
      <c r="F67" s="4093" t="s">
        <v>3633</v>
      </c>
      <c r="G67" s="4889" t="s">
        <v>3634</v>
      </c>
      <c r="H67" s="4889" t="s">
        <v>3635</v>
      </c>
    </row>
    <row r="68" spans="3:8">
      <c r="C68" s="4890" t="s">
        <v>3636</v>
      </c>
      <c r="D68" s="257">
        <f>E60</f>
        <v>3418.098314527409</v>
      </c>
      <c r="E68" s="257">
        <f>D70</f>
        <v>2734.4786516219274</v>
      </c>
      <c r="F68" s="257">
        <f t="shared" ref="F68:H68" si="7">E70</f>
        <v>2050.8589887164453</v>
      </c>
      <c r="G68" s="257">
        <f t="shared" si="7"/>
        <v>1367.2393258109635</v>
      </c>
      <c r="H68" s="257">
        <f t="shared" si="7"/>
        <v>683.61966290548162</v>
      </c>
    </row>
    <row r="69" spans="3:8">
      <c r="C69" s="4890" t="s">
        <v>3637</v>
      </c>
      <c r="D69" s="257">
        <f>$D$68/5</f>
        <v>683.61966290548185</v>
      </c>
      <c r="E69" s="257">
        <f>D69</f>
        <v>683.61966290548185</v>
      </c>
      <c r="F69" s="257">
        <f t="shared" ref="F69:H69" si="8">E69</f>
        <v>683.61966290548185</v>
      </c>
      <c r="G69" s="257">
        <f t="shared" si="8"/>
        <v>683.61966290548185</v>
      </c>
      <c r="H69" s="257">
        <f t="shared" si="8"/>
        <v>683.61966290548185</v>
      </c>
    </row>
    <row r="70" spans="3:8">
      <c r="C70" s="4890" t="s">
        <v>3638</v>
      </c>
      <c r="D70" s="257">
        <f>D68-D69</f>
        <v>2734.4786516219274</v>
      </c>
      <c r="E70" s="257">
        <f t="shared" ref="E70:H70" si="9">E68-E69</f>
        <v>2050.8589887164453</v>
      </c>
      <c r="F70" s="257">
        <f t="shared" si="9"/>
        <v>1367.2393258109635</v>
      </c>
      <c r="G70" s="257">
        <f t="shared" si="9"/>
        <v>683.61966290548162</v>
      </c>
      <c r="H70" s="257">
        <f t="shared" si="9"/>
        <v>0</v>
      </c>
    </row>
    <row r="71" spans="3:8">
      <c r="C71" s="4890"/>
      <c r="D71" s="4890"/>
      <c r="E71" s="4890"/>
      <c r="F71" s="4890"/>
      <c r="G71" s="4890"/>
      <c r="H71" s="4890"/>
    </row>
    <row r="72" spans="3:8">
      <c r="C72" s="4890" t="s">
        <v>3639</v>
      </c>
      <c r="D72" s="257">
        <f>AVERAGE(D68,D70)</f>
        <v>3076.288483074668</v>
      </c>
      <c r="E72" s="257">
        <f t="shared" ref="E72:H72" si="10">AVERAGE(E68,E70)</f>
        <v>2392.6688201691863</v>
      </c>
      <c r="F72" s="257">
        <f t="shared" si="10"/>
        <v>1709.0491572637043</v>
      </c>
      <c r="G72" s="257">
        <f t="shared" si="10"/>
        <v>1025.4294943582227</v>
      </c>
      <c r="H72" s="257">
        <f t="shared" si="10"/>
        <v>341.80983145274081</v>
      </c>
    </row>
    <row r="73" spans="3:8">
      <c r="C73" s="4890" t="s">
        <v>3640</v>
      </c>
      <c r="D73" s="262">
        <v>0.14749999999999999</v>
      </c>
      <c r="E73" s="262">
        <v>0.14749999999999999</v>
      </c>
      <c r="F73" s="262">
        <v>0.14749999999999999</v>
      </c>
      <c r="G73" s="262">
        <v>0.14749999999999999</v>
      </c>
      <c r="H73" s="262">
        <v>0.14749999999999999</v>
      </c>
    </row>
    <row r="74" spans="3:8">
      <c r="C74" s="4890" t="s">
        <v>3641</v>
      </c>
      <c r="D74" s="257">
        <f>D72*D73</f>
        <v>453.7525512535135</v>
      </c>
      <c r="E74" s="257">
        <f t="shared" ref="E74:H74" si="11">E72*E73</f>
        <v>352.91865097495497</v>
      </c>
      <c r="F74" s="257">
        <f t="shared" si="11"/>
        <v>252.08475069639636</v>
      </c>
      <c r="G74" s="257">
        <f t="shared" si="11"/>
        <v>151.25085041783782</v>
      </c>
      <c r="H74" s="257">
        <f t="shared" si="11"/>
        <v>50.416950139279265</v>
      </c>
    </row>
    <row r="75" spans="3:8">
      <c r="C75" s="4890"/>
      <c r="D75" s="4890"/>
      <c r="E75" s="4890"/>
      <c r="F75" s="4890"/>
      <c r="G75" s="4890"/>
      <c r="H75" s="4890"/>
    </row>
    <row r="76" spans="3:8">
      <c r="C76" s="4890" t="s">
        <v>3642</v>
      </c>
      <c r="D76" s="257">
        <f>D69+D74</f>
        <v>1137.3722141589953</v>
      </c>
      <c r="E76" s="257">
        <f t="shared" ref="E76:H76" si="12">E69+E74</f>
        <v>1036.5383138804368</v>
      </c>
      <c r="F76" s="257">
        <f t="shared" si="12"/>
        <v>935.70441360187817</v>
      </c>
      <c r="G76" s="257">
        <f t="shared" si="12"/>
        <v>834.87051332331964</v>
      </c>
      <c r="H76" s="257">
        <f t="shared" si="12"/>
        <v>734.03661304476111</v>
      </c>
    </row>
    <row r="77" spans="3:8">
      <c r="C77" s="4890" t="s">
        <v>2966</v>
      </c>
      <c r="D77" s="4918">
        <f>'F1'!I40*(1+($D$79/2))</f>
        <v>4708.9294531319601</v>
      </c>
      <c r="E77" s="4918">
        <f>D77*(1+($D$79/2))</f>
        <v>4827.1235824055721</v>
      </c>
      <c r="F77" s="4918">
        <f t="shared" ref="F77:H77" si="13">E77*(1+($D$79/2))</f>
        <v>4948.2843843239516</v>
      </c>
      <c r="G77" s="4918">
        <f t="shared" si="13"/>
        <v>5072.4863223704824</v>
      </c>
      <c r="H77" s="4918">
        <f t="shared" si="13"/>
        <v>5199.8057290619809</v>
      </c>
    </row>
    <row r="78" spans="3:8">
      <c r="C78" s="4890" t="s">
        <v>3643</v>
      </c>
      <c r="D78" s="4918">
        <f>D76/D77*10</f>
        <v>2.4153519934398608</v>
      </c>
      <c r="E78" s="4918">
        <f t="shared" ref="E78:H78" si="14">E76/E77*10</f>
        <v>2.1473208551331169</v>
      </c>
      <c r="F78" s="4918">
        <f t="shared" si="14"/>
        <v>1.8909673351963516</v>
      </c>
      <c r="G78" s="4918">
        <f t="shared" si="14"/>
        <v>1.6458802651500628</v>
      </c>
      <c r="H78" s="4918">
        <f t="shared" si="14"/>
        <v>1.4116616106293989</v>
      </c>
    </row>
    <row r="79" spans="3:8">
      <c r="D79" s="254">
        <f>5.02%</f>
        <v>5.0199999999999995E-2</v>
      </c>
    </row>
  </sheetData>
  <sheetProtection insertColumns="0" insertRows="0" deleteColumns="0" deleteRows="0"/>
  <mergeCells count="3">
    <mergeCell ref="B1:G1"/>
    <mergeCell ref="B2:G2"/>
    <mergeCell ref="B3:G3"/>
  </mergeCells>
  <pageMargins left="0.64" right="0.3" top="0.48" bottom="0.55000000000000004" header="0.3" footer="0.3"/>
  <pageSetup paperSize="9" scale="61" orientation="portrait" r:id="rId1"/>
</worksheet>
</file>

<file path=xl/worksheets/sheet66.xml><?xml version="1.0" encoding="utf-8"?>
<worksheet xmlns="http://schemas.openxmlformats.org/spreadsheetml/2006/main" xmlns:r="http://schemas.openxmlformats.org/officeDocument/2006/relationships">
  <sheetPr codeName="Sheet129">
    <pageSetUpPr fitToPage="1"/>
  </sheetPr>
  <dimension ref="B1:AA43"/>
  <sheetViews>
    <sheetView topLeftCell="E13" zoomScaleSheetLayoutView="100" workbookViewId="0">
      <selection activeCell="M30" sqref="M30"/>
    </sheetView>
  </sheetViews>
  <sheetFormatPr defaultRowHeight="11.25"/>
  <cols>
    <col min="1" max="3" width="9.140625" style="4199"/>
    <col min="4" max="4" width="10.42578125" style="4199" bestFit="1" customWidth="1"/>
    <col min="5" max="5" width="10.28515625" style="4199" customWidth="1"/>
    <col min="6" max="6" width="10.7109375" style="4199" customWidth="1"/>
    <col min="7" max="7" width="9.42578125" style="4199" bestFit="1" customWidth="1"/>
    <col min="8" max="8" width="9.42578125" style="4199" customWidth="1"/>
    <col min="9" max="12" width="9.42578125" style="4199" bestFit="1" customWidth="1"/>
    <col min="13" max="13" width="10.42578125" style="4199" bestFit="1" customWidth="1"/>
    <col min="14" max="14" width="10.7109375" style="4199" customWidth="1"/>
    <col min="15" max="19" width="9.42578125" style="4199" bestFit="1" customWidth="1"/>
    <col min="20" max="20" width="9.42578125" style="4199" customWidth="1"/>
    <col min="21" max="22" width="10.140625" style="4200" customWidth="1"/>
    <col min="23" max="24" width="10.140625" style="4199" customWidth="1"/>
    <col min="25" max="25" width="10.140625" style="4200" customWidth="1"/>
    <col min="26" max="26" width="9.140625" style="4199" customWidth="1"/>
    <col min="27" max="27" width="11.140625" style="4199" customWidth="1"/>
    <col min="28" max="16384" width="9.140625" style="4199"/>
  </cols>
  <sheetData>
    <row r="1" spans="2:27">
      <c r="X1" s="4200"/>
    </row>
    <row r="2" spans="2:27" s="4194" customFormat="1">
      <c r="C2" s="4195"/>
      <c r="D2" s="4195"/>
      <c r="E2" s="4195"/>
      <c r="F2" s="4195"/>
      <c r="G2" s="4195"/>
      <c r="H2" s="4195"/>
      <c r="I2" s="4195"/>
      <c r="J2" s="4195"/>
      <c r="K2" s="4195"/>
      <c r="L2" s="4196" t="s">
        <v>170</v>
      </c>
      <c r="M2" s="4195"/>
      <c r="N2" s="4195"/>
      <c r="O2" s="4195"/>
      <c r="P2" s="4195"/>
      <c r="Q2" s="4195"/>
      <c r="R2" s="4195"/>
      <c r="S2" s="4195"/>
      <c r="T2" s="4195"/>
      <c r="U2" s="4196"/>
      <c r="V2" s="4196"/>
      <c r="W2" s="4195"/>
      <c r="X2" s="4200"/>
      <c r="Y2" s="4196"/>
    </row>
    <row r="3" spans="2:27" s="4194" customFormat="1">
      <c r="C3" s="4197"/>
      <c r="D3" s="4197"/>
      <c r="E3" s="4197"/>
      <c r="F3" s="4197"/>
      <c r="G3" s="4197"/>
      <c r="H3" s="4197"/>
      <c r="I3" s="4197"/>
      <c r="J3" s="4197"/>
      <c r="K3" s="4197"/>
      <c r="L3" s="4198" t="s">
        <v>3016</v>
      </c>
      <c r="M3" s="4197"/>
      <c r="N3" s="4197"/>
      <c r="O3" s="4197"/>
      <c r="P3" s="4197"/>
      <c r="Q3" s="4197"/>
      <c r="R3" s="4197"/>
      <c r="S3" s="4197"/>
      <c r="T3" s="4197"/>
      <c r="U3" s="4198"/>
      <c r="V3" s="4198"/>
      <c r="W3" s="4197"/>
      <c r="X3" s="4200"/>
      <c r="Y3" s="4198"/>
    </row>
    <row r="4" spans="2:27" s="4194" customFormat="1">
      <c r="C4" s="4195"/>
      <c r="D4" s="4195"/>
      <c r="E4" s="4195"/>
      <c r="F4" s="4195"/>
      <c r="G4" s="4195"/>
      <c r="H4" s="4195"/>
      <c r="I4" s="4195"/>
      <c r="J4" s="4195"/>
      <c r="K4" s="4195"/>
      <c r="L4" s="4196" t="s">
        <v>3017</v>
      </c>
      <c r="M4" s="4195"/>
      <c r="N4" s="4195"/>
      <c r="O4" s="4195"/>
      <c r="P4" s="4195"/>
      <c r="Q4" s="4195"/>
      <c r="R4" s="4195"/>
      <c r="S4" s="4195"/>
      <c r="T4" s="4195"/>
      <c r="U4" s="4196"/>
      <c r="V4" s="4196"/>
      <c r="W4" s="4195"/>
      <c r="X4" s="4200"/>
      <c r="Y4" s="4196"/>
    </row>
    <row r="5" spans="2:27" s="4194" customFormat="1">
      <c r="C5" s="4195"/>
      <c r="D5" s="4195"/>
      <c r="E5" s="4195"/>
      <c r="F5" s="4195"/>
      <c r="G5" s="4195"/>
      <c r="H5" s="4195"/>
      <c r="I5" s="4195"/>
      <c r="J5" s="4195"/>
      <c r="K5" s="4195"/>
      <c r="L5" s="4196" t="s">
        <v>3283</v>
      </c>
      <c r="M5" s="4195"/>
      <c r="N5" s="4195"/>
      <c r="O5" s="4195"/>
      <c r="P5" s="4195"/>
      <c r="Q5" s="4195"/>
      <c r="R5" s="4195"/>
      <c r="S5" s="4195"/>
      <c r="T5" s="4195"/>
      <c r="U5" s="4196"/>
      <c r="V5" s="4196"/>
      <c r="W5" s="4195"/>
      <c r="X5" s="4200"/>
      <c r="Y5" s="4196"/>
    </row>
    <row r="6" spans="2:27">
      <c r="X6" s="4200"/>
    </row>
    <row r="7" spans="2:27" s="4204" customFormat="1" ht="32.25" customHeight="1">
      <c r="B7" s="5985" t="s">
        <v>1938</v>
      </c>
      <c r="C7" s="5986" t="s">
        <v>3077</v>
      </c>
      <c r="D7" s="5987" t="s">
        <v>3030</v>
      </c>
      <c r="E7" s="5987"/>
      <c r="F7" s="5987"/>
      <c r="G7" s="5987" t="s">
        <v>3078</v>
      </c>
      <c r="H7" s="5987"/>
      <c r="I7" s="5987"/>
      <c r="J7" s="5987" t="s">
        <v>3079</v>
      </c>
      <c r="K7" s="5983" t="s">
        <v>3253</v>
      </c>
      <c r="L7" s="5987" t="s">
        <v>3080</v>
      </c>
      <c r="M7" s="5987"/>
      <c r="N7" s="5987" t="s">
        <v>3081</v>
      </c>
      <c r="O7" s="5987"/>
      <c r="P7" s="5987"/>
      <c r="Q7" s="5987" t="s">
        <v>3082</v>
      </c>
      <c r="R7" s="5987" t="s">
        <v>3083</v>
      </c>
      <c r="S7" s="5987" t="s">
        <v>3084</v>
      </c>
      <c r="T7" s="5987" t="s">
        <v>3085</v>
      </c>
      <c r="U7" s="5987" t="s">
        <v>3211</v>
      </c>
      <c r="V7" s="5987" t="s">
        <v>3212</v>
      </c>
      <c r="W7" s="5983" t="s">
        <v>3281</v>
      </c>
      <c r="X7" s="4203"/>
      <c r="Y7" s="5878" t="s">
        <v>3086</v>
      </c>
      <c r="Z7" s="5878" t="s">
        <v>3087</v>
      </c>
      <c r="AA7" s="5878" t="s">
        <v>3088</v>
      </c>
    </row>
    <row r="8" spans="2:27" s="4204" customFormat="1" ht="52.5">
      <c r="B8" s="5985"/>
      <c r="C8" s="5986"/>
      <c r="D8" s="3977" t="s">
        <v>3031</v>
      </c>
      <c r="E8" s="3977" t="s">
        <v>3032</v>
      </c>
      <c r="F8" s="3977" t="s">
        <v>3089</v>
      </c>
      <c r="G8" s="4170" t="s">
        <v>3090</v>
      </c>
      <c r="H8" s="4170" t="s">
        <v>3285</v>
      </c>
      <c r="I8" s="4170" t="s">
        <v>3091</v>
      </c>
      <c r="J8" s="5987"/>
      <c r="K8" s="5984"/>
      <c r="L8" s="4170" t="s">
        <v>3282</v>
      </c>
      <c r="M8" s="4170" t="s">
        <v>3092</v>
      </c>
      <c r="N8" s="4170" t="s">
        <v>3093</v>
      </c>
      <c r="O8" s="4170" t="s">
        <v>3094</v>
      </c>
      <c r="P8" s="4170" t="s">
        <v>3095</v>
      </c>
      <c r="Q8" s="5987"/>
      <c r="R8" s="5987"/>
      <c r="S8" s="5987"/>
      <c r="T8" s="5987"/>
      <c r="U8" s="5987"/>
      <c r="V8" s="5987"/>
      <c r="W8" s="5984"/>
      <c r="X8" s="4203"/>
      <c r="Y8" s="5878"/>
      <c r="Z8" s="5878"/>
      <c r="AA8" s="5878"/>
    </row>
    <row r="9" spans="2:27">
      <c r="B9" s="4173" t="s">
        <v>14</v>
      </c>
      <c r="C9" s="4173" t="s">
        <v>15</v>
      </c>
      <c r="D9" s="4174">
        <f>'F1'!J48</f>
        <v>208</v>
      </c>
      <c r="E9" s="4174">
        <f>'F1'!K48</f>
        <v>0</v>
      </c>
      <c r="F9" s="4174">
        <f>SUM(D9:E9)</f>
        <v>208</v>
      </c>
      <c r="G9" s="4175">
        <v>3</v>
      </c>
      <c r="H9" s="4175"/>
      <c r="I9" s="4175"/>
      <c r="J9" s="4175">
        <v>1</v>
      </c>
      <c r="K9" s="4175">
        <f>[102]F20!L12</f>
        <v>0.12</v>
      </c>
      <c r="L9" s="4175">
        <f>'F1'!H11</f>
        <v>0.89</v>
      </c>
      <c r="M9" s="4175"/>
      <c r="N9" s="4176">
        <f>G9*F9*12/10^7</f>
        <v>7.4879999999999999E-4</v>
      </c>
      <c r="O9" s="4175"/>
      <c r="P9" s="4175">
        <f>N9+O9</f>
        <v>7.4879999999999999E-4</v>
      </c>
      <c r="Q9" s="4176">
        <f>L9*J9/10</f>
        <v>8.8999999999999996E-2</v>
      </c>
      <c r="R9" s="4175">
        <f t="shared" ref="R9:R16" si="0">SUM(P9:Q9)</f>
        <v>8.974879999999999E-2</v>
      </c>
      <c r="S9" s="4176">
        <f>L9*K9/10</f>
        <v>1.0679999999999999E-2</v>
      </c>
      <c r="T9" s="4175">
        <f>R9+S9</f>
        <v>0.10042879999999998</v>
      </c>
      <c r="U9" s="4177">
        <v>0.09</v>
      </c>
      <c r="V9" s="4178">
        <f>IF(Assumptions!$D$130="YES",$L9*U9/10,0)</f>
        <v>8.0099999999999998E-3</v>
      </c>
      <c r="W9" s="4175">
        <f>T9+V9</f>
        <v>0.10843879999999999</v>
      </c>
      <c r="X9" s="4200"/>
      <c r="Y9" s="4201">
        <f t="shared" ref="Y9:Y35" si="1">$W9*10/$L9</f>
        <v>1.2184134831460673</v>
      </c>
      <c r="Z9" s="4201"/>
      <c r="AA9" s="4202">
        <f>Y9/$Z$37</f>
        <v>0.10279009339497</v>
      </c>
    </row>
    <row r="10" spans="2:27">
      <c r="B10" s="4179" t="s">
        <v>3018</v>
      </c>
      <c r="C10" s="4180" t="s">
        <v>17</v>
      </c>
      <c r="D10" s="4174">
        <f>'F1'!J49</f>
        <v>298194</v>
      </c>
      <c r="E10" s="4174">
        <f>'F1'!K49</f>
        <v>14853</v>
      </c>
      <c r="F10" s="4174">
        <f t="shared" ref="F10:F28" si="2">SUM(D10:E10)</f>
        <v>313047</v>
      </c>
      <c r="G10" s="4175">
        <v>40</v>
      </c>
      <c r="H10" s="4175"/>
      <c r="I10" s="4175"/>
      <c r="J10" s="4175">
        <v>3</v>
      </c>
      <c r="K10" s="4175">
        <f>[102]F20!L13</f>
        <v>0.55000000000000004</v>
      </c>
      <c r="L10" s="4175">
        <f>'F1'!H12</f>
        <v>765.46</v>
      </c>
      <c r="M10" s="4175"/>
      <c r="N10" s="4176">
        <f>G10*F10*12/10^7</f>
        <v>15.026256</v>
      </c>
      <c r="O10" s="4175"/>
      <c r="P10" s="4175">
        <f t="shared" ref="P10:P35" si="3">N10+O10</f>
        <v>15.026256</v>
      </c>
      <c r="Q10" s="4176">
        <f>L10*J10/10</f>
        <v>229.63800000000001</v>
      </c>
      <c r="R10" s="4175">
        <f t="shared" si="0"/>
        <v>244.66425599999999</v>
      </c>
      <c r="S10" s="4176">
        <f t="shared" ref="S10:S32" si="4">L10*K10/10</f>
        <v>42.100300000000004</v>
      </c>
      <c r="T10" s="4175">
        <f t="shared" ref="T10:T28" si="5">R10+S10</f>
        <v>286.76455599999997</v>
      </c>
      <c r="U10" s="4177">
        <v>0.38</v>
      </c>
      <c r="V10" s="4178">
        <f>IF(Assumptions!$D$130="YES",$L10*U10/10,0)</f>
        <v>29.087479999999999</v>
      </c>
      <c r="W10" s="4175">
        <f t="shared" ref="W10:W28" si="6">T10+V10</f>
        <v>315.852036</v>
      </c>
      <c r="X10" s="4200"/>
      <c r="Y10" s="4201">
        <f t="shared" si="1"/>
        <v>4.1263036082878264</v>
      </c>
      <c r="Z10" s="4201"/>
      <c r="AA10" s="4202">
        <f t="shared" ref="AA10:AA28" si="7">Y10/$Z$37</f>
        <v>0.34811099773512583</v>
      </c>
    </row>
    <row r="11" spans="2:27">
      <c r="B11" s="4179"/>
      <c r="C11" s="4180" t="s">
        <v>18</v>
      </c>
      <c r="D11" s="4174">
        <f>'F1'!J50</f>
        <v>332881</v>
      </c>
      <c r="E11" s="4174">
        <f>'F1'!K50</f>
        <v>25392</v>
      </c>
      <c r="F11" s="4174">
        <f t="shared" si="2"/>
        <v>358273</v>
      </c>
      <c r="G11" s="4175">
        <v>75</v>
      </c>
      <c r="H11" s="4175">
        <v>150</v>
      </c>
      <c r="I11" s="4175"/>
      <c r="J11" s="4175">
        <v>6.4</v>
      </c>
      <c r="K11" s="4175">
        <f>[102]F20!L14</f>
        <v>1.03</v>
      </c>
      <c r="L11" s="4175">
        <f>'F1'!H13</f>
        <v>656.23</v>
      </c>
      <c r="M11" s="4175"/>
      <c r="N11" s="4176">
        <f>((D11*G11)+(E11*H11))*12/10^7</f>
        <v>34.529850000000003</v>
      </c>
      <c r="O11" s="4175"/>
      <c r="P11" s="4175">
        <f t="shared" si="3"/>
        <v>34.529850000000003</v>
      </c>
      <c r="Q11" s="4176">
        <f>L11*J11/10</f>
        <v>419.98720000000003</v>
      </c>
      <c r="R11" s="4175">
        <f t="shared" si="0"/>
        <v>454.51705000000004</v>
      </c>
      <c r="S11" s="4176">
        <f t="shared" si="4"/>
        <v>67.59169</v>
      </c>
      <c r="T11" s="4175">
        <f t="shared" si="5"/>
        <v>522.10874000000001</v>
      </c>
      <c r="U11" s="4177">
        <v>0.73</v>
      </c>
      <c r="V11" s="4178">
        <f>IF(Assumptions!$D$130="YES",$L11*U11/10,0)</f>
        <v>47.904790000000006</v>
      </c>
      <c r="W11" s="4175">
        <f t="shared" si="6"/>
        <v>570.01353000000006</v>
      </c>
      <c r="X11" s="4200"/>
      <c r="Y11" s="4201">
        <f t="shared" si="1"/>
        <v>8.6861851789768849</v>
      </c>
      <c r="Z11" s="4201"/>
      <c r="AA11" s="4202">
        <f t="shared" si="7"/>
        <v>0.73280031626669062</v>
      </c>
    </row>
    <row r="12" spans="2:27">
      <c r="B12" s="4179"/>
      <c r="C12" s="4180" t="s">
        <v>19</v>
      </c>
      <c r="D12" s="4174">
        <f>'F1'!J51</f>
        <v>38875</v>
      </c>
      <c r="E12" s="4174">
        <f>'F1'!K51</f>
        <v>19090</v>
      </c>
      <c r="F12" s="4174">
        <f t="shared" si="2"/>
        <v>57965</v>
      </c>
      <c r="G12" s="4175">
        <v>75</v>
      </c>
      <c r="H12" s="4175">
        <v>150</v>
      </c>
      <c r="I12" s="4175"/>
      <c r="J12" s="4175">
        <v>8.8000000000000007</v>
      </c>
      <c r="K12" s="4175">
        <f>[102]F20!L15</f>
        <v>1.44</v>
      </c>
      <c r="L12" s="4175">
        <f>'F1'!H14</f>
        <v>203.06</v>
      </c>
      <c r="M12" s="4175"/>
      <c r="N12" s="4176">
        <f>((D12*G12)+(E12*H12))*12/10^7</f>
        <v>6.9349499999999997</v>
      </c>
      <c r="O12" s="4175"/>
      <c r="P12" s="4175">
        <f t="shared" si="3"/>
        <v>6.9349499999999997</v>
      </c>
      <c r="Q12" s="4176">
        <f>L12*J12/10</f>
        <v>178.69280000000001</v>
      </c>
      <c r="R12" s="4175">
        <f t="shared" si="0"/>
        <v>185.62774999999999</v>
      </c>
      <c r="S12" s="4176">
        <f t="shared" si="4"/>
        <v>29.240640000000003</v>
      </c>
      <c r="T12" s="4175">
        <f t="shared" si="5"/>
        <v>214.86839000000001</v>
      </c>
      <c r="U12" s="4177">
        <v>1.05</v>
      </c>
      <c r="V12" s="4178">
        <f>IF(Assumptions!$D$130="YES",$L12*U12/10,0)</f>
        <v>21.321300000000001</v>
      </c>
      <c r="W12" s="4175">
        <f t="shared" si="6"/>
        <v>236.18969000000001</v>
      </c>
      <c r="X12" s="4200"/>
      <c r="Y12" s="4201">
        <f t="shared" si="1"/>
        <v>11.631522210184183</v>
      </c>
      <c r="Z12" s="4201"/>
      <c r="AA12" s="4202">
        <f t="shared" si="7"/>
        <v>0.98128038703521725</v>
      </c>
    </row>
    <row r="13" spans="2:27">
      <c r="B13" s="4179"/>
      <c r="C13" s="4180" t="s">
        <v>20</v>
      </c>
      <c r="D13" s="4174">
        <f>'F1'!J52</f>
        <v>10024</v>
      </c>
      <c r="E13" s="4174">
        <f>'F1'!K52</f>
        <v>25926</v>
      </c>
      <c r="F13" s="4174">
        <f t="shared" si="2"/>
        <v>35950</v>
      </c>
      <c r="G13" s="4175">
        <v>100</v>
      </c>
      <c r="H13" s="4175">
        <v>150</v>
      </c>
      <c r="I13" s="4175"/>
      <c r="J13" s="4175">
        <v>10.8</v>
      </c>
      <c r="K13" s="4175">
        <f>[102]F20!L16</f>
        <v>1.85</v>
      </c>
      <c r="L13" s="4175">
        <f>'F1'!H15</f>
        <v>390.39</v>
      </c>
      <c r="M13" s="4175"/>
      <c r="N13" s="4176">
        <f>((D13*G13)+(E13*H13))*12/10^7</f>
        <v>5.8695599999999999</v>
      </c>
      <c r="O13" s="4175"/>
      <c r="P13" s="4175">
        <f t="shared" si="3"/>
        <v>5.8695599999999999</v>
      </c>
      <c r="Q13" s="4176">
        <f t="shared" ref="Q13:Q28" si="8">L13*J13/10</f>
        <v>421.62120000000004</v>
      </c>
      <c r="R13" s="4175">
        <f t="shared" si="0"/>
        <v>427.49076000000002</v>
      </c>
      <c r="S13" s="4176">
        <f t="shared" si="4"/>
        <v>72.222149999999999</v>
      </c>
      <c r="T13" s="4175">
        <f t="shared" si="5"/>
        <v>499.71291000000002</v>
      </c>
      <c r="U13" s="4177">
        <v>1.34</v>
      </c>
      <c r="V13" s="4178">
        <f>IF(Assumptions!$D$130="YES",$L13*U13/10,0)</f>
        <v>52.312260000000002</v>
      </c>
      <c r="W13" s="4175">
        <f t="shared" si="6"/>
        <v>552.02517</v>
      </c>
      <c r="X13" s="4200"/>
      <c r="Y13" s="4201">
        <f t="shared" si="1"/>
        <v>14.140351187274264</v>
      </c>
      <c r="Z13" s="4201"/>
      <c r="AA13" s="4202">
        <f t="shared" si="7"/>
        <v>1.1929349430905369</v>
      </c>
    </row>
    <row r="14" spans="2:27">
      <c r="B14" s="4179" t="s">
        <v>1991</v>
      </c>
      <c r="C14" s="4180" t="s">
        <v>3096</v>
      </c>
      <c r="D14" s="4174">
        <f>'F1'!J53</f>
        <v>206843</v>
      </c>
      <c r="E14" s="4174">
        <f>'F1'!K53</f>
        <v>21783</v>
      </c>
      <c r="F14" s="4174">
        <f t="shared" si="2"/>
        <v>228626</v>
      </c>
      <c r="G14" s="4175">
        <v>250</v>
      </c>
      <c r="H14" s="4175"/>
      <c r="I14" s="4175"/>
      <c r="J14" s="4175">
        <v>8.4499999999999993</v>
      </c>
      <c r="K14" s="4175">
        <f>[102]F20!L18</f>
        <v>1.48</v>
      </c>
      <c r="L14" s="4175">
        <f>'F1'!H17</f>
        <v>816.68</v>
      </c>
      <c r="M14" s="4175"/>
      <c r="N14" s="4176">
        <f>G14*F14*12/10^7</f>
        <v>68.587800000000001</v>
      </c>
      <c r="O14" s="4175"/>
      <c r="P14" s="4175">
        <f t="shared" si="3"/>
        <v>68.587800000000001</v>
      </c>
      <c r="Q14" s="4176">
        <f t="shared" si="8"/>
        <v>690.0945999999999</v>
      </c>
      <c r="R14" s="4175">
        <f t="shared" si="0"/>
        <v>758.68239999999992</v>
      </c>
      <c r="S14" s="4176">
        <f t="shared" si="4"/>
        <v>120.86863999999998</v>
      </c>
      <c r="T14" s="4175">
        <f t="shared" si="5"/>
        <v>879.55103999999994</v>
      </c>
      <c r="U14" s="4177">
        <v>1.1000000000000001</v>
      </c>
      <c r="V14" s="4178">
        <f>IF(Assumptions!$D$130="YES",$L14*U14/10,0)</f>
        <v>89.834800000000001</v>
      </c>
      <c r="W14" s="4175">
        <f t="shared" si="6"/>
        <v>969.38583999999992</v>
      </c>
      <c r="X14" s="4200"/>
      <c r="Y14" s="4201">
        <f t="shared" si="1"/>
        <v>11.86983690062203</v>
      </c>
      <c r="Z14" s="4201"/>
      <c r="AA14" s="4202">
        <f t="shared" si="7"/>
        <v>1.0013855398641629</v>
      </c>
    </row>
    <row r="15" spans="2:27">
      <c r="B15" s="4179"/>
      <c r="C15" s="4180" t="s">
        <v>20</v>
      </c>
      <c r="D15" s="4174">
        <f>'F1'!J54</f>
        <v>14174</v>
      </c>
      <c r="E15" s="4174">
        <f>'F1'!K54</f>
        <v>22151</v>
      </c>
      <c r="F15" s="4174">
        <f t="shared" si="2"/>
        <v>36325</v>
      </c>
      <c r="G15" s="4175">
        <v>250</v>
      </c>
      <c r="H15" s="4175"/>
      <c r="I15" s="4175"/>
      <c r="J15" s="4175">
        <v>10.95</v>
      </c>
      <c r="K15" s="4175">
        <f>[102]F20!L20</f>
        <v>2.2000000000000002</v>
      </c>
      <c r="L15" s="4175">
        <f>'F1'!H18</f>
        <v>572.19000000000005</v>
      </c>
      <c r="M15" s="4175"/>
      <c r="N15" s="4176">
        <f>G15*F15*12/10^7</f>
        <v>10.897500000000001</v>
      </c>
      <c r="O15" s="4175"/>
      <c r="P15" s="4175">
        <f t="shared" si="3"/>
        <v>10.897500000000001</v>
      </c>
      <c r="Q15" s="4176">
        <f t="shared" si="8"/>
        <v>626.5480500000001</v>
      </c>
      <c r="R15" s="4175">
        <f t="shared" si="0"/>
        <v>637.44555000000014</v>
      </c>
      <c r="S15" s="4176">
        <f t="shared" si="4"/>
        <v>125.88180000000003</v>
      </c>
      <c r="T15" s="4175">
        <f t="shared" si="5"/>
        <v>763.32735000000014</v>
      </c>
      <c r="U15" s="4177">
        <v>2.5</v>
      </c>
      <c r="V15" s="4178">
        <f>IF(Assumptions!$D$130="YES",$L15*U15/10,0)</f>
        <v>143.04750000000001</v>
      </c>
      <c r="W15" s="4175">
        <f t="shared" si="6"/>
        <v>906.37485000000015</v>
      </c>
      <c r="X15" s="4200"/>
      <c r="Y15" s="4201">
        <f t="shared" si="1"/>
        <v>15.840452472080953</v>
      </c>
      <c r="Z15" s="4201"/>
      <c r="AA15" s="4202">
        <f t="shared" si="7"/>
        <v>1.3363620901662214</v>
      </c>
    </row>
    <row r="16" spans="2:27">
      <c r="B16" s="4179" t="s">
        <v>1992</v>
      </c>
      <c r="C16" s="4179" t="s">
        <v>28</v>
      </c>
      <c r="D16" s="4174">
        <f>'F1'!J55</f>
        <v>66</v>
      </c>
      <c r="E16" s="4174">
        <f>'F1'!K55</f>
        <v>6106</v>
      </c>
      <c r="F16" s="4174">
        <f t="shared" si="2"/>
        <v>6172</v>
      </c>
      <c r="G16" s="4175"/>
      <c r="H16" s="4175"/>
      <c r="I16" s="4175">
        <v>200</v>
      </c>
      <c r="J16" s="4175">
        <v>10.3</v>
      </c>
      <c r="K16" s="4175">
        <f>[102]F20!L21</f>
        <v>2.15</v>
      </c>
      <c r="L16" s="4175">
        <f>'F1'!H20</f>
        <v>401.55</v>
      </c>
      <c r="M16" s="4175">
        <f>L16*10^6/(365*24*0.97*0.44)</f>
        <v>107401.68954051175</v>
      </c>
      <c r="N16" s="4176">
        <f>G16*F16*12/10^7</f>
        <v>0</v>
      </c>
      <c r="O16" s="4175">
        <f>M16*I16*12/10^7</f>
        <v>25.776405489722823</v>
      </c>
      <c r="P16" s="4175">
        <f t="shared" si="3"/>
        <v>25.776405489722823</v>
      </c>
      <c r="Q16" s="4176">
        <f t="shared" si="8"/>
        <v>413.59649999999999</v>
      </c>
      <c r="R16" s="4175">
        <f t="shared" si="0"/>
        <v>439.37290548972283</v>
      </c>
      <c r="S16" s="4176">
        <f t="shared" si="4"/>
        <v>86.333249999999992</v>
      </c>
      <c r="T16" s="4175">
        <f t="shared" si="5"/>
        <v>525.70615548972285</v>
      </c>
      <c r="U16" s="4177">
        <v>1.58</v>
      </c>
      <c r="V16" s="4178">
        <f>IF(Assumptions!$D$130="YES",$L16*U16/10,0)</f>
        <v>63.444900000000004</v>
      </c>
      <c r="W16" s="4175">
        <f t="shared" si="6"/>
        <v>589.15105548972281</v>
      </c>
      <c r="X16" s="4200"/>
      <c r="Y16" s="4201">
        <f t="shared" si="1"/>
        <v>14.671922686831596</v>
      </c>
      <c r="Z16" s="4201"/>
      <c r="AA16" s="4202">
        <f t="shared" si="7"/>
        <v>1.2377803792593123</v>
      </c>
    </row>
    <row r="17" spans="2:27">
      <c r="B17" s="4179" t="s">
        <v>1993</v>
      </c>
      <c r="C17" s="4179" t="s">
        <v>28</v>
      </c>
      <c r="D17" s="4174">
        <f>'F1'!J56</f>
        <v>2</v>
      </c>
      <c r="E17" s="4174">
        <f>'F1'!K56</f>
        <v>2693</v>
      </c>
      <c r="F17" s="4174">
        <f t="shared" si="2"/>
        <v>2695</v>
      </c>
      <c r="G17" s="4175"/>
      <c r="H17" s="4175"/>
      <c r="I17" s="4175">
        <v>200</v>
      </c>
      <c r="J17" s="4175">
        <v>10.7</v>
      </c>
      <c r="K17" s="4175">
        <f>[102]F20!L22</f>
        <v>2.1800000000000002</v>
      </c>
      <c r="L17" s="4175">
        <f>'F1'!H21</f>
        <v>794.39</v>
      </c>
      <c r="M17" s="4175">
        <f>L17*10^6/(365*24*0.97*0.41)</f>
        <v>228020.59329730429</v>
      </c>
      <c r="N17" s="4176">
        <f t="shared" ref="N17:N35" si="9">G17*F17*12/10^7</f>
        <v>0</v>
      </c>
      <c r="O17" s="4175">
        <f>M17*I17*12/10^7</f>
        <v>54.724942391353032</v>
      </c>
      <c r="P17" s="4175">
        <f t="shared" si="3"/>
        <v>54.724942391353032</v>
      </c>
      <c r="Q17" s="4176">
        <f t="shared" si="8"/>
        <v>849.9973</v>
      </c>
      <c r="R17" s="4175">
        <f t="shared" ref="R17:R35" si="10">SUM(P17:Q17)</f>
        <v>904.72224239135301</v>
      </c>
      <c r="S17" s="4176">
        <f t="shared" si="4"/>
        <v>173.17702000000003</v>
      </c>
      <c r="T17" s="4175">
        <f t="shared" si="5"/>
        <v>1077.899262391353</v>
      </c>
      <c r="U17" s="4177">
        <v>1.61</v>
      </c>
      <c r="V17" s="4178">
        <f>IF(Assumptions!$D$130="YES",$L17*U17/10,0)</f>
        <v>127.89679000000001</v>
      </c>
      <c r="W17" s="4175">
        <f t="shared" si="6"/>
        <v>1205.796052391353</v>
      </c>
      <c r="X17" s="4200"/>
      <c r="Y17" s="4201">
        <f t="shared" si="1"/>
        <v>15.178892639526595</v>
      </c>
      <c r="Z17" s="4201"/>
      <c r="AA17" s="4202">
        <f t="shared" si="7"/>
        <v>1.2805503333896666</v>
      </c>
    </row>
    <row r="18" spans="2:27">
      <c r="B18" s="4179" t="s">
        <v>3022</v>
      </c>
      <c r="C18" s="4180" t="s">
        <v>25</v>
      </c>
      <c r="D18" s="4174">
        <f>'F1'!J57</f>
        <v>2715</v>
      </c>
      <c r="E18" s="4174">
        <f>'F1'!K57</f>
        <v>3792</v>
      </c>
      <c r="F18" s="4174">
        <f t="shared" si="2"/>
        <v>6507</v>
      </c>
      <c r="G18" s="4175">
        <v>325</v>
      </c>
      <c r="H18" s="4175"/>
      <c r="I18" s="4175"/>
      <c r="J18" s="4175">
        <v>7</v>
      </c>
      <c r="K18" s="4175">
        <f>[102]F20!L24</f>
        <v>1.4</v>
      </c>
      <c r="L18" s="4175">
        <f>'F1'!H22</f>
        <v>25.61</v>
      </c>
      <c r="M18" s="4175"/>
      <c r="N18" s="4176">
        <f t="shared" si="9"/>
        <v>2.5377299999999998</v>
      </c>
      <c r="O18" s="4175"/>
      <c r="P18" s="4175">
        <f t="shared" si="3"/>
        <v>2.5377299999999998</v>
      </c>
      <c r="Q18" s="4176">
        <f t="shared" si="8"/>
        <v>17.927</v>
      </c>
      <c r="R18" s="4175">
        <f>SUM(P18:Q18)</f>
        <v>20.464729999999999</v>
      </c>
      <c r="S18" s="4176">
        <f t="shared" si="4"/>
        <v>3.5853999999999999</v>
      </c>
      <c r="T18" s="4175">
        <f t="shared" si="5"/>
        <v>24.050129999999999</v>
      </c>
      <c r="U18" s="4177">
        <v>1.04</v>
      </c>
      <c r="V18" s="4178">
        <f>IF(Assumptions!$D$130="YES",$L18*U18/10,0)</f>
        <v>2.66344</v>
      </c>
      <c r="W18" s="4175">
        <f t="shared" si="6"/>
        <v>26.713570000000001</v>
      </c>
      <c r="X18" s="4200"/>
      <c r="Y18" s="4201">
        <f t="shared" si="1"/>
        <v>10.430913705583755</v>
      </c>
      <c r="Z18" s="4201"/>
      <c r="AA18" s="4202">
        <f t="shared" si="7"/>
        <v>0.87999239077961577</v>
      </c>
    </row>
    <row r="19" spans="2:27">
      <c r="B19" s="4179"/>
      <c r="C19" s="4180" t="s">
        <v>20</v>
      </c>
      <c r="D19" s="4174">
        <f>'F1'!J58</f>
        <v>124</v>
      </c>
      <c r="E19" s="4174">
        <f>'F1'!K58</f>
        <v>2187</v>
      </c>
      <c r="F19" s="4174">
        <f t="shared" si="2"/>
        <v>2311</v>
      </c>
      <c r="G19" s="4175">
        <v>425</v>
      </c>
      <c r="H19" s="4175"/>
      <c r="I19" s="4175"/>
      <c r="J19" s="4175">
        <v>9.3000000000000007</v>
      </c>
      <c r="K19" s="4175">
        <f>[102]F20!L26</f>
        <v>1.96</v>
      </c>
      <c r="L19" s="4175">
        <f>'F1'!H23</f>
        <v>29.49</v>
      </c>
      <c r="M19" s="4175"/>
      <c r="N19" s="4176">
        <f t="shared" si="9"/>
        <v>1.1786099999999999</v>
      </c>
      <c r="O19" s="4175"/>
      <c r="P19" s="4175">
        <f t="shared" si="3"/>
        <v>1.1786099999999999</v>
      </c>
      <c r="Q19" s="4176">
        <f t="shared" si="8"/>
        <v>27.425699999999999</v>
      </c>
      <c r="R19" s="4175">
        <f t="shared" si="10"/>
        <v>28.604309999999998</v>
      </c>
      <c r="S19" s="4176">
        <f t="shared" si="4"/>
        <v>5.7800399999999996</v>
      </c>
      <c r="T19" s="4175">
        <f t="shared" si="5"/>
        <v>34.384349999999998</v>
      </c>
      <c r="U19" s="4177">
        <v>2.16</v>
      </c>
      <c r="V19" s="4178">
        <f>IF(Assumptions!$D$130="YES",$L19*U19/10,0)</f>
        <v>6.3698399999999999</v>
      </c>
      <c r="W19" s="4175">
        <f t="shared" si="6"/>
        <v>40.754189999999994</v>
      </c>
      <c r="X19" s="4200"/>
      <c r="Y19" s="4201">
        <f t="shared" si="1"/>
        <v>13.81966429298067</v>
      </c>
      <c r="Z19" s="4201"/>
      <c r="AA19" s="4202">
        <f t="shared" si="7"/>
        <v>1.1658805512351</v>
      </c>
    </row>
    <row r="20" spans="2:27">
      <c r="B20" s="4179" t="s">
        <v>1995</v>
      </c>
      <c r="C20" s="4179" t="s">
        <v>28</v>
      </c>
      <c r="D20" s="4174">
        <f>'F1'!J59</f>
        <v>11</v>
      </c>
      <c r="E20" s="4174">
        <f>'F1'!K59</f>
        <v>1237</v>
      </c>
      <c r="F20" s="4174">
        <f t="shared" si="2"/>
        <v>1248</v>
      </c>
      <c r="G20" s="4175"/>
      <c r="H20" s="4175"/>
      <c r="I20" s="4175">
        <v>200</v>
      </c>
      <c r="J20" s="4175">
        <v>8.9</v>
      </c>
      <c r="K20" s="4175">
        <f>[102]F20!L27</f>
        <v>1.75</v>
      </c>
      <c r="L20" s="4175">
        <f>'F1'!H25</f>
        <v>62.74</v>
      </c>
      <c r="M20" s="4175">
        <f>L20*10^6/(365*24*0.97*0.31)</f>
        <v>23818.092639245115</v>
      </c>
      <c r="N20" s="4176">
        <f t="shared" si="9"/>
        <v>0</v>
      </c>
      <c r="O20" s="4175">
        <f>M20*I20*12/10^7</f>
        <v>5.7163422334188283</v>
      </c>
      <c r="P20" s="4175">
        <f t="shared" si="3"/>
        <v>5.7163422334188283</v>
      </c>
      <c r="Q20" s="4176">
        <f t="shared" si="8"/>
        <v>55.838600000000007</v>
      </c>
      <c r="R20" s="4175">
        <f t="shared" si="10"/>
        <v>61.554942233418835</v>
      </c>
      <c r="S20" s="4176">
        <f>L20*K20/10</f>
        <v>10.9795</v>
      </c>
      <c r="T20" s="4175">
        <f t="shared" si="5"/>
        <v>72.534442233418829</v>
      </c>
      <c r="U20" s="4177">
        <v>1.28</v>
      </c>
      <c r="V20" s="4178">
        <f>IF(Assumptions!$D$130="YES",$L20*U20/10,0)</f>
        <v>8.0307200000000005</v>
      </c>
      <c r="W20" s="4175">
        <f t="shared" si="6"/>
        <v>80.565162233418832</v>
      </c>
      <c r="X20" s="4200"/>
      <c r="Y20" s="4201">
        <f t="shared" si="1"/>
        <v>12.841116071631946</v>
      </c>
      <c r="Z20" s="4201"/>
      <c r="AA20" s="4202">
        <f t="shared" si="7"/>
        <v>1.0833264228909223</v>
      </c>
    </row>
    <row r="21" spans="2:27">
      <c r="B21" s="4179" t="s">
        <v>1996</v>
      </c>
      <c r="C21" s="4179" t="s">
        <v>28</v>
      </c>
      <c r="D21" s="4174">
        <f>'F1'!J60</f>
        <v>1</v>
      </c>
      <c r="E21" s="4174">
        <f>'F1'!K60</f>
        <v>129</v>
      </c>
      <c r="F21" s="4174">
        <f t="shared" si="2"/>
        <v>130</v>
      </c>
      <c r="G21" s="4175"/>
      <c r="H21" s="4175"/>
      <c r="I21" s="4175">
        <v>200</v>
      </c>
      <c r="J21" s="4175">
        <v>8.9</v>
      </c>
      <c r="K21" s="4175">
        <f>[102]F20!L28</f>
        <v>1.72</v>
      </c>
      <c r="L21" s="4175">
        <f>'F1'!H26</f>
        <v>57.33</v>
      </c>
      <c r="M21" s="4175">
        <f>L21*10^6/(365*24*0.97*0.45)</f>
        <v>14993.174222096692</v>
      </c>
      <c r="N21" s="4176">
        <f t="shared" si="9"/>
        <v>0</v>
      </c>
      <c r="O21" s="4175">
        <f>M21*I21*12/10^7</f>
        <v>3.5983618133032063</v>
      </c>
      <c r="P21" s="4175">
        <f t="shared" si="3"/>
        <v>3.5983618133032063</v>
      </c>
      <c r="Q21" s="4176">
        <f t="shared" si="8"/>
        <v>51.023700000000005</v>
      </c>
      <c r="R21" s="4175">
        <f t="shared" si="10"/>
        <v>54.622061813303212</v>
      </c>
      <c r="S21" s="4176">
        <f>L21*K21/10</f>
        <v>9.8607599999999991</v>
      </c>
      <c r="T21" s="4175">
        <f t="shared" si="5"/>
        <v>64.482821813303218</v>
      </c>
      <c r="U21" s="4177">
        <v>1.24</v>
      </c>
      <c r="V21" s="4178">
        <f>IF(Assumptions!$D$130="YES",$L21*U21/10,0)</f>
        <v>7.1089199999999995</v>
      </c>
      <c r="W21" s="4175">
        <f t="shared" si="6"/>
        <v>71.591741813303216</v>
      </c>
      <c r="X21" s="4200"/>
      <c r="Y21" s="4201">
        <f t="shared" si="1"/>
        <v>12.487657738235342</v>
      </c>
      <c r="Z21" s="4201"/>
      <c r="AA21" s="4202">
        <f t="shared" si="7"/>
        <v>1.0535073051582011</v>
      </c>
    </row>
    <row r="22" spans="2:27">
      <c r="B22" s="4179" t="s">
        <v>3023</v>
      </c>
      <c r="C22" s="4179" t="s">
        <v>28</v>
      </c>
      <c r="D22" s="4174">
        <f>'F1'!J61</f>
        <v>809</v>
      </c>
      <c r="E22" s="4174">
        <f>'F1'!K61</f>
        <v>145</v>
      </c>
      <c r="F22" s="4174">
        <f t="shared" si="2"/>
        <v>954</v>
      </c>
      <c r="G22" s="4175">
        <v>400</v>
      </c>
      <c r="H22" s="4175"/>
      <c r="I22" s="4175"/>
      <c r="J22" s="4175">
        <v>15</v>
      </c>
      <c r="K22" s="4175">
        <f>[102]F20!L29</f>
        <v>3.16</v>
      </c>
      <c r="L22" s="4175">
        <f>'F1'!H27</f>
        <v>3.1</v>
      </c>
      <c r="M22" s="4175"/>
      <c r="N22" s="4176">
        <f t="shared" si="9"/>
        <v>0.45791999999999999</v>
      </c>
      <c r="O22" s="4175"/>
      <c r="P22" s="4175">
        <f t="shared" si="3"/>
        <v>0.45791999999999999</v>
      </c>
      <c r="Q22" s="4176">
        <f t="shared" si="8"/>
        <v>4.6500000000000004</v>
      </c>
      <c r="R22" s="4175">
        <f t="shared" si="10"/>
        <v>5.10792</v>
      </c>
      <c r="S22" s="4176">
        <f>L22*K22/10</f>
        <v>0.97960000000000014</v>
      </c>
      <c r="T22" s="4175">
        <f t="shared" si="5"/>
        <v>6.0875200000000005</v>
      </c>
      <c r="U22" s="4177">
        <v>2.29</v>
      </c>
      <c r="V22" s="4178">
        <f>IF(Assumptions!$D$130="YES",$L22*U22/10,0)</f>
        <v>0.70989999999999998</v>
      </c>
      <c r="W22" s="4175">
        <f t="shared" si="6"/>
        <v>6.7974200000000007</v>
      </c>
      <c r="X22" s="4200"/>
      <c r="Y22" s="4201">
        <f t="shared" si="1"/>
        <v>21.927161290322584</v>
      </c>
      <c r="Z22" s="4201"/>
      <c r="AA22" s="4202">
        <f t="shared" si="7"/>
        <v>1.8498604850457201</v>
      </c>
    </row>
    <row r="23" spans="2:27">
      <c r="B23" s="4179" t="s">
        <v>3024</v>
      </c>
      <c r="C23" s="4179" t="s">
        <v>28</v>
      </c>
      <c r="D23" s="4174">
        <f>'F1'!J62</f>
        <v>576</v>
      </c>
      <c r="E23" s="4174">
        <f>'F1'!K62</f>
        <v>131</v>
      </c>
      <c r="F23" s="4174">
        <f t="shared" si="2"/>
        <v>707</v>
      </c>
      <c r="G23" s="4175"/>
      <c r="H23" s="4175"/>
      <c r="I23" s="4175">
        <v>200</v>
      </c>
      <c r="J23" s="4175">
        <v>8.9</v>
      </c>
      <c r="K23" s="4175">
        <f>[102]F20!L30</f>
        <v>1.52</v>
      </c>
      <c r="L23" s="4175">
        <f>'F1'!H28</f>
        <v>35.979999999999997</v>
      </c>
      <c r="M23" s="4175">
        <f>L23*10^6/(365*24*0.97*0.44)</f>
        <v>9623.4909467503749</v>
      </c>
      <c r="N23" s="4176">
        <f t="shared" si="9"/>
        <v>0</v>
      </c>
      <c r="O23" s="4175">
        <f>M23*I23*12/10^7</f>
        <v>2.3096378272200901</v>
      </c>
      <c r="P23" s="4175">
        <f t="shared" si="3"/>
        <v>2.3096378272200901</v>
      </c>
      <c r="Q23" s="4176">
        <f t="shared" si="8"/>
        <v>32.022199999999998</v>
      </c>
      <c r="R23" s="4175">
        <f t="shared" si="10"/>
        <v>34.331837827220085</v>
      </c>
      <c r="S23" s="4176">
        <f>L23*K23/10</f>
        <v>5.46896</v>
      </c>
      <c r="T23" s="4175">
        <f t="shared" si="5"/>
        <v>39.800797827220087</v>
      </c>
      <c r="U23" s="4177">
        <v>1.1200000000000001</v>
      </c>
      <c r="V23" s="4178">
        <f>IF(Assumptions!$D$130="YES",$L23*U23/10,0)</f>
        <v>4.0297600000000005</v>
      </c>
      <c r="W23" s="4175">
        <f t="shared" si="6"/>
        <v>43.83055782722009</v>
      </c>
      <c r="X23" s="4200"/>
      <c r="Y23" s="4201">
        <f t="shared" si="1"/>
        <v>12.1819226868316</v>
      </c>
      <c r="Z23" s="4201"/>
      <c r="AA23" s="4202">
        <f t="shared" si="7"/>
        <v>1.0277143088374774</v>
      </c>
    </row>
    <row r="24" spans="2:27">
      <c r="B24" s="4179" t="s">
        <v>1999</v>
      </c>
      <c r="C24" s="4179" t="s">
        <v>28</v>
      </c>
      <c r="D24" s="4174">
        <f>'F1'!J63</f>
        <v>1</v>
      </c>
      <c r="E24" s="4174">
        <f>'F1'!K63</f>
        <v>3</v>
      </c>
      <c r="F24" s="4174">
        <f t="shared" si="2"/>
        <v>4</v>
      </c>
      <c r="G24" s="4175">
        <v>200</v>
      </c>
      <c r="H24" s="4175"/>
      <c r="I24" s="4175"/>
      <c r="J24" s="4175">
        <v>4.9000000000000004</v>
      </c>
      <c r="K24" s="4175">
        <f>[102]F20!L31</f>
        <v>0.87</v>
      </c>
      <c r="L24" s="4175">
        <f>'F1'!H29</f>
        <v>1.99</v>
      </c>
      <c r="M24" s="4175"/>
      <c r="N24" s="4176">
        <f>G24*F24*2/10^7</f>
        <v>1.6000000000000001E-4</v>
      </c>
      <c r="O24" s="4175"/>
      <c r="P24" s="4175">
        <f t="shared" si="3"/>
        <v>1.6000000000000001E-4</v>
      </c>
      <c r="Q24" s="4176">
        <f t="shared" si="8"/>
        <v>0.97510000000000008</v>
      </c>
      <c r="R24" s="4175">
        <f t="shared" si="10"/>
        <v>0.97526000000000013</v>
      </c>
      <c r="S24" s="4176">
        <f t="shared" si="4"/>
        <v>0.17313000000000001</v>
      </c>
      <c r="T24" s="4175">
        <f t="shared" si="5"/>
        <v>1.14839</v>
      </c>
      <c r="U24" s="4177">
        <v>0.72</v>
      </c>
      <c r="V24" s="4178">
        <f>IF(Assumptions!$D$130="YES",$L24*U24/10,0)</f>
        <v>0.14327999999999999</v>
      </c>
      <c r="W24" s="4175">
        <f t="shared" si="6"/>
        <v>1.2916700000000001</v>
      </c>
      <c r="X24" s="4200"/>
      <c r="Y24" s="4201">
        <f t="shared" si="1"/>
        <v>6.4908040201005024</v>
      </c>
      <c r="Z24" s="4201"/>
      <c r="AA24" s="4202">
        <f t="shared" si="7"/>
        <v>0.54758943549428241</v>
      </c>
    </row>
    <row r="25" spans="2:27">
      <c r="B25" s="4179" t="s">
        <v>2000</v>
      </c>
      <c r="C25" s="4179" t="s">
        <v>28</v>
      </c>
      <c r="D25" s="4174">
        <f>'F1'!J64</f>
        <v>118</v>
      </c>
      <c r="E25" s="4174">
        <f>'F1'!K64</f>
        <v>1459</v>
      </c>
      <c r="F25" s="4174">
        <f t="shared" si="2"/>
        <v>1577</v>
      </c>
      <c r="G25" s="4175">
        <v>400</v>
      </c>
      <c r="H25" s="4175"/>
      <c r="I25" s="4175"/>
      <c r="J25" s="4175">
        <v>12.5</v>
      </c>
      <c r="K25" s="4175">
        <f>[102]F20!L32</f>
        <v>2.5299999999999998</v>
      </c>
      <c r="L25" s="4175">
        <f>'F1'!H30</f>
        <v>52.21</v>
      </c>
      <c r="M25" s="4175"/>
      <c r="N25" s="4176">
        <f>G25*F25*12/10^7</f>
        <v>0.75695999999999997</v>
      </c>
      <c r="O25" s="4175"/>
      <c r="P25" s="4175">
        <f t="shared" si="3"/>
        <v>0.75695999999999997</v>
      </c>
      <c r="Q25" s="4176">
        <f t="shared" si="8"/>
        <v>65.262500000000003</v>
      </c>
      <c r="R25" s="4175">
        <f t="shared" si="10"/>
        <v>66.019460000000009</v>
      </c>
      <c r="S25" s="4176">
        <f t="shared" si="4"/>
        <v>13.209129999999998</v>
      </c>
      <c r="T25" s="4175">
        <f t="shared" si="5"/>
        <v>79.228590000000011</v>
      </c>
      <c r="U25" s="4177">
        <v>1.89</v>
      </c>
      <c r="V25" s="4178">
        <f>IF(Assumptions!$D$130="YES",$L25*U25/10,0)</f>
        <v>9.8676899999999996</v>
      </c>
      <c r="W25" s="4175">
        <f t="shared" si="6"/>
        <v>89.096280000000007</v>
      </c>
      <c r="X25" s="4200"/>
      <c r="Y25" s="4201">
        <f t="shared" si="1"/>
        <v>17.064983719593947</v>
      </c>
      <c r="Z25" s="4201"/>
      <c r="AA25" s="4202">
        <f t="shared" si="7"/>
        <v>1.4396683019227685</v>
      </c>
    </row>
    <row r="26" spans="2:27">
      <c r="B26" s="4179" t="s">
        <v>2001</v>
      </c>
      <c r="C26" s="4179" t="s">
        <v>28</v>
      </c>
      <c r="D26" s="4174">
        <f>'F1'!J65</f>
        <v>8</v>
      </c>
      <c r="E26" s="4174">
        <f>'F1'!K65</f>
        <v>15</v>
      </c>
      <c r="F26" s="4174">
        <f t="shared" si="2"/>
        <v>23</v>
      </c>
      <c r="G26" s="4175">
        <v>200</v>
      </c>
      <c r="H26" s="4175"/>
      <c r="I26" s="4175"/>
      <c r="J26" s="4175">
        <v>5.0999999999999996</v>
      </c>
      <c r="K26" s="4175">
        <f>[102]F20!L33</f>
        <v>0.83</v>
      </c>
      <c r="L26" s="4175">
        <f>'F1'!H31</f>
        <v>1.45</v>
      </c>
      <c r="M26" s="4175"/>
      <c r="N26" s="4176">
        <f>G26*F26*12/10^7</f>
        <v>5.5199999999999997E-3</v>
      </c>
      <c r="O26" s="4175"/>
      <c r="P26" s="4175">
        <f t="shared" si="3"/>
        <v>5.5199999999999997E-3</v>
      </c>
      <c r="Q26" s="4176">
        <f t="shared" si="8"/>
        <v>0.73949999999999994</v>
      </c>
      <c r="R26" s="4175">
        <f t="shared" si="10"/>
        <v>0.7450199999999999</v>
      </c>
      <c r="S26" s="4176">
        <f t="shared" si="4"/>
        <v>0.12035</v>
      </c>
      <c r="T26" s="4175">
        <f t="shared" si="5"/>
        <v>0.86536999999999986</v>
      </c>
      <c r="U26" s="4177">
        <v>0.55000000000000004</v>
      </c>
      <c r="V26" s="4178">
        <f>IF(Assumptions!$D$130="YES",$L26*U26/10,0)</f>
        <v>7.9750000000000001E-2</v>
      </c>
      <c r="W26" s="4175">
        <f t="shared" si="6"/>
        <v>0.94511999999999985</v>
      </c>
      <c r="X26" s="4200"/>
      <c r="Y26" s="4201">
        <f t="shared" si="1"/>
        <v>6.5180689655172408</v>
      </c>
      <c r="Z26" s="4201"/>
      <c r="AA26" s="4202">
        <f t="shared" si="7"/>
        <v>0.54988961217860377</v>
      </c>
    </row>
    <row r="27" spans="2:27">
      <c r="B27" s="4181" t="s">
        <v>2002</v>
      </c>
      <c r="C27" s="4179" t="s">
        <v>28</v>
      </c>
      <c r="D27" s="4174">
        <f>'F1'!J66</f>
        <v>1470</v>
      </c>
      <c r="E27" s="4174">
        <f>'F1'!K66</f>
        <v>627</v>
      </c>
      <c r="F27" s="4174">
        <f t="shared" si="2"/>
        <v>2097</v>
      </c>
      <c r="G27" s="4175">
        <v>250</v>
      </c>
      <c r="H27" s="4175"/>
      <c r="I27" s="4175"/>
      <c r="J27" s="4175">
        <v>9</v>
      </c>
      <c r="K27" s="4175">
        <f>[102]F20!L34</f>
        <v>1.83</v>
      </c>
      <c r="L27" s="4175">
        <f>'F1'!H32</f>
        <v>50.48</v>
      </c>
      <c r="M27" s="4175"/>
      <c r="N27" s="4176">
        <f t="shared" si="9"/>
        <v>0.62909999999999999</v>
      </c>
      <c r="O27" s="4175"/>
      <c r="P27" s="4175">
        <f t="shared" si="3"/>
        <v>0.62909999999999999</v>
      </c>
      <c r="Q27" s="4176">
        <f t="shared" si="8"/>
        <v>45.432000000000002</v>
      </c>
      <c r="R27" s="4175">
        <f t="shared" si="10"/>
        <v>46.061100000000003</v>
      </c>
      <c r="S27" s="4176">
        <f t="shared" si="4"/>
        <v>9.2378400000000003</v>
      </c>
      <c r="T27" s="4175">
        <f t="shared" si="5"/>
        <v>55.298940000000002</v>
      </c>
      <c r="U27" s="4177">
        <v>1.51</v>
      </c>
      <c r="V27" s="4178">
        <f>IF(Assumptions!$D$130="YES",$L27*U27/10,0)</f>
        <v>7.6224800000000004</v>
      </c>
      <c r="W27" s="4175">
        <f t="shared" si="6"/>
        <v>62.921420000000005</v>
      </c>
      <c r="X27" s="4200"/>
      <c r="Y27" s="4201">
        <f t="shared" si="1"/>
        <v>12.464623613312204</v>
      </c>
      <c r="Z27" s="4201"/>
      <c r="AA27" s="4202">
        <f t="shared" si="7"/>
        <v>1.0515640569219724</v>
      </c>
    </row>
    <row r="28" spans="2:27">
      <c r="B28" s="4181" t="s">
        <v>2003</v>
      </c>
      <c r="C28" s="4179" t="s">
        <v>28</v>
      </c>
      <c r="D28" s="4174">
        <f>'F1'!J67</f>
        <v>3</v>
      </c>
      <c r="E28" s="4174">
        <f>'F1'!K67</f>
        <v>409</v>
      </c>
      <c r="F28" s="4174">
        <f t="shared" si="2"/>
        <v>412</v>
      </c>
      <c r="G28" s="4175"/>
      <c r="H28" s="4175"/>
      <c r="I28" s="4175">
        <v>200</v>
      </c>
      <c r="J28" s="4175">
        <v>9</v>
      </c>
      <c r="K28" s="4175">
        <f>[102]F20!L35</f>
        <v>1.83</v>
      </c>
      <c r="L28" s="4175">
        <f>'F1'!H33</f>
        <v>64.23</v>
      </c>
      <c r="M28" s="4175">
        <f>L28*10^6/(365*24*0.97*0.44)</f>
        <v>17179.455906330644</v>
      </c>
      <c r="N28" s="4176">
        <f t="shared" si="9"/>
        <v>0</v>
      </c>
      <c r="O28" s="4175">
        <f>M28*I28*12/10^7</f>
        <v>4.1230694175193552</v>
      </c>
      <c r="P28" s="4175">
        <f t="shared" si="3"/>
        <v>4.1230694175193552</v>
      </c>
      <c r="Q28" s="4176">
        <f t="shared" si="8"/>
        <v>57.807000000000002</v>
      </c>
      <c r="R28" s="4175">
        <f t="shared" si="10"/>
        <v>61.930069417519356</v>
      </c>
      <c r="S28" s="4176">
        <f t="shared" si="4"/>
        <v>11.754090000000001</v>
      </c>
      <c r="T28" s="4175">
        <f t="shared" si="5"/>
        <v>73.684159417519353</v>
      </c>
      <c r="U28" s="4177">
        <v>1.42</v>
      </c>
      <c r="V28" s="4178">
        <f>IF(Assumptions!$D$130="YES",$L28*U28/10,0)</f>
        <v>9.1206599999999991</v>
      </c>
      <c r="W28" s="4175">
        <f t="shared" si="6"/>
        <v>82.804819417519354</v>
      </c>
      <c r="X28" s="4200"/>
      <c r="Y28" s="4201">
        <f t="shared" si="1"/>
        <v>12.891922686831597</v>
      </c>
      <c r="Z28" s="4201"/>
      <c r="AA28" s="4202">
        <f t="shared" si="7"/>
        <v>1.0876126662669965</v>
      </c>
    </row>
    <row r="29" spans="2:27">
      <c r="B29" s="4179" t="s">
        <v>3097</v>
      </c>
      <c r="C29" s="4179"/>
      <c r="D29" s="4182">
        <f>SUM(D9:D28)</f>
        <v>907103</v>
      </c>
      <c r="E29" s="4182">
        <f>SUM(E9:E28)</f>
        <v>148128</v>
      </c>
      <c r="F29" s="4183">
        <f>SUM(D29:E29)</f>
        <v>1055231</v>
      </c>
      <c r="G29" s="4175"/>
      <c r="H29" s="4175"/>
      <c r="I29" s="4175"/>
      <c r="J29" s="4175"/>
      <c r="K29" s="4175"/>
      <c r="L29" s="4184">
        <f>SUM(L9:L28)</f>
        <v>4985.449999999998</v>
      </c>
      <c r="M29" s="4184">
        <f t="shared" ref="M29:Q29" si="11">SUM(M9:M28)</f>
        <v>401036.49655223888</v>
      </c>
      <c r="N29" s="4184">
        <f t="shared" si="11"/>
        <v>147.41266479999999</v>
      </c>
      <c r="O29" s="4184">
        <f t="shared" si="11"/>
        <v>96.248759172537333</v>
      </c>
      <c r="P29" s="4184">
        <f t="shared" si="11"/>
        <v>243.66142397253734</v>
      </c>
      <c r="Q29" s="4184">
        <f t="shared" si="11"/>
        <v>4189.3679500000007</v>
      </c>
      <c r="R29" s="4175"/>
      <c r="S29" s="4176"/>
      <c r="T29" s="4176"/>
      <c r="U29" s="4177"/>
      <c r="V29" s="4177"/>
      <c r="W29" s="4175"/>
      <c r="X29" s="4200"/>
      <c r="Y29" s="4201"/>
      <c r="Z29" s="4201"/>
      <c r="AA29" s="4202"/>
    </row>
    <row r="30" spans="2:27" ht="21">
      <c r="B30" s="4185" t="s">
        <v>2004</v>
      </c>
      <c r="C30" s="4179"/>
      <c r="D30" s="4186"/>
      <c r="E30" s="4186"/>
      <c r="F30" s="4174"/>
      <c r="G30" s="4175"/>
      <c r="H30" s="4175"/>
      <c r="I30" s="4175"/>
      <c r="J30" s="4175"/>
      <c r="K30" s="4175"/>
      <c r="L30" s="4175"/>
      <c r="M30" s="4175"/>
      <c r="N30" s="4176"/>
      <c r="O30" s="4175"/>
      <c r="P30" s="4175"/>
      <c r="Q30" s="4176"/>
      <c r="R30" s="4175"/>
      <c r="S30" s="4176"/>
      <c r="T30" s="4176"/>
      <c r="U30" s="4177"/>
      <c r="V30" s="4177"/>
      <c r="W30" s="4175"/>
      <c r="X30" s="4200"/>
      <c r="Y30" s="4201"/>
      <c r="Z30" s="4201"/>
      <c r="AA30" s="4202"/>
    </row>
    <row r="31" spans="2:27">
      <c r="B31" s="4187" t="s">
        <v>3027</v>
      </c>
      <c r="C31" s="4179" t="s">
        <v>28</v>
      </c>
      <c r="D31" s="4186">
        <f>'F1'!J69</f>
        <v>0</v>
      </c>
      <c r="E31" s="4186">
        <f>'F1'!K69</f>
        <v>42</v>
      </c>
      <c r="F31" s="4174">
        <f t="shared" ref="F31:F35" si="12">SUM(D31:E31)</f>
        <v>42</v>
      </c>
      <c r="G31" s="4175"/>
      <c r="H31" s="4175"/>
      <c r="I31" s="4175">
        <v>200</v>
      </c>
      <c r="J31" s="4175">
        <v>9</v>
      </c>
      <c r="K31" s="4175">
        <f>[102]F20!L37</f>
        <v>1.59</v>
      </c>
      <c r="L31" s="4175">
        <f>'F1'!H35</f>
        <v>231.716666</v>
      </c>
      <c r="M31" s="4175">
        <f>L31*10^6/(365*24*0.97*0.56)</f>
        <v>48696.012888279169</v>
      </c>
      <c r="N31" s="4176">
        <f t="shared" si="9"/>
        <v>0</v>
      </c>
      <c r="O31" s="4175">
        <f>M31*I31*12/10^7</f>
        <v>11.687043093187</v>
      </c>
      <c r="P31" s="4175">
        <f t="shared" si="3"/>
        <v>11.687043093187</v>
      </c>
      <c r="Q31" s="4176">
        <f t="shared" ref="Q31:Q35" si="13">L31*J31/10</f>
        <v>208.54499939999999</v>
      </c>
      <c r="R31" s="4175">
        <f t="shared" si="10"/>
        <v>220.23204249318701</v>
      </c>
      <c r="S31" s="4176">
        <f t="shared" si="4"/>
        <v>36.842949894</v>
      </c>
      <c r="T31" s="4175">
        <f t="shared" ref="T31:T35" si="14">R31+S31</f>
        <v>257.07499238718702</v>
      </c>
      <c r="U31" s="4177">
        <v>1.1299999999999999</v>
      </c>
      <c r="V31" s="4178">
        <f>IF(Assumptions!$D$130="YES",$L31*U31/10,0)</f>
        <v>26.183983258000001</v>
      </c>
      <c r="W31" s="4175">
        <f>T31+V31</f>
        <v>283.25897564518704</v>
      </c>
      <c r="X31" s="4200"/>
      <c r="Y31" s="4201">
        <f t="shared" si="1"/>
        <v>12.224367825367686</v>
      </c>
      <c r="Z31" s="4201"/>
      <c r="AA31" s="4202">
        <f t="shared" ref="AA31:AA35" si="15">Y31/$Z$37</f>
        <v>1.0312951455687169</v>
      </c>
    </row>
    <row r="32" spans="2:27">
      <c r="B32" s="4187" t="s">
        <v>3028</v>
      </c>
      <c r="C32" s="4179" t="s">
        <v>28</v>
      </c>
      <c r="D32" s="4186">
        <f>'F1'!J70</f>
        <v>0</v>
      </c>
      <c r="E32" s="4186">
        <f>'F1'!K70</f>
        <v>104</v>
      </c>
      <c r="F32" s="4174">
        <f t="shared" si="12"/>
        <v>104</v>
      </c>
      <c r="G32" s="4175"/>
      <c r="H32" s="4175"/>
      <c r="I32" s="4175">
        <v>200</v>
      </c>
      <c r="J32" s="4175">
        <v>9.6999999999999993</v>
      </c>
      <c r="K32" s="4175">
        <f>[102]F20!L38</f>
        <v>1.71</v>
      </c>
      <c r="L32" s="4175">
        <f>'F1'!H36</f>
        <v>431.67666600000001</v>
      </c>
      <c r="M32" s="4175">
        <v>101606</v>
      </c>
      <c r="N32" s="4176">
        <f t="shared" si="9"/>
        <v>0</v>
      </c>
      <c r="O32" s="4175">
        <f>M32*I32*12/10^7</f>
        <v>24.385439999999999</v>
      </c>
      <c r="P32" s="4175">
        <f t="shared" si="3"/>
        <v>24.385439999999999</v>
      </c>
      <c r="Q32" s="4176">
        <f t="shared" si="13"/>
        <v>418.72636602</v>
      </c>
      <c r="R32" s="4175">
        <f t="shared" si="10"/>
        <v>443.11180602000002</v>
      </c>
      <c r="S32" s="4176">
        <f t="shared" si="4"/>
        <v>73.816709885999998</v>
      </c>
      <c r="T32" s="4175">
        <f t="shared" si="14"/>
        <v>516.92851590600003</v>
      </c>
      <c r="U32" s="4177">
        <v>1.19</v>
      </c>
      <c r="V32" s="4178">
        <f>IF(Assumptions!$D$130="YES",$L32*U32/10,0)</f>
        <v>51.369523254000001</v>
      </c>
      <c r="W32" s="4175">
        <f>T32+V32</f>
        <v>568.29803916000003</v>
      </c>
      <c r="X32" s="4200"/>
      <c r="Y32" s="4201">
        <f t="shared" si="1"/>
        <v>13.164900582326124</v>
      </c>
      <c r="Z32" s="4201"/>
      <c r="AA32" s="4202">
        <f t="shared" si="15"/>
        <v>1.1106421416961361</v>
      </c>
    </row>
    <row r="33" spans="2:27">
      <c r="B33" s="4187" t="s">
        <v>43</v>
      </c>
      <c r="C33" s="4179" t="s">
        <v>28</v>
      </c>
      <c r="D33" s="4186">
        <f>'F1'!J71</f>
        <v>0</v>
      </c>
      <c r="E33" s="4186">
        <f>'F1'!K71</f>
        <v>10</v>
      </c>
      <c r="F33" s="4174">
        <f t="shared" si="12"/>
        <v>10</v>
      </c>
      <c r="G33" s="4175"/>
      <c r="H33" s="4175"/>
      <c r="I33" s="4175">
        <v>200</v>
      </c>
      <c r="J33" s="4175">
        <v>6.65</v>
      </c>
      <c r="K33" s="4175">
        <f>[102]F20!L39</f>
        <v>0.91</v>
      </c>
      <c r="L33" s="4175">
        <f>'F1'!H37</f>
        <v>36.75</v>
      </c>
      <c r="M33" s="4175">
        <v>10811</v>
      </c>
      <c r="N33" s="4176">
        <f t="shared" si="9"/>
        <v>0</v>
      </c>
      <c r="O33" s="4175">
        <f>M33*I33*12/10^7</f>
        <v>2.5946400000000001</v>
      </c>
      <c r="P33" s="4175">
        <f t="shared" si="3"/>
        <v>2.5946400000000001</v>
      </c>
      <c r="Q33" s="4176">
        <f t="shared" si="13"/>
        <v>24.438750000000002</v>
      </c>
      <c r="R33" s="4175">
        <f t="shared" si="10"/>
        <v>27.033390000000004</v>
      </c>
      <c r="S33" s="4176">
        <f>L33*K33/10</f>
        <v>3.3442500000000002</v>
      </c>
      <c r="T33" s="4175">
        <f t="shared" si="14"/>
        <v>30.377640000000003</v>
      </c>
      <c r="U33" s="4177">
        <v>0.66</v>
      </c>
      <c r="V33" s="4178">
        <f>IF(Assumptions!$D$130="YES",$L33*U33/10,0)</f>
        <v>2.4255000000000004</v>
      </c>
      <c r="W33" s="4175">
        <f t="shared" ref="W33:W35" si="16">T33+V33</f>
        <v>32.803140000000006</v>
      </c>
      <c r="X33" s="4200"/>
      <c r="Y33" s="4201">
        <f t="shared" si="1"/>
        <v>8.9260244897959211</v>
      </c>
      <c r="Z33" s="4201"/>
      <c r="AA33" s="4202">
        <f t="shared" si="15"/>
        <v>0.75303409199216698</v>
      </c>
    </row>
    <row r="34" spans="2:27">
      <c r="B34" s="4187" t="s">
        <v>44</v>
      </c>
      <c r="C34" s="4179" t="s">
        <v>28</v>
      </c>
      <c r="D34" s="4186">
        <f>'F1'!J72</f>
        <v>0</v>
      </c>
      <c r="E34" s="4186">
        <f>'F1'!K72</f>
        <v>3</v>
      </c>
      <c r="F34" s="4174">
        <f t="shared" si="12"/>
        <v>3</v>
      </c>
      <c r="G34" s="4175">
        <v>250</v>
      </c>
      <c r="H34" s="4175"/>
      <c r="I34" s="4175"/>
      <c r="J34" s="4175">
        <v>12</v>
      </c>
      <c r="K34" s="4175">
        <f>[102]F20!L40</f>
        <v>2.33</v>
      </c>
      <c r="L34" s="4175">
        <f>'F1'!H38</f>
        <v>4.6900000000000004</v>
      </c>
      <c r="M34" s="4175"/>
      <c r="N34" s="4176">
        <f>G34*F34*12/10^7</f>
        <v>8.9999999999999998E-4</v>
      </c>
      <c r="O34" s="4175"/>
      <c r="P34" s="4175">
        <f t="shared" si="3"/>
        <v>8.9999999999999998E-4</v>
      </c>
      <c r="Q34" s="4176">
        <f t="shared" si="13"/>
        <v>5.6280000000000001</v>
      </c>
      <c r="R34" s="4175">
        <f t="shared" si="10"/>
        <v>5.6288999999999998</v>
      </c>
      <c r="S34" s="4176">
        <f>L34*K34/10</f>
        <v>1.0927700000000002</v>
      </c>
      <c r="T34" s="4175">
        <f t="shared" si="14"/>
        <v>6.7216699999999996</v>
      </c>
      <c r="U34" s="4177">
        <v>1.68</v>
      </c>
      <c r="V34" s="4178">
        <f>IF(Assumptions!$D$130="YES",$L34*U34/10,0)</f>
        <v>0.78791999999999995</v>
      </c>
      <c r="W34" s="4175">
        <f t="shared" si="16"/>
        <v>7.5095899999999993</v>
      </c>
      <c r="X34" s="4200"/>
      <c r="Y34" s="4201">
        <f t="shared" si="1"/>
        <v>16.011918976545839</v>
      </c>
      <c r="Z34" s="4201"/>
      <c r="AA34" s="4202">
        <f t="shared" si="15"/>
        <v>1.3508276704079509</v>
      </c>
    </row>
    <row r="35" spans="2:27">
      <c r="B35" s="4187" t="s">
        <v>3098</v>
      </c>
      <c r="C35" s="4179" t="s">
        <v>28</v>
      </c>
      <c r="D35" s="4186">
        <f>'F1'!J73</f>
        <v>0</v>
      </c>
      <c r="E35" s="4186">
        <f>'F1'!K73</f>
        <v>15</v>
      </c>
      <c r="F35" s="4174">
        <f t="shared" si="12"/>
        <v>15</v>
      </c>
      <c r="G35" s="4175"/>
      <c r="H35" s="4175"/>
      <c r="I35" s="4175">
        <v>200</v>
      </c>
      <c r="J35" s="4175">
        <v>8.8000000000000007</v>
      </c>
      <c r="K35" s="4175">
        <f>[102]F20!L41</f>
        <v>1.51</v>
      </c>
      <c r="L35" s="4175">
        <f>'F1'!H39</f>
        <v>44.38</v>
      </c>
      <c r="M35" s="4175">
        <f>L35*10^6/(365*24*0.97*0.5)</f>
        <v>10445.793908581652</v>
      </c>
      <c r="N35" s="4176">
        <f t="shared" si="9"/>
        <v>0</v>
      </c>
      <c r="O35" s="4175">
        <f>M35*I35*12/10^7</f>
        <v>2.5069905380595969</v>
      </c>
      <c r="P35" s="4175">
        <f t="shared" si="3"/>
        <v>2.5069905380595969</v>
      </c>
      <c r="Q35" s="4176">
        <f t="shared" si="13"/>
        <v>39.054400000000001</v>
      </c>
      <c r="R35" s="4175">
        <f t="shared" si="10"/>
        <v>41.561390538059598</v>
      </c>
      <c r="S35" s="4176">
        <f>L35*K35/10</f>
        <v>6.7013800000000003</v>
      </c>
      <c r="T35" s="4175">
        <f t="shared" si="14"/>
        <v>48.262770538059598</v>
      </c>
      <c r="U35" s="4177">
        <v>1.17</v>
      </c>
      <c r="V35" s="4178">
        <f>IF(Assumptions!$D$130="YES",$L35*U35/10,0)</f>
        <v>5.1924599999999996</v>
      </c>
      <c r="W35" s="4175">
        <f t="shared" si="16"/>
        <v>53.455230538059595</v>
      </c>
      <c r="X35" s="4200"/>
      <c r="Y35" s="4201">
        <f t="shared" si="1"/>
        <v>12.044891964411805</v>
      </c>
      <c r="Z35" s="4201"/>
      <c r="AA35" s="4202">
        <f t="shared" si="15"/>
        <v>1.0161538649074406</v>
      </c>
    </row>
    <row r="36" spans="2:27">
      <c r="B36" s="4187" t="s">
        <v>3099</v>
      </c>
      <c r="C36" s="4179" t="s">
        <v>28</v>
      </c>
      <c r="D36" s="4182">
        <f>SUM(D31:D35)</f>
        <v>0</v>
      </c>
      <c r="E36" s="4182">
        <f t="shared" ref="E36" si="17">SUM(E31:E35)</f>
        <v>174</v>
      </c>
      <c r="F36" s="4174">
        <f>SUM(D36:E36)</f>
        <v>174</v>
      </c>
      <c r="G36" s="4175"/>
      <c r="H36" s="4175"/>
      <c r="I36" s="4175"/>
      <c r="J36" s="4175"/>
      <c r="K36" s="4175"/>
      <c r="L36" s="4175">
        <f>SUM(L31:L35)</f>
        <v>749.21333200000004</v>
      </c>
      <c r="M36" s="4175"/>
      <c r="N36" s="4176"/>
      <c r="O36" s="4175"/>
      <c r="P36" s="4175"/>
      <c r="Q36" s="4176"/>
      <c r="R36" s="4175"/>
      <c r="S36" s="4176"/>
      <c r="T36" s="4176"/>
      <c r="U36" s="4177"/>
      <c r="V36" s="4177"/>
      <c r="W36" s="4175"/>
      <c r="X36" s="4200"/>
      <c r="Y36" s="4177"/>
      <c r="Z36" s="4201"/>
      <c r="AA36" s="4201"/>
    </row>
    <row r="37" spans="2:27">
      <c r="B37" s="4188" t="s">
        <v>47</v>
      </c>
      <c r="C37" s="4189"/>
      <c r="D37" s="4183">
        <f>SUM(D29,D36)</f>
        <v>907103</v>
      </c>
      <c r="E37" s="4183">
        <f>SUM(E29,E36)</f>
        <v>148302</v>
      </c>
      <c r="F37" s="4183">
        <f>SUM(F29,F36)</f>
        <v>1055405</v>
      </c>
      <c r="G37" s="4184"/>
      <c r="H37" s="4184"/>
      <c r="I37" s="4184"/>
      <c r="J37" s="4184"/>
      <c r="K37" s="4184"/>
      <c r="L37" s="4184">
        <f>SUM(L29,L36)</f>
        <v>5734.6633319999983</v>
      </c>
      <c r="M37" s="4184"/>
      <c r="N37" s="4190">
        <f t="shared" ref="N37:O37" si="18">SUM(N9:N28,N31:N35)</f>
        <v>147.41356479999999</v>
      </c>
      <c r="O37" s="4190">
        <f t="shared" si="18"/>
        <v>137.42287280378392</v>
      </c>
      <c r="P37" s="4190">
        <f>SUM(P9:P28,P31:P35)</f>
        <v>284.83643760378396</v>
      </c>
      <c r="Q37" s="4190">
        <f>SUM(Q9:Q28,Q31:Q35)</f>
        <v>4885.7604654200004</v>
      </c>
      <c r="R37" s="4184">
        <f>SUM(R9:R28,R31:R35)</f>
        <v>5170.5969030237829</v>
      </c>
      <c r="S37" s="4184">
        <f>SUM(S9:S28,S31:S35)</f>
        <v>910.37302978000025</v>
      </c>
      <c r="T37" s="4184">
        <f>SUM(T9:T28,T31:T35)</f>
        <v>6080.9699328037832</v>
      </c>
      <c r="U37" s="4191"/>
      <c r="V37" s="4191">
        <f>SUM(V9:V28,V31:V35)</f>
        <v>716.56365651200019</v>
      </c>
      <c r="W37" s="4184">
        <f>SUM(W9:W28,W31:W35)</f>
        <v>6797.5335893157826</v>
      </c>
      <c r="X37" s="4200"/>
      <c r="Y37" s="4201">
        <f>$W37*10/$L37</f>
        <v>11.853413523658594</v>
      </c>
      <c r="Z37" s="4201">
        <f>$W37*10/$L37</f>
        <v>11.853413523658594</v>
      </c>
      <c r="AA37" s="4201"/>
    </row>
    <row r="38" spans="2:27">
      <c r="T38" s="4192"/>
      <c r="V38" s="4175" t="s">
        <v>48</v>
      </c>
      <c r="W38" s="4175">
        <v>19.05</v>
      </c>
      <c r="X38" s="4200"/>
    </row>
    <row r="39" spans="2:27">
      <c r="T39" s="4192"/>
      <c r="V39" s="4175" t="s">
        <v>52</v>
      </c>
      <c r="W39" s="4175">
        <v>12.97</v>
      </c>
      <c r="X39" s="4192"/>
    </row>
    <row r="40" spans="2:27">
      <c r="T40" s="4192"/>
      <c r="V40" s="4175" t="s">
        <v>3182</v>
      </c>
      <c r="W40" s="4175">
        <v>20.22</v>
      </c>
      <c r="X40" s="4192"/>
    </row>
    <row r="41" spans="2:27">
      <c r="V41" s="4193" t="s">
        <v>47</v>
      </c>
      <c r="W41" s="4193">
        <f>SUM(W37:W40)</f>
        <v>6849.7735893157833</v>
      </c>
    </row>
    <row r="42" spans="2:27">
      <c r="W42" s="4430">
        <f>F14.1!U41</f>
        <v>5031.0924191304739</v>
      </c>
    </row>
    <row r="43" spans="2:27">
      <c r="W43" s="4430">
        <f>W41-W42</f>
        <v>1818.6811701853094</v>
      </c>
    </row>
  </sheetData>
  <mergeCells count="18">
    <mergeCell ref="AA7:AA8"/>
    <mergeCell ref="L7:M7"/>
    <mergeCell ref="N7:P7"/>
    <mergeCell ref="Q7:Q8"/>
    <mergeCell ref="R7:R8"/>
    <mergeCell ref="S7:S8"/>
    <mergeCell ref="T7:T8"/>
    <mergeCell ref="U7:U8"/>
    <mergeCell ref="V7:V8"/>
    <mergeCell ref="W7:W8"/>
    <mergeCell ref="Y7:Y8"/>
    <mergeCell ref="Z7:Z8"/>
    <mergeCell ref="K7:K8"/>
    <mergeCell ref="B7:B8"/>
    <mergeCell ref="C7:C8"/>
    <mergeCell ref="D7:F7"/>
    <mergeCell ref="G7:I7"/>
    <mergeCell ref="J7:J8"/>
  </mergeCells>
  <pageMargins left="0.7" right="0.7" top="0.75" bottom="0.75" header="0.3" footer="0.3"/>
  <pageSetup scale="10" orientation="landscape" r:id="rId1"/>
</worksheet>
</file>

<file path=xl/worksheets/sheet67.xml><?xml version="1.0" encoding="utf-8"?>
<worksheet xmlns="http://schemas.openxmlformats.org/spreadsheetml/2006/main" xmlns:r="http://schemas.openxmlformats.org/officeDocument/2006/relationships">
  <sheetPr>
    <tabColor rgb="FFFF0000"/>
  </sheetPr>
  <dimension ref="B1:N52"/>
  <sheetViews>
    <sheetView zoomScale="90" zoomScaleNormal="90" workbookViewId="0">
      <selection activeCell="N4" sqref="N3:N8"/>
    </sheetView>
  </sheetViews>
  <sheetFormatPr defaultRowHeight="15"/>
  <cols>
    <col min="1" max="1" width="9.140625" style="1013"/>
    <col min="2" max="2" width="28.7109375" style="1013" customWidth="1"/>
    <col min="3" max="3" width="15" style="1013" customWidth="1"/>
    <col min="4" max="10" width="13.140625" style="1013" customWidth="1"/>
    <col min="11" max="11" width="10.140625" style="1013" bestFit="1" customWidth="1"/>
    <col min="12" max="16384" width="9.140625" style="1013"/>
  </cols>
  <sheetData>
    <row r="1" spans="2:14">
      <c r="B1" s="1427" t="s">
        <v>755</v>
      </c>
    </row>
    <row r="2" spans="2:14" ht="28.5">
      <c r="B2" s="4442" t="s">
        <v>81</v>
      </c>
      <c r="C2" s="4442" t="s">
        <v>3389</v>
      </c>
      <c r="D2" s="4442" t="s">
        <v>2441</v>
      </c>
      <c r="E2" s="4442" t="s">
        <v>2314</v>
      </c>
      <c r="F2" s="4442" t="s">
        <v>1897</v>
      </c>
      <c r="G2" s="4442" t="s">
        <v>82</v>
      </c>
      <c r="H2" s="4442" t="s">
        <v>1845</v>
      </c>
      <c r="I2" s="4442" t="s">
        <v>2442</v>
      </c>
      <c r="J2" s="4442" t="s">
        <v>2443</v>
      </c>
      <c r="K2" s="4442" t="s">
        <v>47</v>
      </c>
    </row>
    <row r="3" spans="2:14">
      <c r="B3" s="1015" t="s">
        <v>3583</v>
      </c>
      <c r="C3" s="1015">
        <v>1700.2</v>
      </c>
      <c r="D3" s="1015">
        <v>504.88</v>
      </c>
      <c r="E3" s="1015">
        <v>400.38</v>
      </c>
      <c r="F3" s="1015">
        <v>391.72</v>
      </c>
      <c r="G3" s="1015">
        <v>406.71</v>
      </c>
      <c r="H3" s="1015">
        <v>405.9</v>
      </c>
      <c r="I3" s="1015">
        <v>387.43</v>
      </c>
      <c r="J3" s="1015">
        <v>152.16</v>
      </c>
      <c r="K3" s="1015">
        <f>SUM(C3:J3)</f>
        <v>4349.38</v>
      </c>
      <c r="N3" s="1013">
        <v>205.02</v>
      </c>
    </row>
    <row r="4" spans="2:14">
      <c r="B4" s="1015" t="s">
        <v>3584</v>
      </c>
      <c r="C4" s="1015">
        <v>512.49</v>
      </c>
      <c r="D4" s="1015">
        <v>104.35</v>
      </c>
      <c r="E4" s="1015">
        <v>120.53</v>
      </c>
      <c r="F4" s="1015">
        <v>127.03</v>
      </c>
      <c r="G4" s="1015">
        <v>132.91</v>
      </c>
      <c r="H4" s="1015">
        <v>144.91999999999999</v>
      </c>
      <c r="I4" s="1015">
        <v>158.58000000000001</v>
      </c>
      <c r="J4" s="1015">
        <v>172.5</v>
      </c>
      <c r="K4" s="1015">
        <f>SUM(C4:J4)</f>
        <v>1473.31</v>
      </c>
      <c r="N4" s="1013">
        <v>149.9</v>
      </c>
    </row>
    <row r="5" spans="2:14">
      <c r="B5" s="1022" t="s">
        <v>3585</v>
      </c>
      <c r="C5" s="1022">
        <f>C3-C4</f>
        <v>1187.71</v>
      </c>
      <c r="D5" s="1022">
        <f t="shared" ref="D5:K5" si="0">D3-D4</f>
        <v>400.53</v>
      </c>
      <c r="E5" s="1022">
        <f t="shared" si="0"/>
        <v>279.85000000000002</v>
      </c>
      <c r="F5" s="1022">
        <f t="shared" si="0"/>
        <v>264.69000000000005</v>
      </c>
      <c r="G5" s="1022">
        <f t="shared" si="0"/>
        <v>273.79999999999995</v>
      </c>
      <c r="H5" s="1022">
        <f t="shared" si="0"/>
        <v>260.98</v>
      </c>
      <c r="I5" s="1022">
        <f t="shared" si="0"/>
        <v>228.85</v>
      </c>
      <c r="J5" s="1022">
        <f t="shared" si="0"/>
        <v>-20.340000000000003</v>
      </c>
      <c r="K5" s="1022">
        <f t="shared" si="0"/>
        <v>2876.07</v>
      </c>
      <c r="N5" s="1013">
        <v>261.07</v>
      </c>
    </row>
    <row r="6" spans="2:14">
      <c r="B6" s="1456"/>
      <c r="C6" s="1456"/>
      <c r="D6" s="1456"/>
      <c r="E6" s="1456"/>
      <c r="F6" s="1456"/>
      <c r="G6" s="1456"/>
      <c r="H6" s="1456"/>
      <c r="I6" s="1456"/>
      <c r="J6" s="1456"/>
      <c r="K6" s="1456"/>
      <c r="N6" s="1013">
        <v>267.75</v>
      </c>
    </row>
    <row r="7" spans="2:14">
      <c r="B7" s="1458" t="s">
        <v>3597</v>
      </c>
      <c r="C7" s="1458"/>
      <c r="D7" s="1458"/>
      <c r="E7" s="1458"/>
      <c r="F7" s="1458"/>
      <c r="G7" s="1458"/>
      <c r="H7" s="1458"/>
      <c r="I7" s="1458"/>
      <c r="J7" s="1458"/>
      <c r="K7" s="1458"/>
      <c r="N7" s="1013">
        <v>303.97000000000003</v>
      </c>
    </row>
    <row r="8" spans="2:14">
      <c r="B8" s="1022" t="s">
        <v>3595</v>
      </c>
      <c r="C8" s="1015">
        <f>C5</f>
        <v>1187.71</v>
      </c>
      <c r="D8" s="1015">
        <f t="shared" ref="D8:F8" si="1">D5</f>
        <v>400.53</v>
      </c>
      <c r="E8" s="1015">
        <f t="shared" si="1"/>
        <v>279.85000000000002</v>
      </c>
      <c r="F8" s="1015">
        <f t="shared" si="1"/>
        <v>264.69000000000005</v>
      </c>
      <c r="G8" s="1016">
        <f>'F15'!E11</f>
        <v>503.4726944021794</v>
      </c>
      <c r="H8" s="1016">
        <f>'F15'!G11</f>
        <v>633.42269805184901</v>
      </c>
      <c r="I8" s="1016">
        <f>'F15'!I11</f>
        <v>248.2156742660037</v>
      </c>
      <c r="J8" s="1016">
        <f>'F15'!K11</f>
        <v>5.9946784420417032</v>
      </c>
      <c r="K8" s="1015"/>
      <c r="N8" s="1013">
        <f>SUM(N3:N7)</f>
        <v>1187.71</v>
      </c>
    </row>
    <row r="9" spans="2:14">
      <c r="B9" s="1458"/>
      <c r="C9" s="1458"/>
      <c r="D9" s="1458"/>
      <c r="E9" s="1458"/>
      <c r="F9" s="1458"/>
      <c r="G9" s="1458"/>
      <c r="H9" s="1458"/>
      <c r="I9" s="1458"/>
      <c r="J9" s="1458"/>
      <c r="K9" s="1458"/>
    </row>
    <row r="10" spans="2:14" ht="15.75" thickBot="1">
      <c r="B10" s="1013">
        <v>1</v>
      </c>
      <c r="C10" s="1013">
        <v>2</v>
      </c>
      <c r="D10" s="1013">
        <v>3</v>
      </c>
      <c r="E10" s="1013">
        <v>4</v>
      </c>
      <c r="F10" s="1013">
        <v>5</v>
      </c>
      <c r="G10" s="1013">
        <v>6</v>
      </c>
      <c r="H10" s="1013">
        <v>7</v>
      </c>
      <c r="I10" s="1013">
        <v>8</v>
      </c>
      <c r="J10" s="1013">
        <v>9</v>
      </c>
      <c r="K10" s="1013">
        <v>10</v>
      </c>
    </row>
    <row r="11" spans="2:14" ht="28.5">
      <c r="B11" s="4843" t="s">
        <v>81</v>
      </c>
      <c r="C11" s="4844" t="s">
        <v>3389</v>
      </c>
      <c r="D11" s="4844" t="s">
        <v>2441</v>
      </c>
      <c r="E11" s="4844" t="s">
        <v>2314</v>
      </c>
      <c r="F11" s="4844" t="s">
        <v>1897</v>
      </c>
      <c r="G11" s="4844" t="s">
        <v>82</v>
      </c>
      <c r="H11" s="4844" t="s">
        <v>1845</v>
      </c>
      <c r="I11" s="4844" t="s">
        <v>2442</v>
      </c>
      <c r="J11" s="4844" t="s">
        <v>2443</v>
      </c>
      <c r="K11" s="4845" t="s">
        <v>47</v>
      </c>
    </row>
    <row r="12" spans="2:14">
      <c r="B12" s="4855" t="s">
        <v>3592</v>
      </c>
      <c r="C12" s="4841">
        <f>C8</f>
        <v>1187.71</v>
      </c>
      <c r="D12" s="4841">
        <f t="shared" ref="D12:J12" si="2">D8</f>
        <v>400.53</v>
      </c>
      <c r="E12" s="4841">
        <f>E8</f>
        <v>279.85000000000002</v>
      </c>
      <c r="F12" s="4841">
        <f t="shared" si="2"/>
        <v>264.69000000000005</v>
      </c>
      <c r="G12" s="4841">
        <f>G8</f>
        <v>503.4726944021794</v>
      </c>
      <c r="H12" s="4841">
        <f t="shared" si="2"/>
        <v>633.42269805184901</v>
      </c>
      <c r="I12" s="4841">
        <f t="shared" si="2"/>
        <v>248.2156742660037</v>
      </c>
      <c r="J12" s="4841">
        <f t="shared" si="2"/>
        <v>5.9946784420417032</v>
      </c>
      <c r="K12" s="4851">
        <f>SUM(C12:J12)</f>
        <v>3523.8857451620743</v>
      </c>
    </row>
    <row r="13" spans="2:14">
      <c r="B13" s="4847" t="s">
        <v>3593</v>
      </c>
      <c r="C13" s="4822">
        <f>C12</f>
        <v>1187.71</v>
      </c>
      <c r="D13" s="4822">
        <f>D12</f>
        <v>400.53</v>
      </c>
      <c r="E13" s="4822">
        <f t="shared" ref="E13:F14" si="3">E12</f>
        <v>279.85000000000002</v>
      </c>
      <c r="F13" s="4822">
        <f t="shared" si="3"/>
        <v>264.69000000000005</v>
      </c>
      <c r="G13" s="4822">
        <f>G12</f>
        <v>503.4726944021794</v>
      </c>
      <c r="H13" s="4822">
        <f>H12</f>
        <v>633.42269805184901</v>
      </c>
      <c r="I13" s="4820">
        <f>I5</f>
        <v>228.85</v>
      </c>
      <c r="J13" s="4820">
        <f>J5</f>
        <v>-20.340000000000003</v>
      </c>
      <c r="K13" s="4851">
        <f t="shared" ref="K13:K20" si="4">SUM(C13:J13)</f>
        <v>3478.1853924540287</v>
      </c>
      <c r="M13" s="1268">
        <f>$K$12-K13</f>
        <v>45.700352708045557</v>
      </c>
    </row>
    <row r="14" spans="2:14">
      <c r="B14" s="4855" t="s">
        <v>3594</v>
      </c>
      <c r="C14" s="4822">
        <f>C13</f>
        <v>1187.71</v>
      </c>
      <c r="D14" s="4822">
        <f>D13</f>
        <v>400.53</v>
      </c>
      <c r="E14" s="4822">
        <f t="shared" si="3"/>
        <v>279.85000000000002</v>
      </c>
      <c r="F14" s="4822">
        <f t="shared" si="3"/>
        <v>264.69000000000005</v>
      </c>
      <c r="G14" s="4822">
        <f>G5</f>
        <v>273.79999999999995</v>
      </c>
      <c r="H14" s="4822">
        <f t="shared" ref="H14:J14" si="5">H5</f>
        <v>260.98</v>
      </c>
      <c r="I14" s="4822">
        <f t="shared" si="5"/>
        <v>228.85</v>
      </c>
      <c r="J14" s="4822">
        <f t="shared" si="5"/>
        <v>-20.340000000000003</v>
      </c>
      <c r="K14" s="4851">
        <f t="shared" si="4"/>
        <v>2876.0699999999997</v>
      </c>
      <c r="M14" s="1268">
        <f t="shared" ref="M14:M18" si="6">$K$12-K14</f>
        <v>647.81574516207456</v>
      </c>
    </row>
    <row r="15" spans="2:14">
      <c r="B15" s="4847" t="s">
        <v>3598</v>
      </c>
      <c r="C15" s="4820">
        <v>0</v>
      </c>
      <c r="D15" s="4822">
        <f>D13</f>
        <v>400.53</v>
      </c>
      <c r="E15" s="4822">
        <f t="shared" ref="E15:J15" si="7">E13</f>
        <v>279.85000000000002</v>
      </c>
      <c r="F15" s="4822">
        <f t="shared" si="7"/>
        <v>264.69000000000005</v>
      </c>
      <c r="G15" s="4822">
        <f t="shared" si="7"/>
        <v>503.4726944021794</v>
      </c>
      <c r="H15" s="4822">
        <f t="shared" si="7"/>
        <v>633.42269805184901</v>
      </c>
      <c r="I15" s="4822">
        <f t="shared" si="7"/>
        <v>228.85</v>
      </c>
      <c r="J15" s="4822">
        <f t="shared" si="7"/>
        <v>-20.340000000000003</v>
      </c>
      <c r="K15" s="4851">
        <f t="shared" si="4"/>
        <v>2290.4753924540282</v>
      </c>
      <c r="M15" s="1268">
        <f t="shared" si="6"/>
        <v>1233.410352708046</v>
      </c>
    </row>
    <row r="16" spans="2:14">
      <c r="B16" s="4855" t="s">
        <v>3599</v>
      </c>
      <c r="C16" s="4820">
        <f>C15</f>
        <v>0</v>
      </c>
      <c r="D16" s="4822">
        <f>D14</f>
        <v>400.53</v>
      </c>
      <c r="E16" s="4822">
        <f t="shared" ref="E16:J16" si="8">E14</f>
        <v>279.85000000000002</v>
      </c>
      <c r="F16" s="4822">
        <f t="shared" si="8"/>
        <v>264.69000000000005</v>
      </c>
      <c r="G16" s="4822">
        <f t="shared" si="8"/>
        <v>273.79999999999995</v>
      </c>
      <c r="H16" s="4822">
        <f t="shared" si="8"/>
        <v>260.98</v>
      </c>
      <c r="I16" s="4822">
        <f t="shared" si="8"/>
        <v>228.85</v>
      </c>
      <c r="J16" s="4822">
        <f t="shared" si="8"/>
        <v>-20.340000000000003</v>
      </c>
      <c r="K16" s="4851">
        <f t="shared" si="4"/>
        <v>1688.36</v>
      </c>
      <c r="M16" s="1268">
        <f t="shared" si="6"/>
        <v>1835.5257451620744</v>
      </c>
    </row>
    <row r="17" spans="2:13">
      <c r="B17" s="4855" t="s">
        <v>3600</v>
      </c>
      <c r="C17" s="4820">
        <f>C16</f>
        <v>0</v>
      </c>
      <c r="D17" s="4822">
        <f>D16</f>
        <v>400.53</v>
      </c>
      <c r="E17" s="4822">
        <f t="shared" ref="E17:F17" si="9">E16</f>
        <v>279.85000000000002</v>
      </c>
      <c r="F17" s="4822">
        <f t="shared" si="9"/>
        <v>264.69000000000005</v>
      </c>
      <c r="G17" s="4820">
        <f>0</f>
        <v>0</v>
      </c>
      <c r="H17" s="4820">
        <f>0</f>
        <v>0</v>
      </c>
      <c r="I17" s="4820">
        <f>0</f>
        <v>0</v>
      </c>
      <c r="J17" s="4820">
        <f>0</f>
        <v>0</v>
      </c>
      <c r="K17" s="4846">
        <f t="shared" si="4"/>
        <v>945.07</v>
      </c>
      <c r="M17" s="1268">
        <f t="shared" si="6"/>
        <v>2578.8157451620741</v>
      </c>
    </row>
    <row r="18" spans="2:13">
      <c r="B18" s="4847" t="s">
        <v>3596</v>
      </c>
      <c r="C18" s="4820">
        <v>0</v>
      </c>
      <c r="D18" s="4820">
        <v>0</v>
      </c>
      <c r="E18" s="4820">
        <v>0</v>
      </c>
      <c r="F18" s="4820">
        <v>0</v>
      </c>
      <c r="G18" s="4820">
        <v>0</v>
      </c>
      <c r="H18" s="4820">
        <v>0</v>
      </c>
      <c r="I18" s="4820">
        <v>0</v>
      </c>
      <c r="J18" s="4820">
        <v>0</v>
      </c>
      <c r="K18" s="4846">
        <f t="shared" si="4"/>
        <v>0</v>
      </c>
      <c r="M18" s="1268">
        <f t="shared" si="6"/>
        <v>3523.8857451620743</v>
      </c>
    </row>
    <row r="19" spans="2:13">
      <c r="B19" s="4855" t="s">
        <v>3605</v>
      </c>
      <c r="C19" s="4820">
        <f>C8</f>
        <v>1187.71</v>
      </c>
      <c r="D19" s="4887">
        <f>D16</f>
        <v>400.53</v>
      </c>
      <c r="E19" s="4887">
        <f>E16</f>
        <v>279.85000000000002</v>
      </c>
      <c r="F19" s="4887">
        <f>F16</f>
        <v>264.69000000000005</v>
      </c>
      <c r="G19" s="4887">
        <v>276.68269440217898</v>
      </c>
      <c r="H19" s="4887">
        <v>271.57269805184899</v>
      </c>
      <c r="I19" s="4887">
        <v>247.96262573929201</v>
      </c>
      <c r="J19" s="4887">
        <v>5.41709061370352</v>
      </c>
      <c r="K19" s="4851">
        <f t="shared" si="4"/>
        <v>2934.4151088070234</v>
      </c>
      <c r="M19" s="1268"/>
    </row>
    <row r="20" spans="2:13">
      <c r="B20" s="4847" t="s">
        <v>3663</v>
      </c>
      <c r="C20" s="4820">
        <v>1187.71</v>
      </c>
      <c r="D20" s="4917">
        <v>400.53</v>
      </c>
      <c r="E20" s="4917">
        <v>279.85000000000002</v>
      </c>
      <c r="F20" s="4917">
        <v>264.69000000000005</v>
      </c>
      <c r="G20" s="4820">
        <v>503.47</v>
      </c>
      <c r="H20" s="4820">
        <v>633.41999999999996</v>
      </c>
      <c r="I20" s="4820">
        <v>757.26</v>
      </c>
      <c r="J20" s="4820">
        <v>631.16999999999996</v>
      </c>
      <c r="K20" s="4851">
        <f t="shared" si="4"/>
        <v>4658.1000000000004</v>
      </c>
      <c r="M20" s="1268"/>
    </row>
    <row r="21" spans="2:13" ht="15.75" thickBot="1">
      <c r="B21" s="4848"/>
      <c r="C21" s="4850"/>
      <c r="D21" s="4850"/>
      <c r="E21" s="4850"/>
      <c r="F21" s="4850"/>
      <c r="G21" s="4850"/>
      <c r="H21" s="4850"/>
      <c r="I21" s="4850"/>
      <c r="J21" s="4850"/>
      <c r="K21" s="4849"/>
      <c r="M21" s="1268"/>
    </row>
    <row r="24" spans="2:13" ht="15.75" thickBot="1"/>
    <row r="25" spans="2:13" ht="15.75" thickBot="1">
      <c r="B25" s="4823" t="s">
        <v>3605</v>
      </c>
      <c r="C25" s="4842">
        <f>VLOOKUP($B25,$B$11:$K$21,C10,0)</f>
        <v>1187.71</v>
      </c>
      <c r="D25" s="4842">
        <f t="shared" ref="D25:J25" si="10">VLOOKUP($B25,$B$11:$K$21,D10,0)</f>
        <v>400.53</v>
      </c>
      <c r="E25" s="4842">
        <f t="shared" si="10"/>
        <v>279.85000000000002</v>
      </c>
      <c r="F25" s="4842">
        <f t="shared" si="10"/>
        <v>264.69000000000005</v>
      </c>
      <c r="G25" s="4842">
        <f t="shared" si="10"/>
        <v>276.68269440217898</v>
      </c>
      <c r="H25" s="4842">
        <f t="shared" si="10"/>
        <v>271.57269805184899</v>
      </c>
      <c r="I25" s="4842">
        <f t="shared" si="10"/>
        <v>247.96262573929201</v>
      </c>
      <c r="J25" s="4842">
        <f t="shared" si="10"/>
        <v>5.41709061370352</v>
      </c>
      <c r="K25" s="4842">
        <f>SUM(C25:J25)</f>
        <v>2934.4151088070234</v>
      </c>
    </row>
    <row r="29" spans="2:13" s="4231" customFormat="1"/>
    <row r="30" spans="2:13" s="4231" customFormat="1"/>
    <row r="31" spans="2:13" s="1428" customFormat="1" ht="28.5">
      <c r="B31" s="4442" t="s">
        <v>81</v>
      </c>
      <c r="C31" s="4442" t="s">
        <v>3389</v>
      </c>
      <c r="D31" s="4442" t="s">
        <v>2441</v>
      </c>
      <c r="E31" s="4442" t="s">
        <v>2314</v>
      </c>
      <c r="F31" s="4442" t="s">
        <v>1897</v>
      </c>
      <c r="G31" s="4442" t="s">
        <v>82</v>
      </c>
      <c r="H31" s="4442" t="s">
        <v>1845</v>
      </c>
      <c r="I31" s="4442" t="s">
        <v>2442</v>
      </c>
      <c r="J31" s="4442" t="s">
        <v>2443</v>
      </c>
      <c r="K31" s="4442" t="s">
        <v>47</v>
      </c>
    </row>
    <row r="32" spans="2:13">
      <c r="B32" s="1015" t="s">
        <v>3384</v>
      </c>
      <c r="C32" s="4443">
        <f>C5</f>
        <v>1187.71</v>
      </c>
      <c r="D32" s="4443">
        <f>C39</f>
        <v>1187.71</v>
      </c>
      <c r="E32" s="4443">
        <f t="shared" ref="E32:J32" si="11">D39</f>
        <v>1588.24</v>
      </c>
      <c r="F32" s="4443">
        <f t="shared" si="11"/>
        <v>1868.0900000000001</v>
      </c>
      <c r="G32" s="4443">
        <f t="shared" si="11"/>
        <v>2132.7800000000002</v>
      </c>
      <c r="H32" s="4443">
        <f t="shared" si="11"/>
        <v>2202.2694176380746</v>
      </c>
      <c r="I32" s="4443">
        <f t="shared" si="11"/>
        <v>2113.5315976636621</v>
      </c>
      <c r="J32" s="4443">
        <f t="shared" si="11"/>
        <v>1976.5807979751248</v>
      </c>
      <c r="K32" s="4443"/>
    </row>
    <row r="33" spans="2:11">
      <c r="B33" s="1015" t="s">
        <v>2140</v>
      </c>
      <c r="C33" s="4824">
        <v>0</v>
      </c>
      <c r="D33" s="4824">
        <f>D5</f>
        <v>400.53</v>
      </c>
      <c r="E33" s="4824">
        <f t="shared" ref="E33:F33" si="12">E5</f>
        <v>279.85000000000002</v>
      </c>
      <c r="F33" s="4824">
        <f t="shared" si="12"/>
        <v>264.69000000000005</v>
      </c>
      <c r="G33" s="4824">
        <f>'ARR Summary'!G29</f>
        <v>276.68269440217932</v>
      </c>
      <c r="H33" s="4824">
        <f>'ARR Summary'!J29</f>
        <v>271.57269805184904</v>
      </c>
      <c r="I33" s="4824">
        <f>'ARR Summary'!L29</f>
        <v>247.96262573929201</v>
      </c>
      <c r="J33" s="4824">
        <f>'ARR Summary'!N29</f>
        <v>5.41709061370352</v>
      </c>
      <c r="K33" s="4824">
        <f>SUM(C33:J33)+C32</f>
        <v>2934.4151088070239</v>
      </c>
    </row>
    <row r="34" spans="2:11">
      <c r="B34" s="1015" t="s">
        <v>3385</v>
      </c>
      <c r="C34" s="4443">
        <v>0</v>
      </c>
      <c r="D34" s="4443"/>
      <c r="E34" s="4443"/>
      <c r="F34" s="4443"/>
      <c r="G34" s="4443">
        <f>'F14'!I45/10^7</f>
        <v>502.40316674124011</v>
      </c>
      <c r="H34" s="4443">
        <f>'F14'!I98/10^7</f>
        <v>653.6036876789201</v>
      </c>
      <c r="I34" s="4443">
        <f>F14.1.1!R37</f>
        <v>665.84081930755985</v>
      </c>
      <c r="J34" s="4443">
        <f>F14.1!R37</f>
        <v>690.49653500163799</v>
      </c>
      <c r="K34" s="1015"/>
    </row>
    <row r="35" spans="2:11">
      <c r="B35" s="1015" t="s">
        <v>3386</v>
      </c>
      <c r="C35" s="4443">
        <f>C32+C33-C34</f>
        <v>1187.71</v>
      </c>
      <c r="D35" s="4443">
        <f t="shared" ref="D35:J35" si="13">D32+D33-D34</f>
        <v>1588.24</v>
      </c>
      <c r="E35" s="4443">
        <f t="shared" si="13"/>
        <v>1868.0900000000001</v>
      </c>
      <c r="F35" s="4443">
        <f t="shared" si="13"/>
        <v>2132.7800000000002</v>
      </c>
      <c r="G35" s="4443">
        <f t="shared" si="13"/>
        <v>1907.0595276609392</v>
      </c>
      <c r="H35" s="4443">
        <f t="shared" si="13"/>
        <v>1820.2384280110034</v>
      </c>
      <c r="I35" s="4443">
        <f>I32+I33-I34</f>
        <v>1695.6534040953943</v>
      </c>
      <c r="J35" s="4443">
        <f t="shared" si="13"/>
        <v>1291.5013535871904</v>
      </c>
      <c r="K35" s="1015"/>
    </row>
    <row r="36" spans="2:11">
      <c r="B36" s="1015" t="s">
        <v>3387</v>
      </c>
      <c r="C36" s="4443">
        <f>AVERAGE(C32,C35)</f>
        <v>1187.71</v>
      </c>
      <c r="D36" s="4443">
        <f t="shared" ref="D36:J36" si="14">AVERAGE(D32,D35)</f>
        <v>1387.9749999999999</v>
      </c>
      <c r="E36" s="4443">
        <f t="shared" si="14"/>
        <v>1728.165</v>
      </c>
      <c r="F36" s="4443">
        <f t="shared" si="14"/>
        <v>2000.4350000000002</v>
      </c>
      <c r="G36" s="4443">
        <f t="shared" si="14"/>
        <v>2019.9197638304697</v>
      </c>
      <c r="H36" s="4443">
        <f t="shared" si="14"/>
        <v>2011.2539228245391</v>
      </c>
      <c r="I36" s="4443">
        <f t="shared" si="14"/>
        <v>1904.5925008795282</v>
      </c>
      <c r="J36" s="4443">
        <f t="shared" si="14"/>
        <v>1634.0410757811576</v>
      </c>
      <c r="K36" s="1015"/>
    </row>
    <row r="37" spans="2:11">
      <c r="B37" s="1015" t="s">
        <v>3388</v>
      </c>
      <c r="C37" s="1015">
        <v>0</v>
      </c>
      <c r="D37" s="1015"/>
      <c r="E37" s="1015"/>
      <c r="F37" s="1015"/>
      <c r="G37" s="2644">
        <f>Assumptions!E42</f>
        <v>0.14614931506849316</v>
      </c>
      <c r="H37" s="2644">
        <f>Assumptions!F42</f>
        <v>0.14582602739726028</v>
      </c>
      <c r="I37" s="2644">
        <f>Assumptions!G42</f>
        <v>0.14749999999999999</v>
      </c>
      <c r="J37" s="2644">
        <f>Assumptions!H42</f>
        <v>0.14749999999999999</v>
      </c>
      <c r="K37" s="1015"/>
    </row>
    <row r="38" spans="2:11">
      <c r="B38" s="1015" t="s">
        <v>2270</v>
      </c>
      <c r="C38" s="1015">
        <v>0</v>
      </c>
      <c r="D38" s="1015">
        <v>0</v>
      </c>
      <c r="E38" s="1015">
        <v>0</v>
      </c>
      <c r="F38" s="1015">
        <v>0</v>
      </c>
      <c r="G38" s="1016">
        <f>G36*G37</f>
        <v>295.20988997713562</v>
      </c>
      <c r="H38" s="1016">
        <f t="shared" ref="H38:J38" si="15">H36*H37</f>
        <v>293.29316965265843</v>
      </c>
      <c r="I38" s="1016">
        <f t="shared" si="15"/>
        <v>280.9273938797304</v>
      </c>
      <c r="J38" s="1016">
        <f t="shared" si="15"/>
        <v>241.02105867772073</v>
      </c>
      <c r="K38" s="1015"/>
    </row>
    <row r="39" spans="2:11">
      <c r="B39" s="1022" t="s">
        <v>47</v>
      </c>
      <c r="C39" s="4456">
        <f>C35+C38</f>
        <v>1187.71</v>
      </c>
      <c r="D39" s="4456">
        <f t="shared" ref="D39:J39" si="16">D35+D38</f>
        <v>1588.24</v>
      </c>
      <c r="E39" s="4456">
        <f t="shared" si="16"/>
        <v>1868.0900000000001</v>
      </c>
      <c r="F39" s="4456">
        <f t="shared" si="16"/>
        <v>2132.7800000000002</v>
      </c>
      <c r="G39" s="4456">
        <f t="shared" si="16"/>
        <v>2202.2694176380746</v>
      </c>
      <c r="H39" s="4456">
        <f t="shared" si="16"/>
        <v>2113.5315976636621</v>
      </c>
      <c r="I39" s="4456">
        <f t="shared" si="16"/>
        <v>1976.5807979751248</v>
      </c>
      <c r="J39" s="4456">
        <f t="shared" si="16"/>
        <v>1532.5224122649111</v>
      </c>
      <c r="K39" s="1015"/>
    </row>
    <row r="40" spans="2:11">
      <c r="B40" s="1015" t="s">
        <v>2966</v>
      </c>
      <c r="C40" s="1015"/>
      <c r="D40" s="1016">
        <f>'SalesProjection Workings'!I27</f>
        <v>4121.1500000000005</v>
      </c>
      <c r="E40" s="1016">
        <f>'SalesProjection Workings'!J27</f>
        <v>4267.1100000000006</v>
      </c>
      <c r="F40" s="1016">
        <f>'SalesProjection Workings'!K27</f>
        <v>4286.0508832400001</v>
      </c>
      <c r="G40" s="1016">
        <f>'SalesProjection Workings'!L27</f>
        <v>4392.9450818100013</v>
      </c>
      <c r="H40" s="1016">
        <f>'SalesProjection Workings'!M27</f>
        <v>4351.5211695900007</v>
      </c>
      <c r="I40" s="1016">
        <f>'F1'!G40</f>
        <v>4418.8313277799989</v>
      </c>
      <c r="J40" s="1016">
        <f>'F1'!I40</f>
        <v>4593.6293562891042</v>
      </c>
      <c r="K40" s="1015"/>
    </row>
    <row r="41" spans="2:11" s="1427" customFormat="1" ht="14.25">
      <c r="B41" s="1022" t="s">
        <v>3390</v>
      </c>
      <c r="C41" s="1022"/>
      <c r="D41" s="1022"/>
      <c r="E41" s="1022"/>
      <c r="F41" s="1022"/>
      <c r="G41" s="4232">
        <f>G34/G40*10</f>
        <v>1.1436591111087546</v>
      </c>
      <c r="H41" s="4232">
        <f t="shared" ref="H41:J41" si="17">H34/H40*10</f>
        <v>1.5020119682435153</v>
      </c>
      <c r="I41" s="4232">
        <f t="shared" si="17"/>
        <v>1.5068256059506016</v>
      </c>
      <c r="J41" s="4232">
        <f t="shared" si="17"/>
        <v>1.5031611857327676</v>
      </c>
      <c r="K41" s="1022"/>
    </row>
    <row r="44" spans="2:11">
      <c r="B44" s="1015" t="s">
        <v>3668</v>
      </c>
      <c r="C44" s="1015"/>
      <c r="D44" s="1015"/>
      <c r="E44" s="1015"/>
    </row>
    <row r="45" spans="2:11">
      <c r="B45" s="1015" t="s">
        <v>1456</v>
      </c>
      <c r="C45" s="4942" t="s">
        <v>83</v>
      </c>
      <c r="D45" s="4942">
        <f>'F1'!I40</f>
        <v>4593.6293562891042</v>
      </c>
      <c r="E45" s="4943"/>
    </row>
    <row r="46" spans="2:11">
      <c r="B46" s="1015" t="s">
        <v>3665</v>
      </c>
      <c r="C46" s="4942" t="s">
        <v>83</v>
      </c>
      <c r="D46" s="1015">
        <f>8014.16</f>
        <v>8014.16</v>
      </c>
      <c r="E46" s="4943"/>
    </row>
    <row r="47" spans="2:11">
      <c r="B47" s="1015" t="s">
        <v>3666</v>
      </c>
      <c r="C47" s="4942" t="s">
        <v>83</v>
      </c>
      <c r="D47" s="1015">
        <v>4102.45</v>
      </c>
      <c r="E47" s="4943"/>
    </row>
    <row r="48" spans="2:11">
      <c r="B48" s="1015" t="s">
        <v>3667</v>
      </c>
      <c r="C48" s="4942" t="s">
        <v>83</v>
      </c>
      <c r="D48" s="1015">
        <v>1777.94</v>
      </c>
      <c r="E48" s="4943"/>
    </row>
    <row r="49" spans="2:5">
      <c r="B49" s="1022" t="s">
        <v>47</v>
      </c>
      <c r="C49" s="4942" t="s">
        <v>83</v>
      </c>
      <c r="D49" s="4942">
        <f>SUM(D45:D48)</f>
        <v>18488.179356289103</v>
      </c>
      <c r="E49" s="4943"/>
    </row>
    <row r="50" spans="2:5">
      <c r="B50" s="1015" t="s">
        <v>3589</v>
      </c>
      <c r="C50" s="1015" t="s">
        <v>151</v>
      </c>
      <c r="D50" s="1016">
        <f>F14.1!R37</f>
        <v>690.49653500163799</v>
      </c>
    </row>
    <row r="51" spans="2:5">
      <c r="B51" s="1015" t="s">
        <v>3669</v>
      </c>
      <c r="C51" s="1015" t="s">
        <v>3209</v>
      </c>
      <c r="D51" s="4942">
        <f>D50/D45*10</f>
        <v>1.5031611857327676</v>
      </c>
    </row>
    <row r="52" spans="2:5">
      <c r="B52" s="1015" t="s">
        <v>3670</v>
      </c>
      <c r="C52" s="1015" t="s">
        <v>3209</v>
      </c>
      <c r="D52" s="4942">
        <f>D50/D49*10</f>
        <v>0.37348000670858517</v>
      </c>
    </row>
  </sheetData>
  <dataValidations count="1">
    <dataValidation type="list" allowBlank="1" showInputMessage="1" showErrorMessage="1" sqref="B25">
      <formula1>$B$12:$B$21</formula1>
    </dataValidation>
  </dataValidations>
  <pageMargins left="0.7" right="0.7" top="0.75" bottom="0.75" header="0.3" footer="0.3"/>
  <pageSetup paperSize="9" orientation="portrait" horizontalDpi="300" r:id="rId1"/>
</worksheet>
</file>

<file path=xl/worksheets/sheet68.xml><?xml version="1.0" encoding="utf-8"?>
<worksheet xmlns="http://schemas.openxmlformats.org/spreadsheetml/2006/main" xmlns:r="http://schemas.openxmlformats.org/officeDocument/2006/relationships">
  <sheetPr>
    <pageSetUpPr fitToPage="1"/>
  </sheetPr>
  <dimension ref="B2:H20"/>
  <sheetViews>
    <sheetView showGridLines="0" view="pageBreakPreview" zoomScale="90" zoomScaleNormal="90" zoomScaleSheetLayoutView="90" workbookViewId="0">
      <selection activeCell="C4" sqref="C4:E4"/>
    </sheetView>
  </sheetViews>
  <sheetFormatPr defaultRowHeight="15"/>
  <cols>
    <col min="1" max="1" width="10.85546875" style="3507" customWidth="1"/>
    <col min="2" max="2" width="7.85546875" style="2704" customWidth="1"/>
    <col min="3" max="3" width="47.85546875" style="4231" customWidth="1"/>
    <col min="4" max="4" width="17.42578125" style="3507" customWidth="1"/>
    <col min="5" max="5" width="19.42578125" style="2171" customWidth="1"/>
    <col min="6" max="16384" width="9.140625" style="3507"/>
  </cols>
  <sheetData>
    <row r="2" spans="2:8">
      <c r="C2" s="5994" t="s">
        <v>170</v>
      </c>
      <c r="D2" s="5994"/>
      <c r="E2" s="5994"/>
    </row>
    <row r="3" spans="2:8">
      <c r="C3" s="5994" t="s">
        <v>3914</v>
      </c>
      <c r="D3" s="5994"/>
      <c r="E3" s="5994"/>
    </row>
    <row r="4" spans="2:8">
      <c r="C4" s="5994" t="s">
        <v>3923</v>
      </c>
      <c r="D4" s="5994"/>
      <c r="E4" s="5994"/>
    </row>
    <row r="6" spans="2:8" ht="24" customHeight="1">
      <c r="B6" s="4592" t="s">
        <v>575</v>
      </c>
      <c r="C6" s="4593" t="s">
        <v>81</v>
      </c>
      <c r="D6" s="4594" t="s">
        <v>2898</v>
      </c>
      <c r="E6" s="4592" t="s">
        <v>515</v>
      </c>
    </row>
    <row r="7" spans="2:8">
      <c r="B7" s="4595"/>
      <c r="C7" s="5988" t="s">
        <v>3449</v>
      </c>
      <c r="D7" s="5989"/>
      <c r="E7" s="5990"/>
    </row>
    <row r="8" spans="2:8">
      <c r="B8" s="4574">
        <v>1</v>
      </c>
      <c r="C8" s="4596" t="s">
        <v>3450</v>
      </c>
      <c r="D8" s="4597" t="s">
        <v>151</v>
      </c>
      <c r="E8" s="4572">
        <v>296.60000000000002</v>
      </c>
    </row>
    <row r="9" spans="2:8">
      <c r="B9" s="4574">
        <v>2</v>
      </c>
      <c r="C9" s="4596" t="s">
        <v>3451</v>
      </c>
      <c r="D9" s="4597" t="s">
        <v>89</v>
      </c>
      <c r="E9" s="4598">
        <v>0.1457</v>
      </c>
    </row>
    <row r="10" spans="2:8">
      <c r="B10" s="4574">
        <v>3</v>
      </c>
      <c r="C10" s="4596" t="s">
        <v>3693</v>
      </c>
      <c r="D10" s="4597" t="s">
        <v>151</v>
      </c>
      <c r="E10" s="4573">
        <f>E8*E9*10/12</f>
        <v>36.012183333333333</v>
      </c>
      <c r="H10" s="4992"/>
    </row>
    <row r="11" spans="2:8">
      <c r="B11" s="4575">
        <v>4</v>
      </c>
      <c r="C11" s="4599" t="s">
        <v>47</v>
      </c>
      <c r="D11" s="4600" t="s">
        <v>151</v>
      </c>
      <c r="E11" s="3692">
        <f>E8+E10</f>
        <v>332.61218333333335</v>
      </c>
    </row>
    <row r="12" spans="2:8">
      <c r="B12" s="4574"/>
      <c r="C12" s="4596"/>
      <c r="D12" s="4597"/>
      <c r="E12" s="4572"/>
    </row>
    <row r="13" spans="2:8">
      <c r="B13" s="4574"/>
      <c r="C13" s="5991" t="s">
        <v>3452</v>
      </c>
      <c r="D13" s="5992"/>
      <c r="E13" s="5993"/>
    </row>
    <row r="14" spans="2:8">
      <c r="B14" s="4997">
        <v>5</v>
      </c>
      <c r="C14" s="4601" t="s">
        <v>3453</v>
      </c>
      <c r="D14" s="4597" t="s">
        <v>151</v>
      </c>
      <c r="E14" s="4998">
        <f>0-'F14'!K145/10^7</f>
        <v>78.649640454999997</v>
      </c>
    </row>
    <row r="15" spans="2:8">
      <c r="B15" s="4997">
        <v>6</v>
      </c>
      <c r="C15" s="4601" t="s">
        <v>3454</v>
      </c>
      <c r="D15" s="4597" t="s">
        <v>151</v>
      </c>
      <c r="E15" s="4998">
        <f>E8-E14</f>
        <v>217.95035954500003</v>
      </c>
    </row>
    <row r="16" spans="2:8">
      <c r="B16" s="4997">
        <v>7</v>
      </c>
      <c r="C16" s="3422" t="s">
        <v>3713</v>
      </c>
      <c r="D16" s="4597" t="s">
        <v>151</v>
      </c>
      <c r="E16" s="4998">
        <f>SUM(E14:E15)</f>
        <v>296.60000000000002</v>
      </c>
    </row>
    <row r="17" spans="3:5">
      <c r="C17" s="3507"/>
      <c r="E17" s="3507"/>
    </row>
    <row r="18" spans="3:5">
      <c r="C18" s="3507"/>
      <c r="E18" s="3507"/>
    </row>
    <row r="19" spans="3:5">
      <c r="C19" s="3507"/>
      <c r="E19" s="3507"/>
    </row>
    <row r="20" spans="3:5">
      <c r="C20" s="3507"/>
      <c r="E20" s="3507"/>
    </row>
  </sheetData>
  <mergeCells count="5">
    <mergeCell ref="C7:E7"/>
    <mergeCell ref="C13:E13"/>
    <mergeCell ref="C2:E2"/>
    <mergeCell ref="C4:E4"/>
    <mergeCell ref="C3:E3"/>
  </mergeCells>
  <pageMargins left="0.43" right="0.7" top="0.37" bottom="0.75" header="0.3" footer="0.3"/>
  <pageSetup paperSize="9" orientation="landscape" horizontalDpi="300" r:id="rId1"/>
</worksheet>
</file>

<file path=xl/worksheets/sheet69.xml><?xml version="1.0" encoding="utf-8"?>
<worksheet xmlns="http://schemas.openxmlformats.org/spreadsheetml/2006/main" xmlns:r="http://schemas.openxmlformats.org/officeDocument/2006/relationships">
  <sheetPr>
    <pageSetUpPr fitToPage="1"/>
  </sheetPr>
  <dimension ref="A2:S36"/>
  <sheetViews>
    <sheetView showGridLines="0" view="pageBreakPreview" zoomScale="60" zoomScaleNormal="90" workbookViewId="0">
      <selection activeCell="C49" sqref="C49"/>
    </sheetView>
  </sheetViews>
  <sheetFormatPr defaultRowHeight="15"/>
  <cols>
    <col min="1" max="1" width="14.140625" style="3507" customWidth="1"/>
    <col min="2" max="2" width="14.140625" style="2704" customWidth="1"/>
    <col min="3" max="3" width="13.85546875" style="2704" customWidth="1"/>
    <col min="4" max="4" width="17.28515625" style="3507" customWidth="1"/>
    <col min="5" max="8" width="19.28515625" style="3507" customWidth="1"/>
    <col min="9" max="9" width="17" style="3507" customWidth="1"/>
    <col min="10" max="10" width="9.140625" style="3507"/>
    <col min="11" max="12" width="0" style="3507" hidden="1" customWidth="1"/>
    <col min="13" max="13" width="12.5703125" style="3507" hidden="1" customWidth="1"/>
    <col min="14" max="15" width="12.42578125" style="3507" hidden="1" customWidth="1"/>
    <col min="16" max="16" width="9.5703125" style="3507" hidden="1" customWidth="1"/>
    <col min="17" max="18" width="0" style="3507" hidden="1" customWidth="1"/>
    <col min="19" max="19" width="11.85546875" style="3507" hidden="1" customWidth="1"/>
    <col min="20" max="16384" width="9.140625" style="3507"/>
  </cols>
  <sheetData>
    <row r="2" spans="1:19">
      <c r="A2" s="5994" t="s">
        <v>170</v>
      </c>
      <c r="B2" s="5994"/>
      <c r="C2" s="5994"/>
      <c r="D2" s="5994"/>
      <c r="E2" s="5994"/>
      <c r="F2" s="5994"/>
      <c r="G2" s="5994"/>
      <c r="H2" s="5994"/>
    </row>
    <row r="3" spans="1:19">
      <c r="A3" s="5994" t="s">
        <v>3509</v>
      </c>
      <c r="B3" s="5994"/>
      <c r="C3" s="5994"/>
      <c r="D3" s="5994"/>
      <c r="E3" s="5994"/>
      <c r="F3" s="5994"/>
      <c r="G3" s="5994"/>
      <c r="H3" s="5994"/>
    </row>
    <row r="4" spans="1:19">
      <c r="A4" s="5994" t="s">
        <v>3755</v>
      </c>
      <c r="B4" s="5994"/>
      <c r="C4" s="5994"/>
      <c r="D4" s="5994"/>
      <c r="E4" s="5994"/>
      <c r="F4" s="5994"/>
      <c r="G4" s="5994"/>
      <c r="H4" s="5994"/>
      <c r="K4" s="3507" t="s">
        <v>3767</v>
      </c>
    </row>
    <row r="6" spans="1:19" ht="71.25">
      <c r="A6" s="5190" t="s">
        <v>1</v>
      </c>
      <c r="B6" s="5191" t="s">
        <v>3077</v>
      </c>
      <c r="C6" s="5191" t="s">
        <v>2155</v>
      </c>
      <c r="D6" s="5192" t="s">
        <v>3753</v>
      </c>
      <c r="E6" s="5192" t="s">
        <v>3761</v>
      </c>
      <c r="F6" s="5192" t="s">
        <v>3757</v>
      </c>
      <c r="G6" s="5192" t="s">
        <v>3758</v>
      </c>
      <c r="H6" s="5192" t="s">
        <v>3759</v>
      </c>
      <c r="I6" s="5192" t="s">
        <v>3760</v>
      </c>
      <c r="K6" s="4711" t="s">
        <v>1</v>
      </c>
      <c r="L6" s="5173" t="s">
        <v>2</v>
      </c>
      <c r="M6" s="5172" t="s">
        <v>3762</v>
      </c>
      <c r="N6" s="5172" t="s">
        <v>3763</v>
      </c>
      <c r="O6" s="5172" t="s">
        <v>3765</v>
      </c>
      <c r="P6" s="5172" t="s">
        <v>3764</v>
      </c>
      <c r="Q6" s="5172" t="s">
        <v>3766</v>
      </c>
      <c r="R6" s="5172" t="s">
        <v>3768</v>
      </c>
      <c r="S6" s="5172" t="s">
        <v>3769</v>
      </c>
    </row>
    <row r="7" spans="1:19">
      <c r="A7" s="5193"/>
      <c r="B7" s="5194"/>
      <c r="C7" s="5194"/>
      <c r="D7" s="5195"/>
      <c r="E7" s="5195" t="s">
        <v>233</v>
      </c>
      <c r="F7" s="5195"/>
      <c r="G7" s="5195" t="s">
        <v>234</v>
      </c>
      <c r="H7" s="5196" t="s">
        <v>1116</v>
      </c>
      <c r="I7" s="5196" t="s">
        <v>3205</v>
      </c>
      <c r="K7" s="5175" t="s">
        <v>1989</v>
      </c>
      <c r="L7" s="5176"/>
      <c r="M7" s="5177"/>
      <c r="N7" s="5177"/>
      <c r="O7" s="3422"/>
      <c r="P7" s="3422"/>
      <c r="Q7" s="3422"/>
      <c r="R7" s="3422"/>
      <c r="S7" s="3422"/>
    </row>
    <row r="8" spans="1:19">
      <c r="A8" s="4223" t="s">
        <v>14</v>
      </c>
      <c r="B8" s="4223" t="s">
        <v>15</v>
      </c>
      <c r="C8" s="5302">
        <v>5.0000473283962926E-2</v>
      </c>
      <c r="D8" s="5197">
        <v>0.09</v>
      </c>
      <c r="E8" s="5198">
        <f>C8*D8/10</f>
        <v>4.5000425955566629E-4</v>
      </c>
      <c r="F8" s="5198">
        <v>-1.3017908059652503E-2</v>
      </c>
      <c r="G8" s="5198">
        <f>C8*F8/10</f>
        <v>-6.509015641497406E-5</v>
      </c>
      <c r="H8" s="5197">
        <f>S8</f>
        <v>-3.1152778233195109E-4</v>
      </c>
      <c r="I8" s="5303">
        <f>E8+G8+H8</f>
        <v>7.3386320808741163E-5</v>
      </c>
      <c r="K8" s="5178" t="s">
        <v>14</v>
      </c>
      <c r="L8" s="5179"/>
      <c r="M8" s="1016">
        <f>27005/(10^6)</f>
        <v>2.7005000000000001E-2</v>
      </c>
      <c r="N8" s="1016">
        <f>48749/(10^6)</f>
        <v>4.8749000000000001E-2</v>
      </c>
      <c r="O8" s="4011">
        <f>'F1'!I11</f>
        <v>5.0000473283962926E-2</v>
      </c>
      <c r="P8" s="4011">
        <f>M8/N8*O8</f>
        <v>2.7698266242044328E-2</v>
      </c>
      <c r="Q8" s="4011">
        <f>'[106]Proportionate FAC (June-15)'!$J12</f>
        <v>0.10217755443886098</v>
      </c>
      <c r="R8" s="4011">
        <f t="shared" ref="R8:R27" si="0">$R$34*Q8</f>
        <v>-0.11247194304857622</v>
      </c>
      <c r="S8" s="4011">
        <f>P8*R8/10</f>
        <v>-3.1152778233195109E-4</v>
      </c>
    </row>
    <row r="9" spans="1:19">
      <c r="A9" s="4224" t="s">
        <v>3018</v>
      </c>
      <c r="B9" s="4225" t="s">
        <v>17</v>
      </c>
      <c r="C9" s="5304">
        <v>740.70916312206168</v>
      </c>
      <c r="D9" s="5197">
        <v>0.38</v>
      </c>
      <c r="E9" s="5198">
        <f t="shared" ref="E9:E27" si="1">C9*D9/10</f>
        <v>28.146948198638341</v>
      </c>
      <c r="F9" s="5198">
        <v>-8.7349968006057391E-2</v>
      </c>
      <c r="G9" s="5198">
        <f t="shared" ref="G9:G27" si="2">C9*F9/10</f>
        <v>-6.4700921700505631</v>
      </c>
      <c r="H9" s="5197">
        <f t="shared" ref="H9:H27" si="3">S9</f>
        <v>-11.905898980848942</v>
      </c>
      <c r="I9" s="5303">
        <f t="shared" ref="I9:I27" si="4">E9+G9+H9</f>
        <v>9.7709570477388361</v>
      </c>
      <c r="K9" s="4058" t="s">
        <v>1917</v>
      </c>
      <c r="L9" s="5180" t="s">
        <v>17</v>
      </c>
      <c r="M9" s="1016">
        <f>298382092/(10^6)</f>
        <v>298.382092</v>
      </c>
      <c r="N9" s="1016">
        <f>706793745/(10^6)</f>
        <v>706.79374499999994</v>
      </c>
      <c r="O9" s="4011">
        <f>'F1'!I12</f>
        <v>740.70916312206168</v>
      </c>
      <c r="P9" s="4011">
        <f t="shared" ref="P9:P33" si="5">M9/N9*O9</f>
        <v>312.69992302482819</v>
      </c>
      <c r="Q9" s="4011">
        <f>'[106]Proportionate FAC (June-15)'!$J13</f>
        <v>0.34589614740368507</v>
      </c>
      <c r="R9" s="4011">
        <f t="shared" si="0"/>
        <v>-0.38074518425460629</v>
      </c>
      <c r="S9" s="4011">
        <f t="shared" ref="S9:S33" si="6">P9*R9/10</f>
        <v>-11.905898980848942</v>
      </c>
    </row>
    <row r="10" spans="1:19">
      <c r="A10" s="4224"/>
      <c r="B10" s="4225" t="s">
        <v>18</v>
      </c>
      <c r="C10" s="5304">
        <v>638.93612398134803</v>
      </c>
      <c r="D10" s="5197">
        <v>0.73</v>
      </c>
      <c r="E10" s="5198">
        <f t="shared" si="1"/>
        <v>46.642337050638403</v>
      </c>
      <c r="F10" s="5198">
        <v>-8.7349968006057391E-2</v>
      </c>
      <c r="G10" s="5198">
        <f t="shared" si="2"/>
        <v>-5.5811049987685069</v>
      </c>
      <c r="H10" s="5197">
        <f t="shared" si="3"/>
        <v>-23.704239288148145</v>
      </c>
      <c r="I10" s="5303">
        <f t="shared" si="4"/>
        <v>17.356992763721749</v>
      </c>
      <c r="K10" s="4058"/>
      <c r="L10" s="5180" t="s">
        <v>18</v>
      </c>
      <c r="M10" s="1016">
        <f>282336391/(10^6)</f>
        <v>282.33639099999999</v>
      </c>
      <c r="N10" s="1016">
        <f>609680666/(10^6)</f>
        <v>609.68066599999997</v>
      </c>
      <c r="O10" s="4011">
        <f>'F1'!I13</f>
        <v>638.93612398134803</v>
      </c>
      <c r="P10" s="4011">
        <f t="shared" si="5"/>
        <v>295.88427087242155</v>
      </c>
      <c r="Q10" s="4011">
        <f>'[106]Proportionate FAC (June-15)'!$J14</f>
        <v>0.72780569514237858</v>
      </c>
      <c r="R10" s="4011">
        <f t="shared" si="0"/>
        <v>-0.8011321189279732</v>
      </c>
      <c r="S10" s="4011">
        <f t="shared" si="6"/>
        <v>-23.704239288148145</v>
      </c>
    </row>
    <row r="11" spans="1:19">
      <c r="A11" s="4224"/>
      <c r="B11" s="4225" t="s">
        <v>19</v>
      </c>
      <c r="C11" s="5304">
        <v>195.47247711742492</v>
      </c>
      <c r="D11" s="5197">
        <v>1.05</v>
      </c>
      <c r="E11" s="5198">
        <f t="shared" si="1"/>
        <v>20.524610097329617</v>
      </c>
      <c r="F11" s="5198">
        <v>-8.7349968006057391E-2</v>
      </c>
      <c r="G11" s="5198">
        <f t="shared" si="2"/>
        <v>-1.7074514622271852</v>
      </c>
      <c r="H11" s="5197">
        <f t="shared" si="3"/>
        <v>-10.697174800438216</v>
      </c>
      <c r="I11" s="5303">
        <f t="shared" si="4"/>
        <v>8.1199838346642146</v>
      </c>
      <c r="K11" s="4058"/>
      <c r="L11" s="5180" t="s">
        <v>19</v>
      </c>
      <c r="M11" s="1016">
        <f>95202859/(10^6)</f>
        <v>95.202859000000004</v>
      </c>
      <c r="N11" s="1016">
        <f>186522229/(10^6)</f>
        <v>186.52222900000001</v>
      </c>
      <c r="O11" s="4011">
        <f>'F1'!I14</f>
        <v>195.47247711742492</v>
      </c>
      <c r="P11" s="4011">
        <f t="shared" si="5"/>
        <v>99.77115744950126</v>
      </c>
      <c r="Q11" s="4011">
        <f>'[106]Proportionate FAC (June-15)'!$J15</f>
        <v>0.97403685092127312</v>
      </c>
      <c r="R11" s="4011">
        <f t="shared" si="0"/>
        <v>-1.0721710636515913</v>
      </c>
      <c r="S11" s="4011">
        <f t="shared" si="6"/>
        <v>-10.697174800438216</v>
      </c>
    </row>
    <row r="12" spans="1:19">
      <c r="A12" s="4224"/>
      <c r="B12" s="4225" t="s">
        <v>20</v>
      </c>
      <c r="C12" s="5304">
        <v>359.99730133356655</v>
      </c>
      <c r="D12" s="5197">
        <v>1.34</v>
      </c>
      <c r="E12" s="5198">
        <f t="shared" si="1"/>
        <v>48.239638378697919</v>
      </c>
      <c r="F12" s="5198">
        <v>-8.7349968006057391E-2</v>
      </c>
      <c r="G12" s="5198">
        <f t="shared" si="2"/>
        <v>-3.1445752753754039</v>
      </c>
      <c r="H12" s="5197">
        <f t="shared" si="3"/>
        <v>-23.245968725152842</v>
      </c>
      <c r="I12" s="5303">
        <f t="shared" si="4"/>
        <v>21.849094378169674</v>
      </c>
      <c r="K12" s="4058"/>
      <c r="L12" s="5180" t="s">
        <v>20</v>
      </c>
      <c r="M12" s="1016">
        <f>170160539/(10^6)</f>
        <v>170.160539</v>
      </c>
      <c r="N12" s="1016">
        <f>343513829/(10^6)</f>
        <v>343.51382899999999</v>
      </c>
      <c r="O12" s="4011">
        <f>'F1'!I15</f>
        <v>359.99730133356655</v>
      </c>
      <c r="P12" s="4011">
        <f t="shared" si="5"/>
        <v>178.3256732684992</v>
      </c>
      <c r="Q12" s="4011">
        <f>'[106]Proportionate FAC (June-15)'!$J16</f>
        <v>1.1842546063651593</v>
      </c>
      <c r="R12" s="4011">
        <f t="shared" si="0"/>
        <v>-1.3035682579564489</v>
      </c>
      <c r="S12" s="4011">
        <f t="shared" si="6"/>
        <v>-23.245968725152842</v>
      </c>
    </row>
    <row r="13" spans="1:19">
      <c r="A13" s="4224" t="s">
        <v>1991</v>
      </c>
      <c r="B13" s="4225" t="s">
        <v>3096</v>
      </c>
      <c r="C13" s="5304">
        <v>557.25224670732882</v>
      </c>
      <c r="D13" s="5197">
        <v>1.1000000000000001</v>
      </c>
      <c r="E13" s="5198">
        <f t="shared" si="1"/>
        <v>61.297747137806176</v>
      </c>
      <c r="F13" s="5198">
        <v>-0.16261590662026268</v>
      </c>
      <c r="G13" s="5198">
        <f t="shared" si="2"/>
        <v>-9.0618079314490565</v>
      </c>
      <c r="H13" s="5197">
        <f t="shared" si="3"/>
        <v>-26.824800327255154</v>
      </c>
      <c r="I13" s="5303">
        <f t="shared" si="4"/>
        <v>25.411138879101962</v>
      </c>
      <c r="K13" s="4058" t="s">
        <v>21</v>
      </c>
      <c r="L13" s="5180" t="s">
        <v>25</v>
      </c>
      <c r="M13" s="1016">
        <f>238746295/(10^6)</f>
        <v>238.746295</v>
      </c>
      <c r="N13" s="1016">
        <f>542734035/(10^6)</f>
        <v>542.73403499999995</v>
      </c>
      <c r="O13" s="4011">
        <f>'F1'!I17</f>
        <v>557.25224670732882</v>
      </c>
      <c r="P13" s="4011">
        <f t="shared" si="5"/>
        <v>245.13279194255932</v>
      </c>
      <c r="Q13" s="4011">
        <f>'[106]Proportionate FAC (June-15)'!$J17</f>
        <v>0.9941373534338358</v>
      </c>
      <c r="R13" s="4011">
        <f t="shared" si="0"/>
        <v>-1.0942966917922947</v>
      </c>
      <c r="S13" s="4011">
        <f t="shared" si="6"/>
        <v>-26.824800327255154</v>
      </c>
    </row>
    <row r="14" spans="1:19">
      <c r="A14" s="4224"/>
      <c r="B14" s="4225" t="s">
        <v>20</v>
      </c>
      <c r="C14" s="5304">
        <v>353.68963760997781</v>
      </c>
      <c r="D14" s="5197">
        <v>2.5</v>
      </c>
      <c r="E14" s="5198">
        <f t="shared" si="1"/>
        <v>88.422409402494452</v>
      </c>
      <c r="F14" s="5198">
        <v>-0.16261590662026268</v>
      </c>
      <c r="G14" s="5198">
        <f t="shared" si="2"/>
        <v>-5.7515561082138698</v>
      </c>
      <c r="H14" s="5197">
        <f t="shared" si="3"/>
        <v>-24.510605707577138</v>
      </c>
      <c r="I14" s="5303">
        <f t="shared" si="4"/>
        <v>58.160247586703434</v>
      </c>
      <c r="K14" s="4058"/>
      <c r="L14" s="5180" t="s">
        <v>26</v>
      </c>
      <c r="M14" s="1016">
        <f>163474391/(10^6)</f>
        <v>163.474391</v>
      </c>
      <c r="N14" s="1016">
        <f>344474886/(10^6)</f>
        <v>344.47488600000003</v>
      </c>
      <c r="O14" s="4011">
        <f>'F1'!I18</f>
        <v>353.68963760997781</v>
      </c>
      <c r="P14" s="4011">
        <f t="shared" si="5"/>
        <v>167.84735393250645</v>
      </c>
      <c r="Q14" s="4011">
        <f>'[106]Proportionate FAC (June-15)'!$J18</f>
        <v>1.3266331658291457</v>
      </c>
      <c r="R14" s="4011">
        <f t="shared" si="0"/>
        <v>-1.4602914572864321</v>
      </c>
      <c r="S14" s="4011">
        <f t="shared" si="6"/>
        <v>-24.510605707577138</v>
      </c>
    </row>
    <row r="15" spans="1:19">
      <c r="A15" s="4224" t="s">
        <v>1992</v>
      </c>
      <c r="B15" s="4224" t="s">
        <v>28</v>
      </c>
      <c r="C15" s="5305">
        <v>240.61024998912467</v>
      </c>
      <c r="D15" s="5197">
        <v>1.58</v>
      </c>
      <c r="E15" s="5198">
        <f t="shared" si="1"/>
        <v>38.016419498281699</v>
      </c>
      <c r="F15" s="5198">
        <v>-0.13226744372444585</v>
      </c>
      <c r="G15" s="5198">
        <f t="shared" si="2"/>
        <v>-3.1824902699961397</v>
      </c>
      <c r="H15" s="5197">
        <f t="shared" si="3"/>
        <v>-14.702028032661399</v>
      </c>
      <c r="I15" s="5303">
        <f t="shared" si="4"/>
        <v>20.131901195624163</v>
      </c>
      <c r="K15" s="4058" t="s">
        <v>27</v>
      </c>
      <c r="L15" s="5181" t="s">
        <v>28</v>
      </c>
      <c r="M15" s="1016">
        <f>105987430/(10^6)</f>
        <v>105.98743</v>
      </c>
      <c r="N15" s="1016">
        <f>234587961/(10^6)</f>
        <v>234.58796100000001</v>
      </c>
      <c r="O15" s="4011">
        <f>'F1'!I20</f>
        <v>240.61024998912467</v>
      </c>
      <c r="P15" s="4011">
        <f t="shared" si="5"/>
        <v>108.70831529161401</v>
      </c>
      <c r="Q15" s="4011">
        <f>'[106]Proportionate FAC (June-15)'!$J19</f>
        <v>1.2286432160804019</v>
      </c>
      <c r="R15" s="4011">
        <f t="shared" si="0"/>
        <v>-1.3524290201005023</v>
      </c>
      <c r="S15" s="4011">
        <f t="shared" si="6"/>
        <v>-14.702028032661399</v>
      </c>
    </row>
    <row r="16" spans="1:19">
      <c r="A16" s="4224" t="s">
        <v>1993</v>
      </c>
      <c r="B16" s="4224" t="s">
        <v>28</v>
      </c>
      <c r="C16" s="5305">
        <v>474.79038926628346</v>
      </c>
      <c r="D16" s="5197">
        <v>1.61</v>
      </c>
      <c r="E16" s="5198">
        <f t="shared" si="1"/>
        <v>76.441252671871638</v>
      </c>
      <c r="F16" s="5198">
        <v>-0.13698096207505742</v>
      </c>
      <c r="G16" s="5198">
        <f t="shared" si="2"/>
        <v>-6.5037244305686528</v>
      </c>
      <c r="H16" s="5197">
        <f t="shared" si="3"/>
        <v>-29.787555952512218</v>
      </c>
      <c r="I16" s="5303">
        <f t="shared" si="4"/>
        <v>40.149972288790764</v>
      </c>
      <c r="K16" s="4058" t="s">
        <v>29</v>
      </c>
      <c r="L16" s="5181" t="s">
        <v>28</v>
      </c>
      <c r="M16" s="1016">
        <f>207524955/(10^6)</f>
        <v>207.52495500000001</v>
      </c>
      <c r="N16" s="1016">
        <f>462906752/(10^6)</f>
        <v>462.90675199999998</v>
      </c>
      <c r="O16" s="4011">
        <f>'F1'!I21</f>
        <v>474.79038926628346</v>
      </c>
      <c r="P16" s="4011">
        <f t="shared" si="5"/>
        <v>212.85248863018953</v>
      </c>
      <c r="Q16" s="4011">
        <f>'[106]Proportionate FAC (June-15)'!$J20</f>
        <v>1.2713567839195981</v>
      </c>
      <c r="R16" s="4011">
        <f t="shared" si="0"/>
        <v>-1.3994459798994974</v>
      </c>
      <c r="S16" s="4011">
        <f t="shared" si="6"/>
        <v>-29.787555952512218</v>
      </c>
    </row>
    <row r="17" spans="1:19">
      <c r="A17" s="4224" t="s">
        <v>3022</v>
      </c>
      <c r="B17" s="4225" t="s">
        <v>25</v>
      </c>
      <c r="C17" s="5304">
        <v>21.323338722833718</v>
      </c>
      <c r="D17" s="5197">
        <v>1.04</v>
      </c>
      <c r="E17" s="5198">
        <f t="shared" si="1"/>
        <v>2.2176272271747068</v>
      </c>
      <c r="F17" s="5198">
        <v>-0.15867267747348757</v>
      </c>
      <c r="G17" s="5198">
        <f t="shared" si="2"/>
        <v>-0.33834312478261225</v>
      </c>
      <c r="H17" s="5197">
        <f t="shared" si="3"/>
        <v>-0.87364819260239501</v>
      </c>
      <c r="I17" s="5303">
        <f t="shared" si="4"/>
        <v>1.0056359097896994</v>
      </c>
      <c r="K17" s="4058" t="s">
        <v>2226</v>
      </c>
      <c r="L17" s="5180" t="s">
        <v>25</v>
      </c>
      <c r="M17" s="1016">
        <f>8858486/(10^6)</f>
        <v>8.8584859999999992</v>
      </c>
      <c r="N17" s="1016">
        <f>20789632/(10^6)</f>
        <v>20.789632000000001</v>
      </c>
      <c r="O17" s="4011">
        <f>'F1'!I22</f>
        <v>21.323338722833718</v>
      </c>
      <c r="P17" s="4011">
        <f t="shared" si="5"/>
        <v>9.0858990457108781</v>
      </c>
      <c r="Q17" s="4011">
        <f>'[106]Proportionate FAC (June-15)'!$J21</f>
        <v>0.87353433835845895</v>
      </c>
      <c r="R17" s="4011">
        <f t="shared" si="0"/>
        <v>-0.96154292294807364</v>
      </c>
      <c r="S17" s="4011">
        <f t="shared" si="6"/>
        <v>-0.87364819260239501</v>
      </c>
    </row>
    <row r="18" spans="1:19">
      <c r="A18" s="4224"/>
      <c r="B18" s="4225" t="s">
        <v>20</v>
      </c>
      <c r="C18" s="5304">
        <v>23.412585970123601</v>
      </c>
      <c r="D18" s="5197">
        <v>2.16</v>
      </c>
      <c r="E18" s="5198">
        <f t="shared" si="1"/>
        <v>5.0571185695466978</v>
      </c>
      <c r="F18" s="5198">
        <v>-0.15867267747348757</v>
      </c>
      <c r="G18" s="5198">
        <f t="shared" si="2"/>
        <v>-0.37149377024577224</v>
      </c>
      <c r="H18" s="5197">
        <f t="shared" si="3"/>
        <v>-1.3118464536753094</v>
      </c>
      <c r="I18" s="5303">
        <f t="shared" si="4"/>
        <v>3.3737783456256163</v>
      </c>
      <c r="K18" s="4058"/>
      <c r="L18" s="5180" t="s">
        <v>26</v>
      </c>
      <c r="M18" s="1016">
        <f>10038809/(10^6)</f>
        <v>10.038809000000001</v>
      </c>
      <c r="N18" s="1016">
        <f>22826587/(10^6)</f>
        <v>22.826587</v>
      </c>
      <c r="O18" s="4011">
        <f>'F1'!I23</f>
        <v>23.412585970123601</v>
      </c>
      <c r="P18" s="4011">
        <f t="shared" si="5"/>
        <v>10.296523030365886</v>
      </c>
      <c r="Q18" s="4011">
        <f>'[106]Proportionate FAC (June-15)'!$J22</f>
        <v>1.1574539363484089</v>
      </c>
      <c r="R18" s="4011">
        <f t="shared" si="0"/>
        <v>-1.2740674204355109</v>
      </c>
      <c r="S18" s="4011">
        <f t="shared" si="6"/>
        <v>-1.3118464536753094</v>
      </c>
    </row>
    <row r="19" spans="1:19">
      <c r="A19" s="4224" t="s">
        <v>1995</v>
      </c>
      <c r="B19" s="4224" t="s">
        <v>28</v>
      </c>
      <c r="C19" s="5305">
        <v>53.444546787552618</v>
      </c>
      <c r="D19" s="5197">
        <v>1.28</v>
      </c>
      <c r="E19" s="5198">
        <f t="shared" si="1"/>
        <v>6.8409019888067348</v>
      </c>
      <c r="F19" s="5198">
        <v>-0.12934316704605042</v>
      </c>
      <c r="G19" s="5198">
        <f t="shared" si="2"/>
        <v>-0.69126869428428761</v>
      </c>
      <c r="H19" s="5197">
        <f t="shared" si="3"/>
        <v>-2.7082243141202897</v>
      </c>
      <c r="I19" s="5303">
        <f t="shared" si="4"/>
        <v>3.4414089804021573</v>
      </c>
      <c r="K19" s="4058" t="s">
        <v>2227</v>
      </c>
      <c r="L19" s="5181" t="s">
        <v>28</v>
      </c>
      <c r="M19" s="1016">
        <f>22306264/(10^6)</f>
        <v>22.306263999999999</v>
      </c>
      <c r="N19" s="1016">
        <f>52106871/(10^6)</f>
        <v>52.106870999999998</v>
      </c>
      <c r="O19" s="4011">
        <f>'F1'!I25</f>
        <v>53.444546787552618</v>
      </c>
      <c r="P19" s="4011">
        <f t="shared" si="5"/>
        <v>22.878905355946255</v>
      </c>
      <c r="Q19" s="4011">
        <f>'[106]Proportionate FAC (June-15)'!$J23</f>
        <v>1.0753768844221105</v>
      </c>
      <c r="R19" s="4011">
        <f t="shared" si="0"/>
        <v>-1.183721105527638</v>
      </c>
      <c r="S19" s="4011">
        <f t="shared" si="6"/>
        <v>-2.7082243141202897</v>
      </c>
    </row>
    <row r="20" spans="1:19">
      <c r="A20" s="4224" t="s">
        <v>1996</v>
      </c>
      <c r="B20" s="4224" t="s">
        <v>28</v>
      </c>
      <c r="C20" s="5305">
        <v>48.920121922597481</v>
      </c>
      <c r="D20" s="5197">
        <v>1.24</v>
      </c>
      <c r="E20" s="5198">
        <f t="shared" si="1"/>
        <v>6.066095118402087</v>
      </c>
      <c r="F20" s="5198">
        <v>-0.12794292373048644</v>
      </c>
      <c r="G20" s="5198">
        <f t="shared" si="2"/>
        <v>-0.62589834280289869</v>
      </c>
      <c r="H20" s="5197">
        <f t="shared" si="3"/>
        <v>-2.3833391150649286</v>
      </c>
      <c r="I20" s="5303">
        <f t="shared" si="4"/>
        <v>3.0568576605342601</v>
      </c>
      <c r="K20" s="4058" t="s">
        <v>2228</v>
      </c>
      <c r="L20" s="5181" t="s">
        <v>28</v>
      </c>
      <c r="M20" s="1016">
        <f>20180440/(10^6)</f>
        <v>20.180440000000001</v>
      </c>
      <c r="N20" s="1016">
        <f>47695689/(10^6)</f>
        <v>47.695689000000002</v>
      </c>
      <c r="O20" s="4011">
        <f>'F1'!I26</f>
        <v>48.920121922597481</v>
      </c>
      <c r="P20" s="4011">
        <f t="shared" si="5"/>
        <v>20.698507683821553</v>
      </c>
      <c r="Q20" s="4011">
        <f>'[106]Proportionate FAC (June-15)'!$J24</f>
        <v>1.0460636515912898</v>
      </c>
      <c r="R20" s="4011">
        <f t="shared" si="0"/>
        <v>-1.1514545644891121</v>
      </c>
      <c r="S20" s="4011">
        <f t="shared" si="6"/>
        <v>-2.3833391150649286</v>
      </c>
    </row>
    <row r="21" spans="1:19">
      <c r="A21" s="4224" t="s">
        <v>3023</v>
      </c>
      <c r="B21" s="4224" t="s">
        <v>28</v>
      </c>
      <c r="C21" s="5305">
        <v>1.6412256112723016</v>
      </c>
      <c r="D21" s="5197">
        <v>2.29</v>
      </c>
      <c r="E21" s="5198">
        <f t="shared" si="1"/>
        <v>0.3758406649813571</v>
      </c>
      <c r="F21" s="5198">
        <v>-0.381061433730776</v>
      </c>
      <c r="G21" s="5198">
        <f t="shared" si="2"/>
        <v>-6.2540778450709239E-2</v>
      </c>
      <c r="H21" s="5197">
        <f t="shared" si="3"/>
        <v>-0.13792754249786388</v>
      </c>
      <c r="I21" s="5303">
        <f t="shared" si="4"/>
        <v>0.17537234403278401</v>
      </c>
      <c r="K21" s="4058" t="s">
        <v>33</v>
      </c>
      <c r="L21" s="5181"/>
      <c r="M21" s="1016">
        <f>665150/(10^6)</f>
        <v>0.66515000000000002</v>
      </c>
      <c r="N21" s="1016">
        <f>1600147/(10^6)</f>
        <v>1.600147</v>
      </c>
      <c r="O21" s="4011">
        <f>'F1'!I27</f>
        <v>1.6412256112723016</v>
      </c>
      <c r="P21" s="4011">
        <f t="shared" si="5"/>
        <v>0.68222558011093448</v>
      </c>
      <c r="Q21" s="4011">
        <f>'[106]Proportionate FAC (June-15)'!$J25</f>
        <v>1.8366834170854272</v>
      </c>
      <c r="R21" s="4011">
        <f t="shared" si="0"/>
        <v>-2.0217292713567838</v>
      </c>
      <c r="S21" s="4011">
        <f t="shared" si="6"/>
        <v>-0.13792754249786388</v>
      </c>
    </row>
    <row r="22" spans="1:19">
      <c r="A22" s="4224" t="s">
        <v>3024</v>
      </c>
      <c r="B22" s="4224" t="s">
        <v>28</v>
      </c>
      <c r="C22" s="5305">
        <v>30.785385876232155</v>
      </c>
      <c r="D22" s="5197">
        <v>1.1200000000000001</v>
      </c>
      <c r="E22" s="5198">
        <f t="shared" si="1"/>
        <v>3.447963218138002</v>
      </c>
      <c r="F22" s="5198">
        <v>-5.5272312363151818E-2</v>
      </c>
      <c r="G22" s="5198">
        <f t="shared" si="2"/>
        <v>-0.17015794643712659</v>
      </c>
      <c r="H22" s="5197">
        <f t="shared" si="3"/>
        <v>-1.3648369438450292</v>
      </c>
      <c r="I22" s="5303">
        <f t="shared" si="4"/>
        <v>1.9129683278558463</v>
      </c>
      <c r="K22" s="4058" t="s">
        <v>3607</v>
      </c>
      <c r="L22" s="5181" t="s">
        <v>28</v>
      </c>
      <c r="M22" s="1016">
        <f>11839216.8/(10^6)</f>
        <v>11.839216800000001</v>
      </c>
      <c r="N22" s="1016">
        <f>29985994.78/(10^6)</f>
        <v>29.985994780000002</v>
      </c>
      <c r="O22" s="4011">
        <f>'F1'!I28</f>
        <v>30.785385876232155</v>
      </c>
      <c r="P22" s="4011">
        <f t="shared" si="5"/>
        <v>12.154836293891012</v>
      </c>
      <c r="Q22" s="4011">
        <f>'[106]Proportionate FAC (June-15)'!$J26</f>
        <v>1.0201005025125629</v>
      </c>
      <c r="R22" s="4011">
        <f t="shared" si="0"/>
        <v>-1.1228756281407035</v>
      </c>
      <c r="S22" s="4011">
        <f t="shared" si="6"/>
        <v>-1.3648369438450292</v>
      </c>
    </row>
    <row r="23" spans="1:19">
      <c r="A23" s="4224" t="s">
        <v>1999</v>
      </c>
      <c r="B23" s="4224" t="s">
        <v>28</v>
      </c>
      <c r="C23" s="5305">
        <v>2.3273066915796381</v>
      </c>
      <c r="D23" s="5197">
        <v>0.72</v>
      </c>
      <c r="E23" s="5198">
        <f t="shared" si="1"/>
        <v>0.16756608179373395</v>
      </c>
      <c r="F23" s="5198">
        <v>-3.3674690840596262</v>
      </c>
      <c r="G23" s="5198">
        <f t="shared" si="2"/>
        <v>-0.78371333330195225</v>
      </c>
      <c r="H23" s="5197">
        <f t="shared" si="3"/>
        <v>-4.1191001987760942E-3</v>
      </c>
      <c r="I23" s="5303">
        <f t="shared" si="4"/>
        <v>-0.6202663517069944</v>
      </c>
      <c r="K23" s="4058" t="s">
        <v>36</v>
      </c>
      <c r="L23" s="5181" t="s">
        <v>28</v>
      </c>
      <c r="M23" s="1016">
        <f>67122/(10^6)</f>
        <v>6.7122000000000001E-2</v>
      </c>
      <c r="N23" s="1016">
        <f>2269056/(10^6)</f>
        <v>2.269056</v>
      </c>
      <c r="O23" s="4011">
        <f>'F1'!I29</f>
        <v>2.3273066915796381</v>
      </c>
      <c r="P23" s="4011">
        <f t="shared" si="5"/>
        <v>6.8845140777578195E-2</v>
      </c>
      <c r="Q23" s="4011">
        <f>'[106]Proportionate FAC (June-15)'!$J27</f>
        <v>0.54355108877721947</v>
      </c>
      <c r="R23" s="4011">
        <f t="shared" si="0"/>
        <v>-0.59831386097152428</v>
      </c>
      <c r="S23" s="4011">
        <f t="shared" si="6"/>
        <v>-4.1191001987760942E-3</v>
      </c>
    </row>
    <row r="24" spans="1:19">
      <c r="A24" s="4224" t="s">
        <v>2000</v>
      </c>
      <c r="B24" s="4224" t="s">
        <v>28</v>
      </c>
      <c r="C24" s="5305">
        <v>37.300932574388348</v>
      </c>
      <c r="D24" s="5197">
        <v>1.89</v>
      </c>
      <c r="E24" s="5198">
        <f t="shared" si="1"/>
        <v>7.049876256559398</v>
      </c>
      <c r="F24" s="5198">
        <v>2.4939551359284967E-2</v>
      </c>
      <c r="G24" s="5198">
        <f t="shared" si="2"/>
        <v>9.3026852368818386E-2</v>
      </c>
      <c r="H24" s="5197">
        <f t="shared" si="3"/>
        <v>-2.6029061243780616</v>
      </c>
      <c r="I24" s="5303">
        <f t="shared" si="4"/>
        <v>4.5399969845501547</v>
      </c>
      <c r="K24" s="4058" t="s">
        <v>37</v>
      </c>
      <c r="L24" s="5181" t="s">
        <v>28</v>
      </c>
      <c r="M24" s="1016">
        <f>16135659/(10^6)</f>
        <v>16.135659</v>
      </c>
      <c r="N24" s="1016">
        <f>36367319/(10^6)</f>
        <v>36.367319000000002</v>
      </c>
      <c r="O24" s="4011">
        <f>'F1'!I30</f>
        <v>37.300932574388348</v>
      </c>
      <c r="P24" s="4011">
        <f t="shared" si="5"/>
        <v>16.549889982330633</v>
      </c>
      <c r="Q24" s="4011">
        <f>'[106]Proportionate FAC (June-15)'!$J28</f>
        <v>1.4288107202680067</v>
      </c>
      <c r="R24" s="4011">
        <f t="shared" si="0"/>
        <v>-1.5727634003350082</v>
      </c>
      <c r="S24" s="4011">
        <f t="shared" si="6"/>
        <v>-2.6029061243780616</v>
      </c>
    </row>
    <row r="25" spans="1:19">
      <c r="A25" s="4224" t="s">
        <v>2001</v>
      </c>
      <c r="B25" s="4224" t="s">
        <v>28</v>
      </c>
      <c r="C25" s="5305">
        <v>1.2308820278524386</v>
      </c>
      <c r="D25" s="5197">
        <v>0.55000000000000004</v>
      </c>
      <c r="E25" s="5198">
        <f t="shared" si="1"/>
        <v>6.7698511531884137E-2</v>
      </c>
      <c r="F25" s="5198">
        <v>-8.7432300008166153E-2</v>
      </c>
      <c r="G25" s="5198">
        <f t="shared" si="2"/>
        <v>-1.0761884673385434E-2</v>
      </c>
      <c r="H25" s="5197">
        <f t="shared" si="3"/>
        <v>-3.5539046971336662E-2</v>
      </c>
      <c r="I25" s="5303">
        <f t="shared" si="4"/>
        <v>2.1397579887162045E-2</v>
      </c>
      <c r="K25" s="4058" t="s">
        <v>38</v>
      </c>
      <c r="L25" s="5181" t="s">
        <v>28</v>
      </c>
      <c r="M25" s="1016">
        <f>576455/(10^6)</f>
        <v>0.57645500000000005</v>
      </c>
      <c r="N25" s="1016">
        <f>1200074/(10^6)</f>
        <v>1.2000740000000001</v>
      </c>
      <c r="O25" s="4011">
        <f>'F1'!I31</f>
        <v>1.2308820278524386</v>
      </c>
      <c r="P25" s="4011">
        <f t="shared" si="5"/>
        <v>0.59125362216469779</v>
      </c>
      <c r="Q25" s="4011">
        <f>'[106]Proportionate FAC (June-15)'!$J29</f>
        <v>0.54606365159128978</v>
      </c>
      <c r="R25" s="4011">
        <f t="shared" si="0"/>
        <v>-0.60107956448911215</v>
      </c>
      <c r="S25" s="4011">
        <f t="shared" si="6"/>
        <v>-3.5539046971336662E-2</v>
      </c>
    </row>
    <row r="26" spans="1:19">
      <c r="A26" s="4226" t="s">
        <v>2002</v>
      </c>
      <c r="B26" s="4224" t="s">
        <v>28</v>
      </c>
      <c r="C26" s="5305">
        <v>12.779773157416724</v>
      </c>
      <c r="D26" s="5197">
        <v>1.51</v>
      </c>
      <c r="E26" s="5198">
        <f t="shared" si="1"/>
        <v>1.9297457467699253</v>
      </c>
      <c r="F26" s="5198">
        <v>-0.16884136340377409</v>
      </c>
      <c r="G26" s="5198">
        <f t="shared" si="2"/>
        <v>-0.21577543238891944</v>
      </c>
      <c r="H26" s="5197">
        <f t="shared" si="3"/>
        <v>-0.63653235511501505</v>
      </c>
      <c r="I26" s="5303">
        <f t="shared" si="4"/>
        <v>1.0774379592659908</v>
      </c>
      <c r="K26" s="4058" t="s">
        <v>39</v>
      </c>
      <c r="L26" s="5181" t="s">
        <v>28</v>
      </c>
      <c r="M26" s="1016">
        <f>5397011/(10^6)</f>
        <v>5.397011</v>
      </c>
      <c r="N26" s="1016">
        <f>12446819/(10^6)</f>
        <v>12.446819</v>
      </c>
      <c r="O26" s="4011">
        <f>'F1'!I32</f>
        <v>12.779773157416724</v>
      </c>
      <c r="P26" s="4011">
        <f t="shared" si="5"/>
        <v>5.5413818026985684</v>
      </c>
      <c r="Q26" s="4011">
        <f>'[106]Proportionate FAC (June-15)'!$J30</f>
        <v>1.0435510887772195</v>
      </c>
      <c r="R26" s="4011">
        <f t="shared" si="0"/>
        <v>-1.1486888609715242</v>
      </c>
      <c r="S26" s="4011">
        <f t="shared" si="6"/>
        <v>-0.63653235511501505</v>
      </c>
    </row>
    <row r="27" spans="1:19">
      <c r="A27" s="4226" t="s">
        <v>2003</v>
      </c>
      <c r="B27" s="4224" t="s">
        <v>28</v>
      </c>
      <c r="C27" s="5305">
        <v>75.891669968670342</v>
      </c>
      <c r="D27" s="5197">
        <v>1.42</v>
      </c>
      <c r="E27" s="5198">
        <f t="shared" si="1"/>
        <v>10.776617135551188</v>
      </c>
      <c r="F27" s="5198">
        <v>-0.1263582689030838</v>
      </c>
      <c r="G27" s="5198">
        <f t="shared" si="2"/>
        <v>-0.95895400414053356</v>
      </c>
      <c r="H27" s="5197">
        <f t="shared" si="3"/>
        <v>-3.8657498825347831</v>
      </c>
      <c r="I27" s="5303">
        <f t="shared" si="4"/>
        <v>5.9519132488758713</v>
      </c>
      <c r="K27" s="5182" t="s">
        <v>40</v>
      </c>
      <c r="L27" s="5183" t="s">
        <v>28</v>
      </c>
      <c r="M27" s="1016">
        <f>31716705/(10^6)</f>
        <v>31.716705000000001</v>
      </c>
      <c r="N27" s="1016">
        <f>73992160/(10^6)</f>
        <v>73.992159999999998</v>
      </c>
      <c r="O27" s="4011">
        <f>'F1'!I33</f>
        <v>75.891669968670342</v>
      </c>
      <c r="P27" s="4011">
        <f t="shared" si="5"/>
        <v>32.530929065372284</v>
      </c>
      <c r="Q27" s="4011">
        <f>'[106]Proportionate FAC (June-15)'!$J31</f>
        <v>1.0795644891122278</v>
      </c>
      <c r="R27" s="4011">
        <f t="shared" si="0"/>
        <v>-1.1883306113902847</v>
      </c>
      <c r="S27" s="4011">
        <f t="shared" si="6"/>
        <v>-3.8657498825347831</v>
      </c>
    </row>
    <row r="28" spans="1:19">
      <c r="A28" s="4224" t="s">
        <v>3097</v>
      </c>
      <c r="B28" s="4224"/>
      <c r="C28" s="5306">
        <f>SUM(C8:C27)</f>
        <v>3870.5653589109193</v>
      </c>
      <c r="D28" s="5197"/>
      <c r="E28" s="5197"/>
      <c r="F28" s="5197"/>
      <c r="G28" s="5197"/>
      <c r="H28" s="5197"/>
      <c r="I28" s="5307"/>
      <c r="K28" s="5184" t="s">
        <v>3197</v>
      </c>
      <c r="L28" s="5185"/>
      <c r="M28" s="5186"/>
      <c r="N28" s="5186"/>
      <c r="O28" s="3422"/>
      <c r="P28" s="3422"/>
      <c r="Q28" s="3422"/>
      <c r="R28" s="4011"/>
      <c r="S28" s="4011"/>
    </row>
    <row r="29" spans="1:19">
      <c r="A29" s="5199" t="s">
        <v>2004</v>
      </c>
      <c r="B29" s="4224"/>
      <c r="C29" s="5305"/>
      <c r="D29" s="5197"/>
      <c r="E29" s="5197"/>
      <c r="F29" s="5197"/>
      <c r="G29" s="5197"/>
      <c r="H29" s="5197"/>
      <c r="I29" s="5307"/>
      <c r="K29" s="5187" t="s">
        <v>2231</v>
      </c>
      <c r="L29" s="5188" t="s">
        <v>28</v>
      </c>
      <c r="M29" s="1016">
        <f>80449238/(10^6)</f>
        <v>80.449237999999994</v>
      </c>
      <c r="N29" s="1016">
        <f>185399430/(10^6)</f>
        <v>185.39943</v>
      </c>
      <c r="O29" s="4011">
        <f>'F1'!I35</f>
        <v>197.20559168255826</v>
      </c>
      <c r="P29" s="5174">
        <f t="shared" si="5"/>
        <v>85.57221335686387</v>
      </c>
      <c r="Q29" s="4011">
        <f>'[106]Proportionate FAC (June-15)'!$J33</f>
        <v>1.0234505862646568</v>
      </c>
      <c r="R29" s="4011">
        <f>$R$34*Q29</f>
        <v>-1.1265632328308208</v>
      </c>
      <c r="S29" s="4011">
        <f t="shared" si="6"/>
        <v>-9.6402509319797307</v>
      </c>
    </row>
    <row r="30" spans="1:19">
      <c r="A30" s="4228" t="s">
        <v>3027</v>
      </c>
      <c r="B30" s="4224" t="s">
        <v>28</v>
      </c>
      <c r="C30" s="5305">
        <v>197.20559168255826</v>
      </c>
      <c r="D30" s="5197">
        <v>1.1299999999999999</v>
      </c>
      <c r="E30" s="5198">
        <f t="shared" ref="E30:E34" si="7">C30*D30/10</f>
        <v>22.284231860129083</v>
      </c>
      <c r="F30" s="5198">
        <v>-0.18559833625162711</v>
      </c>
      <c r="G30" s="5198">
        <f>C30*F30/10</f>
        <v>-3.660102971580053</v>
      </c>
      <c r="H30" s="5197">
        <f>S29</f>
        <v>-9.6402509319797307</v>
      </c>
      <c r="I30" s="5303">
        <f t="shared" ref="I30:I34" si="8">E30+G30+H30</f>
        <v>8.9838779565692999</v>
      </c>
      <c r="K30" s="4058" t="s">
        <v>2232</v>
      </c>
      <c r="L30" s="5181" t="s">
        <v>28</v>
      </c>
      <c r="M30" s="1016">
        <f>157114451/(10^6)</f>
        <v>157.114451</v>
      </c>
      <c r="N30" s="1016">
        <f>358008795/(10^6)</f>
        <v>358.00879500000002</v>
      </c>
      <c r="O30" s="4011">
        <f>'F1'!I36</f>
        <v>376.30713842443834</v>
      </c>
      <c r="P30" s="5174">
        <f t="shared" si="5"/>
        <v>165.1447961241752</v>
      </c>
      <c r="Q30" s="4011">
        <f>'[106]Proportionate FAC (June-15)'!$J34</f>
        <v>1.102177554438861</v>
      </c>
      <c r="R30" s="4011">
        <f t="shared" ref="R30:R32" si="9">$R$34*Q30</f>
        <v>-1.2132219430485762</v>
      </c>
      <c r="S30" s="4011">
        <f t="shared" si="6"/>
        <v>-20.035729043813284</v>
      </c>
    </row>
    <row r="31" spans="1:19">
      <c r="A31" s="4228" t="s">
        <v>3028</v>
      </c>
      <c r="B31" s="4224" t="s">
        <v>28</v>
      </c>
      <c r="C31" s="5305">
        <v>376.30713842443834</v>
      </c>
      <c r="D31" s="5197">
        <v>1.19</v>
      </c>
      <c r="E31" s="5198">
        <f t="shared" si="7"/>
        <v>44.780549472508156</v>
      </c>
      <c r="F31" s="5198">
        <v>-0.19104615935482813</v>
      </c>
      <c r="G31" s="5198">
        <f>C31*F31/10</f>
        <v>-7.1892033533794617</v>
      </c>
      <c r="H31" s="5197">
        <f t="shared" ref="H31:H34" si="10">S30</f>
        <v>-20.035729043813284</v>
      </c>
      <c r="I31" s="5303">
        <f t="shared" si="8"/>
        <v>17.555617075315411</v>
      </c>
      <c r="K31" s="4058" t="s">
        <v>2233</v>
      </c>
      <c r="L31" s="5181" t="s">
        <v>28</v>
      </c>
      <c r="M31" s="1016">
        <f>14478617/(10^6)</f>
        <v>14.478617</v>
      </c>
      <c r="N31" s="1016">
        <f>33186438/(10^6)</f>
        <v>33.186438000000003</v>
      </c>
      <c r="O31" s="4011">
        <f>'F1'!I37</f>
        <v>34.54054419494873</v>
      </c>
      <c r="P31" s="5174">
        <f t="shared" si="5"/>
        <v>15.069387994283568</v>
      </c>
      <c r="Q31" s="4011">
        <f>'[106]Proportionate FAC (June-15)'!$J35</f>
        <v>0.7470686767169179</v>
      </c>
      <c r="R31" s="4011">
        <f t="shared" si="9"/>
        <v>-0.82233584589614728</v>
      </c>
      <c r="S31" s="4011">
        <f t="shared" si="6"/>
        <v>-1.2392097923416423</v>
      </c>
    </row>
    <row r="32" spans="1:19">
      <c r="A32" s="4228" t="s">
        <v>43</v>
      </c>
      <c r="B32" s="4224" t="s">
        <v>28</v>
      </c>
      <c r="C32" s="5305">
        <v>34.54054419494873</v>
      </c>
      <c r="D32" s="5197">
        <v>0.66</v>
      </c>
      <c r="E32" s="5198">
        <f t="shared" si="7"/>
        <v>2.2796759168666165</v>
      </c>
      <c r="F32" s="5198">
        <v>-0.12907922085521803</v>
      </c>
      <c r="G32" s="5198">
        <f>C32*F32/10</f>
        <v>-0.44584665325992062</v>
      </c>
      <c r="H32" s="5197">
        <f t="shared" si="10"/>
        <v>-1.2392097923416423</v>
      </c>
      <c r="I32" s="5303">
        <f t="shared" si="8"/>
        <v>0.59461947126505366</v>
      </c>
      <c r="K32" s="4058" t="s">
        <v>2234</v>
      </c>
      <c r="L32" s="5181" t="s">
        <v>28</v>
      </c>
      <c r="M32" s="1016">
        <f>7213456/(10^6)</f>
        <v>7.2134559999999999</v>
      </c>
      <c r="N32" s="1016">
        <f>11373238/(10^6)</f>
        <v>11.373238000000001</v>
      </c>
      <c r="O32" s="4011">
        <f>'F1'!I38</f>
        <v>11.665209189340334</v>
      </c>
      <c r="P32" s="5174">
        <f t="shared" si="5"/>
        <v>7.3986382082307749</v>
      </c>
      <c r="Q32" s="4011">
        <f>'[106]Proportionate FAC (June-15)'!$J36</f>
        <v>1.3408710217755446</v>
      </c>
      <c r="R32" s="4011">
        <f t="shared" si="9"/>
        <v>-1.4759637772194305</v>
      </c>
      <c r="S32" s="4011">
        <f t="shared" si="6"/>
        <v>-1.0920121996100294</v>
      </c>
    </row>
    <row r="33" spans="1:19">
      <c r="A33" s="4228" t="s">
        <v>44</v>
      </c>
      <c r="B33" s="4224" t="s">
        <v>28</v>
      </c>
      <c r="C33" s="5305">
        <v>11.665209189340334</v>
      </c>
      <c r="D33" s="5197">
        <v>1.68</v>
      </c>
      <c r="E33" s="5198">
        <f t="shared" si="7"/>
        <v>1.959755143809176</v>
      </c>
      <c r="F33" s="5198">
        <v>-0.13784682075588323</v>
      </c>
      <c r="G33" s="5198">
        <f>C33*F33/10</f>
        <v>-0.16080120002028792</v>
      </c>
      <c r="H33" s="5197">
        <f t="shared" si="10"/>
        <v>-1.0920121996100294</v>
      </c>
      <c r="I33" s="5303">
        <f t="shared" si="8"/>
        <v>0.7069417441788588</v>
      </c>
      <c r="K33" s="4058" t="s">
        <v>2235</v>
      </c>
      <c r="L33" s="5181" t="s">
        <v>28</v>
      </c>
      <c r="M33" s="1016">
        <f>39790996/(10^6)</f>
        <v>39.790996</v>
      </c>
      <c r="N33" s="1016">
        <f>98320226/(10^6)</f>
        <v>98.320226000000005</v>
      </c>
      <c r="O33" s="4011">
        <f>'F1'!I39</f>
        <v>103.34551388689785</v>
      </c>
      <c r="P33" s="5174">
        <f t="shared" si="5"/>
        <v>41.824770924463664</v>
      </c>
      <c r="Q33" s="4011">
        <f>'[106]Proportionate FAC (June-15)'!$J37</f>
        <v>1.0083752093802345</v>
      </c>
      <c r="R33" s="4011">
        <f>$R$34*Q33</f>
        <v>-1.1099690117252929</v>
      </c>
      <c r="S33" s="4011">
        <f t="shared" si="6"/>
        <v>-4.6424199648663702</v>
      </c>
    </row>
    <row r="34" spans="1:19">
      <c r="A34" s="4228" t="s">
        <v>3098</v>
      </c>
      <c r="B34" s="4224" t="s">
        <v>28</v>
      </c>
      <c r="C34" s="5305">
        <v>103.34551388689785</v>
      </c>
      <c r="D34" s="5197">
        <v>1.17</v>
      </c>
      <c r="E34" s="5198">
        <f t="shared" si="7"/>
        <v>12.091425124767047</v>
      </c>
      <c r="F34" s="5198">
        <v>-0.18253784658713049</v>
      </c>
      <c r="G34" s="5198">
        <f>C34*F34/10</f>
        <v>-1.8864467559354723</v>
      </c>
      <c r="H34" s="5197">
        <f t="shared" si="10"/>
        <v>-4.6424199648663702</v>
      </c>
      <c r="I34" s="5303">
        <f t="shared" si="8"/>
        <v>5.5625584039652054</v>
      </c>
      <c r="K34" s="5189" t="s">
        <v>47</v>
      </c>
      <c r="L34" s="5180"/>
      <c r="M34" s="1016">
        <f>SUM(M8:M33)</f>
        <v>1988.6700327999997</v>
      </c>
      <c r="N34" s="1016">
        <f>SUM(N8:N33)</f>
        <v>4418.8313277799989</v>
      </c>
      <c r="O34" s="1016">
        <f>SUM(O8:O33)</f>
        <v>4593.6293562891024</v>
      </c>
      <c r="P34" s="1016">
        <f>SUM(P8:P33)</f>
        <v>2067.338675889569</v>
      </c>
      <c r="Q34" s="3422"/>
      <c r="R34" s="4011">
        <v>-1.1007499999999999</v>
      </c>
      <c r="S34" s="1016">
        <f>SUM(S8:S33)</f>
        <v>-217.95287434599123</v>
      </c>
    </row>
    <row r="35" spans="1:19">
      <c r="A35" s="4228" t="s">
        <v>3099</v>
      </c>
      <c r="B35" s="4224" t="s">
        <v>28</v>
      </c>
      <c r="C35" s="5306">
        <f>SUM(C30:C34)</f>
        <v>723.06399737818356</v>
      </c>
      <c r="D35" s="5197"/>
      <c r="E35" s="5197"/>
      <c r="F35" s="5197"/>
      <c r="G35" s="5197"/>
      <c r="H35" s="5197"/>
      <c r="I35" s="5307"/>
      <c r="M35" s="5171"/>
      <c r="N35" s="5171"/>
      <c r="P35" s="5171">
        <f>P34/O34</f>
        <v>0.45004472837130222</v>
      </c>
    </row>
    <row r="36" spans="1:19">
      <c r="A36" s="4229" t="s">
        <v>47</v>
      </c>
      <c r="B36" s="4230"/>
      <c r="C36" s="5308">
        <f>SUM(C8:C35)-C28-C35</f>
        <v>4593.6293562891024</v>
      </c>
      <c r="D36" s="5200"/>
      <c r="E36" s="5200">
        <f>SUM(E8:E27,E30:E34)</f>
        <v>535.12450047735365</v>
      </c>
      <c r="F36" s="5200"/>
      <c r="G36" s="5200">
        <f>SUM(G8:G27,G30:G34)</f>
        <v>-58.88114913012037</v>
      </c>
      <c r="H36" s="5200">
        <f>SUM(H8:H27,H30:H34)</f>
        <v>-217.95287434599123</v>
      </c>
      <c r="I36" s="5200">
        <f>SUM(I8:I27,I30:I34)</f>
        <v>258.29047700124198</v>
      </c>
    </row>
  </sheetData>
  <mergeCells count="3">
    <mergeCell ref="A4:H4"/>
    <mergeCell ref="A2:H2"/>
    <mergeCell ref="A3:H3"/>
  </mergeCells>
  <pageMargins left="0.7" right="0.33" top="0.51" bottom="0.5" header="0.3" footer="0.3"/>
  <pageSetup paperSize="9" scale="86" orientation="landscape" horizontalDpi="300" r:id="rId1"/>
</worksheet>
</file>

<file path=xl/worksheets/sheet7.xml><?xml version="1.0" encoding="utf-8"?>
<worksheet xmlns="http://schemas.openxmlformats.org/spreadsheetml/2006/main" xmlns:r="http://schemas.openxmlformats.org/officeDocument/2006/relationships">
  <sheetPr codeName="Sheet7"/>
  <dimension ref="B1:M56"/>
  <sheetViews>
    <sheetView topLeftCell="A37" workbookViewId="0">
      <selection activeCell="B2" sqref="B2:M56"/>
    </sheetView>
  </sheetViews>
  <sheetFormatPr defaultRowHeight="15"/>
  <cols>
    <col min="6" max="6" width="12.5703125" customWidth="1"/>
    <col min="7" max="7" width="14.140625" customWidth="1"/>
    <col min="9" max="9" width="15.85546875" customWidth="1"/>
    <col min="10" max="10" width="12.28515625" customWidth="1"/>
    <col min="11" max="11" width="13.85546875" customWidth="1"/>
    <col min="12" max="12" width="15.5703125" customWidth="1"/>
    <col min="13" max="13" width="21.28515625" customWidth="1"/>
  </cols>
  <sheetData>
    <row r="1" spans="2:13" ht="15.75" thickBot="1"/>
    <row r="2" spans="2:13">
      <c r="B2" s="5405" t="s">
        <v>70</v>
      </c>
      <c r="C2" s="5406"/>
      <c r="D2" s="5406"/>
      <c r="E2" s="5406"/>
      <c r="F2" s="5407"/>
    </row>
    <row r="3" spans="2:13" ht="43.5" customHeight="1">
      <c r="B3" s="7" t="s">
        <v>1</v>
      </c>
      <c r="C3" s="7" t="s">
        <v>2</v>
      </c>
      <c r="D3" s="7" t="s">
        <v>62</v>
      </c>
      <c r="E3" s="7"/>
      <c r="F3" s="7" t="s">
        <v>4</v>
      </c>
      <c r="G3" s="7" t="s">
        <v>5</v>
      </c>
      <c r="H3" s="7" t="s">
        <v>6</v>
      </c>
      <c r="I3" s="7" t="s">
        <v>7</v>
      </c>
      <c r="J3" s="7" t="s">
        <v>8</v>
      </c>
      <c r="K3" s="7" t="s">
        <v>9</v>
      </c>
      <c r="L3" s="7" t="s">
        <v>71</v>
      </c>
      <c r="M3" s="7" t="s">
        <v>11</v>
      </c>
    </row>
    <row r="4" spans="2:13">
      <c r="B4" s="1"/>
      <c r="C4" s="1"/>
      <c r="D4" s="1" t="s">
        <v>12</v>
      </c>
      <c r="E4" s="1" t="s">
        <v>13</v>
      </c>
      <c r="F4" s="1"/>
      <c r="G4" s="1"/>
      <c r="H4" s="1"/>
      <c r="I4" s="1"/>
      <c r="J4" s="1"/>
      <c r="K4" s="1"/>
      <c r="L4" s="1"/>
      <c r="M4" s="1"/>
    </row>
    <row r="5" spans="2:13">
      <c r="B5" s="1" t="s">
        <v>14</v>
      </c>
      <c r="C5" s="1" t="s">
        <v>15</v>
      </c>
      <c r="D5" s="1">
        <v>643</v>
      </c>
      <c r="E5" s="1">
        <v>0</v>
      </c>
      <c r="F5" s="1">
        <v>50879</v>
      </c>
      <c r="G5" s="1">
        <v>22390.84</v>
      </c>
      <c r="H5" s="1">
        <v>1724.4</v>
      </c>
      <c r="I5" s="1">
        <v>6117.7199999999993</v>
      </c>
      <c r="J5" s="1">
        <v>30232.959999999999</v>
      </c>
      <c r="K5" s="1">
        <v>0.59421293657501129</v>
      </c>
      <c r="L5" s="1">
        <v>3047.78</v>
      </c>
      <c r="M5" s="1">
        <v>5.9902513807268229E-2</v>
      </c>
    </row>
    <row r="6" spans="2:13">
      <c r="B6" s="1" t="s">
        <v>16</v>
      </c>
      <c r="C6" s="1" t="s">
        <v>17</v>
      </c>
      <c r="D6" s="1">
        <v>233797</v>
      </c>
      <c r="E6" s="1">
        <v>12891</v>
      </c>
      <c r="F6" s="1">
        <v>58842330</v>
      </c>
      <c r="G6" s="1">
        <v>121221727.29000001</v>
      </c>
      <c r="H6" s="5399">
        <v>62388666.469999999</v>
      </c>
      <c r="I6" s="1">
        <v>32370320.950000003</v>
      </c>
      <c r="J6" s="5399">
        <v>862425889.96000004</v>
      </c>
      <c r="K6" s="1">
        <v>5.3701379439548411</v>
      </c>
      <c r="L6" s="1">
        <v>15288582.779999999</v>
      </c>
      <c r="M6" s="1">
        <v>0.25982286527402976</v>
      </c>
    </row>
    <row r="7" spans="2:13">
      <c r="B7" s="1"/>
      <c r="C7" s="1" t="s">
        <v>18</v>
      </c>
      <c r="D7" s="1">
        <v>355438</v>
      </c>
      <c r="E7" s="1">
        <v>18919</v>
      </c>
      <c r="F7" s="1">
        <v>53856105</v>
      </c>
      <c r="G7" s="1">
        <v>205207196.22</v>
      </c>
      <c r="H7" s="5400"/>
      <c r="I7" s="1">
        <v>55502963.160000004</v>
      </c>
      <c r="J7" s="5400"/>
      <c r="K7" s="1"/>
      <c r="L7" s="1">
        <v>25820965.949999999</v>
      </c>
      <c r="M7" s="1">
        <v>0.47944362018010772</v>
      </c>
    </row>
    <row r="8" spans="2:13">
      <c r="B8" s="1"/>
      <c r="C8" s="1" t="s">
        <v>19</v>
      </c>
      <c r="D8" s="1">
        <v>60656</v>
      </c>
      <c r="E8" s="1">
        <v>16832</v>
      </c>
      <c r="F8" s="1">
        <v>16464818</v>
      </c>
      <c r="G8" s="1">
        <v>88251991.659999996</v>
      </c>
      <c r="H8" s="5400"/>
      <c r="I8" s="1">
        <v>23722950.239999998</v>
      </c>
      <c r="J8" s="5400"/>
      <c r="K8" s="1"/>
      <c r="L8" s="1">
        <v>11178392.92</v>
      </c>
      <c r="M8" s="1">
        <v>0.67892599359434158</v>
      </c>
    </row>
    <row r="9" spans="2:13">
      <c r="B9" s="1"/>
      <c r="C9" s="1" t="s">
        <v>20</v>
      </c>
      <c r="D9" s="1">
        <v>20605</v>
      </c>
      <c r="E9" s="1">
        <v>33611</v>
      </c>
      <c r="F9" s="1">
        <v>31433346</v>
      </c>
      <c r="G9" s="1">
        <v>215631988.02000001</v>
      </c>
      <c r="H9" s="5401"/>
      <c r="I9" s="1">
        <v>58128085.950000003</v>
      </c>
      <c r="J9" s="5401"/>
      <c r="K9" s="1"/>
      <c r="L9" s="1">
        <v>27318576.920000002</v>
      </c>
      <c r="M9" s="1">
        <v>0.86909541605911134</v>
      </c>
    </row>
    <row r="10" spans="2:13">
      <c r="B10" s="1" t="s">
        <v>21</v>
      </c>
      <c r="C10" s="1" t="s">
        <v>22</v>
      </c>
      <c r="D10" s="1">
        <v>176269</v>
      </c>
      <c r="E10" s="1">
        <v>13738</v>
      </c>
      <c r="F10" s="1">
        <v>-3870</v>
      </c>
      <c r="G10" s="1">
        <v>-15480</v>
      </c>
      <c r="H10" s="5399">
        <v>63044805.890000001</v>
      </c>
      <c r="I10" s="1"/>
      <c r="J10" s="5399">
        <v>746880582.19000006</v>
      </c>
      <c r="K10" s="1">
        <v>9.166270856784493</v>
      </c>
      <c r="L10" s="1"/>
      <c r="M10" s="1"/>
    </row>
    <row r="11" spans="2:13">
      <c r="B11" s="1"/>
      <c r="C11" s="1" t="s">
        <v>19</v>
      </c>
      <c r="D11" s="1">
        <v>23932</v>
      </c>
      <c r="E11" s="1">
        <v>5100</v>
      </c>
      <c r="F11" s="1">
        <v>-3717</v>
      </c>
      <c r="G11" s="1">
        <v>-22302</v>
      </c>
      <c r="H11" s="5400"/>
      <c r="I11" s="1"/>
      <c r="J11" s="5400"/>
      <c r="K11" s="1"/>
      <c r="L11" s="1"/>
      <c r="M11" s="1"/>
    </row>
    <row r="12" spans="2:13">
      <c r="B12" s="1"/>
      <c r="C12" s="1" t="s">
        <v>23</v>
      </c>
      <c r="D12" s="1">
        <v>15879</v>
      </c>
      <c r="E12" s="1">
        <v>9452</v>
      </c>
      <c r="F12" s="1">
        <v>-4198</v>
      </c>
      <c r="G12" s="1">
        <v>-28966.2</v>
      </c>
      <c r="H12" s="5400"/>
      <c r="I12" s="1"/>
      <c r="J12" s="5400"/>
      <c r="K12" s="1"/>
      <c r="L12" s="1"/>
      <c r="M12" s="1"/>
    </row>
    <row r="13" spans="2:13">
      <c r="B13" s="1"/>
      <c r="C13" s="1" t="s">
        <v>24</v>
      </c>
      <c r="D13" s="1">
        <v>3501</v>
      </c>
      <c r="E13" s="1">
        <v>14631</v>
      </c>
      <c r="F13" s="1">
        <v>50214</v>
      </c>
      <c r="G13" s="1">
        <v>381626.39999999997</v>
      </c>
      <c r="H13" s="5400"/>
      <c r="I13" s="1"/>
      <c r="J13" s="5400"/>
      <c r="K13" s="1"/>
      <c r="L13" s="1"/>
      <c r="M13" s="1"/>
    </row>
    <row r="14" spans="2:13">
      <c r="B14" s="1"/>
      <c r="C14" s="1" t="s">
        <v>25</v>
      </c>
      <c r="D14" s="1">
        <v>200201</v>
      </c>
      <c r="E14" s="1">
        <v>18838</v>
      </c>
      <c r="F14" s="1">
        <v>47404817</v>
      </c>
      <c r="G14" s="1">
        <v>260726493.5</v>
      </c>
      <c r="H14" s="5400"/>
      <c r="I14" s="1">
        <v>70159129.159999996</v>
      </c>
      <c r="J14" s="5400"/>
      <c r="K14" s="1"/>
      <c r="L14" s="1">
        <v>33116637.070000004</v>
      </c>
      <c r="M14" s="1">
        <v>0.69870406076473257</v>
      </c>
    </row>
    <row r="15" spans="2:13">
      <c r="B15" s="1"/>
      <c r="C15" s="1" t="s">
        <v>26</v>
      </c>
      <c r="D15" s="1">
        <v>19380</v>
      </c>
      <c r="E15" s="1">
        <v>24083</v>
      </c>
      <c r="F15" s="1">
        <v>34038154</v>
      </c>
      <c r="G15" s="1">
        <v>277751336.63999999</v>
      </c>
      <c r="H15" s="5401"/>
      <c r="I15" s="1">
        <v>74883938.800000012</v>
      </c>
      <c r="J15" s="5401"/>
      <c r="K15" s="1"/>
      <c r="L15" s="1">
        <v>35409119.210000001</v>
      </c>
      <c r="M15" s="1">
        <v>1.0388728612138713</v>
      </c>
    </row>
    <row r="16" spans="2:13">
      <c r="B16" s="1" t="s">
        <v>27</v>
      </c>
      <c r="C16" s="1" t="s">
        <v>28</v>
      </c>
      <c r="D16" s="1">
        <v>69</v>
      </c>
      <c r="E16" s="1">
        <v>5937</v>
      </c>
      <c r="F16" s="1">
        <v>24578870</v>
      </c>
      <c r="G16" s="1">
        <v>196624775.5</v>
      </c>
      <c r="H16" s="1">
        <v>22478340.23</v>
      </c>
      <c r="I16" s="1">
        <v>52825575.25</v>
      </c>
      <c r="J16" s="1">
        <v>271928690.98000002</v>
      </c>
      <c r="K16" s="1">
        <v>11.063514758001487</v>
      </c>
      <c r="L16" s="1">
        <v>25074374.280000001</v>
      </c>
      <c r="M16" s="1">
        <v>1.0201597664986226</v>
      </c>
    </row>
    <row r="17" spans="2:13">
      <c r="B17" s="1" t="s">
        <v>29</v>
      </c>
      <c r="C17" s="1" t="s">
        <v>28</v>
      </c>
      <c r="D17" s="1">
        <v>2</v>
      </c>
      <c r="E17" s="1">
        <v>2632</v>
      </c>
      <c r="F17" s="1">
        <v>45321087</v>
      </c>
      <c r="G17" s="1">
        <v>366647593.82999998</v>
      </c>
      <c r="H17" s="1">
        <v>35308672.130000003</v>
      </c>
      <c r="I17" s="1">
        <v>98799969.660000011</v>
      </c>
      <c r="J17" s="1">
        <v>500756235.62</v>
      </c>
      <c r="K17" s="1">
        <v>11.049078227536775</v>
      </c>
      <c r="L17" s="1">
        <v>46680719.609999999</v>
      </c>
      <c r="M17" s="1">
        <v>1.03</v>
      </c>
    </row>
    <row r="18" spans="2:13">
      <c r="B18" s="1" t="s">
        <v>30</v>
      </c>
      <c r="C18" s="1" t="s">
        <v>22</v>
      </c>
      <c r="D18" s="1">
        <v>2542</v>
      </c>
      <c r="E18" s="1">
        <v>3011</v>
      </c>
      <c r="F18" s="1">
        <v>355</v>
      </c>
      <c r="G18" s="1">
        <v>1313.5</v>
      </c>
      <c r="H18" s="5399">
        <v>3070378</v>
      </c>
      <c r="I18" s="1"/>
      <c r="J18" s="5399">
        <v>37060186.859999999</v>
      </c>
      <c r="K18" s="1">
        <v>8.7594781069695635</v>
      </c>
      <c r="L18" s="1"/>
      <c r="M18" s="1"/>
    </row>
    <row r="19" spans="2:13">
      <c r="B19" s="1"/>
      <c r="C19" s="1" t="s">
        <v>19</v>
      </c>
      <c r="D19" s="1">
        <v>225</v>
      </c>
      <c r="E19" s="1">
        <v>716</v>
      </c>
      <c r="F19" s="1">
        <v>374</v>
      </c>
      <c r="G19" s="1">
        <v>2057</v>
      </c>
      <c r="H19" s="5400"/>
      <c r="I19" s="1"/>
      <c r="J19" s="5400"/>
      <c r="K19" s="1"/>
      <c r="L19" s="1"/>
      <c r="M19" s="1"/>
    </row>
    <row r="20" spans="2:13">
      <c r="B20" s="1"/>
      <c r="C20" s="1" t="s">
        <v>23</v>
      </c>
      <c r="D20" s="1">
        <v>131</v>
      </c>
      <c r="E20" s="1">
        <v>1137</v>
      </c>
      <c r="F20" s="1">
        <v>223</v>
      </c>
      <c r="G20" s="1">
        <v>1326.8500000000001</v>
      </c>
      <c r="H20" s="5400"/>
      <c r="I20" s="1"/>
      <c r="J20" s="5400"/>
      <c r="K20" s="1"/>
      <c r="L20" s="1"/>
      <c r="M20" s="1"/>
    </row>
    <row r="21" spans="2:13">
      <c r="B21" s="1"/>
      <c r="C21" s="1" t="s">
        <v>24</v>
      </c>
      <c r="D21" s="1">
        <v>33</v>
      </c>
      <c r="E21" s="1">
        <v>1197</v>
      </c>
      <c r="F21" s="1">
        <v>4252</v>
      </c>
      <c r="G21" s="1">
        <v>27212.800000000003</v>
      </c>
      <c r="H21" s="5400"/>
      <c r="I21" s="1"/>
      <c r="J21" s="5400"/>
      <c r="K21" s="1"/>
      <c r="L21" s="1"/>
      <c r="M21" s="1"/>
    </row>
    <row r="22" spans="2:13">
      <c r="B22" s="1"/>
      <c r="C22" s="1" t="s">
        <v>25</v>
      </c>
      <c r="D22" s="1">
        <v>2767</v>
      </c>
      <c r="E22" s="1">
        <v>3727</v>
      </c>
      <c r="F22" s="1">
        <v>1934307</v>
      </c>
      <c r="G22" s="1">
        <v>10077739.470000001</v>
      </c>
      <c r="H22" s="5400"/>
      <c r="I22" s="1">
        <v>2708029.8</v>
      </c>
      <c r="J22" s="5400"/>
      <c r="K22" s="1"/>
      <c r="L22" s="1">
        <v>1276478.18</v>
      </c>
      <c r="M22" s="1">
        <v>0.6596663731320761</v>
      </c>
    </row>
    <row r="23" spans="2:13">
      <c r="B23" s="1"/>
      <c r="C23" s="1" t="s">
        <v>26</v>
      </c>
      <c r="D23" s="1">
        <v>164</v>
      </c>
      <c r="E23" s="1">
        <v>2334</v>
      </c>
      <c r="F23" s="1">
        <v>2291356</v>
      </c>
      <c r="G23" s="1">
        <v>16681071.68</v>
      </c>
      <c r="H23" s="5401"/>
      <c r="I23" s="1">
        <v>4491057.76</v>
      </c>
      <c r="J23" s="5401"/>
      <c r="K23" s="1"/>
      <c r="L23" s="1">
        <v>2112958.4300000002</v>
      </c>
      <c r="M23" s="1">
        <v>0.92034580507014674</v>
      </c>
    </row>
    <row r="24" spans="2:13">
      <c r="B24" s="1" t="s">
        <v>31</v>
      </c>
      <c r="C24" s="1" t="s">
        <v>28</v>
      </c>
      <c r="D24" s="1">
        <v>9</v>
      </c>
      <c r="E24" s="1">
        <v>1215</v>
      </c>
      <c r="F24" s="1">
        <v>4709403</v>
      </c>
      <c r="G24" s="1">
        <v>30705307.559999999</v>
      </c>
      <c r="H24" s="1">
        <v>5274602.09</v>
      </c>
      <c r="I24" s="1">
        <v>8241455.25</v>
      </c>
      <c r="J24" s="1">
        <v>44221364.899999999</v>
      </c>
      <c r="K24" s="1">
        <v>9.3900150188888052</v>
      </c>
      <c r="L24" s="1">
        <v>3908804.49</v>
      </c>
      <c r="M24" s="1">
        <v>0.83000000000000007</v>
      </c>
    </row>
    <row r="25" spans="2:13">
      <c r="B25" s="1" t="s">
        <v>32</v>
      </c>
      <c r="C25" s="1" t="s">
        <v>28</v>
      </c>
      <c r="D25" s="1">
        <v>0</v>
      </c>
      <c r="E25" s="1">
        <v>129</v>
      </c>
      <c r="F25" s="1">
        <v>4224548</v>
      </c>
      <c r="G25" s="1">
        <v>26994861.719999999</v>
      </c>
      <c r="H25" s="1">
        <v>2743031.8</v>
      </c>
      <c r="I25" s="1">
        <v>7266222.5599999996</v>
      </c>
      <c r="J25" s="1">
        <v>37004116.079999998</v>
      </c>
      <c r="K25" s="1">
        <v>8.7593077602621623</v>
      </c>
      <c r="L25" s="1">
        <v>3421883.88</v>
      </c>
      <c r="M25" s="1">
        <v>0.80999999999999994</v>
      </c>
    </row>
    <row r="26" spans="2:13">
      <c r="B26" s="1" t="s">
        <v>33</v>
      </c>
      <c r="C26" s="1" t="s">
        <v>28</v>
      </c>
      <c r="D26" s="1">
        <v>829</v>
      </c>
      <c r="E26" s="1">
        <v>162</v>
      </c>
      <c r="F26" s="1">
        <v>247902</v>
      </c>
      <c r="G26" s="1">
        <v>2912950</v>
      </c>
      <c r="H26" s="1">
        <v>792197.16</v>
      </c>
      <c r="I26" s="1">
        <v>784286.72000000009</v>
      </c>
      <c r="J26" s="1">
        <v>4489433.88</v>
      </c>
      <c r="K26" s="1">
        <v>18.109712224992133</v>
      </c>
      <c r="L26" s="1">
        <v>366716.69</v>
      </c>
      <c r="M26" s="1">
        <v>1.479280885188502</v>
      </c>
    </row>
    <row r="27" spans="2:13">
      <c r="B27" s="1" t="s">
        <v>34</v>
      </c>
      <c r="C27" s="1" t="s">
        <v>28</v>
      </c>
      <c r="D27" s="1"/>
      <c r="E27" s="1"/>
      <c r="F27" s="1">
        <v>1955982.03</v>
      </c>
      <c r="G27" s="1">
        <v>11070858.289800001</v>
      </c>
      <c r="H27" s="1">
        <v>1773313.15</v>
      </c>
      <c r="I27" s="1">
        <v>2973092.6856</v>
      </c>
      <c r="J27" s="1">
        <v>15817264.125400001</v>
      </c>
      <c r="K27" s="1">
        <v>8.0866101440614973</v>
      </c>
      <c r="L27" s="1">
        <v>1408307.06</v>
      </c>
      <c r="M27" s="1">
        <v>0.71999999918199664</v>
      </c>
    </row>
    <row r="28" spans="2:13">
      <c r="B28" s="1" t="s">
        <v>35</v>
      </c>
      <c r="C28" s="1" t="s">
        <v>28</v>
      </c>
      <c r="D28" s="1">
        <v>558</v>
      </c>
      <c r="E28" s="1">
        <v>131</v>
      </c>
      <c r="F28" s="1">
        <v>332245</v>
      </c>
      <c r="G28" s="1">
        <v>1880554.22</v>
      </c>
      <c r="H28" s="1">
        <v>215463.58</v>
      </c>
      <c r="I28" s="1">
        <v>505213.04</v>
      </c>
      <c r="J28" s="1">
        <v>2601230.84</v>
      </c>
      <c r="K28" s="1">
        <v>7.8292550376980836</v>
      </c>
      <c r="L28" s="1">
        <v>238422.23</v>
      </c>
      <c r="M28" s="1">
        <v>0.71760968562356098</v>
      </c>
    </row>
    <row r="29" spans="2:13">
      <c r="B29" s="1" t="s">
        <v>36</v>
      </c>
      <c r="C29" s="1" t="s">
        <v>28</v>
      </c>
      <c r="D29" s="1">
        <v>1</v>
      </c>
      <c r="E29" s="1">
        <v>3</v>
      </c>
      <c r="F29" s="1">
        <v>35011</v>
      </c>
      <c r="G29" s="1">
        <v>103426.69</v>
      </c>
      <c r="H29" s="1">
        <v>7078</v>
      </c>
      <c r="I29" s="1">
        <v>8345.91</v>
      </c>
      <c r="J29" s="1">
        <v>118850.6</v>
      </c>
      <c r="K29" s="1">
        <v>3.3946645340035992</v>
      </c>
      <c r="L29" s="1">
        <v>19922.8</v>
      </c>
      <c r="M29" s="1">
        <v>0.56904401473822508</v>
      </c>
    </row>
    <row r="30" spans="2:13">
      <c r="B30" s="1" t="s">
        <v>37</v>
      </c>
      <c r="C30" s="1" t="s">
        <v>28</v>
      </c>
      <c r="D30" s="1">
        <v>124</v>
      </c>
      <c r="E30" s="1">
        <v>1398</v>
      </c>
      <c r="F30" s="1">
        <v>3990562</v>
      </c>
      <c r="G30" s="1">
        <v>37267361.82</v>
      </c>
      <c r="H30" s="1">
        <v>2172656.66</v>
      </c>
      <c r="I30" s="1">
        <v>9289623.6399999987</v>
      </c>
      <c r="J30" s="1">
        <v>48729642.120000005</v>
      </c>
      <c r="K30" s="1">
        <v>12.211222910457225</v>
      </c>
      <c r="L30" s="1">
        <v>5074694.92</v>
      </c>
      <c r="M30" s="1">
        <v>1.2716742453819787</v>
      </c>
    </row>
    <row r="31" spans="2:13">
      <c r="B31" s="1" t="s">
        <v>38</v>
      </c>
      <c r="C31" s="1" t="s">
        <v>28</v>
      </c>
      <c r="D31" s="1">
        <v>7</v>
      </c>
      <c r="E31" s="1">
        <v>15</v>
      </c>
      <c r="F31" s="1">
        <v>112704</v>
      </c>
      <c r="G31" s="1">
        <v>349382.40000000002</v>
      </c>
      <c r="H31" s="1">
        <v>3300</v>
      </c>
      <c r="I31" s="1">
        <v>93544.319999999992</v>
      </c>
      <c r="J31" s="1">
        <v>446226.72000000003</v>
      </c>
      <c r="K31" s="1">
        <v>3.9592802385008521</v>
      </c>
      <c r="L31" s="1">
        <v>43954.559999999998</v>
      </c>
      <c r="M31" s="1">
        <v>0.38999999999999996</v>
      </c>
    </row>
    <row r="32" spans="2:13">
      <c r="B32" s="1" t="s">
        <v>39</v>
      </c>
      <c r="C32" s="1" t="s">
        <v>28</v>
      </c>
      <c r="D32" s="1">
        <v>0</v>
      </c>
      <c r="E32" s="1">
        <v>0</v>
      </c>
      <c r="F32" s="1">
        <v>1260549</v>
      </c>
      <c r="G32" s="1">
        <v>8571733.1999999993</v>
      </c>
      <c r="H32" s="1">
        <v>433116.67</v>
      </c>
      <c r="I32" s="1">
        <v>2306804.67</v>
      </c>
      <c r="J32" s="1">
        <v>11311654.539999999</v>
      </c>
      <c r="K32" s="1">
        <v>8.9735936802139378</v>
      </c>
      <c r="L32" s="1">
        <v>1201794.6200000001</v>
      </c>
      <c r="M32" s="1">
        <v>0.95338984839145491</v>
      </c>
    </row>
    <row r="33" spans="2:13">
      <c r="B33" s="1" t="s">
        <v>40</v>
      </c>
      <c r="C33" s="1" t="s">
        <v>28</v>
      </c>
      <c r="D33" s="1">
        <v>0</v>
      </c>
      <c r="E33" s="1">
        <v>0</v>
      </c>
      <c r="F33" s="1">
        <v>4391810</v>
      </c>
      <c r="G33" s="1">
        <v>29864308</v>
      </c>
      <c r="H33" s="1">
        <v>3412574.82</v>
      </c>
      <c r="I33" s="1">
        <v>8037012.3000000007</v>
      </c>
      <c r="J33" s="1">
        <v>41313895.120000005</v>
      </c>
      <c r="K33" s="1">
        <v>9.4070315245878131</v>
      </c>
      <c r="L33" s="1">
        <v>3776177.44</v>
      </c>
      <c r="M33" s="1">
        <v>0.85982258795348609</v>
      </c>
    </row>
    <row r="34" spans="2:13">
      <c r="B34" s="1" t="s">
        <v>41</v>
      </c>
      <c r="C34" s="1" t="s">
        <v>28</v>
      </c>
      <c r="D34" s="1">
        <v>1</v>
      </c>
      <c r="E34" s="1">
        <v>39</v>
      </c>
      <c r="F34" s="1">
        <v>15860574</v>
      </c>
      <c r="G34" s="1">
        <v>93577386.600000009</v>
      </c>
      <c r="H34" s="1">
        <v>9387642.5</v>
      </c>
      <c r="I34" s="1">
        <v>25218312.66</v>
      </c>
      <c r="J34" s="1">
        <v>128183341.76000001</v>
      </c>
      <c r="K34" s="1">
        <v>8.0818854197836725</v>
      </c>
      <c r="L34" s="1">
        <v>11895430.5</v>
      </c>
      <c r="M34" s="1">
        <v>0.75</v>
      </c>
    </row>
    <row r="35" spans="2:13">
      <c r="B35" s="1" t="s">
        <v>42</v>
      </c>
      <c r="C35" s="1" t="s">
        <v>28</v>
      </c>
      <c r="D35" s="1">
        <v>2</v>
      </c>
      <c r="E35" s="1">
        <v>100</v>
      </c>
      <c r="F35" s="1">
        <v>32757904</v>
      </c>
      <c r="G35" s="1">
        <v>208012690.39999998</v>
      </c>
      <c r="H35" s="1">
        <v>18269465.16</v>
      </c>
      <c r="I35" s="1">
        <v>56016015.839999996</v>
      </c>
      <c r="J35" s="1">
        <v>282298171.39999998</v>
      </c>
      <c r="K35" s="1">
        <v>8.6177116643360332</v>
      </c>
      <c r="L35" s="1">
        <v>26533902.239999998</v>
      </c>
      <c r="M35" s="1">
        <v>0.80999999999999994</v>
      </c>
    </row>
    <row r="36" spans="2:13">
      <c r="B36" s="1" t="s">
        <v>43</v>
      </c>
      <c r="C36" s="1" t="s">
        <v>28</v>
      </c>
      <c r="D36" s="1">
        <v>0</v>
      </c>
      <c r="E36" s="1">
        <v>9</v>
      </c>
      <c r="F36" s="1">
        <v>2815059</v>
      </c>
      <c r="G36" s="1">
        <v>9571200.5999999996</v>
      </c>
      <c r="H36" s="1">
        <v>1364497.77</v>
      </c>
      <c r="I36" s="1">
        <v>2561703.69</v>
      </c>
      <c r="J36" s="1">
        <v>13497402.059999999</v>
      </c>
      <c r="K36" s="1">
        <v>4.7947137377937725</v>
      </c>
      <c r="L36" s="1">
        <v>1210475.3700000001</v>
      </c>
      <c r="M36" s="1">
        <v>0.43000000000000005</v>
      </c>
    </row>
    <row r="37" spans="2:13">
      <c r="B37" s="1" t="s">
        <v>44</v>
      </c>
      <c r="C37" s="1" t="s">
        <v>28</v>
      </c>
      <c r="D37" s="1">
        <v>0</v>
      </c>
      <c r="E37" s="1">
        <v>3</v>
      </c>
      <c r="F37" s="1">
        <v>301329</v>
      </c>
      <c r="G37" s="1">
        <v>2606495.85</v>
      </c>
      <c r="H37" s="1">
        <v>750</v>
      </c>
      <c r="I37" s="1">
        <v>702096.57000000007</v>
      </c>
      <c r="J37" s="1">
        <v>3309342.42</v>
      </c>
      <c r="K37" s="1">
        <v>10.982488973845863</v>
      </c>
      <c r="L37" s="1">
        <v>331461.90000000002</v>
      </c>
      <c r="M37" s="1">
        <v>1.1000000000000001</v>
      </c>
    </row>
    <row r="38" spans="2:13">
      <c r="B38" s="1" t="s">
        <v>45</v>
      </c>
      <c r="C38" s="1" t="s">
        <v>28</v>
      </c>
      <c r="D38" s="1">
        <v>0</v>
      </c>
      <c r="E38" s="1">
        <v>0</v>
      </c>
      <c r="F38" s="1">
        <v>4235138</v>
      </c>
      <c r="G38" s="1">
        <v>23716772.799999997</v>
      </c>
      <c r="H38" s="1">
        <v>1647848</v>
      </c>
      <c r="I38" s="1">
        <v>6395058.3799999999</v>
      </c>
      <c r="J38" s="1">
        <v>31759679.179999996</v>
      </c>
      <c r="K38" s="1">
        <v>7.4990895644958906</v>
      </c>
      <c r="L38" s="1">
        <v>3006947.98</v>
      </c>
      <c r="M38" s="1">
        <v>0.71</v>
      </c>
    </row>
    <row r="39" spans="2:13">
      <c r="B39" s="1" t="s">
        <v>46</v>
      </c>
      <c r="C39" s="1"/>
      <c r="D39" s="1"/>
      <c r="E39" s="1"/>
      <c r="F39" s="1"/>
      <c r="G39" s="1">
        <v>-8293410.21</v>
      </c>
      <c r="H39" s="1">
        <v>560394.85</v>
      </c>
      <c r="I39" s="1">
        <v>0</v>
      </c>
      <c r="J39" s="1">
        <v>-7733015.3600000003</v>
      </c>
      <c r="K39" s="1"/>
      <c r="L39" s="1">
        <v>-727383.16</v>
      </c>
      <c r="M39" s="1"/>
    </row>
    <row r="40" spans="2:13">
      <c r="B40" s="1" t="s">
        <v>47</v>
      </c>
      <c r="C40" s="1"/>
      <c r="D40" s="1">
        <v>895253</v>
      </c>
      <c r="E40" s="1">
        <v>143008</v>
      </c>
      <c r="F40" s="1">
        <v>393490422.02999997</v>
      </c>
      <c r="G40" s="1">
        <v>2238102972.9397998</v>
      </c>
      <c r="H40" s="1">
        <v>234350519.32999998</v>
      </c>
      <c r="I40" s="1">
        <v>603996926.68560028</v>
      </c>
      <c r="J40" s="1">
        <v>3076450418.9554</v>
      </c>
      <c r="K40" s="1">
        <v>7.8183616340243454</v>
      </c>
      <c r="L40" s="1">
        <v>284991366.64999998</v>
      </c>
      <c r="M40" s="1">
        <v>0.72426506642713673</v>
      </c>
    </row>
    <row r="41" spans="2:13">
      <c r="B41" s="1"/>
      <c r="C41" s="1"/>
      <c r="D41" s="1"/>
      <c r="E41" s="1"/>
      <c r="F41" s="1"/>
      <c r="G41" s="1"/>
      <c r="H41" s="1"/>
      <c r="I41" s="1" t="s">
        <v>48</v>
      </c>
      <c r="J41" s="1">
        <v>14464655.050000001</v>
      </c>
      <c r="K41" s="1"/>
      <c r="L41" s="1"/>
      <c r="M41" s="1"/>
    </row>
    <row r="42" spans="2:13">
      <c r="B42" s="1"/>
      <c r="C42" s="1"/>
      <c r="D42" s="1"/>
      <c r="E42" s="1"/>
      <c r="F42" s="1"/>
      <c r="G42" s="1"/>
      <c r="H42" s="1"/>
      <c r="I42" s="1" t="s">
        <v>49</v>
      </c>
      <c r="J42" s="1">
        <v>284991366.64999998</v>
      </c>
      <c r="K42" s="1"/>
      <c r="L42" s="1">
        <v>0</v>
      </c>
      <c r="M42" s="1"/>
    </row>
    <row r="43" spans="2:13">
      <c r="B43" s="1"/>
      <c r="C43" s="1"/>
      <c r="D43" s="1"/>
      <c r="E43" s="1"/>
      <c r="F43" s="1"/>
      <c r="G43" s="1"/>
      <c r="H43" s="1"/>
      <c r="I43" s="1" t="s">
        <v>50</v>
      </c>
      <c r="J43" s="1">
        <v>-67163.48</v>
      </c>
      <c r="K43" s="1"/>
      <c r="L43" s="1"/>
      <c r="M43" s="1"/>
    </row>
    <row r="44" spans="2:13">
      <c r="B44" s="1"/>
      <c r="C44" s="1"/>
      <c r="D44" s="1"/>
      <c r="E44" s="1"/>
      <c r="F44" s="1"/>
      <c r="G44" s="1"/>
      <c r="H44" s="1"/>
      <c r="I44" s="1" t="s">
        <v>51</v>
      </c>
      <c r="J44" s="1">
        <v>14201383.199999999</v>
      </c>
      <c r="K44" s="1"/>
      <c r="L44" s="1"/>
      <c r="M44" s="1"/>
    </row>
    <row r="45" spans="2:13">
      <c r="B45" s="1"/>
      <c r="C45" s="1"/>
      <c r="D45" s="1"/>
      <c r="E45" s="1"/>
      <c r="F45" s="1"/>
      <c r="G45" s="1"/>
      <c r="H45" s="1"/>
      <c r="I45" s="1" t="s">
        <v>52</v>
      </c>
      <c r="J45" s="1">
        <v>8973891.7200000007</v>
      </c>
      <c r="K45" s="1"/>
      <c r="L45" s="1"/>
      <c r="M45" s="1"/>
    </row>
    <row r="46" spans="2:13">
      <c r="B46" s="1"/>
      <c r="C46" s="1"/>
      <c r="D46" s="1"/>
      <c r="E46" s="1"/>
      <c r="F46" s="1"/>
      <c r="G46" s="1"/>
      <c r="H46" s="1"/>
      <c r="I46" s="1" t="s">
        <v>47</v>
      </c>
      <c r="J46" s="1">
        <v>3399014552.0953999</v>
      </c>
      <c r="K46" s="1"/>
      <c r="L46" s="1"/>
      <c r="M46" s="1"/>
    </row>
    <row r="47" spans="2:13">
      <c r="B47" s="1"/>
      <c r="C47" s="1"/>
      <c r="D47" s="1"/>
      <c r="E47" s="1"/>
      <c r="F47" s="1"/>
      <c r="G47" s="1"/>
      <c r="H47" s="1"/>
      <c r="I47" s="1" t="s">
        <v>53</v>
      </c>
      <c r="J47" s="1">
        <v>-9359181.7100000009</v>
      </c>
      <c r="K47" s="1"/>
      <c r="L47" s="1"/>
      <c r="M47" s="1"/>
    </row>
    <row r="48" spans="2:13">
      <c r="B48" s="1"/>
      <c r="C48" s="1"/>
      <c r="D48" s="1"/>
      <c r="E48" s="1"/>
      <c r="F48" s="1"/>
      <c r="G48" s="1"/>
      <c r="H48" s="1"/>
      <c r="I48" s="1" t="s">
        <v>54</v>
      </c>
      <c r="J48" s="1">
        <v>-59444477.700000003</v>
      </c>
      <c r="K48" s="1"/>
      <c r="L48" s="1"/>
      <c r="M48" s="1"/>
    </row>
    <row r="49" spans="2:13">
      <c r="B49" s="1"/>
      <c r="C49" s="1"/>
      <c r="D49" s="1"/>
      <c r="E49" s="1"/>
      <c r="F49" s="1"/>
      <c r="G49" s="1"/>
      <c r="H49" s="1"/>
      <c r="I49" s="1" t="s">
        <v>55</v>
      </c>
      <c r="J49" s="1">
        <v>-288751.46999999997</v>
      </c>
      <c r="K49" s="1"/>
      <c r="L49" s="1"/>
      <c r="M49" s="1"/>
    </row>
    <row r="50" spans="2:13">
      <c r="B50" s="1"/>
      <c r="C50" s="1"/>
      <c r="D50" s="1"/>
      <c r="E50" s="1"/>
      <c r="F50" s="1"/>
      <c r="G50" s="1"/>
      <c r="H50" s="1"/>
      <c r="I50" s="1" t="s">
        <v>56</v>
      </c>
      <c r="J50" s="1">
        <v>0</v>
      </c>
      <c r="K50" s="1"/>
      <c r="L50" s="1"/>
      <c r="M50" s="1"/>
    </row>
    <row r="51" spans="2:13">
      <c r="B51" s="1"/>
      <c r="C51" s="1"/>
      <c r="D51" s="1"/>
      <c r="E51" s="1"/>
      <c r="F51" s="1"/>
      <c r="G51" s="1"/>
      <c r="H51" s="1"/>
      <c r="I51" s="1" t="s">
        <v>57</v>
      </c>
      <c r="J51" s="1">
        <v>3329922141.2154002</v>
      </c>
      <c r="K51" s="1"/>
      <c r="L51" s="1"/>
      <c r="M51" s="1"/>
    </row>
    <row r="52" spans="2:13">
      <c r="B52" s="1"/>
      <c r="C52" s="1"/>
      <c r="D52" s="1"/>
      <c r="E52" s="1"/>
      <c r="F52" s="1"/>
      <c r="G52" s="1"/>
      <c r="H52" s="1"/>
      <c r="I52" s="1" t="s">
        <v>58</v>
      </c>
      <c r="J52" s="1">
        <v>8.6381125481022671</v>
      </c>
      <c r="K52" s="1"/>
      <c r="L52" s="1"/>
      <c r="M52" s="1"/>
    </row>
    <row r="53" spans="2:13">
      <c r="B53" s="1"/>
      <c r="C53" s="1"/>
      <c r="D53" s="1"/>
      <c r="E53" s="1"/>
      <c r="F53" s="1"/>
      <c r="G53" s="1"/>
      <c r="H53" s="1"/>
      <c r="I53" s="1" t="s">
        <v>59</v>
      </c>
      <c r="J53" s="1">
        <v>47071509.430000007</v>
      </c>
      <c r="K53" s="1"/>
      <c r="L53" s="1"/>
      <c r="M53" s="1"/>
    </row>
    <row r="54" spans="2:13">
      <c r="B54" s="1"/>
      <c r="C54" s="1"/>
      <c r="D54" s="1"/>
      <c r="E54" s="1"/>
      <c r="F54" s="1"/>
      <c r="G54" s="1"/>
      <c r="H54" s="1"/>
      <c r="I54" s="1" t="s">
        <v>60</v>
      </c>
      <c r="J54" s="1">
        <v>3446086061.5253997</v>
      </c>
      <c r="K54" s="1"/>
      <c r="L54" s="1"/>
      <c r="M54" s="1"/>
    </row>
    <row r="55" spans="2:13">
      <c r="B55" s="1"/>
      <c r="C55" s="1"/>
      <c r="D55" s="1"/>
      <c r="E55" s="1"/>
      <c r="F55" s="1"/>
      <c r="G55" s="1"/>
      <c r="H55" s="1"/>
      <c r="I55" s="1" t="s">
        <v>58</v>
      </c>
      <c r="J55" s="1"/>
      <c r="K55" s="1"/>
      <c r="L55" s="1"/>
      <c r="M55" s="1"/>
    </row>
    <row r="56" spans="2:13">
      <c r="B56" s="1"/>
      <c r="C56" s="1"/>
      <c r="D56" s="1"/>
      <c r="E56" s="1"/>
      <c r="F56" s="1"/>
      <c r="G56" s="1"/>
      <c r="H56" s="1"/>
      <c r="I56" s="1"/>
      <c r="J56" s="1">
        <v>8.7577381013423192</v>
      </c>
      <c r="K56" s="1"/>
      <c r="L56" s="1"/>
      <c r="M56" s="1"/>
    </row>
  </sheetData>
  <mergeCells count="7">
    <mergeCell ref="H18:H23"/>
    <mergeCell ref="J18:J23"/>
    <mergeCell ref="B2:F2"/>
    <mergeCell ref="H6:H9"/>
    <mergeCell ref="J6:J9"/>
    <mergeCell ref="H10:H15"/>
    <mergeCell ref="J10:J15"/>
  </mergeCells>
  <pageMargins left="0.7" right="0.7" top="0.75" bottom="0.75" header="0.3" footer="0.3"/>
</worksheet>
</file>

<file path=xl/worksheets/sheet70.xml><?xml version="1.0" encoding="utf-8"?>
<worksheet xmlns="http://schemas.openxmlformats.org/spreadsheetml/2006/main" xmlns:r="http://schemas.openxmlformats.org/officeDocument/2006/relationships">
  <sheetPr codeName="Sheet17"/>
  <dimension ref="A1:O120"/>
  <sheetViews>
    <sheetView topLeftCell="A90" zoomScale="60" zoomScaleNormal="60" workbookViewId="0">
      <selection activeCell="A90" sqref="A90"/>
    </sheetView>
  </sheetViews>
  <sheetFormatPr defaultRowHeight="15.75"/>
  <cols>
    <col min="1" max="1" width="59.42578125" style="254" customWidth="1"/>
    <col min="2" max="2" width="15.42578125" style="254" customWidth="1"/>
    <col min="3" max="3" width="21.28515625" style="254" customWidth="1"/>
    <col min="4" max="4" width="19.42578125" style="254" customWidth="1"/>
    <col min="5" max="5" width="22" style="254" customWidth="1"/>
    <col min="6" max="6" width="24.5703125" style="254" customWidth="1"/>
    <col min="7" max="7" width="17.7109375" style="254" customWidth="1"/>
    <col min="8" max="8" width="18.85546875" style="254" customWidth="1"/>
    <col min="9" max="9" width="17.7109375" style="254" customWidth="1"/>
    <col min="10" max="10" width="15.5703125" style="254" customWidth="1"/>
    <col min="11" max="11" width="9.140625" style="254"/>
    <col min="12" max="12" width="30.42578125" style="254" customWidth="1"/>
    <col min="13" max="13" width="16.42578125" style="254" customWidth="1"/>
    <col min="14" max="14" width="9.140625" style="254"/>
    <col min="15" max="15" width="17.140625" style="254" customWidth="1"/>
    <col min="16" max="16384" width="9.140625" style="254"/>
  </cols>
  <sheetData>
    <row r="1" spans="1:15" hidden="1"/>
    <row r="2" spans="1:15" hidden="1">
      <c r="A2" s="5997" t="s">
        <v>1938</v>
      </c>
      <c r="B2" s="5996" t="s">
        <v>3077</v>
      </c>
      <c r="C2" s="5995" t="s">
        <v>3223</v>
      </c>
      <c r="D2" s="5995"/>
      <c r="E2" s="5995"/>
      <c r="F2" s="5995"/>
      <c r="G2" s="5995" t="s">
        <v>3224</v>
      </c>
      <c r="H2" s="5995"/>
      <c r="I2" s="5995"/>
      <c r="J2" s="5995"/>
    </row>
    <row r="3" spans="1:15" ht="78.75" hidden="1">
      <c r="A3" s="5997"/>
      <c r="B3" s="5996"/>
      <c r="C3" s="4125" t="s">
        <v>3090</v>
      </c>
      <c r="D3" s="4125" t="s">
        <v>3091</v>
      </c>
      <c r="E3" s="4126" t="s">
        <v>3079</v>
      </c>
      <c r="F3" s="4126" t="s">
        <v>3253</v>
      </c>
      <c r="G3" s="4125" t="s">
        <v>3090</v>
      </c>
      <c r="H3" s="4125" t="s">
        <v>3091</v>
      </c>
      <c r="I3" s="4126" t="s">
        <v>3079</v>
      </c>
      <c r="J3" s="4126" t="s">
        <v>3253</v>
      </c>
      <c r="M3" s="264"/>
      <c r="O3" s="4126" t="s">
        <v>3308</v>
      </c>
    </row>
    <row r="4" spans="1:15" hidden="1">
      <c r="A4" s="4127" t="s">
        <v>3226</v>
      </c>
      <c r="B4" s="4127" t="s">
        <v>15</v>
      </c>
      <c r="C4" s="4128">
        <v>3</v>
      </c>
      <c r="D4" s="4128">
        <v>0</v>
      </c>
      <c r="E4" s="4129">
        <v>1</v>
      </c>
      <c r="F4" s="4129">
        <v>0.12</v>
      </c>
      <c r="G4" s="4128">
        <f>C4</f>
        <v>3</v>
      </c>
      <c r="H4" s="4128">
        <f>D4</f>
        <v>0</v>
      </c>
      <c r="I4" s="4129">
        <f>E4</f>
        <v>1</v>
      </c>
      <c r="J4" s="4129">
        <v>0.12</v>
      </c>
      <c r="L4" s="613"/>
      <c r="M4" s="613" t="s">
        <v>151</v>
      </c>
      <c r="O4" s="799">
        <f>E4*'F18'!$E$49</f>
        <v>-0.54295169764618079</v>
      </c>
    </row>
    <row r="5" spans="1:15" hidden="1">
      <c r="A5" s="4130" t="s">
        <v>3046</v>
      </c>
      <c r="B5" s="4131" t="s">
        <v>17</v>
      </c>
      <c r="C5" s="4128">
        <v>40</v>
      </c>
      <c r="D5" s="4128">
        <v>0</v>
      </c>
      <c r="E5" s="4129">
        <v>3</v>
      </c>
      <c r="F5" s="4129">
        <v>0.55000000000000004</v>
      </c>
      <c r="G5" s="4128">
        <f t="shared" ref="G5:G23" si="0">C5</f>
        <v>40</v>
      </c>
      <c r="H5" s="4128">
        <f t="shared" ref="H5:H23" si="1">D5</f>
        <v>0</v>
      </c>
      <c r="I5" s="4129">
        <f t="shared" ref="I5:I23" si="2">E5</f>
        <v>3</v>
      </c>
      <c r="J5" s="4129">
        <v>0.55000000000000004</v>
      </c>
      <c r="K5" s="4144"/>
      <c r="L5" s="258" t="s">
        <v>3251</v>
      </c>
      <c r="M5" s="799">
        <f>'F18'!E36+'F18'!E46</f>
        <v>11007.791503042725</v>
      </c>
      <c r="O5" s="799">
        <f>E5*'F18'!$E$49</f>
        <v>-1.6288550929385424</v>
      </c>
    </row>
    <row r="6" spans="1:15" hidden="1">
      <c r="A6" s="4130"/>
      <c r="B6" s="4131" t="s">
        <v>18</v>
      </c>
      <c r="C6" s="4128">
        <v>75</v>
      </c>
      <c r="D6" s="4128">
        <v>0</v>
      </c>
      <c r="E6" s="4129">
        <v>6.4</v>
      </c>
      <c r="F6" s="4129">
        <v>1.03</v>
      </c>
      <c r="G6" s="4128">
        <f t="shared" si="0"/>
        <v>75</v>
      </c>
      <c r="H6" s="4128">
        <f t="shared" si="1"/>
        <v>0</v>
      </c>
      <c r="I6" s="4129">
        <f t="shared" si="2"/>
        <v>6.4</v>
      </c>
      <c r="J6" s="4129">
        <v>1.03</v>
      </c>
      <c r="K6" s="4144"/>
      <c r="L6" s="258" t="s">
        <v>3252</v>
      </c>
      <c r="M6" s="3790">
        <f>'F22'!$V$42</f>
        <v>5307.9264426065838</v>
      </c>
      <c r="O6" s="799">
        <f>E6*'F18'!$E$49</f>
        <v>-3.4748908649355572</v>
      </c>
    </row>
    <row r="7" spans="1:15" hidden="1">
      <c r="A7" s="4130"/>
      <c r="B7" s="4131" t="s">
        <v>19</v>
      </c>
      <c r="C7" s="4128">
        <v>75</v>
      </c>
      <c r="D7" s="4128">
        <v>0</v>
      </c>
      <c r="E7" s="4129">
        <v>8.8000000000000007</v>
      </c>
      <c r="F7" s="4129">
        <v>1.44</v>
      </c>
      <c r="G7" s="4128">
        <f t="shared" si="0"/>
        <v>75</v>
      </c>
      <c r="H7" s="4128">
        <f t="shared" si="1"/>
        <v>0</v>
      </c>
      <c r="I7" s="4129">
        <f t="shared" si="2"/>
        <v>8.8000000000000007</v>
      </c>
      <c r="J7" s="4129">
        <v>1.44</v>
      </c>
      <c r="K7" s="4144"/>
      <c r="M7" s="254" t="b">
        <f>M6=M5</f>
        <v>0</v>
      </c>
      <c r="O7" s="799">
        <f>E7*'F18'!$E$49</f>
        <v>-4.7779749392863913</v>
      </c>
    </row>
    <row r="8" spans="1:15" hidden="1">
      <c r="A8" s="4130"/>
      <c r="B8" s="4131" t="s">
        <v>20</v>
      </c>
      <c r="C8" s="4128">
        <v>100</v>
      </c>
      <c r="D8" s="4128">
        <v>0</v>
      </c>
      <c r="E8" s="4129">
        <v>10.8</v>
      </c>
      <c r="F8" s="4129">
        <v>1.85</v>
      </c>
      <c r="G8" s="4128">
        <f t="shared" si="0"/>
        <v>100</v>
      </c>
      <c r="H8" s="4128">
        <f t="shared" si="1"/>
        <v>0</v>
      </c>
      <c r="I8" s="4129">
        <f t="shared" si="2"/>
        <v>10.8</v>
      </c>
      <c r="J8" s="4129">
        <v>1.85</v>
      </c>
      <c r="K8" s="4144"/>
      <c r="O8" s="799">
        <f>E8*'F18'!$E$49</f>
        <v>-5.8638783345787528</v>
      </c>
    </row>
    <row r="9" spans="1:15" hidden="1">
      <c r="A9" s="4130" t="s">
        <v>3227</v>
      </c>
      <c r="B9" s="4131" t="s">
        <v>3096</v>
      </c>
      <c r="C9" s="4128">
        <v>250</v>
      </c>
      <c r="D9" s="4128">
        <v>0</v>
      </c>
      <c r="E9" s="4129">
        <v>8.4499999999999993</v>
      </c>
      <c r="F9" s="4129">
        <v>1.48</v>
      </c>
      <c r="G9" s="4128">
        <f t="shared" si="0"/>
        <v>250</v>
      </c>
      <c r="H9" s="4128">
        <f t="shared" si="1"/>
        <v>0</v>
      </c>
      <c r="I9" s="4129">
        <f t="shared" si="2"/>
        <v>8.4499999999999993</v>
      </c>
      <c r="J9" s="4129">
        <v>1.48</v>
      </c>
      <c r="M9" s="264">
        <v>5550.6</v>
      </c>
      <c r="O9" s="799">
        <f>E9*'F18'!$E$49</f>
        <v>-4.587941845110227</v>
      </c>
    </row>
    <row r="10" spans="1:15" hidden="1">
      <c r="B10" s="4131" t="s">
        <v>20</v>
      </c>
      <c r="C10" s="4128">
        <v>250</v>
      </c>
      <c r="D10" s="4128">
        <v>0</v>
      </c>
      <c r="E10" s="4129">
        <v>10.95</v>
      </c>
      <c r="F10" s="4129">
        <v>2.2000000000000002</v>
      </c>
      <c r="G10" s="4128">
        <f t="shared" si="0"/>
        <v>250</v>
      </c>
      <c r="H10" s="4128">
        <f t="shared" si="1"/>
        <v>0</v>
      </c>
      <c r="I10" s="4129">
        <f t="shared" si="2"/>
        <v>10.95</v>
      </c>
      <c r="J10" s="4129">
        <v>2.2000000000000002</v>
      </c>
      <c r="M10" s="254">
        <f>'F22'!V38+'F22'!V39+'F22'!V40</f>
        <v>52.24</v>
      </c>
      <c r="O10" s="799">
        <f>E10*'F18'!$E$49</f>
        <v>-5.9453210892256791</v>
      </c>
    </row>
    <row r="11" spans="1:15" hidden="1">
      <c r="A11" s="4130" t="s">
        <v>3228</v>
      </c>
      <c r="B11" s="4130" t="s">
        <v>28</v>
      </c>
      <c r="C11" s="4128">
        <v>0</v>
      </c>
      <c r="D11" s="4128">
        <v>200</v>
      </c>
      <c r="E11" s="4129">
        <v>10.3</v>
      </c>
      <c r="F11" s="4129">
        <v>2.15</v>
      </c>
      <c r="G11" s="4128">
        <f t="shared" si="0"/>
        <v>0</v>
      </c>
      <c r="H11" s="4128">
        <f t="shared" si="1"/>
        <v>200</v>
      </c>
      <c r="I11" s="4129">
        <f t="shared" si="2"/>
        <v>10.3</v>
      </c>
      <c r="J11" s="4129">
        <v>2.15</v>
      </c>
      <c r="L11" s="254" t="s">
        <v>3381</v>
      </c>
      <c r="M11" s="264">
        <f>M5-M9-M10</f>
        <v>5404.9515030427247</v>
      </c>
      <c r="O11" s="799">
        <f>E11*'F18'!$E$49</f>
        <v>-5.5924024857556622</v>
      </c>
    </row>
    <row r="12" spans="1:15" hidden="1">
      <c r="A12" s="4130" t="s">
        <v>3229</v>
      </c>
      <c r="B12" s="4130" t="s">
        <v>28</v>
      </c>
      <c r="C12" s="4128">
        <v>0</v>
      </c>
      <c r="D12" s="4128">
        <v>200</v>
      </c>
      <c r="E12" s="4129">
        <v>10.7</v>
      </c>
      <c r="F12" s="4129">
        <v>2.1800000000000002</v>
      </c>
      <c r="G12" s="4128">
        <f t="shared" si="0"/>
        <v>0</v>
      </c>
      <c r="H12" s="4128">
        <f t="shared" si="1"/>
        <v>200</v>
      </c>
      <c r="I12" s="4129">
        <f t="shared" si="2"/>
        <v>10.7</v>
      </c>
      <c r="J12" s="4129">
        <v>2.1800000000000002</v>
      </c>
      <c r="M12" s="264">
        <f>'F18'!E37</f>
        <v>4593.6293562891042</v>
      </c>
      <c r="O12" s="799">
        <f>E12*'F18'!$E$49</f>
        <v>-5.8095831648141338</v>
      </c>
    </row>
    <row r="13" spans="1:15" hidden="1">
      <c r="A13" s="4130" t="s">
        <v>3230</v>
      </c>
      <c r="B13" s="4131" t="s">
        <v>25</v>
      </c>
      <c r="C13" s="4128">
        <v>325</v>
      </c>
      <c r="D13" s="4128">
        <v>0</v>
      </c>
      <c r="E13" s="4129">
        <v>7</v>
      </c>
      <c r="F13" s="4129">
        <v>1.4</v>
      </c>
      <c r="G13" s="4128">
        <f t="shared" si="0"/>
        <v>325</v>
      </c>
      <c r="H13" s="4128">
        <f t="shared" si="1"/>
        <v>0</v>
      </c>
      <c r="I13" s="4129">
        <f t="shared" si="2"/>
        <v>7</v>
      </c>
      <c r="J13" s="4129">
        <v>1.4</v>
      </c>
      <c r="M13" s="264">
        <v>11.94</v>
      </c>
      <c r="O13" s="799">
        <f>E13*'F18'!$E$49</f>
        <v>-3.8006618835232655</v>
      </c>
    </row>
    <row r="14" spans="1:15" hidden="1">
      <c r="A14" s="4130"/>
      <c r="B14" s="4131" t="s">
        <v>20</v>
      </c>
      <c r="C14" s="4128">
        <v>425</v>
      </c>
      <c r="D14" s="4128">
        <v>0</v>
      </c>
      <c r="E14" s="4129">
        <v>9.3000000000000007</v>
      </c>
      <c r="F14" s="4129">
        <v>1.96</v>
      </c>
      <c r="G14" s="4128">
        <f t="shared" si="0"/>
        <v>425</v>
      </c>
      <c r="H14" s="4128">
        <f t="shared" si="1"/>
        <v>0</v>
      </c>
      <c r="I14" s="4129">
        <f t="shared" si="2"/>
        <v>9.3000000000000007</v>
      </c>
      <c r="J14" s="4129">
        <v>1.96</v>
      </c>
      <c r="M14" s="264">
        <f>(M9-M10)/M12*10</f>
        <v>11.969533398405851</v>
      </c>
      <c r="O14" s="799">
        <f>E14*'F18'!$E$49</f>
        <v>-5.0494507881094819</v>
      </c>
    </row>
    <row r="15" spans="1:15" hidden="1">
      <c r="A15" s="4130" t="s">
        <v>3231</v>
      </c>
      <c r="B15" s="4130" t="s">
        <v>28</v>
      </c>
      <c r="C15" s="4128">
        <v>0</v>
      </c>
      <c r="D15" s="4128">
        <v>200</v>
      </c>
      <c r="E15" s="4129">
        <v>8.9</v>
      </c>
      <c r="F15" s="4129">
        <v>1.75</v>
      </c>
      <c r="G15" s="4128">
        <f t="shared" si="0"/>
        <v>0</v>
      </c>
      <c r="H15" s="4128">
        <f t="shared" si="1"/>
        <v>200</v>
      </c>
      <c r="I15" s="4129">
        <f t="shared" si="2"/>
        <v>8.9</v>
      </c>
      <c r="J15" s="4129">
        <v>1.75</v>
      </c>
      <c r="M15" s="807">
        <f>(M13/M14)-1</f>
        <v>-2.4673809264599278E-3</v>
      </c>
      <c r="O15" s="799">
        <f>E15*'F18'!$E$49</f>
        <v>-4.8322701090510094</v>
      </c>
    </row>
    <row r="16" spans="1:15" hidden="1">
      <c r="A16" s="4130" t="s">
        <v>3232</v>
      </c>
      <c r="B16" s="4130" t="s">
        <v>28</v>
      </c>
      <c r="C16" s="4128">
        <v>0</v>
      </c>
      <c r="D16" s="4128">
        <v>200</v>
      </c>
      <c r="E16" s="4129">
        <v>8.9</v>
      </c>
      <c r="F16" s="4129">
        <v>1.72</v>
      </c>
      <c r="G16" s="4128">
        <f t="shared" si="0"/>
        <v>0</v>
      </c>
      <c r="H16" s="4128">
        <f t="shared" si="1"/>
        <v>200</v>
      </c>
      <c r="I16" s="4129">
        <f t="shared" si="2"/>
        <v>8.9</v>
      </c>
      <c r="J16" s="4129">
        <v>1.72</v>
      </c>
      <c r="O16" s="799">
        <f>E16*'F18'!$E$49</f>
        <v>-4.8322701090510094</v>
      </c>
    </row>
    <row r="17" spans="1:15" hidden="1">
      <c r="A17" s="4130" t="s">
        <v>3233</v>
      </c>
      <c r="B17" s="4130" t="s">
        <v>28</v>
      </c>
      <c r="C17" s="4128">
        <v>400</v>
      </c>
      <c r="D17" s="4128">
        <v>0</v>
      </c>
      <c r="E17" s="4129">
        <v>15</v>
      </c>
      <c r="F17" s="4129">
        <v>3.16</v>
      </c>
      <c r="G17" s="4128">
        <f t="shared" si="0"/>
        <v>400</v>
      </c>
      <c r="H17" s="4128">
        <f t="shared" si="1"/>
        <v>0</v>
      </c>
      <c r="I17" s="4129">
        <f t="shared" si="2"/>
        <v>15</v>
      </c>
      <c r="J17" s="4129">
        <v>3.16</v>
      </c>
      <c r="M17" s="264"/>
      <c r="O17" s="799">
        <f>E17*'F18'!$E$49</f>
        <v>-8.1442754646927114</v>
      </c>
    </row>
    <row r="18" spans="1:15" hidden="1">
      <c r="A18" s="4130" t="s">
        <v>3234</v>
      </c>
      <c r="B18" s="4130" t="s">
        <v>28</v>
      </c>
      <c r="C18" s="4128">
        <v>0</v>
      </c>
      <c r="D18" s="4128">
        <v>200</v>
      </c>
      <c r="E18" s="4129">
        <v>8.9</v>
      </c>
      <c r="F18" s="4129">
        <v>1.52</v>
      </c>
      <c r="G18" s="4128">
        <f t="shared" si="0"/>
        <v>0</v>
      </c>
      <c r="H18" s="4128">
        <f t="shared" si="1"/>
        <v>200</v>
      </c>
      <c r="I18" s="4129">
        <f t="shared" si="2"/>
        <v>8.9</v>
      </c>
      <c r="J18" s="4129">
        <v>1.52</v>
      </c>
      <c r="O18" s="799">
        <f>E18*'F18'!$E$49</f>
        <v>-4.8322701090510094</v>
      </c>
    </row>
    <row r="19" spans="1:15" hidden="1">
      <c r="A19" s="4130" t="s">
        <v>3235</v>
      </c>
      <c r="B19" s="4130" t="s">
        <v>28</v>
      </c>
      <c r="C19" s="4128">
        <v>200</v>
      </c>
      <c r="D19" s="4128">
        <v>0</v>
      </c>
      <c r="E19" s="4129">
        <v>4.9000000000000004</v>
      </c>
      <c r="F19" s="4129">
        <v>0.87</v>
      </c>
      <c r="G19" s="4128">
        <f t="shared" si="0"/>
        <v>200</v>
      </c>
      <c r="H19" s="4128">
        <f t="shared" si="1"/>
        <v>0</v>
      </c>
      <c r="I19" s="4129">
        <f t="shared" si="2"/>
        <v>4.9000000000000004</v>
      </c>
      <c r="J19" s="4129">
        <v>0.87</v>
      </c>
      <c r="O19" s="799">
        <f>E19*'F18'!$E$49</f>
        <v>-2.6604633184662863</v>
      </c>
    </row>
    <row r="20" spans="1:15" hidden="1">
      <c r="A20" s="4130" t="s">
        <v>3236</v>
      </c>
      <c r="B20" s="4130" t="s">
        <v>28</v>
      </c>
      <c r="C20" s="4128">
        <v>400</v>
      </c>
      <c r="D20" s="4128">
        <v>0</v>
      </c>
      <c r="E20" s="4129">
        <v>12.5</v>
      </c>
      <c r="F20" s="4129">
        <v>2.5299999999999998</v>
      </c>
      <c r="G20" s="4128">
        <f t="shared" si="0"/>
        <v>400</v>
      </c>
      <c r="H20" s="4128">
        <f t="shared" si="1"/>
        <v>0</v>
      </c>
      <c r="I20" s="4129">
        <f t="shared" si="2"/>
        <v>12.5</v>
      </c>
      <c r="J20" s="4129">
        <v>2.5299999999999998</v>
      </c>
      <c r="O20" s="799">
        <f>E20*'F18'!$E$49</f>
        <v>-6.7868962205772601</v>
      </c>
    </row>
    <row r="21" spans="1:15" hidden="1">
      <c r="A21" s="4130" t="s">
        <v>3237</v>
      </c>
      <c r="B21" s="4130" t="s">
        <v>28</v>
      </c>
      <c r="C21" s="4128">
        <v>200</v>
      </c>
      <c r="D21" s="4128">
        <v>0</v>
      </c>
      <c r="E21" s="4129">
        <v>5.0999999999999996</v>
      </c>
      <c r="F21" s="4129">
        <v>0.83</v>
      </c>
      <c r="G21" s="4128">
        <f t="shared" si="0"/>
        <v>200</v>
      </c>
      <c r="H21" s="4128">
        <f t="shared" si="1"/>
        <v>0</v>
      </c>
      <c r="I21" s="4129">
        <f t="shared" si="2"/>
        <v>5.0999999999999996</v>
      </c>
      <c r="J21" s="4129">
        <v>0.83</v>
      </c>
      <c r="O21" s="799">
        <f>E21*'F18'!$E$49</f>
        <v>-2.7690536579955216</v>
      </c>
    </row>
    <row r="22" spans="1:15" hidden="1">
      <c r="A22" s="4132" t="s">
        <v>3238</v>
      </c>
      <c r="B22" s="4130" t="s">
        <v>28</v>
      </c>
      <c r="C22" s="4128">
        <v>250</v>
      </c>
      <c r="D22" s="4128">
        <v>0</v>
      </c>
      <c r="E22" s="4129">
        <v>9</v>
      </c>
      <c r="F22" s="4129">
        <v>1.83</v>
      </c>
      <c r="G22" s="4128">
        <f t="shared" si="0"/>
        <v>250</v>
      </c>
      <c r="H22" s="4128">
        <f t="shared" si="1"/>
        <v>0</v>
      </c>
      <c r="I22" s="4129">
        <f t="shared" si="2"/>
        <v>9</v>
      </c>
      <c r="J22" s="4129">
        <v>1.83</v>
      </c>
      <c r="O22" s="799">
        <f>E22*'F18'!$E$49</f>
        <v>-4.8865652788156275</v>
      </c>
    </row>
    <row r="23" spans="1:15" hidden="1">
      <c r="A23" s="4132" t="s">
        <v>3239</v>
      </c>
      <c r="B23" s="4130" t="s">
        <v>28</v>
      </c>
      <c r="C23" s="4128">
        <v>0</v>
      </c>
      <c r="D23" s="4128">
        <v>200</v>
      </c>
      <c r="E23" s="4129">
        <v>9</v>
      </c>
      <c r="F23" s="4129">
        <v>1.83</v>
      </c>
      <c r="G23" s="4128">
        <f t="shared" si="0"/>
        <v>0</v>
      </c>
      <c r="H23" s="4128">
        <f t="shared" si="1"/>
        <v>200</v>
      </c>
      <c r="I23" s="4129">
        <f t="shared" si="2"/>
        <v>9</v>
      </c>
      <c r="J23" s="4129">
        <v>1.83</v>
      </c>
      <c r="O23" s="799">
        <f>E23*'F18'!$E$49</f>
        <v>-4.8865652788156275</v>
      </c>
    </row>
    <row r="24" spans="1:15" hidden="1">
      <c r="A24" s="4130" t="s">
        <v>3097</v>
      </c>
      <c r="B24" s="4130"/>
      <c r="C24" s="4128"/>
      <c r="D24" s="4128"/>
      <c r="E24" s="4129"/>
      <c r="F24" s="4129"/>
      <c r="G24" s="4128"/>
      <c r="H24" s="4128"/>
      <c r="I24" s="4129"/>
      <c r="J24" s="4129"/>
      <c r="O24" s="799">
        <f>E24*'F18'!$E$49</f>
        <v>0</v>
      </c>
    </row>
    <row r="25" spans="1:15" hidden="1">
      <c r="A25" s="4133" t="s">
        <v>2004</v>
      </c>
      <c r="B25" s="4130"/>
      <c r="C25" s="4128"/>
      <c r="D25" s="4128"/>
      <c r="E25" s="4129"/>
      <c r="F25" s="4129"/>
      <c r="G25" s="4128"/>
      <c r="H25" s="4128"/>
      <c r="I25" s="4129"/>
      <c r="J25" s="4129"/>
      <c r="O25" s="799">
        <f>E25*'F18'!$E$49</f>
        <v>0</v>
      </c>
    </row>
    <row r="26" spans="1:15" hidden="1">
      <c r="A26" s="4134" t="s">
        <v>3240</v>
      </c>
      <c r="B26" s="4130" t="s">
        <v>28</v>
      </c>
      <c r="C26" s="4128">
        <v>0</v>
      </c>
      <c r="D26" s="4128">
        <v>200</v>
      </c>
      <c r="E26" s="4129">
        <v>9</v>
      </c>
      <c r="F26" s="4129">
        <v>1.59</v>
      </c>
      <c r="G26" s="4128">
        <f t="shared" ref="G26:H30" si="3">C26</f>
        <v>0</v>
      </c>
      <c r="H26" s="4128">
        <f t="shared" si="3"/>
        <v>200</v>
      </c>
      <c r="I26" s="4129">
        <f t="shared" ref="I26:I30" si="4">E26</f>
        <v>9</v>
      </c>
      <c r="J26" s="4129">
        <v>1.59</v>
      </c>
      <c r="O26" s="799">
        <f>E26*'F18'!$E$49</f>
        <v>-4.8865652788156275</v>
      </c>
    </row>
    <row r="27" spans="1:15" hidden="1">
      <c r="A27" s="4134" t="s">
        <v>3241</v>
      </c>
      <c r="B27" s="4130" t="s">
        <v>28</v>
      </c>
      <c r="C27" s="4128">
        <v>0</v>
      </c>
      <c r="D27" s="4128">
        <v>200</v>
      </c>
      <c r="E27" s="4129">
        <v>9.6999999999999993</v>
      </c>
      <c r="F27" s="4129">
        <v>1.71</v>
      </c>
      <c r="G27" s="4128">
        <f t="shared" si="3"/>
        <v>0</v>
      </c>
      <c r="H27" s="4128">
        <f t="shared" si="3"/>
        <v>200</v>
      </c>
      <c r="I27" s="4129">
        <f t="shared" si="4"/>
        <v>9.6999999999999993</v>
      </c>
      <c r="J27" s="4129">
        <v>1.71</v>
      </c>
      <c r="O27" s="799">
        <f>E27*'F18'!$E$49</f>
        <v>-5.2666314671679535</v>
      </c>
    </row>
    <row r="28" spans="1:15" hidden="1">
      <c r="A28" s="4134" t="s">
        <v>3242</v>
      </c>
      <c r="B28" s="4130" t="s">
        <v>28</v>
      </c>
      <c r="C28" s="4128">
        <v>0</v>
      </c>
      <c r="D28" s="4128">
        <v>200</v>
      </c>
      <c r="E28" s="4129">
        <v>6.65</v>
      </c>
      <c r="F28" s="4129">
        <v>0.91</v>
      </c>
      <c r="G28" s="4128">
        <f t="shared" si="3"/>
        <v>0</v>
      </c>
      <c r="H28" s="4128">
        <f t="shared" si="3"/>
        <v>200</v>
      </c>
      <c r="I28" s="4129">
        <f t="shared" si="4"/>
        <v>6.65</v>
      </c>
      <c r="J28" s="4129">
        <v>0.91</v>
      </c>
      <c r="O28" s="799">
        <f>E28*'F18'!$E$49</f>
        <v>-3.6106287893471025</v>
      </c>
    </row>
    <row r="29" spans="1:15" hidden="1">
      <c r="A29" s="4134" t="s">
        <v>3243</v>
      </c>
      <c r="B29" s="4130" t="s">
        <v>28</v>
      </c>
      <c r="C29" s="4128">
        <v>250</v>
      </c>
      <c r="D29" s="4128">
        <v>0</v>
      </c>
      <c r="E29" s="4129">
        <v>12</v>
      </c>
      <c r="F29" s="4129">
        <v>2.33</v>
      </c>
      <c r="G29" s="4128">
        <f t="shared" si="3"/>
        <v>250</v>
      </c>
      <c r="H29" s="4128">
        <f t="shared" si="3"/>
        <v>0</v>
      </c>
      <c r="I29" s="4129">
        <f t="shared" si="4"/>
        <v>12</v>
      </c>
      <c r="J29" s="4129">
        <v>2.33</v>
      </c>
      <c r="O29" s="799">
        <f>E29*'F18'!$E$49</f>
        <v>-6.5154203717541694</v>
      </c>
    </row>
    <row r="30" spans="1:15" hidden="1">
      <c r="A30" s="4134" t="s">
        <v>3244</v>
      </c>
      <c r="B30" s="4130" t="s">
        <v>28</v>
      </c>
      <c r="C30" s="4128">
        <v>0</v>
      </c>
      <c r="D30" s="4128">
        <v>200</v>
      </c>
      <c r="E30" s="4129">
        <v>8.8000000000000007</v>
      </c>
      <c r="F30" s="4129">
        <v>1.51</v>
      </c>
      <c r="G30" s="4128">
        <f t="shared" si="3"/>
        <v>0</v>
      </c>
      <c r="H30" s="4128">
        <f t="shared" si="3"/>
        <v>200</v>
      </c>
      <c r="I30" s="4129">
        <f t="shared" si="4"/>
        <v>8.8000000000000007</v>
      </c>
      <c r="J30" s="4129">
        <v>1.51</v>
      </c>
      <c r="O30" s="799">
        <f>E30*'F18'!$E$49</f>
        <v>-4.7779749392863913</v>
      </c>
    </row>
    <row r="31" spans="1:15" hidden="1">
      <c r="A31" s="4134" t="s">
        <v>3099</v>
      </c>
      <c r="B31" s="4130" t="s">
        <v>28</v>
      </c>
      <c r="C31" s="4129"/>
      <c r="D31" s="4129"/>
      <c r="E31" s="4129"/>
      <c r="F31" s="4129"/>
      <c r="G31" s="4129"/>
      <c r="H31" s="4129"/>
      <c r="I31" s="4129"/>
      <c r="J31" s="4129"/>
      <c r="O31" s="799"/>
    </row>
    <row r="32" spans="1:15" hidden="1">
      <c r="A32" s="4135" t="s">
        <v>47</v>
      </c>
      <c r="B32" s="4136"/>
      <c r="C32" s="4137"/>
      <c r="D32" s="4137"/>
      <c r="E32" s="4137"/>
      <c r="F32" s="4137"/>
      <c r="G32" s="4137"/>
      <c r="H32" s="4137"/>
      <c r="I32" s="4137"/>
      <c r="J32" s="4137"/>
      <c r="O32" s="3719">
        <f>11.94*'F18'!E49</f>
        <v>-6.4828432698953984</v>
      </c>
    </row>
    <row r="33" spans="1:9" hidden="1"/>
    <row r="34" spans="1:9" ht="20.25" hidden="1">
      <c r="A34" s="4145" t="s">
        <v>3225</v>
      </c>
    </row>
    <row r="35" spans="1:9" hidden="1"/>
    <row r="36" spans="1:9" hidden="1"/>
    <row r="37" spans="1:9" ht="46.5" hidden="1" customHeight="1">
      <c r="A37" s="5997" t="s">
        <v>1938</v>
      </c>
      <c r="B37" s="5480" t="s">
        <v>3246</v>
      </c>
      <c r="C37" s="5480" t="s">
        <v>3247</v>
      </c>
      <c r="D37" s="5480"/>
      <c r="E37" s="5480" t="s">
        <v>3248</v>
      </c>
      <c r="F37" s="5480"/>
      <c r="G37" s="5480" t="s">
        <v>3249</v>
      </c>
    </row>
    <row r="38" spans="1:9" ht="46.5" hidden="1" customHeight="1">
      <c r="A38" s="5997"/>
      <c r="B38" s="5480"/>
      <c r="C38" s="3879" t="s">
        <v>3245</v>
      </c>
      <c r="D38" s="3879" t="s">
        <v>3217</v>
      </c>
      <c r="E38" s="3879" t="s">
        <v>3245</v>
      </c>
      <c r="F38" s="3879" t="s">
        <v>3217</v>
      </c>
      <c r="G38" s="5480"/>
    </row>
    <row r="39" spans="1:9" hidden="1">
      <c r="A39" s="4140" t="s">
        <v>1989</v>
      </c>
      <c r="B39" s="841"/>
      <c r="C39" s="841"/>
      <c r="D39" s="841"/>
      <c r="E39" s="841"/>
      <c r="F39" s="841"/>
      <c r="G39" s="841"/>
    </row>
    <row r="40" spans="1:9" hidden="1">
      <c r="A40" s="4127" t="s">
        <v>3226</v>
      </c>
      <c r="B40" s="5922">
        <f>'F18'!$E$50</f>
        <v>11.554973270404458</v>
      </c>
      <c r="C40" s="258">
        <v>1.22</v>
      </c>
      <c r="D40" s="799">
        <f>'F22'!W9</f>
        <v>1.346078711922559</v>
      </c>
      <c r="E40" s="4142">
        <f>C40/$B$40</f>
        <v>0.10558224337262326</v>
      </c>
      <c r="F40" s="4142">
        <f>D40/$B$40</f>
        <v>0.11649345095156956</v>
      </c>
      <c r="G40" s="4142">
        <f>(D40-C40)/C40</f>
        <v>0.10334320649390086</v>
      </c>
    </row>
    <row r="41" spans="1:9" hidden="1">
      <c r="A41" s="4130" t="s">
        <v>3046</v>
      </c>
      <c r="B41" s="5855"/>
      <c r="C41" s="258">
        <v>8.31</v>
      </c>
      <c r="D41" s="799">
        <f>'F22'!W10</f>
        <v>8.2351017264623945</v>
      </c>
      <c r="E41" s="4142">
        <f t="shared" ref="E41:E54" si="5">C41/$B$40</f>
        <v>0.71917085444795026</v>
      </c>
      <c r="F41" s="4142">
        <f t="shared" ref="F41:F54" si="6">D41/$B$40</f>
        <v>0.71268894646037906</v>
      </c>
      <c r="G41" s="4142">
        <f t="shared" ref="G41:G60" si="7">(D41-C41)/C41</f>
        <v>-9.0130293065711214E-3</v>
      </c>
    </row>
    <row r="42" spans="1:9" hidden="1">
      <c r="A42" s="4130" t="s">
        <v>3227</v>
      </c>
      <c r="B42" s="5855"/>
      <c r="C42" s="258">
        <v>13.51</v>
      </c>
      <c r="D42" s="799">
        <f>'F22'!W14</f>
        <v>13.671681887689562</v>
      </c>
      <c r="E42" s="4142">
        <f t="shared" si="5"/>
        <v>1.1691935311181476</v>
      </c>
      <c r="F42" s="4142">
        <f t="shared" si="6"/>
        <v>1.183185938015676</v>
      </c>
      <c r="G42" s="4142">
        <f t="shared" si="7"/>
        <v>1.1967571257554589E-2</v>
      </c>
    </row>
    <row r="43" spans="1:9" hidden="1">
      <c r="A43" s="4130" t="s">
        <v>3228</v>
      </c>
      <c r="B43" s="5855"/>
      <c r="C43" s="258">
        <v>14.67</v>
      </c>
      <c r="D43" s="799">
        <f>'F22'!W16</f>
        <v>15.076096230392235</v>
      </c>
      <c r="E43" s="4142">
        <f t="shared" si="5"/>
        <v>1.2695832051445763</v>
      </c>
      <c r="F43" s="4142">
        <f t="shared" si="6"/>
        <v>1.3047279191035746</v>
      </c>
      <c r="G43" s="4142">
        <f t="shared" si="7"/>
        <v>2.7682087961297536E-2</v>
      </c>
      <c r="H43" s="4138"/>
      <c r="I43" s="4138"/>
    </row>
    <row r="44" spans="1:9" hidden="1">
      <c r="A44" s="4130" t="s">
        <v>3229</v>
      </c>
      <c r="B44" s="5855"/>
      <c r="C44" s="258">
        <v>15.18</v>
      </c>
      <c r="D44" s="799">
        <f>'F22'!W17</f>
        <v>15.372643694393449</v>
      </c>
      <c r="E44" s="4142">
        <f t="shared" si="5"/>
        <v>1.3137200445872304</v>
      </c>
      <c r="F44" s="4142">
        <f t="shared" si="6"/>
        <v>1.3303919736246488</v>
      </c>
      <c r="G44" s="4142">
        <f t="shared" si="7"/>
        <v>1.269062545411395E-2</v>
      </c>
    </row>
    <row r="45" spans="1:9" hidden="1">
      <c r="A45" s="4130" t="s">
        <v>3230</v>
      </c>
      <c r="B45" s="5855"/>
      <c r="C45" s="258">
        <v>12.24</v>
      </c>
      <c r="D45" s="799">
        <f>'F22'!W18</f>
        <v>12.282654824593619</v>
      </c>
      <c r="E45" s="4142">
        <f t="shared" si="5"/>
        <v>1.0592841466236957</v>
      </c>
      <c r="F45" s="4142">
        <f t="shared" si="6"/>
        <v>1.0629756155345644</v>
      </c>
      <c r="G45" s="4142">
        <f t="shared" si="7"/>
        <v>3.4848712903283426E-3</v>
      </c>
    </row>
    <row r="46" spans="1:9" hidden="1">
      <c r="A46" s="4130" t="s">
        <v>3231</v>
      </c>
      <c r="B46" s="5855"/>
      <c r="C46" s="258">
        <v>12.84</v>
      </c>
      <c r="D46" s="799">
        <f>'F22'!W20</f>
        <v>13.059783928823613</v>
      </c>
      <c r="E46" s="4142">
        <f t="shared" si="5"/>
        <v>1.1112098400856414</v>
      </c>
      <c r="F46" s="4142">
        <f t="shared" si="6"/>
        <v>1.1302305616122366</v>
      </c>
      <c r="G46" s="4142">
        <f t="shared" si="7"/>
        <v>1.7117128413053986E-2</v>
      </c>
    </row>
    <row r="47" spans="1:9" hidden="1">
      <c r="A47" s="4130" t="s">
        <v>3232</v>
      </c>
      <c r="B47" s="5855"/>
      <c r="C47" s="258">
        <v>12.49</v>
      </c>
      <c r="D47" s="799">
        <f>'F22'!W21</f>
        <v>12.532490433823579</v>
      </c>
      <c r="E47" s="4142">
        <f t="shared" si="5"/>
        <v>1.0809198522328398</v>
      </c>
      <c r="F47" s="4142">
        <f t="shared" si="6"/>
        <v>1.0845970943024867</v>
      </c>
      <c r="G47" s="4142">
        <f t="shared" si="7"/>
        <v>3.4019562709030229E-3</v>
      </c>
    </row>
    <row r="48" spans="1:9" hidden="1">
      <c r="A48" s="4130" t="s">
        <v>3233</v>
      </c>
      <c r="B48" s="5855"/>
      <c r="C48" s="258">
        <v>21.93</v>
      </c>
      <c r="D48" s="799">
        <f>'F22'!W22</f>
        <v>23.131898192283153</v>
      </c>
      <c r="E48" s="4142">
        <f t="shared" si="5"/>
        <v>1.8978840960341212</v>
      </c>
      <c r="F48" s="4142">
        <f t="shared" si="6"/>
        <v>2.0018997578757243</v>
      </c>
      <c r="G48" s="4142">
        <f t="shared" si="7"/>
        <v>5.4806119119158815E-2</v>
      </c>
    </row>
    <row r="49" spans="1:13" hidden="1">
      <c r="A49" s="4130" t="s">
        <v>3234</v>
      </c>
      <c r="B49" s="5855"/>
      <c r="C49" s="258">
        <v>12.18</v>
      </c>
      <c r="D49" s="799">
        <f>'F22'!W23</f>
        <v>12.586096230392235</v>
      </c>
      <c r="E49" s="4142">
        <f t="shared" si="5"/>
        <v>1.054091577277501</v>
      </c>
      <c r="F49" s="4142">
        <f t="shared" si="6"/>
        <v>1.0892362912364992</v>
      </c>
      <c r="G49" s="4142">
        <f t="shared" si="7"/>
        <v>3.3341234022350973E-2</v>
      </c>
    </row>
    <row r="50" spans="1:13" hidden="1">
      <c r="A50" s="4130" t="s">
        <v>3235</v>
      </c>
      <c r="B50" s="5855"/>
      <c r="C50" s="258">
        <v>6.49</v>
      </c>
      <c r="D50" s="799">
        <f>'F22'!W24</f>
        <v>6.4905156174750589</v>
      </c>
      <c r="E50" s="4142">
        <f t="shared" si="5"/>
        <v>0.56166291761338116</v>
      </c>
      <c r="F50" s="4142">
        <f t="shared" si="6"/>
        <v>0.5617075406049703</v>
      </c>
      <c r="G50" s="4142">
        <f t="shared" si="7"/>
        <v>7.9447993075297817E-5</v>
      </c>
    </row>
    <row r="51" spans="1:13" hidden="1">
      <c r="A51" s="4130" t="s">
        <v>3236</v>
      </c>
      <c r="B51" s="5855"/>
      <c r="C51" s="258">
        <v>17.059999999999999</v>
      </c>
      <c r="D51" s="799">
        <f>'F22'!W25</f>
        <v>17.132584497296047</v>
      </c>
      <c r="E51" s="4142">
        <f t="shared" si="5"/>
        <v>1.4764205507679939</v>
      </c>
      <c r="F51" s="4142">
        <f t="shared" si="6"/>
        <v>1.482702218029134</v>
      </c>
      <c r="G51" s="4142">
        <f t="shared" si="7"/>
        <v>4.2546598649501038E-3</v>
      </c>
    </row>
    <row r="52" spans="1:13" hidden="1">
      <c r="A52" s="4130" t="s">
        <v>3237</v>
      </c>
      <c r="B52" s="5855"/>
      <c r="C52" s="258">
        <v>6.52</v>
      </c>
      <c r="D52" s="799">
        <f>'F22'!W26</f>
        <v>6.5365448178014525</v>
      </c>
      <c r="E52" s="4142">
        <f t="shared" si="5"/>
        <v>0.5642592022864783</v>
      </c>
      <c r="F52" s="4142">
        <f t="shared" si="6"/>
        <v>0.56569103751571503</v>
      </c>
      <c r="G52" s="4142">
        <f t="shared" si="7"/>
        <v>2.5375487425541251E-3</v>
      </c>
    </row>
    <row r="53" spans="1:13" hidden="1">
      <c r="A53" s="4132" t="s">
        <v>3238</v>
      </c>
      <c r="B53" s="5855"/>
      <c r="C53" s="258">
        <v>12.46</v>
      </c>
      <c r="D53" s="799">
        <f>'F22'!W27</f>
        <v>12.822712116627299</v>
      </c>
      <c r="E53" s="4142">
        <f t="shared" si="5"/>
        <v>1.0783235675597425</v>
      </c>
      <c r="F53" s="4142">
        <f t="shared" si="6"/>
        <v>1.1097136978646136</v>
      </c>
      <c r="G53" s="4142">
        <f t="shared" si="7"/>
        <v>2.9110121719686851E-2</v>
      </c>
    </row>
    <row r="54" spans="1:13" hidden="1">
      <c r="A54" s="4132" t="s">
        <v>3239</v>
      </c>
      <c r="B54" s="5855"/>
      <c r="C54" s="258">
        <v>12.89</v>
      </c>
      <c r="D54" s="799">
        <f>'F22'!W28</f>
        <v>13.056988520588295</v>
      </c>
      <c r="E54" s="4142">
        <f t="shared" si="5"/>
        <v>1.1155369812074705</v>
      </c>
      <c r="F54" s="4142">
        <f t="shared" si="6"/>
        <v>1.1299886390936897</v>
      </c>
      <c r="G54" s="4142">
        <f t="shared" si="7"/>
        <v>1.2954889106927398E-2</v>
      </c>
    </row>
    <row r="55" spans="1:13" hidden="1">
      <c r="A55" s="4139" t="s">
        <v>2004</v>
      </c>
      <c r="B55" s="4141"/>
      <c r="C55" s="841"/>
      <c r="D55" s="841"/>
      <c r="E55" s="841"/>
      <c r="F55" s="841"/>
      <c r="G55" s="841"/>
    </row>
    <row r="56" spans="1:13" hidden="1">
      <c r="A56" s="4134" t="s">
        <v>3240</v>
      </c>
      <c r="B56" s="5922">
        <f>'F18'!$E$50</f>
        <v>11.554973270404458</v>
      </c>
      <c r="C56" s="258">
        <v>12.22</v>
      </c>
      <c r="D56" s="799">
        <f>'F22'!W31</f>
        <v>12.334013004795441</v>
      </c>
      <c r="E56" s="4142">
        <f>C56/$B$56</f>
        <v>1.0575532901749642</v>
      </c>
      <c r="F56" s="4142">
        <f>D56/$B$56</f>
        <v>1.0674202974044364</v>
      </c>
      <c r="G56" s="4142">
        <f t="shared" si="7"/>
        <v>9.3300331256497872E-3</v>
      </c>
    </row>
    <row r="57" spans="1:13" hidden="1">
      <c r="A57" s="4134" t="s">
        <v>3241</v>
      </c>
      <c r="B57" s="5855"/>
      <c r="C57" s="258">
        <v>13.16</v>
      </c>
      <c r="D57" s="799">
        <f>'F22'!W32</f>
        <v>13.227657738235338</v>
      </c>
      <c r="E57" s="4142">
        <f t="shared" ref="E57:E60" si="8">C57/$B$56</f>
        <v>1.138903543265346</v>
      </c>
      <c r="F57" s="4142">
        <f t="shared" ref="F57:F60" si="9">D57/$B$56</f>
        <v>1.1447588348919071</v>
      </c>
      <c r="G57" s="4142">
        <f t="shared" si="7"/>
        <v>5.1411655194026039E-3</v>
      </c>
    </row>
    <row r="58" spans="1:13" hidden="1">
      <c r="A58" s="4134" t="s">
        <v>3242</v>
      </c>
      <c r="B58" s="5855"/>
      <c r="C58" s="258">
        <v>8.92</v>
      </c>
      <c r="D58" s="799">
        <f>'F22'!W33</f>
        <v>8.7243678253676844</v>
      </c>
      <c r="E58" s="4142">
        <f t="shared" si="8"/>
        <v>0.77196197613426187</v>
      </c>
      <c r="F58" s="4142">
        <f t="shared" si="9"/>
        <v>0.75503141558217601</v>
      </c>
      <c r="G58" s="4142">
        <f t="shared" si="7"/>
        <v>-2.1931858142636269E-2</v>
      </c>
    </row>
    <row r="59" spans="1:13" hidden="1">
      <c r="A59" s="4134" t="s">
        <v>3243</v>
      </c>
      <c r="B59" s="5855"/>
      <c r="C59" s="258">
        <v>16.010000000000002</v>
      </c>
      <c r="D59" s="799">
        <f>'F22'!W34</f>
        <v>16.01154304991088</v>
      </c>
      <c r="E59" s="4142">
        <f t="shared" si="8"/>
        <v>1.385550587209589</v>
      </c>
      <c r="F59" s="4142">
        <f t="shared" si="9"/>
        <v>1.385684127104037</v>
      </c>
      <c r="G59" s="4142">
        <f t="shared" si="7"/>
        <v>9.6380381691370088E-5</v>
      </c>
    </row>
    <row r="60" spans="1:13" hidden="1">
      <c r="A60" s="4134" t="s">
        <v>3244</v>
      </c>
      <c r="B60" s="5855"/>
      <c r="C60" s="258">
        <v>12.04</v>
      </c>
      <c r="D60" s="799">
        <f>'F22'!W35</f>
        <v>11.99353814946528</v>
      </c>
      <c r="E60" s="4142">
        <f t="shared" si="8"/>
        <v>1.0419755821363803</v>
      </c>
      <c r="F60" s="4142">
        <f t="shared" si="9"/>
        <v>1.0379546424554793</v>
      </c>
      <c r="G60" s="4142">
        <f t="shared" si="7"/>
        <v>-3.8589576856078874E-3</v>
      </c>
    </row>
    <row r="61" spans="1:13" hidden="1"/>
    <row r="62" spans="1:13" hidden="1">
      <c r="A62" s="4925" t="s">
        <v>3647</v>
      </c>
      <c r="B62" s="4922"/>
      <c r="C62" s="4922"/>
      <c r="D62" s="4922"/>
      <c r="E62" s="4922"/>
      <c r="F62" s="4922"/>
      <c r="G62" s="4922"/>
      <c r="H62" s="4922"/>
      <c r="I62" s="4922"/>
      <c r="J62" s="4922"/>
      <c r="K62" s="4922"/>
      <c r="L62" s="4922"/>
      <c r="M62" s="4922"/>
    </row>
    <row r="63" spans="1:13" hidden="1"/>
    <row r="64" spans="1:13" hidden="1"/>
    <row r="65" spans="1:11" ht="37.5" hidden="1" customHeight="1">
      <c r="A65" s="5997" t="s">
        <v>1938</v>
      </c>
      <c r="B65" s="5700" t="s">
        <v>3246</v>
      </c>
      <c r="C65" s="5700" t="s">
        <v>3247</v>
      </c>
      <c r="D65" s="5700"/>
      <c r="E65" s="5700"/>
      <c r="F65" s="5700"/>
      <c r="G65" s="5700"/>
      <c r="H65" s="5700"/>
      <c r="I65" s="5700" t="s">
        <v>3248</v>
      </c>
      <c r="J65" s="5700"/>
      <c r="K65" s="5700" t="s">
        <v>3249</v>
      </c>
    </row>
    <row r="66" spans="1:11" ht="15.75" hidden="1" customHeight="1">
      <c r="A66" s="5997"/>
      <c r="B66" s="5700"/>
      <c r="C66" s="5732" t="s">
        <v>2442</v>
      </c>
      <c r="D66" s="5732"/>
      <c r="E66" s="5732"/>
      <c r="F66" s="5732" t="s">
        <v>2443</v>
      </c>
      <c r="G66" s="5732"/>
      <c r="H66" s="5732"/>
      <c r="I66" s="5700" t="s">
        <v>3645</v>
      </c>
      <c r="J66" s="5700" t="s">
        <v>3646</v>
      </c>
      <c r="K66" s="5700"/>
    </row>
    <row r="67" spans="1:11" ht="83.25" hidden="1" customHeight="1">
      <c r="A67" s="5997"/>
      <c r="B67" s="5700"/>
      <c r="C67" s="4893" t="s">
        <v>755</v>
      </c>
      <c r="D67" s="4893" t="s">
        <v>96</v>
      </c>
      <c r="E67" s="4893" t="s">
        <v>3648</v>
      </c>
      <c r="F67" s="4893" t="s">
        <v>755</v>
      </c>
      <c r="G67" s="4893" t="s">
        <v>3649</v>
      </c>
      <c r="H67" s="4893" t="s">
        <v>3650</v>
      </c>
      <c r="I67" s="5700"/>
      <c r="J67" s="5700"/>
      <c r="K67" s="5700"/>
    </row>
    <row r="68" spans="1:11" hidden="1">
      <c r="A68" s="4140" t="s">
        <v>1989</v>
      </c>
      <c r="B68" s="841"/>
      <c r="C68" s="841"/>
      <c r="D68" s="841"/>
      <c r="E68" s="841"/>
      <c r="F68" s="841"/>
      <c r="G68" s="841"/>
      <c r="H68" s="841"/>
      <c r="I68" s="841"/>
      <c r="J68" s="841"/>
      <c r="K68" s="841"/>
    </row>
    <row r="69" spans="1:11" hidden="1">
      <c r="A69" s="4127" t="s">
        <v>3226</v>
      </c>
      <c r="B69" s="5922">
        <f>'F18'!$E$48</f>
        <v>10.952325555483579</v>
      </c>
      <c r="C69" s="258">
        <v>1.02</v>
      </c>
      <c r="D69" s="799">
        <f>F14.1.1!W9</f>
        <v>1.1495720937865392</v>
      </c>
      <c r="E69" s="4921">
        <f>(D69/C69)-1</f>
        <v>0.12703146449660707</v>
      </c>
      <c r="F69" s="258">
        <v>1.22</v>
      </c>
      <c r="G69" s="1924">
        <f>F14.1.2!W9</f>
        <v>1.1460787119225593</v>
      </c>
      <c r="H69" s="1924">
        <f>F14.1!V9</f>
        <v>1.2707558371553473</v>
      </c>
      <c r="I69" s="4921">
        <f>G69/$B$69</f>
        <v>0.1046424986288637</v>
      </c>
      <c r="J69" s="4921">
        <f>H69/$B$69</f>
        <v>0.11602611981517559</v>
      </c>
      <c r="K69" s="4921">
        <f>(H69/G69)-1</f>
        <v>0.10878583114386697</v>
      </c>
    </row>
    <row r="70" spans="1:11" hidden="1">
      <c r="A70" s="4130" t="s">
        <v>3046</v>
      </c>
      <c r="B70" s="5855"/>
      <c r="C70" s="258">
        <v>7.47</v>
      </c>
      <c r="D70" s="799">
        <f>F14.1.1!W10</f>
        <v>7.3981165914057598</v>
      </c>
      <c r="E70" s="4921">
        <f t="shared" ref="E70:E89" si="10">(D70/C70)-1</f>
        <v>-9.6229462642891672E-3</v>
      </c>
      <c r="F70" s="258">
        <v>8.31</v>
      </c>
      <c r="G70" s="1924">
        <f>F14.1.2!W10</f>
        <v>7.3905824452668112</v>
      </c>
      <c r="H70" s="1924">
        <f>F14.1!V10</f>
        <v>7.7883246472077268</v>
      </c>
      <c r="I70" s="4921">
        <f t="shared" ref="I70:I83" si="11">G70/$B$69</f>
        <v>0.67479572332165705</v>
      </c>
      <c r="J70" s="4921">
        <f t="shared" ref="J70:J83" si="12">H70/$B$69</f>
        <v>0.71111149935716533</v>
      </c>
      <c r="K70" s="4921">
        <f t="shared" ref="K70:K89" si="13">(H70/G70)-1</f>
        <v>5.3817436566943933E-2</v>
      </c>
    </row>
    <row r="71" spans="1:11" hidden="1">
      <c r="A71" s="4130" t="s">
        <v>3227</v>
      </c>
      <c r="B71" s="5855"/>
      <c r="C71" s="258">
        <v>12.6</v>
      </c>
      <c r="D71" s="799">
        <f>F14.1.1!W14</f>
        <v>12.712861962587565</v>
      </c>
      <c r="E71" s="4921">
        <f t="shared" si="10"/>
        <v>8.9572986180608272E-3</v>
      </c>
      <c r="F71" s="258">
        <v>13.51</v>
      </c>
      <c r="G71" s="1924">
        <f>F14.1.2!W14</f>
        <v>12.691095290657362</v>
      </c>
      <c r="H71" s="1924">
        <f>F14.1!V14</f>
        <v>12.945523927304748</v>
      </c>
      <c r="I71" s="4921">
        <f t="shared" si="11"/>
        <v>1.1587580396843866</v>
      </c>
      <c r="J71" s="4921">
        <f t="shared" si="12"/>
        <v>1.1819885979213995</v>
      </c>
      <c r="K71" s="4921">
        <f t="shared" si="13"/>
        <v>2.0047807602129097E-2</v>
      </c>
    </row>
    <row r="72" spans="1:11" hidden="1">
      <c r="A72" s="4130" t="s">
        <v>3228</v>
      </c>
      <c r="B72" s="5855"/>
      <c r="C72" s="258">
        <v>13.67</v>
      </c>
      <c r="D72" s="799">
        <f>F14.1.1!W16</f>
        <v>14.076096230392235</v>
      </c>
      <c r="E72" s="4921">
        <f t="shared" si="10"/>
        <v>2.9707112684143056E-2</v>
      </c>
      <c r="F72" s="258">
        <v>14.67</v>
      </c>
      <c r="G72" s="1924">
        <f>F14.1.2!W16</f>
        <v>14.076096230392237</v>
      </c>
      <c r="H72" s="1924">
        <f>F14.1!V16</f>
        <v>14.332797958458022</v>
      </c>
      <c r="I72" s="4921">
        <f t="shared" si="11"/>
        <v>1.2852152868433186</v>
      </c>
      <c r="J72" s="4921">
        <f t="shared" si="12"/>
        <v>1.3086533892595913</v>
      </c>
      <c r="K72" s="4921">
        <f t="shared" si="13"/>
        <v>1.8236713067613985E-2</v>
      </c>
    </row>
    <row r="73" spans="1:11" hidden="1">
      <c r="A73" s="4130" t="s">
        <v>3229</v>
      </c>
      <c r="B73" s="5855"/>
      <c r="C73" s="258">
        <v>14.18</v>
      </c>
      <c r="D73" s="799">
        <f>F14.1.1!W17</f>
        <v>14.372643694393448</v>
      </c>
      <c r="E73" s="4921">
        <f t="shared" si="10"/>
        <v>1.3585591988254375E-2</v>
      </c>
      <c r="F73" s="258">
        <v>15.18</v>
      </c>
      <c r="G73" s="1924">
        <f>F14.1.2!W17</f>
        <v>14.372643694393448</v>
      </c>
      <c r="H73" s="1924">
        <f>F14.1!V17</f>
        <v>14.608279435901114</v>
      </c>
      <c r="I73" s="4921">
        <f t="shared" si="11"/>
        <v>1.3122914965942911</v>
      </c>
      <c r="J73" s="4921">
        <f t="shared" si="12"/>
        <v>1.3338061731179167</v>
      </c>
      <c r="K73" s="4921">
        <f t="shared" si="13"/>
        <v>1.6394738958121158E-2</v>
      </c>
    </row>
    <row r="74" spans="1:11" hidden="1">
      <c r="A74" s="4130" t="s">
        <v>3230</v>
      </c>
      <c r="B74" s="5855"/>
      <c r="C74" s="258">
        <v>11.56</v>
      </c>
      <c r="D74" s="799">
        <f>F14.1.1!W18</f>
        <v>11.599823051374536</v>
      </c>
      <c r="E74" s="4921">
        <f t="shared" si="10"/>
        <v>3.4449006379355662E-3</v>
      </c>
      <c r="F74" s="258">
        <v>12.24</v>
      </c>
      <c r="G74" s="1924">
        <f>F14.1.2!W18</f>
        <v>11.580319735667182</v>
      </c>
      <c r="H74" s="1924">
        <f>F14.1!V18</f>
        <v>11.635449796156617</v>
      </c>
      <c r="I74" s="4921">
        <f t="shared" si="11"/>
        <v>1.0573388890790578</v>
      </c>
      <c r="J74" s="4921">
        <f t="shared" si="12"/>
        <v>1.0623725287576951</v>
      </c>
      <c r="K74" s="4921">
        <f t="shared" si="13"/>
        <v>4.7606682499132802E-3</v>
      </c>
    </row>
    <row r="75" spans="1:11" hidden="1">
      <c r="A75" s="4130" t="s">
        <v>3231</v>
      </c>
      <c r="B75" s="5855"/>
      <c r="C75" s="258">
        <v>12.04</v>
      </c>
      <c r="D75" s="799">
        <f>F14.1.1!W20</f>
        <v>12.259783928823611</v>
      </c>
      <c r="E75" s="4921">
        <f t="shared" si="10"/>
        <v>1.8254479138173796E-2</v>
      </c>
      <c r="F75" s="258">
        <v>12.84</v>
      </c>
      <c r="G75" s="1924">
        <f>F14.1.2!W20</f>
        <v>12.259783928823612</v>
      </c>
      <c r="H75" s="1924">
        <f>F14.1!V20</f>
        <v>12.423705373995952</v>
      </c>
      <c r="I75" s="4921">
        <f t="shared" si="11"/>
        <v>1.1193772378949618</v>
      </c>
      <c r="J75" s="4921">
        <f t="shared" si="12"/>
        <v>1.1343440542429537</v>
      </c>
      <c r="K75" s="4921">
        <f t="shared" si="13"/>
        <v>1.3370663473680766E-2</v>
      </c>
    </row>
    <row r="76" spans="1:11" hidden="1">
      <c r="A76" s="4130" t="s">
        <v>3232</v>
      </c>
      <c r="B76" s="5855"/>
      <c r="C76" s="258">
        <v>11.84</v>
      </c>
      <c r="D76" s="799">
        <f>F14.1.1!W21</f>
        <v>11.882490433823579</v>
      </c>
      <c r="E76" s="4921">
        <f t="shared" si="10"/>
        <v>3.5887190729373408E-3</v>
      </c>
      <c r="F76" s="258">
        <v>12.49</v>
      </c>
      <c r="G76" s="1924">
        <f>F14.1.2!W21</f>
        <v>11.882490433823579</v>
      </c>
      <c r="H76" s="1924">
        <f>F14.1!V21</f>
        <v>11.917357572415526</v>
      </c>
      <c r="I76" s="4921">
        <f t="shared" si="11"/>
        <v>1.084928527154152</v>
      </c>
      <c r="J76" s="4921">
        <f t="shared" si="12"/>
        <v>1.0881120646061124</v>
      </c>
      <c r="K76" s="4921">
        <f t="shared" si="13"/>
        <v>2.9343291952246275E-3</v>
      </c>
    </row>
    <row r="77" spans="1:11" hidden="1">
      <c r="A77" s="4130" t="s">
        <v>3233</v>
      </c>
      <c r="B77" s="5855"/>
      <c r="C77" s="258">
        <v>21.33</v>
      </c>
      <c r="D77" s="799">
        <f>F14.1.1!W22</f>
        <v>22.5507472750941</v>
      </c>
      <c r="E77" s="4921">
        <f t="shared" si="10"/>
        <v>5.7231470937370021E-2</v>
      </c>
      <c r="F77" s="258">
        <v>21.93</v>
      </c>
      <c r="G77" s="1924">
        <f>F14.1.2!W22</f>
        <v>22.481898192283154</v>
      </c>
      <c r="H77" s="1924">
        <f>F14.1!V22</f>
        <v>21.910443204183331</v>
      </c>
      <c r="I77" s="4921">
        <f t="shared" si="11"/>
        <v>2.0527054348769775</v>
      </c>
      <c r="J77" s="4921">
        <f t="shared" si="12"/>
        <v>2.0005288459685415</v>
      </c>
      <c r="K77" s="4921">
        <f t="shared" si="13"/>
        <v>-2.541844924357739E-2</v>
      </c>
    </row>
    <row r="78" spans="1:11" hidden="1">
      <c r="A78" s="4130" t="s">
        <v>3234</v>
      </c>
      <c r="B78" s="5855"/>
      <c r="C78" s="258">
        <v>11.18</v>
      </c>
      <c r="D78" s="799">
        <f>F14.1.1!W23</f>
        <v>11.586096230392233</v>
      </c>
      <c r="E78" s="4921">
        <f t="shared" si="10"/>
        <v>3.6323455312364361E-2</v>
      </c>
      <c r="F78" s="258">
        <v>12.18</v>
      </c>
      <c r="G78" s="1924">
        <f>F14.1.2!W23</f>
        <v>11.586096230392236</v>
      </c>
      <c r="H78" s="1924">
        <f>F14.1!V23</f>
        <v>12.087484682545032</v>
      </c>
      <c r="I78" s="4921">
        <f t="shared" si="11"/>
        <v>1.057866310830337</v>
      </c>
      <c r="J78" s="4921">
        <f t="shared" si="12"/>
        <v>1.1036454880117315</v>
      </c>
      <c r="K78" s="4921">
        <f t="shared" si="13"/>
        <v>4.3275011892061732E-2</v>
      </c>
    </row>
    <row r="79" spans="1:11" hidden="1">
      <c r="A79" s="4130" t="s">
        <v>3235</v>
      </c>
      <c r="B79" s="5855"/>
      <c r="C79" s="799">
        <v>6</v>
      </c>
      <c r="D79" s="799">
        <f>F14.1.1!W24</f>
        <v>5.9905288542900674</v>
      </c>
      <c r="E79" s="4921">
        <f t="shared" si="10"/>
        <v>-1.5785242849887249E-3</v>
      </c>
      <c r="F79" s="258">
        <v>6.49</v>
      </c>
      <c r="G79" s="1924">
        <f>F14.1.2!W24</f>
        <v>5.990515617475058</v>
      </c>
      <c r="H79" s="1924">
        <f>F14.1!V24</f>
        <v>3.105347533048703</v>
      </c>
      <c r="I79" s="4921">
        <f t="shared" si="11"/>
        <v>0.54696288812157745</v>
      </c>
      <c r="J79" s="4921">
        <f t="shared" si="12"/>
        <v>0.2835331653827553</v>
      </c>
      <c r="K79" s="4921">
        <f t="shared" si="13"/>
        <v>-0.48162266299915335</v>
      </c>
    </row>
    <row r="80" spans="1:11" hidden="1">
      <c r="A80" s="4130" t="s">
        <v>3236</v>
      </c>
      <c r="B80" s="5855"/>
      <c r="C80" s="258">
        <v>16.079999999999998</v>
      </c>
      <c r="D80" s="799">
        <f>F14.1.1!W25</f>
        <v>16.138041918349824</v>
      </c>
      <c r="E80" s="4921">
        <f t="shared" si="10"/>
        <v>3.6095720366806638E-3</v>
      </c>
      <c r="F80" s="258">
        <v>17.059999999999999</v>
      </c>
      <c r="G80" s="1924">
        <f>F14.1.2!W25</f>
        <v>16.132584497296044</v>
      </c>
      <c r="H80" s="1924">
        <f>F14.1!V25</f>
        <v>16.459711435207357</v>
      </c>
      <c r="I80" s="4921">
        <f t="shared" si="11"/>
        <v>1.4729825565876122</v>
      </c>
      <c r="J80" s="4921">
        <f t="shared" si="12"/>
        <v>1.5028508193829533</v>
      </c>
      <c r="K80" s="4921">
        <f t="shared" si="13"/>
        <v>2.0277404278659983E-2</v>
      </c>
    </row>
    <row r="81" spans="1:11" hidden="1">
      <c r="A81" s="4130" t="s">
        <v>3237</v>
      </c>
      <c r="B81" s="5855"/>
      <c r="C81" s="258">
        <v>5.97</v>
      </c>
      <c r="D81" s="799">
        <f>F14.1.1!W26</f>
        <v>5.93799642355388</v>
      </c>
      <c r="E81" s="4921">
        <f t="shared" si="10"/>
        <v>-5.3607330730518488E-3</v>
      </c>
      <c r="F81" s="258">
        <v>6.52</v>
      </c>
      <c r="G81" s="1924">
        <f>F14.1.2!W26</f>
        <v>5.9365448178014528</v>
      </c>
      <c r="H81" s="1924">
        <f>F14.1!V26</f>
        <v>6.1603842224151926</v>
      </c>
      <c r="I81" s="4921">
        <f t="shared" si="11"/>
        <v>0.54203509453105692</v>
      </c>
      <c r="J81" s="4921">
        <f t="shared" si="12"/>
        <v>0.5624727087600887</v>
      </c>
      <c r="K81" s="4921">
        <f t="shared" si="13"/>
        <v>3.7705333907785965E-2</v>
      </c>
    </row>
    <row r="82" spans="1:11" hidden="1">
      <c r="A82" s="4132" t="s">
        <v>3238</v>
      </c>
      <c r="B82" s="5855"/>
      <c r="C82" s="258">
        <v>11.81</v>
      </c>
      <c r="D82" s="799">
        <f>F14.1.1!W27</f>
        <v>12.135104192727411</v>
      </c>
      <c r="E82" s="4921">
        <f t="shared" si="10"/>
        <v>2.7527874066673119E-2</v>
      </c>
      <c r="F82" s="258">
        <v>12.46</v>
      </c>
      <c r="G82" s="1924">
        <f>F14.1.2!W27</f>
        <v>12.122712116627298</v>
      </c>
      <c r="H82" s="1924">
        <f>F14.1!V27</f>
        <v>12.155792776975876</v>
      </c>
      <c r="I82" s="4921">
        <f t="shared" si="11"/>
        <v>1.106861922174851</v>
      </c>
      <c r="J82" s="4921">
        <f t="shared" si="12"/>
        <v>1.1098823455708682</v>
      </c>
      <c r="K82" s="4921">
        <f t="shared" si="13"/>
        <v>2.7288167887122849E-3</v>
      </c>
    </row>
    <row r="83" spans="1:11" hidden="1">
      <c r="A83" s="4132" t="s">
        <v>3239</v>
      </c>
      <c r="B83" s="5855"/>
      <c r="C83" s="258">
        <v>12.19</v>
      </c>
      <c r="D83" s="799">
        <f>F14.1.1!W28</f>
        <v>12.356988520588295</v>
      </c>
      <c r="E83" s="4921">
        <f t="shared" si="10"/>
        <v>1.3698812189359755E-2</v>
      </c>
      <c r="F83" s="258">
        <v>12.89</v>
      </c>
      <c r="G83" s="1924">
        <f>F14.1.2!W28</f>
        <v>12.356988520588297</v>
      </c>
      <c r="H83" s="1924">
        <f>F14.1!V28</f>
        <v>12.421252887327483</v>
      </c>
      <c r="I83" s="4921">
        <f t="shared" si="11"/>
        <v>1.1282524846425366</v>
      </c>
      <c r="J83" s="4921">
        <f t="shared" si="12"/>
        <v>1.1341201304145352</v>
      </c>
      <c r="K83" s="4921">
        <f t="shared" si="13"/>
        <v>5.2006495459726576E-3</v>
      </c>
    </row>
    <row r="84" spans="1:11" hidden="1">
      <c r="A84" s="4139" t="s">
        <v>2004</v>
      </c>
      <c r="B84" s="4141"/>
      <c r="C84" s="4141"/>
      <c r="D84" s="841"/>
      <c r="E84" s="841"/>
      <c r="F84" s="841"/>
      <c r="G84" s="842"/>
      <c r="H84" s="842"/>
      <c r="I84" s="842"/>
      <c r="J84" s="842"/>
      <c r="K84" s="842"/>
    </row>
    <row r="85" spans="1:11" hidden="1">
      <c r="A85" s="4134" t="s">
        <v>3240</v>
      </c>
      <c r="B85" s="5922">
        <f>'F18'!$E$48</f>
        <v>10.952325555483579</v>
      </c>
      <c r="C85" s="258">
        <v>11.22</v>
      </c>
      <c r="D85" s="799">
        <f>F14.1.1!W31</f>
        <v>11.334013004795443</v>
      </c>
      <c r="E85" s="4921">
        <f t="shared" si="10"/>
        <v>1.0161586880164108E-2</v>
      </c>
      <c r="F85" s="258">
        <v>12.22</v>
      </c>
      <c r="G85" s="1924">
        <f>F14.1.2!W31</f>
        <v>11.334013004795441</v>
      </c>
      <c r="H85" s="1924">
        <f>F14.1!V31</f>
        <v>11.65957199173485</v>
      </c>
      <c r="I85" s="4921">
        <f>G85/$B$85</f>
        <v>1.0348498999028348</v>
      </c>
      <c r="J85" s="4921">
        <f>H85/$B$85</f>
        <v>1.0645750012331554</v>
      </c>
      <c r="K85" s="4921">
        <f t="shared" si="13"/>
        <v>2.8724070353692399E-2</v>
      </c>
    </row>
    <row r="86" spans="1:11" hidden="1">
      <c r="A86" s="4134" t="s">
        <v>3241</v>
      </c>
      <c r="B86" s="5855"/>
      <c r="C86" s="258">
        <v>12.06</v>
      </c>
      <c r="D86" s="799">
        <f>F14.1.1!W32</f>
        <v>12.127657738235341</v>
      </c>
      <c r="E86" s="4921">
        <f t="shared" si="10"/>
        <v>5.6100943810397652E-3</v>
      </c>
      <c r="F86" s="258">
        <v>13.16</v>
      </c>
      <c r="G86" s="1924">
        <f>F14.1.2!W32</f>
        <v>12.127657738235339</v>
      </c>
      <c r="H86" s="1924">
        <f>F14.1!V32</f>
        <v>12.504181364356786</v>
      </c>
      <c r="I86" s="4921">
        <f t="shared" ref="I86:I89" si="14">G86/$B$85</f>
        <v>1.1073134812143433</v>
      </c>
      <c r="J86" s="4921">
        <f t="shared" ref="J86:J89" si="15">H86/$B$85</f>
        <v>1.1416918992237433</v>
      </c>
      <c r="K86" s="4921">
        <f t="shared" si="13"/>
        <v>3.1046689661629046E-2</v>
      </c>
    </row>
    <row r="87" spans="1:11" hidden="1">
      <c r="A87" s="4134" t="s">
        <v>3242</v>
      </c>
      <c r="B87" s="5855"/>
      <c r="C87" s="258">
        <v>8.25</v>
      </c>
      <c r="D87" s="799">
        <f>F14.1.1!W33</f>
        <v>8.0443678253676847</v>
      </c>
      <c r="E87" s="4921">
        <f t="shared" si="10"/>
        <v>-2.4925112076644274E-2</v>
      </c>
      <c r="F87" s="258">
        <v>8.92</v>
      </c>
      <c r="G87" s="1924">
        <f>F14.1.2!W33</f>
        <v>8.0443678253676847</v>
      </c>
      <c r="H87" s="1924">
        <f>F14.1!V33</f>
        <v>8.2365189842808135</v>
      </c>
      <c r="I87" s="4921">
        <f t="shared" si="14"/>
        <v>0.73448947299964562</v>
      </c>
      <c r="J87" s="4921">
        <f t="shared" si="15"/>
        <v>0.75203379798703818</v>
      </c>
      <c r="K87" s="4921">
        <f t="shared" si="13"/>
        <v>2.3886421293067395E-2</v>
      </c>
    </row>
    <row r="88" spans="1:11" hidden="1">
      <c r="A88" s="4134" t="s">
        <v>3243</v>
      </c>
      <c r="B88" s="5855"/>
      <c r="C88" s="258">
        <v>15.26</v>
      </c>
      <c r="D88" s="799">
        <f>F14.1.1!W34</f>
        <v>15.261582662738615</v>
      </c>
      <c r="E88" s="4921">
        <f t="shared" si="10"/>
        <v>1.0371315456203511E-4</v>
      </c>
      <c r="F88" s="258">
        <v>16.010000000000002</v>
      </c>
      <c r="G88" s="1924">
        <f>F14.1.2!W34</f>
        <v>15.261543049910877</v>
      </c>
      <c r="H88" s="1924">
        <f>F14.1!V34</f>
        <v>14.93756882510646</v>
      </c>
      <c r="I88" s="4921">
        <f t="shared" si="14"/>
        <v>1.3934522830422778</v>
      </c>
      <c r="J88" s="4921">
        <f t="shared" si="15"/>
        <v>1.3638718781170234</v>
      </c>
      <c r="K88" s="4921">
        <f t="shared" si="13"/>
        <v>-2.1228143428544621E-2</v>
      </c>
    </row>
    <row r="89" spans="1:11" hidden="1">
      <c r="A89" s="4134" t="s">
        <v>3244</v>
      </c>
      <c r="B89" s="5855"/>
      <c r="C89" s="258">
        <v>10.99</v>
      </c>
      <c r="D89" s="799">
        <f>F14.1.1!W35</f>
        <v>10.943538149465279</v>
      </c>
      <c r="E89" s="4921">
        <f t="shared" si="10"/>
        <v>-4.2276479103476872E-3</v>
      </c>
      <c r="F89" s="258">
        <v>12.04</v>
      </c>
      <c r="G89" s="1924">
        <f>F14.1.2!W35</f>
        <v>10.943538149465278</v>
      </c>
      <c r="H89" s="1924">
        <f>F14.1!V35</f>
        <v>11.361786806301311</v>
      </c>
      <c r="I89" s="4921">
        <f t="shared" si="14"/>
        <v>0.99919766756623651</v>
      </c>
      <c r="J89" s="4921">
        <f t="shared" si="15"/>
        <v>1.0373857815624119</v>
      </c>
      <c r="K89" s="4921">
        <f t="shared" si="13"/>
        <v>3.8218778161473344E-2</v>
      </c>
    </row>
    <row r="92" spans="1:11" ht="23.25" customHeight="1">
      <c r="A92" s="5999" t="s">
        <v>1938</v>
      </c>
      <c r="B92" s="5999"/>
      <c r="C92" s="5998" t="s">
        <v>3246</v>
      </c>
      <c r="D92" s="5998" t="s">
        <v>3247</v>
      </c>
      <c r="E92" s="5998"/>
      <c r="F92" s="5998"/>
      <c r="G92" s="5998" t="s">
        <v>3248</v>
      </c>
      <c r="H92" s="5998"/>
      <c r="I92" s="5998" t="s">
        <v>3249</v>
      </c>
    </row>
    <row r="93" spans="1:11" ht="75.75" customHeight="1">
      <c r="A93" s="5999"/>
      <c r="B93" s="5999"/>
      <c r="C93" s="5998"/>
      <c r="D93" s="5001" t="s">
        <v>3703</v>
      </c>
      <c r="E93" s="5001" t="s">
        <v>3245</v>
      </c>
      <c r="F93" s="5001" t="s">
        <v>3644</v>
      </c>
      <c r="G93" s="5001" t="s">
        <v>3645</v>
      </c>
      <c r="H93" s="5001" t="s">
        <v>3646</v>
      </c>
      <c r="I93" s="5998"/>
    </row>
    <row r="94" spans="1:11">
      <c r="A94" s="4140" t="s">
        <v>1989</v>
      </c>
      <c r="B94" s="841"/>
      <c r="C94" s="842" t="s">
        <v>233</v>
      </c>
      <c r="D94" s="842" t="s">
        <v>234</v>
      </c>
      <c r="E94" s="842" t="s">
        <v>1116</v>
      </c>
      <c r="F94" s="842" t="s">
        <v>2956</v>
      </c>
      <c r="G94" s="842" t="s">
        <v>3704</v>
      </c>
      <c r="H94" s="842" t="s">
        <v>3705</v>
      </c>
      <c r="I94" s="842" t="s">
        <v>3706</v>
      </c>
    </row>
    <row r="95" spans="1:11" s="261" customFormat="1" ht="21" customHeight="1">
      <c r="A95" s="4127" t="s">
        <v>3226</v>
      </c>
      <c r="B95" s="4127" t="s">
        <v>15</v>
      </c>
      <c r="C95" s="5849">
        <f>'F18'!$E$48</f>
        <v>10.952325555483579</v>
      </c>
      <c r="D95" s="4996">
        <f>F14.1.1!X9</f>
        <v>1.1495720937865392</v>
      </c>
      <c r="E95" s="4996">
        <f>F14.1.2!AA9</f>
        <v>1.1460787119225593</v>
      </c>
      <c r="F95" s="4996">
        <f>F14.1!W9</f>
        <v>1.2707558371553473</v>
      </c>
      <c r="G95" s="4152">
        <f>E95/$C$95</f>
        <v>0.1046424986288637</v>
      </c>
      <c r="H95" s="4152">
        <f>F95/$C$95</f>
        <v>0.11602611981517559</v>
      </c>
      <c r="I95" s="4152">
        <f>(F95/E95)-1</f>
        <v>0.10878583114386697</v>
      </c>
    </row>
    <row r="96" spans="1:11" s="261" customFormat="1" ht="21" customHeight="1">
      <c r="A96" s="5004" t="s">
        <v>3046</v>
      </c>
      <c r="B96" s="4127" t="s">
        <v>17</v>
      </c>
      <c r="C96" s="5853"/>
      <c r="D96" s="4996">
        <f>F14.1.1!X10</f>
        <v>3.7957146085106466</v>
      </c>
      <c r="E96" s="4996">
        <f>F14.1.2!AA10</f>
        <v>3.7903154382272275</v>
      </c>
      <c r="F96" s="4996">
        <f>F14.1!W10</f>
        <v>3.8922289818177318</v>
      </c>
      <c r="G96" s="4152">
        <f>E96/$C$95</f>
        <v>0.34607402957717076</v>
      </c>
      <c r="H96" s="4152">
        <f t="shared" ref="H96:H114" si="16">F96/$C$95</f>
        <v>0.3553792262748236</v>
      </c>
      <c r="I96" s="4152">
        <f>(F96/E96)-1</f>
        <v>2.6887879188801866E-2</v>
      </c>
    </row>
    <row r="97" spans="1:9" s="261" customFormat="1" ht="21" customHeight="1">
      <c r="A97" s="4993"/>
      <c r="B97" s="4127" t="s">
        <v>18</v>
      </c>
      <c r="C97" s="5853"/>
      <c r="D97" s="4996">
        <f>F14.1.1!X11</f>
        <v>7.6311420566828208</v>
      </c>
      <c r="E97" s="4996">
        <f>F14.1.2!AA11</f>
        <v>7.6180982729293323</v>
      </c>
      <c r="F97" s="4996">
        <f>F14.1!W11</f>
        <v>8.2097528579849826</v>
      </c>
      <c r="G97" s="4152">
        <f>E97/$C$95</f>
        <v>0.69556901265732773</v>
      </c>
      <c r="H97" s="4152">
        <f t="shared" si="16"/>
        <v>0.74958992192069629</v>
      </c>
      <c r="I97" s="4152">
        <f t="shared" ref="I97:I114" si="17">(F97/E97)-1</f>
        <v>7.7664341395814684E-2</v>
      </c>
    </row>
    <row r="98" spans="1:9" s="261" customFormat="1" ht="21" customHeight="1">
      <c r="A98" s="4993"/>
      <c r="B98" s="4127" t="s">
        <v>19</v>
      </c>
      <c r="C98" s="5853"/>
      <c r="D98" s="4996">
        <f>F14.1.1!X12</f>
        <v>10.247500783281723</v>
      </c>
      <c r="E98" s="4996">
        <f>F14.1.2!AA12</f>
        <v>10.241055737270928</v>
      </c>
      <c r="F98" s="4996">
        <f>F14.1!W12</f>
        <v>10.906458660199377</v>
      </c>
      <c r="G98" s="4152">
        <f>E98/$C$95</f>
        <v>0.93505764464273666</v>
      </c>
      <c r="H98" s="4152">
        <f t="shared" ref="H98:H113" si="18">F98/$C$95</f>
        <v>0.99581213185712525</v>
      </c>
      <c r="I98" s="4152">
        <f t="shared" si="17"/>
        <v>6.4974055409815268E-2</v>
      </c>
    </row>
    <row r="99" spans="1:9" s="261" customFormat="1" ht="21" customHeight="1">
      <c r="A99" s="4993"/>
      <c r="B99" s="4127" t="s">
        <v>20</v>
      </c>
      <c r="C99" s="5853"/>
      <c r="D99" s="4996">
        <f>F14.1.1!X13</f>
        <v>12.849456301152102</v>
      </c>
      <c r="E99" s="4996">
        <f>F14.1.2!AA13</f>
        <v>12.846716694351276</v>
      </c>
      <c r="F99" s="4996">
        <f>F14.1!W13</f>
        <v>13.363640532314296</v>
      </c>
      <c r="G99" s="4152">
        <f>E99/$C$95</f>
        <v>1.1729670223251552</v>
      </c>
      <c r="H99" s="4152">
        <f t="shared" si="18"/>
        <v>1.2201646549506946</v>
      </c>
      <c r="I99" s="4152">
        <f t="shared" si="17"/>
        <v>4.0237817199651582E-2</v>
      </c>
    </row>
    <row r="100" spans="1:9" s="261" customFormat="1" ht="21" customHeight="1">
      <c r="A100" s="5004" t="s">
        <v>3227</v>
      </c>
      <c r="B100" s="4127" t="s">
        <v>3096</v>
      </c>
      <c r="C100" s="5853"/>
      <c r="D100" s="4996">
        <f>F14.1.1!X14</f>
        <v>11.271950737115098</v>
      </c>
      <c r="E100" s="4996">
        <f>F14.1.2!AA14</f>
        <v>11.240865668006439</v>
      </c>
      <c r="F100" s="4996">
        <f>F14.1!W14</f>
        <v>11.596873499814212</v>
      </c>
      <c r="G100" s="4152">
        <f t="shared" ref="G100:G114" si="19">E100/$C$95</f>
        <v>1.0263451000484911</v>
      </c>
      <c r="H100" s="4152">
        <f t="shared" si="18"/>
        <v>1.0588503273633902</v>
      </c>
      <c r="I100" s="4152">
        <f t="shared" si="17"/>
        <v>3.1670855459205116E-2</v>
      </c>
    </row>
    <row r="101" spans="1:9" s="261" customFormat="1" ht="21" customHeight="1">
      <c r="A101" s="4127"/>
      <c r="B101" s="4127" t="s">
        <v>20</v>
      </c>
      <c r="C101" s="5853"/>
      <c r="D101" s="4996">
        <f>F14.1.1!X15</f>
        <v>14.983075540588331</v>
      </c>
      <c r="E101" s="4996">
        <f>F14.1.2!AA15</f>
        <v>14.975990378126415</v>
      </c>
      <c r="F101" s="4996">
        <f>F14.1!W15</f>
        <v>15.070376908071578</v>
      </c>
      <c r="G101" s="4152">
        <f t="shared" si="19"/>
        <v>1.3673799507017284</v>
      </c>
      <c r="H101" s="4152">
        <f t="shared" si="18"/>
        <v>1.3759978948513072</v>
      </c>
      <c r="I101" s="4152">
        <f t="shared" si="17"/>
        <v>6.302523409938976E-3</v>
      </c>
    </row>
    <row r="102" spans="1:9" s="261" customFormat="1" ht="21" customHeight="1">
      <c r="A102" s="5004" t="s">
        <v>3228</v>
      </c>
      <c r="B102" s="4127" t="s">
        <v>28</v>
      </c>
      <c r="C102" s="5853"/>
      <c r="D102" s="4996">
        <f>F14.1.1!X16</f>
        <v>14.076096230392235</v>
      </c>
      <c r="E102" s="4996">
        <f>F14.1.2!AA16</f>
        <v>14.076096230392237</v>
      </c>
      <c r="F102" s="4996">
        <f>F14.1!W16</f>
        <v>14.332797958458022</v>
      </c>
      <c r="G102" s="4152">
        <f t="shared" si="19"/>
        <v>1.2852152868433186</v>
      </c>
      <c r="H102" s="4152">
        <f t="shared" si="18"/>
        <v>1.3086533892595913</v>
      </c>
      <c r="I102" s="4152">
        <f t="shared" si="17"/>
        <v>1.8236713067613985E-2</v>
      </c>
    </row>
    <row r="103" spans="1:9" s="261" customFormat="1" ht="21" customHeight="1">
      <c r="A103" s="5004" t="s">
        <v>3229</v>
      </c>
      <c r="B103" s="4127" t="s">
        <v>28</v>
      </c>
      <c r="C103" s="5853"/>
      <c r="D103" s="4996">
        <f>F14.1.1!X17</f>
        <v>14.372643694393448</v>
      </c>
      <c r="E103" s="4996">
        <f>F14.1.2!AA17</f>
        <v>14.372643694393448</v>
      </c>
      <c r="F103" s="4996">
        <f>F14.1!W17</f>
        <v>14.608279435901114</v>
      </c>
      <c r="G103" s="4152">
        <f t="shared" si="19"/>
        <v>1.3122914965942911</v>
      </c>
      <c r="H103" s="4152">
        <f t="shared" si="18"/>
        <v>1.3338061731179167</v>
      </c>
      <c r="I103" s="4152">
        <f t="shared" si="17"/>
        <v>1.6394738958121158E-2</v>
      </c>
    </row>
    <row r="104" spans="1:9" s="261" customFormat="1" ht="21" customHeight="1">
      <c r="A104" s="5004" t="s">
        <v>3230</v>
      </c>
      <c r="B104" s="4127" t="s">
        <v>25</v>
      </c>
      <c r="C104" s="5853"/>
      <c r="D104" s="4996">
        <f>F14.1.1!X18</f>
        <v>9.9164990164328071</v>
      </c>
      <c r="E104" s="4996">
        <f>F14.1.2!AA18</f>
        <v>9.8883036148519103</v>
      </c>
      <c r="F104" s="4996">
        <f>F14.1!W18</f>
        <v>9.9699163969125522</v>
      </c>
      <c r="G104" s="4152">
        <f t="shared" si="19"/>
        <v>0.90284967925383319</v>
      </c>
      <c r="H104" s="4152">
        <f t="shared" si="18"/>
        <v>0.91030131878437848</v>
      </c>
      <c r="I104" s="4152">
        <f t="shared" si="17"/>
        <v>8.2534664427234006E-3</v>
      </c>
    </row>
    <row r="105" spans="1:9" s="261" customFormat="1" ht="21" customHeight="1">
      <c r="A105" s="4127"/>
      <c r="B105" s="4127" t="s">
        <v>20</v>
      </c>
      <c r="C105" s="5853"/>
      <c r="D105" s="4996">
        <f>F14.1.1!X19</f>
        <v>13.13293385866227</v>
      </c>
      <c r="E105" s="4996">
        <f>F14.1.2!AA19</f>
        <v>13.121346981212783</v>
      </c>
      <c r="F105" s="4996">
        <f>F14.1!W19</f>
        <v>13.152357534225095</v>
      </c>
      <c r="G105" s="4152">
        <f t="shared" si="19"/>
        <v>1.1980420883894585</v>
      </c>
      <c r="H105" s="4152">
        <f t="shared" si="18"/>
        <v>1.2008735010291955</v>
      </c>
      <c r="I105" s="4152">
        <f t="shared" si="17"/>
        <v>2.3633665855122832E-3</v>
      </c>
    </row>
    <row r="106" spans="1:9" s="261" customFormat="1" ht="21" customHeight="1">
      <c r="A106" s="5004" t="s">
        <v>3231</v>
      </c>
      <c r="B106" s="4127" t="s">
        <v>28</v>
      </c>
      <c r="C106" s="5853"/>
      <c r="D106" s="4996">
        <f>F14.1.1!X20</f>
        <v>12.259783928823611</v>
      </c>
      <c r="E106" s="4996">
        <f>F14.1.2!AA20</f>
        <v>12.259783928823612</v>
      </c>
      <c r="F106" s="4996">
        <f>F14.1!W20</f>
        <v>12.423705373995952</v>
      </c>
      <c r="G106" s="4152">
        <f t="shared" si="19"/>
        <v>1.1193772378949618</v>
      </c>
      <c r="H106" s="4152">
        <f t="shared" si="18"/>
        <v>1.1343440542429537</v>
      </c>
      <c r="I106" s="4152">
        <f t="shared" si="17"/>
        <v>1.3370663473680766E-2</v>
      </c>
    </row>
    <row r="107" spans="1:9" s="261" customFormat="1" ht="21" customHeight="1">
      <c r="A107" s="5004" t="s">
        <v>3232</v>
      </c>
      <c r="B107" s="4127" t="s">
        <v>28</v>
      </c>
      <c r="C107" s="5853"/>
      <c r="D107" s="4996">
        <f>F14.1.1!X21</f>
        <v>11.882490433823579</v>
      </c>
      <c r="E107" s="4996">
        <f>F14.1.2!AA21</f>
        <v>11.882490433823579</v>
      </c>
      <c r="F107" s="4996">
        <f>F14.1!W21</f>
        <v>11.917357572415526</v>
      </c>
      <c r="G107" s="4152">
        <f t="shared" si="19"/>
        <v>1.084928527154152</v>
      </c>
      <c r="H107" s="4152">
        <f t="shared" si="18"/>
        <v>1.0881120646061124</v>
      </c>
      <c r="I107" s="4152">
        <f t="shared" si="17"/>
        <v>2.9343291952246275E-3</v>
      </c>
    </row>
    <row r="108" spans="1:9" s="261" customFormat="1" ht="21" customHeight="1">
      <c r="A108" s="5004" t="s">
        <v>3233</v>
      </c>
      <c r="B108" s="4127" t="s">
        <v>28</v>
      </c>
      <c r="C108" s="5853"/>
      <c r="D108" s="4996">
        <f>F14.1.1!X22</f>
        <v>22.5507472750941</v>
      </c>
      <c r="E108" s="4996">
        <f>F14.1.2!AA22</f>
        <v>22.481898192283154</v>
      </c>
      <c r="F108" s="4996">
        <f>F14.1!W22</f>
        <v>21.910443204183331</v>
      </c>
      <c r="G108" s="4152">
        <f t="shared" si="19"/>
        <v>2.0527054348769775</v>
      </c>
      <c r="H108" s="4152">
        <f t="shared" si="18"/>
        <v>2.0005288459685415</v>
      </c>
      <c r="I108" s="4152">
        <f t="shared" si="17"/>
        <v>-2.541844924357739E-2</v>
      </c>
    </row>
    <row r="109" spans="1:9" s="261" customFormat="1" ht="21" customHeight="1">
      <c r="A109" s="5004" t="s">
        <v>3234</v>
      </c>
      <c r="B109" s="4127" t="s">
        <v>28</v>
      </c>
      <c r="C109" s="5853"/>
      <c r="D109" s="4996">
        <f>F14.1.1!X23</f>
        <v>11.586096230392233</v>
      </c>
      <c r="E109" s="4996">
        <f>F14.1.2!AA23</f>
        <v>11.586096230392236</v>
      </c>
      <c r="F109" s="4996">
        <f>F14.1!W23</f>
        <v>12.087484682545032</v>
      </c>
      <c r="G109" s="4152">
        <f t="shared" si="19"/>
        <v>1.057866310830337</v>
      </c>
      <c r="H109" s="4152">
        <f t="shared" si="18"/>
        <v>1.1036454880117315</v>
      </c>
      <c r="I109" s="4152">
        <f t="shared" si="17"/>
        <v>4.3275011892061732E-2</v>
      </c>
    </row>
    <row r="110" spans="1:9" s="261" customFormat="1" ht="21" customHeight="1">
      <c r="A110" s="5004" t="s">
        <v>3235</v>
      </c>
      <c r="B110" s="4127" t="s">
        <v>28</v>
      </c>
      <c r="C110" s="5853"/>
      <c r="D110" s="4996">
        <f>F14.1.1!X24</f>
        <v>5.9905288542900674</v>
      </c>
      <c r="E110" s="4996">
        <f>F14.1.2!AA24</f>
        <v>5.990515617475058</v>
      </c>
      <c r="F110" s="4996">
        <f>F14.1!W24</f>
        <v>3.105347533048703</v>
      </c>
      <c r="G110" s="4152">
        <f t="shared" si="19"/>
        <v>0.54696288812157745</v>
      </c>
      <c r="H110" s="4152">
        <f t="shared" si="18"/>
        <v>0.2835331653827553</v>
      </c>
      <c r="I110" s="4152">
        <f t="shared" si="17"/>
        <v>-0.48162266299915335</v>
      </c>
    </row>
    <row r="111" spans="1:9" s="261" customFormat="1" ht="21" customHeight="1">
      <c r="A111" s="5004" t="s">
        <v>3236</v>
      </c>
      <c r="B111" s="4127" t="s">
        <v>28</v>
      </c>
      <c r="C111" s="5853"/>
      <c r="D111" s="4996">
        <f>F14.1.1!X25</f>
        <v>16.138041918349824</v>
      </c>
      <c r="E111" s="4996">
        <f>F14.1.2!AA25</f>
        <v>16.132584497296044</v>
      </c>
      <c r="F111" s="4996">
        <f>F14.1!W25</f>
        <v>16.459711435207357</v>
      </c>
      <c r="G111" s="4152">
        <f t="shared" si="19"/>
        <v>1.4729825565876122</v>
      </c>
      <c r="H111" s="4152">
        <f t="shared" si="18"/>
        <v>1.5028508193829533</v>
      </c>
      <c r="I111" s="4152">
        <f t="shared" si="17"/>
        <v>2.0277404278659983E-2</v>
      </c>
    </row>
    <row r="112" spans="1:9" s="261" customFormat="1" ht="21" customHeight="1">
      <c r="A112" s="5004" t="s">
        <v>3237</v>
      </c>
      <c r="B112" s="4127" t="s">
        <v>28</v>
      </c>
      <c r="C112" s="5853"/>
      <c r="D112" s="4996">
        <f>F14.1.1!X26</f>
        <v>5.93799642355388</v>
      </c>
      <c r="E112" s="4996">
        <f>F14.1.2!AA26</f>
        <v>5.9365448178014528</v>
      </c>
      <c r="F112" s="4996">
        <f>F14.1!W26</f>
        <v>6.1603842224151926</v>
      </c>
      <c r="G112" s="4152">
        <f t="shared" si="19"/>
        <v>0.54203509453105692</v>
      </c>
      <c r="H112" s="4152">
        <f t="shared" si="18"/>
        <v>0.5624727087600887</v>
      </c>
      <c r="I112" s="4152">
        <f t="shared" si="17"/>
        <v>3.7705333907785965E-2</v>
      </c>
    </row>
    <row r="113" spans="1:9" s="261" customFormat="1" ht="21" customHeight="1">
      <c r="A113" s="5005" t="s">
        <v>3238</v>
      </c>
      <c r="B113" s="4127" t="s">
        <v>28</v>
      </c>
      <c r="C113" s="5853"/>
      <c r="D113" s="4996">
        <f>F14.1.1!X27</f>
        <v>12.135104192727411</v>
      </c>
      <c r="E113" s="4996">
        <f>F14.1.2!AA27</f>
        <v>12.122712116627298</v>
      </c>
      <c r="F113" s="4996">
        <f>F14.1!W27</f>
        <v>12.155792776975876</v>
      </c>
      <c r="G113" s="4152">
        <f t="shared" si="19"/>
        <v>1.106861922174851</v>
      </c>
      <c r="H113" s="4152">
        <f t="shared" si="18"/>
        <v>1.1098823455708682</v>
      </c>
      <c r="I113" s="4152">
        <f t="shared" si="17"/>
        <v>2.7288167887122849E-3</v>
      </c>
    </row>
    <row r="114" spans="1:9" s="261" customFormat="1" ht="21" customHeight="1">
      <c r="A114" s="5005" t="s">
        <v>3239</v>
      </c>
      <c r="B114" s="4127" t="s">
        <v>28</v>
      </c>
      <c r="C114" s="5850"/>
      <c r="D114" s="4996">
        <f>F14.1.1!X28</f>
        <v>12.356988520588295</v>
      </c>
      <c r="E114" s="4996">
        <f>F14.1.2!AA28</f>
        <v>12.356988520588297</v>
      </c>
      <c r="F114" s="4996">
        <f>F14.1!W28</f>
        <v>12.421252887327483</v>
      </c>
      <c r="G114" s="4152">
        <f t="shared" si="19"/>
        <v>1.1282524846425366</v>
      </c>
      <c r="H114" s="4152">
        <f t="shared" si="16"/>
        <v>1.1341201304145352</v>
      </c>
      <c r="I114" s="4152">
        <f t="shared" si="17"/>
        <v>5.2006495459726576E-3</v>
      </c>
    </row>
    <row r="115" spans="1:9" s="261" customFormat="1" ht="21" customHeight="1">
      <c r="A115" s="4139" t="s">
        <v>2004</v>
      </c>
      <c r="B115" s="4141"/>
      <c r="C115" s="4924"/>
      <c r="D115" s="4158"/>
      <c r="E115" s="4158"/>
      <c r="F115" s="4158"/>
      <c r="G115" s="4158"/>
      <c r="H115" s="5006"/>
      <c r="I115" s="5006"/>
    </row>
    <row r="116" spans="1:9" s="261" customFormat="1" ht="21" customHeight="1">
      <c r="A116" s="4134" t="s">
        <v>3240</v>
      </c>
      <c r="B116" s="4127" t="s">
        <v>28</v>
      </c>
      <c r="C116" s="5849">
        <f>'F18'!$E$48</f>
        <v>10.952325555483579</v>
      </c>
      <c r="D116" s="4996">
        <f>F14.1.1!X31</f>
        <v>11.334013004795443</v>
      </c>
      <c r="E116" s="4996">
        <f>F14.1.2!AA31</f>
        <v>11.334013004795441</v>
      </c>
      <c r="F116" s="4996">
        <f>F14.1!W31</f>
        <v>11.65957199173485</v>
      </c>
      <c r="G116" s="4152">
        <f>E116/$C$116</f>
        <v>1.0348498999028348</v>
      </c>
      <c r="H116" s="4152">
        <f t="shared" ref="H116:H120" si="20">F116/$C$116</f>
        <v>1.0645750012331554</v>
      </c>
      <c r="I116" s="4152">
        <f>(F116/E116)-1</f>
        <v>2.8724070353692399E-2</v>
      </c>
    </row>
    <row r="117" spans="1:9" s="261" customFormat="1" ht="21" customHeight="1">
      <c r="A117" s="4134" t="s">
        <v>3241</v>
      </c>
      <c r="B117" s="4127" t="s">
        <v>28</v>
      </c>
      <c r="C117" s="5853"/>
      <c r="D117" s="4996">
        <f>F14.1.1!X32</f>
        <v>12.127657738235341</v>
      </c>
      <c r="E117" s="4996">
        <f>F14.1.2!AA32</f>
        <v>12.127657738235339</v>
      </c>
      <c r="F117" s="4996">
        <f>F14.1!W32</f>
        <v>12.504181364356786</v>
      </c>
      <c r="G117" s="4152">
        <f t="shared" ref="G117:G120" si="21">E117/$C$116</f>
        <v>1.1073134812143433</v>
      </c>
      <c r="H117" s="4152">
        <f t="shared" si="20"/>
        <v>1.1416918992237433</v>
      </c>
      <c r="I117" s="4152">
        <f>(F117/E117)-1</f>
        <v>3.1046689661629046E-2</v>
      </c>
    </row>
    <row r="118" spans="1:9" s="261" customFormat="1" ht="21" customHeight="1">
      <c r="A118" s="4134" t="s">
        <v>3242</v>
      </c>
      <c r="B118" s="4127" t="s">
        <v>28</v>
      </c>
      <c r="C118" s="5853"/>
      <c r="D118" s="4996">
        <f>F14.1.1!X33</f>
        <v>8.0443678253676847</v>
      </c>
      <c r="E118" s="4996">
        <f>F14.1.2!AA33</f>
        <v>8.0443678253676847</v>
      </c>
      <c r="F118" s="4996">
        <f>F14.1!W33</f>
        <v>8.2365189842808135</v>
      </c>
      <c r="G118" s="4152">
        <f t="shared" si="21"/>
        <v>0.73448947299964562</v>
      </c>
      <c r="H118" s="4152">
        <f t="shared" si="20"/>
        <v>0.75203379798703818</v>
      </c>
      <c r="I118" s="4152">
        <f>(F118/E118)-1</f>
        <v>2.3886421293067395E-2</v>
      </c>
    </row>
    <row r="119" spans="1:9" s="261" customFormat="1" ht="21" customHeight="1">
      <c r="A119" s="4134" t="s">
        <v>3243</v>
      </c>
      <c r="B119" s="4127" t="s">
        <v>28</v>
      </c>
      <c r="C119" s="5853"/>
      <c r="D119" s="4996">
        <f>F14.1.1!X34</f>
        <v>15.261582662738615</v>
      </c>
      <c r="E119" s="4996">
        <f>F14.1.2!AA34</f>
        <v>15.261543049910877</v>
      </c>
      <c r="F119" s="4996">
        <f>F14.1!W34</f>
        <v>14.93756882510646</v>
      </c>
      <c r="G119" s="4152">
        <f t="shared" si="21"/>
        <v>1.3934522830422778</v>
      </c>
      <c r="H119" s="4152">
        <f t="shared" si="20"/>
        <v>1.3638718781170234</v>
      </c>
      <c r="I119" s="4152">
        <f>(F119/E119)-1</f>
        <v>-2.1228143428544621E-2</v>
      </c>
    </row>
    <row r="120" spans="1:9" s="261" customFormat="1" ht="21" customHeight="1">
      <c r="A120" s="4134" t="s">
        <v>3244</v>
      </c>
      <c r="B120" s="4127" t="s">
        <v>28</v>
      </c>
      <c r="C120" s="5850"/>
      <c r="D120" s="4996">
        <f>F14.1.1!X35</f>
        <v>10.943538149465279</v>
      </c>
      <c r="E120" s="4996">
        <f>F14.1.2!AA35</f>
        <v>10.943538149465278</v>
      </c>
      <c r="F120" s="4996">
        <f>F14.1!W35</f>
        <v>11.361786806301311</v>
      </c>
      <c r="G120" s="4152">
        <f t="shared" si="21"/>
        <v>0.99919766756623651</v>
      </c>
      <c r="H120" s="4152">
        <f t="shared" si="20"/>
        <v>1.0373857815624119</v>
      </c>
      <c r="I120" s="4152">
        <f t="shared" ref="I120" si="22">(F120/E120)-1</f>
        <v>3.8218778161473344E-2</v>
      </c>
    </row>
  </sheetData>
  <mergeCells count="29">
    <mergeCell ref="K65:K67"/>
    <mergeCell ref="I65:J65"/>
    <mergeCell ref="J66:J67"/>
    <mergeCell ref="F66:H66"/>
    <mergeCell ref="C65:H65"/>
    <mergeCell ref="C66:E66"/>
    <mergeCell ref="I66:I67"/>
    <mergeCell ref="C116:C120"/>
    <mergeCell ref="A65:A67"/>
    <mergeCell ref="B65:B67"/>
    <mergeCell ref="G92:H92"/>
    <mergeCell ref="I92:I93"/>
    <mergeCell ref="A92:B93"/>
    <mergeCell ref="C92:C93"/>
    <mergeCell ref="C95:C114"/>
    <mergeCell ref="B69:B83"/>
    <mergeCell ref="B85:B89"/>
    <mergeCell ref="D92:F92"/>
    <mergeCell ref="B40:B54"/>
    <mergeCell ref="B56:B60"/>
    <mergeCell ref="C37:D37"/>
    <mergeCell ref="E37:F37"/>
    <mergeCell ref="A37:A38"/>
    <mergeCell ref="B37:B38"/>
    <mergeCell ref="G37:G38"/>
    <mergeCell ref="G2:J2"/>
    <mergeCell ref="C2:F2"/>
    <mergeCell ref="B2:B3"/>
    <mergeCell ref="A2:A3"/>
  </mergeCells>
  <conditionalFormatting sqref="J85:J89 J69:J83 F40:F60">
    <cfRule type="cellIs" dxfId="6" priority="21" operator="lessThan">
      <formula>0.8</formula>
    </cfRule>
    <cfRule type="cellIs" dxfId="5" priority="22" operator="greaterThan">
      <formula>1.19</formula>
    </cfRule>
    <cfRule type="cellIs" dxfId="4" priority="23" operator="greaterThan">
      <formula>119</formula>
    </cfRule>
  </conditionalFormatting>
  <conditionalFormatting sqref="I69:J83 I85:J89 E40:E54 E56:E60 G95:H114 G116:H120">
    <cfRule type="cellIs" dxfId="3" priority="19" operator="greaterThan">
      <formula>1.2</formula>
    </cfRule>
    <cfRule type="cellIs" dxfId="2" priority="20" operator="lessThan">
      <formula>0.8</formula>
    </cfRule>
  </conditionalFormatting>
  <conditionalFormatting sqref="E69:E83 E85:E89">
    <cfRule type="cellIs" dxfId="1" priority="2" operator="lessThan">
      <formula>0</formula>
    </cfRule>
  </conditionalFormatting>
  <conditionalFormatting sqref="M69:M89">
    <cfRule type="cellIs" dxfId="0" priority="1" operator="lessThan">
      <formula>0</formula>
    </cfRule>
  </conditionalFormatting>
  <pageMargins left="0.7" right="0.7" top="0.75" bottom="0.75" header="0.3" footer="0.3"/>
  <pageSetup paperSize="9" orientation="portrait" horizontalDpi="300" verticalDpi="0" r:id="rId1"/>
</worksheet>
</file>

<file path=xl/worksheets/sheet71.xml><?xml version="1.0" encoding="utf-8"?>
<worksheet xmlns="http://schemas.openxmlformats.org/spreadsheetml/2006/main" xmlns:r="http://schemas.openxmlformats.org/officeDocument/2006/relationships">
  <sheetPr>
    <tabColor rgb="FFFFFF00"/>
  </sheetPr>
  <dimension ref="A1:Z62"/>
  <sheetViews>
    <sheetView view="pageBreakPreview" zoomScale="76" zoomScaleNormal="90" zoomScaleSheetLayoutView="76" workbookViewId="0">
      <pane xSplit="3" ySplit="9" topLeftCell="D35" activePane="bottomRight" state="frozen"/>
      <selection activeCell="G1" sqref="G1"/>
      <selection pane="topRight" activeCell="G1" sqref="G1"/>
      <selection pane="bottomLeft" activeCell="G1" sqref="G1"/>
      <selection pane="bottomRight" activeCell="F52" activeCellId="1" sqref="F39 F52"/>
    </sheetView>
  </sheetViews>
  <sheetFormatPr defaultRowHeight="15.75"/>
  <cols>
    <col min="1" max="1" width="6.85546875" style="3829" customWidth="1"/>
    <col min="2" max="2" width="7" style="3829" customWidth="1"/>
    <col min="3" max="3" width="62.7109375" style="3847" customWidth="1"/>
    <col min="4" max="4" width="16.42578125" style="3847" hidden="1" customWidth="1"/>
    <col min="5" max="5" width="18.7109375" style="3732" bestFit="1" customWidth="1"/>
    <col min="6" max="6" width="19.42578125" style="3732" customWidth="1"/>
    <col min="7" max="7" width="20.42578125" style="3732" customWidth="1"/>
    <col min="8" max="8" width="15.140625" style="3732" customWidth="1"/>
    <col min="9" max="10" width="16.85546875" style="3732" customWidth="1"/>
    <col min="11" max="14" width="16.85546875" style="3847" hidden="1" customWidth="1"/>
    <col min="15" max="15" width="9.140625" style="3847" customWidth="1"/>
    <col min="16" max="16" width="10.5703125" style="3847" customWidth="1"/>
    <col min="17" max="26" width="9.140625" style="3847" customWidth="1"/>
    <col min="27" max="16384" width="9.140625" style="3847"/>
  </cols>
  <sheetData>
    <row r="1" spans="1:26" s="3829" customFormat="1">
      <c r="E1" s="3726"/>
      <c r="F1" s="3726"/>
      <c r="G1" s="3726"/>
      <c r="H1" s="3726"/>
      <c r="I1" s="3726"/>
      <c r="J1" s="3726"/>
    </row>
    <row r="2" spans="1:26" s="3527" customFormat="1">
      <c r="E2" s="3830"/>
      <c r="F2" s="3830"/>
      <c r="G2" s="3830"/>
      <c r="H2" s="3830"/>
      <c r="I2" s="3830"/>
      <c r="J2" s="3830"/>
    </row>
    <row r="3" spans="1:26" s="3527" customFormat="1" hidden="1">
      <c r="B3" s="278"/>
      <c r="C3" s="278"/>
      <c r="D3" s="278"/>
      <c r="E3" s="278"/>
      <c r="F3" s="278"/>
      <c r="G3" s="278"/>
      <c r="H3" s="278"/>
      <c r="I3" s="4240"/>
      <c r="J3" s="3727"/>
      <c r="K3" s="4808"/>
      <c r="L3" s="4808"/>
      <c r="M3" s="4808"/>
      <c r="N3" s="4808"/>
      <c r="O3" s="3526"/>
    </row>
    <row r="4" spans="1:26" s="3527" customFormat="1" hidden="1">
      <c r="B4" s="3526"/>
      <c r="C4" s="3526"/>
      <c r="D4" s="3526"/>
      <c r="E4" s="3526"/>
      <c r="F4" s="3526"/>
      <c r="G4" s="3526"/>
      <c r="H4" s="3526"/>
      <c r="I4" s="3832"/>
      <c r="J4" s="3831"/>
      <c r="K4" s="4809"/>
      <c r="L4" s="4809"/>
      <c r="M4" s="4809"/>
      <c r="N4" s="4809"/>
    </row>
    <row r="5" spans="1:26" s="3527" customFormat="1" ht="20.25">
      <c r="B5" s="3526"/>
      <c r="C5" s="4825" t="s">
        <v>3586</v>
      </c>
      <c r="D5" s="3526"/>
      <c r="E5" s="3526"/>
      <c r="F5" s="3526"/>
      <c r="G5" s="3526"/>
      <c r="H5" s="3526"/>
      <c r="I5" s="3832"/>
      <c r="J5" s="3832"/>
      <c r="K5" s="4809"/>
      <c r="L5" s="4809"/>
      <c r="M5" s="4809"/>
      <c r="N5" s="4809"/>
    </row>
    <row r="6" spans="1:26" s="3829" customFormat="1" ht="20.25">
      <c r="C6" s="4825"/>
      <c r="E6" s="3726"/>
      <c r="F6" s="3726"/>
      <c r="G6" s="3737"/>
      <c r="H6" s="3726"/>
      <c r="I6" s="3726"/>
      <c r="J6" s="4791" t="s">
        <v>973</v>
      </c>
    </row>
    <row r="7" spans="1:26" s="3829" customFormat="1">
      <c r="B7" s="5385" t="s">
        <v>101</v>
      </c>
      <c r="C7" s="5385" t="s">
        <v>81</v>
      </c>
      <c r="D7" s="5385" t="s">
        <v>1897</v>
      </c>
      <c r="E7" s="5387" t="s">
        <v>82</v>
      </c>
      <c r="F7" s="5388"/>
      <c r="G7" s="5389"/>
      <c r="H7" s="5387" t="s">
        <v>1845</v>
      </c>
      <c r="I7" s="5388"/>
      <c r="J7" s="5389"/>
      <c r="K7" s="5384" t="s">
        <v>2613</v>
      </c>
      <c r="L7" s="5384"/>
      <c r="M7" s="5384"/>
      <c r="N7" s="5384"/>
    </row>
    <row r="8" spans="1:26" s="3829" customFormat="1" ht="22.5" customHeight="1">
      <c r="A8" s="3833"/>
      <c r="B8" s="5398"/>
      <c r="C8" s="5398"/>
      <c r="D8" s="5386"/>
      <c r="E8" s="5390"/>
      <c r="F8" s="5391"/>
      <c r="G8" s="5392"/>
      <c r="H8" s="5390"/>
      <c r="I8" s="5391"/>
      <c r="J8" s="5392"/>
      <c r="K8" s="5393" t="s">
        <v>2442</v>
      </c>
      <c r="L8" s="5394"/>
      <c r="M8" s="5393" t="s">
        <v>2443</v>
      </c>
      <c r="N8" s="5394"/>
    </row>
    <row r="9" spans="1:26" s="3829" customFormat="1" ht="47.25" customHeight="1">
      <c r="B9" s="5386"/>
      <c r="C9" s="5386"/>
      <c r="D9" s="4807" t="s">
        <v>1043</v>
      </c>
      <c r="E9" s="4818" t="s">
        <v>755</v>
      </c>
      <c r="F9" s="4818" t="s">
        <v>96</v>
      </c>
      <c r="G9" s="4818" t="s">
        <v>96</v>
      </c>
      <c r="H9" s="4818" t="s">
        <v>755</v>
      </c>
      <c r="I9" s="4818" t="s">
        <v>96</v>
      </c>
      <c r="J9" s="4818" t="s">
        <v>96</v>
      </c>
      <c r="K9" s="4818" t="s">
        <v>755</v>
      </c>
      <c r="L9" s="4818" t="s">
        <v>3399</v>
      </c>
      <c r="M9" s="4818" t="s">
        <v>755</v>
      </c>
      <c r="N9" s="4818" t="s">
        <v>3399</v>
      </c>
    </row>
    <row r="10" spans="1:26" s="3829" customFormat="1">
      <c r="B10" s="4480">
        <v>1</v>
      </c>
      <c r="C10" s="4481" t="s">
        <v>206</v>
      </c>
      <c r="D10" s="4482">
        <f>'F2'!D30-'F2'!D22-'F2'!D21</f>
        <v>2190.19</v>
      </c>
      <c r="E10" s="3730">
        <f>'F2'!G30</f>
        <v>2886.7275043999998</v>
      </c>
      <c r="F10" s="3730">
        <f>'F2'!J30</f>
        <v>2928.2865663006528</v>
      </c>
      <c r="G10" s="3730">
        <f>F10</f>
        <v>2928.2865663006528</v>
      </c>
      <c r="H10" s="3730">
        <f>'F2'!M30</f>
        <v>2987.39</v>
      </c>
      <c r="I10" s="3730">
        <f>'F2'!P30</f>
        <v>2627.3633440730828</v>
      </c>
      <c r="J10" s="3730">
        <f>I10</f>
        <v>2627.3633440730828</v>
      </c>
      <c r="K10" s="3730">
        <f>'F2'!S30</f>
        <v>3209.67</v>
      </c>
      <c r="L10" s="3730">
        <f>'F2'!V30</f>
        <v>2805.6674912671647</v>
      </c>
      <c r="M10" s="3730">
        <f>'F2'!Y30</f>
        <v>3452.7700000000004</v>
      </c>
      <c r="N10" s="3730">
        <f>'F2'!AB30</f>
        <v>2923.1792345576341</v>
      </c>
    </row>
    <row r="11" spans="1:26" s="3829" customFormat="1">
      <c r="B11" s="4484">
        <f>B10+1</f>
        <v>2</v>
      </c>
      <c r="C11" s="4484" t="s">
        <v>199</v>
      </c>
      <c r="D11" s="4485">
        <f>'F3'!E15</f>
        <v>341.67999999999989</v>
      </c>
      <c r="E11" s="3730">
        <f>'F3'!F17</f>
        <v>406.87</v>
      </c>
      <c r="F11" s="3730">
        <f>'F3'!H17</f>
        <v>390.75</v>
      </c>
      <c r="G11" s="3730">
        <f>F11+('F3'!G15-'F3'!H15)*2/3*0</f>
        <v>390.75</v>
      </c>
      <c r="H11" s="3730">
        <f>'F3'!I17</f>
        <v>434.40444000000002</v>
      </c>
      <c r="I11" s="3730">
        <f>'F3'!K17</f>
        <v>464.16000000000008</v>
      </c>
      <c r="J11" s="3730">
        <f>I11+('F3'!J15-'F3'!K15)*2/3*0</f>
        <v>464.16000000000008</v>
      </c>
      <c r="K11" s="3730">
        <f>'F3'!L17</f>
        <v>474.34444000000002</v>
      </c>
      <c r="L11" s="3730">
        <f>'F3'!N17</f>
        <v>513.49999999999989</v>
      </c>
      <c r="M11" s="3730">
        <f>'F3'!O17</f>
        <v>518.55444</v>
      </c>
      <c r="N11" s="3730">
        <f>'F3'!Q17</f>
        <v>559.65</v>
      </c>
      <c r="O11" s="3834"/>
      <c r="P11" s="3834"/>
      <c r="Q11" s="3834"/>
      <c r="R11" s="3834"/>
      <c r="S11" s="3834"/>
      <c r="T11" s="3834"/>
      <c r="U11" s="3834"/>
      <c r="V11" s="3834"/>
      <c r="W11" s="3834"/>
      <c r="X11" s="3834"/>
      <c r="Y11" s="3834"/>
      <c r="Z11" s="3834"/>
    </row>
    <row r="12" spans="1:26" s="3829" customFormat="1">
      <c r="B12" s="4484">
        <f t="shared" ref="B12:B39" si="0">B11+1</f>
        <v>3</v>
      </c>
      <c r="C12" s="4480" t="s">
        <v>240</v>
      </c>
      <c r="D12" s="4487">
        <f>F5.1!E43-F5.1!E40</f>
        <v>60.46</v>
      </c>
      <c r="E12" s="3730">
        <v>94.43</v>
      </c>
      <c r="F12" s="3730">
        <f>'F5'!E25</f>
        <v>90.543197904721723</v>
      </c>
      <c r="G12" s="3730">
        <f>F12</f>
        <v>90.543197904721723</v>
      </c>
      <c r="H12" s="3730">
        <v>105.61</v>
      </c>
      <c r="I12" s="3730">
        <f>'F5'!G25</f>
        <v>96.126071148087917</v>
      </c>
      <c r="J12" s="3730">
        <f>I12</f>
        <v>96.126071148087917</v>
      </c>
      <c r="K12" s="3730">
        <f>'F5'!H25</f>
        <v>119.33</v>
      </c>
      <c r="L12" s="3730">
        <f>'F5'!I25</f>
        <v>98.01</v>
      </c>
      <c r="M12" s="3730">
        <f>'F5'!J25</f>
        <v>133.69</v>
      </c>
      <c r="N12" s="3730">
        <f>'F5'!K25</f>
        <v>104.73063952004611</v>
      </c>
      <c r="P12" s="3834"/>
      <c r="Q12" s="3834"/>
      <c r="R12" s="3834"/>
      <c r="S12" s="3834"/>
      <c r="T12" s="3834"/>
      <c r="U12" s="3834"/>
      <c r="V12" s="3834"/>
    </row>
    <row r="13" spans="1:26" s="3829" customFormat="1">
      <c r="B13" s="4484">
        <f t="shared" si="0"/>
        <v>4</v>
      </c>
      <c r="C13" s="4484" t="s">
        <v>201</v>
      </c>
      <c r="D13" s="4485">
        <f>'F6'!K75</f>
        <v>0</v>
      </c>
      <c r="E13" s="3730">
        <f>'F6'!$D$106</f>
        <v>13.639674487500001</v>
      </c>
      <c r="F13" s="3730">
        <f>'F6'!$E$106</f>
        <v>9.9550327421166394</v>
      </c>
      <c r="G13" s="3730">
        <f>F13</f>
        <v>9.9550327421166394</v>
      </c>
      <c r="H13" s="3730">
        <f>'F6'!$F$106</f>
        <v>23.31</v>
      </c>
      <c r="I13" s="3730">
        <f>'F6'!$G$106</f>
        <v>8.0843822771979976</v>
      </c>
      <c r="J13" s="3730">
        <f>I13</f>
        <v>8.0843822771979976</v>
      </c>
      <c r="K13" s="3730">
        <f>'F6'!I106</f>
        <v>33.619999999999997</v>
      </c>
      <c r="L13" s="3730">
        <f>'F6'!J106</f>
        <v>5.2501522591704965</v>
      </c>
      <c r="M13" s="3730">
        <f>'F6'!K106</f>
        <v>42.81</v>
      </c>
      <c r="N13" s="3730">
        <f>'F6'!L106</f>
        <v>6.7878925038551223</v>
      </c>
      <c r="O13" s="3835"/>
      <c r="P13" s="3834"/>
      <c r="Q13" s="3834"/>
      <c r="R13" s="3834"/>
      <c r="S13" s="3834"/>
      <c r="T13" s="3834"/>
      <c r="U13" s="3834"/>
      <c r="V13" s="3834"/>
    </row>
    <row r="14" spans="1:26" s="3829" customFormat="1">
      <c r="B14" s="4484">
        <f t="shared" si="0"/>
        <v>5</v>
      </c>
      <c r="C14" s="4489" t="s">
        <v>202</v>
      </c>
      <c r="D14" s="4490">
        <f>'F6'!D185</f>
        <v>23.851793923575162</v>
      </c>
      <c r="E14" s="3730">
        <f>'F6'!E185</f>
        <v>29.436296336666661</v>
      </c>
      <c r="F14" s="3730">
        <f>'F6'!F185</f>
        <v>19.222097330426916</v>
      </c>
      <c r="G14" s="3730">
        <f>(F15+(F14-F15)*2/3)</f>
        <v>20.864498220284609</v>
      </c>
      <c r="H14" s="3730">
        <f>'F6'!G185</f>
        <v>31.024150000000006</v>
      </c>
      <c r="I14" s="3730">
        <f>'F6'!H185</f>
        <v>31.152159649816827</v>
      </c>
      <c r="J14" s="3730">
        <f>(I15+(I14-I15)*2/3)</f>
        <v>64.905950866544543</v>
      </c>
      <c r="K14" s="3730">
        <f>'F6'!J185</f>
        <v>34.173888749999989</v>
      </c>
      <c r="L14" s="3730">
        <f>'F6'!K185</f>
        <v>32.208849707363981</v>
      </c>
      <c r="M14" s="3730">
        <f>'F6'!L185</f>
        <v>32.328864583333342</v>
      </c>
      <c r="N14" s="3730">
        <f>'F6'!M185</f>
        <v>42.066798462186561</v>
      </c>
      <c r="O14" s="3835"/>
      <c r="P14" s="3834"/>
      <c r="Q14" s="3834"/>
      <c r="R14" s="3834"/>
      <c r="S14" s="3834"/>
      <c r="T14" s="3834"/>
      <c r="U14" s="3834"/>
      <c r="V14" s="3834"/>
    </row>
    <row r="15" spans="1:26" s="3829" customFormat="1" hidden="1">
      <c r="B15" s="4484">
        <f t="shared" si="0"/>
        <v>6</v>
      </c>
      <c r="C15" s="4489" t="s">
        <v>203</v>
      </c>
      <c r="D15" s="4490">
        <v>0</v>
      </c>
      <c r="E15" s="3730">
        <v>0</v>
      </c>
      <c r="F15" s="3730">
        <f>'F6'!I209</f>
        <v>24.1493</v>
      </c>
      <c r="G15" s="3730">
        <v>0</v>
      </c>
      <c r="H15" s="3730">
        <v>0</v>
      </c>
      <c r="I15" s="3730">
        <f>'F6'!I217</f>
        <v>132.41353329999998</v>
      </c>
      <c r="J15" s="3730">
        <v>0</v>
      </c>
      <c r="K15" s="3730"/>
      <c r="L15" s="3730"/>
      <c r="M15" s="3730"/>
      <c r="N15" s="3730"/>
      <c r="O15" s="3835"/>
      <c r="P15" s="3834"/>
      <c r="Q15" s="3834"/>
      <c r="R15" s="3834"/>
      <c r="S15" s="3834"/>
      <c r="T15" s="3834"/>
      <c r="U15" s="3834"/>
      <c r="V15" s="3834"/>
    </row>
    <row r="16" spans="1:26" s="3829" customFormat="1">
      <c r="B16" s="4484">
        <f t="shared" si="0"/>
        <v>7</v>
      </c>
      <c r="C16" s="4489" t="s">
        <v>204</v>
      </c>
      <c r="D16" s="4490">
        <f>'F6'!D192</f>
        <v>14.291999999999998</v>
      </c>
      <c r="E16" s="3730">
        <f>'F6'!E192</f>
        <v>21.4146</v>
      </c>
      <c r="F16" s="3730">
        <f>'F6'!F192</f>
        <v>23.18</v>
      </c>
      <c r="G16" s="3730">
        <f t="shared" ref="G16:G20" si="1">F16</f>
        <v>23.18</v>
      </c>
      <c r="H16" s="3730">
        <f>'F6'!G192</f>
        <v>22.057200000000002</v>
      </c>
      <c r="I16" s="3730">
        <f>'F6'!H192</f>
        <v>22.5</v>
      </c>
      <c r="J16" s="3730">
        <f>I16</f>
        <v>22.5</v>
      </c>
      <c r="K16" s="3730">
        <f>'F6'!J192</f>
        <v>22.718699999999998</v>
      </c>
      <c r="L16" s="3730">
        <f>'F6'!K192</f>
        <v>30.507499999999997</v>
      </c>
      <c r="M16" s="3730">
        <f>'F6'!L192</f>
        <v>23.4</v>
      </c>
      <c r="N16" s="3730">
        <f>'F6'!M192</f>
        <v>31.381525</v>
      </c>
      <c r="O16" s="3835"/>
      <c r="P16" s="3834"/>
      <c r="Q16" s="3834"/>
      <c r="R16" s="3834"/>
      <c r="S16" s="3834"/>
      <c r="T16" s="3834"/>
      <c r="U16" s="3834"/>
      <c r="V16" s="3834"/>
    </row>
    <row r="17" spans="2:22" s="3829" customFormat="1">
      <c r="B17" s="4484">
        <f t="shared" si="0"/>
        <v>8</v>
      </c>
      <c r="C17" s="4489" t="s">
        <v>205</v>
      </c>
      <c r="D17" s="4490">
        <f>'F8'!E15</f>
        <v>0</v>
      </c>
      <c r="E17" s="3730">
        <v>0</v>
      </c>
      <c r="F17" s="3730">
        <f>'F8'!G15</f>
        <v>5.69</v>
      </c>
      <c r="G17" s="3730">
        <f t="shared" si="1"/>
        <v>5.69</v>
      </c>
      <c r="H17" s="3730">
        <v>0</v>
      </c>
      <c r="I17" s="3730">
        <f>'F8'!I15</f>
        <v>6.5</v>
      </c>
      <c r="J17" s="3730">
        <f t="shared" ref="J17:J20" si="2">I17</f>
        <v>6.5</v>
      </c>
      <c r="K17" s="3730">
        <v>0</v>
      </c>
      <c r="L17" s="3730">
        <f>'F8'!K15</f>
        <v>7.7675999999999998</v>
      </c>
      <c r="M17" s="3730">
        <v>0</v>
      </c>
      <c r="N17" s="3730">
        <f>'F8'!M15</f>
        <v>7.8372000000000002</v>
      </c>
      <c r="O17" s="3835"/>
      <c r="P17" s="3834"/>
      <c r="Q17" s="3834"/>
      <c r="R17" s="3834"/>
      <c r="S17" s="3834"/>
      <c r="T17" s="3834"/>
      <c r="U17" s="3834"/>
      <c r="V17" s="3834"/>
    </row>
    <row r="18" spans="2:22" s="3829" customFormat="1">
      <c r="B18" s="4484">
        <f t="shared" si="0"/>
        <v>9</v>
      </c>
      <c r="C18" s="4481" t="s">
        <v>194</v>
      </c>
      <c r="D18" s="4482">
        <f>'F7 '!D18</f>
        <v>54.5</v>
      </c>
      <c r="E18" s="3730">
        <f>'F7 '!E18</f>
        <v>81.260000000000005</v>
      </c>
      <c r="F18" s="3730">
        <f>'F7 '!F18</f>
        <v>78.38</v>
      </c>
      <c r="G18" s="3730">
        <f t="shared" si="1"/>
        <v>78.38</v>
      </c>
      <c r="H18" s="3730">
        <f>'F7 '!G18</f>
        <v>81.260000000000005</v>
      </c>
      <c r="I18" s="3730">
        <f>'F7 '!H18</f>
        <v>90.21</v>
      </c>
      <c r="J18" s="3730">
        <f t="shared" si="2"/>
        <v>90.21</v>
      </c>
      <c r="K18" s="3730">
        <f>'F7 '!I18</f>
        <v>81.260000000000005</v>
      </c>
      <c r="L18" s="3730">
        <f>'F7 '!J18</f>
        <v>115.4</v>
      </c>
      <c r="M18" s="3730">
        <f>'F7 '!K18</f>
        <v>81.260000000000005</v>
      </c>
      <c r="N18" s="3730">
        <f>'F7 '!L18</f>
        <v>120.97999999999999</v>
      </c>
      <c r="O18" s="3834"/>
      <c r="P18" s="3834"/>
      <c r="Q18" s="3834"/>
      <c r="R18" s="3834"/>
      <c r="S18" s="3834"/>
      <c r="T18" s="3834"/>
      <c r="U18" s="3834"/>
      <c r="V18" s="3834"/>
    </row>
    <row r="19" spans="2:22" s="3829" customFormat="1">
      <c r="B19" s="4484">
        <f t="shared" si="0"/>
        <v>10</v>
      </c>
      <c r="C19" s="4484" t="s">
        <v>207</v>
      </c>
      <c r="D19" s="4485">
        <v>0</v>
      </c>
      <c r="E19" s="3730">
        <v>0</v>
      </c>
      <c r="F19" s="3730">
        <v>0</v>
      </c>
      <c r="G19" s="3730">
        <f t="shared" si="1"/>
        <v>0</v>
      </c>
      <c r="H19" s="3730">
        <v>0</v>
      </c>
      <c r="I19" s="3730">
        <v>0</v>
      </c>
      <c r="J19" s="3730">
        <f t="shared" si="2"/>
        <v>0</v>
      </c>
      <c r="K19" s="3730">
        <v>0</v>
      </c>
      <c r="L19" s="3730">
        <v>0</v>
      </c>
      <c r="M19" s="3730">
        <v>0</v>
      </c>
      <c r="N19" s="3730">
        <v>0</v>
      </c>
      <c r="O19" s="3834"/>
      <c r="P19" s="3834"/>
      <c r="Q19" s="3834"/>
      <c r="R19" s="3834"/>
      <c r="S19" s="3834"/>
      <c r="T19" s="3834"/>
      <c r="U19" s="3834"/>
      <c r="V19" s="3834"/>
    </row>
    <row r="20" spans="2:22" s="3829" customFormat="1">
      <c r="B20" s="4484">
        <f t="shared" si="0"/>
        <v>11</v>
      </c>
      <c r="C20" s="4489" t="s">
        <v>208</v>
      </c>
      <c r="D20" s="4490">
        <v>4.344924999999999</v>
      </c>
      <c r="E20" s="3730">
        <v>4.5971000000000002</v>
      </c>
      <c r="F20" s="3730">
        <f>'F5'!E37</f>
        <v>4.6175597000000002</v>
      </c>
      <c r="G20" s="3730">
        <f t="shared" si="1"/>
        <v>4.6175597000000002</v>
      </c>
      <c r="H20" s="3730">
        <v>5.1461000000000006</v>
      </c>
      <c r="I20" s="3730">
        <f>'F5'!G37</f>
        <v>4.8928959000000001</v>
      </c>
      <c r="J20" s="3730">
        <f t="shared" si="2"/>
        <v>4.8928959000000001</v>
      </c>
      <c r="K20" s="3730">
        <f>'F5'!H37</f>
        <v>5.8196750000000002</v>
      </c>
      <c r="L20" s="3730">
        <f>'F5'!I37</f>
        <v>5.0930818819999999</v>
      </c>
      <c r="M20" s="3730">
        <f>'F5'!J37</f>
        <v>6.5317999999999996</v>
      </c>
      <c r="N20" s="3730">
        <f>'F5'!K37</f>
        <v>5.442319382</v>
      </c>
      <c r="O20" s="3835"/>
      <c r="P20" s="3834"/>
      <c r="Q20" s="3834"/>
      <c r="R20" s="3834"/>
      <c r="S20" s="3834"/>
      <c r="T20" s="3834"/>
      <c r="U20" s="3834"/>
      <c r="V20" s="3834"/>
    </row>
    <row r="21" spans="2:22" s="3829" customFormat="1">
      <c r="B21" s="4484">
        <f t="shared" si="0"/>
        <v>12</v>
      </c>
      <c r="C21" s="4489" t="s">
        <v>1919</v>
      </c>
      <c r="D21" s="4490">
        <v>26.41</v>
      </c>
      <c r="E21" s="3730"/>
      <c r="F21" s="3730">
        <f>F1.3!E16</f>
        <v>23.035977033062938</v>
      </c>
      <c r="G21" s="3730">
        <f>F21</f>
        <v>23.035977033062938</v>
      </c>
      <c r="H21" s="3730"/>
      <c r="I21" s="3730">
        <f>F1.3!F16</f>
        <v>30.251692429274755</v>
      </c>
      <c r="J21" s="3730">
        <f>I21</f>
        <v>30.251692429274755</v>
      </c>
      <c r="K21" s="3730">
        <v>0</v>
      </c>
      <c r="L21" s="3730">
        <f>F1.3!G16</f>
        <v>0</v>
      </c>
      <c r="M21" s="3730">
        <v>0</v>
      </c>
      <c r="N21" s="3730">
        <v>0</v>
      </c>
      <c r="O21" s="3835"/>
      <c r="P21" s="3834"/>
      <c r="Q21" s="3834"/>
      <c r="R21" s="3834"/>
      <c r="S21" s="3834"/>
      <c r="T21" s="3834"/>
      <c r="U21" s="3834"/>
      <c r="V21" s="3834"/>
    </row>
    <row r="22" spans="2:22" s="3829" customFormat="1">
      <c r="B22" s="4484">
        <f t="shared" si="0"/>
        <v>13</v>
      </c>
      <c r="C22" s="4489" t="s">
        <v>2920</v>
      </c>
      <c r="D22" s="4490"/>
      <c r="E22" s="3730"/>
      <c r="F22" s="3730">
        <f>'F9'!$F$35</f>
        <v>2.7487136991395196</v>
      </c>
      <c r="G22" s="3730">
        <f>F22</f>
        <v>2.7487136991395196</v>
      </c>
      <c r="H22" s="3730"/>
      <c r="I22" s="3730">
        <f>'F9'!H35</f>
        <v>2.9599746484893785</v>
      </c>
      <c r="J22" s="3730">
        <f>I22</f>
        <v>2.9599746484893785</v>
      </c>
      <c r="K22" s="3730">
        <v>0</v>
      </c>
      <c r="L22" s="3730">
        <v>0</v>
      </c>
      <c r="M22" s="3730">
        <v>0</v>
      </c>
      <c r="N22" s="3730">
        <v>0</v>
      </c>
      <c r="O22" s="3835"/>
      <c r="P22" s="3834"/>
      <c r="Q22" s="3834"/>
      <c r="R22" s="3834"/>
      <c r="S22" s="3834"/>
      <c r="T22" s="3834"/>
      <c r="U22" s="3834"/>
      <c r="V22" s="3834"/>
    </row>
    <row r="23" spans="2:22" s="3838" customFormat="1">
      <c r="B23" s="4484">
        <f t="shared" si="0"/>
        <v>14</v>
      </c>
      <c r="C23" s="3839" t="s">
        <v>209</v>
      </c>
      <c r="D23" s="3836">
        <f>SUM(D10:D22)</f>
        <v>2715.7287189235749</v>
      </c>
      <c r="E23" s="3728">
        <f>SUM(E10:E22)</f>
        <v>3538.3751752241665</v>
      </c>
      <c r="F23" s="3728">
        <f>SUM(F10:F22)-F15</f>
        <v>3576.4091447101205</v>
      </c>
      <c r="G23" s="3728">
        <f>SUM(G10:G22)-G15</f>
        <v>3578.051545599978</v>
      </c>
      <c r="H23" s="3728">
        <f t="shared" ref="H23:L23" si="3">SUM(H10:H22)-H15</f>
        <v>3690.2018900000003</v>
      </c>
      <c r="I23" s="3728">
        <f>SUM(I10:I22)-I15</f>
        <v>3384.2005201259494</v>
      </c>
      <c r="J23" s="3728">
        <f t="shared" si="3"/>
        <v>3417.9543113426771</v>
      </c>
      <c r="K23" s="3728">
        <f t="shared" si="3"/>
        <v>3980.9367037500001</v>
      </c>
      <c r="L23" s="3728">
        <f t="shared" si="3"/>
        <v>3613.4046751157002</v>
      </c>
      <c r="M23" s="3728">
        <f t="shared" ref="M23" si="4">SUM(M10:M22)-M15</f>
        <v>4291.3451045833335</v>
      </c>
      <c r="N23" s="3728">
        <f t="shared" ref="N23" si="5">SUM(N10:N22)-N15</f>
        <v>3802.0556094257217</v>
      </c>
      <c r="O23" s="3837"/>
      <c r="P23" s="3834"/>
      <c r="Q23" s="3834"/>
      <c r="R23" s="3834"/>
      <c r="S23" s="3834"/>
      <c r="T23" s="3834"/>
      <c r="U23" s="3834"/>
      <c r="V23" s="3834"/>
    </row>
    <row r="24" spans="2:22" s="3829" customFormat="1">
      <c r="B24" s="4484">
        <f>B23+1</f>
        <v>15</v>
      </c>
      <c r="C24" s="4484" t="s">
        <v>252</v>
      </c>
      <c r="D24" s="4485">
        <f>'F9'!D22</f>
        <v>121.75</v>
      </c>
      <c r="E24" s="3730">
        <f>'F9'!E22</f>
        <v>127.62993902949999</v>
      </c>
      <c r="F24" s="3730">
        <f>'F9'!F22</f>
        <v>124.74790559782062</v>
      </c>
      <c r="G24" s="3730">
        <f>F24</f>
        <v>124.74790559782062</v>
      </c>
      <c r="H24" s="3730">
        <f>'F9'!G22</f>
        <v>139.63755921949999</v>
      </c>
      <c r="I24" s="3730">
        <f>'F9'!H22</f>
        <v>129.03790194815093</v>
      </c>
      <c r="J24" s="3730">
        <f>I24</f>
        <v>129.03790194815093</v>
      </c>
      <c r="K24" s="3730">
        <f>'F9'!I22</f>
        <v>153.29503314149997</v>
      </c>
      <c r="L24" s="3730">
        <f>'F9'!J22</f>
        <v>133.94492573399629</v>
      </c>
      <c r="M24" s="3730">
        <f>'F9'!K22</f>
        <v>167.219442144</v>
      </c>
      <c r="N24" s="3730">
        <f>'F9'!L22</f>
        <v>140.88592155795828</v>
      </c>
      <c r="O24" s="3835"/>
      <c r="P24" s="3834"/>
      <c r="Q24" s="3834"/>
      <c r="R24" s="3834"/>
      <c r="S24" s="3834"/>
      <c r="T24" s="3834"/>
      <c r="U24" s="3834"/>
      <c r="V24" s="3834"/>
    </row>
    <row r="25" spans="2:22" s="3829" customFormat="1">
      <c r="B25" s="4484">
        <f t="shared" si="0"/>
        <v>16</v>
      </c>
      <c r="C25" s="4484" t="s">
        <v>210</v>
      </c>
      <c r="D25" s="4485">
        <v>5.28</v>
      </c>
      <c r="E25" s="3730">
        <f>'F13'!E$18</f>
        <v>5.2796666640000005</v>
      </c>
      <c r="F25" s="3730">
        <f>'F13'!F$18</f>
        <v>5.2793999999999999</v>
      </c>
      <c r="G25" s="3730">
        <f>F25</f>
        <v>5.2793999999999999</v>
      </c>
      <c r="H25" s="3730">
        <f>'F13'!G$18</f>
        <v>5.2793999999999999</v>
      </c>
      <c r="I25" s="3730">
        <f>'F13'!H$18</f>
        <v>5.2793999999999999</v>
      </c>
      <c r="J25" s="3730">
        <f>I25</f>
        <v>5.2793999999999999</v>
      </c>
      <c r="K25" s="3730">
        <f>'F13'!I18</f>
        <v>5.2793999999999999</v>
      </c>
      <c r="L25" s="3730">
        <f>'F13'!J18</f>
        <v>5.2793999999999999</v>
      </c>
      <c r="M25" s="3730">
        <f>'F13'!K18</f>
        <v>5.2793999999999999</v>
      </c>
      <c r="N25" s="3730">
        <f>'F13'!L18</f>
        <v>5.2793999999999999</v>
      </c>
      <c r="O25" s="3835"/>
      <c r="P25" s="3834"/>
      <c r="Q25" s="3834"/>
      <c r="R25" s="3834"/>
      <c r="S25" s="3834"/>
      <c r="T25" s="3834"/>
      <c r="U25" s="3834"/>
      <c r="V25" s="3834"/>
    </row>
    <row r="26" spans="2:22" s="3842" customFormat="1">
      <c r="B26" s="4484">
        <f t="shared" si="0"/>
        <v>17</v>
      </c>
      <c r="C26" s="3839" t="s">
        <v>211</v>
      </c>
      <c r="D26" s="3840">
        <f t="shared" ref="D26:H26" si="6">SUM(D23:D25)</f>
        <v>2842.7587189235751</v>
      </c>
      <c r="E26" s="3729">
        <f t="shared" si="6"/>
        <v>3671.2847809176665</v>
      </c>
      <c r="F26" s="3729">
        <f t="shared" si="6"/>
        <v>3706.436450307941</v>
      </c>
      <c r="G26" s="3729">
        <f t="shared" si="6"/>
        <v>3708.0788511977985</v>
      </c>
      <c r="H26" s="3729">
        <f t="shared" si="6"/>
        <v>3835.1188492195001</v>
      </c>
      <c r="I26" s="3729">
        <f>SUM(I23:I25)</f>
        <v>3518.5178220741004</v>
      </c>
      <c r="J26" s="3729">
        <f>SUM(J23:J25)</f>
        <v>3552.2716132908281</v>
      </c>
      <c r="K26" s="3729">
        <f t="shared" ref="K26" si="7">SUM(K23:K25)</f>
        <v>4139.5111368915004</v>
      </c>
      <c r="L26" s="3729">
        <f>SUM(L23:L25)</f>
        <v>3752.6290008496962</v>
      </c>
      <c r="M26" s="3729">
        <f t="shared" ref="M26" si="8">SUM(M23:M25)</f>
        <v>4463.8439467273338</v>
      </c>
      <c r="N26" s="3729">
        <f>SUM(N23:N25)</f>
        <v>3948.2209309836799</v>
      </c>
      <c r="O26" s="3841"/>
      <c r="P26" s="3841"/>
      <c r="Q26" s="3841"/>
      <c r="R26" s="3841"/>
      <c r="S26" s="3841"/>
      <c r="T26" s="3841"/>
      <c r="U26" s="3841"/>
      <c r="V26" s="3841"/>
    </row>
    <row r="27" spans="2:22" s="3829" customFormat="1">
      <c r="B27" s="4484">
        <f t="shared" si="0"/>
        <v>18</v>
      </c>
      <c r="C27" s="4484" t="s">
        <v>212</v>
      </c>
      <c r="D27" s="4485">
        <f>'F10 '!C33</f>
        <v>48.085000000000001</v>
      </c>
      <c r="E27" s="3730">
        <f>'F10 '!D33</f>
        <v>62.510000000000005</v>
      </c>
      <c r="F27" s="3730">
        <f>'F10 '!E33</f>
        <v>57.709265200000004</v>
      </c>
      <c r="G27" s="3730">
        <f>F27</f>
        <v>57.709265200000004</v>
      </c>
      <c r="H27" s="3730">
        <f>'F10 '!F33</f>
        <v>68.498839999999987</v>
      </c>
      <c r="I27" s="3730">
        <f>'F10 '!G33</f>
        <v>61.7873825</v>
      </c>
      <c r="J27" s="3730">
        <f>I27</f>
        <v>61.7873825</v>
      </c>
      <c r="K27" s="3730">
        <f>'F10 '!H33</f>
        <v>75.109999999999985</v>
      </c>
      <c r="L27" s="3730">
        <f>'F10 '!I33</f>
        <v>54.95</v>
      </c>
      <c r="M27" s="3730">
        <f>'F10 '!J33</f>
        <v>82.39</v>
      </c>
      <c r="N27" s="3730">
        <f>'F10 '!K33</f>
        <v>73.400000000000006</v>
      </c>
      <c r="O27" s="3834"/>
      <c r="P27" s="3834"/>
      <c r="Q27" s="3834"/>
      <c r="R27" s="3834"/>
      <c r="S27" s="3834"/>
      <c r="T27" s="3834"/>
      <c r="U27" s="3834"/>
      <c r="V27" s="3834"/>
    </row>
    <row r="28" spans="2:22" s="3845" customFormat="1" ht="17.25" customHeight="1">
      <c r="B28" s="4484">
        <f t="shared" si="0"/>
        <v>19</v>
      </c>
      <c r="C28" s="4496" t="s">
        <v>213</v>
      </c>
      <c r="D28" s="4497">
        <f>D26-D27</f>
        <v>2794.6737189235751</v>
      </c>
      <c r="E28" s="3728">
        <f t="shared" ref="E28:G28" si="9">(E26-E27)</f>
        <v>3608.7747809176662</v>
      </c>
      <c r="F28" s="3728">
        <f t="shared" si="9"/>
        <v>3648.7271851079408</v>
      </c>
      <c r="G28" s="3728">
        <f t="shared" si="9"/>
        <v>3650.3695859977984</v>
      </c>
      <c r="H28" s="3728">
        <f>(H26-H27)</f>
        <v>3766.6200092194999</v>
      </c>
      <c r="I28" s="3728">
        <f>(I26-I27)</f>
        <v>3456.7304395741003</v>
      </c>
      <c r="J28" s="3728">
        <f>(J26-J27)</f>
        <v>3490.484230790828</v>
      </c>
      <c r="K28" s="3728">
        <f t="shared" ref="K28" si="10">(K26-K27)</f>
        <v>4064.4011368915003</v>
      </c>
      <c r="L28" s="3728">
        <f>(L26-L27)</f>
        <v>3697.6790008496964</v>
      </c>
      <c r="M28" s="3728">
        <f t="shared" ref="M28" si="11">(M26-M27)</f>
        <v>4381.4539467273335</v>
      </c>
      <c r="N28" s="3728">
        <f>(N26-N27)</f>
        <v>3874.8209309836798</v>
      </c>
      <c r="O28" s="3843"/>
      <c r="P28" s="3844"/>
      <c r="Q28" s="3844"/>
      <c r="R28" s="3844"/>
      <c r="S28" s="3844"/>
      <c r="T28" s="3844"/>
      <c r="U28" s="3844"/>
      <c r="V28" s="3844"/>
    </row>
    <row r="29" spans="2:22" s="3829" customFormat="1">
      <c r="B29" s="4484">
        <f t="shared" si="0"/>
        <v>20</v>
      </c>
      <c r="C29" s="4481" t="s">
        <v>214</v>
      </c>
      <c r="D29" s="4485">
        <v>263.55</v>
      </c>
      <c r="E29" s="3730">
        <f>'F15'!D11*0</f>
        <v>0</v>
      </c>
      <c r="F29" s="3730">
        <f>'F15'!E11*0</f>
        <v>0</v>
      </c>
      <c r="G29" s="3730">
        <f>F29</f>
        <v>0</v>
      </c>
      <c r="H29" s="3730">
        <f>'F15'!F11*0</f>
        <v>0</v>
      </c>
      <c r="I29" s="3730">
        <f>'F15'!G11*0</f>
        <v>0</v>
      </c>
      <c r="J29" s="3730">
        <f>I29</f>
        <v>0</v>
      </c>
      <c r="K29" s="3730">
        <f>'F15'!H11*0</f>
        <v>0</v>
      </c>
      <c r="L29" s="3730">
        <f>'F15'!I11*0</f>
        <v>0</v>
      </c>
      <c r="M29" s="3730">
        <f>'F15'!J11*0</f>
        <v>0</v>
      </c>
      <c r="N29" s="3730">
        <f>'F15'!K11*0</f>
        <v>0</v>
      </c>
      <c r="O29" s="3835"/>
      <c r="P29" s="3834"/>
      <c r="Q29" s="3834"/>
      <c r="R29" s="3834"/>
      <c r="S29" s="3834"/>
      <c r="T29" s="3834"/>
      <c r="U29" s="3834"/>
      <c r="V29" s="3834"/>
    </row>
    <row r="30" spans="2:22" s="3829" customFormat="1">
      <c r="B30" s="4484">
        <f t="shared" si="0"/>
        <v>21</v>
      </c>
      <c r="C30" s="4496" t="s">
        <v>215</v>
      </c>
      <c r="D30" s="4497">
        <f>D28+D29</f>
        <v>3058.2237189235752</v>
      </c>
      <c r="E30" s="3729">
        <f t="shared" ref="E30:M30" si="12">SUM(E28:E29)</f>
        <v>3608.7747809176662</v>
      </c>
      <c r="F30" s="3729">
        <f t="shared" si="12"/>
        <v>3648.7271851079408</v>
      </c>
      <c r="G30" s="3729">
        <f t="shared" si="12"/>
        <v>3650.3695859977984</v>
      </c>
      <c r="H30" s="3729">
        <f>SUM(H28:H29)</f>
        <v>3766.6200092194999</v>
      </c>
      <c r="I30" s="3729">
        <f t="shared" si="12"/>
        <v>3456.7304395741003</v>
      </c>
      <c r="J30" s="3729">
        <f>SUM(J28:J29)</f>
        <v>3490.484230790828</v>
      </c>
      <c r="K30" s="3729">
        <f t="shared" si="12"/>
        <v>4064.4011368915003</v>
      </c>
      <c r="L30" s="3729">
        <f>SUM(L28:L29)</f>
        <v>3697.6790008496964</v>
      </c>
      <c r="M30" s="3729">
        <f t="shared" si="12"/>
        <v>4381.4539467273335</v>
      </c>
      <c r="N30" s="3729">
        <f>SUM(N28:N29)</f>
        <v>3874.8209309836798</v>
      </c>
      <c r="O30" s="3835"/>
      <c r="P30" s="3834"/>
      <c r="Q30" s="3834"/>
      <c r="R30" s="3834"/>
      <c r="S30" s="3834"/>
      <c r="T30" s="3834"/>
      <c r="U30" s="3834"/>
      <c r="V30" s="3834"/>
    </row>
    <row r="31" spans="2:22" s="3829" customFormat="1">
      <c r="B31" s="4484">
        <f t="shared" si="0"/>
        <v>22</v>
      </c>
      <c r="C31" s="4499" t="s">
        <v>2809</v>
      </c>
      <c r="D31" s="4482">
        <v>0</v>
      </c>
      <c r="E31" s="4837">
        <v>0</v>
      </c>
      <c r="F31" s="4837"/>
      <c r="G31" s="4837">
        <v>0</v>
      </c>
      <c r="H31" s="4837">
        <f>'F16'!$V36</f>
        <v>621.26132099182735</v>
      </c>
      <c r="I31" s="4837">
        <f>'F16'!$E$72-I51</f>
        <v>502.29234097918379</v>
      </c>
      <c r="J31" s="4837">
        <f>I31</f>
        <v>502.29234097918379</v>
      </c>
      <c r="K31" s="4837">
        <f>'F16'!$W36</f>
        <v>556.01261220844265</v>
      </c>
      <c r="L31" s="4837">
        <f>'F16'!F72-L51</f>
        <v>449.53849075018093</v>
      </c>
      <c r="M31" s="4837">
        <f>'F16'!$X36</f>
        <v>488.85858125593882</v>
      </c>
      <c r="N31" s="4837">
        <f>'F16'!G72-N51</f>
        <v>395.24417968721116</v>
      </c>
      <c r="O31" s="3835"/>
      <c r="P31" s="3834"/>
      <c r="Q31" s="3834"/>
      <c r="R31" s="3834"/>
      <c r="S31" s="3834"/>
      <c r="T31" s="3834"/>
      <c r="U31" s="3834"/>
      <c r="V31" s="3834"/>
    </row>
    <row r="32" spans="2:22" s="3829" customFormat="1">
      <c r="B32" s="4484">
        <f t="shared" si="0"/>
        <v>23</v>
      </c>
      <c r="C32" s="4499" t="s">
        <v>2216</v>
      </c>
      <c r="D32" s="4482">
        <v>0</v>
      </c>
      <c r="E32" s="4837">
        <v>0</v>
      </c>
      <c r="F32" s="4837"/>
      <c r="G32" s="4837">
        <v>0</v>
      </c>
      <c r="H32" s="4837"/>
      <c r="I32" s="4837">
        <f>'F16'!$E$81</f>
        <v>326.32649311643831</v>
      </c>
      <c r="J32" s="4837">
        <f>I32</f>
        <v>326.32649311643831</v>
      </c>
      <c r="K32" s="4837">
        <f>'F16'!F57</f>
        <v>123.61669833333332</v>
      </c>
      <c r="L32" s="4837">
        <f>'F16'!F81</f>
        <v>0</v>
      </c>
      <c r="M32" s="4837">
        <f>'F16'!G57</f>
        <v>108.794455</v>
      </c>
      <c r="N32" s="4837">
        <f>'F16'!G81</f>
        <v>0</v>
      </c>
      <c r="O32" s="3835"/>
      <c r="P32" s="3834"/>
      <c r="Q32" s="3834"/>
      <c r="R32" s="3834"/>
      <c r="S32" s="3834"/>
      <c r="T32" s="3834"/>
      <c r="U32" s="3834"/>
      <c r="V32" s="3834"/>
    </row>
    <row r="33" spans="2:22" s="3829" customFormat="1">
      <c r="B33" s="4484">
        <f t="shared" si="0"/>
        <v>24</v>
      </c>
      <c r="C33" s="4499" t="s">
        <v>2915</v>
      </c>
      <c r="D33" s="4482">
        <v>0</v>
      </c>
      <c r="E33" s="4482">
        <v>0</v>
      </c>
      <c r="F33" s="3730">
        <v>0</v>
      </c>
      <c r="G33" s="3730">
        <v>0</v>
      </c>
      <c r="H33" s="3730">
        <v>0</v>
      </c>
      <c r="I33" s="3730">
        <v>0</v>
      </c>
      <c r="J33" s="3730">
        <v>0</v>
      </c>
      <c r="K33" s="3730">
        <v>0</v>
      </c>
      <c r="L33" s="3730">
        <v>0</v>
      </c>
      <c r="M33" s="3730">
        <v>0</v>
      </c>
      <c r="N33" s="3730">
        <f>F16.1!E25</f>
        <v>125.200978654278</v>
      </c>
      <c r="O33" s="3835"/>
      <c r="P33" s="3834"/>
      <c r="Q33" s="3834"/>
      <c r="R33" s="3834"/>
      <c r="S33" s="3834"/>
      <c r="T33" s="3834"/>
      <c r="U33" s="3834"/>
      <c r="V33" s="3834"/>
    </row>
    <row r="34" spans="2:22" s="3829" customFormat="1">
      <c r="B34" s="4484">
        <f t="shared" si="0"/>
        <v>25</v>
      </c>
      <c r="C34" s="4499" t="s">
        <v>3198</v>
      </c>
      <c r="D34" s="4482">
        <v>0</v>
      </c>
      <c r="E34" s="4482">
        <v>0</v>
      </c>
      <c r="F34" s="3730">
        <v>0</v>
      </c>
      <c r="G34" s="3730">
        <v>0</v>
      </c>
      <c r="H34" s="3730">
        <v>0</v>
      </c>
      <c r="I34" s="3730">
        <v>0</v>
      </c>
      <c r="J34" s="3730">
        <v>0</v>
      </c>
      <c r="K34" s="3730">
        <v>0</v>
      </c>
      <c r="L34" s="3730">
        <v>0</v>
      </c>
      <c r="M34" s="3730">
        <v>0</v>
      </c>
      <c r="N34" s="3730">
        <f>F16.1!$E$49</f>
        <v>12.942427926978066</v>
      </c>
      <c r="O34" s="3835"/>
      <c r="P34" s="3834"/>
      <c r="Q34" s="3834"/>
      <c r="R34" s="3834"/>
      <c r="S34" s="3834"/>
      <c r="T34" s="3834"/>
      <c r="U34" s="3834"/>
      <c r="V34" s="3834"/>
    </row>
    <row r="35" spans="2:22" s="3829" customFormat="1">
      <c r="B35" s="4484">
        <f>B34+1</f>
        <v>26</v>
      </c>
      <c r="C35" s="4496" t="s">
        <v>2267</v>
      </c>
      <c r="D35" s="4497"/>
      <c r="E35" s="3729">
        <f>SUM(E30:E34)</f>
        <v>3608.7747809176662</v>
      </c>
      <c r="F35" s="3729">
        <f t="shared" ref="F35:G35" si="13">SUM(F30:F34)</f>
        <v>3648.7271851079408</v>
      </c>
      <c r="G35" s="3729">
        <f t="shared" si="13"/>
        <v>3650.3695859977984</v>
      </c>
      <c r="H35" s="3729">
        <f>SUM(H30:H34)</f>
        <v>4387.8813302113276</v>
      </c>
      <c r="I35" s="3729">
        <f>SUM(I30:I34)</f>
        <v>4285.3492736697226</v>
      </c>
      <c r="J35" s="3729">
        <f>SUM(J30:J34)</f>
        <v>4319.1030648864498</v>
      </c>
      <c r="K35" s="3729">
        <f>SUM(K30:K34)-0.01</f>
        <v>4744.0204474332759</v>
      </c>
      <c r="L35" s="3729">
        <f>SUM(L30:L34)</f>
        <v>4147.2174915998776</v>
      </c>
      <c r="M35" s="3729">
        <f>SUM(M30:M34)+0.02</f>
        <v>4979.1269829832727</v>
      </c>
      <c r="N35" s="3729">
        <f>SUM(N30:N34)</f>
        <v>4408.2085172521465</v>
      </c>
      <c r="O35" s="3835"/>
      <c r="P35" s="3834"/>
      <c r="Q35" s="3834"/>
      <c r="R35" s="3834"/>
      <c r="S35" s="3834"/>
      <c r="T35" s="3834"/>
      <c r="U35" s="3834"/>
      <c r="V35" s="3834"/>
    </row>
    <row r="36" spans="2:22" s="3829" customFormat="1">
      <c r="B36" s="4484">
        <f t="shared" si="0"/>
        <v>27</v>
      </c>
      <c r="C36" s="4481" t="s">
        <v>3580</v>
      </c>
      <c r="D36" s="4497"/>
      <c r="E36" s="3729">
        <f>F36-E49</f>
        <v>2605.9195717893795</v>
      </c>
      <c r="F36" s="3729">
        <f>'F14'!J61/10^7-F49</f>
        <v>3108.3227385306195</v>
      </c>
      <c r="G36" s="3729">
        <f>F36</f>
        <v>3108.3227385306195</v>
      </c>
      <c r="H36" s="3729">
        <f>('Tariff as per MYT Order'!C8+'Tariff as per MYT Order'!C17)*0+4745.4-H49</f>
        <v>4006.3799999999997</v>
      </c>
      <c r="I36" s="3729">
        <f>'F14'!K105/10^7-I49</f>
        <v>3222.8932639347904</v>
      </c>
      <c r="J36" s="3729">
        <f>I36</f>
        <v>3222.8932639347904</v>
      </c>
      <c r="K36" s="3729">
        <f>('Tariff as per MYT Order'!D8+'Tariff as per MYT Order'!D17)*0+5702.55-K49</f>
        <v>4883.21</v>
      </c>
      <c r="L36" s="3729">
        <f>'F14'!K149/10^7-L49</f>
        <v>3869.7866027542004</v>
      </c>
      <c r="M36" s="3729">
        <f>('Tariff as per MYT Order'!E8+'Tariff as per MYT Order'!E17)*0+6849.76-M49</f>
        <v>5939.39</v>
      </c>
      <c r="N36" s="3729">
        <f>F14.1!U41-N49</f>
        <v>4340.5958841288357</v>
      </c>
      <c r="O36" s="3835"/>
      <c r="P36" s="3834"/>
      <c r="Q36" s="3834"/>
      <c r="R36" s="3834"/>
      <c r="S36" s="3834"/>
      <c r="T36" s="3834"/>
      <c r="U36" s="3834"/>
      <c r="V36" s="3834"/>
    </row>
    <row r="37" spans="2:22" s="3829" customFormat="1">
      <c r="B37" s="4484">
        <f t="shared" si="0"/>
        <v>28</v>
      </c>
      <c r="C37" s="4481" t="s">
        <v>3581</v>
      </c>
      <c r="D37" s="4497"/>
      <c r="E37" s="3729"/>
      <c r="F37" s="3730">
        <v>6.93</v>
      </c>
      <c r="G37" s="3730">
        <f t="shared" ref="G37:G38" si="14">F37</f>
        <v>6.93</v>
      </c>
      <c r="H37" s="3730"/>
      <c r="I37" s="3730">
        <v>5.89</v>
      </c>
      <c r="J37" s="3730">
        <f>I37</f>
        <v>5.89</v>
      </c>
      <c r="K37" s="3730"/>
      <c r="L37" s="3730">
        <f>'ARR Summary'!L37</f>
        <v>6.9</v>
      </c>
      <c r="M37" s="3730"/>
      <c r="N37" s="3730"/>
      <c r="O37" s="3835"/>
      <c r="P37" s="3834"/>
      <c r="Q37" s="3834"/>
      <c r="R37" s="3834"/>
      <c r="S37" s="3834"/>
      <c r="T37" s="3834"/>
      <c r="U37" s="3834"/>
      <c r="V37" s="3834"/>
    </row>
    <row r="38" spans="2:22" s="3829" customFormat="1">
      <c r="B38" s="4484">
        <f t="shared" si="0"/>
        <v>29</v>
      </c>
      <c r="C38" s="4481" t="s">
        <v>3294</v>
      </c>
      <c r="D38" s="4497"/>
      <c r="E38" s="3729"/>
      <c r="F38" s="3730">
        <v>5.05</v>
      </c>
      <c r="G38" s="3730">
        <f t="shared" si="14"/>
        <v>5.05</v>
      </c>
      <c r="H38" s="3730"/>
      <c r="I38" s="3730">
        <v>0.91</v>
      </c>
      <c r="J38" s="3730">
        <f>I38</f>
        <v>0.91</v>
      </c>
      <c r="K38" s="3730"/>
      <c r="L38" s="3730">
        <f>'ARR Summary'!L38</f>
        <v>0.76</v>
      </c>
      <c r="M38" s="3730"/>
      <c r="N38" s="3730"/>
      <c r="O38" s="3835"/>
      <c r="P38" s="3834"/>
      <c r="Q38" s="3834"/>
      <c r="R38" s="3834"/>
      <c r="S38" s="3834"/>
      <c r="T38" s="3834"/>
      <c r="U38" s="3834"/>
      <c r="V38" s="3834"/>
    </row>
    <row r="39" spans="2:22" s="3829" customFormat="1">
      <c r="B39" s="4484">
        <f t="shared" si="0"/>
        <v>30</v>
      </c>
      <c r="C39" s="3846" t="s">
        <v>3306</v>
      </c>
      <c r="D39" s="4501"/>
      <c r="E39" s="4832">
        <f>E36-E35</f>
        <v>-1002.8552091282868</v>
      </c>
      <c r="F39" s="4832">
        <f>(F36+F37)-F35-F38</f>
        <v>-538.52444657732144</v>
      </c>
      <c r="G39" s="4832">
        <f>(G36+G37)-G35-G38</f>
        <v>-540.16684746717897</v>
      </c>
      <c r="H39" s="4832">
        <f>H36-H35-H37+H38</f>
        <v>-381.50133021132797</v>
      </c>
      <c r="I39" s="4832">
        <f>(I36+I37)-I35-I38</f>
        <v>-1057.4760097349324</v>
      </c>
      <c r="J39" s="4832">
        <f>(J36+J37)-J35-J38</f>
        <v>-1091.2298009516596</v>
      </c>
      <c r="K39" s="4832">
        <f>K36-K35</f>
        <v>139.18955256672416</v>
      </c>
      <c r="L39" s="4832">
        <f>(L36+L37)-L35-L38</f>
        <v>-271.29088884567705</v>
      </c>
      <c r="M39" s="4832">
        <f>M36-M35</f>
        <v>960.26301701672764</v>
      </c>
      <c r="N39" s="4832">
        <f>N36-N35</f>
        <v>-67.612633123310843</v>
      </c>
    </row>
    <row r="40" spans="2:22" s="3829" customFormat="1">
      <c r="E40" s="3726"/>
      <c r="F40" s="3726"/>
      <c r="G40" s="3726"/>
      <c r="H40" s="3726"/>
      <c r="I40" s="3726"/>
      <c r="J40" s="3726"/>
    </row>
    <row r="41" spans="2:22" s="3829" customFormat="1" ht="22.5">
      <c r="C41" s="4836" t="s">
        <v>3587</v>
      </c>
      <c r="E41" s="3726"/>
      <c r="F41" s="3737"/>
      <c r="G41" s="3737"/>
      <c r="H41" s="3737"/>
      <c r="I41" s="3737"/>
      <c r="J41" s="3737"/>
      <c r="K41" s="3737"/>
      <c r="L41" s="3737"/>
      <c r="M41" s="3737"/>
      <c r="N41" s="3737"/>
      <c r="O41" s="3835"/>
    </row>
    <row r="42" spans="2:22" s="3829" customFormat="1">
      <c r="E42" s="3737"/>
      <c r="F42" s="3737"/>
      <c r="G42" s="3726"/>
      <c r="H42" s="3726"/>
      <c r="I42" s="3737"/>
      <c r="J42" s="3737"/>
      <c r="K42" s="3737"/>
      <c r="L42" s="3737"/>
      <c r="M42" s="3737"/>
      <c r="N42" s="3737"/>
    </row>
    <row r="43" spans="2:22" s="3829" customFormat="1">
      <c r="B43" s="5384" t="s">
        <v>101</v>
      </c>
      <c r="C43" s="5384" t="s">
        <v>81</v>
      </c>
      <c r="D43" s="5384" t="s">
        <v>1897</v>
      </c>
      <c r="E43" s="5809" t="s">
        <v>82</v>
      </c>
      <c r="F43" s="5809"/>
      <c r="G43" s="5809"/>
      <c r="H43" s="5809" t="s">
        <v>1845</v>
      </c>
      <c r="I43" s="5809"/>
      <c r="J43" s="5809"/>
      <c r="K43" s="5384" t="s">
        <v>2613</v>
      </c>
      <c r="L43" s="5384"/>
      <c r="M43" s="5384"/>
      <c r="N43" s="5384"/>
    </row>
    <row r="44" spans="2:22" ht="15.75" customHeight="1">
      <c r="B44" s="5384"/>
      <c r="C44" s="5384"/>
      <c r="D44" s="5384"/>
      <c r="E44" s="5809"/>
      <c r="F44" s="5809"/>
      <c r="G44" s="5809"/>
      <c r="H44" s="5809"/>
      <c r="I44" s="5809"/>
      <c r="J44" s="5809"/>
      <c r="K44" s="5809" t="s">
        <v>2442</v>
      </c>
      <c r="L44" s="5809"/>
      <c r="M44" s="5809" t="s">
        <v>2443</v>
      </c>
      <c r="N44" s="5809"/>
    </row>
    <row r="45" spans="2:22" ht="31.5">
      <c r="B45" s="5384"/>
      <c r="C45" s="5384"/>
      <c r="D45" s="4807" t="s">
        <v>1043</v>
      </c>
      <c r="E45" s="4818" t="s">
        <v>755</v>
      </c>
      <c r="F45" s="4818" t="s">
        <v>96</v>
      </c>
      <c r="G45" s="5368" t="s">
        <v>3928</v>
      </c>
      <c r="H45" s="4818" t="s">
        <v>755</v>
      </c>
      <c r="I45" s="4818" t="s">
        <v>96</v>
      </c>
      <c r="J45" s="4818" t="s">
        <v>96</v>
      </c>
      <c r="K45" s="4818" t="s">
        <v>755</v>
      </c>
      <c r="L45" s="4818" t="s">
        <v>3399</v>
      </c>
      <c r="M45" s="4818" t="s">
        <v>755</v>
      </c>
      <c r="N45" s="4818" t="s">
        <v>3399</v>
      </c>
    </row>
    <row r="46" spans="2:22">
      <c r="B46" s="4835">
        <v>1</v>
      </c>
      <c r="C46" s="4826" t="s">
        <v>3588</v>
      </c>
      <c r="D46" s="4827"/>
      <c r="E46" s="4831">
        <f>'F15'!D8</f>
        <v>406.71</v>
      </c>
      <c r="F46" s="5319">
        <f>'F15'!E8</f>
        <v>633.5</v>
      </c>
      <c r="G46" s="4831">
        <f>E46</f>
        <v>406.71</v>
      </c>
      <c r="H46" s="4831">
        <f>'F15'!F8</f>
        <v>405.89</v>
      </c>
      <c r="I46" s="5319">
        <f>'F15'!G8</f>
        <v>767.74</v>
      </c>
      <c r="J46" s="4831">
        <f>H46</f>
        <v>405.89</v>
      </c>
      <c r="K46" s="4831">
        <f>'F15'!H8</f>
        <v>387.44</v>
      </c>
      <c r="L46" s="4838">
        <f>'F15'!I8</f>
        <v>387.44</v>
      </c>
      <c r="M46" s="4831">
        <f>'F15'!J8</f>
        <v>152.16</v>
      </c>
      <c r="N46" s="4838">
        <f>'F15'!K8</f>
        <v>152.16</v>
      </c>
      <c r="P46" s="4923">
        <f>N46+L46+I46+F46</f>
        <v>1940.8400000000001</v>
      </c>
    </row>
    <row r="47" spans="2:22">
      <c r="B47" s="4835">
        <f>B46+1</f>
        <v>2</v>
      </c>
      <c r="C47" s="4828" t="s">
        <v>3584</v>
      </c>
      <c r="D47" s="4828"/>
      <c r="E47" s="4829">
        <f>E24+E25</f>
        <v>132.9096056935</v>
      </c>
      <c r="F47" s="5319">
        <f>'F15'!E9</f>
        <v>130.02730559782063</v>
      </c>
      <c r="G47" s="4829">
        <f>F47</f>
        <v>130.02730559782063</v>
      </c>
      <c r="H47" s="4829">
        <f t="shared" ref="H47:N47" si="15">H24+H25</f>
        <v>144.9169592195</v>
      </c>
      <c r="I47" s="4838">
        <f>'F15'!G9</f>
        <v>134.31730194815094</v>
      </c>
      <c r="J47" s="4829">
        <f t="shared" si="15"/>
        <v>134.31730194815094</v>
      </c>
      <c r="K47" s="4829">
        <f t="shared" si="15"/>
        <v>158.57443314149998</v>
      </c>
      <c r="L47" s="4829">
        <f t="shared" si="15"/>
        <v>139.2243257339963</v>
      </c>
      <c r="M47" s="4829">
        <f t="shared" si="15"/>
        <v>172.49884214400001</v>
      </c>
      <c r="N47" s="4829">
        <f t="shared" si="15"/>
        <v>146.16532155795829</v>
      </c>
    </row>
    <row r="48" spans="2:22">
      <c r="B48" s="4852">
        <f t="shared" ref="B48:B52" si="16">B47+1</f>
        <v>3</v>
      </c>
      <c r="C48" s="4853" t="s">
        <v>3585</v>
      </c>
      <c r="D48" s="4853"/>
      <c r="E48" s="4854">
        <f>E46-E47</f>
        <v>273.80039430649998</v>
      </c>
      <c r="F48" s="5319">
        <f>'F15'!E10</f>
        <v>503.4726944021794</v>
      </c>
      <c r="G48" s="4854">
        <f>G46-G47</f>
        <v>276.68269440217932</v>
      </c>
      <c r="H48" s="4854">
        <f t="shared" ref="H48:J48" si="17">H46-H47</f>
        <v>260.97304078050001</v>
      </c>
      <c r="I48" s="5319">
        <f>'F15'!G10</f>
        <v>633.42269805184901</v>
      </c>
      <c r="J48" s="4854">
        <f t="shared" si="17"/>
        <v>271.57269805184904</v>
      </c>
      <c r="K48" s="4854">
        <f>K46-K47</f>
        <v>228.86556685850002</v>
      </c>
      <c r="L48" s="4854">
        <f>'Transport deficit'!I25</f>
        <v>247.96262573929201</v>
      </c>
      <c r="M48" s="4854">
        <f>M46-M47</f>
        <v>-20.338842144000012</v>
      </c>
      <c r="N48" s="4854">
        <f>'Transport deficit'!J25</f>
        <v>5.41709061370352</v>
      </c>
      <c r="P48" s="3847">
        <v>4658.1000000000004</v>
      </c>
    </row>
    <row r="49" spans="2:16">
      <c r="B49" s="4835">
        <f t="shared" si="16"/>
        <v>4</v>
      </c>
      <c r="C49" s="4828" t="s">
        <v>3589</v>
      </c>
      <c r="D49" s="4828"/>
      <c r="E49" s="4830">
        <f>F49</f>
        <v>502.40316674124011</v>
      </c>
      <c r="F49" s="4830">
        <f>'F14'!I45/10^7</f>
        <v>502.40316674124011</v>
      </c>
      <c r="G49" s="4830">
        <f>F49</f>
        <v>502.40316674124011</v>
      </c>
      <c r="H49" s="4830">
        <v>739.02</v>
      </c>
      <c r="I49" s="4830">
        <f>'F14'!I98/10^7</f>
        <v>653.6036876789201</v>
      </c>
      <c r="J49" s="4830">
        <f>I49</f>
        <v>653.6036876789201</v>
      </c>
      <c r="K49" s="4830">
        <v>819.34</v>
      </c>
      <c r="L49" s="4830">
        <f>'F14'!I141/10^7</f>
        <v>661.94763945012005</v>
      </c>
      <c r="M49" s="4830">
        <v>910.37</v>
      </c>
      <c r="N49" s="4830">
        <f>F14.1!R37</f>
        <v>690.49653500163799</v>
      </c>
      <c r="P49" s="4923">
        <f>N49+L49+I49+F49</f>
        <v>2508.4510288719184</v>
      </c>
    </row>
    <row r="50" spans="2:16">
      <c r="B50" s="4835">
        <f t="shared" si="16"/>
        <v>5</v>
      </c>
      <c r="C50" s="3846" t="s">
        <v>3306</v>
      </c>
      <c r="D50" s="4828"/>
      <c r="E50" s="4502">
        <f t="shared" ref="E50" si="18">E49-E48</f>
        <v>228.60277243474013</v>
      </c>
      <c r="F50" s="4502">
        <f>F49-F48</f>
        <v>-1.0695276609392863</v>
      </c>
      <c r="G50" s="4502">
        <f t="shared" ref="G50:N50" si="19">G49-G48</f>
        <v>225.72047233906079</v>
      </c>
      <c r="H50" s="4502">
        <f t="shared" si="19"/>
        <v>478.04695921949997</v>
      </c>
      <c r="I50" s="4502">
        <f t="shared" si="19"/>
        <v>20.180989627071085</v>
      </c>
      <c r="J50" s="4502">
        <f t="shared" si="19"/>
        <v>382.03098962707105</v>
      </c>
      <c r="K50" s="4502">
        <f t="shared" si="19"/>
        <v>590.47443314149996</v>
      </c>
      <c r="L50" s="4502">
        <f t="shared" si="19"/>
        <v>413.98501371082807</v>
      </c>
      <c r="M50" s="4502">
        <f t="shared" si="19"/>
        <v>930.70884214400007</v>
      </c>
      <c r="N50" s="4502">
        <f t="shared" si="19"/>
        <v>685.07944438793447</v>
      </c>
      <c r="P50" s="3847">
        <v>1688.36</v>
      </c>
    </row>
    <row r="51" spans="2:16">
      <c r="B51" s="4835">
        <f t="shared" si="16"/>
        <v>6</v>
      </c>
      <c r="C51" s="4828" t="str">
        <f>C31</f>
        <v>Past Recoveries of BEST including Revenue Gaps with carrying cost</v>
      </c>
      <c r="D51" s="4828"/>
      <c r="E51" s="4833"/>
      <c r="F51" s="4833"/>
      <c r="G51" s="4833"/>
      <c r="H51" s="4830">
        <f>'F16'!V44</f>
        <v>974.81592115642934</v>
      </c>
      <c r="I51" s="4830">
        <f>'F16'!N59</f>
        <v>974.81592115642934</v>
      </c>
      <c r="J51" s="4830">
        <f>I51</f>
        <v>974.81592115642934</v>
      </c>
      <c r="K51" s="4830">
        <f>'F16'!W44</f>
        <v>872.43472019030719</v>
      </c>
      <c r="L51" s="4830">
        <f>'F16'!O59</f>
        <v>872.43472019030719</v>
      </c>
      <c r="M51" s="4830">
        <f>'F16'!X44</f>
        <v>767.0638942103111</v>
      </c>
      <c r="N51" s="4830">
        <f>'F16'!P59</f>
        <v>767.0638942103111</v>
      </c>
      <c r="P51" s="4923">
        <f>P49-P50</f>
        <v>820.09102887191852</v>
      </c>
    </row>
    <row r="52" spans="2:16">
      <c r="B52" s="4835">
        <f t="shared" si="16"/>
        <v>7</v>
      </c>
      <c r="C52" s="3846" t="s">
        <v>3590</v>
      </c>
      <c r="D52" s="4834"/>
      <c r="E52" s="4502">
        <f>E50-E51</f>
        <v>228.60277243474013</v>
      </c>
      <c r="F52" s="4502">
        <f>F50-F51</f>
        <v>-1.0695276609392863</v>
      </c>
      <c r="G52" s="4502">
        <f t="shared" ref="G52:J52" si="20">G50-G51</f>
        <v>225.72047233906079</v>
      </c>
      <c r="H52" s="4502">
        <f t="shared" si="20"/>
        <v>-496.76896193692937</v>
      </c>
      <c r="I52" s="4502">
        <f>I50-I51</f>
        <v>-954.63493152935825</v>
      </c>
      <c r="J52" s="4502">
        <f t="shared" si="20"/>
        <v>-592.78493152935835</v>
      </c>
      <c r="K52" s="4502">
        <f>K50-K51</f>
        <v>-281.96028704880723</v>
      </c>
      <c r="L52" s="4502">
        <f>L50-L51</f>
        <v>-458.44970647947912</v>
      </c>
      <c r="M52" s="4502">
        <f>M50-M51</f>
        <v>163.64494793368897</v>
      </c>
      <c r="N52" s="4502">
        <f>N50-N51</f>
        <v>-81.984449822376632</v>
      </c>
    </row>
    <row r="53" spans="2:16">
      <c r="C53" s="3527"/>
      <c r="D53" s="3527" t="s">
        <v>3398</v>
      </c>
      <c r="E53" s="3848"/>
      <c r="F53" s="4461"/>
      <c r="G53" s="3848"/>
      <c r="H53" s="3848"/>
      <c r="I53" s="3848"/>
      <c r="J53" s="3848"/>
      <c r="K53" s="3848"/>
      <c r="L53" s="3848"/>
      <c r="M53" s="3848"/>
      <c r="N53" s="3848"/>
      <c r="P53" s="4923">
        <f>P48-P49</f>
        <v>2149.6489711280819</v>
      </c>
    </row>
    <row r="54" spans="2:16">
      <c r="C54" s="3527"/>
      <c r="D54" s="3527">
        <v>688.67</v>
      </c>
      <c r="E54" s="3848"/>
      <c r="F54" s="3848"/>
      <c r="G54" s="3848"/>
      <c r="H54" s="3848"/>
      <c r="I54" s="3848"/>
      <c r="J54" s="3848"/>
      <c r="K54" s="3848"/>
      <c r="L54" s="3848"/>
      <c r="M54" s="3848"/>
      <c r="N54" s="3848"/>
    </row>
    <row r="55" spans="2:16">
      <c r="C55" s="3527"/>
      <c r="D55" s="4460">
        <f>N11</f>
        <v>559.65</v>
      </c>
      <c r="E55" s="3849"/>
      <c r="F55" s="3849"/>
      <c r="G55" s="3849"/>
      <c r="H55" s="3849"/>
      <c r="I55" s="3849"/>
      <c r="J55" s="3849"/>
      <c r="K55" s="3849"/>
      <c r="L55" s="3849"/>
      <c r="M55" s="3849"/>
      <c r="N55" s="3849"/>
    </row>
    <row r="56" spans="2:16">
      <c r="C56" s="3527"/>
      <c r="D56" s="4460">
        <f>'F2'!AB22</f>
        <v>372.12</v>
      </c>
      <c r="E56" s="3848"/>
      <c r="F56" s="3848"/>
      <c r="G56" s="3848"/>
      <c r="H56" s="3848"/>
      <c r="I56" s="3848"/>
      <c r="J56" s="3848"/>
      <c r="K56" s="3848"/>
      <c r="L56" s="3848"/>
      <c r="M56" s="3848"/>
      <c r="N56" s="3848"/>
    </row>
    <row r="57" spans="2:16">
      <c r="C57" s="3527"/>
      <c r="D57" s="4460">
        <f>'F2'!AB23</f>
        <v>1.6256999999999999</v>
      </c>
      <c r="E57" s="3830"/>
      <c r="F57" s="3830"/>
      <c r="G57" s="3830"/>
      <c r="H57" s="3830"/>
      <c r="I57" s="3830"/>
      <c r="J57" s="3830"/>
      <c r="K57" s="3527"/>
      <c r="L57" s="3527"/>
      <c r="M57" s="3527"/>
      <c r="N57" s="3527"/>
    </row>
    <row r="58" spans="2:16">
      <c r="C58" s="3850"/>
      <c r="D58" s="4460">
        <f>'F2'!AB24</f>
        <v>109.3304352</v>
      </c>
      <c r="E58" s="3830"/>
      <c r="F58" s="3830"/>
      <c r="G58" s="3830"/>
      <c r="H58" s="3830"/>
      <c r="I58" s="3830"/>
      <c r="J58" s="3830"/>
      <c r="K58" s="3527"/>
      <c r="L58" s="3527"/>
      <c r="M58" s="3527"/>
      <c r="N58" s="3527"/>
    </row>
    <row r="59" spans="2:16">
      <c r="C59" s="3527"/>
      <c r="D59" s="4460">
        <f>N12</f>
        <v>104.73063952004611</v>
      </c>
      <c r="E59" s="3848"/>
      <c r="F59" s="3848"/>
      <c r="G59" s="3848"/>
      <c r="H59" s="3848"/>
      <c r="I59" s="3848"/>
      <c r="J59" s="3848"/>
      <c r="K59" s="3848"/>
      <c r="L59" s="3848"/>
      <c r="M59" s="3848"/>
      <c r="N59" s="3848"/>
    </row>
    <row r="60" spans="2:16">
      <c r="C60" s="3527"/>
      <c r="D60" s="3527"/>
      <c r="E60" s="3849"/>
      <c r="F60" s="3849"/>
      <c r="G60" s="3849"/>
      <c r="H60" s="3849"/>
      <c r="I60" s="3849"/>
      <c r="J60" s="3849"/>
      <c r="K60" s="3849"/>
      <c r="L60" s="3849"/>
      <c r="M60" s="3849"/>
      <c r="N60" s="3849"/>
    </row>
    <row r="61" spans="2:16">
      <c r="C61" s="3527"/>
      <c r="D61" s="3527"/>
      <c r="E61" s="3849"/>
      <c r="F61" s="3849"/>
      <c r="G61" s="3849"/>
      <c r="H61" s="3849"/>
      <c r="I61" s="3849"/>
      <c r="J61" s="3849"/>
      <c r="K61" s="3849"/>
      <c r="L61" s="3849"/>
      <c r="M61" s="3849"/>
      <c r="N61" s="3849"/>
    </row>
    <row r="62" spans="2:16">
      <c r="C62" s="3527"/>
      <c r="D62" s="3527"/>
      <c r="E62" s="3848"/>
      <c r="F62" s="3848"/>
      <c r="G62" s="3848"/>
      <c r="H62" s="3848"/>
      <c r="I62" s="3848"/>
      <c r="J62" s="3848"/>
      <c r="K62" s="3848"/>
      <c r="L62" s="3848"/>
      <c r="M62" s="3848"/>
      <c r="N62" s="3848"/>
    </row>
  </sheetData>
  <mergeCells count="16">
    <mergeCell ref="B7:B9"/>
    <mergeCell ref="C7:C9"/>
    <mergeCell ref="D7:D8"/>
    <mergeCell ref="E7:G8"/>
    <mergeCell ref="H7:J8"/>
    <mergeCell ref="B43:B45"/>
    <mergeCell ref="C43:C45"/>
    <mergeCell ref="D43:D44"/>
    <mergeCell ref="E43:G44"/>
    <mergeCell ref="H43:J44"/>
    <mergeCell ref="K44:L44"/>
    <mergeCell ref="M44:N44"/>
    <mergeCell ref="K7:N7"/>
    <mergeCell ref="K8:L8"/>
    <mergeCell ref="M8:N8"/>
    <mergeCell ref="K43:N43"/>
  </mergeCells>
  <printOptions verticalCentered="1"/>
  <pageMargins left="0.25" right="0.25" top="0.25" bottom="0.25" header="0.25" footer="0.25"/>
  <pageSetup paperSize="9" scale="65" orientation="landscape" r:id="rId1"/>
  <headerFooter alignWithMargins="0">
    <oddHeader>&amp;F</oddHeader>
  </headerFooter>
</worksheet>
</file>

<file path=xl/worksheets/sheet72.xml><?xml version="1.0" encoding="utf-8"?>
<worksheet xmlns="http://schemas.openxmlformats.org/spreadsheetml/2006/main" xmlns:r="http://schemas.openxmlformats.org/officeDocument/2006/relationships">
  <sheetPr codeName="Sheet50">
    <pageSetUpPr fitToPage="1"/>
  </sheetPr>
  <dimension ref="B2:AA42"/>
  <sheetViews>
    <sheetView topLeftCell="A5" zoomScaleSheetLayoutView="100" workbookViewId="0">
      <selection activeCell="A20" sqref="A20"/>
    </sheetView>
  </sheetViews>
  <sheetFormatPr defaultRowHeight="12.75"/>
  <cols>
    <col min="1" max="3" width="9.140625" style="4208"/>
    <col min="4" max="4" width="10.42578125" style="4208" bestFit="1" customWidth="1"/>
    <col min="5" max="5" width="10.28515625" style="4208" customWidth="1"/>
    <col min="6" max="6" width="10.7109375" style="4208" customWidth="1"/>
    <col min="7" max="7" width="9.42578125" style="4208" bestFit="1" customWidth="1"/>
    <col min="8" max="8" width="9.42578125" style="4199" customWidth="1"/>
    <col min="9" max="11" width="9.42578125" style="4208" bestFit="1" customWidth="1"/>
    <col min="12" max="12" width="11" style="4208" customWidth="1"/>
    <col min="13" max="13" width="10.42578125" style="4208" bestFit="1" customWidth="1"/>
    <col min="14" max="19" width="9.42578125" style="4208" bestFit="1" customWidth="1"/>
    <col min="20" max="21" width="10.140625" style="4221" customWidth="1"/>
    <col min="22" max="24" width="10.140625" style="4208" customWidth="1"/>
    <col min="25" max="25" width="10.140625" style="4221" customWidth="1"/>
    <col min="26" max="26" width="9.140625" style="4208" customWidth="1"/>
    <col min="27" max="27" width="11.140625" style="4208" customWidth="1"/>
    <col min="28" max="16384" width="9.140625" style="4208"/>
  </cols>
  <sheetData>
    <row r="2" spans="2:27" s="4206" customFormat="1">
      <c r="C2" s="4328"/>
      <c r="D2" s="4328"/>
      <c r="E2" s="4328"/>
      <c r="F2" s="4328"/>
      <c r="G2" s="4328"/>
      <c r="H2" s="4328"/>
      <c r="I2" s="4328"/>
      <c r="J2" s="4328"/>
      <c r="K2" s="4307" t="s">
        <v>170</v>
      </c>
      <c r="L2" s="4328"/>
      <c r="M2" s="4328"/>
      <c r="N2" s="4328"/>
      <c r="O2" s="4328"/>
      <c r="P2" s="4328"/>
      <c r="Q2" s="4328"/>
      <c r="R2" s="4328"/>
      <c r="S2" s="4328"/>
      <c r="T2" s="4205"/>
      <c r="U2" s="4205"/>
      <c r="V2" s="4328"/>
      <c r="W2" s="4205"/>
      <c r="X2" s="4205"/>
      <c r="Y2" s="4205"/>
    </row>
    <row r="3" spans="2:27" s="4206" customFormat="1">
      <c r="C3" s="4329"/>
      <c r="D3" s="4329"/>
      <c r="E3" s="4329"/>
      <c r="F3" s="4329"/>
      <c r="G3" s="4329"/>
      <c r="H3" s="4329"/>
      <c r="I3" s="4329"/>
      <c r="J3" s="4329"/>
      <c r="K3" s="4308" t="s">
        <v>3016</v>
      </c>
      <c r="L3" s="4329"/>
      <c r="M3" s="4329"/>
      <c r="N3" s="4329"/>
      <c r="O3" s="4329"/>
      <c r="P3" s="4329"/>
      <c r="Q3" s="4329"/>
      <c r="R3" s="4329"/>
      <c r="S3" s="4329"/>
      <c r="T3" s="4207"/>
      <c r="U3" s="4207"/>
      <c r="V3" s="4329"/>
      <c r="W3" s="4207"/>
      <c r="X3" s="4207"/>
      <c r="Y3" s="4207"/>
    </row>
    <row r="4" spans="2:27" s="4206" customFormat="1">
      <c r="C4" s="4328"/>
      <c r="D4" s="4328"/>
      <c r="E4" s="4328"/>
      <c r="F4" s="4328"/>
      <c r="G4" s="4328"/>
      <c r="H4" s="4328"/>
      <c r="I4" s="4328"/>
      <c r="J4" s="4328"/>
      <c r="K4" s="4307" t="s">
        <v>3017</v>
      </c>
      <c r="L4" s="4328"/>
      <c r="M4" s="4328"/>
      <c r="N4" s="4328"/>
      <c r="O4" s="4328"/>
      <c r="P4" s="4328"/>
      <c r="Q4" s="4328"/>
      <c r="R4" s="4328"/>
      <c r="S4" s="4328"/>
      <c r="T4" s="4205"/>
      <c r="U4" s="4205"/>
      <c r="V4" s="4328"/>
      <c r="W4" s="4205"/>
      <c r="X4" s="4205"/>
      <c r="Y4" s="4205"/>
    </row>
    <row r="5" spans="2:27" s="4206" customFormat="1">
      <c r="C5" s="4328"/>
      <c r="D5" s="4328"/>
      <c r="E5" s="4328"/>
      <c r="F5" s="4328"/>
      <c r="G5" s="4328"/>
      <c r="H5" s="4328"/>
      <c r="I5" s="4328"/>
      <c r="J5" s="4328"/>
      <c r="K5" s="4307" t="s">
        <v>3222</v>
      </c>
      <c r="L5" s="4328"/>
      <c r="M5" s="4328"/>
      <c r="N5" s="4328"/>
      <c r="O5" s="4328"/>
      <c r="P5" s="4328"/>
      <c r="Q5" s="4328"/>
      <c r="R5" s="4328"/>
      <c r="S5" s="4328"/>
      <c r="T5" s="4205"/>
      <c r="U5" s="4205"/>
      <c r="V5" s="4328"/>
      <c r="W5" s="4205"/>
      <c r="X5" s="4205"/>
      <c r="Y5" s="4205"/>
    </row>
    <row r="7" spans="2:27" ht="32.25" customHeight="1">
      <c r="B7" s="5985" t="s">
        <v>94</v>
      </c>
      <c r="C7" s="5986" t="s">
        <v>3077</v>
      </c>
      <c r="D7" s="5987" t="s">
        <v>3030</v>
      </c>
      <c r="E7" s="5987"/>
      <c r="F7" s="5987"/>
      <c r="G7" s="5987" t="s">
        <v>3078</v>
      </c>
      <c r="H7" s="5987"/>
      <c r="I7" s="5987"/>
      <c r="J7" s="5987" t="s">
        <v>3079</v>
      </c>
      <c r="K7" s="5983" t="s">
        <v>3253</v>
      </c>
      <c r="L7" s="5987" t="s">
        <v>3080</v>
      </c>
      <c r="M7" s="5987"/>
      <c r="N7" s="6001" t="s">
        <v>3081</v>
      </c>
      <c r="O7" s="6001"/>
      <c r="P7" s="6001"/>
      <c r="Q7" s="5987" t="s">
        <v>3082</v>
      </c>
      <c r="R7" s="5987" t="s">
        <v>3083</v>
      </c>
      <c r="S7" s="5987" t="s">
        <v>3084</v>
      </c>
      <c r="T7" s="5876" t="s">
        <v>3211</v>
      </c>
      <c r="U7" s="5876" t="s">
        <v>3212</v>
      </c>
      <c r="V7" s="5987" t="s">
        <v>3085</v>
      </c>
      <c r="W7" s="5876" t="s">
        <v>3250</v>
      </c>
      <c r="X7" s="5876"/>
      <c r="Y7" s="6000" t="s">
        <v>3087</v>
      </c>
      <c r="Z7" s="6000" t="s">
        <v>3087</v>
      </c>
      <c r="AA7" s="6000" t="s">
        <v>3088</v>
      </c>
    </row>
    <row r="8" spans="2:27" ht="52.5">
      <c r="B8" s="5985"/>
      <c r="C8" s="5986"/>
      <c r="D8" s="3977" t="s">
        <v>3031</v>
      </c>
      <c r="E8" s="3977" t="s">
        <v>3032</v>
      </c>
      <c r="F8" s="3977" t="s">
        <v>3089</v>
      </c>
      <c r="G8" s="4170" t="s">
        <v>3090</v>
      </c>
      <c r="H8" s="4170" t="s">
        <v>3285</v>
      </c>
      <c r="I8" s="4170" t="s">
        <v>3091</v>
      </c>
      <c r="J8" s="5987"/>
      <c r="K8" s="5984"/>
      <c r="L8" s="4170" t="s">
        <v>3282</v>
      </c>
      <c r="M8" s="4170" t="s">
        <v>3092</v>
      </c>
      <c r="N8" s="4170" t="s">
        <v>3093</v>
      </c>
      <c r="O8" s="4170" t="s">
        <v>3094</v>
      </c>
      <c r="P8" s="4170" t="s">
        <v>3095</v>
      </c>
      <c r="Q8" s="5987"/>
      <c r="R8" s="5987"/>
      <c r="S8" s="5987"/>
      <c r="T8" s="5876"/>
      <c r="U8" s="5876"/>
      <c r="V8" s="5987"/>
      <c r="W8" s="5876"/>
      <c r="X8" s="5876"/>
      <c r="Y8" s="6000"/>
      <c r="Z8" s="6000"/>
      <c r="AA8" s="6000"/>
    </row>
    <row r="9" spans="2:27">
      <c r="B9" s="4173" t="s">
        <v>14</v>
      </c>
      <c r="C9" s="4173" t="s">
        <v>15</v>
      </c>
      <c r="D9" s="4174">
        <f>'F1'!M48</f>
        <v>189</v>
      </c>
      <c r="E9" s="4174">
        <f>'F1'!N48</f>
        <v>0</v>
      </c>
      <c r="F9" s="4174">
        <f>SUM(D9:E9)</f>
        <v>189</v>
      </c>
      <c r="G9" s="4175">
        <f>'Tariff Structure'!G4</f>
        <v>3</v>
      </c>
      <c r="H9" s="4175"/>
      <c r="I9" s="4175">
        <f>'Tariff Structure'!H4</f>
        <v>0</v>
      </c>
      <c r="J9" s="4175">
        <f>'Tariff Structure'!I4</f>
        <v>1</v>
      </c>
      <c r="K9" s="4175">
        <f>'Tariff Structure'!J4</f>
        <v>0.12</v>
      </c>
      <c r="L9" s="4175">
        <f>'F1'!I11</f>
        <v>5.0000473283962926E-2</v>
      </c>
      <c r="M9" s="4175"/>
      <c r="N9" s="4176">
        <f>G9*F9*12/10^7</f>
        <v>6.8039999999999995E-4</v>
      </c>
      <c r="O9" s="4175"/>
      <c r="P9" s="4175">
        <f>N9+O9</f>
        <v>6.8039999999999995E-4</v>
      </c>
      <c r="Q9" s="4176">
        <f>L9*J9/10</f>
        <v>5.0000473283962924E-3</v>
      </c>
      <c r="R9" s="4175">
        <f t="shared" ref="R9:R16" si="0">SUM(P9:Q9)</f>
        <v>5.6804473283962927E-3</v>
      </c>
      <c r="S9" s="4176">
        <f>L9*K9/10</f>
        <v>6.0000567940755509E-4</v>
      </c>
      <c r="T9" s="4177">
        <v>0.09</v>
      </c>
      <c r="U9" s="4178">
        <f t="shared" ref="U9:U28" si="1">$L9*T9/10</f>
        <v>4.5000425955566629E-4</v>
      </c>
      <c r="V9" s="4175">
        <f t="shared" ref="V9:V16" si="2">R9+S9+U9</f>
        <v>6.7304572673595143E-3</v>
      </c>
      <c r="W9" s="4209">
        <f>V9/L9*10</f>
        <v>1.346078711922559</v>
      </c>
      <c r="X9" s="4175"/>
      <c r="Y9" s="4210"/>
      <c r="Z9" s="4211"/>
      <c r="AA9" s="4212">
        <f t="shared" ref="AA9:AA28" si="3">U9/$Z$37</f>
        <v>8.4093376243144072E-7</v>
      </c>
    </row>
    <row r="10" spans="2:27">
      <c r="B10" s="4179" t="s">
        <v>3018</v>
      </c>
      <c r="C10" s="4180" t="s">
        <v>17</v>
      </c>
      <c r="D10" s="4174">
        <f>'F1'!M49</f>
        <v>309363.34356361459</v>
      </c>
      <c r="E10" s="4174">
        <f>'F1'!N49</f>
        <v>15183.681938343097</v>
      </c>
      <c r="F10" s="4174">
        <f t="shared" ref="F10:F28" si="4">SUM(D10:E10)</f>
        <v>324547.02550195769</v>
      </c>
      <c r="G10" s="4175">
        <f>'Tariff Structure'!G5</f>
        <v>40</v>
      </c>
      <c r="H10" s="4175"/>
      <c r="I10" s="4175">
        <f>'Tariff Structure'!H5</f>
        <v>0</v>
      </c>
      <c r="J10" s="4175">
        <f>'Tariff Structure'!I5</f>
        <v>3</v>
      </c>
      <c r="K10" s="4175">
        <f>'Tariff Structure'!J5</f>
        <v>0.55000000000000004</v>
      </c>
      <c r="L10" s="4175">
        <f>'F1'!I12</f>
        <v>740.70916312206168</v>
      </c>
      <c r="M10" s="4175"/>
      <c r="N10" s="4176">
        <f>G10*F10*12/10^7</f>
        <v>15.578257224093967</v>
      </c>
      <c r="O10" s="4175"/>
      <c r="P10" s="4175">
        <f t="shared" ref="P10:P35" si="5">N10+O10</f>
        <v>15.578257224093967</v>
      </c>
      <c r="Q10" s="4176">
        <f>L10*J10/10</f>
        <v>222.21274893661848</v>
      </c>
      <c r="R10" s="4175">
        <f t="shared" si="0"/>
        <v>237.79100616071244</v>
      </c>
      <c r="S10" s="4176">
        <f t="shared" ref="S10:S32" si="6">L10*K10/10</f>
        <v>40.739003971713394</v>
      </c>
      <c r="T10" s="4177">
        <v>0.38</v>
      </c>
      <c r="U10" s="4178">
        <f t="shared" si="1"/>
        <v>28.146948198638341</v>
      </c>
      <c r="V10" s="4175">
        <f t="shared" si="2"/>
        <v>306.67695833106416</v>
      </c>
      <c r="W10" s="4209">
        <f>SUM(V10:V13)/SUM(L10:L13)*10</f>
        <v>8.2351017264623945</v>
      </c>
      <c r="X10" s="4175"/>
      <c r="Y10" s="4213"/>
      <c r="Z10" s="4214"/>
      <c r="AA10" s="4215">
        <f t="shared" si="3"/>
        <v>5.259887778176868E-2</v>
      </c>
    </row>
    <row r="11" spans="2:27">
      <c r="B11" s="4179"/>
      <c r="C11" s="4180" t="s">
        <v>18</v>
      </c>
      <c r="D11" s="4174">
        <f>'F1'!M50</f>
        <v>332099.19513493171</v>
      </c>
      <c r="E11" s="4174">
        <f>'F1'!N50</f>
        <v>28614.517206273787</v>
      </c>
      <c r="F11" s="4174">
        <f t="shared" si="4"/>
        <v>360713.71234120551</v>
      </c>
      <c r="G11" s="4175">
        <f>'Tariff Structure'!G6</f>
        <v>75</v>
      </c>
      <c r="H11" s="4175">
        <v>75</v>
      </c>
      <c r="I11" s="4175">
        <f>'Tariff Structure'!H6</f>
        <v>0</v>
      </c>
      <c r="J11" s="4175">
        <f>'Tariff Structure'!I6</f>
        <v>6.4</v>
      </c>
      <c r="K11" s="4175">
        <f>'Tariff Structure'!J6</f>
        <v>1.03</v>
      </c>
      <c r="L11" s="4175">
        <f>'F1'!I13</f>
        <v>638.93612398134803</v>
      </c>
      <c r="M11" s="4175"/>
      <c r="N11" s="4176">
        <f>(((D11*G11)+(E11*H11))*12/10^7)*0+(F11*G11*12/10^7)</f>
        <v>32.464234110708496</v>
      </c>
      <c r="O11" s="4175"/>
      <c r="P11" s="4175">
        <f t="shared" si="5"/>
        <v>32.464234110708496</v>
      </c>
      <c r="Q11" s="4176">
        <f>L11*J11/10</f>
        <v>408.91911934806274</v>
      </c>
      <c r="R11" s="4175">
        <f t="shared" si="0"/>
        <v>441.38335345877124</v>
      </c>
      <c r="S11" s="4176">
        <f t="shared" si="6"/>
        <v>65.810420770078849</v>
      </c>
      <c r="T11" s="4177">
        <v>0.73</v>
      </c>
      <c r="U11" s="4178">
        <f t="shared" si="1"/>
        <v>46.642337050638403</v>
      </c>
      <c r="V11" s="4175">
        <f t="shared" si="2"/>
        <v>553.83611127948848</v>
      </c>
      <c r="W11" s="4175"/>
      <c r="X11" s="4175"/>
      <c r="Y11" s="4213"/>
      <c r="Z11" s="4214"/>
      <c r="AA11" s="4215">
        <f t="shared" si="3"/>
        <v>8.7161654921483631E-2</v>
      </c>
    </row>
    <row r="12" spans="2:27">
      <c r="B12" s="4179"/>
      <c r="C12" s="4180" t="s">
        <v>19</v>
      </c>
      <c r="D12" s="4174">
        <f>'F1'!M51</f>
        <v>34580.877373877658</v>
      </c>
      <c r="E12" s="4174">
        <f>'F1'!N51</f>
        <v>19946.330247111055</v>
      </c>
      <c r="F12" s="4174">
        <f t="shared" si="4"/>
        <v>54527.207620988716</v>
      </c>
      <c r="G12" s="4175">
        <f>'Tariff Structure'!G7</f>
        <v>75</v>
      </c>
      <c r="H12" s="4175">
        <v>75</v>
      </c>
      <c r="I12" s="4175">
        <f>'Tariff Structure'!H7</f>
        <v>0</v>
      </c>
      <c r="J12" s="4175">
        <f>'Tariff Structure'!I7</f>
        <v>8.8000000000000007</v>
      </c>
      <c r="K12" s="4175">
        <f>'Tariff Structure'!J7</f>
        <v>1.44</v>
      </c>
      <c r="L12" s="4175">
        <f>'F1'!I14</f>
        <v>195.47247711742492</v>
      </c>
      <c r="M12" s="4175"/>
      <c r="N12" s="4176">
        <f>(((D12*G12)+(E12*H12))*12/10^7)*0+(F12*G12*12/10^7)</f>
        <v>4.9074486858889852</v>
      </c>
      <c r="O12" s="4175"/>
      <c r="P12" s="4175">
        <f t="shared" si="5"/>
        <v>4.9074486858889852</v>
      </c>
      <c r="Q12" s="4176">
        <f>L12*J12/10</f>
        <v>172.01577986333393</v>
      </c>
      <c r="R12" s="4175">
        <f t="shared" si="0"/>
        <v>176.92322854922293</v>
      </c>
      <c r="S12" s="4176">
        <f t="shared" si="6"/>
        <v>28.148036704909185</v>
      </c>
      <c r="T12" s="4177">
        <v>1.05</v>
      </c>
      <c r="U12" s="4178">
        <f t="shared" si="1"/>
        <v>20.524610097329617</v>
      </c>
      <c r="V12" s="4175">
        <f t="shared" si="2"/>
        <v>225.59587535146173</v>
      </c>
      <c r="W12" s="4175"/>
      <c r="X12" s="4175"/>
      <c r="Y12" s="4213"/>
      <c r="Z12" s="4214"/>
      <c r="AA12" s="4215">
        <f t="shared" si="3"/>
        <v>3.8354831593434426E-2</v>
      </c>
    </row>
    <row r="13" spans="2:27">
      <c r="B13" s="4179"/>
      <c r="C13" s="4180" t="s">
        <v>20</v>
      </c>
      <c r="D13" s="4174">
        <f>'F1'!M52</f>
        <v>7886.2440430585639</v>
      </c>
      <c r="E13" s="4174">
        <f>'F1'!N52</f>
        <v>24128.524268357101</v>
      </c>
      <c r="F13" s="4174">
        <f t="shared" si="4"/>
        <v>32014.768311415664</v>
      </c>
      <c r="G13" s="4175">
        <f>'Tariff Structure'!G8</f>
        <v>100</v>
      </c>
      <c r="H13" s="4175">
        <v>100</v>
      </c>
      <c r="I13" s="4175">
        <f>'Tariff Structure'!H8</f>
        <v>0</v>
      </c>
      <c r="J13" s="4175">
        <f>'Tariff Structure'!I8</f>
        <v>10.8</v>
      </c>
      <c r="K13" s="4175">
        <f>'Tariff Structure'!J8</f>
        <v>1.85</v>
      </c>
      <c r="L13" s="4175">
        <f>'F1'!I15</f>
        <v>359.99730133356655</v>
      </c>
      <c r="M13" s="4175"/>
      <c r="N13" s="4176">
        <f>(((D13*G13)+(E13*H13))*12/10^7)*0+(F13*G13*12/10^7)</f>
        <v>3.8417721973698793</v>
      </c>
      <c r="O13" s="4175"/>
      <c r="P13" s="4175">
        <f t="shared" si="5"/>
        <v>3.8417721973698793</v>
      </c>
      <c r="Q13" s="4176">
        <f t="shared" ref="Q13:Q28" si="7">L13*J13/10</f>
        <v>388.79708544025186</v>
      </c>
      <c r="R13" s="4175">
        <f t="shared" si="0"/>
        <v>392.63885763762175</v>
      </c>
      <c r="S13" s="4176">
        <f t="shared" si="6"/>
        <v>66.599500746709822</v>
      </c>
      <c r="T13" s="4177">
        <v>1.34</v>
      </c>
      <c r="U13" s="4178">
        <f t="shared" si="1"/>
        <v>48.239638378697919</v>
      </c>
      <c r="V13" s="4175">
        <f t="shared" si="2"/>
        <v>507.47799676302952</v>
      </c>
      <c r="W13" s="4175"/>
      <c r="X13" s="4175"/>
      <c r="Y13" s="4213"/>
      <c r="Z13" s="4214"/>
      <c r="AA13" s="4215">
        <f t="shared" si="3"/>
        <v>9.0146570257325392E-2</v>
      </c>
    </row>
    <row r="14" spans="2:27">
      <c r="B14" s="4179" t="s">
        <v>1991</v>
      </c>
      <c r="C14" s="4180" t="s">
        <v>3096</v>
      </c>
      <c r="D14" s="4174">
        <f>'F1'!M53</f>
        <v>201693.44353187692</v>
      </c>
      <c r="E14" s="4174">
        <f>'F1'!N53</f>
        <v>23225.761120575899</v>
      </c>
      <c r="F14" s="4174">
        <f t="shared" si="4"/>
        <v>224919.20465245281</v>
      </c>
      <c r="G14" s="4175">
        <f>'Tariff Structure'!G9</f>
        <v>250</v>
      </c>
      <c r="H14" s="4175"/>
      <c r="I14" s="4175">
        <f>'Tariff Structure'!H9</f>
        <v>0</v>
      </c>
      <c r="J14" s="4175">
        <f>'Tariff Structure'!I9</f>
        <v>8.4499999999999993</v>
      </c>
      <c r="K14" s="4175">
        <f>'Tariff Structure'!J9</f>
        <v>1.48</v>
      </c>
      <c r="L14" s="4175">
        <f>'F1'!I17</f>
        <v>557.25224670732882</v>
      </c>
      <c r="M14" s="4175"/>
      <c r="N14" s="4176">
        <f>G14*F14*12/10^7</f>
        <v>67.475761395735844</v>
      </c>
      <c r="O14" s="4175"/>
      <c r="P14" s="4175">
        <f t="shared" si="5"/>
        <v>67.475761395735844</v>
      </c>
      <c r="Q14" s="4176">
        <f t="shared" si="7"/>
        <v>470.87814846769277</v>
      </c>
      <c r="R14" s="4175">
        <f t="shared" si="0"/>
        <v>538.35390986342861</v>
      </c>
      <c r="S14" s="4176">
        <f t="shared" si="6"/>
        <v>82.473332512684664</v>
      </c>
      <c r="T14" s="4177">
        <v>1.1000000000000001</v>
      </c>
      <c r="U14" s="4178">
        <f t="shared" si="1"/>
        <v>61.297747137806176</v>
      </c>
      <c r="V14" s="4175">
        <f t="shared" si="2"/>
        <v>682.12498951391945</v>
      </c>
      <c r="W14" s="4209">
        <f>SUM(V14:V15)/SUM(L14:L15)*10</f>
        <v>13.671681887689562</v>
      </c>
      <c r="X14" s="4175"/>
      <c r="Y14" s="4213"/>
      <c r="Z14" s="4214"/>
      <c r="AA14" s="4215">
        <f t="shared" si="3"/>
        <v>0.11454857156255413</v>
      </c>
    </row>
    <row r="15" spans="2:27">
      <c r="B15" s="4179"/>
      <c r="C15" s="4180" t="s">
        <v>20</v>
      </c>
      <c r="D15" s="4174">
        <f>'F1'!M54</f>
        <v>12112.429333580742</v>
      </c>
      <c r="E15" s="4174">
        <f>'F1'!N54</f>
        <v>20425.882940876665</v>
      </c>
      <c r="F15" s="4174">
        <f t="shared" si="4"/>
        <v>32538.312274457407</v>
      </c>
      <c r="G15" s="4175">
        <f>'Tariff Structure'!G10</f>
        <v>250</v>
      </c>
      <c r="H15" s="4175"/>
      <c r="I15" s="4175">
        <f>'Tariff Structure'!H10</f>
        <v>0</v>
      </c>
      <c r="J15" s="4175">
        <f>'Tariff Structure'!I10</f>
        <v>10.95</v>
      </c>
      <c r="K15" s="4175">
        <f>'Tariff Structure'!J10</f>
        <v>2.2000000000000002</v>
      </c>
      <c r="L15" s="4175">
        <f>'F1'!I18</f>
        <v>353.68963760997781</v>
      </c>
      <c r="M15" s="4175"/>
      <c r="N15" s="4176">
        <f t="shared" ref="N15:N21" si="8">G15*F15*12/10^7</f>
        <v>9.7614936823372211</v>
      </c>
      <c r="O15" s="4175"/>
      <c r="P15" s="4175">
        <f t="shared" si="5"/>
        <v>9.7614936823372211</v>
      </c>
      <c r="Q15" s="4176">
        <f t="shared" si="7"/>
        <v>387.29015318292568</v>
      </c>
      <c r="R15" s="4175">
        <f t="shared" si="0"/>
        <v>397.05164686526291</v>
      </c>
      <c r="S15" s="4176">
        <f t="shared" si="6"/>
        <v>77.811720274195125</v>
      </c>
      <c r="T15" s="4177">
        <v>2.5</v>
      </c>
      <c r="U15" s="4178">
        <f t="shared" si="1"/>
        <v>88.422409402494452</v>
      </c>
      <c r="V15" s="4175">
        <f t="shared" si="2"/>
        <v>563.28577654195249</v>
      </c>
      <c r="W15" s="4175"/>
      <c r="X15" s="4175"/>
      <c r="Y15" s="4213"/>
      <c r="Z15" s="4214"/>
      <c r="AA15" s="4215">
        <f t="shared" si="3"/>
        <v>0.16523707907901419</v>
      </c>
    </row>
    <row r="16" spans="2:27">
      <c r="B16" s="4179" t="s">
        <v>1992</v>
      </c>
      <c r="C16" s="4179" t="s">
        <v>28</v>
      </c>
      <c r="D16" s="4174">
        <f>'F1'!M55</f>
        <v>58</v>
      </c>
      <c r="E16" s="4174">
        <f>'F1'!N55</f>
        <v>5850</v>
      </c>
      <c r="F16" s="4174">
        <f t="shared" si="4"/>
        <v>5908</v>
      </c>
      <c r="G16" s="4175">
        <f>'Tariff Structure'!G11</f>
        <v>0</v>
      </c>
      <c r="H16" s="4175"/>
      <c r="I16" s="4175">
        <f>'Tariff Structure'!H11</f>
        <v>200</v>
      </c>
      <c r="J16" s="4175">
        <f>'Tariff Structure'!I11</f>
        <v>10.3</v>
      </c>
      <c r="K16" s="4175">
        <f>'Tariff Structure'!J11</f>
        <v>2.15</v>
      </c>
      <c r="L16" s="4175">
        <f>'F1'!I20</f>
        <v>240.61024998912467</v>
      </c>
      <c r="M16" s="4175">
        <f>L16*10^6/(365*24*0.97*0.27)</f>
        <v>104875.61479473181</v>
      </c>
      <c r="N16" s="4176">
        <f t="shared" si="8"/>
        <v>0</v>
      </c>
      <c r="O16" s="4175">
        <f>M16*I16*12/10^7</f>
        <v>25.170147550735635</v>
      </c>
      <c r="P16" s="4175">
        <f t="shared" si="5"/>
        <v>25.170147550735635</v>
      </c>
      <c r="Q16" s="4176">
        <f t="shared" si="7"/>
        <v>247.82855748879842</v>
      </c>
      <c r="R16" s="4175">
        <f t="shared" si="0"/>
        <v>272.99870503953406</v>
      </c>
      <c r="S16" s="4176">
        <f t="shared" si="6"/>
        <v>51.731203747661802</v>
      </c>
      <c r="T16" s="4177">
        <v>1.58</v>
      </c>
      <c r="U16" s="4178">
        <f t="shared" si="1"/>
        <v>38.016419498281699</v>
      </c>
      <c r="V16" s="4175">
        <f t="shared" si="2"/>
        <v>362.7463282854776</v>
      </c>
      <c r="W16" s="4209">
        <f>V16/L16*10</f>
        <v>15.076096230392235</v>
      </c>
      <c r="X16" s="4175"/>
      <c r="Y16" s="4213"/>
      <c r="Z16" s="4214"/>
      <c r="AA16" s="4215">
        <f t="shared" si="3"/>
        <v>7.1042195721499293E-2</v>
      </c>
    </row>
    <row r="17" spans="2:27">
      <c r="B17" s="4179" t="s">
        <v>1993</v>
      </c>
      <c r="C17" s="4179" t="s">
        <v>28</v>
      </c>
      <c r="D17" s="4174">
        <f>'F1'!M56</f>
        <v>0</v>
      </c>
      <c r="E17" s="4174">
        <f>'F1'!N56</f>
        <v>2649</v>
      </c>
      <c r="F17" s="4174">
        <f t="shared" si="4"/>
        <v>2649</v>
      </c>
      <c r="G17" s="4175">
        <f>'Tariff Structure'!G12</f>
        <v>0</v>
      </c>
      <c r="H17" s="4175"/>
      <c r="I17" s="4175">
        <f>'Tariff Structure'!H12</f>
        <v>200</v>
      </c>
      <c r="J17" s="4175">
        <f>'Tariff Structure'!I12</f>
        <v>10.7</v>
      </c>
      <c r="K17" s="4175">
        <f>'Tariff Structure'!J12</f>
        <v>2.1800000000000002</v>
      </c>
      <c r="L17" s="4175">
        <f>'F1'!I21</f>
        <v>474.79038926628346</v>
      </c>
      <c r="M17" s="4175">
        <f>L17*10^6/(365*24*0.97*0.32)</f>
        <v>174612.80968520642</v>
      </c>
      <c r="N17" s="4176">
        <f t="shared" si="8"/>
        <v>0</v>
      </c>
      <c r="O17" s="4175">
        <f>M17*I17*12/10^7</f>
        <v>41.907074324449539</v>
      </c>
      <c r="P17" s="4175">
        <f t="shared" si="5"/>
        <v>41.907074324449539</v>
      </c>
      <c r="Q17" s="4176">
        <f>L17*J17/10</f>
        <v>508.02571651492326</v>
      </c>
      <c r="R17" s="4175">
        <f>SUM(P17:Q17)</f>
        <v>549.93279083937284</v>
      </c>
      <c r="S17" s="4176">
        <f t="shared" si="6"/>
        <v>103.5043048600498</v>
      </c>
      <c r="T17" s="4177">
        <v>1.61</v>
      </c>
      <c r="U17" s="4178">
        <f t="shared" si="1"/>
        <v>76.441252671871638</v>
      </c>
      <c r="V17" s="4175">
        <f t="shared" ref="V17:V28" si="9">R17+S17+U17</f>
        <v>729.87834837129435</v>
      </c>
      <c r="W17" s="4209">
        <f>V17/L17*10</f>
        <v>15.372643694393449</v>
      </c>
      <c r="X17" s="4175"/>
      <c r="Y17" s="4213"/>
      <c r="Z17" s="4214"/>
      <c r="AA17" s="4215">
        <f t="shared" si="3"/>
        <v>0.14284760388224202</v>
      </c>
    </row>
    <row r="18" spans="2:27">
      <c r="B18" s="4179" t="s">
        <v>3022</v>
      </c>
      <c r="C18" s="4180" t="s">
        <v>25</v>
      </c>
      <c r="D18" s="4174">
        <f>'F1'!M57</f>
        <v>2438</v>
      </c>
      <c r="E18" s="4174">
        <f>'F1'!N57</f>
        <v>3567</v>
      </c>
      <c r="F18" s="4174">
        <f t="shared" si="4"/>
        <v>6005</v>
      </c>
      <c r="G18" s="4175">
        <f>'Tariff Structure'!G13</f>
        <v>325</v>
      </c>
      <c r="H18" s="4175"/>
      <c r="I18" s="4175">
        <f>'Tariff Structure'!H13</f>
        <v>0</v>
      </c>
      <c r="J18" s="4175">
        <f>'Tariff Structure'!I13</f>
        <v>7</v>
      </c>
      <c r="K18" s="4175">
        <f>'Tariff Structure'!J13</f>
        <v>1.4</v>
      </c>
      <c r="L18" s="4175">
        <f>'F1'!I22</f>
        <v>21.323338722833718</v>
      </c>
      <c r="M18" s="4175"/>
      <c r="N18" s="4176">
        <f t="shared" si="8"/>
        <v>2.3419500000000002</v>
      </c>
      <c r="O18" s="4175"/>
      <c r="P18" s="4175">
        <f t="shared" si="5"/>
        <v>2.3419500000000002</v>
      </c>
      <c r="Q18" s="4176">
        <f t="shared" si="7"/>
        <v>14.926337105983603</v>
      </c>
      <c r="R18" s="4175">
        <f>SUM(P18:Q18)</f>
        <v>17.268287105983603</v>
      </c>
      <c r="S18" s="4176">
        <f t="shared" si="6"/>
        <v>2.9852674211967201</v>
      </c>
      <c r="T18" s="4177">
        <v>1.04</v>
      </c>
      <c r="U18" s="4178">
        <f t="shared" si="1"/>
        <v>2.2176272271747068</v>
      </c>
      <c r="V18" s="4175">
        <f t="shared" si="9"/>
        <v>22.47118175435503</v>
      </c>
      <c r="W18" s="4209">
        <f>SUM(V18:V19)/SUM(L18:L19)*10</f>
        <v>12.282654824593619</v>
      </c>
      <c r="X18" s="4175"/>
      <c r="Y18" s="4213"/>
      <c r="Z18" s="4214"/>
      <c r="AA18" s="4215">
        <f t="shared" si="3"/>
        <v>4.1441332347827275E-3</v>
      </c>
    </row>
    <row r="19" spans="2:27">
      <c r="B19" s="4179"/>
      <c r="C19" s="4180" t="s">
        <v>20</v>
      </c>
      <c r="D19" s="4174">
        <f>'F1'!M58</f>
        <v>101</v>
      </c>
      <c r="E19" s="4174">
        <f>'F1'!N58</f>
        <v>1971</v>
      </c>
      <c r="F19" s="4174">
        <f t="shared" si="4"/>
        <v>2072</v>
      </c>
      <c r="G19" s="4175">
        <f>'Tariff Structure'!G14</f>
        <v>425</v>
      </c>
      <c r="H19" s="4175"/>
      <c r="I19" s="4175">
        <f>'Tariff Structure'!H14</f>
        <v>0</v>
      </c>
      <c r="J19" s="4175">
        <f>'Tariff Structure'!I14</f>
        <v>9.3000000000000007</v>
      </c>
      <c r="K19" s="4175">
        <f>'Tariff Structure'!J14</f>
        <v>1.96</v>
      </c>
      <c r="L19" s="4175">
        <f>'F1'!I23</f>
        <v>23.412585970123601</v>
      </c>
      <c r="M19" s="4175"/>
      <c r="N19" s="4176">
        <f t="shared" si="8"/>
        <v>1.0567200000000001</v>
      </c>
      <c r="O19" s="4175"/>
      <c r="P19" s="4175">
        <f t="shared" si="5"/>
        <v>1.0567200000000001</v>
      </c>
      <c r="Q19" s="4176">
        <f t="shared" si="7"/>
        <v>21.773704952214949</v>
      </c>
      <c r="R19" s="4175">
        <f t="shared" ref="R19:R35" si="10">SUM(P19:Q19)</f>
        <v>22.830424952214948</v>
      </c>
      <c r="S19" s="4176">
        <f t="shared" si="6"/>
        <v>4.5888668501442256</v>
      </c>
      <c r="T19" s="4177">
        <v>2.16</v>
      </c>
      <c r="U19" s="4178">
        <f t="shared" si="1"/>
        <v>5.0571185695466978</v>
      </c>
      <c r="V19" s="4175">
        <f t="shared" si="9"/>
        <v>32.476410371905871</v>
      </c>
      <c r="W19" s="4175"/>
      <c r="X19" s="4175"/>
      <c r="Y19" s="4213"/>
      <c r="Z19" s="4214"/>
      <c r="AA19" s="4215">
        <f t="shared" si="3"/>
        <v>9.4503588698247494E-3</v>
      </c>
    </row>
    <row r="20" spans="2:27">
      <c r="B20" s="4179" t="s">
        <v>1995</v>
      </c>
      <c r="C20" s="4179" t="s">
        <v>28</v>
      </c>
      <c r="D20" s="4174">
        <f>'F1'!M59</f>
        <v>11</v>
      </c>
      <c r="E20" s="4174">
        <f>'F1'!N59</f>
        <v>1142</v>
      </c>
      <c r="F20" s="4174">
        <f t="shared" si="4"/>
        <v>1153</v>
      </c>
      <c r="G20" s="4175">
        <f>'Tariff Structure'!G15</f>
        <v>0</v>
      </c>
      <c r="H20" s="4175"/>
      <c r="I20" s="4175">
        <f>'Tariff Structure'!H15</f>
        <v>200</v>
      </c>
      <c r="J20" s="4175">
        <f>'Tariff Structure'!I15</f>
        <v>8.9</v>
      </c>
      <c r="K20" s="4175">
        <f>'Tariff Structure'!J15</f>
        <v>1.75</v>
      </c>
      <c r="L20" s="4175">
        <f>'F1'!I25</f>
        <v>53.444546787552618</v>
      </c>
      <c r="M20" s="4175">
        <f>L20*10^6/(365*24*0.97*0.25)</f>
        <v>25158.662518266075</v>
      </c>
      <c r="N20" s="4176">
        <f t="shared" si="8"/>
        <v>0</v>
      </c>
      <c r="O20" s="4175">
        <f>M20*I20*12/10^7</f>
        <v>6.0380790043838584</v>
      </c>
      <c r="P20" s="4175">
        <f t="shared" si="5"/>
        <v>6.0380790043838584</v>
      </c>
      <c r="Q20" s="4176">
        <f t="shared" si="7"/>
        <v>47.565646640921827</v>
      </c>
      <c r="R20" s="4175">
        <f t="shared" si="10"/>
        <v>53.603725645305687</v>
      </c>
      <c r="S20" s="4176">
        <f>L20*K20/10</f>
        <v>9.3527956878217076</v>
      </c>
      <c r="T20" s="4177">
        <v>1.28</v>
      </c>
      <c r="U20" s="4178">
        <f t="shared" si="1"/>
        <v>6.8409019888067348</v>
      </c>
      <c r="V20" s="4175">
        <f t="shared" si="9"/>
        <v>69.797423321934133</v>
      </c>
      <c r="W20" s="4209">
        <f t="shared" ref="W20:W28" si="11">V20/L20*10</f>
        <v>13.059783928823613</v>
      </c>
      <c r="X20" s="4175"/>
      <c r="Y20" s="4213"/>
      <c r="Z20" s="4214"/>
      <c r="AA20" s="4215">
        <f t="shared" si="3"/>
        <v>1.2783757766098098E-2</v>
      </c>
    </row>
    <row r="21" spans="2:27">
      <c r="B21" s="4179" t="s">
        <v>1996</v>
      </c>
      <c r="C21" s="4179" t="s">
        <v>28</v>
      </c>
      <c r="D21" s="4174">
        <f>'F1'!M60</f>
        <v>0</v>
      </c>
      <c r="E21" s="4174">
        <f>'F1'!N60</f>
        <v>120</v>
      </c>
      <c r="F21" s="4174">
        <f t="shared" si="4"/>
        <v>120</v>
      </c>
      <c r="G21" s="4175">
        <f>'Tariff Structure'!G16</f>
        <v>0</v>
      </c>
      <c r="H21" s="4175"/>
      <c r="I21" s="4175">
        <f>'Tariff Structure'!H16</f>
        <v>200</v>
      </c>
      <c r="J21" s="4175">
        <f>'Tariff Structure'!I16</f>
        <v>8.9</v>
      </c>
      <c r="K21" s="4175">
        <f>'Tariff Structure'!J16</f>
        <v>1.72</v>
      </c>
      <c r="L21" s="4175">
        <f>'F1'!I26</f>
        <v>48.920121922597481</v>
      </c>
      <c r="M21" s="4175">
        <f>L21*10^6/(365*24*0.97*0.42)</f>
        <v>13707.630839345815</v>
      </c>
      <c r="N21" s="4176">
        <f t="shared" si="8"/>
        <v>0</v>
      </c>
      <c r="O21" s="4175">
        <f>M21*I21*12/10^7</f>
        <v>3.2898314014429952</v>
      </c>
      <c r="P21" s="4175">
        <f t="shared" si="5"/>
        <v>3.2898314014429952</v>
      </c>
      <c r="Q21" s="4176">
        <f t="shared" si="7"/>
        <v>43.538908511111757</v>
      </c>
      <c r="R21" s="4175">
        <f t="shared" si="10"/>
        <v>46.828739912554752</v>
      </c>
      <c r="S21" s="4176">
        <f>L21*K21/10</f>
        <v>8.4142609706867653</v>
      </c>
      <c r="T21" s="4177">
        <v>1.24</v>
      </c>
      <c r="U21" s="4178">
        <f t="shared" si="1"/>
        <v>6.066095118402087</v>
      </c>
      <c r="V21" s="4175">
        <f t="shared" si="9"/>
        <v>61.30909600164361</v>
      </c>
      <c r="W21" s="4209">
        <f t="shared" si="11"/>
        <v>12.532490433823579</v>
      </c>
      <c r="X21" s="4175"/>
      <c r="Y21" s="4213"/>
      <c r="Z21" s="4214"/>
      <c r="AA21" s="4215">
        <f t="shared" si="3"/>
        <v>1.133585756770784E-2</v>
      </c>
    </row>
    <row r="22" spans="2:27">
      <c r="B22" s="4179" t="s">
        <v>3023</v>
      </c>
      <c r="C22" s="4179" t="s">
        <v>28</v>
      </c>
      <c r="D22" s="4174">
        <f>'F1'!M61</f>
        <v>770</v>
      </c>
      <c r="E22" s="4174">
        <f>'F1'!N61</f>
        <v>147</v>
      </c>
      <c r="F22" s="4174">
        <f t="shared" si="4"/>
        <v>917</v>
      </c>
      <c r="G22" s="4175">
        <f>'Tariff Structure'!G17</f>
        <v>400</v>
      </c>
      <c r="H22" s="4175"/>
      <c r="I22" s="4175">
        <f>'Tariff Structure'!H17</f>
        <v>0</v>
      </c>
      <c r="J22" s="4175">
        <f>'Tariff Structure'!I17</f>
        <v>15</v>
      </c>
      <c r="K22" s="4175">
        <f>'Tariff Structure'!J17</f>
        <v>3.16</v>
      </c>
      <c r="L22" s="4175">
        <f>'F1'!I27</f>
        <v>1.6412256112723016</v>
      </c>
      <c r="M22" s="4175"/>
      <c r="N22" s="4176">
        <f t="shared" ref="N22:N35" si="12">G22*F22*12/10^7</f>
        <v>0.44016</v>
      </c>
      <c r="O22" s="4175"/>
      <c r="P22" s="4175">
        <f t="shared" si="5"/>
        <v>0.44016</v>
      </c>
      <c r="Q22" s="4176">
        <f t="shared" si="7"/>
        <v>2.4618384169084524</v>
      </c>
      <c r="R22" s="4175">
        <f t="shared" si="10"/>
        <v>2.9019984169084525</v>
      </c>
      <c r="S22" s="4176">
        <f>L22*K22/10</f>
        <v>0.51862729316204725</v>
      </c>
      <c r="T22" s="4177">
        <v>2.29</v>
      </c>
      <c r="U22" s="4178">
        <f t="shared" si="1"/>
        <v>0.3758406649813571</v>
      </c>
      <c r="V22" s="4175">
        <f t="shared" si="9"/>
        <v>3.7964663750518568</v>
      </c>
      <c r="W22" s="4209">
        <f t="shared" si="11"/>
        <v>23.131898192283153</v>
      </c>
      <c r="X22" s="4175"/>
      <c r="Y22" s="4213"/>
      <c r="Z22" s="4214"/>
      <c r="AA22" s="4215">
        <f t="shared" si="3"/>
        <v>7.0234247291254908E-4</v>
      </c>
    </row>
    <row r="23" spans="2:27">
      <c r="B23" s="4179" t="s">
        <v>3024</v>
      </c>
      <c r="C23" s="4179" t="s">
        <v>28</v>
      </c>
      <c r="D23" s="4174">
        <f>'F1'!M62</f>
        <v>605.16306239110122</v>
      </c>
      <c r="E23" s="4174">
        <f>'F1'!N62</f>
        <v>124.23877439817309</v>
      </c>
      <c r="F23" s="4174">
        <f t="shared" si="4"/>
        <v>729.40183678927428</v>
      </c>
      <c r="G23" s="4175">
        <f>'Tariff Structure'!G18</f>
        <v>0</v>
      </c>
      <c r="H23" s="4175"/>
      <c r="I23" s="4175">
        <f>'Tariff Structure'!H18</f>
        <v>200</v>
      </c>
      <c r="J23" s="4175">
        <f>'Tariff Structure'!I18</f>
        <v>8.9</v>
      </c>
      <c r="K23" s="4175">
        <f>'Tariff Structure'!J18</f>
        <v>1.52</v>
      </c>
      <c r="L23" s="4175">
        <f>'F1'!I28</f>
        <v>30.785385876232155</v>
      </c>
      <c r="M23" s="4175">
        <f>L23*10^6/(365*24*0.97*0.27)</f>
        <v>13418.531715123658</v>
      </c>
      <c r="N23" s="4176">
        <f t="shared" si="12"/>
        <v>0</v>
      </c>
      <c r="O23" s="4175">
        <f>M23*I23*12/10^7</f>
        <v>3.2204476116296781</v>
      </c>
      <c r="P23" s="4175">
        <f t="shared" si="5"/>
        <v>3.2204476116296781</v>
      </c>
      <c r="Q23" s="4176">
        <f t="shared" si="7"/>
        <v>27.39899342984662</v>
      </c>
      <c r="R23" s="4175">
        <f t="shared" si="10"/>
        <v>30.619441041476296</v>
      </c>
      <c r="S23" s="4176">
        <f>L23*K23/10</f>
        <v>4.6793786531872872</v>
      </c>
      <c r="T23" s="4177">
        <v>1.1200000000000001</v>
      </c>
      <c r="U23" s="4178">
        <f t="shared" si="1"/>
        <v>3.447963218138002</v>
      </c>
      <c r="V23" s="4175">
        <f t="shared" si="9"/>
        <v>38.746782912801585</v>
      </c>
      <c r="W23" s="4209">
        <f t="shared" si="11"/>
        <v>12.586096230392235</v>
      </c>
      <c r="X23" s="4175"/>
      <c r="Y23" s="4213"/>
      <c r="Z23" s="4214"/>
      <c r="AA23" s="4215">
        <f t="shared" si="3"/>
        <v>6.4432916359880238E-3</v>
      </c>
    </row>
    <row r="24" spans="2:27">
      <c r="B24" s="4179" t="s">
        <v>1999</v>
      </c>
      <c r="C24" s="4179" t="s">
        <v>28</v>
      </c>
      <c r="D24" s="4174">
        <f>'F1'!M63</f>
        <v>1</v>
      </c>
      <c r="E24" s="4174">
        <f>'F1'!N63</f>
        <v>2</v>
      </c>
      <c r="F24" s="4174">
        <f t="shared" si="4"/>
        <v>3</v>
      </c>
      <c r="G24" s="4175">
        <f>'Tariff Structure'!G19</f>
        <v>200</v>
      </c>
      <c r="H24" s="4175"/>
      <c r="I24" s="4175">
        <f>'Tariff Structure'!H19</f>
        <v>0</v>
      </c>
      <c r="J24" s="4175">
        <f>'Tariff Structure'!I19</f>
        <v>4.9000000000000004</v>
      </c>
      <c r="K24" s="4175">
        <f>'Tariff Structure'!J19</f>
        <v>0.87</v>
      </c>
      <c r="L24" s="4175">
        <f>'F1'!I29</f>
        <v>2.3273066915796381</v>
      </c>
      <c r="M24" s="4175"/>
      <c r="N24" s="4176">
        <f>G24*F24*2/10^7</f>
        <v>1.2E-4</v>
      </c>
      <c r="O24" s="4175"/>
      <c r="P24" s="4175">
        <f t="shared" si="5"/>
        <v>1.2E-4</v>
      </c>
      <c r="Q24" s="4176">
        <f t="shared" si="7"/>
        <v>1.1403802788740227</v>
      </c>
      <c r="R24" s="4175">
        <f t="shared" si="10"/>
        <v>1.1405002788740226</v>
      </c>
      <c r="S24" s="4176">
        <f t="shared" si="6"/>
        <v>0.20247568216742851</v>
      </c>
      <c r="T24" s="4177">
        <v>0.72</v>
      </c>
      <c r="U24" s="4178">
        <f t="shared" si="1"/>
        <v>0.16756608179373395</v>
      </c>
      <c r="V24" s="4175">
        <f t="shared" si="9"/>
        <v>1.510542042835185</v>
      </c>
      <c r="W24" s="4209">
        <f t="shared" si="11"/>
        <v>6.4905156174750589</v>
      </c>
      <c r="X24" s="4175"/>
      <c r="Y24" s="4213"/>
      <c r="Z24" s="4214"/>
      <c r="AA24" s="4215">
        <f t="shared" si="3"/>
        <v>3.131347595639107E-4</v>
      </c>
    </row>
    <row r="25" spans="2:27">
      <c r="B25" s="4179" t="s">
        <v>2000</v>
      </c>
      <c r="C25" s="4179" t="s">
        <v>28</v>
      </c>
      <c r="D25" s="4174">
        <f>'F1'!M64</f>
        <v>150</v>
      </c>
      <c r="E25" s="4174">
        <f>'F1'!N64</f>
        <v>1502</v>
      </c>
      <c r="F25" s="4174">
        <f t="shared" si="4"/>
        <v>1652</v>
      </c>
      <c r="G25" s="4175">
        <f>'Tariff Structure'!G20</f>
        <v>400</v>
      </c>
      <c r="H25" s="4175"/>
      <c r="I25" s="4175">
        <f>'Tariff Structure'!H20</f>
        <v>0</v>
      </c>
      <c r="J25" s="4175">
        <f>'Tariff Structure'!I20</f>
        <v>12.5</v>
      </c>
      <c r="K25" s="4175">
        <f>'Tariff Structure'!J20</f>
        <v>2.5299999999999998</v>
      </c>
      <c r="L25" s="4175">
        <f>'F1'!I30</f>
        <v>37.300932574388348</v>
      </c>
      <c r="M25" s="4175"/>
      <c r="N25" s="4176">
        <f>G25*F25*12/10^7</f>
        <v>0.79296</v>
      </c>
      <c r="O25" s="4175"/>
      <c r="P25" s="4175">
        <f t="shared" si="5"/>
        <v>0.79296</v>
      </c>
      <c r="Q25" s="4176">
        <f t="shared" si="7"/>
        <v>46.626165717985437</v>
      </c>
      <c r="R25" s="4175">
        <f t="shared" si="10"/>
        <v>47.419125717985438</v>
      </c>
      <c r="S25" s="4176">
        <f t="shared" si="6"/>
        <v>9.4371359413202516</v>
      </c>
      <c r="T25" s="4177">
        <v>1.89</v>
      </c>
      <c r="U25" s="4178">
        <f t="shared" si="1"/>
        <v>7.049876256559398</v>
      </c>
      <c r="V25" s="4175">
        <f t="shared" si="9"/>
        <v>63.906137915865088</v>
      </c>
      <c r="W25" s="4209">
        <f t="shared" si="11"/>
        <v>17.132584497296047</v>
      </c>
      <c r="X25" s="4175"/>
      <c r="Y25" s="4213"/>
      <c r="Z25" s="4214"/>
      <c r="AA25" s="4215">
        <f t="shared" si="3"/>
        <v>1.3174272996789738E-2</v>
      </c>
    </row>
    <row r="26" spans="2:27">
      <c r="B26" s="4179" t="s">
        <v>2001</v>
      </c>
      <c r="C26" s="4179" t="s">
        <v>28</v>
      </c>
      <c r="D26" s="4174">
        <f>'F1'!M65</f>
        <v>9</v>
      </c>
      <c r="E26" s="4174">
        <f>'F1'!N65</f>
        <v>20</v>
      </c>
      <c r="F26" s="4174">
        <f t="shared" si="4"/>
        <v>29</v>
      </c>
      <c r="G26" s="4175">
        <f>'Tariff Structure'!G21</f>
        <v>200</v>
      </c>
      <c r="H26" s="4175"/>
      <c r="I26" s="4175">
        <f>'Tariff Structure'!H21</f>
        <v>0</v>
      </c>
      <c r="J26" s="4175">
        <f>'Tariff Structure'!I21</f>
        <v>5.0999999999999996</v>
      </c>
      <c r="K26" s="4175">
        <f>'Tariff Structure'!J21</f>
        <v>0.83</v>
      </c>
      <c r="L26" s="4175">
        <f>'F1'!I31</f>
        <v>1.2308820278524386</v>
      </c>
      <c r="M26" s="4175"/>
      <c r="N26" s="4176">
        <f t="shared" si="12"/>
        <v>6.96E-3</v>
      </c>
      <c r="O26" s="4175"/>
      <c r="P26" s="4175">
        <f t="shared" si="5"/>
        <v>6.96E-3</v>
      </c>
      <c r="Q26" s="4176">
        <f t="shared" si="7"/>
        <v>0.62774983420474362</v>
      </c>
      <c r="R26" s="4175">
        <f t="shared" si="10"/>
        <v>0.63470983420474358</v>
      </c>
      <c r="S26" s="4176">
        <f t="shared" si="6"/>
        <v>0.10216320831175241</v>
      </c>
      <c r="T26" s="4177">
        <v>0.55000000000000004</v>
      </c>
      <c r="U26" s="4178">
        <f t="shared" si="1"/>
        <v>6.7698511531884137E-2</v>
      </c>
      <c r="V26" s="4175">
        <f t="shared" si="9"/>
        <v>0.8045715540483801</v>
      </c>
      <c r="W26" s="4209">
        <f t="shared" si="11"/>
        <v>6.5365448178014525</v>
      </c>
      <c r="X26" s="4175"/>
      <c r="Y26" s="4213"/>
      <c r="Z26" s="4214"/>
      <c r="AA26" s="4215">
        <f t="shared" si="3"/>
        <v>1.2650983363963751E-4</v>
      </c>
    </row>
    <row r="27" spans="2:27">
      <c r="B27" s="4181" t="s">
        <v>2002</v>
      </c>
      <c r="C27" s="4179" t="s">
        <v>28</v>
      </c>
      <c r="D27" s="4174">
        <f>'F1'!M66</f>
        <v>1446.0358673249784</v>
      </c>
      <c r="E27" s="4174">
        <f>'F1'!N66</f>
        <v>610.28124961948151</v>
      </c>
      <c r="F27" s="4174">
        <f t="shared" si="4"/>
        <v>2056.3171169444599</v>
      </c>
      <c r="G27" s="4175">
        <f>'Tariff Structure'!G22</f>
        <v>250</v>
      </c>
      <c r="H27" s="4175"/>
      <c r="I27" s="4175">
        <f>'Tariff Structure'!H22</f>
        <v>0</v>
      </c>
      <c r="J27" s="4175">
        <f>'Tariff Structure'!I22</f>
        <v>9</v>
      </c>
      <c r="K27" s="4175">
        <f>'Tariff Structure'!J22</f>
        <v>1.83</v>
      </c>
      <c r="L27" s="4175">
        <f>'F1'!I32</f>
        <v>12.779773157416724</v>
      </c>
      <c r="M27" s="4175"/>
      <c r="N27" s="4176">
        <f t="shared" si="12"/>
        <v>0.61689513508333793</v>
      </c>
      <c r="O27" s="4175"/>
      <c r="P27" s="4175">
        <f t="shared" si="5"/>
        <v>0.61689513508333793</v>
      </c>
      <c r="Q27" s="4176">
        <f t="shared" si="7"/>
        <v>11.501795841675051</v>
      </c>
      <c r="R27" s="4175">
        <f t="shared" si="10"/>
        <v>12.118690976758389</v>
      </c>
      <c r="S27" s="4176">
        <f t="shared" si="6"/>
        <v>2.3386984878072608</v>
      </c>
      <c r="T27" s="4177">
        <v>1.51</v>
      </c>
      <c r="U27" s="4178">
        <f t="shared" si="1"/>
        <v>1.9297457467699253</v>
      </c>
      <c r="V27" s="4175">
        <f t="shared" si="9"/>
        <v>16.387135211335575</v>
      </c>
      <c r="W27" s="4209">
        <f t="shared" si="11"/>
        <v>12.822712116627299</v>
      </c>
      <c r="X27" s="4175"/>
      <c r="Y27" s="4213"/>
      <c r="Z27" s="4214"/>
      <c r="AA27" s="4215">
        <f t="shared" si="3"/>
        <v>3.6061622015970312E-3</v>
      </c>
    </row>
    <row r="28" spans="2:27">
      <c r="B28" s="4181" t="s">
        <v>2003</v>
      </c>
      <c r="C28" s="4179" t="s">
        <v>28</v>
      </c>
      <c r="D28" s="4174">
        <f>'F1'!M67</f>
        <v>3</v>
      </c>
      <c r="E28" s="4174">
        <f>'F1'!N67</f>
        <v>490</v>
      </c>
      <c r="F28" s="4174">
        <f t="shared" si="4"/>
        <v>493</v>
      </c>
      <c r="G28" s="4175">
        <f>'Tariff Structure'!G23</f>
        <v>0</v>
      </c>
      <c r="H28" s="4175"/>
      <c r="I28" s="4175">
        <f>'Tariff Structure'!H23</f>
        <v>200</v>
      </c>
      <c r="J28" s="4175">
        <f>'Tariff Structure'!I23</f>
        <v>9</v>
      </c>
      <c r="K28" s="4175">
        <f>'Tariff Structure'!J23</f>
        <v>1.83</v>
      </c>
      <c r="L28" s="4175">
        <f>'F1'!I33</f>
        <v>75.891669968670342</v>
      </c>
      <c r="M28" s="4175">
        <f>L28*10^6/(365*24*0.97*0.35)</f>
        <v>25518.211030413499</v>
      </c>
      <c r="N28" s="4176">
        <f t="shared" si="12"/>
        <v>0</v>
      </c>
      <c r="O28" s="4175">
        <f>M28*I28*12/10^7</f>
        <v>6.1243706472992399</v>
      </c>
      <c r="P28" s="4175">
        <f t="shared" si="5"/>
        <v>6.1243706472992399</v>
      </c>
      <c r="Q28" s="4176">
        <f t="shared" si="7"/>
        <v>68.302502971803307</v>
      </c>
      <c r="R28" s="4175">
        <f t="shared" si="10"/>
        <v>74.426873619102551</v>
      </c>
      <c r="S28" s="4176">
        <f t="shared" si="6"/>
        <v>13.888175604266673</v>
      </c>
      <c r="T28" s="4177">
        <v>1.42</v>
      </c>
      <c r="U28" s="4178">
        <f t="shared" si="1"/>
        <v>10.776617135551188</v>
      </c>
      <c r="V28" s="4175">
        <f t="shared" si="9"/>
        <v>99.091666358920421</v>
      </c>
      <c r="W28" s="4209">
        <f t="shared" si="11"/>
        <v>13.056988520588295</v>
      </c>
      <c r="X28" s="4175"/>
      <c r="Y28" s="4213"/>
      <c r="Z28" s="4214"/>
      <c r="AA28" s="4215">
        <f t="shared" si="3"/>
        <v>2.0138523139826323E-2</v>
      </c>
    </row>
    <row r="29" spans="2:27">
      <c r="B29" s="4179" t="s">
        <v>3097</v>
      </c>
      <c r="C29" s="4179"/>
      <c r="D29" s="4182">
        <f>SUM(D9:D28)</f>
        <v>903516.73191065644</v>
      </c>
      <c r="E29" s="4182">
        <f>SUM(E9:E28)</f>
        <v>149719.21774555524</v>
      </c>
      <c r="F29" s="4183">
        <f>SUM(D29:E29)</f>
        <v>1053235.9496562118</v>
      </c>
      <c r="G29" s="4175"/>
      <c r="H29" s="4175"/>
      <c r="I29" s="4175"/>
      <c r="J29" s="4175"/>
      <c r="K29" s="4175"/>
      <c r="L29" s="4184">
        <f>SUM(L9:L28)</f>
        <v>3870.5653589109193</v>
      </c>
      <c r="M29" s="4184">
        <f>SUM(M9:M28)</f>
        <v>357291.46058308729</v>
      </c>
      <c r="N29" s="4176"/>
      <c r="O29" s="4175"/>
      <c r="P29" s="4175"/>
      <c r="Q29" s="4176"/>
      <c r="R29" s="4175"/>
      <c r="S29" s="4176"/>
      <c r="T29" s="4177"/>
      <c r="U29" s="4177"/>
      <c r="V29" s="4175"/>
      <c r="W29" s="4175"/>
      <c r="X29" s="4175"/>
      <c r="Y29" s="4216"/>
      <c r="Z29" s="4214"/>
      <c r="AA29" s="4215"/>
    </row>
    <row r="30" spans="2:27" ht="21">
      <c r="B30" s="4185" t="s">
        <v>2004</v>
      </c>
      <c r="C30" s="4179"/>
      <c r="D30" s="4186"/>
      <c r="E30" s="4186"/>
      <c r="F30" s="4174"/>
      <c r="G30" s="4175"/>
      <c r="H30" s="4175"/>
      <c r="I30" s="4175"/>
      <c r="J30" s="4175"/>
      <c r="K30" s="4175"/>
      <c r="L30" s="4175"/>
      <c r="M30" s="4175"/>
      <c r="N30" s="4176"/>
      <c r="O30" s="4175"/>
      <c r="P30" s="4175"/>
      <c r="Q30" s="4176"/>
      <c r="R30" s="4175"/>
      <c r="S30" s="4176"/>
      <c r="T30" s="4177"/>
      <c r="U30" s="4177"/>
      <c r="V30" s="4175"/>
      <c r="W30" s="4175"/>
      <c r="X30" s="4175"/>
      <c r="Y30" s="4216"/>
      <c r="Z30" s="4214"/>
      <c r="AA30" s="4215"/>
    </row>
    <row r="31" spans="2:27">
      <c r="B31" s="4187" t="s">
        <v>3027</v>
      </c>
      <c r="C31" s="4179" t="s">
        <v>28</v>
      </c>
      <c r="D31" s="4186">
        <f>'F1'!M69</f>
        <v>0</v>
      </c>
      <c r="E31" s="4186">
        <f>'F1'!N69</f>
        <v>44.094935312136769</v>
      </c>
      <c r="F31" s="4174">
        <f t="shared" ref="F31:F35" si="13">SUM(D31:E31)</f>
        <v>44.094935312136769</v>
      </c>
      <c r="G31" s="4175">
        <f>'Tariff Structure'!G26</f>
        <v>0</v>
      </c>
      <c r="H31" s="4175"/>
      <c r="I31" s="4175">
        <f>'Tariff Structure'!H26</f>
        <v>200</v>
      </c>
      <c r="J31" s="4175">
        <f>'Tariff Structure'!I26</f>
        <v>9</v>
      </c>
      <c r="K31" s="4175">
        <f>'Tariff Structure'!J26</f>
        <v>1.59</v>
      </c>
      <c r="L31" s="4175">
        <f>'F1'!I35</f>
        <v>197.20559168255826</v>
      </c>
      <c r="M31" s="4175">
        <f>L31*10^6/(365*24*0.97*0.46)</f>
        <v>50452.832463112733</v>
      </c>
      <c r="N31" s="4176">
        <f t="shared" si="12"/>
        <v>0</v>
      </c>
      <c r="O31" s="4175">
        <f>M31*I31*12/10^7</f>
        <v>12.108679791147056</v>
      </c>
      <c r="P31" s="4175">
        <f t="shared" si="5"/>
        <v>12.108679791147056</v>
      </c>
      <c r="Q31" s="4176">
        <f t="shared" ref="Q31:Q35" si="14">L31*J31/10</f>
        <v>177.48503251430242</v>
      </c>
      <c r="R31" s="4175">
        <f t="shared" si="10"/>
        <v>189.59371230544949</v>
      </c>
      <c r="S31" s="4176">
        <f t="shared" si="6"/>
        <v>31.355689077526769</v>
      </c>
      <c r="T31" s="4177">
        <v>1.1299999999999999</v>
      </c>
      <c r="U31" s="4178">
        <f>$L31*T31/10</f>
        <v>22.284231860129083</v>
      </c>
      <c r="V31" s="4175">
        <f t="shared" ref="V31:V35" si="15">R31+S31+U31</f>
        <v>243.23363324310532</v>
      </c>
      <c r="W31" s="4209">
        <f>V31/L31*10</f>
        <v>12.334013004795441</v>
      </c>
      <c r="X31" s="4175"/>
      <c r="Y31" s="4213"/>
      <c r="Z31" s="4214"/>
      <c r="AA31" s="4215">
        <f>U31/$Z$37</f>
        <v>4.164307902226605E-2</v>
      </c>
    </row>
    <row r="32" spans="2:27">
      <c r="B32" s="4187" t="s">
        <v>3028</v>
      </c>
      <c r="C32" s="4179" t="s">
        <v>28</v>
      </c>
      <c r="D32" s="4186">
        <f>'F1'!M70</f>
        <v>0</v>
      </c>
      <c r="E32" s="4186">
        <f>'F1'!N70</f>
        <v>108.17276701559564</v>
      </c>
      <c r="F32" s="4174">
        <f t="shared" si="13"/>
        <v>108.17276701559564</v>
      </c>
      <c r="G32" s="4175">
        <f>'Tariff Structure'!G27</f>
        <v>0</v>
      </c>
      <c r="H32" s="4175"/>
      <c r="I32" s="4175">
        <f>'Tariff Structure'!H27</f>
        <v>200</v>
      </c>
      <c r="J32" s="4175">
        <f>'Tariff Structure'!I27</f>
        <v>9.6999999999999993</v>
      </c>
      <c r="K32" s="4175">
        <f>'Tariff Structure'!J27</f>
        <v>1.71</v>
      </c>
      <c r="L32" s="4175">
        <f>'F1'!I36</f>
        <v>376.30713842443834</v>
      </c>
      <c r="M32" s="4175">
        <f>L32*10^6/(365*24*0.97*0.45)</f>
        <v>98413.36974387338</v>
      </c>
      <c r="N32" s="4176">
        <f t="shared" si="12"/>
        <v>0</v>
      </c>
      <c r="O32" s="4175">
        <f>M32*I32*12/10^7</f>
        <v>23.619208738529611</v>
      </c>
      <c r="P32" s="4175">
        <f t="shared" si="5"/>
        <v>23.619208738529611</v>
      </c>
      <c r="Q32" s="4176">
        <f t="shared" si="14"/>
        <v>365.01792427170517</v>
      </c>
      <c r="R32" s="4175">
        <f t="shared" si="10"/>
        <v>388.63713301023478</v>
      </c>
      <c r="S32" s="4176">
        <f t="shared" si="6"/>
        <v>64.348520670578949</v>
      </c>
      <c r="T32" s="4177">
        <v>1.19</v>
      </c>
      <c r="U32" s="4178">
        <f>$L32*T32/10</f>
        <v>44.780549472508156</v>
      </c>
      <c r="V32" s="4175">
        <f t="shared" si="15"/>
        <v>497.76620315332184</v>
      </c>
      <c r="W32" s="4209">
        <f>V32/L32*10</f>
        <v>13.227657738235338</v>
      </c>
      <c r="X32" s="4175"/>
      <c r="Y32" s="4213"/>
      <c r="Z32" s="4214"/>
      <c r="AA32" s="4215">
        <f>U32/$Z$37</f>
        <v>8.3682487780996781E-2</v>
      </c>
    </row>
    <row r="33" spans="2:27">
      <c r="B33" s="4187" t="s">
        <v>43</v>
      </c>
      <c r="C33" s="4179" t="s">
        <v>28</v>
      </c>
      <c r="D33" s="4186">
        <f>'F1'!M71</f>
        <v>0</v>
      </c>
      <c r="E33" s="4186">
        <f>'F1'!N71</f>
        <v>13.386394339847239</v>
      </c>
      <c r="F33" s="4174">
        <f t="shared" si="13"/>
        <v>13.386394339847239</v>
      </c>
      <c r="G33" s="4175">
        <f>'Tariff Structure'!G28</f>
        <v>0</v>
      </c>
      <c r="H33" s="4175"/>
      <c r="I33" s="4175">
        <f>'Tariff Structure'!H28</f>
        <v>200</v>
      </c>
      <c r="J33" s="4175">
        <f>'Tariff Structure'!I28</f>
        <v>6.65</v>
      </c>
      <c r="K33" s="4175">
        <f>'Tariff Structure'!J28</f>
        <v>0.91</v>
      </c>
      <c r="L33" s="4175">
        <f>'F1'!I37</f>
        <v>34.54054419494873</v>
      </c>
      <c r="M33" s="4175">
        <f>L33*10^6/(365*24*0.97*0.56)</f>
        <v>7258.8079844261165</v>
      </c>
      <c r="N33" s="4176">
        <f t="shared" si="12"/>
        <v>0</v>
      </c>
      <c r="O33" s="4175">
        <f>M33*I33*12/10^7</f>
        <v>1.7421139162622683</v>
      </c>
      <c r="P33" s="4175">
        <f t="shared" si="5"/>
        <v>1.7421139162622683</v>
      </c>
      <c r="Q33" s="4176">
        <f t="shared" si="14"/>
        <v>22.969461889640904</v>
      </c>
      <c r="R33" s="4175">
        <f t="shared" si="10"/>
        <v>24.711575805903173</v>
      </c>
      <c r="S33" s="4176">
        <f>L33*K33/10</f>
        <v>3.1431895217403345</v>
      </c>
      <c r="T33" s="4177">
        <v>0.66</v>
      </c>
      <c r="U33" s="4178">
        <f>$L33*T33/10</f>
        <v>2.2796759168666165</v>
      </c>
      <c r="V33" s="4175">
        <f t="shared" si="15"/>
        <v>30.134441244510125</v>
      </c>
      <c r="W33" s="4209">
        <f>V33/L33*10</f>
        <v>8.7243678253676844</v>
      </c>
      <c r="X33" s="4175"/>
      <c r="Y33" s="4213"/>
      <c r="Z33" s="4214"/>
      <c r="AA33" s="4215">
        <f>U33/$Z$37</f>
        <v>4.2600851107229241E-3</v>
      </c>
    </row>
    <row r="34" spans="2:27">
      <c r="B34" s="4187" t="s">
        <v>44</v>
      </c>
      <c r="C34" s="4179" t="s">
        <v>28</v>
      </c>
      <c r="D34" s="4186">
        <f>'F1'!M72</f>
        <v>0</v>
      </c>
      <c r="E34" s="4186">
        <f>'F1'!N72</f>
        <v>6</v>
      </c>
      <c r="F34" s="4174">
        <f t="shared" si="13"/>
        <v>6</v>
      </c>
      <c r="G34" s="4175">
        <f>'Tariff Structure'!G29</f>
        <v>250</v>
      </c>
      <c r="H34" s="4175"/>
      <c r="I34" s="4175">
        <f>'Tariff Structure'!H29</f>
        <v>0</v>
      </c>
      <c r="J34" s="4175">
        <f>'Tariff Structure'!I29</f>
        <v>12</v>
      </c>
      <c r="K34" s="4175">
        <f>'Tariff Structure'!J29</f>
        <v>2.33</v>
      </c>
      <c r="L34" s="4175">
        <f>'F1'!I38</f>
        <v>11.665209189340334</v>
      </c>
      <c r="M34" s="4175"/>
      <c r="N34" s="4176">
        <f t="shared" si="12"/>
        <v>1.8E-3</v>
      </c>
      <c r="O34" s="4175"/>
      <c r="P34" s="4175">
        <f t="shared" si="5"/>
        <v>1.8E-3</v>
      </c>
      <c r="Q34" s="4176">
        <f t="shared" si="14"/>
        <v>13.998251027208402</v>
      </c>
      <c r="R34" s="4175">
        <f t="shared" si="10"/>
        <v>14.000051027208402</v>
      </c>
      <c r="S34" s="4176">
        <f>L34*K34/10</f>
        <v>2.717993741116298</v>
      </c>
      <c r="T34" s="4177">
        <v>1.68</v>
      </c>
      <c r="U34" s="4178">
        <f>$L34*T34/10</f>
        <v>1.959755143809176</v>
      </c>
      <c r="V34" s="4175">
        <f t="shared" si="15"/>
        <v>18.677799912133874</v>
      </c>
      <c r="W34" s="4209">
        <f>V34/L34*10</f>
        <v>16.01154304991088</v>
      </c>
      <c r="X34" s="4175"/>
      <c r="Y34" s="4213"/>
      <c r="Z34" s="4214"/>
      <c r="AA34" s="4215">
        <f>U34/$Z$37</f>
        <v>3.6622414822363612E-3</v>
      </c>
    </row>
    <row r="35" spans="2:27">
      <c r="B35" s="4187" t="s">
        <v>3098</v>
      </c>
      <c r="C35" s="4179" t="s">
        <v>28</v>
      </c>
      <c r="D35" s="4186">
        <f>'F1'!M73</f>
        <v>0</v>
      </c>
      <c r="E35" s="4186">
        <f>'F1'!N73</f>
        <v>16.803536623781845</v>
      </c>
      <c r="F35" s="4174">
        <f t="shared" si="13"/>
        <v>16.803536623781845</v>
      </c>
      <c r="G35" s="4175">
        <f>'Tariff Structure'!G30</f>
        <v>0</v>
      </c>
      <c r="H35" s="4175"/>
      <c r="I35" s="4175">
        <f>'Tariff Structure'!H30</f>
        <v>200</v>
      </c>
      <c r="J35" s="4175">
        <f>'Tariff Structure'!I30</f>
        <v>8.8000000000000007</v>
      </c>
      <c r="K35" s="4175">
        <f>'Tariff Structure'!J30</f>
        <v>1.51</v>
      </c>
      <c r="L35" s="4175">
        <f>'F1'!I39</f>
        <v>103.34551388689785</v>
      </c>
      <c r="M35" s="4175">
        <f>L35*10^6/(365*24*0.97*0.55)</f>
        <v>22113.276648756564</v>
      </c>
      <c r="N35" s="4176">
        <f t="shared" si="12"/>
        <v>0</v>
      </c>
      <c r="O35" s="4175">
        <f>M35*I35*12/10^7</f>
        <v>5.3071863957015752</v>
      </c>
      <c r="P35" s="4175">
        <f t="shared" si="5"/>
        <v>5.3071863957015752</v>
      </c>
      <c r="Q35" s="4176">
        <f t="shared" si="14"/>
        <v>90.944052220470113</v>
      </c>
      <c r="R35" s="4175">
        <f t="shared" si="10"/>
        <v>96.25123861617169</v>
      </c>
      <c r="S35" s="4176">
        <f>L35*K35/10</f>
        <v>15.605172596921573</v>
      </c>
      <c r="T35" s="4177">
        <v>1.17</v>
      </c>
      <c r="U35" s="4178">
        <f>$L35*T35/10</f>
        <v>12.091425124767047</v>
      </c>
      <c r="V35" s="4175">
        <f t="shared" si="15"/>
        <v>123.94783633786031</v>
      </c>
      <c r="W35" s="4209">
        <f>V35/L35*10</f>
        <v>11.99353814946528</v>
      </c>
      <c r="X35" s="4175"/>
      <c r="Y35" s="4213"/>
      <c r="Z35" s="4214"/>
      <c r="AA35" s="4215">
        <f>U35/$Z$37</f>
        <v>2.2595536391962965E-2</v>
      </c>
    </row>
    <row r="36" spans="2:27">
      <c r="B36" s="4187" t="s">
        <v>3099</v>
      </c>
      <c r="C36" s="4179" t="s">
        <v>28</v>
      </c>
      <c r="D36" s="4182">
        <f>SUM(D31:D35)</f>
        <v>0</v>
      </c>
      <c r="E36" s="4182">
        <f t="shared" ref="E36" si="16">SUM(E31:E35)</f>
        <v>188.4576332913615</v>
      </c>
      <c r="F36" s="4174">
        <f>SUM(D36:E36)</f>
        <v>188.4576332913615</v>
      </c>
      <c r="G36" s="4175"/>
      <c r="H36" s="4175"/>
      <c r="I36" s="4175"/>
      <c r="J36" s="4175"/>
      <c r="K36" s="4175"/>
      <c r="L36" s="4175">
        <f>SUM(L31:L35)</f>
        <v>723.06399737818356</v>
      </c>
      <c r="M36" s="4175">
        <f>SUM(M31:M35)</f>
        <v>178238.28684016879</v>
      </c>
      <c r="N36" s="4176"/>
      <c r="O36" s="4175"/>
      <c r="P36" s="4175"/>
      <c r="Q36" s="4176"/>
      <c r="R36" s="4175"/>
      <c r="S36" s="4176"/>
      <c r="T36" s="4177"/>
      <c r="U36" s="4177"/>
      <c r="V36" s="4175"/>
      <c r="W36" s="4175"/>
      <c r="X36" s="4175"/>
      <c r="Y36" s="4216"/>
      <c r="Z36" s="4214"/>
      <c r="AA36" s="4217"/>
    </row>
    <row r="37" spans="2:27">
      <c r="B37" s="4188" t="s">
        <v>47</v>
      </c>
      <c r="C37" s="4189"/>
      <c r="D37" s="4183">
        <f>SUM(D29,D36)</f>
        <v>903516.73191065644</v>
      </c>
      <c r="E37" s="4183">
        <f>SUM(E29,E36)</f>
        <v>149907.67537884662</v>
      </c>
      <c r="F37" s="4183">
        <f>SUM(F29,F36)</f>
        <v>1053424.4072895031</v>
      </c>
      <c r="G37" s="4175"/>
      <c r="H37" s="4184"/>
      <c r="I37" s="4175"/>
      <c r="J37" s="4175"/>
      <c r="K37" s="4175"/>
      <c r="L37" s="4184">
        <f>SUM(L29,L36)</f>
        <v>4593.6293562891024</v>
      </c>
      <c r="M37" s="4184">
        <f>SUM(M29,M36)</f>
        <v>535529.74742325605</v>
      </c>
      <c r="N37" s="4190"/>
      <c r="O37" s="4184"/>
      <c r="P37" s="4190">
        <f>SUM(P9:P28,P31:P35)</f>
        <v>267.81435221279924</v>
      </c>
      <c r="Q37" s="4190">
        <f>SUM(Q9:Q28,Q31:Q35)</f>
        <v>3762.2510549147923</v>
      </c>
      <c r="R37" s="4184">
        <f>SUM(R9:R28,R31:R35)</f>
        <v>4030.0654071275922</v>
      </c>
      <c r="S37" s="4184">
        <f>SUM(S9:S28,S31:S35)</f>
        <v>690.49653500163799</v>
      </c>
      <c r="T37" s="4191"/>
      <c r="U37" s="4191">
        <f>SUM(U9:U28,U31:U35)</f>
        <v>535.12450047735365</v>
      </c>
      <c r="V37" s="4184">
        <f>SUM(V9:V28,V31:V35)</f>
        <v>5255.6864426065831</v>
      </c>
      <c r="W37" s="4184"/>
      <c r="X37" s="4184"/>
      <c r="Y37" s="4218"/>
      <c r="Z37" s="4219">
        <f>U37</f>
        <v>535.12450047735365</v>
      </c>
      <c r="AA37" s="4220"/>
    </row>
    <row r="38" spans="2:27">
      <c r="U38" s="4175" t="s">
        <v>48</v>
      </c>
      <c r="V38" s="4175">
        <v>19.05</v>
      </c>
      <c r="W38" s="4192"/>
      <c r="X38" s="4192"/>
    </row>
    <row r="39" spans="2:27">
      <c r="U39" s="4175" t="s">
        <v>52</v>
      </c>
      <c r="V39" s="4175">
        <v>12.97</v>
      </c>
      <c r="W39" s="4192"/>
      <c r="X39" s="4192"/>
    </row>
    <row r="40" spans="2:27">
      <c r="U40" s="4175" t="s">
        <v>3182</v>
      </c>
      <c r="V40" s="4175">
        <v>20.22</v>
      </c>
      <c r="W40" s="4192"/>
      <c r="X40" s="4192"/>
    </row>
    <row r="41" spans="2:27">
      <c r="U41" s="4175" t="s">
        <v>49</v>
      </c>
      <c r="V41" s="4175">
        <v>0</v>
      </c>
      <c r="W41" s="4192"/>
      <c r="X41" s="4192"/>
    </row>
    <row r="42" spans="2:27">
      <c r="U42" s="4193" t="s">
        <v>47</v>
      </c>
      <c r="V42" s="4193">
        <f>SUM(V37:V41)</f>
        <v>5307.9264426065838</v>
      </c>
      <c r="W42" s="4222"/>
      <c r="X42" s="4222"/>
    </row>
  </sheetData>
  <mergeCells count="19">
    <mergeCell ref="B7:B8"/>
    <mergeCell ref="C7:C8"/>
    <mergeCell ref="D7:F7"/>
    <mergeCell ref="G7:I7"/>
    <mergeCell ref="J7:J8"/>
    <mergeCell ref="K7:K8"/>
    <mergeCell ref="AA7:AA8"/>
    <mergeCell ref="L7:M7"/>
    <mergeCell ref="N7:P7"/>
    <mergeCell ref="Q7:Q8"/>
    <mergeCell ref="R7:R8"/>
    <mergeCell ref="S7:S8"/>
    <mergeCell ref="V7:V8"/>
    <mergeCell ref="W7:W8"/>
    <mergeCell ref="X7:X8"/>
    <mergeCell ref="T7:T8"/>
    <mergeCell ref="U7:U8"/>
    <mergeCell ref="Y7:Y8"/>
    <mergeCell ref="Z7:Z8"/>
  </mergeCells>
  <pageMargins left="0.7" right="0.7" top="0.75" bottom="0.75" header="0.3" footer="0.3"/>
  <pageSetup scale="14" orientation="landscape" r:id="rId1"/>
</worksheet>
</file>

<file path=xl/worksheets/sheet73.xml><?xml version="1.0" encoding="utf-8"?>
<worksheet xmlns="http://schemas.openxmlformats.org/spreadsheetml/2006/main" xmlns:r="http://schemas.openxmlformats.org/officeDocument/2006/relationships">
  <sheetPr codeName="Sheet52">
    <tabColor theme="9" tint="-0.249977111117893"/>
  </sheetPr>
  <dimension ref="B1:E65"/>
  <sheetViews>
    <sheetView showGridLines="0" workbookViewId="0">
      <selection activeCell="B42" sqref="B42"/>
    </sheetView>
  </sheetViews>
  <sheetFormatPr defaultRowHeight="15"/>
  <cols>
    <col min="1" max="1" width="9.140625" style="1013"/>
    <col min="2" max="2" width="15.28515625" style="1013" customWidth="1"/>
    <col min="3" max="3" width="24.5703125" style="1013" customWidth="1"/>
    <col min="4" max="5" width="22.28515625" style="1013" customWidth="1"/>
    <col min="6" max="16384" width="9.140625" style="1013"/>
  </cols>
  <sheetData>
    <row r="1" spans="2:5">
      <c r="B1" s="5425" t="s">
        <v>3671</v>
      </c>
      <c r="C1" s="5425"/>
      <c r="D1" s="5425"/>
      <c r="E1" s="5425"/>
    </row>
    <row r="2" spans="2:5">
      <c r="B2" s="3676" t="s">
        <v>2928</v>
      </c>
      <c r="C2" s="3676" t="s">
        <v>2929</v>
      </c>
      <c r="D2" s="3677" t="s">
        <v>2847</v>
      </c>
      <c r="E2" s="3676" t="s">
        <v>2727</v>
      </c>
    </row>
    <row r="3" spans="2:5">
      <c r="B3" s="4959">
        <v>39539</v>
      </c>
      <c r="C3" s="4959">
        <v>39625</v>
      </c>
      <c r="D3" s="4954">
        <f>(C3-B3)+1</f>
        <v>87</v>
      </c>
      <c r="E3" s="4954">
        <v>12.25</v>
      </c>
    </row>
    <row r="4" spans="2:5">
      <c r="B4" s="4959">
        <f>C3+1</f>
        <v>39626</v>
      </c>
      <c r="C4" s="4959">
        <v>39671</v>
      </c>
      <c r="D4" s="4954">
        <f>(C4-B4)+1</f>
        <v>46</v>
      </c>
      <c r="E4" s="4954">
        <v>12.75</v>
      </c>
    </row>
    <row r="5" spans="2:5">
      <c r="B5" s="4959">
        <f>C4+1</f>
        <v>39672</v>
      </c>
      <c r="C5" s="4959">
        <v>39761</v>
      </c>
      <c r="D5" s="4954">
        <f>(C5-B5)+1</f>
        <v>90</v>
      </c>
      <c r="E5" s="4954">
        <v>13.75</v>
      </c>
    </row>
    <row r="6" spans="2:5">
      <c r="B6" s="4959">
        <f>C5</f>
        <v>39761</v>
      </c>
      <c r="C6" s="4959">
        <v>39813</v>
      </c>
      <c r="D6" s="4954">
        <f>(C6-B6)+1</f>
        <v>53</v>
      </c>
      <c r="E6" s="4955">
        <v>13</v>
      </c>
    </row>
    <row r="7" spans="2:5">
      <c r="B7" s="4959">
        <f>C6+1</f>
        <v>39814</v>
      </c>
      <c r="C7" s="4959">
        <v>39903</v>
      </c>
      <c r="D7" s="4954">
        <f>(C7-B7)+1</f>
        <v>90</v>
      </c>
      <c r="E7" s="4955">
        <v>12.25</v>
      </c>
    </row>
    <row r="8" spans="2:5">
      <c r="B8" s="6003" t="s">
        <v>2742</v>
      </c>
      <c r="C8" s="6004"/>
      <c r="D8" s="6005"/>
      <c r="E8" s="3678">
        <f>SUMPRODUCT(D3:D7,E3:E7)/SUM(D3:D7)/100</f>
        <v>0.12790300546448086</v>
      </c>
    </row>
    <row r="10" spans="2:5">
      <c r="B10" s="5425" t="s">
        <v>2942</v>
      </c>
      <c r="C10" s="5425"/>
      <c r="D10" s="5425"/>
      <c r="E10" s="5425"/>
    </row>
    <row r="11" spans="2:5">
      <c r="B11" s="3676" t="s">
        <v>2928</v>
      </c>
      <c r="C11" s="3676" t="s">
        <v>2929</v>
      </c>
      <c r="D11" s="3677" t="s">
        <v>2847</v>
      </c>
      <c r="E11" s="3676" t="s">
        <v>2727</v>
      </c>
    </row>
    <row r="12" spans="2:5">
      <c r="B12" s="4959">
        <v>39539</v>
      </c>
      <c r="C12" s="4959">
        <v>39625</v>
      </c>
      <c r="D12" s="4954">
        <f>(C12-B12)+1</f>
        <v>87</v>
      </c>
      <c r="E12" s="4954">
        <v>12.25</v>
      </c>
    </row>
    <row r="13" spans="2:5">
      <c r="B13" s="4959">
        <f>C12+1</f>
        <v>39626</v>
      </c>
      <c r="C13" s="4959">
        <v>39671</v>
      </c>
      <c r="D13" s="4954">
        <f>(C13-B13)+1</f>
        <v>46</v>
      </c>
      <c r="E13" s="4954">
        <v>12.75</v>
      </c>
    </row>
    <row r="14" spans="2:5">
      <c r="B14" s="4959">
        <f>C13+1</f>
        <v>39672</v>
      </c>
      <c r="C14" s="4959">
        <v>39761</v>
      </c>
      <c r="D14" s="4954">
        <f>(C14-B14)+1</f>
        <v>90</v>
      </c>
      <c r="E14" s="4954">
        <v>13.75</v>
      </c>
    </row>
    <row r="15" spans="2:5">
      <c r="B15" s="4959">
        <f>C14</f>
        <v>39761</v>
      </c>
      <c r="C15" s="4959">
        <v>39813</v>
      </c>
      <c r="D15" s="4954">
        <f>(C15-B15)+1</f>
        <v>53</v>
      </c>
      <c r="E15" s="4955">
        <v>13</v>
      </c>
    </row>
    <row r="16" spans="2:5">
      <c r="B16" s="4959">
        <f>C15+1</f>
        <v>39814</v>
      </c>
      <c r="C16" s="4959">
        <v>39903</v>
      </c>
      <c r="D16" s="4954">
        <f>(C16-B16)+1</f>
        <v>90</v>
      </c>
      <c r="E16" s="4955">
        <v>12.25</v>
      </c>
    </row>
    <row r="17" spans="2:5">
      <c r="B17" s="6003" t="s">
        <v>2742</v>
      </c>
      <c r="C17" s="6004"/>
      <c r="D17" s="6005"/>
      <c r="E17" s="3678">
        <f>SUMPRODUCT(D12:D16,E12:E16)/SUM(D12:D16)/100</f>
        <v>0.12790300546448086</v>
      </c>
    </row>
    <row r="20" spans="2:5">
      <c r="B20" s="5425" t="s">
        <v>2943</v>
      </c>
      <c r="C20" s="5425"/>
      <c r="D20" s="5425"/>
      <c r="E20" s="5425"/>
    </row>
    <row r="21" spans="2:5">
      <c r="B21" s="3676" t="s">
        <v>2928</v>
      </c>
      <c r="C21" s="3676" t="s">
        <v>2929</v>
      </c>
      <c r="D21" s="3677" t="s">
        <v>2847</v>
      </c>
      <c r="E21" s="3676" t="s">
        <v>2727</v>
      </c>
    </row>
    <row r="22" spans="2:5">
      <c r="B22" s="4959">
        <f>C16+1</f>
        <v>39904</v>
      </c>
      <c r="C22" s="4959">
        <v>39992</v>
      </c>
      <c r="D22" s="4954">
        <f>(C22-B22)+1</f>
        <v>89</v>
      </c>
      <c r="E22" s="4954">
        <v>12.25</v>
      </c>
    </row>
    <row r="23" spans="2:5">
      <c r="B23" s="4959">
        <f t="shared" ref="B23" si="0">C22+1</f>
        <v>39993</v>
      </c>
      <c r="C23" s="4959">
        <v>40268</v>
      </c>
      <c r="D23" s="4954">
        <f>(C23-B23)+1</f>
        <v>276</v>
      </c>
      <c r="E23" s="4954">
        <v>11.75</v>
      </c>
    </row>
    <row r="24" spans="2:5">
      <c r="B24" s="6003" t="s">
        <v>2742</v>
      </c>
      <c r="C24" s="6004"/>
      <c r="D24" s="6005"/>
      <c r="E24" s="3678">
        <f>SUMPRODUCT(D22:D23,E22:E23)/SUM(D22:D23)/100</f>
        <v>0.11871917808219179</v>
      </c>
    </row>
    <row r="27" spans="2:5">
      <c r="B27" s="5425" t="s">
        <v>2927</v>
      </c>
      <c r="C27" s="5425"/>
      <c r="D27" s="5425"/>
      <c r="E27" s="5425"/>
    </row>
    <row r="28" spans="2:5">
      <c r="B28" s="3676" t="s">
        <v>2928</v>
      </c>
      <c r="C28" s="3676" t="s">
        <v>2929</v>
      </c>
      <c r="D28" s="3677" t="s">
        <v>2847</v>
      </c>
      <c r="E28" s="3676" t="s">
        <v>2727</v>
      </c>
    </row>
    <row r="29" spans="2:5">
      <c r="B29" s="4959">
        <v>40269</v>
      </c>
      <c r="C29" s="4959">
        <v>40406</v>
      </c>
      <c r="D29" s="4954">
        <f>(C29-B29)+1</f>
        <v>138</v>
      </c>
      <c r="E29" s="4954">
        <f>'[107]SBI PLR Details'!D16</f>
        <v>11.75</v>
      </c>
    </row>
    <row r="30" spans="2:5">
      <c r="B30" s="4959">
        <v>40407</v>
      </c>
      <c r="C30" s="4959">
        <v>40471</v>
      </c>
      <c r="D30" s="4954">
        <f>(C30-B30)+1</f>
        <v>65</v>
      </c>
      <c r="E30" s="4954">
        <f>'[107]SBI PLR Details'!D15</f>
        <v>12.25</v>
      </c>
    </row>
    <row r="31" spans="2:5">
      <c r="B31" s="4959">
        <v>40472</v>
      </c>
      <c r="C31" s="4959">
        <v>40545</v>
      </c>
      <c r="D31" s="4954">
        <f>(C31-B31)+1</f>
        <v>74</v>
      </c>
      <c r="E31" s="4954">
        <f>'[107]SBI PLR Details'!D14</f>
        <v>12.5</v>
      </c>
    </row>
    <row r="32" spans="2:5">
      <c r="B32" s="4959">
        <v>40546</v>
      </c>
      <c r="C32" s="4959">
        <v>40587</v>
      </c>
      <c r="D32" s="4954">
        <f>(C32-B32)+1</f>
        <v>42</v>
      </c>
      <c r="E32" s="4955">
        <f>'[107]SBI PLR Details'!D13</f>
        <v>12.75</v>
      </c>
    </row>
    <row r="33" spans="2:5">
      <c r="B33" s="4959">
        <v>40588</v>
      </c>
      <c r="C33" s="4959">
        <v>40633</v>
      </c>
      <c r="D33" s="4954">
        <f>(C33-B33)+1</f>
        <v>46</v>
      </c>
      <c r="E33" s="4954">
        <f>'[107]SBI PLR Details'!D12</f>
        <v>13</v>
      </c>
    </row>
    <row r="34" spans="2:5">
      <c r="B34" s="6003" t="s">
        <v>2742</v>
      </c>
      <c r="C34" s="6004"/>
      <c r="D34" s="6005"/>
      <c r="E34" s="3678">
        <f>(D29*E29+D30*E30+D31*E31+D32*E32+D33*E33)/(SUM(D29:D33)*100)</f>
        <v>0.12263698630136986</v>
      </c>
    </row>
    <row r="37" spans="2:5">
      <c r="B37" s="5425" t="s">
        <v>2930</v>
      </c>
      <c r="C37" s="5425"/>
      <c r="D37" s="5425"/>
      <c r="E37" s="5425"/>
    </row>
    <row r="38" spans="2:5">
      <c r="B38" s="4957" t="s">
        <v>2928</v>
      </c>
      <c r="C38" s="4957" t="s">
        <v>2929</v>
      </c>
      <c r="D38" s="4957" t="s">
        <v>2847</v>
      </c>
      <c r="E38" s="4957" t="s">
        <v>2727</v>
      </c>
    </row>
    <row r="39" spans="2:5">
      <c r="B39" s="4959">
        <v>40634</v>
      </c>
      <c r="C39" s="4959">
        <v>40657</v>
      </c>
      <c r="D39" s="4954">
        <f>(C39-B39)+1</f>
        <v>24</v>
      </c>
      <c r="E39" s="4954">
        <f>'[107]SBI PLR Details'!D12</f>
        <v>13</v>
      </c>
    </row>
    <row r="40" spans="2:5">
      <c r="B40" s="4959">
        <v>40658</v>
      </c>
      <c r="C40" s="4959">
        <v>40674</v>
      </c>
      <c r="D40" s="4954">
        <f>(C40-B40)+1</f>
        <v>17</v>
      </c>
      <c r="E40" s="4954">
        <f>'[107]SBI PLR Details'!D11</f>
        <v>13.25</v>
      </c>
    </row>
    <row r="41" spans="2:5">
      <c r="B41" s="4959">
        <v>40675</v>
      </c>
      <c r="C41" s="4959">
        <v>40734</v>
      </c>
      <c r="D41" s="4954">
        <f>(C41-B41)+1</f>
        <v>60</v>
      </c>
      <c r="E41" s="4954">
        <f>'[107]SBI PLR Details'!D10</f>
        <v>14</v>
      </c>
    </row>
    <row r="42" spans="2:5">
      <c r="B42" s="4959">
        <v>40735</v>
      </c>
      <c r="C42" s="4959">
        <v>40767</v>
      </c>
      <c r="D42" s="4954">
        <f>(C42-B42)+1</f>
        <v>33</v>
      </c>
      <c r="E42" s="3679">
        <f>'[107]SBI PLR Details'!D9</f>
        <v>14.25</v>
      </c>
    </row>
    <row r="43" spans="2:5">
      <c r="B43" s="4959">
        <v>40768</v>
      </c>
      <c r="C43" s="4959">
        <v>40999</v>
      </c>
      <c r="D43" s="4950">
        <f>(C43-B43)+1</f>
        <v>232</v>
      </c>
      <c r="E43" s="4956">
        <f>'[107]SBI PLR Details'!D8</f>
        <v>14.75</v>
      </c>
    </row>
    <row r="44" spans="2:5">
      <c r="B44" s="6003" t="s">
        <v>2742</v>
      </c>
      <c r="C44" s="6004"/>
      <c r="D44" s="6005"/>
      <c r="E44" s="4964">
        <f>(D39*E39+D40*E40+D41*E41+D42*E42+D43*E43)/(SUM(D39:D43)*100)</f>
        <v>0.14397540983606558</v>
      </c>
    </row>
    <row r="45" spans="2:5">
      <c r="B45" s="3680"/>
      <c r="C45" s="3681"/>
    </row>
    <row r="46" spans="2:5">
      <c r="B46" s="5425" t="s">
        <v>2725</v>
      </c>
      <c r="C46" s="5425"/>
      <c r="D46" s="5425"/>
      <c r="E46" s="5425"/>
    </row>
    <row r="47" spans="2:5">
      <c r="B47" s="4957" t="s">
        <v>2928</v>
      </c>
      <c r="C47" s="4957" t="s">
        <v>2929</v>
      </c>
      <c r="D47" s="4957" t="s">
        <v>2847</v>
      </c>
      <c r="E47" s="4957" t="s">
        <v>2727</v>
      </c>
    </row>
    <row r="48" spans="2:5">
      <c r="B48" s="4959">
        <v>41000</v>
      </c>
      <c r="C48" s="4959">
        <v>41178</v>
      </c>
      <c r="D48" s="4954">
        <f>(C48-B48)+1</f>
        <v>179</v>
      </c>
      <c r="E48" s="4954">
        <f>'[107]SBI PLR Details'!D8</f>
        <v>14.75</v>
      </c>
    </row>
    <row r="49" spans="2:5">
      <c r="B49" s="4959">
        <v>41179</v>
      </c>
      <c r="C49" s="4959">
        <v>41308</v>
      </c>
      <c r="D49" s="4954">
        <f>(C49-B49)+1</f>
        <v>130</v>
      </c>
      <c r="E49" s="4954">
        <f>'[107]SBI PLR Details'!D7</f>
        <v>14.5</v>
      </c>
    </row>
    <row r="50" spans="2:5">
      <c r="B50" s="4959">
        <v>41309</v>
      </c>
      <c r="C50" s="4959">
        <v>41364</v>
      </c>
      <c r="D50" s="4954">
        <f>(C50-B50)+1</f>
        <v>56</v>
      </c>
      <c r="E50" s="4954">
        <f>'[107]SBI PLR Details'!D6</f>
        <v>14.45</v>
      </c>
    </row>
    <row r="51" spans="2:5">
      <c r="B51" s="6002" t="s">
        <v>2742</v>
      </c>
      <c r="C51" s="6002"/>
      <c r="D51" s="6002"/>
      <c r="E51" s="3678">
        <f>SUMPRODUCT(D48:D50,E48:E50)/SUM(D48:D50)/100</f>
        <v>0.14614931506849316</v>
      </c>
    </row>
    <row r="53" spans="2:5">
      <c r="B53" s="5425" t="s">
        <v>2931</v>
      </c>
      <c r="C53" s="5425"/>
      <c r="D53" s="5425"/>
      <c r="E53" s="5425"/>
    </row>
    <row r="54" spans="2:5">
      <c r="B54" s="4957" t="s">
        <v>2928</v>
      </c>
      <c r="C54" s="4957" t="s">
        <v>2929</v>
      </c>
      <c r="D54" s="4957" t="s">
        <v>2847</v>
      </c>
      <c r="E54" s="4957" t="s">
        <v>2727</v>
      </c>
    </row>
    <row r="55" spans="2:5">
      <c r="B55" s="4959">
        <v>41365</v>
      </c>
      <c r="C55" s="4959">
        <v>41535</v>
      </c>
      <c r="D55" s="4954">
        <f>(C55-B55)+1</f>
        <v>171</v>
      </c>
      <c r="E55" s="4954">
        <f>'[107]SBI PLR Details'!D6</f>
        <v>14.45</v>
      </c>
    </row>
    <row r="56" spans="2:5">
      <c r="B56" s="4959">
        <v>41536</v>
      </c>
      <c r="C56" s="4959">
        <v>41584</v>
      </c>
      <c r="D56" s="4954">
        <f>(C56-B56)+1</f>
        <v>49</v>
      </c>
      <c r="E56" s="4954">
        <f>'[107]SBI PLR Details'!D5</f>
        <v>14.55</v>
      </c>
    </row>
    <row r="57" spans="2:5">
      <c r="B57" s="4959">
        <v>41585</v>
      </c>
      <c r="C57" s="4959">
        <v>41729</v>
      </c>
      <c r="D57" s="4954">
        <f>(C57-B57)+1</f>
        <v>145</v>
      </c>
      <c r="E57" s="4954">
        <f>'[107]SBI PLR Details'!D4</f>
        <v>14.75</v>
      </c>
    </row>
    <row r="58" spans="2:5">
      <c r="B58" s="6002" t="s">
        <v>2742</v>
      </c>
      <c r="C58" s="6002"/>
      <c r="D58" s="6002"/>
      <c r="E58" s="3678">
        <f>(D55*E55+D56*E56+D57*E57)/(SUM(D55:D57)*100)</f>
        <v>0.14582602739726028</v>
      </c>
    </row>
    <row r="60" spans="2:5">
      <c r="B60" s="5425" t="s">
        <v>2932</v>
      </c>
      <c r="C60" s="5425"/>
      <c r="D60" s="5425"/>
      <c r="E60" s="5425"/>
    </row>
    <row r="61" spans="2:5">
      <c r="B61" s="4957" t="s">
        <v>2928</v>
      </c>
      <c r="C61" s="4957" t="s">
        <v>2929</v>
      </c>
      <c r="D61" s="4957" t="s">
        <v>2847</v>
      </c>
      <c r="E61" s="4957" t="s">
        <v>2727</v>
      </c>
    </row>
    <row r="62" spans="2:5">
      <c r="B62" s="4959">
        <v>41730</v>
      </c>
      <c r="C62" s="4959">
        <v>41882</v>
      </c>
      <c r="D62" s="4954">
        <f>(C62-B62)+1</f>
        <v>153</v>
      </c>
      <c r="E62" s="4954">
        <v>14.75</v>
      </c>
    </row>
    <row r="63" spans="2:5">
      <c r="B63" s="4959"/>
      <c r="C63" s="4959"/>
      <c r="D63" s="4954"/>
      <c r="E63" s="4954"/>
    </row>
    <row r="64" spans="2:5">
      <c r="B64" s="4959"/>
      <c r="C64" s="4959"/>
      <c r="D64" s="4954"/>
      <c r="E64" s="4954"/>
    </row>
    <row r="65" spans="2:5">
      <c r="B65" s="6002" t="s">
        <v>2742</v>
      </c>
      <c r="C65" s="6002"/>
      <c r="D65" s="6002"/>
      <c r="E65" s="3678">
        <f>(D62*E62+D63*E63+D64*E64)/(SUM(D62:D64)*100)</f>
        <v>0.14749999999999999</v>
      </c>
    </row>
  </sheetData>
  <mergeCells count="16">
    <mergeCell ref="B53:E53"/>
    <mergeCell ref="B58:D58"/>
    <mergeCell ref="B60:E60"/>
    <mergeCell ref="B65:D65"/>
    <mergeCell ref="B1:E1"/>
    <mergeCell ref="B8:D8"/>
    <mergeCell ref="B10:E10"/>
    <mergeCell ref="B17:D17"/>
    <mergeCell ref="B51:D51"/>
    <mergeCell ref="B20:E20"/>
    <mergeCell ref="B24:D24"/>
    <mergeCell ref="B27:E27"/>
    <mergeCell ref="B34:D34"/>
    <mergeCell ref="B37:E37"/>
    <mergeCell ref="B44:D44"/>
    <mergeCell ref="B46:E46"/>
  </mergeCells>
  <pageMargins left="0.7" right="0.7" top="0.75" bottom="0.75" header="0.3" footer="0.3"/>
  <pageSetup orientation="portrait" verticalDpi="0" r:id="rId1"/>
  <ignoredErrors>
    <ignoredError sqref="B15" formula="1"/>
  </ignoredErrors>
</worksheet>
</file>

<file path=xl/worksheets/sheet74.xml><?xml version="1.0" encoding="utf-8"?>
<worksheet xmlns="http://schemas.openxmlformats.org/spreadsheetml/2006/main" xmlns:r="http://schemas.openxmlformats.org/officeDocument/2006/relationships">
  <sheetPr codeName="Sheet53">
    <tabColor theme="9" tint="-0.249977111117893"/>
  </sheetPr>
  <dimension ref="A1:I21"/>
  <sheetViews>
    <sheetView showGridLines="0" view="pageBreakPreview" zoomScale="70" zoomScaleSheetLayoutView="70" workbookViewId="0">
      <selection activeCell="O23" sqref="O23"/>
    </sheetView>
  </sheetViews>
  <sheetFormatPr defaultRowHeight="15"/>
  <cols>
    <col min="1" max="1" width="9.140625" style="1013"/>
    <col min="2" max="2" width="31.42578125" style="1013" customWidth="1"/>
    <col min="3" max="3" width="9.140625" style="1013"/>
    <col min="4" max="4" width="13.5703125" style="1013" customWidth="1"/>
    <col min="5" max="5" width="12.140625" style="1013" customWidth="1"/>
    <col min="6" max="16384" width="9.140625" style="1013"/>
  </cols>
  <sheetData>
    <row r="1" spans="1:9" ht="15" customHeight="1">
      <c r="A1" s="6008" t="s">
        <v>2433</v>
      </c>
      <c r="B1" s="6009"/>
      <c r="C1" s="6009"/>
      <c r="D1" s="6009"/>
      <c r="E1" s="6009"/>
      <c r="F1" s="6009"/>
      <c r="G1" s="6009"/>
      <c r="H1" s="6009"/>
      <c r="I1" s="6010"/>
    </row>
    <row r="2" spans="1:9" ht="2.25" hidden="1" customHeight="1">
      <c r="A2" s="6011"/>
      <c r="B2" s="6012"/>
      <c r="C2" s="6012"/>
      <c r="D2" s="6012"/>
      <c r="E2" s="6012"/>
      <c r="F2" s="6012"/>
      <c r="G2" s="6012"/>
      <c r="H2" s="6012"/>
      <c r="I2" s="6013"/>
    </row>
    <row r="3" spans="1:9" ht="15.75" hidden="1" customHeight="1">
      <c r="A3" s="6011"/>
      <c r="B3" s="6012"/>
      <c r="C3" s="6012"/>
      <c r="D3" s="6012"/>
      <c r="E3" s="6012"/>
      <c r="F3" s="6012"/>
      <c r="G3" s="6012"/>
      <c r="H3" s="6012"/>
      <c r="I3" s="6013"/>
    </row>
    <row r="4" spans="1:9" ht="16.5" customHeight="1">
      <c r="A4" s="6014"/>
      <c r="B4" s="6015"/>
      <c r="C4" s="6015"/>
      <c r="D4" s="6015"/>
      <c r="E4" s="6015"/>
      <c r="F4" s="6015"/>
      <c r="G4" s="6015"/>
      <c r="H4" s="6015"/>
      <c r="I4" s="6016"/>
    </row>
    <row r="5" spans="1:9" ht="15.75" customHeight="1">
      <c r="A5" s="6017" t="s">
        <v>712</v>
      </c>
      <c r="B5" s="6018" t="s">
        <v>713</v>
      </c>
      <c r="C5" s="6017" t="s">
        <v>714</v>
      </c>
      <c r="D5" s="6017" t="s">
        <v>715</v>
      </c>
      <c r="E5" s="6018" t="s">
        <v>2327</v>
      </c>
      <c r="F5" s="6006" t="s">
        <v>2328</v>
      </c>
      <c r="G5" s="6006" t="s">
        <v>2329</v>
      </c>
      <c r="H5" s="6007" t="s">
        <v>2330</v>
      </c>
      <c r="I5" s="6006" t="s">
        <v>2331</v>
      </c>
    </row>
    <row r="6" spans="1:9" ht="15.75" customHeight="1">
      <c r="A6" s="6017"/>
      <c r="B6" s="6018"/>
      <c r="C6" s="6017"/>
      <c r="D6" s="6017"/>
      <c r="E6" s="6018"/>
      <c r="F6" s="6006"/>
      <c r="G6" s="6006"/>
      <c r="H6" s="6007"/>
      <c r="I6" s="6006"/>
    </row>
    <row r="7" spans="1:9" ht="15.75" customHeight="1">
      <c r="A7" s="6017"/>
      <c r="B7" s="6018"/>
      <c r="C7" s="6017"/>
      <c r="D7" s="6017"/>
      <c r="E7" s="6018"/>
      <c r="F7" s="6006"/>
      <c r="G7" s="6006"/>
      <c r="H7" s="6007"/>
      <c r="I7" s="6006"/>
    </row>
    <row r="8" spans="1:9" ht="15.75" customHeight="1">
      <c r="A8" s="6017"/>
      <c r="B8" s="6018"/>
      <c r="C8" s="6017"/>
      <c r="D8" s="6017"/>
      <c r="E8" s="6018"/>
      <c r="F8" s="6006"/>
      <c r="G8" s="6006"/>
      <c r="H8" s="6007"/>
      <c r="I8" s="6006"/>
    </row>
    <row r="9" spans="1:9" ht="15.75" customHeight="1">
      <c r="A9" s="6017"/>
      <c r="B9" s="6018"/>
      <c r="C9" s="6017"/>
      <c r="D9" s="6017"/>
      <c r="E9" s="6018"/>
      <c r="F9" s="6006"/>
      <c r="G9" s="6006"/>
      <c r="H9" s="6007"/>
      <c r="I9" s="6006"/>
    </row>
    <row r="10" spans="1:9" ht="16.5" customHeight="1">
      <c r="A10" s="6017"/>
      <c r="B10" s="6018"/>
      <c r="C10" s="6017"/>
      <c r="D10" s="6017"/>
      <c r="E10" s="6018"/>
      <c r="F10" s="6006"/>
      <c r="G10" s="6006"/>
      <c r="H10" s="6007"/>
      <c r="I10" s="6006"/>
    </row>
    <row r="11" spans="1:9" ht="15.75">
      <c r="A11" s="1790">
        <v>1</v>
      </c>
      <c r="B11" s="1790">
        <v>2</v>
      </c>
      <c r="C11" s="1790">
        <v>3</v>
      </c>
      <c r="D11" s="1790">
        <v>4</v>
      </c>
      <c r="E11" s="1791">
        <v>9</v>
      </c>
      <c r="F11" s="1790">
        <v>6</v>
      </c>
      <c r="G11" s="1790">
        <v>7</v>
      </c>
      <c r="H11" s="1790">
        <v>8</v>
      </c>
      <c r="I11" s="1790">
        <v>9</v>
      </c>
    </row>
    <row r="12" spans="1:9" ht="30">
      <c r="A12" s="1793" t="s">
        <v>730</v>
      </c>
      <c r="B12" s="1792" t="s">
        <v>731</v>
      </c>
      <c r="C12" s="826">
        <v>29.27</v>
      </c>
      <c r="D12" s="826">
        <v>19.14</v>
      </c>
      <c r="E12" s="826">
        <f>+C12+D12</f>
        <v>48.41</v>
      </c>
      <c r="F12" s="826">
        <v>21.56</v>
      </c>
      <c r="G12" s="826">
        <f t="shared" ref="G12:G20" si="0">+E12-F12</f>
        <v>26.849999999999998</v>
      </c>
      <c r="H12" s="826">
        <f t="shared" ref="H12:H20" si="1">F12*70/100</f>
        <v>15.091999999999999</v>
      </c>
      <c r="I12" s="826">
        <f>H12*11/100/2</f>
        <v>0.83006000000000002</v>
      </c>
    </row>
    <row r="13" spans="1:9" ht="30">
      <c r="A13" s="1793" t="s">
        <v>730</v>
      </c>
      <c r="B13" s="1792" t="s">
        <v>733</v>
      </c>
      <c r="C13" s="826">
        <v>7.56</v>
      </c>
      <c r="D13" s="826">
        <v>15.61</v>
      </c>
      <c r="E13" s="826">
        <f>+C13+D13</f>
        <v>23.169999999999998</v>
      </c>
      <c r="F13" s="826">
        <v>11.86</v>
      </c>
      <c r="G13" s="826">
        <f t="shared" si="0"/>
        <v>11.309999999999999</v>
      </c>
      <c r="H13" s="826">
        <f t="shared" si="1"/>
        <v>8.3019999999999996</v>
      </c>
      <c r="I13" s="826">
        <f>H13*11/100/2</f>
        <v>0.45661000000000002</v>
      </c>
    </row>
    <row r="14" spans="1:9" ht="30">
      <c r="A14" s="1793" t="s">
        <v>730</v>
      </c>
      <c r="B14" s="1792" t="s">
        <v>734</v>
      </c>
      <c r="C14" s="826">
        <v>0</v>
      </c>
      <c r="D14" s="826">
        <v>22.38</v>
      </c>
      <c r="E14" s="826">
        <f t="shared" ref="E14:E20" si="2">+C14+D14</f>
        <v>22.38</v>
      </c>
      <c r="F14" s="826">
        <v>22.37</v>
      </c>
      <c r="G14" s="826">
        <f t="shared" si="0"/>
        <v>9.9999999999980105E-3</v>
      </c>
      <c r="H14" s="826">
        <f t="shared" si="1"/>
        <v>15.659000000000001</v>
      </c>
      <c r="I14" s="826">
        <v>0</v>
      </c>
    </row>
    <row r="15" spans="1:9" ht="15.75">
      <c r="A15" s="1793" t="s">
        <v>730</v>
      </c>
      <c r="B15" s="1792" t="s">
        <v>735</v>
      </c>
      <c r="C15" s="826">
        <v>0</v>
      </c>
      <c r="D15" s="826">
        <v>25.23</v>
      </c>
      <c r="E15" s="826">
        <f t="shared" si="2"/>
        <v>25.23</v>
      </c>
      <c r="F15" s="826">
        <v>25.18</v>
      </c>
      <c r="G15" s="826">
        <f t="shared" si="0"/>
        <v>5.0000000000000711E-2</v>
      </c>
      <c r="H15" s="826">
        <f t="shared" si="1"/>
        <v>17.625999999999998</v>
      </c>
      <c r="I15" s="826">
        <v>0</v>
      </c>
    </row>
    <row r="16" spans="1:9" ht="15.75">
      <c r="A16" s="1793" t="s">
        <v>730</v>
      </c>
      <c r="B16" s="1792" t="s">
        <v>736</v>
      </c>
      <c r="C16" s="826">
        <v>0</v>
      </c>
      <c r="D16" s="826">
        <v>5.0999999999999996</v>
      </c>
      <c r="E16" s="826">
        <f t="shared" si="2"/>
        <v>5.0999999999999996</v>
      </c>
      <c r="F16" s="826">
        <v>0.01</v>
      </c>
      <c r="G16" s="826">
        <f t="shared" si="0"/>
        <v>5.09</v>
      </c>
      <c r="H16" s="826">
        <f t="shared" si="1"/>
        <v>7.000000000000001E-3</v>
      </c>
      <c r="I16" s="826">
        <f>H16*11/100/2</f>
        <v>3.8500000000000009E-4</v>
      </c>
    </row>
    <row r="17" spans="1:9" ht="15.75">
      <c r="A17" s="1793" t="s">
        <v>730</v>
      </c>
      <c r="B17" s="1792" t="s">
        <v>149</v>
      </c>
      <c r="C17" s="826">
        <v>0</v>
      </c>
      <c r="D17" s="826">
        <v>6</v>
      </c>
      <c r="E17" s="826">
        <f t="shared" si="2"/>
        <v>6</v>
      </c>
      <c r="F17" s="826">
        <v>6</v>
      </c>
      <c r="G17" s="826">
        <f t="shared" si="0"/>
        <v>0</v>
      </c>
      <c r="H17" s="826">
        <f t="shared" si="1"/>
        <v>4.2</v>
      </c>
      <c r="I17" s="826">
        <v>0</v>
      </c>
    </row>
    <row r="18" spans="1:9" ht="15.75">
      <c r="A18" s="1793" t="s">
        <v>730</v>
      </c>
      <c r="B18" s="1792" t="s">
        <v>737</v>
      </c>
      <c r="C18" s="826">
        <v>0</v>
      </c>
      <c r="D18" s="826">
        <v>9.94</v>
      </c>
      <c r="E18" s="826">
        <f t="shared" si="2"/>
        <v>9.94</v>
      </c>
      <c r="F18" s="826">
        <v>9.94</v>
      </c>
      <c r="G18" s="826">
        <f t="shared" si="0"/>
        <v>0</v>
      </c>
      <c r="H18" s="826">
        <f t="shared" si="1"/>
        <v>6.9579999999999993</v>
      </c>
      <c r="I18" s="826">
        <v>0</v>
      </c>
    </row>
    <row r="19" spans="1:9" ht="15.75">
      <c r="A19" s="1793" t="s">
        <v>738</v>
      </c>
      <c r="B19" s="1792" t="s">
        <v>739</v>
      </c>
      <c r="C19" s="826">
        <v>2.88</v>
      </c>
      <c r="D19" s="826">
        <v>2.19</v>
      </c>
      <c r="E19" s="826">
        <f t="shared" si="2"/>
        <v>5.07</v>
      </c>
      <c r="F19" s="826">
        <v>0.7</v>
      </c>
      <c r="G19" s="826">
        <f t="shared" si="0"/>
        <v>4.37</v>
      </c>
      <c r="H19" s="826">
        <f t="shared" si="1"/>
        <v>0.49</v>
      </c>
      <c r="I19" s="826">
        <f>H19*11/100/2</f>
        <v>2.6949999999999998E-2</v>
      </c>
    </row>
    <row r="20" spans="1:9" ht="30">
      <c r="A20" s="1793" t="s">
        <v>738</v>
      </c>
      <c r="B20" s="1792" t="s">
        <v>740</v>
      </c>
      <c r="C20" s="826">
        <v>0</v>
      </c>
      <c r="D20" s="826">
        <v>2.33</v>
      </c>
      <c r="E20" s="826">
        <f t="shared" si="2"/>
        <v>2.33</v>
      </c>
      <c r="F20" s="826">
        <v>2.33</v>
      </c>
      <c r="G20" s="826">
        <f t="shared" si="0"/>
        <v>0</v>
      </c>
      <c r="H20" s="826">
        <f t="shared" si="1"/>
        <v>1.631</v>
      </c>
      <c r="I20" s="826">
        <v>0</v>
      </c>
    </row>
    <row r="21" spans="1:9" ht="15.75">
      <c r="A21" s="1485"/>
      <c r="B21" s="1039" t="s">
        <v>741</v>
      </c>
      <c r="C21" s="829">
        <f>SUM(C12:C20)</f>
        <v>39.71</v>
      </c>
      <c r="D21" s="829">
        <f>SUM(D12:D20)</f>
        <v>107.91999999999999</v>
      </c>
      <c r="E21" s="829">
        <f>+C21+D21</f>
        <v>147.63</v>
      </c>
      <c r="F21" s="829">
        <f>SUM(F12:F20)</f>
        <v>99.95</v>
      </c>
      <c r="G21" s="829">
        <f>SUM(G12:G20)</f>
        <v>47.68</v>
      </c>
      <c r="H21" s="829">
        <f>SUM(H12:H20)</f>
        <v>69.964999999999989</v>
      </c>
      <c r="I21" s="829">
        <f>SUM(I12:I20)</f>
        <v>1.3140050000000001</v>
      </c>
    </row>
  </sheetData>
  <mergeCells count="10">
    <mergeCell ref="G5:G10"/>
    <mergeCell ref="H5:H10"/>
    <mergeCell ref="I5:I10"/>
    <mergeCell ref="A1:I4"/>
    <mergeCell ref="A5:A10"/>
    <mergeCell ref="B5:B10"/>
    <mergeCell ref="C5:C10"/>
    <mergeCell ref="D5:D10"/>
    <mergeCell ref="E5:E10"/>
    <mergeCell ref="F5:F10"/>
  </mergeCells>
  <pageMargins left="0.7" right="0.7" top="0.75" bottom="0.75" header="0.3" footer="0.3"/>
  <pageSetup paperSize="9" scale="67" orientation="portrait" r:id="rId1"/>
</worksheet>
</file>

<file path=xl/worksheets/sheet75.xml><?xml version="1.0" encoding="utf-8"?>
<worksheet xmlns="http://schemas.openxmlformats.org/spreadsheetml/2006/main" xmlns:r="http://schemas.openxmlformats.org/officeDocument/2006/relationships">
  <sheetPr codeName="Sheet54">
    <tabColor theme="9" tint="-0.249977111117893"/>
    <pageSetUpPr fitToPage="1"/>
  </sheetPr>
  <dimension ref="B1:R58"/>
  <sheetViews>
    <sheetView showGridLines="0" topLeftCell="A3" zoomScale="70" zoomScaleNormal="70" workbookViewId="0">
      <selection activeCell="O23" sqref="O23"/>
    </sheetView>
  </sheetViews>
  <sheetFormatPr defaultRowHeight="15"/>
  <cols>
    <col min="1" max="1" width="4.28515625" customWidth="1"/>
    <col min="2" max="2" width="12.42578125" customWidth="1"/>
    <col min="3" max="3" width="2.42578125" customWidth="1"/>
    <col min="4" max="4" width="36.28515625" customWidth="1"/>
    <col min="5" max="5" width="14.7109375" customWidth="1"/>
    <col min="6" max="6" width="13" customWidth="1"/>
    <col min="7" max="7" width="19.42578125" customWidth="1"/>
    <col min="8" max="8" width="5.85546875" customWidth="1"/>
    <col min="9" max="9" width="37.140625" customWidth="1"/>
    <col min="10" max="10" width="12.5703125" customWidth="1"/>
    <col min="11" max="11" width="14.42578125" customWidth="1"/>
    <col min="12" max="12" width="1.7109375" customWidth="1"/>
    <col min="13" max="13" width="4.140625" customWidth="1"/>
    <col min="14" max="14" width="11" bestFit="1" customWidth="1"/>
    <col min="15" max="15" width="10" bestFit="1" customWidth="1"/>
    <col min="257" max="257" width="4.28515625" customWidth="1"/>
    <col min="258" max="258" width="12.42578125" customWidth="1"/>
    <col min="259" max="259" width="2.42578125" customWidth="1"/>
    <col min="260" max="260" width="36.28515625" customWidth="1"/>
    <col min="261" max="261" width="14.7109375" customWidth="1"/>
    <col min="262" max="263" width="13" customWidth="1"/>
    <col min="264" max="264" width="2.42578125" customWidth="1"/>
    <col min="265" max="265" width="37.140625" customWidth="1"/>
    <col min="266" max="266" width="12.5703125" customWidth="1"/>
    <col min="267" max="267" width="14.42578125" customWidth="1"/>
    <col min="268" max="268" width="1.7109375" customWidth="1"/>
    <col min="269" max="269" width="4.140625" customWidth="1"/>
    <col min="270" max="270" width="10" bestFit="1" customWidth="1"/>
    <col min="513" max="513" width="4.28515625" customWidth="1"/>
    <col min="514" max="514" width="12.42578125" customWidth="1"/>
    <col min="515" max="515" width="2.42578125" customWidth="1"/>
    <col min="516" max="516" width="36.28515625" customWidth="1"/>
    <col min="517" max="517" width="14.7109375" customWidth="1"/>
    <col min="518" max="519" width="13" customWidth="1"/>
    <col min="520" max="520" width="2.42578125" customWidth="1"/>
    <col min="521" max="521" width="37.140625" customWidth="1"/>
    <col min="522" max="522" width="12.5703125" customWidth="1"/>
    <col min="523" max="523" width="14.42578125" customWidth="1"/>
    <col min="524" max="524" width="1.7109375" customWidth="1"/>
    <col min="525" max="525" width="4.140625" customWidth="1"/>
    <col min="526" max="526" width="10" bestFit="1" customWidth="1"/>
    <col min="769" max="769" width="4.28515625" customWidth="1"/>
    <col min="770" max="770" width="12.42578125" customWidth="1"/>
    <col min="771" max="771" width="2.42578125" customWidth="1"/>
    <col min="772" max="772" width="36.28515625" customWidth="1"/>
    <col min="773" max="773" width="14.7109375" customWidth="1"/>
    <col min="774" max="775" width="13" customWidth="1"/>
    <col min="776" max="776" width="2.42578125" customWidth="1"/>
    <col min="777" max="777" width="37.140625" customWidth="1"/>
    <col min="778" max="778" width="12.5703125" customWidth="1"/>
    <col min="779" max="779" width="14.42578125" customWidth="1"/>
    <col min="780" max="780" width="1.7109375" customWidth="1"/>
    <col min="781" max="781" width="4.140625" customWidth="1"/>
    <col min="782" max="782" width="10" bestFit="1" customWidth="1"/>
    <col min="1025" max="1025" width="4.28515625" customWidth="1"/>
    <col min="1026" max="1026" width="12.42578125" customWidth="1"/>
    <col min="1027" max="1027" width="2.42578125" customWidth="1"/>
    <col min="1028" max="1028" width="36.28515625" customWidth="1"/>
    <col min="1029" max="1029" width="14.7109375" customWidth="1"/>
    <col min="1030" max="1031" width="13" customWidth="1"/>
    <col min="1032" max="1032" width="2.42578125" customWidth="1"/>
    <col min="1033" max="1033" width="37.140625" customWidth="1"/>
    <col min="1034" max="1034" width="12.5703125" customWidth="1"/>
    <col min="1035" max="1035" width="14.42578125" customWidth="1"/>
    <col min="1036" max="1036" width="1.7109375" customWidth="1"/>
    <col min="1037" max="1037" width="4.140625" customWidth="1"/>
    <col min="1038" max="1038" width="10" bestFit="1" customWidth="1"/>
    <col min="1281" max="1281" width="4.28515625" customWidth="1"/>
    <col min="1282" max="1282" width="12.42578125" customWidth="1"/>
    <col min="1283" max="1283" width="2.42578125" customWidth="1"/>
    <col min="1284" max="1284" width="36.28515625" customWidth="1"/>
    <col min="1285" max="1285" width="14.7109375" customWidth="1"/>
    <col min="1286" max="1287" width="13" customWidth="1"/>
    <col min="1288" max="1288" width="2.42578125" customWidth="1"/>
    <col min="1289" max="1289" width="37.140625" customWidth="1"/>
    <col min="1290" max="1290" width="12.5703125" customWidth="1"/>
    <col min="1291" max="1291" width="14.42578125" customWidth="1"/>
    <col min="1292" max="1292" width="1.7109375" customWidth="1"/>
    <col min="1293" max="1293" width="4.140625" customWidth="1"/>
    <col min="1294" max="1294" width="10" bestFit="1" customWidth="1"/>
    <col min="1537" max="1537" width="4.28515625" customWidth="1"/>
    <col min="1538" max="1538" width="12.42578125" customWidth="1"/>
    <col min="1539" max="1539" width="2.42578125" customWidth="1"/>
    <col min="1540" max="1540" width="36.28515625" customWidth="1"/>
    <col min="1541" max="1541" width="14.7109375" customWidth="1"/>
    <col min="1542" max="1543" width="13" customWidth="1"/>
    <col min="1544" max="1544" width="2.42578125" customWidth="1"/>
    <col min="1545" max="1545" width="37.140625" customWidth="1"/>
    <col min="1546" max="1546" width="12.5703125" customWidth="1"/>
    <col min="1547" max="1547" width="14.42578125" customWidth="1"/>
    <col min="1548" max="1548" width="1.7109375" customWidth="1"/>
    <col min="1549" max="1549" width="4.140625" customWidth="1"/>
    <col min="1550" max="1550" width="10" bestFit="1" customWidth="1"/>
    <col min="1793" max="1793" width="4.28515625" customWidth="1"/>
    <col min="1794" max="1794" width="12.42578125" customWidth="1"/>
    <col min="1795" max="1795" width="2.42578125" customWidth="1"/>
    <col min="1796" max="1796" width="36.28515625" customWidth="1"/>
    <col min="1797" max="1797" width="14.7109375" customWidth="1"/>
    <col min="1798" max="1799" width="13" customWidth="1"/>
    <col min="1800" max="1800" width="2.42578125" customWidth="1"/>
    <col min="1801" max="1801" width="37.140625" customWidth="1"/>
    <col min="1802" max="1802" width="12.5703125" customWidth="1"/>
    <col min="1803" max="1803" width="14.42578125" customWidth="1"/>
    <col min="1804" max="1804" width="1.7109375" customWidth="1"/>
    <col min="1805" max="1805" width="4.140625" customWidth="1"/>
    <col min="1806" max="1806" width="10" bestFit="1" customWidth="1"/>
    <col min="2049" max="2049" width="4.28515625" customWidth="1"/>
    <col min="2050" max="2050" width="12.42578125" customWidth="1"/>
    <col min="2051" max="2051" width="2.42578125" customWidth="1"/>
    <col min="2052" max="2052" width="36.28515625" customWidth="1"/>
    <col min="2053" max="2053" width="14.7109375" customWidth="1"/>
    <col min="2054" max="2055" width="13" customWidth="1"/>
    <col min="2056" max="2056" width="2.42578125" customWidth="1"/>
    <col min="2057" max="2057" width="37.140625" customWidth="1"/>
    <col min="2058" max="2058" width="12.5703125" customWidth="1"/>
    <col min="2059" max="2059" width="14.42578125" customWidth="1"/>
    <col min="2060" max="2060" width="1.7109375" customWidth="1"/>
    <col min="2061" max="2061" width="4.140625" customWidth="1"/>
    <col min="2062" max="2062" width="10" bestFit="1" customWidth="1"/>
    <col min="2305" max="2305" width="4.28515625" customWidth="1"/>
    <col min="2306" max="2306" width="12.42578125" customWidth="1"/>
    <col min="2307" max="2307" width="2.42578125" customWidth="1"/>
    <col min="2308" max="2308" width="36.28515625" customWidth="1"/>
    <col min="2309" max="2309" width="14.7109375" customWidth="1"/>
    <col min="2310" max="2311" width="13" customWidth="1"/>
    <col min="2312" max="2312" width="2.42578125" customWidth="1"/>
    <col min="2313" max="2313" width="37.140625" customWidth="1"/>
    <col min="2314" max="2314" width="12.5703125" customWidth="1"/>
    <col min="2315" max="2315" width="14.42578125" customWidth="1"/>
    <col min="2316" max="2316" width="1.7109375" customWidth="1"/>
    <col min="2317" max="2317" width="4.140625" customWidth="1"/>
    <col min="2318" max="2318" width="10" bestFit="1" customWidth="1"/>
    <col min="2561" max="2561" width="4.28515625" customWidth="1"/>
    <col min="2562" max="2562" width="12.42578125" customWidth="1"/>
    <col min="2563" max="2563" width="2.42578125" customWidth="1"/>
    <col min="2564" max="2564" width="36.28515625" customWidth="1"/>
    <col min="2565" max="2565" width="14.7109375" customWidth="1"/>
    <col min="2566" max="2567" width="13" customWidth="1"/>
    <col min="2568" max="2568" width="2.42578125" customWidth="1"/>
    <col min="2569" max="2569" width="37.140625" customWidth="1"/>
    <col min="2570" max="2570" width="12.5703125" customWidth="1"/>
    <col min="2571" max="2571" width="14.42578125" customWidth="1"/>
    <col min="2572" max="2572" width="1.7109375" customWidth="1"/>
    <col min="2573" max="2573" width="4.140625" customWidth="1"/>
    <col min="2574" max="2574" width="10" bestFit="1" customWidth="1"/>
    <col min="2817" max="2817" width="4.28515625" customWidth="1"/>
    <col min="2818" max="2818" width="12.42578125" customWidth="1"/>
    <col min="2819" max="2819" width="2.42578125" customWidth="1"/>
    <col min="2820" max="2820" width="36.28515625" customWidth="1"/>
    <col min="2821" max="2821" width="14.7109375" customWidth="1"/>
    <col min="2822" max="2823" width="13" customWidth="1"/>
    <col min="2824" max="2824" width="2.42578125" customWidth="1"/>
    <col min="2825" max="2825" width="37.140625" customWidth="1"/>
    <col min="2826" max="2826" width="12.5703125" customWidth="1"/>
    <col min="2827" max="2827" width="14.42578125" customWidth="1"/>
    <col min="2828" max="2828" width="1.7109375" customWidth="1"/>
    <col min="2829" max="2829" width="4.140625" customWidth="1"/>
    <col min="2830" max="2830" width="10" bestFit="1" customWidth="1"/>
    <col min="3073" max="3073" width="4.28515625" customWidth="1"/>
    <col min="3074" max="3074" width="12.42578125" customWidth="1"/>
    <col min="3075" max="3075" width="2.42578125" customWidth="1"/>
    <col min="3076" max="3076" width="36.28515625" customWidth="1"/>
    <col min="3077" max="3077" width="14.7109375" customWidth="1"/>
    <col min="3078" max="3079" width="13" customWidth="1"/>
    <col min="3080" max="3080" width="2.42578125" customWidth="1"/>
    <col min="3081" max="3081" width="37.140625" customWidth="1"/>
    <col min="3082" max="3082" width="12.5703125" customWidth="1"/>
    <col min="3083" max="3083" width="14.42578125" customWidth="1"/>
    <col min="3084" max="3084" width="1.7109375" customWidth="1"/>
    <col min="3085" max="3085" width="4.140625" customWidth="1"/>
    <col min="3086" max="3086" width="10" bestFit="1" customWidth="1"/>
    <col min="3329" max="3329" width="4.28515625" customWidth="1"/>
    <col min="3330" max="3330" width="12.42578125" customWidth="1"/>
    <col min="3331" max="3331" width="2.42578125" customWidth="1"/>
    <col min="3332" max="3332" width="36.28515625" customWidth="1"/>
    <col min="3333" max="3333" width="14.7109375" customWidth="1"/>
    <col min="3334" max="3335" width="13" customWidth="1"/>
    <col min="3336" max="3336" width="2.42578125" customWidth="1"/>
    <col min="3337" max="3337" width="37.140625" customWidth="1"/>
    <col min="3338" max="3338" width="12.5703125" customWidth="1"/>
    <col min="3339" max="3339" width="14.42578125" customWidth="1"/>
    <col min="3340" max="3340" width="1.7109375" customWidth="1"/>
    <col min="3341" max="3341" width="4.140625" customWidth="1"/>
    <col min="3342" max="3342" width="10" bestFit="1" customWidth="1"/>
    <col min="3585" max="3585" width="4.28515625" customWidth="1"/>
    <col min="3586" max="3586" width="12.42578125" customWidth="1"/>
    <col min="3587" max="3587" width="2.42578125" customWidth="1"/>
    <col min="3588" max="3588" width="36.28515625" customWidth="1"/>
    <col min="3589" max="3589" width="14.7109375" customWidth="1"/>
    <col min="3590" max="3591" width="13" customWidth="1"/>
    <col min="3592" max="3592" width="2.42578125" customWidth="1"/>
    <col min="3593" max="3593" width="37.140625" customWidth="1"/>
    <col min="3594" max="3594" width="12.5703125" customWidth="1"/>
    <col min="3595" max="3595" width="14.42578125" customWidth="1"/>
    <col min="3596" max="3596" width="1.7109375" customWidth="1"/>
    <col min="3597" max="3597" width="4.140625" customWidth="1"/>
    <col min="3598" max="3598" width="10" bestFit="1" customWidth="1"/>
    <col min="3841" max="3841" width="4.28515625" customWidth="1"/>
    <col min="3842" max="3842" width="12.42578125" customWidth="1"/>
    <col min="3843" max="3843" width="2.42578125" customWidth="1"/>
    <col min="3844" max="3844" width="36.28515625" customWidth="1"/>
    <col min="3845" max="3845" width="14.7109375" customWidth="1"/>
    <col min="3846" max="3847" width="13" customWidth="1"/>
    <col min="3848" max="3848" width="2.42578125" customWidth="1"/>
    <col min="3849" max="3849" width="37.140625" customWidth="1"/>
    <col min="3850" max="3850" width="12.5703125" customWidth="1"/>
    <col min="3851" max="3851" width="14.42578125" customWidth="1"/>
    <col min="3852" max="3852" width="1.7109375" customWidth="1"/>
    <col min="3853" max="3853" width="4.140625" customWidth="1"/>
    <col min="3854" max="3854" width="10" bestFit="1" customWidth="1"/>
    <col min="4097" max="4097" width="4.28515625" customWidth="1"/>
    <col min="4098" max="4098" width="12.42578125" customWidth="1"/>
    <col min="4099" max="4099" width="2.42578125" customWidth="1"/>
    <col min="4100" max="4100" width="36.28515625" customWidth="1"/>
    <col min="4101" max="4101" width="14.7109375" customWidth="1"/>
    <col min="4102" max="4103" width="13" customWidth="1"/>
    <col min="4104" max="4104" width="2.42578125" customWidth="1"/>
    <col min="4105" max="4105" width="37.140625" customWidth="1"/>
    <col min="4106" max="4106" width="12.5703125" customWidth="1"/>
    <col min="4107" max="4107" width="14.42578125" customWidth="1"/>
    <col min="4108" max="4108" width="1.7109375" customWidth="1"/>
    <col min="4109" max="4109" width="4.140625" customWidth="1"/>
    <col min="4110" max="4110" width="10" bestFit="1" customWidth="1"/>
    <col min="4353" max="4353" width="4.28515625" customWidth="1"/>
    <col min="4354" max="4354" width="12.42578125" customWidth="1"/>
    <col min="4355" max="4355" width="2.42578125" customWidth="1"/>
    <col min="4356" max="4356" width="36.28515625" customWidth="1"/>
    <col min="4357" max="4357" width="14.7109375" customWidth="1"/>
    <col min="4358" max="4359" width="13" customWidth="1"/>
    <col min="4360" max="4360" width="2.42578125" customWidth="1"/>
    <col min="4361" max="4361" width="37.140625" customWidth="1"/>
    <col min="4362" max="4362" width="12.5703125" customWidth="1"/>
    <col min="4363" max="4363" width="14.42578125" customWidth="1"/>
    <col min="4364" max="4364" width="1.7109375" customWidth="1"/>
    <col min="4365" max="4365" width="4.140625" customWidth="1"/>
    <col min="4366" max="4366" width="10" bestFit="1" customWidth="1"/>
    <col min="4609" max="4609" width="4.28515625" customWidth="1"/>
    <col min="4610" max="4610" width="12.42578125" customWidth="1"/>
    <col min="4611" max="4611" width="2.42578125" customWidth="1"/>
    <col min="4612" max="4612" width="36.28515625" customWidth="1"/>
    <col min="4613" max="4613" width="14.7109375" customWidth="1"/>
    <col min="4614" max="4615" width="13" customWidth="1"/>
    <col min="4616" max="4616" width="2.42578125" customWidth="1"/>
    <col min="4617" max="4617" width="37.140625" customWidth="1"/>
    <col min="4618" max="4618" width="12.5703125" customWidth="1"/>
    <col min="4619" max="4619" width="14.42578125" customWidth="1"/>
    <col min="4620" max="4620" width="1.7109375" customWidth="1"/>
    <col min="4621" max="4621" width="4.140625" customWidth="1"/>
    <col min="4622" max="4622" width="10" bestFit="1" customWidth="1"/>
    <col min="4865" max="4865" width="4.28515625" customWidth="1"/>
    <col min="4866" max="4866" width="12.42578125" customWidth="1"/>
    <col min="4867" max="4867" width="2.42578125" customWidth="1"/>
    <col min="4868" max="4868" width="36.28515625" customWidth="1"/>
    <col min="4869" max="4869" width="14.7109375" customWidth="1"/>
    <col min="4870" max="4871" width="13" customWidth="1"/>
    <col min="4872" max="4872" width="2.42578125" customWidth="1"/>
    <col min="4873" max="4873" width="37.140625" customWidth="1"/>
    <col min="4874" max="4874" width="12.5703125" customWidth="1"/>
    <col min="4875" max="4875" width="14.42578125" customWidth="1"/>
    <col min="4876" max="4876" width="1.7109375" customWidth="1"/>
    <col min="4877" max="4877" width="4.140625" customWidth="1"/>
    <col min="4878" max="4878" width="10" bestFit="1" customWidth="1"/>
    <col min="5121" max="5121" width="4.28515625" customWidth="1"/>
    <col min="5122" max="5122" width="12.42578125" customWidth="1"/>
    <col min="5123" max="5123" width="2.42578125" customWidth="1"/>
    <col min="5124" max="5124" width="36.28515625" customWidth="1"/>
    <col min="5125" max="5125" width="14.7109375" customWidth="1"/>
    <col min="5126" max="5127" width="13" customWidth="1"/>
    <col min="5128" max="5128" width="2.42578125" customWidth="1"/>
    <col min="5129" max="5129" width="37.140625" customWidth="1"/>
    <col min="5130" max="5130" width="12.5703125" customWidth="1"/>
    <col min="5131" max="5131" width="14.42578125" customWidth="1"/>
    <col min="5132" max="5132" width="1.7109375" customWidth="1"/>
    <col min="5133" max="5133" width="4.140625" customWidth="1"/>
    <col min="5134" max="5134" width="10" bestFit="1" customWidth="1"/>
    <col min="5377" max="5377" width="4.28515625" customWidth="1"/>
    <col min="5378" max="5378" width="12.42578125" customWidth="1"/>
    <col min="5379" max="5379" width="2.42578125" customWidth="1"/>
    <col min="5380" max="5380" width="36.28515625" customWidth="1"/>
    <col min="5381" max="5381" width="14.7109375" customWidth="1"/>
    <col min="5382" max="5383" width="13" customWidth="1"/>
    <col min="5384" max="5384" width="2.42578125" customWidth="1"/>
    <col min="5385" max="5385" width="37.140625" customWidth="1"/>
    <col min="5386" max="5386" width="12.5703125" customWidth="1"/>
    <col min="5387" max="5387" width="14.42578125" customWidth="1"/>
    <col min="5388" max="5388" width="1.7109375" customWidth="1"/>
    <col min="5389" max="5389" width="4.140625" customWidth="1"/>
    <col min="5390" max="5390" width="10" bestFit="1" customWidth="1"/>
    <col min="5633" max="5633" width="4.28515625" customWidth="1"/>
    <col min="5634" max="5634" width="12.42578125" customWidth="1"/>
    <col min="5635" max="5635" width="2.42578125" customWidth="1"/>
    <col min="5636" max="5636" width="36.28515625" customWidth="1"/>
    <col min="5637" max="5637" width="14.7109375" customWidth="1"/>
    <col min="5638" max="5639" width="13" customWidth="1"/>
    <col min="5640" max="5640" width="2.42578125" customWidth="1"/>
    <col min="5641" max="5641" width="37.140625" customWidth="1"/>
    <col min="5642" max="5642" width="12.5703125" customWidth="1"/>
    <col min="5643" max="5643" width="14.42578125" customWidth="1"/>
    <col min="5644" max="5644" width="1.7109375" customWidth="1"/>
    <col min="5645" max="5645" width="4.140625" customWidth="1"/>
    <col min="5646" max="5646" width="10" bestFit="1" customWidth="1"/>
    <col min="5889" max="5889" width="4.28515625" customWidth="1"/>
    <col min="5890" max="5890" width="12.42578125" customWidth="1"/>
    <col min="5891" max="5891" width="2.42578125" customWidth="1"/>
    <col min="5892" max="5892" width="36.28515625" customWidth="1"/>
    <col min="5893" max="5893" width="14.7109375" customWidth="1"/>
    <col min="5894" max="5895" width="13" customWidth="1"/>
    <col min="5896" max="5896" width="2.42578125" customWidth="1"/>
    <col min="5897" max="5897" width="37.140625" customWidth="1"/>
    <col min="5898" max="5898" width="12.5703125" customWidth="1"/>
    <col min="5899" max="5899" width="14.42578125" customWidth="1"/>
    <col min="5900" max="5900" width="1.7109375" customWidth="1"/>
    <col min="5901" max="5901" width="4.140625" customWidth="1"/>
    <col min="5902" max="5902" width="10" bestFit="1" customWidth="1"/>
    <col min="6145" max="6145" width="4.28515625" customWidth="1"/>
    <col min="6146" max="6146" width="12.42578125" customWidth="1"/>
    <col min="6147" max="6147" width="2.42578125" customWidth="1"/>
    <col min="6148" max="6148" width="36.28515625" customWidth="1"/>
    <col min="6149" max="6149" width="14.7109375" customWidth="1"/>
    <col min="6150" max="6151" width="13" customWidth="1"/>
    <col min="6152" max="6152" width="2.42578125" customWidth="1"/>
    <col min="6153" max="6153" width="37.140625" customWidth="1"/>
    <col min="6154" max="6154" width="12.5703125" customWidth="1"/>
    <col min="6155" max="6155" width="14.42578125" customWidth="1"/>
    <col min="6156" max="6156" width="1.7109375" customWidth="1"/>
    <col min="6157" max="6157" width="4.140625" customWidth="1"/>
    <col min="6158" max="6158" width="10" bestFit="1" customWidth="1"/>
    <col min="6401" max="6401" width="4.28515625" customWidth="1"/>
    <col min="6402" max="6402" width="12.42578125" customWidth="1"/>
    <col min="6403" max="6403" width="2.42578125" customWidth="1"/>
    <col min="6404" max="6404" width="36.28515625" customWidth="1"/>
    <col min="6405" max="6405" width="14.7109375" customWidth="1"/>
    <col min="6406" max="6407" width="13" customWidth="1"/>
    <col min="6408" max="6408" width="2.42578125" customWidth="1"/>
    <col min="6409" max="6409" width="37.140625" customWidth="1"/>
    <col min="6410" max="6410" width="12.5703125" customWidth="1"/>
    <col min="6411" max="6411" width="14.42578125" customWidth="1"/>
    <col min="6412" max="6412" width="1.7109375" customWidth="1"/>
    <col min="6413" max="6413" width="4.140625" customWidth="1"/>
    <col min="6414" max="6414" width="10" bestFit="1" customWidth="1"/>
    <col min="6657" max="6657" width="4.28515625" customWidth="1"/>
    <col min="6658" max="6658" width="12.42578125" customWidth="1"/>
    <col min="6659" max="6659" width="2.42578125" customWidth="1"/>
    <col min="6660" max="6660" width="36.28515625" customWidth="1"/>
    <col min="6661" max="6661" width="14.7109375" customWidth="1"/>
    <col min="6662" max="6663" width="13" customWidth="1"/>
    <col min="6664" max="6664" width="2.42578125" customWidth="1"/>
    <col min="6665" max="6665" width="37.140625" customWidth="1"/>
    <col min="6666" max="6666" width="12.5703125" customWidth="1"/>
    <col min="6667" max="6667" width="14.42578125" customWidth="1"/>
    <col min="6668" max="6668" width="1.7109375" customWidth="1"/>
    <col min="6669" max="6669" width="4.140625" customWidth="1"/>
    <col min="6670" max="6670" width="10" bestFit="1" customWidth="1"/>
    <col min="6913" max="6913" width="4.28515625" customWidth="1"/>
    <col min="6914" max="6914" width="12.42578125" customWidth="1"/>
    <col min="6915" max="6915" width="2.42578125" customWidth="1"/>
    <col min="6916" max="6916" width="36.28515625" customWidth="1"/>
    <col min="6917" max="6917" width="14.7109375" customWidth="1"/>
    <col min="6918" max="6919" width="13" customWidth="1"/>
    <col min="6920" max="6920" width="2.42578125" customWidth="1"/>
    <col min="6921" max="6921" width="37.140625" customWidth="1"/>
    <col min="6922" max="6922" width="12.5703125" customWidth="1"/>
    <col min="6923" max="6923" width="14.42578125" customWidth="1"/>
    <col min="6924" max="6924" width="1.7109375" customWidth="1"/>
    <col min="6925" max="6925" width="4.140625" customWidth="1"/>
    <col min="6926" max="6926" width="10" bestFit="1" customWidth="1"/>
    <col min="7169" max="7169" width="4.28515625" customWidth="1"/>
    <col min="7170" max="7170" width="12.42578125" customWidth="1"/>
    <col min="7171" max="7171" width="2.42578125" customWidth="1"/>
    <col min="7172" max="7172" width="36.28515625" customWidth="1"/>
    <col min="7173" max="7173" width="14.7109375" customWidth="1"/>
    <col min="7174" max="7175" width="13" customWidth="1"/>
    <col min="7176" max="7176" width="2.42578125" customWidth="1"/>
    <col min="7177" max="7177" width="37.140625" customWidth="1"/>
    <col min="7178" max="7178" width="12.5703125" customWidth="1"/>
    <col min="7179" max="7179" width="14.42578125" customWidth="1"/>
    <col min="7180" max="7180" width="1.7109375" customWidth="1"/>
    <col min="7181" max="7181" width="4.140625" customWidth="1"/>
    <col min="7182" max="7182" width="10" bestFit="1" customWidth="1"/>
    <col min="7425" max="7425" width="4.28515625" customWidth="1"/>
    <col min="7426" max="7426" width="12.42578125" customWidth="1"/>
    <col min="7427" max="7427" width="2.42578125" customWidth="1"/>
    <col min="7428" max="7428" width="36.28515625" customWidth="1"/>
    <col min="7429" max="7429" width="14.7109375" customWidth="1"/>
    <col min="7430" max="7431" width="13" customWidth="1"/>
    <col min="7432" max="7432" width="2.42578125" customWidth="1"/>
    <col min="7433" max="7433" width="37.140625" customWidth="1"/>
    <col min="7434" max="7434" width="12.5703125" customWidth="1"/>
    <col min="7435" max="7435" width="14.42578125" customWidth="1"/>
    <col min="7436" max="7436" width="1.7109375" customWidth="1"/>
    <col min="7437" max="7437" width="4.140625" customWidth="1"/>
    <col min="7438" max="7438" width="10" bestFit="1" customWidth="1"/>
    <col min="7681" max="7681" width="4.28515625" customWidth="1"/>
    <col min="7682" max="7682" width="12.42578125" customWidth="1"/>
    <col min="7683" max="7683" width="2.42578125" customWidth="1"/>
    <col min="7684" max="7684" width="36.28515625" customWidth="1"/>
    <col min="7685" max="7685" width="14.7109375" customWidth="1"/>
    <col min="7686" max="7687" width="13" customWidth="1"/>
    <col min="7688" max="7688" width="2.42578125" customWidth="1"/>
    <col min="7689" max="7689" width="37.140625" customWidth="1"/>
    <col min="7690" max="7690" width="12.5703125" customWidth="1"/>
    <col min="7691" max="7691" width="14.42578125" customWidth="1"/>
    <col min="7692" max="7692" width="1.7109375" customWidth="1"/>
    <col min="7693" max="7693" width="4.140625" customWidth="1"/>
    <col min="7694" max="7694" width="10" bestFit="1" customWidth="1"/>
    <col min="7937" max="7937" width="4.28515625" customWidth="1"/>
    <col min="7938" max="7938" width="12.42578125" customWidth="1"/>
    <col min="7939" max="7939" width="2.42578125" customWidth="1"/>
    <col min="7940" max="7940" width="36.28515625" customWidth="1"/>
    <col min="7941" max="7941" width="14.7109375" customWidth="1"/>
    <col min="7942" max="7943" width="13" customWidth="1"/>
    <col min="7944" max="7944" width="2.42578125" customWidth="1"/>
    <col min="7945" max="7945" width="37.140625" customWidth="1"/>
    <col min="7946" max="7946" width="12.5703125" customWidth="1"/>
    <col min="7947" max="7947" width="14.42578125" customWidth="1"/>
    <col min="7948" max="7948" width="1.7109375" customWidth="1"/>
    <col min="7949" max="7949" width="4.140625" customWidth="1"/>
    <col min="7950" max="7950" width="10" bestFit="1" customWidth="1"/>
    <col min="8193" max="8193" width="4.28515625" customWidth="1"/>
    <col min="8194" max="8194" width="12.42578125" customWidth="1"/>
    <col min="8195" max="8195" width="2.42578125" customWidth="1"/>
    <col min="8196" max="8196" width="36.28515625" customWidth="1"/>
    <col min="8197" max="8197" width="14.7109375" customWidth="1"/>
    <col min="8198" max="8199" width="13" customWidth="1"/>
    <col min="8200" max="8200" width="2.42578125" customWidth="1"/>
    <col min="8201" max="8201" width="37.140625" customWidth="1"/>
    <col min="8202" max="8202" width="12.5703125" customWidth="1"/>
    <col min="8203" max="8203" width="14.42578125" customWidth="1"/>
    <col min="8204" max="8204" width="1.7109375" customWidth="1"/>
    <col min="8205" max="8205" width="4.140625" customWidth="1"/>
    <col min="8206" max="8206" width="10" bestFit="1" customWidth="1"/>
    <col min="8449" max="8449" width="4.28515625" customWidth="1"/>
    <col min="8450" max="8450" width="12.42578125" customWidth="1"/>
    <col min="8451" max="8451" width="2.42578125" customWidth="1"/>
    <col min="8452" max="8452" width="36.28515625" customWidth="1"/>
    <col min="8453" max="8453" width="14.7109375" customWidth="1"/>
    <col min="8454" max="8455" width="13" customWidth="1"/>
    <col min="8456" max="8456" width="2.42578125" customWidth="1"/>
    <col min="8457" max="8457" width="37.140625" customWidth="1"/>
    <col min="8458" max="8458" width="12.5703125" customWidth="1"/>
    <col min="8459" max="8459" width="14.42578125" customWidth="1"/>
    <col min="8460" max="8460" width="1.7109375" customWidth="1"/>
    <col min="8461" max="8461" width="4.140625" customWidth="1"/>
    <col min="8462" max="8462" width="10" bestFit="1" customWidth="1"/>
    <col min="8705" max="8705" width="4.28515625" customWidth="1"/>
    <col min="8706" max="8706" width="12.42578125" customWidth="1"/>
    <col min="8707" max="8707" width="2.42578125" customWidth="1"/>
    <col min="8708" max="8708" width="36.28515625" customWidth="1"/>
    <col min="8709" max="8709" width="14.7109375" customWidth="1"/>
    <col min="8710" max="8711" width="13" customWidth="1"/>
    <col min="8712" max="8712" width="2.42578125" customWidth="1"/>
    <col min="8713" max="8713" width="37.140625" customWidth="1"/>
    <col min="8714" max="8714" width="12.5703125" customWidth="1"/>
    <col min="8715" max="8715" width="14.42578125" customWidth="1"/>
    <col min="8716" max="8716" width="1.7109375" customWidth="1"/>
    <col min="8717" max="8717" width="4.140625" customWidth="1"/>
    <col min="8718" max="8718" width="10" bestFit="1" customWidth="1"/>
    <col min="8961" max="8961" width="4.28515625" customWidth="1"/>
    <col min="8962" max="8962" width="12.42578125" customWidth="1"/>
    <col min="8963" max="8963" width="2.42578125" customWidth="1"/>
    <col min="8964" max="8964" width="36.28515625" customWidth="1"/>
    <col min="8965" max="8965" width="14.7109375" customWidth="1"/>
    <col min="8966" max="8967" width="13" customWidth="1"/>
    <col min="8968" max="8968" width="2.42578125" customWidth="1"/>
    <col min="8969" max="8969" width="37.140625" customWidth="1"/>
    <col min="8970" max="8970" width="12.5703125" customWidth="1"/>
    <col min="8971" max="8971" width="14.42578125" customWidth="1"/>
    <col min="8972" max="8972" width="1.7109375" customWidth="1"/>
    <col min="8973" max="8973" width="4.140625" customWidth="1"/>
    <col min="8974" max="8974" width="10" bestFit="1" customWidth="1"/>
    <col min="9217" max="9217" width="4.28515625" customWidth="1"/>
    <col min="9218" max="9218" width="12.42578125" customWidth="1"/>
    <col min="9219" max="9219" width="2.42578125" customWidth="1"/>
    <col min="9220" max="9220" width="36.28515625" customWidth="1"/>
    <col min="9221" max="9221" width="14.7109375" customWidth="1"/>
    <col min="9222" max="9223" width="13" customWidth="1"/>
    <col min="9224" max="9224" width="2.42578125" customWidth="1"/>
    <col min="9225" max="9225" width="37.140625" customWidth="1"/>
    <col min="9226" max="9226" width="12.5703125" customWidth="1"/>
    <col min="9227" max="9227" width="14.42578125" customWidth="1"/>
    <col min="9228" max="9228" width="1.7109375" customWidth="1"/>
    <col min="9229" max="9229" width="4.140625" customWidth="1"/>
    <col min="9230" max="9230" width="10" bestFit="1" customWidth="1"/>
    <col min="9473" max="9473" width="4.28515625" customWidth="1"/>
    <col min="9474" max="9474" width="12.42578125" customWidth="1"/>
    <col min="9475" max="9475" width="2.42578125" customWidth="1"/>
    <col min="9476" max="9476" width="36.28515625" customWidth="1"/>
    <col min="9477" max="9477" width="14.7109375" customWidth="1"/>
    <col min="9478" max="9479" width="13" customWidth="1"/>
    <col min="9480" max="9480" width="2.42578125" customWidth="1"/>
    <col min="9481" max="9481" width="37.140625" customWidth="1"/>
    <col min="9482" max="9482" width="12.5703125" customWidth="1"/>
    <col min="9483" max="9483" width="14.42578125" customWidth="1"/>
    <col min="9484" max="9484" width="1.7109375" customWidth="1"/>
    <col min="9485" max="9485" width="4.140625" customWidth="1"/>
    <col min="9486" max="9486" width="10" bestFit="1" customWidth="1"/>
    <col min="9729" max="9729" width="4.28515625" customWidth="1"/>
    <col min="9730" max="9730" width="12.42578125" customWidth="1"/>
    <col min="9731" max="9731" width="2.42578125" customWidth="1"/>
    <col min="9732" max="9732" width="36.28515625" customWidth="1"/>
    <col min="9733" max="9733" width="14.7109375" customWidth="1"/>
    <col min="9734" max="9735" width="13" customWidth="1"/>
    <col min="9736" max="9736" width="2.42578125" customWidth="1"/>
    <col min="9737" max="9737" width="37.140625" customWidth="1"/>
    <col min="9738" max="9738" width="12.5703125" customWidth="1"/>
    <col min="9739" max="9739" width="14.42578125" customWidth="1"/>
    <col min="9740" max="9740" width="1.7109375" customWidth="1"/>
    <col min="9741" max="9741" width="4.140625" customWidth="1"/>
    <col min="9742" max="9742" width="10" bestFit="1" customWidth="1"/>
    <col min="9985" max="9985" width="4.28515625" customWidth="1"/>
    <col min="9986" max="9986" width="12.42578125" customWidth="1"/>
    <col min="9987" max="9987" width="2.42578125" customWidth="1"/>
    <col min="9988" max="9988" width="36.28515625" customWidth="1"/>
    <col min="9989" max="9989" width="14.7109375" customWidth="1"/>
    <col min="9990" max="9991" width="13" customWidth="1"/>
    <col min="9992" max="9992" width="2.42578125" customWidth="1"/>
    <col min="9993" max="9993" width="37.140625" customWidth="1"/>
    <col min="9994" max="9994" width="12.5703125" customWidth="1"/>
    <col min="9995" max="9995" width="14.42578125" customWidth="1"/>
    <col min="9996" max="9996" width="1.7109375" customWidth="1"/>
    <col min="9997" max="9997" width="4.140625" customWidth="1"/>
    <col min="9998" max="9998" width="10" bestFit="1" customWidth="1"/>
    <col min="10241" max="10241" width="4.28515625" customWidth="1"/>
    <col min="10242" max="10242" width="12.42578125" customWidth="1"/>
    <col min="10243" max="10243" width="2.42578125" customWidth="1"/>
    <col min="10244" max="10244" width="36.28515625" customWidth="1"/>
    <col min="10245" max="10245" width="14.7109375" customWidth="1"/>
    <col min="10246" max="10247" width="13" customWidth="1"/>
    <col min="10248" max="10248" width="2.42578125" customWidth="1"/>
    <col min="10249" max="10249" width="37.140625" customWidth="1"/>
    <col min="10250" max="10250" width="12.5703125" customWidth="1"/>
    <col min="10251" max="10251" width="14.42578125" customWidth="1"/>
    <col min="10252" max="10252" width="1.7109375" customWidth="1"/>
    <col min="10253" max="10253" width="4.140625" customWidth="1"/>
    <col min="10254" max="10254" width="10" bestFit="1" customWidth="1"/>
    <col min="10497" max="10497" width="4.28515625" customWidth="1"/>
    <col min="10498" max="10498" width="12.42578125" customWidth="1"/>
    <col min="10499" max="10499" width="2.42578125" customWidth="1"/>
    <col min="10500" max="10500" width="36.28515625" customWidth="1"/>
    <col min="10501" max="10501" width="14.7109375" customWidth="1"/>
    <col min="10502" max="10503" width="13" customWidth="1"/>
    <col min="10504" max="10504" width="2.42578125" customWidth="1"/>
    <col min="10505" max="10505" width="37.140625" customWidth="1"/>
    <col min="10506" max="10506" width="12.5703125" customWidth="1"/>
    <col min="10507" max="10507" width="14.42578125" customWidth="1"/>
    <col min="10508" max="10508" width="1.7109375" customWidth="1"/>
    <col min="10509" max="10509" width="4.140625" customWidth="1"/>
    <col min="10510" max="10510" width="10" bestFit="1" customWidth="1"/>
    <col min="10753" max="10753" width="4.28515625" customWidth="1"/>
    <col min="10754" max="10754" width="12.42578125" customWidth="1"/>
    <col min="10755" max="10755" width="2.42578125" customWidth="1"/>
    <col min="10756" max="10756" width="36.28515625" customWidth="1"/>
    <col min="10757" max="10757" width="14.7109375" customWidth="1"/>
    <col min="10758" max="10759" width="13" customWidth="1"/>
    <col min="10760" max="10760" width="2.42578125" customWidth="1"/>
    <col min="10761" max="10761" width="37.140625" customWidth="1"/>
    <col min="10762" max="10762" width="12.5703125" customWidth="1"/>
    <col min="10763" max="10763" width="14.42578125" customWidth="1"/>
    <col min="10764" max="10764" width="1.7109375" customWidth="1"/>
    <col min="10765" max="10765" width="4.140625" customWidth="1"/>
    <col min="10766" max="10766" width="10" bestFit="1" customWidth="1"/>
    <col min="11009" max="11009" width="4.28515625" customWidth="1"/>
    <col min="11010" max="11010" width="12.42578125" customWidth="1"/>
    <col min="11011" max="11011" width="2.42578125" customWidth="1"/>
    <col min="11012" max="11012" width="36.28515625" customWidth="1"/>
    <col min="11013" max="11013" width="14.7109375" customWidth="1"/>
    <col min="11014" max="11015" width="13" customWidth="1"/>
    <col min="11016" max="11016" width="2.42578125" customWidth="1"/>
    <col min="11017" max="11017" width="37.140625" customWidth="1"/>
    <col min="11018" max="11018" width="12.5703125" customWidth="1"/>
    <col min="11019" max="11019" width="14.42578125" customWidth="1"/>
    <col min="11020" max="11020" width="1.7109375" customWidth="1"/>
    <col min="11021" max="11021" width="4.140625" customWidth="1"/>
    <col min="11022" max="11022" width="10" bestFit="1" customWidth="1"/>
    <col min="11265" max="11265" width="4.28515625" customWidth="1"/>
    <col min="11266" max="11266" width="12.42578125" customWidth="1"/>
    <col min="11267" max="11267" width="2.42578125" customWidth="1"/>
    <col min="11268" max="11268" width="36.28515625" customWidth="1"/>
    <col min="11269" max="11269" width="14.7109375" customWidth="1"/>
    <col min="11270" max="11271" width="13" customWidth="1"/>
    <col min="11272" max="11272" width="2.42578125" customWidth="1"/>
    <col min="11273" max="11273" width="37.140625" customWidth="1"/>
    <col min="11274" max="11274" width="12.5703125" customWidth="1"/>
    <col min="11275" max="11275" width="14.42578125" customWidth="1"/>
    <col min="11276" max="11276" width="1.7109375" customWidth="1"/>
    <col min="11277" max="11277" width="4.140625" customWidth="1"/>
    <col min="11278" max="11278" width="10" bestFit="1" customWidth="1"/>
    <col min="11521" max="11521" width="4.28515625" customWidth="1"/>
    <col min="11522" max="11522" width="12.42578125" customWidth="1"/>
    <col min="11523" max="11523" width="2.42578125" customWidth="1"/>
    <col min="11524" max="11524" width="36.28515625" customWidth="1"/>
    <col min="11525" max="11525" width="14.7109375" customWidth="1"/>
    <col min="11526" max="11527" width="13" customWidth="1"/>
    <col min="11528" max="11528" width="2.42578125" customWidth="1"/>
    <col min="11529" max="11529" width="37.140625" customWidth="1"/>
    <col min="11530" max="11530" width="12.5703125" customWidth="1"/>
    <col min="11531" max="11531" width="14.42578125" customWidth="1"/>
    <col min="11532" max="11532" width="1.7109375" customWidth="1"/>
    <col min="11533" max="11533" width="4.140625" customWidth="1"/>
    <col min="11534" max="11534" width="10" bestFit="1" customWidth="1"/>
    <col min="11777" max="11777" width="4.28515625" customWidth="1"/>
    <col min="11778" max="11778" width="12.42578125" customWidth="1"/>
    <col min="11779" max="11779" width="2.42578125" customWidth="1"/>
    <col min="11780" max="11780" width="36.28515625" customWidth="1"/>
    <col min="11781" max="11781" width="14.7109375" customWidth="1"/>
    <col min="11782" max="11783" width="13" customWidth="1"/>
    <col min="11784" max="11784" width="2.42578125" customWidth="1"/>
    <col min="11785" max="11785" width="37.140625" customWidth="1"/>
    <col min="11786" max="11786" width="12.5703125" customWidth="1"/>
    <col min="11787" max="11787" width="14.42578125" customWidth="1"/>
    <col min="11788" max="11788" width="1.7109375" customWidth="1"/>
    <col min="11789" max="11789" width="4.140625" customWidth="1"/>
    <col min="11790" max="11790" width="10" bestFit="1" customWidth="1"/>
    <col min="12033" max="12033" width="4.28515625" customWidth="1"/>
    <col min="12034" max="12034" width="12.42578125" customWidth="1"/>
    <col min="12035" max="12035" width="2.42578125" customWidth="1"/>
    <col min="12036" max="12036" width="36.28515625" customWidth="1"/>
    <col min="12037" max="12037" width="14.7109375" customWidth="1"/>
    <col min="12038" max="12039" width="13" customWidth="1"/>
    <col min="12040" max="12040" width="2.42578125" customWidth="1"/>
    <col min="12041" max="12041" width="37.140625" customWidth="1"/>
    <col min="12042" max="12042" width="12.5703125" customWidth="1"/>
    <col min="12043" max="12043" width="14.42578125" customWidth="1"/>
    <col min="12044" max="12044" width="1.7109375" customWidth="1"/>
    <col min="12045" max="12045" width="4.140625" customWidth="1"/>
    <col min="12046" max="12046" width="10" bestFit="1" customWidth="1"/>
    <col min="12289" max="12289" width="4.28515625" customWidth="1"/>
    <col min="12290" max="12290" width="12.42578125" customWidth="1"/>
    <col min="12291" max="12291" width="2.42578125" customWidth="1"/>
    <col min="12292" max="12292" width="36.28515625" customWidth="1"/>
    <col min="12293" max="12293" width="14.7109375" customWidth="1"/>
    <col min="12294" max="12295" width="13" customWidth="1"/>
    <col min="12296" max="12296" width="2.42578125" customWidth="1"/>
    <col min="12297" max="12297" width="37.140625" customWidth="1"/>
    <col min="12298" max="12298" width="12.5703125" customWidth="1"/>
    <col min="12299" max="12299" width="14.42578125" customWidth="1"/>
    <col min="12300" max="12300" width="1.7109375" customWidth="1"/>
    <col min="12301" max="12301" width="4.140625" customWidth="1"/>
    <col min="12302" max="12302" width="10" bestFit="1" customWidth="1"/>
    <col min="12545" max="12545" width="4.28515625" customWidth="1"/>
    <col min="12546" max="12546" width="12.42578125" customWidth="1"/>
    <col min="12547" max="12547" width="2.42578125" customWidth="1"/>
    <col min="12548" max="12548" width="36.28515625" customWidth="1"/>
    <col min="12549" max="12549" width="14.7109375" customWidth="1"/>
    <col min="12550" max="12551" width="13" customWidth="1"/>
    <col min="12552" max="12552" width="2.42578125" customWidth="1"/>
    <col min="12553" max="12553" width="37.140625" customWidth="1"/>
    <col min="12554" max="12554" width="12.5703125" customWidth="1"/>
    <col min="12555" max="12555" width="14.42578125" customWidth="1"/>
    <col min="12556" max="12556" width="1.7109375" customWidth="1"/>
    <col min="12557" max="12557" width="4.140625" customWidth="1"/>
    <col min="12558" max="12558" width="10" bestFit="1" customWidth="1"/>
    <col min="12801" max="12801" width="4.28515625" customWidth="1"/>
    <col min="12802" max="12802" width="12.42578125" customWidth="1"/>
    <col min="12803" max="12803" width="2.42578125" customWidth="1"/>
    <col min="12804" max="12804" width="36.28515625" customWidth="1"/>
    <col min="12805" max="12805" width="14.7109375" customWidth="1"/>
    <col min="12806" max="12807" width="13" customWidth="1"/>
    <col min="12808" max="12808" width="2.42578125" customWidth="1"/>
    <col min="12809" max="12809" width="37.140625" customWidth="1"/>
    <col min="12810" max="12810" width="12.5703125" customWidth="1"/>
    <col min="12811" max="12811" width="14.42578125" customWidth="1"/>
    <col min="12812" max="12812" width="1.7109375" customWidth="1"/>
    <col min="12813" max="12813" width="4.140625" customWidth="1"/>
    <col min="12814" max="12814" width="10" bestFit="1" customWidth="1"/>
    <col min="13057" max="13057" width="4.28515625" customWidth="1"/>
    <col min="13058" max="13058" width="12.42578125" customWidth="1"/>
    <col min="13059" max="13059" width="2.42578125" customWidth="1"/>
    <col min="13060" max="13060" width="36.28515625" customWidth="1"/>
    <col min="13061" max="13061" width="14.7109375" customWidth="1"/>
    <col min="13062" max="13063" width="13" customWidth="1"/>
    <col min="13064" max="13064" width="2.42578125" customWidth="1"/>
    <col min="13065" max="13065" width="37.140625" customWidth="1"/>
    <col min="13066" max="13066" width="12.5703125" customWidth="1"/>
    <col min="13067" max="13067" width="14.42578125" customWidth="1"/>
    <col min="13068" max="13068" width="1.7109375" customWidth="1"/>
    <col min="13069" max="13069" width="4.140625" customWidth="1"/>
    <col min="13070" max="13070" width="10" bestFit="1" customWidth="1"/>
    <col min="13313" max="13313" width="4.28515625" customWidth="1"/>
    <col min="13314" max="13314" width="12.42578125" customWidth="1"/>
    <col min="13315" max="13315" width="2.42578125" customWidth="1"/>
    <col min="13316" max="13316" width="36.28515625" customWidth="1"/>
    <col min="13317" max="13317" width="14.7109375" customWidth="1"/>
    <col min="13318" max="13319" width="13" customWidth="1"/>
    <col min="13320" max="13320" width="2.42578125" customWidth="1"/>
    <col min="13321" max="13321" width="37.140625" customWidth="1"/>
    <col min="13322" max="13322" width="12.5703125" customWidth="1"/>
    <col min="13323" max="13323" width="14.42578125" customWidth="1"/>
    <col min="13324" max="13324" width="1.7109375" customWidth="1"/>
    <col min="13325" max="13325" width="4.140625" customWidth="1"/>
    <col min="13326" max="13326" width="10" bestFit="1" customWidth="1"/>
    <col min="13569" max="13569" width="4.28515625" customWidth="1"/>
    <col min="13570" max="13570" width="12.42578125" customWidth="1"/>
    <col min="13571" max="13571" width="2.42578125" customWidth="1"/>
    <col min="13572" max="13572" width="36.28515625" customWidth="1"/>
    <col min="13573" max="13573" width="14.7109375" customWidth="1"/>
    <col min="13574" max="13575" width="13" customWidth="1"/>
    <col min="13576" max="13576" width="2.42578125" customWidth="1"/>
    <col min="13577" max="13577" width="37.140625" customWidth="1"/>
    <col min="13578" max="13578" width="12.5703125" customWidth="1"/>
    <col min="13579" max="13579" width="14.42578125" customWidth="1"/>
    <col min="13580" max="13580" width="1.7109375" customWidth="1"/>
    <col min="13581" max="13581" width="4.140625" customWidth="1"/>
    <col min="13582" max="13582" width="10" bestFit="1" customWidth="1"/>
    <col min="13825" max="13825" width="4.28515625" customWidth="1"/>
    <col min="13826" max="13826" width="12.42578125" customWidth="1"/>
    <col min="13827" max="13827" width="2.42578125" customWidth="1"/>
    <col min="13828" max="13828" width="36.28515625" customWidth="1"/>
    <col min="13829" max="13829" width="14.7109375" customWidth="1"/>
    <col min="13830" max="13831" width="13" customWidth="1"/>
    <col min="13832" max="13832" width="2.42578125" customWidth="1"/>
    <col min="13833" max="13833" width="37.140625" customWidth="1"/>
    <col min="13834" max="13834" width="12.5703125" customWidth="1"/>
    <col min="13835" max="13835" width="14.42578125" customWidth="1"/>
    <col min="13836" max="13836" width="1.7109375" customWidth="1"/>
    <col min="13837" max="13837" width="4.140625" customWidth="1"/>
    <col min="13838" max="13838" width="10" bestFit="1" customWidth="1"/>
    <col min="14081" max="14081" width="4.28515625" customWidth="1"/>
    <col min="14082" max="14082" width="12.42578125" customWidth="1"/>
    <col min="14083" max="14083" width="2.42578125" customWidth="1"/>
    <col min="14084" max="14084" width="36.28515625" customWidth="1"/>
    <col min="14085" max="14085" width="14.7109375" customWidth="1"/>
    <col min="14086" max="14087" width="13" customWidth="1"/>
    <col min="14088" max="14088" width="2.42578125" customWidth="1"/>
    <col min="14089" max="14089" width="37.140625" customWidth="1"/>
    <col min="14090" max="14090" width="12.5703125" customWidth="1"/>
    <col min="14091" max="14091" width="14.42578125" customWidth="1"/>
    <col min="14092" max="14092" width="1.7109375" customWidth="1"/>
    <col min="14093" max="14093" width="4.140625" customWidth="1"/>
    <col min="14094" max="14094" width="10" bestFit="1" customWidth="1"/>
    <col min="14337" max="14337" width="4.28515625" customWidth="1"/>
    <col min="14338" max="14338" width="12.42578125" customWidth="1"/>
    <col min="14339" max="14339" width="2.42578125" customWidth="1"/>
    <col min="14340" max="14340" width="36.28515625" customWidth="1"/>
    <col min="14341" max="14341" width="14.7109375" customWidth="1"/>
    <col min="14342" max="14343" width="13" customWidth="1"/>
    <col min="14344" max="14344" width="2.42578125" customWidth="1"/>
    <col min="14345" max="14345" width="37.140625" customWidth="1"/>
    <col min="14346" max="14346" width="12.5703125" customWidth="1"/>
    <col min="14347" max="14347" width="14.42578125" customWidth="1"/>
    <col min="14348" max="14348" width="1.7109375" customWidth="1"/>
    <col min="14349" max="14349" width="4.140625" customWidth="1"/>
    <col min="14350" max="14350" width="10" bestFit="1" customWidth="1"/>
    <col min="14593" max="14593" width="4.28515625" customWidth="1"/>
    <col min="14594" max="14594" width="12.42578125" customWidth="1"/>
    <col min="14595" max="14595" width="2.42578125" customWidth="1"/>
    <col min="14596" max="14596" width="36.28515625" customWidth="1"/>
    <col min="14597" max="14597" width="14.7109375" customWidth="1"/>
    <col min="14598" max="14599" width="13" customWidth="1"/>
    <col min="14600" max="14600" width="2.42578125" customWidth="1"/>
    <col min="14601" max="14601" width="37.140625" customWidth="1"/>
    <col min="14602" max="14602" width="12.5703125" customWidth="1"/>
    <col min="14603" max="14603" width="14.42578125" customWidth="1"/>
    <col min="14604" max="14604" width="1.7109375" customWidth="1"/>
    <col min="14605" max="14605" width="4.140625" customWidth="1"/>
    <col min="14606" max="14606" width="10" bestFit="1" customWidth="1"/>
    <col min="14849" max="14849" width="4.28515625" customWidth="1"/>
    <col min="14850" max="14850" width="12.42578125" customWidth="1"/>
    <col min="14851" max="14851" width="2.42578125" customWidth="1"/>
    <col min="14852" max="14852" width="36.28515625" customWidth="1"/>
    <col min="14853" max="14853" width="14.7109375" customWidth="1"/>
    <col min="14854" max="14855" width="13" customWidth="1"/>
    <col min="14856" max="14856" width="2.42578125" customWidth="1"/>
    <col min="14857" max="14857" width="37.140625" customWidth="1"/>
    <col min="14858" max="14858" width="12.5703125" customWidth="1"/>
    <col min="14859" max="14859" width="14.42578125" customWidth="1"/>
    <col min="14860" max="14860" width="1.7109375" customWidth="1"/>
    <col min="14861" max="14861" width="4.140625" customWidth="1"/>
    <col min="14862" max="14862" width="10" bestFit="1" customWidth="1"/>
    <col min="15105" max="15105" width="4.28515625" customWidth="1"/>
    <col min="15106" max="15106" width="12.42578125" customWidth="1"/>
    <col min="15107" max="15107" width="2.42578125" customWidth="1"/>
    <col min="15108" max="15108" width="36.28515625" customWidth="1"/>
    <col min="15109" max="15109" width="14.7109375" customWidth="1"/>
    <col min="15110" max="15111" width="13" customWidth="1"/>
    <col min="15112" max="15112" width="2.42578125" customWidth="1"/>
    <col min="15113" max="15113" width="37.140625" customWidth="1"/>
    <col min="15114" max="15114" width="12.5703125" customWidth="1"/>
    <col min="15115" max="15115" width="14.42578125" customWidth="1"/>
    <col min="15116" max="15116" width="1.7109375" customWidth="1"/>
    <col min="15117" max="15117" width="4.140625" customWidth="1"/>
    <col min="15118" max="15118" width="10" bestFit="1" customWidth="1"/>
    <col min="15361" max="15361" width="4.28515625" customWidth="1"/>
    <col min="15362" max="15362" width="12.42578125" customWidth="1"/>
    <col min="15363" max="15363" width="2.42578125" customWidth="1"/>
    <col min="15364" max="15364" width="36.28515625" customWidth="1"/>
    <col min="15365" max="15365" width="14.7109375" customWidth="1"/>
    <col min="15366" max="15367" width="13" customWidth="1"/>
    <col min="15368" max="15368" width="2.42578125" customWidth="1"/>
    <col min="15369" max="15369" width="37.140625" customWidth="1"/>
    <col min="15370" max="15370" width="12.5703125" customWidth="1"/>
    <col min="15371" max="15371" width="14.42578125" customWidth="1"/>
    <col min="15372" max="15372" width="1.7109375" customWidth="1"/>
    <col min="15373" max="15373" width="4.140625" customWidth="1"/>
    <col min="15374" max="15374" width="10" bestFit="1" customWidth="1"/>
    <col min="15617" max="15617" width="4.28515625" customWidth="1"/>
    <col min="15618" max="15618" width="12.42578125" customWidth="1"/>
    <col min="15619" max="15619" width="2.42578125" customWidth="1"/>
    <col min="15620" max="15620" width="36.28515625" customWidth="1"/>
    <col min="15621" max="15621" width="14.7109375" customWidth="1"/>
    <col min="15622" max="15623" width="13" customWidth="1"/>
    <col min="15624" max="15624" width="2.42578125" customWidth="1"/>
    <col min="15625" max="15625" width="37.140625" customWidth="1"/>
    <col min="15626" max="15626" width="12.5703125" customWidth="1"/>
    <col min="15627" max="15627" width="14.42578125" customWidth="1"/>
    <col min="15628" max="15628" width="1.7109375" customWidth="1"/>
    <col min="15629" max="15629" width="4.140625" customWidth="1"/>
    <col min="15630" max="15630" width="10" bestFit="1" customWidth="1"/>
    <col min="15873" max="15873" width="4.28515625" customWidth="1"/>
    <col min="15874" max="15874" width="12.42578125" customWidth="1"/>
    <col min="15875" max="15875" width="2.42578125" customWidth="1"/>
    <col min="15876" max="15876" width="36.28515625" customWidth="1"/>
    <col min="15877" max="15877" width="14.7109375" customWidth="1"/>
    <col min="15878" max="15879" width="13" customWidth="1"/>
    <col min="15880" max="15880" width="2.42578125" customWidth="1"/>
    <col min="15881" max="15881" width="37.140625" customWidth="1"/>
    <col min="15882" max="15882" width="12.5703125" customWidth="1"/>
    <col min="15883" max="15883" width="14.42578125" customWidth="1"/>
    <col min="15884" max="15884" width="1.7109375" customWidth="1"/>
    <col min="15885" max="15885" width="4.140625" customWidth="1"/>
    <col min="15886" max="15886" width="10" bestFit="1" customWidth="1"/>
    <col min="16129" max="16129" width="4.28515625" customWidth="1"/>
    <col min="16130" max="16130" width="12.42578125" customWidth="1"/>
    <col min="16131" max="16131" width="2.42578125" customWidth="1"/>
    <col min="16132" max="16132" width="36.28515625" customWidth="1"/>
    <col min="16133" max="16133" width="14.7109375" customWidth="1"/>
    <col min="16134" max="16135" width="13" customWidth="1"/>
    <col min="16136" max="16136" width="2.42578125" customWidth="1"/>
    <col min="16137" max="16137" width="37.140625" customWidth="1"/>
    <col min="16138" max="16138" width="12.5703125" customWidth="1"/>
    <col min="16139" max="16139" width="14.42578125" customWidth="1"/>
    <col min="16140" max="16140" width="1.7109375" customWidth="1"/>
    <col min="16141" max="16141" width="4.140625" customWidth="1"/>
    <col min="16142" max="16142" width="10" bestFit="1" customWidth="1"/>
  </cols>
  <sheetData>
    <row r="1" spans="2:11">
      <c r="K1" s="155"/>
    </row>
    <row r="2" spans="2:11">
      <c r="D2" s="157"/>
      <c r="E2" s="1756"/>
      <c r="F2" s="1756" t="s">
        <v>764</v>
      </c>
      <c r="G2" s="1756"/>
      <c r="H2" s="1756"/>
      <c r="I2" s="1756"/>
      <c r="J2" s="1756"/>
      <c r="K2" s="1757"/>
    </row>
    <row r="3" spans="2:11">
      <c r="D3" s="6019" t="s">
        <v>765</v>
      </c>
      <c r="E3" s="6020"/>
      <c r="F3" s="6020"/>
      <c r="G3" s="6020"/>
      <c r="H3" s="6020"/>
      <c r="I3" s="6020"/>
      <c r="J3" s="6020"/>
      <c r="K3" s="6021"/>
    </row>
    <row r="4" spans="2:11">
      <c r="D4" s="6022" t="s">
        <v>766</v>
      </c>
      <c r="E4" s="6023"/>
      <c r="F4" s="6023"/>
      <c r="G4" s="6023"/>
      <c r="H4" s="6023"/>
      <c r="I4" s="6023"/>
      <c r="J4" s="6023"/>
      <c r="K4" s="6024"/>
    </row>
    <row r="5" spans="2:11">
      <c r="D5" s="156"/>
      <c r="E5" s="156"/>
      <c r="K5" s="155"/>
    </row>
    <row r="6" spans="2:11" ht="15.75">
      <c r="B6" s="1752" t="s">
        <v>380</v>
      </c>
      <c r="C6" s="1753"/>
      <c r="D6" s="1754" t="s">
        <v>767</v>
      </c>
      <c r="E6" s="1755"/>
      <c r="F6" s="1752" t="s">
        <v>557</v>
      </c>
      <c r="G6" s="1752" t="s">
        <v>380</v>
      </c>
      <c r="H6" s="1753"/>
      <c r="I6" s="1754" t="s">
        <v>768</v>
      </c>
      <c r="J6" s="1755"/>
      <c r="K6" s="1752" t="s">
        <v>557</v>
      </c>
    </row>
    <row r="7" spans="2:11">
      <c r="B7" s="144"/>
      <c r="C7" s="1493"/>
      <c r="D7" s="145" t="s">
        <v>94</v>
      </c>
      <c r="E7" s="144"/>
      <c r="F7" s="144" t="s">
        <v>94</v>
      </c>
      <c r="G7" s="144"/>
      <c r="H7" s="1493"/>
      <c r="I7" s="145" t="s">
        <v>94</v>
      </c>
      <c r="K7" s="144"/>
    </row>
    <row r="8" spans="2:11">
      <c r="B8" s="144">
        <f>24256661201-B9-B10-B11</f>
        <v>21558555189</v>
      </c>
      <c r="C8" s="158"/>
      <c r="D8" s="159" t="s">
        <v>769</v>
      </c>
      <c r="E8" s="144">
        <f>29282946004-(E9+E10+E11)</f>
        <v>25904646219</v>
      </c>
      <c r="F8" s="144"/>
      <c r="G8" s="144">
        <v>25471706790</v>
      </c>
      <c r="H8" s="158"/>
      <c r="I8" s="145" t="s">
        <v>770</v>
      </c>
      <c r="J8" s="144"/>
      <c r="K8" s="144">
        <v>36201932746</v>
      </c>
    </row>
    <row r="9" spans="2:11">
      <c r="B9" s="144">
        <f>312260524+30937384</f>
        <v>343197908</v>
      </c>
      <c r="C9" s="158"/>
      <c r="D9" s="159" t="s">
        <v>771</v>
      </c>
      <c r="E9" s="144">
        <f>356586952+11144813</f>
        <v>367731765</v>
      </c>
      <c r="F9" s="144"/>
      <c r="G9" s="144"/>
      <c r="H9" s="158"/>
      <c r="I9" s="145"/>
      <c r="J9" s="144"/>
      <c r="K9" s="144"/>
    </row>
    <row r="10" spans="2:11">
      <c r="B10" s="144">
        <v>1276408104</v>
      </c>
      <c r="C10" s="158"/>
      <c r="D10" s="159" t="s">
        <v>772</v>
      </c>
      <c r="E10" s="144">
        <v>1932068020</v>
      </c>
      <c r="F10" s="144"/>
      <c r="G10" s="144">
        <f>137224814+9947526</f>
        <v>147172340</v>
      </c>
      <c r="H10" s="158"/>
      <c r="I10" s="145" t="s">
        <v>773</v>
      </c>
      <c r="J10" s="144"/>
      <c r="K10" s="160">
        <f>145766289+21642418</f>
        <v>167408707</v>
      </c>
    </row>
    <row r="11" spans="2:11">
      <c r="B11" s="144">
        <v>1078500000</v>
      </c>
      <c r="C11" s="161"/>
      <c r="D11" s="159" t="s">
        <v>774</v>
      </c>
      <c r="E11" s="16">
        <v>1078500000</v>
      </c>
      <c r="F11" s="144">
        <f>E11+E10+E9+E8</f>
        <v>29282946004</v>
      </c>
      <c r="G11" s="144" t="s">
        <v>94</v>
      </c>
      <c r="H11" s="158"/>
      <c r="I11" s="145" t="s">
        <v>94</v>
      </c>
      <c r="J11" s="144"/>
      <c r="K11" s="144" t="s">
        <v>94</v>
      </c>
    </row>
    <row r="12" spans="2:11">
      <c r="B12" s="144" t="s">
        <v>94</v>
      </c>
      <c r="C12" s="158"/>
      <c r="D12" s="155"/>
      <c r="E12" s="158" t="s">
        <v>94</v>
      </c>
      <c r="F12" s="144" t="s">
        <v>94</v>
      </c>
      <c r="G12" s="144">
        <v>193692102</v>
      </c>
      <c r="H12" s="158"/>
      <c r="I12" s="145" t="s">
        <v>775</v>
      </c>
      <c r="J12" s="160" t="s">
        <v>94</v>
      </c>
      <c r="K12" s="160">
        <v>194556975</v>
      </c>
    </row>
    <row r="13" spans="2:11">
      <c r="B13" s="144" t="s">
        <v>94</v>
      </c>
      <c r="C13" s="158"/>
      <c r="D13" s="145"/>
      <c r="E13" s="144"/>
      <c r="F13" s="144"/>
      <c r="G13" s="144"/>
      <c r="H13" s="158"/>
      <c r="I13" s="145" t="s">
        <v>94</v>
      </c>
      <c r="J13" s="144"/>
      <c r="K13" s="144" t="s">
        <v>94</v>
      </c>
    </row>
    <row r="14" spans="2:11">
      <c r="B14" s="144">
        <v>2395782292</v>
      </c>
      <c r="C14" s="158"/>
      <c r="D14" s="145" t="s">
        <v>776</v>
      </c>
      <c r="E14" s="144"/>
      <c r="F14">
        <v>2841969644</v>
      </c>
      <c r="G14" s="144" t="s">
        <v>94</v>
      </c>
      <c r="H14" s="158"/>
      <c r="I14" s="162" t="s">
        <v>777</v>
      </c>
      <c r="J14" s="144"/>
      <c r="K14" s="144" t="s">
        <v>94</v>
      </c>
    </row>
    <row r="15" spans="2:11">
      <c r="B15" s="144">
        <v>313682044</v>
      </c>
      <c r="C15" s="158"/>
      <c r="D15" s="145" t="s">
        <v>778</v>
      </c>
      <c r="E15" s="144"/>
      <c r="F15">
        <v>369187507</v>
      </c>
      <c r="G15" s="144">
        <v>418095</v>
      </c>
      <c r="H15" s="158"/>
      <c r="I15" s="163" t="s">
        <v>779</v>
      </c>
      <c r="J15" s="144">
        <v>423945</v>
      </c>
      <c r="K15" s="144" t="s">
        <v>94</v>
      </c>
    </row>
    <row r="16" spans="2:11">
      <c r="B16" s="144"/>
      <c r="C16" s="158"/>
      <c r="D16" s="145"/>
      <c r="E16" s="144"/>
      <c r="G16" s="144">
        <v>114976696</v>
      </c>
      <c r="H16" s="158"/>
      <c r="I16" s="163" t="s">
        <v>780</v>
      </c>
      <c r="J16" s="144">
        <v>158325982</v>
      </c>
      <c r="K16" s="144" t="s">
        <v>94</v>
      </c>
    </row>
    <row r="17" spans="2:18">
      <c r="B17" s="144">
        <v>265141503</v>
      </c>
      <c r="C17" s="158"/>
      <c r="D17" s="145" t="s">
        <v>781</v>
      </c>
      <c r="E17" s="144"/>
      <c r="F17">
        <v>356348402</v>
      </c>
      <c r="G17" s="144">
        <v>5154514</v>
      </c>
      <c r="H17" s="158"/>
      <c r="I17" s="164" t="s">
        <v>782</v>
      </c>
      <c r="J17" s="144">
        <v>6614379</v>
      </c>
      <c r="K17" s="144" t="s">
        <v>94</v>
      </c>
    </row>
    <row r="18" spans="2:18">
      <c r="B18" s="144">
        <v>63904352</v>
      </c>
      <c r="C18" s="158"/>
      <c r="D18" s="145" t="s">
        <v>783</v>
      </c>
      <c r="E18" s="144"/>
      <c r="F18">
        <v>57642400</v>
      </c>
      <c r="G18" s="144">
        <v>0</v>
      </c>
      <c r="H18" s="158"/>
      <c r="I18" s="165" t="s">
        <v>784</v>
      </c>
      <c r="J18" s="144">
        <v>0</v>
      </c>
      <c r="K18" s="144" t="s">
        <v>94</v>
      </c>
    </row>
    <row r="19" spans="2:18">
      <c r="B19" s="144" t="s">
        <v>94</v>
      </c>
      <c r="C19" s="158"/>
      <c r="D19" s="145"/>
      <c r="E19" s="144"/>
      <c r="G19" s="144">
        <v>121596111</v>
      </c>
      <c r="H19" s="158"/>
      <c r="I19" s="163" t="s">
        <v>785</v>
      </c>
      <c r="J19" s="144">
        <v>172238425</v>
      </c>
      <c r="K19" s="144" t="s">
        <v>94</v>
      </c>
      <c r="M19" s="166"/>
      <c r="N19" s="157"/>
      <c r="O19" s="1748" t="s">
        <v>1895</v>
      </c>
      <c r="P19" s="1748" t="s">
        <v>1896</v>
      </c>
      <c r="Q19" s="1748"/>
      <c r="R19" s="1749"/>
    </row>
    <row r="20" spans="2:18">
      <c r="B20" s="158">
        <v>388885129</v>
      </c>
      <c r="C20" s="158"/>
      <c r="D20" s="145" t="s">
        <v>786</v>
      </c>
      <c r="E20" s="144"/>
      <c r="F20">
        <v>462606574</v>
      </c>
      <c r="G20" s="144">
        <f>257279942+110530+28485927-G16</f>
        <v>170899703</v>
      </c>
      <c r="H20" s="155"/>
      <c r="I20" s="167" t="s">
        <v>787</v>
      </c>
      <c r="J20" s="16">
        <f>K20-J15-J16-J17-J18-J19</f>
        <v>196297989</v>
      </c>
      <c r="K20" s="144">
        <f>218866646+315034074</f>
        <v>533900720</v>
      </c>
      <c r="M20" s="166" t="s">
        <v>94</v>
      </c>
      <c r="N20" s="1493" t="s">
        <v>1892</v>
      </c>
      <c r="O20" s="155">
        <f>F14/10^7</f>
        <v>284.19696440000001</v>
      </c>
      <c r="P20" s="155">
        <v>284.2</v>
      </c>
      <c r="Q20" s="155">
        <f>O20-P20</f>
        <v>-3.0355999999756023E-3</v>
      </c>
      <c r="R20" s="1494"/>
    </row>
    <row r="21" spans="2:18">
      <c r="B21" s="144">
        <v>39077799</v>
      </c>
      <c r="C21" s="158"/>
      <c r="D21" s="145" t="s">
        <v>788</v>
      </c>
      <c r="E21" s="144"/>
      <c r="F21">
        <v>42728478</v>
      </c>
      <c r="G21" s="144" t="s">
        <v>94</v>
      </c>
      <c r="H21" s="158"/>
      <c r="J21" s="144"/>
      <c r="K21" s="160"/>
      <c r="N21" s="1493" t="s">
        <v>1893</v>
      </c>
      <c r="O21" s="155">
        <f>F20/10^7</f>
        <v>46.260657399999999</v>
      </c>
      <c r="P21" s="155">
        <v>42.7</v>
      </c>
      <c r="Q21" s="155">
        <f>O21-P21</f>
        <v>3.5606573999999966</v>
      </c>
      <c r="R21" s="1494"/>
    </row>
    <row r="22" spans="2:18">
      <c r="B22" s="144" t="s">
        <v>94</v>
      </c>
      <c r="C22" s="158"/>
      <c r="D22" s="145"/>
      <c r="E22" s="144"/>
      <c r="G22" s="144"/>
      <c r="H22" s="158"/>
      <c r="J22" s="144"/>
      <c r="K22" s="160"/>
      <c r="N22" s="1493" t="s">
        <v>1894</v>
      </c>
      <c r="O22" s="155">
        <f>SUM(F15:F18,F21,F24,F27)/10^7</f>
        <v>88.994663200000005</v>
      </c>
      <c r="P22" s="155">
        <v>95.32</v>
      </c>
      <c r="Q22" s="155">
        <f>O22-P22</f>
        <v>-6.3253367999999881</v>
      </c>
      <c r="R22" s="1494"/>
    </row>
    <row r="23" spans="2:18">
      <c r="B23" s="144">
        <f>675064747+142867012</f>
        <v>817931759</v>
      </c>
      <c r="C23" s="158"/>
      <c r="D23" s="145" t="s">
        <v>789</v>
      </c>
      <c r="E23" s="144"/>
      <c r="F23">
        <f>921738932+231807041</f>
        <v>1153545973</v>
      </c>
      <c r="G23" s="144"/>
      <c r="H23" s="158"/>
      <c r="J23" s="144"/>
      <c r="K23" s="144"/>
      <c r="N23" s="1493"/>
      <c r="O23" s="155">
        <f>SUM(O20:O22)</f>
        <v>419.45228500000002</v>
      </c>
      <c r="P23" s="155">
        <f>SUM(P20:P22)</f>
        <v>422.21999999999997</v>
      </c>
      <c r="Q23" s="155"/>
      <c r="R23" s="1494"/>
    </row>
    <row r="24" spans="2:18">
      <c r="B24" s="144">
        <v>45642256</v>
      </c>
      <c r="C24" s="158"/>
      <c r="D24" s="145" t="s">
        <v>790</v>
      </c>
      <c r="E24" s="144"/>
      <c r="F24">
        <v>45528906</v>
      </c>
      <c r="G24" s="144"/>
      <c r="H24" s="158"/>
      <c r="I24" s="145"/>
      <c r="J24" s="144"/>
      <c r="K24" s="144"/>
      <c r="N24" s="1493"/>
      <c r="O24" s="155"/>
      <c r="P24" s="155"/>
      <c r="Q24" s="155"/>
      <c r="R24" s="1494"/>
    </row>
    <row r="25" spans="2:18">
      <c r="B25" s="144" t="s">
        <v>94</v>
      </c>
      <c r="C25" s="158"/>
      <c r="D25" s="145"/>
      <c r="E25" s="144"/>
      <c r="G25" s="144">
        <v>67750849</v>
      </c>
      <c r="H25" s="158"/>
      <c r="I25" s="145" t="s">
        <v>791</v>
      </c>
      <c r="J25" s="144"/>
      <c r="K25" s="144">
        <v>70998230</v>
      </c>
      <c r="N25" s="1493">
        <f>SUM(F14:F24,F27)/10^7</f>
        <v>534.80688229999998</v>
      </c>
      <c r="O25" s="155"/>
      <c r="P25" s="155"/>
      <c r="Q25" s="155"/>
      <c r="R25" s="1494"/>
    </row>
    <row r="26" spans="2:18">
      <c r="B26" s="144">
        <v>604610882</v>
      </c>
      <c r="C26" s="158"/>
      <c r="D26" s="145" t="s">
        <v>792</v>
      </c>
      <c r="E26" s="144"/>
      <c r="F26">
        <v>911604477</v>
      </c>
      <c r="G26" s="144" t="s">
        <v>94</v>
      </c>
      <c r="H26" s="158"/>
      <c r="I26" s="145" t="s">
        <v>793</v>
      </c>
      <c r="J26" s="144"/>
      <c r="K26" s="144" t="s">
        <v>94</v>
      </c>
      <c r="N26" s="1750">
        <f>'F3'!H15</f>
        <v>332.92</v>
      </c>
      <c r="O26" s="1751"/>
      <c r="P26" s="1751"/>
      <c r="Q26" s="1751"/>
      <c r="R26" s="1495"/>
    </row>
    <row r="27" spans="2:18">
      <c r="B27" s="158">
        <v>10405655</v>
      </c>
      <c r="C27" s="158"/>
      <c r="D27" s="145" t="s">
        <v>794</v>
      </c>
      <c r="E27" s="144"/>
      <c r="F27">
        <v>18510939</v>
      </c>
      <c r="G27" s="158" t="s">
        <v>94</v>
      </c>
      <c r="H27" s="158"/>
      <c r="I27" s="168" t="s">
        <v>94</v>
      </c>
      <c r="J27" s="158"/>
      <c r="K27" s="144" t="s">
        <v>94</v>
      </c>
      <c r="L27" s="155"/>
    </row>
    <row r="28" spans="2:18">
      <c r="B28" s="144" t="s">
        <v>94</v>
      </c>
      <c r="C28" s="158"/>
      <c r="D28" s="145"/>
      <c r="E28" s="144"/>
      <c r="G28" s="144" t="s">
        <v>94</v>
      </c>
      <c r="H28" s="158"/>
      <c r="I28" s="145" t="s">
        <v>94</v>
      </c>
      <c r="J28" s="144" t="s">
        <v>94</v>
      </c>
      <c r="K28" s="144"/>
    </row>
    <row r="29" spans="2:18">
      <c r="B29" s="144">
        <v>335569974</v>
      </c>
      <c r="C29" s="158"/>
      <c r="D29" s="145" t="s">
        <v>795</v>
      </c>
      <c r="E29" s="144"/>
      <c r="F29">
        <v>325817671</v>
      </c>
      <c r="G29" s="1">
        <f>SUM(G8:G25)</f>
        <v>26293367200</v>
      </c>
      <c r="H29" s="169"/>
      <c r="I29" s="170" t="s">
        <v>499</v>
      </c>
      <c r="J29" s="1"/>
      <c r="K29" s="171">
        <f>+K25+K20+K12+K10+K8</f>
        <v>37168797378</v>
      </c>
    </row>
    <row r="30" spans="2:18">
      <c r="B30" s="144">
        <v>0</v>
      </c>
      <c r="C30" s="158"/>
      <c r="D30" s="145" t="s">
        <v>796</v>
      </c>
      <c r="E30" s="144"/>
      <c r="F30">
        <v>0</v>
      </c>
      <c r="G30" s="144"/>
      <c r="H30" s="158"/>
      <c r="I30" s="168" t="s">
        <v>94</v>
      </c>
      <c r="J30" s="144" t="s">
        <v>94</v>
      </c>
      <c r="K30" s="160" t="s">
        <v>94</v>
      </c>
    </row>
    <row r="31" spans="2:18">
      <c r="B31" s="144"/>
      <c r="C31" s="158"/>
      <c r="D31" s="145"/>
      <c r="E31" s="144"/>
      <c r="G31" s="144"/>
      <c r="H31" s="158"/>
      <c r="I31" s="145" t="s">
        <v>94</v>
      </c>
      <c r="J31" s="144" t="s">
        <v>94</v>
      </c>
      <c r="K31" s="144"/>
    </row>
    <row r="32" spans="2:18">
      <c r="B32" s="144" t="s">
        <v>94</v>
      </c>
      <c r="C32" s="158"/>
      <c r="D32" s="145" t="s">
        <v>797</v>
      </c>
      <c r="E32" s="144"/>
      <c r="G32" s="144">
        <v>4560281506</v>
      </c>
      <c r="H32" s="158"/>
      <c r="I32" s="145" t="s">
        <v>798</v>
      </c>
      <c r="J32" s="144" t="s">
        <v>94</v>
      </c>
      <c r="K32" s="144">
        <v>0</v>
      </c>
    </row>
    <row r="33" spans="2:12">
      <c r="B33" s="144">
        <v>43353860</v>
      </c>
      <c r="C33" s="158"/>
      <c r="D33" s="145" t="s">
        <v>799</v>
      </c>
      <c r="E33" s="144"/>
      <c r="F33">
        <v>46175597</v>
      </c>
      <c r="G33" s="144"/>
      <c r="H33" s="158"/>
      <c r="I33" s="145" t="s">
        <v>94</v>
      </c>
      <c r="J33" s="144"/>
      <c r="K33" s="144"/>
    </row>
    <row r="34" spans="2:12">
      <c r="B34" s="144"/>
      <c r="C34" s="158"/>
      <c r="E34" s="144"/>
      <c r="G34" s="144"/>
      <c r="H34" s="158"/>
      <c r="I34" s="145" t="s">
        <v>94</v>
      </c>
      <c r="J34" s="144"/>
      <c r="K34" s="144"/>
    </row>
    <row r="35" spans="2:12">
      <c r="B35" s="144">
        <v>1273000000</v>
      </c>
      <c r="C35" s="158"/>
      <c r="D35" s="145" t="s">
        <v>800</v>
      </c>
      <c r="E35" s="144"/>
      <c r="F35">
        <v>0</v>
      </c>
      <c r="G35" s="144"/>
      <c r="H35" s="158"/>
      <c r="I35" s="145" t="s">
        <v>94</v>
      </c>
      <c r="J35" s="144"/>
      <c r="K35" s="144"/>
    </row>
    <row r="36" spans="2:12">
      <c r="B36" s="1">
        <f>SUM(B8:B35)</f>
        <v>30853648706</v>
      </c>
      <c r="C36" s="158"/>
      <c r="D36" s="172" t="s">
        <v>499</v>
      </c>
      <c r="E36" s="173" t="s">
        <v>801</v>
      </c>
      <c r="F36" s="1">
        <f>SUM(F8:F35)</f>
        <v>35914612572</v>
      </c>
      <c r="G36" s="144"/>
      <c r="H36" s="158"/>
      <c r="I36" s="145"/>
      <c r="J36" s="144"/>
      <c r="K36" s="144"/>
    </row>
    <row r="37" spans="2:12">
      <c r="B37" s="174">
        <v>0</v>
      </c>
      <c r="C37" s="158"/>
      <c r="D37" s="145" t="s">
        <v>802</v>
      </c>
      <c r="E37" s="144"/>
      <c r="F37">
        <f>K29-F36</f>
        <v>1254184806</v>
      </c>
      <c r="G37" s="144"/>
      <c r="H37" s="158"/>
      <c r="I37" s="145" t="s">
        <v>94</v>
      </c>
      <c r="J37" s="144"/>
      <c r="K37" s="144"/>
    </row>
    <row r="38" spans="2:12">
      <c r="B38" s="174" t="s">
        <v>94</v>
      </c>
      <c r="C38" s="175"/>
      <c r="D38" s="145"/>
      <c r="E38" s="144"/>
      <c r="F38" s="16"/>
      <c r="G38" s="144"/>
      <c r="H38" s="175"/>
      <c r="I38" s="145"/>
      <c r="J38" s="144"/>
      <c r="K38" s="144"/>
    </row>
    <row r="39" spans="2:12">
      <c r="B39" s="2">
        <f>+B36+B37</f>
        <v>30853648706</v>
      </c>
      <c r="C39" s="176"/>
      <c r="D39" s="170" t="s">
        <v>499</v>
      </c>
      <c r="E39" s="177"/>
      <c r="F39" s="2">
        <f>F36+F37</f>
        <v>37168797378</v>
      </c>
      <c r="G39" s="2">
        <f>+G29+G32</f>
        <v>30853648706</v>
      </c>
      <c r="H39" s="176"/>
      <c r="I39" s="170" t="s">
        <v>499</v>
      </c>
      <c r="J39" s="2"/>
      <c r="K39" s="2">
        <f>+F39</f>
        <v>37168797378</v>
      </c>
    </row>
    <row r="40" spans="2:12">
      <c r="B40" s="178" t="s">
        <v>803</v>
      </c>
      <c r="C40" s="178"/>
      <c r="D40" s="155"/>
      <c r="E40" s="155"/>
      <c r="F40" s="155"/>
      <c r="G40" s="155"/>
      <c r="H40" s="155"/>
      <c r="I40" s="155"/>
      <c r="J40" s="155"/>
      <c r="K40" s="155"/>
      <c r="L40" s="155"/>
    </row>
    <row r="41" spans="2:12">
      <c r="K41" t="s">
        <v>94</v>
      </c>
    </row>
    <row r="42" spans="2:12">
      <c r="F42" t="s">
        <v>94</v>
      </c>
    </row>
    <row r="58" spans="9:9">
      <c r="I58" s="155"/>
    </row>
  </sheetData>
  <mergeCells count="2">
    <mergeCell ref="D3:K3"/>
    <mergeCell ref="D4:K4"/>
  </mergeCells>
  <printOptions horizontalCentered="1" verticalCentered="1"/>
  <pageMargins left="0.25" right="0.25" top="0.5" bottom="0.5" header="0.3" footer="0.3"/>
  <pageSetup paperSize="5" scale="82" orientation="landscape" horizontalDpi="120" verticalDpi="72" r:id="rId1"/>
</worksheet>
</file>

<file path=xl/worksheets/sheet76.xml><?xml version="1.0" encoding="utf-8"?>
<worksheet xmlns="http://schemas.openxmlformats.org/spreadsheetml/2006/main" xmlns:r="http://schemas.openxmlformats.org/officeDocument/2006/relationships">
  <sheetPr codeName="Sheet55">
    <tabColor theme="9" tint="-0.249977111117893"/>
    <pageSetUpPr fitToPage="1"/>
  </sheetPr>
  <dimension ref="A1:N59"/>
  <sheetViews>
    <sheetView showGridLines="0" view="pageBreakPreview" topLeftCell="A5" zoomScale="60" workbookViewId="0">
      <selection activeCell="O23" sqref="O23"/>
    </sheetView>
  </sheetViews>
  <sheetFormatPr defaultRowHeight="15"/>
  <cols>
    <col min="1" max="1" width="4.28515625" style="1013" customWidth="1"/>
    <col min="2" max="2" width="12.42578125" style="1013" customWidth="1"/>
    <col min="3" max="3" width="2.42578125" style="1013" customWidth="1"/>
    <col min="4" max="4" width="36.28515625" style="1013" customWidth="1"/>
    <col min="5" max="5" width="14.7109375" style="1013" customWidth="1"/>
    <col min="6" max="7" width="13" style="1013" customWidth="1"/>
    <col min="8" max="8" width="2.42578125" style="1013" customWidth="1"/>
    <col min="9" max="9" width="37.140625" style="1013" customWidth="1"/>
    <col min="10" max="10" width="12.5703125" style="1013" customWidth="1"/>
    <col min="11" max="11" width="14.42578125" style="1013" customWidth="1"/>
    <col min="12" max="12" width="1.7109375" style="1013" customWidth="1"/>
    <col min="13" max="13" width="12.42578125" style="1013" customWidth="1"/>
    <col min="14" max="14" width="10" style="1013" bestFit="1" customWidth="1"/>
    <col min="15" max="256" width="9.140625" style="1013"/>
    <col min="257" max="257" width="4.28515625" style="1013" customWidth="1"/>
    <col min="258" max="258" width="12.42578125" style="1013" customWidth="1"/>
    <col min="259" max="259" width="2.42578125" style="1013" customWidth="1"/>
    <col min="260" max="260" width="36.28515625" style="1013" customWidth="1"/>
    <col min="261" max="261" width="14.7109375" style="1013" customWidth="1"/>
    <col min="262" max="263" width="13" style="1013" customWidth="1"/>
    <col min="264" max="264" width="2.42578125" style="1013" customWidth="1"/>
    <col min="265" max="265" width="37.140625" style="1013" customWidth="1"/>
    <col min="266" max="266" width="12.5703125" style="1013" customWidth="1"/>
    <col min="267" max="267" width="14.42578125" style="1013" customWidth="1"/>
    <col min="268" max="268" width="1.7109375" style="1013" customWidth="1"/>
    <col min="269" max="269" width="4.140625" style="1013" customWidth="1"/>
    <col min="270" max="270" width="10" style="1013" bestFit="1" customWidth="1"/>
    <col min="271" max="512" width="9.140625" style="1013"/>
    <col min="513" max="513" width="4.28515625" style="1013" customWidth="1"/>
    <col min="514" max="514" width="12.42578125" style="1013" customWidth="1"/>
    <col min="515" max="515" width="2.42578125" style="1013" customWidth="1"/>
    <col min="516" max="516" width="36.28515625" style="1013" customWidth="1"/>
    <col min="517" max="517" width="14.7109375" style="1013" customWidth="1"/>
    <col min="518" max="519" width="13" style="1013" customWidth="1"/>
    <col min="520" max="520" width="2.42578125" style="1013" customWidth="1"/>
    <col min="521" max="521" width="37.140625" style="1013" customWidth="1"/>
    <col min="522" max="522" width="12.5703125" style="1013" customWidth="1"/>
    <col min="523" max="523" width="14.42578125" style="1013" customWidth="1"/>
    <col min="524" max="524" width="1.7109375" style="1013" customWidth="1"/>
    <col min="525" max="525" width="4.140625" style="1013" customWidth="1"/>
    <col min="526" max="526" width="10" style="1013" bestFit="1" customWidth="1"/>
    <col min="527" max="768" width="9.140625" style="1013"/>
    <col min="769" max="769" width="4.28515625" style="1013" customWidth="1"/>
    <col min="770" max="770" width="12.42578125" style="1013" customWidth="1"/>
    <col min="771" max="771" width="2.42578125" style="1013" customWidth="1"/>
    <col min="772" max="772" width="36.28515625" style="1013" customWidth="1"/>
    <col min="773" max="773" width="14.7109375" style="1013" customWidth="1"/>
    <col min="774" max="775" width="13" style="1013" customWidth="1"/>
    <col min="776" max="776" width="2.42578125" style="1013" customWidth="1"/>
    <col min="777" max="777" width="37.140625" style="1013" customWidth="1"/>
    <col min="778" max="778" width="12.5703125" style="1013" customWidth="1"/>
    <col min="779" max="779" width="14.42578125" style="1013" customWidth="1"/>
    <col min="780" max="780" width="1.7109375" style="1013" customWidth="1"/>
    <col min="781" max="781" width="4.140625" style="1013" customWidth="1"/>
    <col min="782" max="782" width="10" style="1013" bestFit="1" customWidth="1"/>
    <col min="783" max="1024" width="9.140625" style="1013"/>
    <col min="1025" max="1025" width="4.28515625" style="1013" customWidth="1"/>
    <col min="1026" max="1026" width="12.42578125" style="1013" customWidth="1"/>
    <col min="1027" max="1027" width="2.42578125" style="1013" customWidth="1"/>
    <col min="1028" max="1028" width="36.28515625" style="1013" customWidth="1"/>
    <col min="1029" max="1029" width="14.7109375" style="1013" customWidth="1"/>
    <col min="1030" max="1031" width="13" style="1013" customWidth="1"/>
    <col min="1032" max="1032" width="2.42578125" style="1013" customWidth="1"/>
    <col min="1033" max="1033" width="37.140625" style="1013" customWidth="1"/>
    <col min="1034" max="1034" width="12.5703125" style="1013" customWidth="1"/>
    <col min="1035" max="1035" width="14.42578125" style="1013" customWidth="1"/>
    <col min="1036" max="1036" width="1.7109375" style="1013" customWidth="1"/>
    <col min="1037" max="1037" width="4.140625" style="1013" customWidth="1"/>
    <col min="1038" max="1038" width="10" style="1013" bestFit="1" customWidth="1"/>
    <col min="1039" max="1280" width="9.140625" style="1013"/>
    <col min="1281" max="1281" width="4.28515625" style="1013" customWidth="1"/>
    <col min="1282" max="1282" width="12.42578125" style="1013" customWidth="1"/>
    <col min="1283" max="1283" width="2.42578125" style="1013" customWidth="1"/>
    <col min="1284" max="1284" width="36.28515625" style="1013" customWidth="1"/>
    <col min="1285" max="1285" width="14.7109375" style="1013" customWidth="1"/>
    <col min="1286" max="1287" width="13" style="1013" customWidth="1"/>
    <col min="1288" max="1288" width="2.42578125" style="1013" customWidth="1"/>
    <col min="1289" max="1289" width="37.140625" style="1013" customWidth="1"/>
    <col min="1290" max="1290" width="12.5703125" style="1013" customWidth="1"/>
    <col min="1291" max="1291" width="14.42578125" style="1013" customWidth="1"/>
    <col min="1292" max="1292" width="1.7109375" style="1013" customWidth="1"/>
    <col min="1293" max="1293" width="4.140625" style="1013" customWidth="1"/>
    <col min="1294" max="1294" width="10" style="1013" bestFit="1" customWidth="1"/>
    <col min="1295" max="1536" width="9.140625" style="1013"/>
    <col min="1537" max="1537" width="4.28515625" style="1013" customWidth="1"/>
    <col min="1538" max="1538" width="12.42578125" style="1013" customWidth="1"/>
    <col min="1539" max="1539" width="2.42578125" style="1013" customWidth="1"/>
    <col min="1540" max="1540" width="36.28515625" style="1013" customWidth="1"/>
    <col min="1541" max="1541" width="14.7109375" style="1013" customWidth="1"/>
    <col min="1542" max="1543" width="13" style="1013" customWidth="1"/>
    <col min="1544" max="1544" width="2.42578125" style="1013" customWidth="1"/>
    <col min="1545" max="1545" width="37.140625" style="1013" customWidth="1"/>
    <col min="1546" max="1546" width="12.5703125" style="1013" customWidth="1"/>
    <col min="1547" max="1547" width="14.42578125" style="1013" customWidth="1"/>
    <col min="1548" max="1548" width="1.7109375" style="1013" customWidth="1"/>
    <col min="1549" max="1549" width="4.140625" style="1013" customWidth="1"/>
    <col min="1550" max="1550" width="10" style="1013" bestFit="1" customWidth="1"/>
    <col min="1551" max="1792" width="9.140625" style="1013"/>
    <col min="1793" max="1793" width="4.28515625" style="1013" customWidth="1"/>
    <col min="1794" max="1794" width="12.42578125" style="1013" customWidth="1"/>
    <col min="1795" max="1795" width="2.42578125" style="1013" customWidth="1"/>
    <col min="1796" max="1796" width="36.28515625" style="1013" customWidth="1"/>
    <col min="1797" max="1797" width="14.7109375" style="1013" customWidth="1"/>
    <col min="1798" max="1799" width="13" style="1013" customWidth="1"/>
    <col min="1800" max="1800" width="2.42578125" style="1013" customWidth="1"/>
    <col min="1801" max="1801" width="37.140625" style="1013" customWidth="1"/>
    <col min="1802" max="1802" width="12.5703125" style="1013" customWidth="1"/>
    <col min="1803" max="1803" width="14.42578125" style="1013" customWidth="1"/>
    <col min="1804" max="1804" width="1.7109375" style="1013" customWidth="1"/>
    <col min="1805" max="1805" width="4.140625" style="1013" customWidth="1"/>
    <col min="1806" max="1806" width="10" style="1013" bestFit="1" customWidth="1"/>
    <col min="1807" max="2048" width="9.140625" style="1013"/>
    <col min="2049" max="2049" width="4.28515625" style="1013" customWidth="1"/>
    <col min="2050" max="2050" width="12.42578125" style="1013" customWidth="1"/>
    <col min="2051" max="2051" width="2.42578125" style="1013" customWidth="1"/>
    <col min="2052" max="2052" width="36.28515625" style="1013" customWidth="1"/>
    <col min="2053" max="2053" width="14.7109375" style="1013" customWidth="1"/>
    <col min="2054" max="2055" width="13" style="1013" customWidth="1"/>
    <col min="2056" max="2056" width="2.42578125" style="1013" customWidth="1"/>
    <col min="2057" max="2057" width="37.140625" style="1013" customWidth="1"/>
    <col min="2058" max="2058" width="12.5703125" style="1013" customWidth="1"/>
    <col min="2059" max="2059" width="14.42578125" style="1013" customWidth="1"/>
    <col min="2060" max="2060" width="1.7109375" style="1013" customWidth="1"/>
    <col min="2061" max="2061" width="4.140625" style="1013" customWidth="1"/>
    <col min="2062" max="2062" width="10" style="1013" bestFit="1" customWidth="1"/>
    <col min="2063" max="2304" width="9.140625" style="1013"/>
    <col min="2305" max="2305" width="4.28515625" style="1013" customWidth="1"/>
    <col min="2306" max="2306" width="12.42578125" style="1013" customWidth="1"/>
    <col min="2307" max="2307" width="2.42578125" style="1013" customWidth="1"/>
    <col min="2308" max="2308" width="36.28515625" style="1013" customWidth="1"/>
    <col min="2309" max="2309" width="14.7109375" style="1013" customWidth="1"/>
    <col min="2310" max="2311" width="13" style="1013" customWidth="1"/>
    <col min="2312" max="2312" width="2.42578125" style="1013" customWidth="1"/>
    <col min="2313" max="2313" width="37.140625" style="1013" customWidth="1"/>
    <col min="2314" max="2314" width="12.5703125" style="1013" customWidth="1"/>
    <col min="2315" max="2315" width="14.42578125" style="1013" customWidth="1"/>
    <col min="2316" max="2316" width="1.7109375" style="1013" customWidth="1"/>
    <col min="2317" max="2317" width="4.140625" style="1013" customWidth="1"/>
    <col min="2318" max="2318" width="10" style="1013" bestFit="1" customWidth="1"/>
    <col min="2319" max="2560" width="9.140625" style="1013"/>
    <col min="2561" max="2561" width="4.28515625" style="1013" customWidth="1"/>
    <col min="2562" max="2562" width="12.42578125" style="1013" customWidth="1"/>
    <col min="2563" max="2563" width="2.42578125" style="1013" customWidth="1"/>
    <col min="2564" max="2564" width="36.28515625" style="1013" customWidth="1"/>
    <col min="2565" max="2565" width="14.7109375" style="1013" customWidth="1"/>
    <col min="2566" max="2567" width="13" style="1013" customWidth="1"/>
    <col min="2568" max="2568" width="2.42578125" style="1013" customWidth="1"/>
    <col min="2569" max="2569" width="37.140625" style="1013" customWidth="1"/>
    <col min="2570" max="2570" width="12.5703125" style="1013" customWidth="1"/>
    <col min="2571" max="2571" width="14.42578125" style="1013" customWidth="1"/>
    <col min="2572" max="2572" width="1.7109375" style="1013" customWidth="1"/>
    <col min="2573" max="2573" width="4.140625" style="1013" customWidth="1"/>
    <col min="2574" max="2574" width="10" style="1013" bestFit="1" customWidth="1"/>
    <col min="2575" max="2816" width="9.140625" style="1013"/>
    <col min="2817" max="2817" width="4.28515625" style="1013" customWidth="1"/>
    <col min="2818" max="2818" width="12.42578125" style="1013" customWidth="1"/>
    <col min="2819" max="2819" width="2.42578125" style="1013" customWidth="1"/>
    <col min="2820" max="2820" width="36.28515625" style="1013" customWidth="1"/>
    <col min="2821" max="2821" width="14.7109375" style="1013" customWidth="1"/>
    <col min="2822" max="2823" width="13" style="1013" customWidth="1"/>
    <col min="2824" max="2824" width="2.42578125" style="1013" customWidth="1"/>
    <col min="2825" max="2825" width="37.140625" style="1013" customWidth="1"/>
    <col min="2826" max="2826" width="12.5703125" style="1013" customWidth="1"/>
    <col min="2827" max="2827" width="14.42578125" style="1013" customWidth="1"/>
    <col min="2828" max="2828" width="1.7109375" style="1013" customWidth="1"/>
    <col min="2829" max="2829" width="4.140625" style="1013" customWidth="1"/>
    <col min="2830" max="2830" width="10" style="1013" bestFit="1" customWidth="1"/>
    <col min="2831" max="3072" width="9.140625" style="1013"/>
    <col min="3073" max="3073" width="4.28515625" style="1013" customWidth="1"/>
    <col min="3074" max="3074" width="12.42578125" style="1013" customWidth="1"/>
    <col min="3075" max="3075" width="2.42578125" style="1013" customWidth="1"/>
    <col min="3076" max="3076" width="36.28515625" style="1013" customWidth="1"/>
    <col min="3077" max="3077" width="14.7109375" style="1013" customWidth="1"/>
    <col min="3078" max="3079" width="13" style="1013" customWidth="1"/>
    <col min="3080" max="3080" width="2.42578125" style="1013" customWidth="1"/>
    <col min="3081" max="3081" width="37.140625" style="1013" customWidth="1"/>
    <col min="3082" max="3082" width="12.5703125" style="1013" customWidth="1"/>
    <col min="3083" max="3083" width="14.42578125" style="1013" customWidth="1"/>
    <col min="3084" max="3084" width="1.7109375" style="1013" customWidth="1"/>
    <col min="3085" max="3085" width="4.140625" style="1013" customWidth="1"/>
    <col min="3086" max="3086" width="10" style="1013" bestFit="1" customWidth="1"/>
    <col min="3087" max="3328" width="9.140625" style="1013"/>
    <col min="3329" max="3329" width="4.28515625" style="1013" customWidth="1"/>
    <col min="3330" max="3330" width="12.42578125" style="1013" customWidth="1"/>
    <col min="3331" max="3331" width="2.42578125" style="1013" customWidth="1"/>
    <col min="3332" max="3332" width="36.28515625" style="1013" customWidth="1"/>
    <col min="3333" max="3333" width="14.7109375" style="1013" customWidth="1"/>
    <col min="3334" max="3335" width="13" style="1013" customWidth="1"/>
    <col min="3336" max="3336" width="2.42578125" style="1013" customWidth="1"/>
    <col min="3337" max="3337" width="37.140625" style="1013" customWidth="1"/>
    <col min="3338" max="3338" width="12.5703125" style="1013" customWidth="1"/>
    <col min="3339" max="3339" width="14.42578125" style="1013" customWidth="1"/>
    <col min="3340" max="3340" width="1.7109375" style="1013" customWidth="1"/>
    <col min="3341" max="3341" width="4.140625" style="1013" customWidth="1"/>
    <col min="3342" max="3342" width="10" style="1013" bestFit="1" customWidth="1"/>
    <col min="3343" max="3584" width="9.140625" style="1013"/>
    <col min="3585" max="3585" width="4.28515625" style="1013" customWidth="1"/>
    <col min="3586" max="3586" width="12.42578125" style="1013" customWidth="1"/>
    <col min="3587" max="3587" width="2.42578125" style="1013" customWidth="1"/>
    <col min="3588" max="3588" width="36.28515625" style="1013" customWidth="1"/>
    <col min="3589" max="3589" width="14.7109375" style="1013" customWidth="1"/>
    <col min="3590" max="3591" width="13" style="1013" customWidth="1"/>
    <col min="3592" max="3592" width="2.42578125" style="1013" customWidth="1"/>
    <col min="3593" max="3593" width="37.140625" style="1013" customWidth="1"/>
    <col min="3594" max="3594" width="12.5703125" style="1013" customWidth="1"/>
    <col min="3595" max="3595" width="14.42578125" style="1013" customWidth="1"/>
    <col min="3596" max="3596" width="1.7109375" style="1013" customWidth="1"/>
    <col min="3597" max="3597" width="4.140625" style="1013" customWidth="1"/>
    <col min="3598" max="3598" width="10" style="1013" bestFit="1" customWidth="1"/>
    <col min="3599" max="3840" width="9.140625" style="1013"/>
    <col min="3841" max="3841" width="4.28515625" style="1013" customWidth="1"/>
    <col min="3842" max="3842" width="12.42578125" style="1013" customWidth="1"/>
    <col min="3843" max="3843" width="2.42578125" style="1013" customWidth="1"/>
    <col min="3844" max="3844" width="36.28515625" style="1013" customWidth="1"/>
    <col min="3845" max="3845" width="14.7109375" style="1013" customWidth="1"/>
    <col min="3846" max="3847" width="13" style="1013" customWidth="1"/>
    <col min="3848" max="3848" width="2.42578125" style="1013" customWidth="1"/>
    <col min="3849" max="3849" width="37.140625" style="1013" customWidth="1"/>
    <col min="3850" max="3850" width="12.5703125" style="1013" customWidth="1"/>
    <col min="3851" max="3851" width="14.42578125" style="1013" customWidth="1"/>
    <col min="3852" max="3852" width="1.7109375" style="1013" customWidth="1"/>
    <col min="3853" max="3853" width="4.140625" style="1013" customWidth="1"/>
    <col min="3854" max="3854" width="10" style="1013" bestFit="1" customWidth="1"/>
    <col min="3855" max="4096" width="9.140625" style="1013"/>
    <col min="4097" max="4097" width="4.28515625" style="1013" customWidth="1"/>
    <col min="4098" max="4098" width="12.42578125" style="1013" customWidth="1"/>
    <col min="4099" max="4099" width="2.42578125" style="1013" customWidth="1"/>
    <col min="4100" max="4100" width="36.28515625" style="1013" customWidth="1"/>
    <col min="4101" max="4101" width="14.7109375" style="1013" customWidth="1"/>
    <col min="4102" max="4103" width="13" style="1013" customWidth="1"/>
    <col min="4104" max="4104" width="2.42578125" style="1013" customWidth="1"/>
    <col min="4105" max="4105" width="37.140625" style="1013" customWidth="1"/>
    <col min="4106" max="4106" width="12.5703125" style="1013" customWidth="1"/>
    <col min="4107" max="4107" width="14.42578125" style="1013" customWidth="1"/>
    <col min="4108" max="4108" width="1.7109375" style="1013" customWidth="1"/>
    <col min="4109" max="4109" width="4.140625" style="1013" customWidth="1"/>
    <col min="4110" max="4110" width="10" style="1013" bestFit="1" customWidth="1"/>
    <col min="4111" max="4352" width="9.140625" style="1013"/>
    <col min="4353" max="4353" width="4.28515625" style="1013" customWidth="1"/>
    <col min="4354" max="4354" width="12.42578125" style="1013" customWidth="1"/>
    <col min="4355" max="4355" width="2.42578125" style="1013" customWidth="1"/>
    <col min="4356" max="4356" width="36.28515625" style="1013" customWidth="1"/>
    <col min="4357" max="4357" width="14.7109375" style="1013" customWidth="1"/>
    <col min="4358" max="4359" width="13" style="1013" customWidth="1"/>
    <col min="4360" max="4360" width="2.42578125" style="1013" customWidth="1"/>
    <col min="4361" max="4361" width="37.140625" style="1013" customWidth="1"/>
    <col min="4362" max="4362" width="12.5703125" style="1013" customWidth="1"/>
    <col min="4363" max="4363" width="14.42578125" style="1013" customWidth="1"/>
    <col min="4364" max="4364" width="1.7109375" style="1013" customWidth="1"/>
    <col min="4365" max="4365" width="4.140625" style="1013" customWidth="1"/>
    <col min="4366" max="4366" width="10" style="1013" bestFit="1" customWidth="1"/>
    <col min="4367" max="4608" width="9.140625" style="1013"/>
    <col min="4609" max="4609" width="4.28515625" style="1013" customWidth="1"/>
    <col min="4610" max="4610" width="12.42578125" style="1013" customWidth="1"/>
    <col min="4611" max="4611" width="2.42578125" style="1013" customWidth="1"/>
    <col min="4612" max="4612" width="36.28515625" style="1013" customWidth="1"/>
    <col min="4613" max="4613" width="14.7109375" style="1013" customWidth="1"/>
    <col min="4614" max="4615" width="13" style="1013" customWidth="1"/>
    <col min="4616" max="4616" width="2.42578125" style="1013" customWidth="1"/>
    <col min="4617" max="4617" width="37.140625" style="1013" customWidth="1"/>
    <col min="4618" max="4618" width="12.5703125" style="1013" customWidth="1"/>
    <col min="4619" max="4619" width="14.42578125" style="1013" customWidth="1"/>
    <col min="4620" max="4620" width="1.7109375" style="1013" customWidth="1"/>
    <col min="4621" max="4621" width="4.140625" style="1013" customWidth="1"/>
    <col min="4622" max="4622" width="10" style="1013" bestFit="1" customWidth="1"/>
    <col min="4623" max="4864" width="9.140625" style="1013"/>
    <col min="4865" max="4865" width="4.28515625" style="1013" customWidth="1"/>
    <col min="4866" max="4866" width="12.42578125" style="1013" customWidth="1"/>
    <col min="4867" max="4867" width="2.42578125" style="1013" customWidth="1"/>
    <col min="4868" max="4868" width="36.28515625" style="1013" customWidth="1"/>
    <col min="4869" max="4869" width="14.7109375" style="1013" customWidth="1"/>
    <col min="4870" max="4871" width="13" style="1013" customWidth="1"/>
    <col min="4872" max="4872" width="2.42578125" style="1013" customWidth="1"/>
    <col min="4873" max="4873" width="37.140625" style="1013" customWidth="1"/>
    <col min="4874" max="4874" width="12.5703125" style="1013" customWidth="1"/>
    <col min="4875" max="4875" width="14.42578125" style="1013" customWidth="1"/>
    <col min="4876" max="4876" width="1.7109375" style="1013" customWidth="1"/>
    <col min="4877" max="4877" width="4.140625" style="1013" customWidth="1"/>
    <col min="4878" max="4878" width="10" style="1013" bestFit="1" customWidth="1"/>
    <col min="4879" max="5120" width="9.140625" style="1013"/>
    <col min="5121" max="5121" width="4.28515625" style="1013" customWidth="1"/>
    <col min="5122" max="5122" width="12.42578125" style="1013" customWidth="1"/>
    <col min="5123" max="5123" width="2.42578125" style="1013" customWidth="1"/>
    <col min="5124" max="5124" width="36.28515625" style="1013" customWidth="1"/>
    <col min="5125" max="5125" width="14.7109375" style="1013" customWidth="1"/>
    <col min="5126" max="5127" width="13" style="1013" customWidth="1"/>
    <col min="5128" max="5128" width="2.42578125" style="1013" customWidth="1"/>
    <col min="5129" max="5129" width="37.140625" style="1013" customWidth="1"/>
    <col min="5130" max="5130" width="12.5703125" style="1013" customWidth="1"/>
    <col min="5131" max="5131" width="14.42578125" style="1013" customWidth="1"/>
    <col min="5132" max="5132" width="1.7109375" style="1013" customWidth="1"/>
    <col min="5133" max="5133" width="4.140625" style="1013" customWidth="1"/>
    <col min="5134" max="5134" width="10" style="1013" bestFit="1" customWidth="1"/>
    <col min="5135" max="5376" width="9.140625" style="1013"/>
    <col min="5377" max="5377" width="4.28515625" style="1013" customWidth="1"/>
    <col min="5378" max="5378" width="12.42578125" style="1013" customWidth="1"/>
    <col min="5379" max="5379" width="2.42578125" style="1013" customWidth="1"/>
    <col min="5380" max="5380" width="36.28515625" style="1013" customWidth="1"/>
    <col min="5381" max="5381" width="14.7109375" style="1013" customWidth="1"/>
    <col min="5382" max="5383" width="13" style="1013" customWidth="1"/>
    <col min="5384" max="5384" width="2.42578125" style="1013" customWidth="1"/>
    <col min="5385" max="5385" width="37.140625" style="1013" customWidth="1"/>
    <col min="5386" max="5386" width="12.5703125" style="1013" customWidth="1"/>
    <col min="5387" max="5387" width="14.42578125" style="1013" customWidth="1"/>
    <col min="5388" max="5388" width="1.7109375" style="1013" customWidth="1"/>
    <col min="5389" max="5389" width="4.140625" style="1013" customWidth="1"/>
    <col min="5390" max="5390" width="10" style="1013" bestFit="1" customWidth="1"/>
    <col min="5391" max="5632" width="9.140625" style="1013"/>
    <col min="5633" max="5633" width="4.28515625" style="1013" customWidth="1"/>
    <col min="5634" max="5634" width="12.42578125" style="1013" customWidth="1"/>
    <col min="5635" max="5635" width="2.42578125" style="1013" customWidth="1"/>
    <col min="5636" max="5636" width="36.28515625" style="1013" customWidth="1"/>
    <col min="5637" max="5637" width="14.7109375" style="1013" customWidth="1"/>
    <col min="5638" max="5639" width="13" style="1013" customWidth="1"/>
    <col min="5640" max="5640" width="2.42578125" style="1013" customWidth="1"/>
    <col min="5641" max="5641" width="37.140625" style="1013" customWidth="1"/>
    <col min="5642" max="5642" width="12.5703125" style="1013" customWidth="1"/>
    <col min="5643" max="5643" width="14.42578125" style="1013" customWidth="1"/>
    <col min="5644" max="5644" width="1.7109375" style="1013" customWidth="1"/>
    <col min="5645" max="5645" width="4.140625" style="1013" customWidth="1"/>
    <col min="5646" max="5646" width="10" style="1013" bestFit="1" customWidth="1"/>
    <col min="5647" max="5888" width="9.140625" style="1013"/>
    <col min="5889" max="5889" width="4.28515625" style="1013" customWidth="1"/>
    <col min="5890" max="5890" width="12.42578125" style="1013" customWidth="1"/>
    <col min="5891" max="5891" width="2.42578125" style="1013" customWidth="1"/>
    <col min="5892" max="5892" width="36.28515625" style="1013" customWidth="1"/>
    <col min="5893" max="5893" width="14.7109375" style="1013" customWidth="1"/>
    <col min="5894" max="5895" width="13" style="1013" customWidth="1"/>
    <col min="5896" max="5896" width="2.42578125" style="1013" customWidth="1"/>
    <col min="5897" max="5897" width="37.140625" style="1013" customWidth="1"/>
    <col min="5898" max="5898" width="12.5703125" style="1013" customWidth="1"/>
    <col min="5899" max="5899" width="14.42578125" style="1013" customWidth="1"/>
    <col min="5900" max="5900" width="1.7109375" style="1013" customWidth="1"/>
    <col min="5901" max="5901" width="4.140625" style="1013" customWidth="1"/>
    <col min="5902" max="5902" width="10" style="1013" bestFit="1" customWidth="1"/>
    <col min="5903" max="6144" width="9.140625" style="1013"/>
    <col min="6145" max="6145" width="4.28515625" style="1013" customWidth="1"/>
    <col min="6146" max="6146" width="12.42578125" style="1013" customWidth="1"/>
    <col min="6147" max="6147" width="2.42578125" style="1013" customWidth="1"/>
    <col min="6148" max="6148" width="36.28515625" style="1013" customWidth="1"/>
    <col min="6149" max="6149" width="14.7109375" style="1013" customWidth="1"/>
    <col min="6150" max="6151" width="13" style="1013" customWidth="1"/>
    <col min="6152" max="6152" width="2.42578125" style="1013" customWidth="1"/>
    <col min="6153" max="6153" width="37.140625" style="1013" customWidth="1"/>
    <col min="6154" max="6154" width="12.5703125" style="1013" customWidth="1"/>
    <col min="6155" max="6155" width="14.42578125" style="1013" customWidth="1"/>
    <col min="6156" max="6156" width="1.7109375" style="1013" customWidth="1"/>
    <col min="6157" max="6157" width="4.140625" style="1013" customWidth="1"/>
    <col min="6158" max="6158" width="10" style="1013" bestFit="1" customWidth="1"/>
    <col min="6159" max="6400" width="9.140625" style="1013"/>
    <col min="6401" max="6401" width="4.28515625" style="1013" customWidth="1"/>
    <col min="6402" max="6402" width="12.42578125" style="1013" customWidth="1"/>
    <col min="6403" max="6403" width="2.42578125" style="1013" customWidth="1"/>
    <col min="6404" max="6404" width="36.28515625" style="1013" customWidth="1"/>
    <col min="6405" max="6405" width="14.7109375" style="1013" customWidth="1"/>
    <col min="6406" max="6407" width="13" style="1013" customWidth="1"/>
    <col min="6408" max="6408" width="2.42578125" style="1013" customWidth="1"/>
    <col min="6409" max="6409" width="37.140625" style="1013" customWidth="1"/>
    <col min="6410" max="6410" width="12.5703125" style="1013" customWidth="1"/>
    <col min="6411" max="6411" width="14.42578125" style="1013" customWidth="1"/>
    <col min="6412" max="6412" width="1.7109375" style="1013" customWidth="1"/>
    <col min="6413" max="6413" width="4.140625" style="1013" customWidth="1"/>
    <col min="6414" max="6414" width="10" style="1013" bestFit="1" customWidth="1"/>
    <col min="6415" max="6656" width="9.140625" style="1013"/>
    <col min="6657" max="6657" width="4.28515625" style="1013" customWidth="1"/>
    <col min="6658" max="6658" width="12.42578125" style="1013" customWidth="1"/>
    <col min="6659" max="6659" width="2.42578125" style="1013" customWidth="1"/>
    <col min="6660" max="6660" width="36.28515625" style="1013" customWidth="1"/>
    <col min="6661" max="6661" width="14.7109375" style="1013" customWidth="1"/>
    <col min="6662" max="6663" width="13" style="1013" customWidth="1"/>
    <col min="6664" max="6664" width="2.42578125" style="1013" customWidth="1"/>
    <col min="6665" max="6665" width="37.140625" style="1013" customWidth="1"/>
    <col min="6666" max="6666" width="12.5703125" style="1013" customWidth="1"/>
    <col min="6667" max="6667" width="14.42578125" style="1013" customWidth="1"/>
    <col min="6668" max="6668" width="1.7109375" style="1013" customWidth="1"/>
    <col min="6669" max="6669" width="4.140625" style="1013" customWidth="1"/>
    <col min="6670" max="6670" width="10" style="1013" bestFit="1" customWidth="1"/>
    <col min="6671" max="6912" width="9.140625" style="1013"/>
    <col min="6913" max="6913" width="4.28515625" style="1013" customWidth="1"/>
    <col min="6914" max="6914" width="12.42578125" style="1013" customWidth="1"/>
    <col min="6915" max="6915" width="2.42578125" style="1013" customWidth="1"/>
    <col min="6916" max="6916" width="36.28515625" style="1013" customWidth="1"/>
    <col min="6917" max="6917" width="14.7109375" style="1013" customWidth="1"/>
    <col min="6918" max="6919" width="13" style="1013" customWidth="1"/>
    <col min="6920" max="6920" width="2.42578125" style="1013" customWidth="1"/>
    <col min="6921" max="6921" width="37.140625" style="1013" customWidth="1"/>
    <col min="6922" max="6922" width="12.5703125" style="1013" customWidth="1"/>
    <col min="6923" max="6923" width="14.42578125" style="1013" customWidth="1"/>
    <col min="6924" max="6924" width="1.7109375" style="1013" customWidth="1"/>
    <col min="6925" max="6925" width="4.140625" style="1013" customWidth="1"/>
    <col min="6926" max="6926" width="10" style="1013" bestFit="1" customWidth="1"/>
    <col min="6927" max="7168" width="9.140625" style="1013"/>
    <col min="7169" max="7169" width="4.28515625" style="1013" customWidth="1"/>
    <col min="7170" max="7170" width="12.42578125" style="1013" customWidth="1"/>
    <col min="7171" max="7171" width="2.42578125" style="1013" customWidth="1"/>
    <col min="7172" max="7172" width="36.28515625" style="1013" customWidth="1"/>
    <col min="7173" max="7173" width="14.7109375" style="1013" customWidth="1"/>
    <col min="7174" max="7175" width="13" style="1013" customWidth="1"/>
    <col min="7176" max="7176" width="2.42578125" style="1013" customWidth="1"/>
    <col min="7177" max="7177" width="37.140625" style="1013" customWidth="1"/>
    <col min="7178" max="7178" width="12.5703125" style="1013" customWidth="1"/>
    <col min="7179" max="7179" width="14.42578125" style="1013" customWidth="1"/>
    <col min="7180" max="7180" width="1.7109375" style="1013" customWidth="1"/>
    <col min="7181" max="7181" width="4.140625" style="1013" customWidth="1"/>
    <col min="7182" max="7182" width="10" style="1013" bestFit="1" customWidth="1"/>
    <col min="7183" max="7424" width="9.140625" style="1013"/>
    <col min="7425" max="7425" width="4.28515625" style="1013" customWidth="1"/>
    <col min="7426" max="7426" width="12.42578125" style="1013" customWidth="1"/>
    <col min="7427" max="7427" width="2.42578125" style="1013" customWidth="1"/>
    <col min="7428" max="7428" width="36.28515625" style="1013" customWidth="1"/>
    <col min="7429" max="7429" width="14.7109375" style="1013" customWidth="1"/>
    <col min="7430" max="7431" width="13" style="1013" customWidth="1"/>
    <col min="7432" max="7432" width="2.42578125" style="1013" customWidth="1"/>
    <col min="7433" max="7433" width="37.140625" style="1013" customWidth="1"/>
    <col min="7434" max="7434" width="12.5703125" style="1013" customWidth="1"/>
    <col min="7435" max="7435" width="14.42578125" style="1013" customWidth="1"/>
    <col min="7436" max="7436" width="1.7109375" style="1013" customWidth="1"/>
    <col min="7437" max="7437" width="4.140625" style="1013" customWidth="1"/>
    <col min="7438" max="7438" width="10" style="1013" bestFit="1" customWidth="1"/>
    <col min="7439" max="7680" width="9.140625" style="1013"/>
    <col min="7681" max="7681" width="4.28515625" style="1013" customWidth="1"/>
    <col min="7682" max="7682" width="12.42578125" style="1013" customWidth="1"/>
    <col min="7683" max="7683" width="2.42578125" style="1013" customWidth="1"/>
    <col min="7684" max="7684" width="36.28515625" style="1013" customWidth="1"/>
    <col min="7685" max="7685" width="14.7109375" style="1013" customWidth="1"/>
    <col min="7686" max="7687" width="13" style="1013" customWidth="1"/>
    <col min="7688" max="7688" width="2.42578125" style="1013" customWidth="1"/>
    <col min="7689" max="7689" width="37.140625" style="1013" customWidth="1"/>
    <col min="7690" max="7690" width="12.5703125" style="1013" customWidth="1"/>
    <col min="7691" max="7691" width="14.42578125" style="1013" customWidth="1"/>
    <col min="7692" max="7692" width="1.7109375" style="1013" customWidth="1"/>
    <col min="7693" max="7693" width="4.140625" style="1013" customWidth="1"/>
    <col min="7694" max="7694" width="10" style="1013" bestFit="1" customWidth="1"/>
    <col min="7695" max="7936" width="9.140625" style="1013"/>
    <col min="7937" max="7937" width="4.28515625" style="1013" customWidth="1"/>
    <col min="7938" max="7938" width="12.42578125" style="1013" customWidth="1"/>
    <col min="7939" max="7939" width="2.42578125" style="1013" customWidth="1"/>
    <col min="7940" max="7940" width="36.28515625" style="1013" customWidth="1"/>
    <col min="7941" max="7941" width="14.7109375" style="1013" customWidth="1"/>
    <col min="7942" max="7943" width="13" style="1013" customWidth="1"/>
    <col min="7944" max="7944" width="2.42578125" style="1013" customWidth="1"/>
    <col min="7945" max="7945" width="37.140625" style="1013" customWidth="1"/>
    <col min="7946" max="7946" width="12.5703125" style="1013" customWidth="1"/>
    <col min="7947" max="7947" width="14.42578125" style="1013" customWidth="1"/>
    <col min="7948" max="7948" width="1.7109375" style="1013" customWidth="1"/>
    <col min="7949" max="7949" width="4.140625" style="1013" customWidth="1"/>
    <col min="7950" max="7950" width="10" style="1013" bestFit="1" customWidth="1"/>
    <col min="7951" max="8192" width="9.140625" style="1013"/>
    <col min="8193" max="8193" width="4.28515625" style="1013" customWidth="1"/>
    <col min="8194" max="8194" width="12.42578125" style="1013" customWidth="1"/>
    <col min="8195" max="8195" width="2.42578125" style="1013" customWidth="1"/>
    <col min="8196" max="8196" width="36.28515625" style="1013" customWidth="1"/>
    <col min="8197" max="8197" width="14.7109375" style="1013" customWidth="1"/>
    <col min="8198" max="8199" width="13" style="1013" customWidth="1"/>
    <col min="8200" max="8200" width="2.42578125" style="1013" customWidth="1"/>
    <col min="8201" max="8201" width="37.140625" style="1013" customWidth="1"/>
    <col min="8202" max="8202" width="12.5703125" style="1013" customWidth="1"/>
    <col min="8203" max="8203" width="14.42578125" style="1013" customWidth="1"/>
    <col min="8204" max="8204" width="1.7109375" style="1013" customWidth="1"/>
    <col min="8205" max="8205" width="4.140625" style="1013" customWidth="1"/>
    <col min="8206" max="8206" width="10" style="1013" bestFit="1" customWidth="1"/>
    <col min="8207" max="8448" width="9.140625" style="1013"/>
    <col min="8449" max="8449" width="4.28515625" style="1013" customWidth="1"/>
    <col min="8450" max="8450" width="12.42578125" style="1013" customWidth="1"/>
    <col min="8451" max="8451" width="2.42578125" style="1013" customWidth="1"/>
    <col min="8452" max="8452" width="36.28515625" style="1013" customWidth="1"/>
    <col min="8453" max="8453" width="14.7109375" style="1013" customWidth="1"/>
    <col min="8454" max="8455" width="13" style="1013" customWidth="1"/>
    <col min="8456" max="8456" width="2.42578125" style="1013" customWidth="1"/>
    <col min="8457" max="8457" width="37.140625" style="1013" customWidth="1"/>
    <col min="8458" max="8458" width="12.5703125" style="1013" customWidth="1"/>
    <col min="8459" max="8459" width="14.42578125" style="1013" customWidth="1"/>
    <col min="8460" max="8460" width="1.7109375" style="1013" customWidth="1"/>
    <col min="8461" max="8461" width="4.140625" style="1013" customWidth="1"/>
    <col min="8462" max="8462" width="10" style="1013" bestFit="1" customWidth="1"/>
    <col min="8463" max="8704" width="9.140625" style="1013"/>
    <col min="8705" max="8705" width="4.28515625" style="1013" customWidth="1"/>
    <col min="8706" max="8706" width="12.42578125" style="1013" customWidth="1"/>
    <col min="8707" max="8707" width="2.42578125" style="1013" customWidth="1"/>
    <col min="8708" max="8708" width="36.28515625" style="1013" customWidth="1"/>
    <col min="8709" max="8709" width="14.7109375" style="1013" customWidth="1"/>
    <col min="8710" max="8711" width="13" style="1013" customWidth="1"/>
    <col min="8712" max="8712" width="2.42578125" style="1013" customWidth="1"/>
    <col min="8713" max="8713" width="37.140625" style="1013" customWidth="1"/>
    <col min="8714" max="8714" width="12.5703125" style="1013" customWidth="1"/>
    <col min="8715" max="8715" width="14.42578125" style="1013" customWidth="1"/>
    <col min="8716" max="8716" width="1.7109375" style="1013" customWidth="1"/>
    <col min="8717" max="8717" width="4.140625" style="1013" customWidth="1"/>
    <col min="8718" max="8718" width="10" style="1013" bestFit="1" customWidth="1"/>
    <col min="8719" max="8960" width="9.140625" style="1013"/>
    <col min="8961" max="8961" width="4.28515625" style="1013" customWidth="1"/>
    <col min="8962" max="8962" width="12.42578125" style="1013" customWidth="1"/>
    <col min="8963" max="8963" width="2.42578125" style="1013" customWidth="1"/>
    <col min="8964" max="8964" width="36.28515625" style="1013" customWidth="1"/>
    <col min="8965" max="8965" width="14.7109375" style="1013" customWidth="1"/>
    <col min="8966" max="8967" width="13" style="1013" customWidth="1"/>
    <col min="8968" max="8968" width="2.42578125" style="1013" customWidth="1"/>
    <col min="8969" max="8969" width="37.140625" style="1013" customWidth="1"/>
    <col min="8970" max="8970" width="12.5703125" style="1013" customWidth="1"/>
    <col min="8971" max="8971" width="14.42578125" style="1013" customWidth="1"/>
    <col min="8972" max="8972" width="1.7109375" style="1013" customWidth="1"/>
    <col min="8973" max="8973" width="4.140625" style="1013" customWidth="1"/>
    <col min="8974" max="8974" width="10" style="1013" bestFit="1" customWidth="1"/>
    <col min="8975" max="9216" width="9.140625" style="1013"/>
    <col min="9217" max="9217" width="4.28515625" style="1013" customWidth="1"/>
    <col min="9218" max="9218" width="12.42578125" style="1013" customWidth="1"/>
    <col min="9219" max="9219" width="2.42578125" style="1013" customWidth="1"/>
    <col min="9220" max="9220" width="36.28515625" style="1013" customWidth="1"/>
    <col min="9221" max="9221" width="14.7109375" style="1013" customWidth="1"/>
    <col min="9222" max="9223" width="13" style="1013" customWidth="1"/>
    <col min="9224" max="9224" width="2.42578125" style="1013" customWidth="1"/>
    <col min="9225" max="9225" width="37.140625" style="1013" customWidth="1"/>
    <col min="9226" max="9226" width="12.5703125" style="1013" customWidth="1"/>
    <col min="9227" max="9227" width="14.42578125" style="1013" customWidth="1"/>
    <col min="9228" max="9228" width="1.7109375" style="1013" customWidth="1"/>
    <col min="9229" max="9229" width="4.140625" style="1013" customWidth="1"/>
    <col min="9230" max="9230" width="10" style="1013" bestFit="1" customWidth="1"/>
    <col min="9231" max="9472" width="9.140625" style="1013"/>
    <col min="9473" max="9473" width="4.28515625" style="1013" customWidth="1"/>
    <col min="9474" max="9474" width="12.42578125" style="1013" customWidth="1"/>
    <col min="9475" max="9475" width="2.42578125" style="1013" customWidth="1"/>
    <col min="9476" max="9476" width="36.28515625" style="1013" customWidth="1"/>
    <col min="9477" max="9477" width="14.7109375" style="1013" customWidth="1"/>
    <col min="9478" max="9479" width="13" style="1013" customWidth="1"/>
    <col min="9480" max="9480" width="2.42578125" style="1013" customWidth="1"/>
    <col min="9481" max="9481" width="37.140625" style="1013" customWidth="1"/>
    <col min="9482" max="9482" width="12.5703125" style="1013" customWidth="1"/>
    <col min="9483" max="9483" width="14.42578125" style="1013" customWidth="1"/>
    <col min="9484" max="9484" width="1.7109375" style="1013" customWidth="1"/>
    <col min="9485" max="9485" width="4.140625" style="1013" customWidth="1"/>
    <col min="9486" max="9486" width="10" style="1013" bestFit="1" customWidth="1"/>
    <col min="9487" max="9728" width="9.140625" style="1013"/>
    <col min="9729" max="9729" width="4.28515625" style="1013" customWidth="1"/>
    <col min="9730" max="9730" width="12.42578125" style="1013" customWidth="1"/>
    <col min="9731" max="9731" width="2.42578125" style="1013" customWidth="1"/>
    <col min="9732" max="9732" width="36.28515625" style="1013" customWidth="1"/>
    <col min="9733" max="9733" width="14.7109375" style="1013" customWidth="1"/>
    <col min="9734" max="9735" width="13" style="1013" customWidth="1"/>
    <col min="9736" max="9736" width="2.42578125" style="1013" customWidth="1"/>
    <col min="9737" max="9737" width="37.140625" style="1013" customWidth="1"/>
    <col min="9738" max="9738" width="12.5703125" style="1013" customWidth="1"/>
    <col min="9739" max="9739" width="14.42578125" style="1013" customWidth="1"/>
    <col min="9740" max="9740" width="1.7109375" style="1013" customWidth="1"/>
    <col min="9741" max="9741" width="4.140625" style="1013" customWidth="1"/>
    <col min="9742" max="9742" width="10" style="1013" bestFit="1" customWidth="1"/>
    <col min="9743" max="9984" width="9.140625" style="1013"/>
    <col min="9985" max="9985" width="4.28515625" style="1013" customWidth="1"/>
    <col min="9986" max="9986" width="12.42578125" style="1013" customWidth="1"/>
    <col min="9987" max="9987" width="2.42578125" style="1013" customWidth="1"/>
    <col min="9988" max="9988" width="36.28515625" style="1013" customWidth="1"/>
    <col min="9989" max="9989" width="14.7109375" style="1013" customWidth="1"/>
    <col min="9990" max="9991" width="13" style="1013" customWidth="1"/>
    <col min="9992" max="9992" width="2.42578125" style="1013" customWidth="1"/>
    <col min="9993" max="9993" width="37.140625" style="1013" customWidth="1"/>
    <col min="9994" max="9994" width="12.5703125" style="1013" customWidth="1"/>
    <col min="9995" max="9995" width="14.42578125" style="1013" customWidth="1"/>
    <col min="9996" max="9996" width="1.7109375" style="1013" customWidth="1"/>
    <col min="9997" max="9997" width="4.140625" style="1013" customWidth="1"/>
    <col min="9998" max="9998" width="10" style="1013" bestFit="1" customWidth="1"/>
    <col min="9999" max="10240" width="9.140625" style="1013"/>
    <col min="10241" max="10241" width="4.28515625" style="1013" customWidth="1"/>
    <col min="10242" max="10242" width="12.42578125" style="1013" customWidth="1"/>
    <col min="10243" max="10243" width="2.42578125" style="1013" customWidth="1"/>
    <col min="10244" max="10244" width="36.28515625" style="1013" customWidth="1"/>
    <col min="10245" max="10245" width="14.7109375" style="1013" customWidth="1"/>
    <col min="10246" max="10247" width="13" style="1013" customWidth="1"/>
    <col min="10248" max="10248" width="2.42578125" style="1013" customWidth="1"/>
    <col min="10249" max="10249" width="37.140625" style="1013" customWidth="1"/>
    <col min="10250" max="10250" width="12.5703125" style="1013" customWidth="1"/>
    <col min="10251" max="10251" width="14.42578125" style="1013" customWidth="1"/>
    <col min="10252" max="10252" width="1.7109375" style="1013" customWidth="1"/>
    <col min="10253" max="10253" width="4.140625" style="1013" customWidth="1"/>
    <col min="10254" max="10254" width="10" style="1013" bestFit="1" customWidth="1"/>
    <col min="10255" max="10496" width="9.140625" style="1013"/>
    <col min="10497" max="10497" width="4.28515625" style="1013" customWidth="1"/>
    <col min="10498" max="10498" width="12.42578125" style="1013" customWidth="1"/>
    <col min="10499" max="10499" width="2.42578125" style="1013" customWidth="1"/>
    <col min="10500" max="10500" width="36.28515625" style="1013" customWidth="1"/>
    <col min="10501" max="10501" width="14.7109375" style="1013" customWidth="1"/>
    <col min="10502" max="10503" width="13" style="1013" customWidth="1"/>
    <col min="10504" max="10504" width="2.42578125" style="1013" customWidth="1"/>
    <col min="10505" max="10505" width="37.140625" style="1013" customWidth="1"/>
    <col min="10506" max="10506" width="12.5703125" style="1013" customWidth="1"/>
    <col min="10507" max="10507" width="14.42578125" style="1013" customWidth="1"/>
    <col min="10508" max="10508" width="1.7109375" style="1013" customWidth="1"/>
    <col min="10509" max="10509" width="4.140625" style="1013" customWidth="1"/>
    <col min="10510" max="10510" width="10" style="1013" bestFit="1" customWidth="1"/>
    <col min="10511" max="10752" width="9.140625" style="1013"/>
    <col min="10753" max="10753" width="4.28515625" style="1013" customWidth="1"/>
    <col min="10754" max="10754" width="12.42578125" style="1013" customWidth="1"/>
    <col min="10755" max="10755" width="2.42578125" style="1013" customWidth="1"/>
    <col min="10756" max="10756" width="36.28515625" style="1013" customWidth="1"/>
    <col min="10757" max="10757" width="14.7109375" style="1013" customWidth="1"/>
    <col min="10758" max="10759" width="13" style="1013" customWidth="1"/>
    <col min="10760" max="10760" width="2.42578125" style="1013" customWidth="1"/>
    <col min="10761" max="10761" width="37.140625" style="1013" customWidth="1"/>
    <col min="10762" max="10762" width="12.5703125" style="1013" customWidth="1"/>
    <col min="10763" max="10763" width="14.42578125" style="1013" customWidth="1"/>
    <col min="10764" max="10764" width="1.7109375" style="1013" customWidth="1"/>
    <col min="10765" max="10765" width="4.140625" style="1013" customWidth="1"/>
    <col min="10766" max="10766" width="10" style="1013" bestFit="1" customWidth="1"/>
    <col min="10767" max="11008" width="9.140625" style="1013"/>
    <col min="11009" max="11009" width="4.28515625" style="1013" customWidth="1"/>
    <col min="11010" max="11010" width="12.42578125" style="1013" customWidth="1"/>
    <col min="11011" max="11011" width="2.42578125" style="1013" customWidth="1"/>
    <col min="11012" max="11012" width="36.28515625" style="1013" customWidth="1"/>
    <col min="11013" max="11013" width="14.7109375" style="1013" customWidth="1"/>
    <col min="11014" max="11015" width="13" style="1013" customWidth="1"/>
    <col min="11016" max="11016" width="2.42578125" style="1013" customWidth="1"/>
    <col min="11017" max="11017" width="37.140625" style="1013" customWidth="1"/>
    <col min="11018" max="11018" width="12.5703125" style="1013" customWidth="1"/>
    <col min="11019" max="11019" width="14.42578125" style="1013" customWidth="1"/>
    <col min="11020" max="11020" width="1.7109375" style="1013" customWidth="1"/>
    <col min="11021" max="11021" width="4.140625" style="1013" customWidth="1"/>
    <col min="11022" max="11022" width="10" style="1013" bestFit="1" customWidth="1"/>
    <col min="11023" max="11264" width="9.140625" style="1013"/>
    <col min="11265" max="11265" width="4.28515625" style="1013" customWidth="1"/>
    <col min="11266" max="11266" width="12.42578125" style="1013" customWidth="1"/>
    <col min="11267" max="11267" width="2.42578125" style="1013" customWidth="1"/>
    <col min="11268" max="11268" width="36.28515625" style="1013" customWidth="1"/>
    <col min="11269" max="11269" width="14.7109375" style="1013" customWidth="1"/>
    <col min="11270" max="11271" width="13" style="1013" customWidth="1"/>
    <col min="11272" max="11272" width="2.42578125" style="1013" customWidth="1"/>
    <col min="11273" max="11273" width="37.140625" style="1013" customWidth="1"/>
    <col min="11274" max="11274" width="12.5703125" style="1013" customWidth="1"/>
    <col min="11275" max="11275" width="14.42578125" style="1013" customWidth="1"/>
    <col min="11276" max="11276" width="1.7109375" style="1013" customWidth="1"/>
    <col min="11277" max="11277" width="4.140625" style="1013" customWidth="1"/>
    <col min="11278" max="11278" width="10" style="1013" bestFit="1" customWidth="1"/>
    <col min="11279" max="11520" width="9.140625" style="1013"/>
    <col min="11521" max="11521" width="4.28515625" style="1013" customWidth="1"/>
    <col min="11522" max="11522" width="12.42578125" style="1013" customWidth="1"/>
    <col min="11523" max="11523" width="2.42578125" style="1013" customWidth="1"/>
    <col min="11524" max="11524" width="36.28515625" style="1013" customWidth="1"/>
    <col min="11525" max="11525" width="14.7109375" style="1013" customWidth="1"/>
    <col min="11526" max="11527" width="13" style="1013" customWidth="1"/>
    <col min="11528" max="11528" width="2.42578125" style="1013" customWidth="1"/>
    <col min="11529" max="11529" width="37.140625" style="1013" customWidth="1"/>
    <col min="11530" max="11530" width="12.5703125" style="1013" customWidth="1"/>
    <col min="11531" max="11531" width="14.42578125" style="1013" customWidth="1"/>
    <col min="11532" max="11532" width="1.7109375" style="1013" customWidth="1"/>
    <col min="11533" max="11533" width="4.140625" style="1013" customWidth="1"/>
    <col min="11534" max="11534" width="10" style="1013" bestFit="1" customWidth="1"/>
    <col min="11535" max="11776" width="9.140625" style="1013"/>
    <col min="11777" max="11777" width="4.28515625" style="1013" customWidth="1"/>
    <col min="11778" max="11778" width="12.42578125" style="1013" customWidth="1"/>
    <col min="11779" max="11779" width="2.42578125" style="1013" customWidth="1"/>
    <col min="11780" max="11780" width="36.28515625" style="1013" customWidth="1"/>
    <col min="11781" max="11781" width="14.7109375" style="1013" customWidth="1"/>
    <col min="11782" max="11783" width="13" style="1013" customWidth="1"/>
    <col min="11784" max="11784" width="2.42578125" style="1013" customWidth="1"/>
    <col min="11785" max="11785" width="37.140625" style="1013" customWidth="1"/>
    <col min="11786" max="11786" width="12.5703125" style="1013" customWidth="1"/>
    <col min="11787" max="11787" width="14.42578125" style="1013" customWidth="1"/>
    <col min="11788" max="11788" width="1.7109375" style="1013" customWidth="1"/>
    <col min="11789" max="11789" width="4.140625" style="1013" customWidth="1"/>
    <col min="11790" max="11790" width="10" style="1013" bestFit="1" customWidth="1"/>
    <col min="11791" max="12032" width="9.140625" style="1013"/>
    <col min="12033" max="12033" width="4.28515625" style="1013" customWidth="1"/>
    <col min="12034" max="12034" width="12.42578125" style="1013" customWidth="1"/>
    <col min="12035" max="12035" width="2.42578125" style="1013" customWidth="1"/>
    <col min="12036" max="12036" width="36.28515625" style="1013" customWidth="1"/>
    <col min="12037" max="12037" width="14.7109375" style="1013" customWidth="1"/>
    <col min="12038" max="12039" width="13" style="1013" customWidth="1"/>
    <col min="12040" max="12040" width="2.42578125" style="1013" customWidth="1"/>
    <col min="12041" max="12041" width="37.140625" style="1013" customWidth="1"/>
    <col min="12042" max="12042" width="12.5703125" style="1013" customWidth="1"/>
    <col min="12043" max="12043" width="14.42578125" style="1013" customWidth="1"/>
    <col min="12044" max="12044" width="1.7109375" style="1013" customWidth="1"/>
    <col min="12045" max="12045" width="4.140625" style="1013" customWidth="1"/>
    <col min="12046" max="12046" width="10" style="1013" bestFit="1" customWidth="1"/>
    <col min="12047" max="12288" width="9.140625" style="1013"/>
    <col min="12289" max="12289" width="4.28515625" style="1013" customWidth="1"/>
    <col min="12290" max="12290" width="12.42578125" style="1013" customWidth="1"/>
    <col min="12291" max="12291" width="2.42578125" style="1013" customWidth="1"/>
    <col min="12292" max="12292" width="36.28515625" style="1013" customWidth="1"/>
    <col min="12293" max="12293" width="14.7109375" style="1013" customWidth="1"/>
    <col min="12294" max="12295" width="13" style="1013" customWidth="1"/>
    <col min="12296" max="12296" width="2.42578125" style="1013" customWidth="1"/>
    <col min="12297" max="12297" width="37.140625" style="1013" customWidth="1"/>
    <col min="12298" max="12298" width="12.5703125" style="1013" customWidth="1"/>
    <col min="12299" max="12299" width="14.42578125" style="1013" customWidth="1"/>
    <col min="12300" max="12300" width="1.7109375" style="1013" customWidth="1"/>
    <col min="12301" max="12301" width="4.140625" style="1013" customWidth="1"/>
    <col min="12302" max="12302" width="10" style="1013" bestFit="1" customWidth="1"/>
    <col min="12303" max="12544" width="9.140625" style="1013"/>
    <col min="12545" max="12545" width="4.28515625" style="1013" customWidth="1"/>
    <col min="12546" max="12546" width="12.42578125" style="1013" customWidth="1"/>
    <col min="12547" max="12547" width="2.42578125" style="1013" customWidth="1"/>
    <col min="12548" max="12548" width="36.28515625" style="1013" customWidth="1"/>
    <col min="12549" max="12549" width="14.7109375" style="1013" customWidth="1"/>
    <col min="12550" max="12551" width="13" style="1013" customWidth="1"/>
    <col min="12552" max="12552" width="2.42578125" style="1013" customWidth="1"/>
    <col min="12553" max="12553" width="37.140625" style="1013" customWidth="1"/>
    <col min="12554" max="12554" width="12.5703125" style="1013" customWidth="1"/>
    <col min="12555" max="12555" width="14.42578125" style="1013" customWidth="1"/>
    <col min="12556" max="12556" width="1.7109375" style="1013" customWidth="1"/>
    <col min="12557" max="12557" width="4.140625" style="1013" customWidth="1"/>
    <col min="12558" max="12558" width="10" style="1013" bestFit="1" customWidth="1"/>
    <col min="12559" max="12800" width="9.140625" style="1013"/>
    <col min="12801" max="12801" width="4.28515625" style="1013" customWidth="1"/>
    <col min="12802" max="12802" width="12.42578125" style="1013" customWidth="1"/>
    <col min="12803" max="12803" width="2.42578125" style="1013" customWidth="1"/>
    <col min="12804" max="12804" width="36.28515625" style="1013" customWidth="1"/>
    <col min="12805" max="12805" width="14.7109375" style="1013" customWidth="1"/>
    <col min="12806" max="12807" width="13" style="1013" customWidth="1"/>
    <col min="12808" max="12808" width="2.42578125" style="1013" customWidth="1"/>
    <col min="12809" max="12809" width="37.140625" style="1013" customWidth="1"/>
    <col min="12810" max="12810" width="12.5703125" style="1013" customWidth="1"/>
    <col min="12811" max="12811" width="14.42578125" style="1013" customWidth="1"/>
    <col min="12812" max="12812" width="1.7109375" style="1013" customWidth="1"/>
    <col min="12813" max="12813" width="4.140625" style="1013" customWidth="1"/>
    <col min="12814" max="12814" width="10" style="1013" bestFit="1" customWidth="1"/>
    <col min="12815" max="13056" width="9.140625" style="1013"/>
    <col min="13057" max="13057" width="4.28515625" style="1013" customWidth="1"/>
    <col min="13058" max="13058" width="12.42578125" style="1013" customWidth="1"/>
    <col min="13059" max="13059" width="2.42578125" style="1013" customWidth="1"/>
    <col min="13060" max="13060" width="36.28515625" style="1013" customWidth="1"/>
    <col min="13061" max="13061" width="14.7109375" style="1013" customWidth="1"/>
    <col min="13062" max="13063" width="13" style="1013" customWidth="1"/>
    <col min="13064" max="13064" width="2.42578125" style="1013" customWidth="1"/>
    <col min="13065" max="13065" width="37.140625" style="1013" customWidth="1"/>
    <col min="13066" max="13066" width="12.5703125" style="1013" customWidth="1"/>
    <col min="13067" max="13067" width="14.42578125" style="1013" customWidth="1"/>
    <col min="13068" max="13068" width="1.7109375" style="1013" customWidth="1"/>
    <col min="13069" max="13069" width="4.140625" style="1013" customWidth="1"/>
    <col min="13070" max="13070" width="10" style="1013" bestFit="1" customWidth="1"/>
    <col min="13071" max="13312" width="9.140625" style="1013"/>
    <col min="13313" max="13313" width="4.28515625" style="1013" customWidth="1"/>
    <col min="13314" max="13314" width="12.42578125" style="1013" customWidth="1"/>
    <col min="13315" max="13315" width="2.42578125" style="1013" customWidth="1"/>
    <col min="13316" max="13316" width="36.28515625" style="1013" customWidth="1"/>
    <col min="13317" max="13317" width="14.7109375" style="1013" customWidth="1"/>
    <col min="13318" max="13319" width="13" style="1013" customWidth="1"/>
    <col min="13320" max="13320" width="2.42578125" style="1013" customWidth="1"/>
    <col min="13321" max="13321" width="37.140625" style="1013" customWidth="1"/>
    <col min="13322" max="13322" width="12.5703125" style="1013" customWidth="1"/>
    <col min="13323" max="13323" width="14.42578125" style="1013" customWidth="1"/>
    <col min="13324" max="13324" width="1.7109375" style="1013" customWidth="1"/>
    <col min="13325" max="13325" width="4.140625" style="1013" customWidth="1"/>
    <col min="13326" max="13326" width="10" style="1013" bestFit="1" customWidth="1"/>
    <col min="13327" max="13568" width="9.140625" style="1013"/>
    <col min="13569" max="13569" width="4.28515625" style="1013" customWidth="1"/>
    <col min="13570" max="13570" width="12.42578125" style="1013" customWidth="1"/>
    <col min="13571" max="13571" width="2.42578125" style="1013" customWidth="1"/>
    <col min="13572" max="13572" width="36.28515625" style="1013" customWidth="1"/>
    <col min="13573" max="13573" width="14.7109375" style="1013" customWidth="1"/>
    <col min="13574" max="13575" width="13" style="1013" customWidth="1"/>
    <col min="13576" max="13576" width="2.42578125" style="1013" customWidth="1"/>
    <col min="13577" max="13577" width="37.140625" style="1013" customWidth="1"/>
    <col min="13578" max="13578" width="12.5703125" style="1013" customWidth="1"/>
    <col min="13579" max="13579" width="14.42578125" style="1013" customWidth="1"/>
    <col min="13580" max="13580" width="1.7109375" style="1013" customWidth="1"/>
    <col min="13581" max="13581" width="4.140625" style="1013" customWidth="1"/>
    <col min="13582" max="13582" width="10" style="1013" bestFit="1" customWidth="1"/>
    <col min="13583" max="13824" width="9.140625" style="1013"/>
    <col min="13825" max="13825" width="4.28515625" style="1013" customWidth="1"/>
    <col min="13826" max="13826" width="12.42578125" style="1013" customWidth="1"/>
    <col min="13827" max="13827" width="2.42578125" style="1013" customWidth="1"/>
    <col min="13828" max="13828" width="36.28515625" style="1013" customWidth="1"/>
    <col min="13829" max="13829" width="14.7109375" style="1013" customWidth="1"/>
    <col min="13830" max="13831" width="13" style="1013" customWidth="1"/>
    <col min="13832" max="13832" width="2.42578125" style="1013" customWidth="1"/>
    <col min="13833" max="13833" width="37.140625" style="1013" customWidth="1"/>
    <col min="13834" max="13834" width="12.5703125" style="1013" customWidth="1"/>
    <col min="13835" max="13835" width="14.42578125" style="1013" customWidth="1"/>
    <col min="13836" max="13836" width="1.7109375" style="1013" customWidth="1"/>
    <col min="13837" max="13837" width="4.140625" style="1013" customWidth="1"/>
    <col min="13838" max="13838" width="10" style="1013" bestFit="1" customWidth="1"/>
    <col min="13839" max="14080" width="9.140625" style="1013"/>
    <col min="14081" max="14081" width="4.28515625" style="1013" customWidth="1"/>
    <col min="14082" max="14082" width="12.42578125" style="1013" customWidth="1"/>
    <col min="14083" max="14083" width="2.42578125" style="1013" customWidth="1"/>
    <col min="14084" max="14084" width="36.28515625" style="1013" customWidth="1"/>
    <col min="14085" max="14085" width="14.7109375" style="1013" customWidth="1"/>
    <col min="14086" max="14087" width="13" style="1013" customWidth="1"/>
    <col min="14088" max="14088" width="2.42578125" style="1013" customWidth="1"/>
    <col min="14089" max="14089" width="37.140625" style="1013" customWidth="1"/>
    <col min="14090" max="14090" width="12.5703125" style="1013" customWidth="1"/>
    <col min="14091" max="14091" width="14.42578125" style="1013" customWidth="1"/>
    <col min="14092" max="14092" width="1.7109375" style="1013" customWidth="1"/>
    <col min="14093" max="14093" width="4.140625" style="1013" customWidth="1"/>
    <col min="14094" max="14094" width="10" style="1013" bestFit="1" customWidth="1"/>
    <col min="14095" max="14336" width="9.140625" style="1013"/>
    <col min="14337" max="14337" width="4.28515625" style="1013" customWidth="1"/>
    <col min="14338" max="14338" width="12.42578125" style="1013" customWidth="1"/>
    <col min="14339" max="14339" width="2.42578125" style="1013" customWidth="1"/>
    <col min="14340" max="14340" width="36.28515625" style="1013" customWidth="1"/>
    <col min="14341" max="14341" width="14.7109375" style="1013" customWidth="1"/>
    <col min="14342" max="14343" width="13" style="1013" customWidth="1"/>
    <col min="14344" max="14344" width="2.42578125" style="1013" customWidth="1"/>
    <col min="14345" max="14345" width="37.140625" style="1013" customWidth="1"/>
    <col min="14346" max="14346" width="12.5703125" style="1013" customWidth="1"/>
    <col min="14347" max="14347" width="14.42578125" style="1013" customWidth="1"/>
    <col min="14348" max="14348" width="1.7109375" style="1013" customWidth="1"/>
    <col min="14349" max="14349" width="4.140625" style="1013" customWidth="1"/>
    <col min="14350" max="14350" width="10" style="1013" bestFit="1" customWidth="1"/>
    <col min="14351" max="14592" width="9.140625" style="1013"/>
    <col min="14593" max="14593" width="4.28515625" style="1013" customWidth="1"/>
    <col min="14594" max="14594" width="12.42578125" style="1013" customWidth="1"/>
    <col min="14595" max="14595" width="2.42578125" style="1013" customWidth="1"/>
    <col min="14596" max="14596" width="36.28515625" style="1013" customWidth="1"/>
    <col min="14597" max="14597" width="14.7109375" style="1013" customWidth="1"/>
    <col min="14598" max="14599" width="13" style="1013" customWidth="1"/>
    <col min="14600" max="14600" width="2.42578125" style="1013" customWidth="1"/>
    <col min="14601" max="14601" width="37.140625" style="1013" customWidth="1"/>
    <col min="14602" max="14602" width="12.5703125" style="1013" customWidth="1"/>
    <col min="14603" max="14603" width="14.42578125" style="1013" customWidth="1"/>
    <col min="14604" max="14604" width="1.7109375" style="1013" customWidth="1"/>
    <col min="14605" max="14605" width="4.140625" style="1013" customWidth="1"/>
    <col min="14606" max="14606" width="10" style="1013" bestFit="1" customWidth="1"/>
    <col min="14607" max="14848" width="9.140625" style="1013"/>
    <col min="14849" max="14849" width="4.28515625" style="1013" customWidth="1"/>
    <col min="14850" max="14850" width="12.42578125" style="1013" customWidth="1"/>
    <col min="14851" max="14851" width="2.42578125" style="1013" customWidth="1"/>
    <col min="14852" max="14852" width="36.28515625" style="1013" customWidth="1"/>
    <col min="14853" max="14853" width="14.7109375" style="1013" customWidth="1"/>
    <col min="14854" max="14855" width="13" style="1013" customWidth="1"/>
    <col min="14856" max="14856" width="2.42578125" style="1013" customWidth="1"/>
    <col min="14857" max="14857" width="37.140625" style="1013" customWidth="1"/>
    <col min="14858" max="14858" width="12.5703125" style="1013" customWidth="1"/>
    <col min="14859" max="14859" width="14.42578125" style="1013" customWidth="1"/>
    <col min="14860" max="14860" width="1.7109375" style="1013" customWidth="1"/>
    <col min="14861" max="14861" width="4.140625" style="1013" customWidth="1"/>
    <col min="14862" max="14862" width="10" style="1013" bestFit="1" customWidth="1"/>
    <col min="14863" max="15104" width="9.140625" style="1013"/>
    <col min="15105" max="15105" width="4.28515625" style="1013" customWidth="1"/>
    <col min="15106" max="15106" width="12.42578125" style="1013" customWidth="1"/>
    <col min="15107" max="15107" width="2.42578125" style="1013" customWidth="1"/>
    <col min="15108" max="15108" width="36.28515625" style="1013" customWidth="1"/>
    <col min="15109" max="15109" width="14.7109375" style="1013" customWidth="1"/>
    <col min="15110" max="15111" width="13" style="1013" customWidth="1"/>
    <col min="15112" max="15112" width="2.42578125" style="1013" customWidth="1"/>
    <col min="15113" max="15113" width="37.140625" style="1013" customWidth="1"/>
    <col min="15114" max="15114" width="12.5703125" style="1013" customWidth="1"/>
    <col min="15115" max="15115" width="14.42578125" style="1013" customWidth="1"/>
    <col min="15116" max="15116" width="1.7109375" style="1013" customWidth="1"/>
    <col min="15117" max="15117" width="4.140625" style="1013" customWidth="1"/>
    <col min="15118" max="15118" width="10" style="1013" bestFit="1" customWidth="1"/>
    <col min="15119" max="15360" width="9.140625" style="1013"/>
    <col min="15361" max="15361" width="4.28515625" style="1013" customWidth="1"/>
    <col min="15362" max="15362" width="12.42578125" style="1013" customWidth="1"/>
    <col min="15363" max="15363" width="2.42578125" style="1013" customWidth="1"/>
    <col min="15364" max="15364" width="36.28515625" style="1013" customWidth="1"/>
    <col min="15365" max="15365" width="14.7109375" style="1013" customWidth="1"/>
    <col min="15366" max="15367" width="13" style="1013" customWidth="1"/>
    <col min="15368" max="15368" width="2.42578125" style="1013" customWidth="1"/>
    <col min="15369" max="15369" width="37.140625" style="1013" customWidth="1"/>
    <col min="15370" max="15370" width="12.5703125" style="1013" customWidth="1"/>
    <col min="15371" max="15371" width="14.42578125" style="1013" customWidth="1"/>
    <col min="15372" max="15372" width="1.7109375" style="1013" customWidth="1"/>
    <col min="15373" max="15373" width="4.140625" style="1013" customWidth="1"/>
    <col min="15374" max="15374" width="10" style="1013" bestFit="1" customWidth="1"/>
    <col min="15375" max="15616" width="9.140625" style="1013"/>
    <col min="15617" max="15617" width="4.28515625" style="1013" customWidth="1"/>
    <col min="15618" max="15618" width="12.42578125" style="1013" customWidth="1"/>
    <col min="15619" max="15619" width="2.42578125" style="1013" customWidth="1"/>
    <col min="15620" max="15620" width="36.28515625" style="1013" customWidth="1"/>
    <col min="15621" max="15621" width="14.7109375" style="1013" customWidth="1"/>
    <col min="15622" max="15623" width="13" style="1013" customWidth="1"/>
    <col min="15624" max="15624" width="2.42578125" style="1013" customWidth="1"/>
    <col min="15625" max="15625" width="37.140625" style="1013" customWidth="1"/>
    <col min="15626" max="15626" width="12.5703125" style="1013" customWidth="1"/>
    <col min="15627" max="15627" width="14.42578125" style="1013" customWidth="1"/>
    <col min="15628" max="15628" width="1.7109375" style="1013" customWidth="1"/>
    <col min="15629" max="15629" width="4.140625" style="1013" customWidth="1"/>
    <col min="15630" max="15630" width="10" style="1013" bestFit="1" customWidth="1"/>
    <col min="15631" max="15872" width="9.140625" style="1013"/>
    <col min="15873" max="15873" width="4.28515625" style="1013" customWidth="1"/>
    <col min="15874" max="15874" width="12.42578125" style="1013" customWidth="1"/>
    <col min="15875" max="15875" width="2.42578125" style="1013" customWidth="1"/>
    <col min="15876" max="15876" width="36.28515625" style="1013" customWidth="1"/>
    <col min="15877" max="15877" width="14.7109375" style="1013" customWidth="1"/>
    <col min="15878" max="15879" width="13" style="1013" customWidth="1"/>
    <col min="15880" max="15880" width="2.42578125" style="1013" customWidth="1"/>
    <col min="15881" max="15881" width="37.140625" style="1013" customWidth="1"/>
    <col min="15882" max="15882" width="12.5703125" style="1013" customWidth="1"/>
    <col min="15883" max="15883" width="14.42578125" style="1013" customWidth="1"/>
    <col min="15884" max="15884" width="1.7109375" style="1013" customWidth="1"/>
    <col min="15885" max="15885" width="4.140625" style="1013" customWidth="1"/>
    <col min="15886" max="15886" width="10" style="1013" bestFit="1" customWidth="1"/>
    <col min="15887" max="16128" width="9.140625" style="1013"/>
    <col min="16129" max="16129" width="4.28515625" style="1013" customWidth="1"/>
    <col min="16130" max="16130" width="12.42578125" style="1013" customWidth="1"/>
    <col min="16131" max="16131" width="2.42578125" style="1013" customWidth="1"/>
    <col min="16132" max="16132" width="36.28515625" style="1013" customWidth="1"/>
    <col min="16133" max="16133" width="14.7109375" style="1013" customWidth="1"/>
    <col min="16134" max="16135" width="13" style="1013" customWidth="1"/>
    <col min="16136" max="16136" width="2.42578125" style="1013" customWidth="1"/>
    <col min="16137" max="16137" width="37.140625" style="1013" customWidth="1"/>
    <col min="16138" max="16138" width="12.5703125" style="1013" customWidth="1"/>
    <col min="16139" max="16139" width="14.42578125" style="1013" customWidth="1"/>
    <col min="16140" max="16140" width="1.7109375" style="1013" customWidth="1"/>
    <col min="16141" max="16141" width="4.140625" style="1013" customWidth="1"/>
    <col min="16142" max="16142" width="10" style="1013" bestFit="1" customWidth="1"/>
    <col min="16143" max="16384" width="9.140625" style="1013"/>
  </cols>
  <sheetData>
    <row r="1" spans="1:11">
      <c r="K1" s="1458"/>
    </row>
    <row r="2" spans="1:11" ht="22.5">
      <c r="E2" s="2148" t="s">
        <v>764</v>
      </c>
      <c r="F2" s="254"/>
      <c r="K2" s="1458"/>
    </row>
    <row r="3" spans="1:11" ht="18.75">
      <c r="E3" s="2149"/>
      <c r="F3" s="254"/>
      <c r="K3" s="1458"/>
    </row>
    <row r="4" spans="1:11" ht="22.5" customHeight="1">
      <c r="D4" s="2148" t="s">
        <v>2493</v>
      </c>
      <c r="K4" s="1458"/>
    </row>
    <row r="5" spans="1:11" ht="22.5">
      <c r="D5" s="2150"/>
      <c r="E5" s="2148" t="s">
        <v>766</v>
      </c>
      <c r="F5" s="2151"/>
      <c r="K5" s="1458"/>
    </row>
    <row r="6" spans="1:11">
      <c r="D6" s="2150"/>
      <c r="E6" s="2150"/>
      <c r="K6" s="1458"/>
    </row>
    <row r="7" spans="1:11" ht="15.75">
      <c r="B7" s="2152" t="s">
        <v>810</v>
      </c>
      <c r="C7" s="6025" t="s">
        <v>767</v>
      </c>
      <c r="D7" s="6026"/>
      <c r="E7" s="2153"/>
      <c r="F7" s="2152" t="s">
        <v>2494</v>
      </c>
      <c r="G7" s="2152" t="s">
        <v>810</v>
      </c>
      <c r="H7" s="6025" t="s">
        <v>768</v>
      </c>
      <c r="I7" s="6026"/>
      <c r="J7" s="2153"/>
      <c r="K7" s="2152" t="s">
        <v>2494</v>
      </c>
    </row>
    <row r="8" spans="1:11">
      <c r="B8" s="1433"/>
      <c r="C8" s="1936"/>
      <c r="D8" s="1437" t="s">
        <v>94</v>
      </c>
      <c r="E8" s="1433"/>
      <c r="F8" s="1433" t="s">
        <v>94</v>
      </c>
      <c r="G8" s="1433"/>
      <c r="H8" s="1936"/>
      <c r="I8" s="1437" t="s">
        <v>94</v>
      </c>
      <c r="K8" s="1433"/>
    </row>
    <row r="9" spans="1:11">
      <c r="B9" s="1433">
        <f>29282946004-(B10+B11+B12)</f>
        <v>25904646219</v>
      </c>
      <c r="C9" s="1936"/>
      <c r="D9" s="2154" t="s">
        <v>769</v>
      </c>
      <c r="E9" s="1433">
        <f>29315053938-E10-E11-E12</f>
        <v>23964376410</v>
      </c>
      <c r="F9" s="1433"/>
      <c r="G9" s="1433">
        <v>36201932746</v>
      </c>
      <c r="H9" s="1936"/>
      <c r="I9" s="1437" t="s">
        <v>770</v>
      </c>
      <c r="J9" s="1433"/>
      <c r="K9" s="1433">
        <v>38673714723</v>
      </c>
    </row>
    <row r="10" spans="1:11">
      <c r="B10" s="1433">
        <f>356586952+11144813</f>
        <v>367731765</v>
      </c>
      <c r="C10" s="1936"/>
      <c r="D10" s="2154" t="s">
        <v>771</v>
      </c>
      <c r="E10" s="1433">
        <f>781000325+21777204</f>
        <v>802777529</v>
      </c>
      <c r="F10" s="1433"/>
      <c r="G10" s="1433"/>
      <c r="H10" s="1936"/>
      <c r="I10" s="1437"/>
      <c r="J10" s="1433"/>
      <c r="K10" s="1433"/>
    </row>
    <row r="11" spans="1:11">
      <c r="B11" s="1433">
        <v>1932068020</v>
      </c>
      <c r="C11" s="1936"/>
      <c r="D11" s="2154" t="s">
        <v>772</v>
      </c>
      <c r="E11" s="1433">
        <v>3415200000</v>
      </c>
      <c r="F11" s="1433"/>
      <c r="G11" s="1440">
        <f>145766289+21642418</f>
        <v>167408707</v>
      </c>
      <c r="H11" s="1936"/>
      <c r="I11" s="1437" t="s">
        <v>773</v>
      </c>
      <c r="J11" s="1433"/>
      <c r="K11" s="1440">
        <f>465701662-K13</f>
        <v>186896527</v>
      </c>
    </row>
    <row r="12" spans="1:11">
      <c r="B12" s="1444">
        <v>1078500000</v>
      </c>
      <c r="C12" s="1458"/>
      <c r="D12" s="2154" t="s">
        <v>774</v>
      </c>
      <c r="E12" s="1444">
        <v>1132699999</v>
      </c>
      <c r="F12" s="1433">
        <f>E12+E11+E10+E9</f>
        <v>29315053938</v>
      </c>
      <c r="G12" s="1433" t="s">
        <v>94</v>
      </c>
      <c r="H12" s="1936"/>
      <c r="I12" s="1437" t="s">
        <v>94</v>
      </c>
      <c r="J12" s="1433"/>
      <c r="K12" s="1433" t="s">
        <v>94</v>
      </c>
    </row>
    <row r="13" spans="1:11" ht="15.75" thickBot="1">
      <c r="B13" s="2155">
        <f>+B12+B11+B10+B9</f>
        <v>29282946004</v>
      </c>
      <c r="C13" s="1936"/>
      <c r="D13" s="1458"/>
      <c r="E13" s="1936" t="s">
        <v>94</v>
      </c>
      <c r="F13" s="1433" t="s">
        <v>94</v>
      </c>
      <c r="G13" s="1440">
        <v>194556975</v>
      </c>
      <c r="H13" s="1936"/>
      <c r="I13" s="1437" t="s">
        <v>775</v>
      </c>
      <c r="J13" s="1440" t="s">
        <v>94</v>
      </c>
      <c r="K13" s="1440">
        <v>278805135</v>
      </c>
    </row>
    <row r="14" spans="1:11">
      <c r="A14" s="1437"/>
      <c r="B14" s="1437" t="s">
        <v>94</v>
      </c>
      <c r="C14" s="1936"/>
      <c r="D14" s="1437"/>
      <c r="E14" s="1433"/>
      <c r="F14" s="1433"/>
      <c r="G14" s="1433"/>
      <c r="H14" s="1936"/>
      <c r="I14" s="1437" t="s">
        <v>94</v>
      </c>
      <c r="J14" s="1433"/>
      <c r="K14" s="1433" t="s">
        <v>94</v>
      </c>
    </row>
    <row r="15" spans="1:11">
      <c r="A15" s="1437"/>
      <c r="B15" s="1013">
        <v>2841969644</v>
      </c>
      <c r="C15" s="1936"/>
      <c r="D15" s="1437" t="s">
        <v>776</v>
      </c>
      <c r="E15" s="1433"/>
      <c r="F15" s="1013">
        <v>3594951027</v>
      </c>
      <c r="G15" s="1433" t="s">
        <v>94</v>
      </c>
      <c r="H15" s="1936"/>
      <c r="I15" s="1466" t="s">
        <v>777</v>
      </c>
      <c r="J15" s="1433"/>
      <c r="K15" s="1433" t="s">
        <v>94</v>
      </c>
    </row>
    <row r="16" spans="1:11">
      <c r="A16" s="1437"/>
      <c r="B16" s="1013">
        <v>369187507</v>
      </c>
      <c r="C16" s="1936"/>
      <c r="D16" s="1437" t="s">
        <v>778</v>
      </c>
      <c r="E16" s="1433"/>
      <c r="F16" s="1013">
        <v>436763055</v>
      </c>
      <c r="G16" s="1433">
        <v>423945</v>
      </c>
      <c r="H16" s="1936"/>
      <c r="I16" s="2156" t="s">
        <v>779</v>
      </c>
      <c r="J16" s="1433">
        <v>432540</v>
      </c>
      <c r="K16" s="1433" t="s">
        <v>94</v>
      </c>
    </row>
    <row r="17" spans="1:14">
      <c r="A17" s="1437"/>
      <c r="C17" s="1936"/>
      <c r="D17" s="1437"/>
      <c r="E17" s="1433"/>
      <c r="G17" s="1433">
        <v>158325982</v>
      </c>
      <c r="H17" s="1936"/>
      <c r="I17" s="2156" t="s">
        <v>780</v>
      </c>
      <c r="J17" s="1433">
        <v>172182289</v>
      </c>
      <c r="K17" s="1433" t="s">
        <v>94</v>
      </c>
    </row>
    <row r="18" spans="1:14">
      <c r="A18" s="1437"/>
      <c r="B18" s="1013">
        <v>356348402</v>
      </c>
      <c r="C18" s="1936"/>
      <c r="D18" s="1437" t="s">
        <v>781</v>
      </c>
      <c r="E18" s="1433"/>
      <c r="F18" s="1013">
        <v>385743332</v>
      </c>
      <c r="G18" s="1433">
        <v>6614379</v>
      </c>
      <c r="H18" s="1936"/>
      <c r="I18" s="2157" t="s">
        <v>782</v>
      </c>
      <c r="J18" s="1433">
        <v>8251981</v>
      </c>
      <c r="K18" s="1433" t="s">
        <v>94</v>
      </c>
    </row>
    <row r="19" spans="1:14">
      <c r="A19" s="1437"/>
      <c r="B19" s="1013">
        <v>57642400</v>
      </c>
      <c r="C19" s="1936"/>
      <c r="D19" s="1437" t="s">
        <v>783</v>
      </c>
      <c r="E19" s="1433"/>
      <c r="F19" s="1013">
        <v>59360242</v>
      </c>
      <c r="G19" s="1433">
        <v>172238425</v>
      </c>
      <c r="H19" s="1936"/>
      <c r="I19" s="2156" t="s">
        <v>785</v>
      </c>
      <c r="J19" s="1433">
        <v>158810486</v>
      </c>
      <c r="K19" s="1433" t="s">
        <v>94</v>
      </c>
      <c r="M19" s="1962"/>
    </row>
    <row r="20" spans="1:14">
      <c r="A20" s="1437"/>
      <c r="C20" s="1936"/>
      <c r="D20" s="1437"/>
      <c r="E20" s="1433"/>
      <c r="G20" s="1444">
        <v>196297989</v>
      </c>
      <c r="H20" s="1458"/>
      <c r="I20" s="2158" t="s">
        <v>787</v>
      </c>
      <c r="J20" s="1444">
        <f>346846491-J17+103260+45438593</f>
        <v>220206055</v>
      </c>
      <c r="K20" s="1433">
        <f>+J20+J19+J18+J17+J16</f>
        <v>559883351</v>
      </c>
      <c r="M20" s="2159"/>
    </row>
    <row r="21" spans="1:14" ht="15.75" thickBot="1">
      <c r="A21" s="1437"/>
      <c r="B21" s="1013">
        <v>462606574</v>
      </c>
      <c r="C21" s="1936"/>
      <c r="D21" s="1437" t="s">
        <v>786</v>
      </c>
      <c r="E21" s="1433"/>
      <c r="F21" s="1013">
        <v>469847222</v>
      </c>
      <c r="G21" s="2155">
        <f>SUM(G9:G20)</f>
        <v>37097799148</v>
      </c>
      <c r="J21" s="1435"/>
      <c r="K21" s="1433"/>
      <c r="M21" s="2159" t="s">
        <v>94</v>
      </c>
    </row>
    <row r="22" spans="1:14">
      <c r="A22" s="1437"/>
      <c r="B22" s="1013">
        <v>42728478</v>
      </c>
      <c r="C22" s="1936"/>
      <c r="D22" s="1437" t="s">
        <v>788</v>
      </c>
      <c r="E22" s="1433"/>
      <c r="F22" s="1013">
        <v>54237729</v>
      </c>
      <c r="G22" s="1433" t="s">
        <v>94</v>
      </c>
      <c r="H22" s="1936"/>
      <c r="J22" s="1433"/>
      <c r="K22" s="1440"/>
      <c r="N22" s="1013" t="s">
        <v>94</v>
      </c>
    </row>
    <row r="23" spans="1:14">
      <c r="A23" s="1437"/>
      <c r="C23" s="1936"/>
      <c r="D23" s="1437"/>
      <c r="E23" s="1433"/>
      <c r="G23" s="1433"/>
      <c r="H23" s="1936"/>
      <c r="J23" s="1433"/>
      <c r="K23" s="1440"/>
    </row>
    <row r="24" spans="1:14">
      <c r="A24" s="1437"/>
      <c r="B24" s="1013">
        <f>921738932+231807041</f>
        <v>1153545973</v>
      </c>
      <c r="C24" s="1936"/>
      <c r="D24" s="1437" t="s">
        <v>789</v>
      </c>
      <c r="E24" s="1433"/>
      <c r="F24" s="1013">
        <f>992587207+224994243</f>
        <v>1217581450</v>
      </c>
      <c r="G24" s="1433"/>
      <c r="H24" s="1936"/>
      <c r="J24" s="1433"/>
      <c r="K24" s="1433"/>
    </row>
    <row r="25" spans="1:14">
      <c r="A25" s="1437"/>
      <c r="B25" s="1013">
        <v>45528906</v>
      </c>
      <c r="C25" s="1936"/>
      <c r="D25" s="1437" t="s">
        <v>790</v>
      </c>
      <c r="E25" s="1433"/>
      <c r="F25" s="1013">
        <v>45551172</v>
      </c>
      <c r="G25" s="1433"/>
      <c r="H25" s="1936"/>
      <c r="I25" s="1437"/>
      <c r="J25" s="1433"/>
      <c r="K25" s="1433"/>
    </row>
    <row r="26" spans="1:14">
      <c r="A26" s="1437"/>
      <c r="C26" s="1936"/>
      <c r="D26" s="1437"/>
      <c r="E26" s="1433"/>
      <c r="G26" s="1433">
        <v>70998230</v>
      </c>
      <c r="H26" s="1936"/>
      <c r="I26" s="1437" t="s">
        <v>791</v>
      </c>
      <c r="J26" s="1433"/>
      <c r="K26" s="1433">
        <v>79831448</v>
      </c>
      <c r="N26" s="1013" t="s">
        <v>94</v>
      </c>
    </row>
    <row r="27" spans="1:14">
      <c r="A27" s="1437"/>
      <c r="B27" s="1013">
        <v>911604477</v>
      </c>
      <c r="C27" s="1936"/>
      <c r="D27" s="1437" t="s">
        <v>792</v>
      </c>
      <c r="E27" s="1433"/>
      <c r="F27" s="1013">
        <v>965263776</v>
      </c>
      <c r="G27" s="1433" t="s">
        <v>94</v>
      </c>
      <c r="H27" s="1936"/>
      <c r="I27" s="1437" t="s">
        <v>793</v>
      </c>
      <c r="J27" s="1433"/>
      <c r="K27" s="1433" t="s">
        <v>94</v>
      </c>
    </row>
    <row r="28" spans="1:14">
      <c r="A28" s="1437"/>
      <c r="B28" s="1013">
        <v>18510939</v>
      </c>
      <c r="C28" s="1936"/>
      <c r="D28" s="1437" t="s">
        <v>794</v>
      </c>
      <c r="E28" s="1433"/>
      <c r="F28" s="1013">
        <v>15141491</v>
      </c>
      <c r="G28" s="1936" t="s">
        <v>94</v>
      </c>
      <c r="H28" s="1936"/>
      <c r="I28" s="2160" t="s">
        <v>94</v>
      </c>
      <c r="J28" s="1936"/>
      <c r="K28" s="1433" t="s">
        <v>94</v>
      </c>
      <c r="L28" s="1458"/>
    </row>
    <row r="29" spans="1:14">
      <c r="A29" s="1437"/>
      <c r="C29" s="1936"/>
      <c r="D29" s="1437"/>
      <c r="E29" s="1433"/>
      <c r="G29" s="1433" t="s">
        <v>94</v>
      </c>
      <c r="H29" s="1936"/>
      <c r="I29" s="1437" t="s">
        <v>94</v>
      </c>
      <c r="J29" s="1433" t="s">
        <v>94</v>
      </c>
      <c r="K29" s="1433"/>
    </row>
    <row r="30" spans="1:14">
      <c r="A30" s="1437"/>
      <c r="B30" s="1013">
        <v>325817671</v>
      </c>
      <c r="C30" s="1936"/>
      <c r="D30" s="1437" t="s">
        <v>795</v>
      </c>
      <c r="E30" s="1433"/>
      <c r="F30" s="1013">
        <v>1397107972</v>
      </c>
      <c r="G30" s="1015">
        <f>+G21+G26</f>
        <v>37168797378</v>
      </c>
      <c r="H30" s="2161"/>
      <c r="I30" s="2162" t="s">
        <v>499</v>
      </c>
      <c r="J30" s="1015"/>
      <c r="K30" s="1935">
        <f>+K26+K20+K13+K11+K9</f>
        <v>39779131184</v>
      </c>
    </row>
    <row r="31" spans="1:14">
      <c r="A31" s="1437"/>
      <c r="B31" s="1013">
        <v>0</v>
      </c>
      <c r="C31" s="1936"/>
      <c r="D31" s="1437" t="s">
        <v>796</v>
      </c>
      <c r="E31" s="1433"/>
      <c r="F31" s="1013">
        <v>0</v>
      </c>
      <c r="G31" s="1433"/>
      <c r="H31" s="1936"/>
      <c r="I31" s="2160" t="s">
        <v>94</v>
      </c>
      <c r="J31" s="1433" t="s">
        <v>94</v>
      </c>
      <c r="K31" s="1440" t="s">
        <v>94</v>
      </c>
    </row>
    <row r="32" spans="1:14">
      <c r="A32" s="1437"/>
      <c r="B32" s="1437"/>
      <c r="C32" s="1936"/>
      <c r="D32" s="1437"/>
      <c r="E32" s="1433"/>
      <c r="G32" s="1433"/>
      <c r="H32" s="1936"/>
      <c r="I32" s="1437" t="s">
        <v>94</v>
      </c>
      <c r="J32" s="1433" t="s">
        <v>94</v>
      </c>
      <c r="K32" s="1433"/>
    </row>
    <row r="33" spans="1:12">
      <c r="A33" s="1437"/>
      <c r="B33" s="1437" t="s">
        <v>94</v>
      </c>
      <c r="C33" s="1936"/>
      <c r="D33" s="1437" t="s">
        <v>797</v>
      </c>
      <c r="E33" s="1433"/>
      <c r="G33" s="1433">
        <v>0</v>
      </c>
      <c r="H33" s="1936"/>
      <c r="I33" s="1437" t="s">
        <v>798</v>
      </c>
      <c r="J33" s="1433" t="s">
        <v>94</v>
      </c>
      <c r="K33" s="1433">
        <v>0</v>
      </c>
    </row>
    <row r="34" spans="1:12">
      <c r="A34" s="1437"/>
      <c r="B34" s="1013">
        <v>46175597</v>
      </c>
      <c r="C34" s="1936"/>
      <c r="D34" s="1437" t="s">
        <v>799</v>
      </c>
      <c r="E34" s="1433"/>
      <c r="F34" s="1013">
        <v>48928959</v>
      </c>
      <c r="G34" s="1433"/>
      <c r="H34" s="1936"/>
      <c r="I34" s="1437" t="s">
        <v>94</v>
      </c>
      <c r="J34" s="1433"/>
      <c r="K34" s="1433"/>
    </row>
    <row r="35" spans="1:12">
      <c r="B35" s="1433"/>
      <c r="C35" s="1936"/>
      <c r="E35" s="1433"/>
      <c r="G35" s="1433"/>
      <c r="H35" s="1936"/>
      <c r="I35" s="1437" t="s">
        <v>94</v>
      </c>
      <c r="J35" s="1433"/>
      <c r="K35" s="1433"/>
    </row>
    <row r="36" spans="1:12">
      <c r="B36" s="1433" t="s">
        <v>94</v>
      </c>
      <c r="C36" s="1936"/>
      <c r="D36" s="1437" t="s">
        <v>94</v>
      </c>
      <c r="E36" s="1433"/>
      <c r="F36" s="1013" t="s">
        <v>94</v>
      </c>
      <c r="G36" s="1433"/>
      <c r="H36" s="1936"/>
      <c r="I36" s="1437" t="s">
        <v>94</v>
      </c>
      <c r="J36" s="1433"/>
      <c r="K36" s="1433"/>
    </row>
    <row r="37" spans="1:12">
      <c r="B37" s="1015">
        <f>SUM(B13:B36)</f>
        <v>35914612572</v>
      </c>
      <c r="C37" s="1936"/>
      <c r="D37" s="2163" t="s">
        <v>499</v>
      </c>
      <c r="E37" s="2164" t="s">
        <v>801</v>
      </c>
      <c r="F37" s="1015">
        <f>SUM(F9:F36)</f>
        <v>38005531365</v>
      </c>
      <c r="G37" s="1433"/>
      <c r="H37" s="1936"/>
      <c r="I37" s="1437"/>
      <c r="J37" s="1433"/>
      <c r="K37" s="1433"/>
    </row>
    <row r="38" spans="1:12">
      <c r="B38" s="2165">
        <v>1254184806</v>
      </c>
      <c r="C38" s="1936"/>
      <c r="D38" s="1437" t="s">
        <v>802</v>
      </c>
      <c r="E38" s="1433"/>
      <c r="F38" s="1962">
        <f>K30-F37</f>
        <v>1773599819</v>
      </c>
      <c r="G38" s="1433"/>
      <c r="H38" s="1936"/>
      <c r="I38" s="1437" t="s">
        <v>94</v>
      </c>
      <c r="J38" s="1433"/>
      <c r="K38" s="1433"/>
    </row>
    <row r="39" spans="1:12">
      <c r="B39" s="2165" t="s">
        <v>94</v>
      </c>
      <c r="C39" s="2166"/>
      <c r="D39" s="1437"/>
      <c r="E39" s="1433"/>
      <c r="F39" s="1444"/>
      <c r="G39" s="1433"/>
      <c r="H39" s="2166"/>
      <c r="I39" s="1437"/>
      <c r="J39" s="1433"/>
      <c r="K39" s="1433"/>
    </row>
    <row r="40" spans="1:12">
      <c r="B40" s="1022">
        <f>+B37+B38</f>
        <v>37168797378</v>
      </c>
      <c r="C40" s="2167"/>
      <c r="D40" s="2162" t="s">
        <v>499</v>
      </c>
      <c r="E40" s="2168"/>
      <c r="F40" s="1022">
        <f>F37+F38</f>
        <v>39779131184</v>
      </c>
      <c r="G40" s="1022">
        <f>+G30+G33</f>
        <v>37168797378</v>
      </c>
      <c r="H40" s="2167"/>
      <c r="I40" s="2162" t="s">
        <v>499</v>
      </c>
      <c r="J40" s="1022"/>
      <c r="K40" s="1022">
        <f>+F40</f>
        <v>39779131184</v>
      </c>
    </row>
    <row r="41" spans="1:12">
      <c r="B41" s="1458" t="s">
        <v>94</v>
      </c>
      <c r="C41" s="2169"/>
      <c r="D41" s="1458"/>
      <c r="E41" s="1458"/>
      <c r="F41" s="1458"/>
      <c r="G41" s="1458"/>
      <c r="H41" s="1458"/>
      <c r="I41" s="1458"/>
      <c r="J41" s="1458"/>
      <c r="K41" s="1458"/>
      <c r="L41" s="1458"/>
    </row>
    <row r="42" spans="1:12">
      <c r="D42" s="2170" t="s">
        <v>2495</v>
      </c>
      <c r="K42" s="1013" t="s">
        <v>94</v>
      </c>
    </row>
    <row r="43" spans="1:12">
      <c r="F43" s="1013" t="s">
        <v>94</v>
      </c>
    </row>
    <row r="59" spans="9:9">
      <c r="I59" s="1458"/>
    </row>
  </sheetData>
  <mergeCells count="2">
    <mergeCell ref="C7:D7"/>
    <mergeCell ref="H7:I7"/>
  </mergeCells>
  <printOptions horizontalCentered="1" verticalCentered="1"/>
  <pageMargins left="0.25" right="0.25" top="0.5" bottom="0.5" header="0.3" footer="0.3"/>
  <pageSetup paperSize="9" scale="76" orientation="landscape" horizontalDpi="120" verticalDpi="72" r:id="rId1"/>
</worksheet>
</file>

<file path=xl/worksheets/sheet77.xml><?xml version="1.0" encoding="utf-8"?>
<worksheet xmlns="http://schemas.openxmlformats.org/spreadsheetml/2006/main" xmlns:r="http://schemas.openxmlformats.org/officeDocument/2006/relationships">
  <sheetPr codeName="Sheet56"/>
  <dimension ref="B2:L36"/>
  <sheetViews>
    <sheetView showGridLines="0" workbookViewId="0">
      <selection activeCell="K9" sqref="K9"/>
    </sheetView>
  </sheetViews>
  <sheetFormatPr defaultRowHeight="15"/>
  <cols>
    <col min="3" max="4" width="20.7109375" customWidth="1"/>
    <col min="5" max="5" width="20" customWidth="1"/>
    <col min="8" max="8" width="19.28515625" customWidth="1"/>
  </cols>
  <sheetData>
    <row r="2" spans="2:12" ht="15.75" thickBot="1"/>
    <row r="3" spans="2:12" ht="15.75" thickBot="1">
      <c r="C3" s="6033" t="s">
        <v>2824</v>
      </c>
      <c r="D3" s="6034"/>
      <c r="E3" s="6035"/>
      <c r="F3" s="6035"/>
      <c r="G3" s="6035"/>
      <c r="H3" s="6035"/>
      <c r="I3" s="6036"/>
      <c r="J3" s="3456"/>
      <c r="K3" s="3456"/>
      <c r="L3" s="3456"/>
    </row>
    <row r="4" spans="2:12">
      <c r="I4" t="s">
        <v>151</v>
      </c>
    </row>
    <row r="5" spans="2:12" ht="33" customHeight="1">
      <c r="B5" s="6027" t="s">
        <v>2834</v>
      </c>
      <c r="C5" s="1715" t="s">
        <v>2344</v>
      </c>
      <c r="D5" s="1715" t="s">
        <v>2724</v>
      </c>
      <c r="E5" s="1715" t="s">
        <v>2825</v>
      </c>
      <c r="F5" s="1715" t="s">
        <v>2387</v>
      </c>
      <c r="G5" s="1715" t="s">
        <v>2826</v>
      </c>
      <c r="H5" s="1715" t="s">
        <v>2827</v>
      </c>
      <c r="I5" s="1715" t="s">
        <v>187</v>
      </c>
    </row>
    <row r="6" spans="2:12">
      <c r="B6" s="6028"/>
      <c r="C6" s="1" t="s">
        <v>2378</v>
      </c>
      <c r="D6" s="3343">
        <v>0.13500000000000001</v>
      </c>
      <c r="E6" s="3439">
        <v>57.5</v>
      </c>
      <c r="F6" s="3439">
        <f>'E13_H1-2012-13'!J13/100</f>
        <v>0</v>
      </c>
      <c r="G6" s="3439">
        <v>5.75</v>
      </c>
      <c r="H6" s="3439">
        <f>E6-G6</f>
        <v>51.75</v>
      </c>
      <c r="I6" s="3439">
        <v>3.67</v>
      </c>
    </row>
    <row r="7" spans="2:12">
      <c r="B7" s="6028"/>
      <c r="C7" s="1" t="s">
        <v>2935</v>
      </c>
      <c r="D7" s="3343">
        <v>0.13</v>
      </c>
      <c r="E7" s="3439">
        <v>225</v>
      </c>
      <c r="F7" s="3439">
        <f>'E13_H1-2012-13'!J14/100</f>
        <v>0</v>
      </c>
      <c r="G7" s="3439">
        <v>0</v>
      </c>
      <c r="H7" s="3439">
        <f t="shared" ref="H7:H9" si="0">E7-G7</f>
        <v>225</v>
      </c>
      <c r="I7" s="3439">
        <v>7.23</v>
      </c>
    </row>
    <row r="8" spans="2:12">
      <c r="B8" s="6028"/>
      <c r="C8" s="1" t="s">
        <v>2390</v>
      </c>
      <c r="D8" s="5367">
        <v>0.1075</v>
      </c>
      <c r="E8" s="3439">
        <v>58.75</v>
      </c>
      <c r="F8" s="3439">
        <f>'E13_H1-2012-13'!J41/100</f>
        <v>0</v>
      </c>
      <c r="G8" s="3439">
        <f>'E13_H1-2012-13'!M41/100</f>
        <v>50</v>
      </c>
      <c r="H8" s="3439">
        <f t="shared" si="0"/>
        <v>8.75</v>
      </c>
      <c r="I8" s="3439">
        <f>'E13_H1-2012-13'!S41/100</f>
        <v>1.6893</v>
      </c>
    </row>
    <row r="9" spans="2:12">
      <c r="B9" s="6028"/>
      <c r="C9" s="1" t="s">
        <v>2391</v>
      </c>
      <c r="D9" s="3343">
        <v>0.1075</v>
      </c>
      <c r="E9" s="3439">
        <v>149.9</v>
      </c>
      <c r="F9" s="3439">
        <f>'E13_H1-2012-13'!J51/100</f>
        <v>0</v>
      </c>
      <c r="G9" s="3439">
        <v>100.2</v>
      </c>
      <c r="H9" s="3439">
        <f t="shared" si="0"/>
        <v>49.7</v>
      </c>
      <c r="I9" s="3439">
        <v>5.0999999999999996</v>
      </c>
    </row>
    <row r="10" spans="2:12">
      <c r="B10" s="6029"/>
      <c r="C10" s="3683" t="s">
        <v>47</v>
      </c>
      <c r="D10" s="3683"/>
      <c r="E10" s="3438">
        <f>SUM(E6:E9)</f>
        <v>491.15</v>
      </c>
      <c r="F10" s="3438">
        <f t="shared" ref="F10:I10" si="1">SUM(F6:F9)</f>
        <v>0</v>
      </c>
      <c r="G10" s="3438">
        <f t="shared" si="1"/>
        <v>155.94999999999999</v>
      </c>
      <c r="H10" s="3438">
        <f t="shared" si="1"/>
        <v>335.2</v>
      </c>
      <c r="I10" s="3438">
        <f t="shared" si="1"/>
        <v>17.689299999999999</v>
      </c>
    </row>
    <row r="12" spans="2:12">
      <c r="I12" t="s">
        <v>151</v>
      </c>
    </row>
    <row r="13" spans="2:12" ht="45">
      <c r="B13" s="6027" t="s">
        <v>2835</v>
      </c>
      <c r="C13" s="1715" t="s">
        <v>2344</v>
      </c>
      <c r="D13" s="1715" t="s">
        <v>2724</v>
      </c>
      <c r="E13" s="1715" t="s">
        <v>2832</v>
      </c>
      <c r="F13" s="1715" t="s">
        <v>2387</v>
      </c>
      <c r="G13" s="1715" t="s">
        <v>2826</v>
      </c>
      <c r="H13" s="1715" t="s">
        <v>2833</v>
      </c>
      <c r="I13" s="1715" t="s">
        <v>187</v>
      </c>
    </row>
    <row r="14" spans="2:12">
      <c r="B14" s="6028"/>
      <c r="C14" s="1" t="s">
        <v>2378</v>
      </c>
      <c r="D14" s="3343">
        <v>0.13500000000000001</v>
      </c>
      <c r="E14" s="3455">
        <f>H6</f>
        <v>51.75</v>
      </c>
      <c r="F14" s="3455">
        <f>'E13_H2-2012-13'!J7/100</f>
        <v>0</v>
      </c>
      <c r="G14" s="3455">
        <v>5.75</v>
      </c>
      <c r="H14" s="3455">
        <f>E14+F14-G14</f>
        <v>46</v>
      </c>
      <c r="I14" s="3455">
        <v>3.23</v>
      </c>
    </row>
    <row r="15" spans="2:12">
      <c r="B15" s="6028"/>
      <c r="C15" s="1" t="s">
        <v>2935</v>
      </c>
      <c r="D15" s="3343">
        <v>0.13</v>
      </c>
      <c r="E15" s="3455">
        <f t="shared" ref="E15:E17" si="2">H7</f>
        <v>225</v>
      </c>
      <c r="F15" s="3455">
        <f>'E13_H2-2012-13'!J8/100</f>
        <v>0</v>
      </c>
      <c r="G15" s="3455">
        <v>0</v>
      </c>
      <c r="H15" s="3455">
        <f t="shared" ref="H15:H17" si="3">E15+F15-G15</f>
        <v>225</v>
      </c>
      <c r="I15" s="3455">
        <v>1.2</v>
      </c>
    </row>
    <row r="16" spans="2:12">
      <c r="B16" s="6028"/>
      <c r="C16" s="1" t="s">
        <v>2390</v>
      </c>
      <c r="D16" s="5367">
        <v>0.1075</v>
      </c>
      <c r="E16" s="3455">
        <f t="shared" si="2"/>
        <v>8.75</v>
      </c>
      <c r="F16" s="3455">
        <v>0</v>
      </c>
      <c r="G16" s="3455">
        <v>0</v>
      </c>
      <c r="H16" s="3455"/>
      <c r="I16" s="3455">
        <v>0</v>
      </c>
    </row>
    <row r="17" spans="2:9">
      <c r="B17" s="6028"/>
      <c r="C17" s="1" t="s">
        <v>2391</v>
      </c>
      <c r="D17" s="3343">
        <v>0.1075</v>
      </c>
      <c r="E17" s="3455">
        <f t="shared" si="2"/>
        <v>49.7</v>
      </c>
      <c r="F17" s="3455">
        <f>'E13_H2-2012-13'!J45/100</f>
        <v>0</v>
      </c>
      <c r="G17" s="3455">
        <v>49.7</v>
      </c>
      <c r="H17" s="3455">
        <f t="shared" si="3"/>
        <v>0</v>
      </c>
      <c r="I17" s="3455">
        <v>1.05</v>
      </c>
    </row>
    <row r="18" spans="2:9">
      <c r="B18" s="6029"/>
      <c r="C18" s="3454" t="s">
        <v>2302</v>
      </c>
      <c r="D18" s="3343">
        <v>0.1</v>
      </c>
      <c r="E18" s="3455">
        <v>0</v>
      </c>
      <c r="F18" s="3455">
        <v>400</v>
      </c>
      <c r="G18" s="3455">
        <v>0</v>
      </c>
      <c r="H18" s="3455">
        <f>E18+F18-G18</f>
        <v>400</v>
      </c>
      <c r="I18" s="3455">
        <v>0.98</v>
      </c>
    </row>
    <row r="19" spans="2:9">
      <c r="C19" s="3683" t="s">
        <v>47</v>
      </c>
      <c r="D19" s="3683"/>
      <c r="E19" s="3684">
        <f>SUM(E14:E18)</f>
        <v>335.2</v>
      </c>
      <c r="F19" s="3684">
        <f t="shared" ref="F19:I19" si="4">SUM(F14:F18)</f>
        <v>400</v>
      </c>
      <c r="G19" s="3684">
        <f t="shared" si="4"/>
        <v>55.45</v>
      </c>
      <c r="H19" s="3684">
        <f t="shared" si="4"/>
        <v>671</v>
      </c>
      <c r="I19" s="3684">
        <f t="shared" si="4"/>
        <v>6.4599999999999991</v>
      </c>
    </row>
    <row r="20" spans="2:9">
      <c r="C20" s="2703"/>
      <c r="D20" s="2703"/>
      <c r="E20" s="3682"/>
      <c r="F20" s="3682"/>
      <c r="G20" s="3682"/>
      <c r="H20" s="3682"/>
      <c r="I20" s="3682"/>
    </row>
    <row r="21" spans="2:9" ht="15.75" thickBot="1">
      <c r="I21" t="s">
        <v>151</v>
      </c>
    </row>
    <row r="22" spans="2:9" ht="15.75" thickBot="1">
      <c r="C22" s="6030" t="s">
        <v>2829</v>
      </c>
      <c r="D22" s="6031"/>
      <c r="E22" s="6031"/>
      <c r="F22" s="6031"/>
      <c r="G22" s="6031"/>
      <c r="H22" s="6031"/>
      <c r="I22" s="6032"/>
    </row>
    <row r="24" spans="2:9" ht="45">
      <c r="B24" s="6027" t="s">
        <v>2834</v>
      </c>
      <c r="C24" s="1715" t="s">
        <v>2344</v>
      </c>
      <c r="D24" s="1715" t="s">
        <v>2724</v>
      </c>
      <c r="E24" s="1715" t="s">
        <v>2825</v>
      </c>
      <c r="F24" s="1715" t="s">
        <v>2387</v>
      </c>
      <c r="G24" s="1715" t="s">
        <v>2826</v>
      </c>
      <c r="H24" s="1715" t="s">
        <v>2827</v>
      </c>
      <c r="I24" s="1715" t="s">
        <v>187</v>
      </c>
    </row>
    <row r="25" spans="2:9">
      <c r="B25" s="6028"/>
      <c r="C25" s="1" t="s">
        <v>585</v>
      </c>
      <c r="D25" s="3343">
        <v>0.1065</v>
      </c>
      <c r="E25" s="3455">
        <f>'E13_H1-2012-13'!G29/100</f>
        <v>63</v>
      </c>
      <c r="F25" s="3455">
        <f>'E13_H1-2012-13'!J29/100</f>
        <v>0</v>
      </c>
      <c r="G25" s="3455">
        <f>'E13_H1-2012-13'!M29/100</f>
        <v>36</v>
      </c>
      <c r="H25" s="3455">
        <f>'E13_H1-2012-13'!P29/100</f>
        <v>27</v>
      </c>
      <c r="I25" s="3455">
        <f>'E13_H1-2012-13'!S29/100</f>
        <v>2.3150999999999997</v>
      </c>
    </row>
    <row r="26" spans="2:9">
      <c r="B26" s="6028"/>
      <c r="C26" s="1" t="s">
        <v>2830</v>
      </c>
      <c r="D26" s="3343">
        <v>0.14249999999999999</v>
      </c>
      <c r="E26" s="3455">
        <f>'E13_H1-2012-13'!G52/100</f>
        <v>1.5958003999999999</v>
      </c>
      <c r="F26" s="3455">
        <f>'E13_H1-2012-13'!J52/100</f>
        <v>0</v>
      </c>
      <c r="G26" s="3455">
        <f>'E13_H1-2012-13'!M52/100</f>
        <v>0</v>
      </c>
      <c r="H26" s="3455">
        <f>'E13_H1-2012-13'!P52/100</f>
        <v>1.5958003999999999</v>
      </c>
      <c r="I26" s="3455">
        <f>'E13_H1-2012-13'!S52/100</f>
        <v>0</v>
      </c>
    </row>
    <row r="27" spans="2:9">
      <c r="B27" s="6029"/>
      <c r="C27" s="1" t="s">
        <v>2831</v>
      </c>
      <c r="D27" s="3429" t="s">
        <v>2839</v>
      </c>
      <c r="E27" s="3455">
        <f>'E13_H1-2012-13'!G53/100</f>
        <v>37.984999999999999</v>
      </c>
      <c r="F27" s="3455">
        <f>'E13_H1-2012-13'!J53/100</f>
        <v>0</v>
      </c>
      <c r="G27" s="3455">
        <f>'E13_H1-2012-13'!M53/100</f>
        <v>0</v>
      </c>
      <c r="H27" s="3455">
        <f>'E13_H1-2012-13'!P53/100</f>
        <v>37.984999999999999</v>
      </c>
      <c r="I27" s="3455">
        <f>'E13_H1-2012-13'!S53/100</f>
        <v>0</v>
      </c>
    </row>
    <row r="30" spans="2:9">
      <c r="I30" t="s">
        <v>151</v>
      </c>
    </row>
    <row r="31" spans="2:9" ht="45">
      <c r="B31" s="6027" t="s">
        <v>2835</v>
      </c>
      <c r="C31" s="1715" t="s">
        <v>2344</v>
      </c>
      <c r="D31" s="1715" t="s">
        <v>2724</v>
      </c>
      <c r="E31" s="1715" t="s">
        <v>2832</v>
      </c>
      <c r="F31" s="1715" t="s">
        <v>2387</v>
      </c>
      <c r="G31" s="1715" t="s">
        <v>2826</v>
      </c>
      <c r="H31" s="1715" t="s">
        <v>2833</v>
      </c>
      <c r="I31" s="1715" t="s">
        <v>187</v>
      </c>
    </row>
    <row r="32" spans="2:9">
      <c r="B32" s="6028"/>
      <c r="C32" s="1" t="s">
        <v>585</v>
      </c>
      <c r="D32" s="3343">
        <v>0.1065</v>
      </c>
      <c r="E32" s="3439">
        <f>'E13_H2-2012-13'!G22/100</f>
        <v>27</v>
      </c>
      <c r="F32" s="3439">
        <f>'E13_H2-2012-13'!J22/100</f>
        <v>0</v>
      </c>
      <c r="G32" s="3439">
        <f>'E13_H2-2012-13'!M22/100</f>
        <v>27</v>
      </c>
      <c r="H32" s="3439">
        <f>'E13_H2-2012-13'!P22/100</f>
        <v>0</v>
      </c>
      <c r="I32" s="3439">
        <f>'E13_H2-2012-13'!S22/100</f>
        <v>0.5024249999999999</v>
      </c>
    </row>
    <row r="33" spans="2:9">
      <c r="B33" s="6028"/>
      <c r="C33" s="1" t="s">
        <v>2635</v>
      </c>
      <c r="D33" s="3343">
        <v>0.1075</v>
      </c>
      <c r="E33" s="3439">
        <f>'E13_H2-2012-13'!G33/100</f>
        <v>8.75</v>
      </c>
      <c r="F33" s="3439">
        <f>'E13_H2-2012-13'!J33/100</f>
        <v>0</v>
      </c>
      <c r="G33" s="3439">
        <f>'E13_H2-2012-13'!M33/100</f>
        <v>8.75</v>
      </c>
      <c r="H33" s="3439">
        <f>'E13_H2-2012-13'!P33/100</f>
        <v>0</v>
      </c>
      <c r="I33" s="3439">
        <f>'E13_H2-2012-13'!S33/100</f>
        <v>7.4000000000000003E-3</v>
      </c>
    </row>
    <row r="34" spans="2:9">
      <c r="B34" s="6028"/>
      <c r="C34" s="1"/>
      <c r="D34" s="3457">
        <v>0.11</v>
      </c>
      <c r="E34" s="3439">
        <f>'E13_H2-2012-13'!G37/100</f>
        <v>0</v>
      </c>
      <c r="F34" s="3439">
        <f>'E13_H2-2012-13'!J37/100</f>
        <v>90</v>
      </c>
      <c r="G34" s="3439">
        <f>'E13_H2-2012-13'!M37/100</f>
        <v>22.545000000000002</v>
      </c>
      <c r="H34" s="3439">
        <f>'E13_H2-2012-13'!P37/100</f>
        <v>67.454999999999998</v>
      </c>
      <c r="I34" s="3439">
        <f>'E13_H2-2012-13'!S37/100</f>
        <v>2.4962999999999997</v>
      </c>
    </row>
    <row r="35" spans="2:9">
      <c r="B35" s="6028"/>
      <c r="C35" s="1" t="s">
        <v>2830</v>
      </c>
      <c r="D35" s="3343">
        <v>0.14249999999999999</v>
      </c>
      <c r="E35" s="3439">
        <f>'E13_H2-2012-13'!G46/100</f>
        <v>1.5958003999999999</v>
      </c>
      <c r="F35" s="3439">
        <f>'E13_H2-2012-13'!J46/100</f>
        <v>0</v>
      </c>
      <c r="G35" s="3439">
        <f>'E13_H2-2012-13'!M46/100</f>
        <v>0.15958330000000001</v>
      </c>
      <c r="H35" s="3439">
        <f>'E13_H2-2012-13'!P46/100</f>
        <v>1.4362171000000001</v>
      </c>
      <c r="I35" s="3439">
        <f>'E13_H2-2012-13'!S46/100</f>
        <v>0.22740630000000001</v>
      </c>
    </row>
    <row r="36" spans="2:9">
      <c r="B36" s="6029"/>
      <c r="C36" s="1" t="s">
        <v>2831</v>
      </c>
      <c r="D36" s="3429" t="s">
        <v>2839</v>
      </c>
      <c r="E36" s="3439">
        <f>'E13_H2-2012-13'!G47/100</f>
        <v>37.984999999999999</v>
      </c>
      <c r="F36" s="3439">
        <f>'E13_H2-2012-13'!J47/100</f>
        <v>0</v>
      </c>
      <c r="G36" s="3439">
        <f>'E13_H2-2012-13'!M47/100</f>
        <v>0</v>
      </c>
      <c r="H36" s="3439">
        <f>'E13_H2-2012-13'!P47/100</f>
        <v>37.984999999999999</v>
      </c>
      <c r="I36" s="3439">
        <f>'E13_H2-2012-13'!S47/100</f>
        <v>2.8801391000000001</v>
      </c>
    </row>
  </sheetData>
  <mergeCells count="6">
    <mergeCell ref="B24:B27"/>
    <mergeCell ref="B31:B36"/>
    <mergeCell ref="C22:I22"/>
    <mergeCell ref="C3:I3"/>
    <mergeCell ref="B5:B10"/>
    <mergeCell ref="B13:B18"/>
  </mergeCells>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Sheet57"/>
  <dimension ref="B2:L30"/>
  <sheetViews>
    <sheetView showGridLines="0" workbookViewId="0">
      <selection activeCell="E8" sqref="E8:E9"/>
    </sheetView>
  </sheetViews>
  <sheetFormatPr defaultRowHeight="15"/>
  <cols>
    <col min="3" max="4" width="20.7109375" customWidth="1"/>
    <col min="5" max="5" width="20" customWidth="1"/>
    <col min="8" max="8" width="19.28515625" customWidth="1"/>
  </cols>
  <sheetData>
    <row r="2" spans="2:12" ht="15.75" thickBot="1"/>
    <row r="3" spans="2:12" ht="15.75" thickBot="1">
      <c r="C3" s="6033" t="s">
        <v>2836</v>
      </c>
      <c r="D3" s="6034"/>
      <c r="E3" s="6035"/>
      <c r="F3" s="6035"/>
      <c r="G3" s="6035"/>
      <c r="H3" s="6035"/>
      <c r="I3" s="6036"/>
      <c r="J3" s="3456"/>
      <c r="K3" s="3456"/>
      <c r="L3" s="3456"/>
    </row>
    <row r="4" spans="2:12">
      <c r="I4" t="s">
        <v>151</v>
      </c>
    </row>
    <row r="5" spans="2:12" ht="33" customHeight="1">
      <c r="B5" s="6027" t="s">
        <v>2834</v>
      </c>
      <c r="C5" s="1715" t="s">
        <v>2344</v>
      </c>
      <c r="D5" s="1715" t="s">
        <v>2840</v>
      </c>
      <c r="E5" s="1715" t="s">
        <v>2825</v>
      </c>
      <c r="F5" s="1715" t="s">
        <v>2387</v>
      </c>
      <c r="G5" s="1715" t="s">
        <v>2826</v>
      </c>
      <c r="H5" s="1715" t="s">
        <v>2827</v>
      </c>
      <c r="I5" s="1715" t="s">
        <v>187</v>
      </c>
    </row>
    <row r="6" spans="2:12">
      <c r="B6" s="6028"/>
      <c r="C6" s="1" t="s">
        <v>2391</v>
      </c>
      <c r="D6" s="3343">
        <v>0.13500000000000001</v>
      </c>
      <c r="E6" s="3439">
        <f>'E13_H1F-2013-14'!G33/100</f>
        <v>46</v>
      </c>
      <c r="F6" s="3439">
        <f>'E13_H1F-2013-14'!J33/100</f>
        <v>0</v>
      </c>
      <c r="G6" s="3439">
        <f>'E13_H1F-2013-14'!M33/100</f>
        <v>5.75</v>
      </c>
      <c r="H6" s="3439">
        <f>'E13_H1F-2013-14'!P33/100</f>
        <v>40.25</v>
      </c>
      <c r="I6" s="3439">
        <f>'E13_H1F-2013-14'!S33/100</f>
        <v>2.8285</v>
      </c>
    </row>
    <row r="7" spans="2:12">
      <c r="B7" s="6028"/>
      <c r="C7" t="s">
        <v>2394</v>
      </c>
      <c r="D7" s="3458">
        <v>0.1</v>
      </c>
      <c r="E7" s="3439">
        <f>'E13_H1F-2013-14'!G37/100</f>
        <v>400</v>
      </c>
      <c r="F7" s="3439">
        <f>'E13_H1F-2013-14'!J37/100</f>
        <v>400</v>
      </c>
      <c r="G7" s="3439">
        <f>'E13_H1F-2013-14'!M37/100</f>
        <v>0</v>
      </c>
      <c r="H7" s="3439">
        <f>'E13_H1F-2013-14'!P37/100</f>
        <v>800</v>
      </c>
      <c r="I7" s="3439">
        <f>'E13_H1F-2013-14'!S37/100</f>
        <v>29.187199799999998</v>
      </c>
    </row>
    <row r="8" spans="2:12" ht="31.5" customHeight="1">
      <c r="B8" s="6029"/>
      <c r="C8" s="3454" t="s">
        <v>2828</v>
      </c>
      <c r="D8" s="3454"/>
      <c r="E8" s="3439"/>
      <c r="F8" s="3439"/>
      <c r="G8" s="3439"/>
      <c r="H8" s="3439"/>
      <c r="I8" s="3439">
        <f>'E13_H1F-2013-14'!S41/100</f>
        <v>4.4488000000000003</v>
      </c>
    </row>
    <row r="10" spans="2:12">
      <c r="I10" t="s">
        <v>151</v>
      </c>
    </row>
    <row r="11" spans="2:12" ht="45">
      <c r="B11" s="6027" t="s">
        <v>2835</v>
      </c>
      <c r="C11" s="1715" t="s">
        <v>2344</v>
      </c>
      <c r="D11" s="1715" t="s">
        <v>2840</v>
      </c>
      <c r="E11" s="1715" t="s">
        <v>2832</v>
      </c>
      <c r="F11" s="1715" t="s">
        <v>2387</v>
      </c>
      <c r="G11" s="1715" t="s">
        <v>2826</v>
      </c>
      <c r="H11" s="1715" t="s">
        <v>2833</v>
      </c>
      <c r="I11" s="1715" t="s">
        <v>187</v>
      </c>
    </row>
    <row r="12" spans="2:12">
      <c r="B12" s="6028"/>
      <c r="C12" s="1" t="s">
        <v>2391</v>
      </c>
      <c r="D12" s="3343">
        <v>0.13500000000000001</v>
      </c>
      <c r="E12" s="3455">
        <f>'E13_H2F-2013-14'!G41/100</f>
        <v>40.25</v>
      </c>
      <c r="F12" s="3455">
        <f>'E13_H2F-2013-14'!J41/100</f>
        <v>0</v>
      </c>
      <c r="G12" s="3455">
        <f>'E13_H2F-2013-14'!M41/100</f>
        <v>5.75</v>
      </c>
      <c r="H12" s="3455">
        <f>'E13_H2F-2013-14'!P41/100</f>
        <v>34.5</v>
      </c>
      <c r="I12" s="3455">
        <f>'E13_H2F-2013-14'!S41/100</f>
        <v>2.3949000000000003</v>
      </c>
    </row>
    <row r="13" spans="2:12">
      <c r="B13" s="6028"/>
      <c r="C13" t="s">
        <v>2394</v>
      </c>
      <c r="D13" s="3458">
        <v>0.1</v>
      </c>
      <c r="E13" s="3455">
        <f>'E13_H2F-2013-14'!G45/100</f>
        <v>800</v>
      </c>
      <c r="F13" s="3455">
        <f>'E13_H2F-2013-14'!J45/100</f>
        <v>800</v>
      </c>
      <c r="G13" s="3455">
        <f>'E13_H2F-2013-14'!M45/100</f>
        <v>0</v>
      </c>
      <c r="H13" s="3455">
        <f>'E13_H2F-2013-14'!P45/100</f>
        <v>1600</v>
      </c>
      <c r="I13" s="3455">
        <f>'E13_H2F-2013-14'!S45/100</f>
        <v>86.028633499999998</v>
      </c>
    </row>
    <row r="14" spans="2:12">
      <c r="B14" s="6029"/>
      <c r="C14" s="3454" t="s">
        <v>2828</v>
      </c>
      <c r="D14" s="3454"/>
      <c r="E14" s="3455"/>
      <c r="F14" s="3455"/>
      <c r="G14" s="3455"/>
      <c r="H14" s="3455"/>
      <c r="I14" s="3455">
        <f>'E13_H2F-2013-14'!S49/100</f>
        <v>7.5254999999999992</v>
      </c>
    </row>
    <row r="16" spans="2:12" ht="15.75" thickBot="1"/>
    <row r="17" spans="2:9" ht="15.75" thickBot="1">
      <c r="C17" s="6030" t="s">
        <v>2837</v>
      </c>
      <c r="D17" s="6031"/>
      <c r="E17" s="6031"/>
      <c r="F17" s="6031"/>
      <c r="G17" s="6031"/>
      <c r="H17" s="6031"/>
      <c r="I17" s="6032"/>
    </row>
    <row r="18" spans="2:9">
      <c r="I18" t="s">
        <v>151</v>
      </c>
    </row>
    <row r="19" spans="2:9" ht="45">
      <c r="B19" s="6027" t="s">
        <v>2834</v>
      </c>
      <c r="C19" s="1715" t="s">
        <v>2344</v>
      </c>
      <c r="D19" s="1715" t="s">
        <v>2840</v>
      </c>
      <c r="E19" s="1715" t="s">
        <v>2825</v>
      </c>
      <c r="F19" s="1715" t="s">
        <v>2387</v>
      </c>
      <c r="G19" s="1715" t="s">
        <v>2826</v>
      </c>
      <c r="H19" s="1715" t="s">
        <v>2827</v>
      </c>
      <c r="I19" s="1715" t="s">
        <v>187</v>
      </c>
    </row>
    <row r="20" spans="2:9">
      <c r="B20" s="6028"/>
      <c r="C20" s="1" t="s">
        <v>2635</v>
      </c>
      <c r="D20" s="3457">
        <v>0.11</v>
      </c>
      <c r="E20" s="3455">
        <f>'E13_H1F-2013-14'!G24/100</f>
        <v>67.454999999999998</v>
      </c>
      <c r="F20" s="3455">
        <f>'E13_H1F-2013-14'!J24/100</f>
        <v>0</v>
      </c>
      <c r="G20" s="3455">
        <f>'E13_H1F-2013-14'!M24/100</f>
        <v>30.06</v>
      </c>
      <c r="H20" s="3455">
        <f>'E13_H1F-2013-14'!P24/100</f>
        <v>37.395000000000003</v>
      </c>
      <c r="I20" s="3455">
        <f>'E13_H1F-2013-14'!S24/100</f>
        <v>3.0151360350000003</v>
      </c>
    </row>
    <row r="21" spans="2:9">
      <c r="B21" s="6028"/>
      <c r="C21" s="1" t="s">
        <v>2830</v>
      </c>
      <c r="D21" s="3343">
        <v>0.14249999999999999</v>
      </c>
      <c r="E21" s="3455">
        <f>'E13_H1F-2013-14'!G34/100</f>
        <v>1.4362305</v>
      </c>
      <c r="F21" s="3455">
        <f>'E13_H1F-2013-14'!J34/100</f>
        <v>0</v>
      </c>
      <c r="G21" s="3455">
        <f>'E13_H1F-2013-14'!M34/100</f>
        <v>0</v>
      </c>
      <c r="H21" s="3455">
        <f>'E13_H1F-2013-14'!P34/100</f>
        <v>1.4362305</v>
      </c>
      <c r="I21" s="3455">
        <f>'E13_H1F-2013-14'!S34/100</f>
        <v>0</v>
      </c>
    </row>
    <row r="22" spans="2:9">
      <c r="B22" s="6029"/>
      <c r="C22" s="1" t="s">
        <v>2831</v>
      </c>
      <c r="D22" s="3429" t="s">
        <v>2839</v>
      </c>
      <c r="E22" s="3455">
        <f>'E13_H1F-2013-14'!G35/100</f>
        <v>37.984999999999999</v>
      </c>
      <c r="F22" s="3455">
        <f>'E13_H1F-2013-14'!J35/100</f>
        <v>0</v>
      </c>
      <c r="G22" s="3455">
        <f>'E13_H1F-2013-14'!M35/100</f>
        <v>0</v>
      </c>
      <c r="H22" s="3455">
        <f>'E13_H1F-2013-14'!P35/100</f>
        <v>37.984999999999999</v>
      </c>
      <c r="I22" s="3455">
        <f>'E13_H1F-2013-14'!S35/100</f>
        <v>0</v>
      </c>
    </row>
    <row r="25" spans="2:9">
      <c r="I25" t="s">
        <v>151</v>
      </c>
    </row>
    <row r="26" spans="2:9" ht="45">
      <c r="B26" s="6027" t="s">
        <v>2835</v>
      </c>
      <c r="C26" s="1715" t="s">
        <v>2344</v>
      </c>
      <c r="D26" s="1715" t="s">
        <v>2840</v>
      </c>
      <c r="E26" s="1715" t="s">
        <v>2832</v>
      </c>
      <c r="F26" s="1715" t="s">
        <v>2387</v>
      </c>
      <c r="G26" s="1715" t="s">
        <v>2826</v>
      </c>
      <c r="H26" s="1715" t="s">
        <v>2833</v>
      </c>
      <c r="I26" s="1715" t="s">
        <v>187</v>
      </c>
    </row>
    <row r="27" spans="2:9">
      <c r="B27" s="6028"/>
      <c r="C27" s="1" t="s">
        <v>2838</v>
      </c>
      <c r="D27" s="3343">
        <v>0.10249999999999999</v>
      </c>
      <c r="E27" s="3439">
        <f>'E13_H2F-2013-14'!G24/100</f>
        <v>0</v>
      </c>
      <c r="F27" s="3439">
        <f>'E13_H2F-2013-14'!J24/100</f>
        <v>66</v>
      </c>
      <c r="G27" s="3439">
        <f>'E13_H2F-2013-14'!M24/100</f>
        <v>11.142857142857142</v>
      </c>
      <c r="H27" s="3439">
        <f>'E13_H2F-2013-14'!P24/100</f>
        <v>54.857142857142854</v>
      </c>
      <c r="I27" s="3439">
        <f>'E13_H2F-2013-14'!S24/100</f>
        <v>1.0949</v>
      </c>
    </row>
    <row r="28" spans="2:9">
      <c r="B28" s="6028"/>
      <c r="C28" s="1" t="s">
        <v>2635</v>
      </c>
      <c r="D28" s="3457">
        <v>0.11</v>
      </c>
      <c r="E28" s="3439">
        <f>'E13_H2F-2013-14'!G28/100</f>
        <v>37.395000000000003</v>
      </c>
      <c r="F28" s="3439">
        <f>'E13_H2F-2013-14'!J28/100</f>
        <v>0</v>
      </c>
      <c r="G28" s="3439">
        <f>'E13_H2F-2013-14'!M28/100</f>
        <v>37.395000000000003</v>
      </c>
      <c r="H28" s="3439">
        <f>'E13_H2F-2013-14'!P28/100</f>
        <v>0</v>
      </c>
      <c r="I28" s="3439">
        <f>'E13_H2F-2013-14'!S28/100</f>
        <v>0.3306</v>
      </c>
    </row>
    <row r="29" spans="2:9">
      <c r="B29" s="6028"/>
      <c r="C29" s="1" t="s">
        <v>2830</v>
      </c>
      <c r="D29" s="3343">
        <v>0.14249999999999999</v>
      </c>
      <c r="E29" s="3439">
        <f>'E13_H2F-2013-14'!G42/100</f>
        <v>1.4362000000000001</v>
      </c>
      <c r="F29" s="3439">
        <f>'E13_H2F-2013-14'!J42/100</f>
        <v>0</v>
      </c>
      <c r="G29" s="3439">
        <f>'E13_H2F-2013-14'!M42/100</f>
        <v>0.15970000000000001</v>
      </c>
      <c r="H29" s="3439">
        <f>'E13_H2F-2013-14'!P42/100</f>
        <v>1.2765</v>
      </c>
      <c r="I29" s="3439">
        <f>'E13_H2F-2013-14'!S42/100</f>
        <v>0.20466570000000001</v>
      </c>
    </row>
    <row r="30" spans="2:9">
      <c r="B30" s="6029"/>
      <c r="C30" s="1" t="s">
        <v>2831</v>
      </c>
      <c r="D30" s="3429" t="s">
        <v>2839</v>
      </c>
      <c r="E30" s="3439">
        <f>'E13_H2F-2013-14'!G43/100</f>
        <v>37.984999999999999</v>
      </c>
      <c r="F30" s="3439">
        <f>'E13_H2F-2013-14'!J43/100</f>
        <v>0</v>
      </c>
      <c r="G30" s="3439">
        <f>'E13_H2F-2013-14'!M43/100</f>
        <v>13.503376000000001</v>
      </c>
      <c r="H30" s="3439">
        <f>'E13_H2F-2013-14'!P43/100</f>
        <v>24.481624</v>
      </c>
      <c r="I30" s="3439">
        <f>'E13_H2F-2013-14'!S43/100</f>
        <v>2.6517347999999998</v>
      </c>
    </row>
  </sheetData>
  <mergeCells count="6">
    <mergeCell ref="B26:B30"/>
    <mergeCell ref="C3:I3"/>
    <mergeCell ref="B5:B8"/>
    <mergeCell ref="B11:B14"/>
    <mergeCell ref="C17:I17"/>
    <mergeCell ref="B19:B22"/>
  </mergeCells>
  <pageMargins left="0.7" right="0.7" top="0.75" bottom="0.75" header="0.3" footer="0.3"/>
</worksheet>
</file>

<file path=xl/worksheets/sheet79.xml><?xml version="1.0" encoding="utf-8"?>
<worksheet xmlns="http://schemas.openxmlformats.org/spreadsheetml/2006/main" xmlns:r="http://schemas.openxmlformats.org/officeDocument/2006/relationships">
  <sheetPr codeName="Sheet58">
    <tabColor theme="1" tint="4.9989318521683403E-2"/>
    <pageSetUpPr fitToPage="1"/>
  </sheetPr>
  <dimension ref="A1:W88"/>
  <sheetViews>
    <sheetView showGridLines="0" view="pageBreakPreview" topLeftCell="A7" zoomScale="70" zoomScaleNormal="70" zoomScaleSheetLayoutView="70" workbookViewId="0">
      <selection activeCell="J27" sqref="J27:J28"/>
    </sheetView>
  </sheetViews>
  <sheetFormatPr defaultRowHeight="12.75"/>
  <cols>
    <col min="1" max="1" width="3.85546875" style="18" customWidth="1"/>
    <col min="2" max="2" width="60.140625" style="18" customWidth="1"/>
    <col min="3" max="3" width="8.140625" style="18" customWidth="1"/>
    <col min="4" max="4" width="4.7109375" style="18" customWidth="1"/>
    <col min="5" max="5" width="5.28515625" style="18" customWidth="1"/>
    <col min="6" max="6" width="9.5703125" style="18" customWidth="1"/>
    <col min="7" max="7" width="7.28515625" style="18" customWidth="1"/>
    <col min="8" max="9" width="7.7109375" style="18" customWidth="1"/>
    <col min="10" max="10" width="10.42578125" style="18" customWidth="1"/>
    <col min="11" max="11" width="5.140625" style="18" customWidth="1"/>
    <col min="12" max="12" width="7.28515625" style="18" customWidth="1"/>
    <col min="13" max="13" width="11.85546875" style="18" customWidth="1"/>
    <col min="14" max="14" width="11.5703125" style="18" customWidth="1"/>
    <col min="15" max="18" width="9.140625" style="18"/>
    <col min="19" max="19" width="9.5703125" style="18" bestFit="1" customWidth="1"/>
    <col min="20" max="256" width="9.140625" style="18"/>
    <col min="257" max="257" width="3.85546875" style="18" customWidth="1"/>
    <col min="258" max="258" width="60.140625" style="18" customWidth="1"/>
    <col min="259" max="259" width="8.140625" style="18" customWidth="1"/>
    <col min="260" max="260" width="4.7109375" style="18" customWidth="1"/>
    <col min="261" max="261" width="5.28515625" style="18" customWidth="1"/>
    <col min="262" max="263" width="7.28515625" style="18" customWidth="1"/>
    <col min="264" max="265" width="7.7109375" style="18" customWidth="1"/>
    <col min="266" max="266" width="10.42578125" style="18" customWidth="1"/>
    <col min="267" max="267" width="5.140625" style="18" customWidth="1"/>
    <col min="268" max="268" width="7.28515625" style="18" customWidth="1"/>
    <col min="269" max="269" width="11.85546875" style="18" customWidth="1"/>
    <col min="270" max="270" width="11.5703125" style="18" customWidth="1"/>
    <col min="271" max="512" width="9.140625" style="18"/>
    <col min="513" max="513" width="3.85546875" style="18" customWidth="1"/>
    <col min="514" max="514" width="60.140625" style="18" customWidth="1"/>
    <col min="515" max="515" width="8.140625" style="18" customWidth="1"/>
    <col min="516" max="516" width="4.7109375" style="18" customWidth="1"/>
    <col min="517" max="517" width="5.28515625" style="18" customWidth="1"/>
    <col min="518" max="519" width="7.28515625" style="18" customWidth="1"/>
    <col min="520" max="521" width="7.7109375" style="18" customWidth="1"/>
    <col min="522" max="522" width="10.42578125" style="18" customWidth="1"/>
    <col min="523" max="523" width="5.140625" style="18" customWidth="1"/>
    <col min="524" max="524" width="7.28515625" style="18" customWidth="1"/>
    <col min="525" max="525" width="11.85546875" style="18" customWidth="1"/>
    <col min="526" max="526" width="11.5703125" style="18" customWidth="1"/>
    <col min="527" max="768" width="9.140625" style="18"/>
    <col min="769" max="769" width="3.85546875" style="18" customWidth="1"/>
    <col min="770" max="770" width="60.140625" style="18" customWidth="1"/>
    <col min="771" max="771" width="8.140625" style="18" customWidth="1"/>
    <col min="772" max="772" width="4.7109375" style="18" customWidth="1"/>
    <col min="773" max="773" width="5.28515625" style="18" customWidth="1"/>
    <col min="774" max="775" width="7.28515625" style="18" customWidth="1"/>
    <col min="776" max="777" width="7.7109375" style="18" customWidth="1"/>
    <col min="778" max="778" width="10.42578125" style="18" customWidth="1"/>
    <col min="779" max="779" width="5.140625" style="18" customWidth="1"/>
    <col min="780" max="780" width="7.28515625" style="18" customWidth="1"/>
    <col min="781" max="781" width="11.85546875" style="18" customWidth="1"/>
    <col min="782" max="782" width="11.5703125" style="18" customWidth="1"/>
    <col min="783" max="1024" width="9.140625" style="18"/>
    <col min="1025" max="1025" width="3.85546875" style="18" customWidth="1"/>
    <col min="1026" max="1026" width="60.140625" style="18" customWidth="1"/>
    <col min="1027" max="1027" width="8.140625" style="18" customWidth="1"/>
    <col min="1028" max="1028" width="4.7109375" style="18" customWidth="1"/>
    <col min="1029" max="1029" width="5.28515625" style="18" customWidth="1"/>
    <col min="1030" max="1031" width="7.28515625" style="18" customWidth="1"/>
    <col min="1032" max="1033" width="7.7109375" style="18" customWidth="1"/>
    <col min="1034" max="1034" width="10.42578125" style="18" customWidth="1"/>
    <col min="1035" max="1035" width="5.140625" style="18" customWidth="1"/>
    <col min="1036" max="1036" width="7.28515625" style="18" customWidth="1"/>
    <col min="1037" max="1037" width="11.85546875" style="18" customWidth="1"/>
    <col min="1038" max="1038" width="11.5703125" style="18" customWidth="1"/>
    <col min="1039" max="1280" width="9.140625" style="18"/>
    <col min="1281" max="1281" width="3.85546875" style="18" customWidth="1"/>
    <col min="1282" max="1282" width="60.140625" style="18" customWidth="1"/>
    <col min="1283" max="1283" width="8.140625" style="18" customWidth="1"/>
    <col min="1284" max="1284" width="4.7109375" style="18" customWidth="1"/>
    <col min="1285" max="1285" width="5.28515625" style="18" customWidth="1"/>
    <col min="1286" max="1287" width="7.28515625" style="18" customWidth="1"/>
    <col min="1288" max="1289" width="7.7109375" style="18" customWidth="1"/>
    <col min="1290" max="1290" width="10.42578125" style="18" customWidth="1"/>
    <col min="1291" max="1291" width="5.140625" style="18" customWidth="1"/>
    <col min="1292" max="1292" width="7.28515625" style="18" customWidth="1"/>
    <col min="1293" max="1293" width="11.85546875" style="18" customWidth="1"/>
    <col min="1294" max="1294" width="11.5703125" style="18" customWidth="1"/>
    <col min="1295" max="1536" width="9.140625" style="18"/>
    <col min="1537" max="1537" width="3.85546875" style="18" customWidth="1"/>
    <col min="1538" max="1538" width="60.140625" style="18" customWidth="1"/>
    <col min="1539" max="1539" width="8.140625" style="18" customWidth="1"/>
    <col min="1540" max="1540" width="4.7109375" style="18" customWidth="1"/>
    <col min="1541" max="1541" width="5.28515625" style="18" customWidth="1"/>
    <col min="1542" max="1543" width="7.28515625" style="18" customWidth="1"/>
    <col min="1544" max="1545" width="7.7109375" style="18" customWidth="1"/>
    <col min="1546" max="1546" width="10.42578125" style="18" customWidth="1"/>
    <col min="1547" max="1547" width="5.140625" style="18" customWidth="1"/>
    <col min="1548" max="1548" width="7.28515625" style="18" customWidth="1"/>
    <col min="1549" max="1549" width="11.85546875" style="18" customWidth="1"/>
    <col min="1550" max="1550" width="11.5703125" style="18" customWidth="1"/>
    <col min="1551" max="1792" width="9.140625" style="18"/>
    <col min="1793" max="1793" width="3.85546875" style="18" customWidth="1"/>
    <col min="1794" max="1794" width="60.140625" style="18" customWidth="1"/>
    <col min="1795" max="1795" width="8.140625" style="18" customWidth="1"/>
    <col min="1796" max="1796" width="4.7109375" style="18" customWidth="1"/>
    <col min="1797" max="1797" width="5.28515625" style="18" customWidth="1"/>
    <col min="1798" max="1799" width="7.28515625" style="18" customWidth="1"/>
    <col min="1800" max="1801" width="7.7109375" style="18" customWidth="1"/>
    <col min="1802" max="1802" width="10.42578125" style="18" customWidth="1"/>
    <col min="1803" max="1803" width="5.140625" style="18" customWidth="1"/>
    <col min="1804" max="1804" width="7.28515625" style="18" customWidth="1"/>
    <col min="1805" max="1805" width="11.85546875" style="18" customWidth="1"/>
    <col min="1806" max="1806" width="11.5703125" style="18" customWidth="1"/>
    <col min="1807" max="2048" width="9.140625" style="18"/>
    <col min="2049" max="2049" width="3.85546875" style="18" customWidth="1"/>
    <col min="2050" max="2050" width="60.140625" style="18" customWidth="1"/>
    <col min="2051" max="2051" width="8.140625" style="18" customWidth="1"/>
    <col min="2052" max="2052" width="4.7109375" style="18" customWidth="1"/>
    <col min="2053" max="2053" width="5.28515625" style="18" customWidth="1"/>
    <col min="2054" max="2055" width="7.28515625" style="18" customWidth="1"/>
    <col min="2056" max="2057" width="7.7109375" style="18" customWidth="1"/>
    <col min="2058" max="2058" width="10.42578125" style="18" customWidth="1"/>
    <col min="2059" max="2059" width="5.140625" style="18" customWidth="1"/>
    <col min="2060" max="2060" width="7.28515625" style="18" customWidth="1"/>
    <col min="2061" max="2061" width="11.85546875" style="18" customWidth="1"/>
    <col min="2062" max="2062" width="11.5703125" style="18" customWidth="1"/>
    <col min="2063" max="2304" width="9.140625" style="18"/>
    <col min="2305" max="2305" width="3.85546875" style="18" customWidth="1"/>
    <col min="2306" max="2306" width="60.140625" style="18" customWidth="1"/>
    <col min="2307" max="2307" width="8.140625" style="18" customWidth="1"/>
    <col min="2308" max="2308" width="4.7109375" style="18" customWidth="1"/>
    <col min="2309" max="2309" width="5.28515625" style="18" customWidth="1"/>
    <col min="2310" max="2311" width="7.28515625" style="18" customWidth="1"/>
    <col min="2312" max="2313" width="7.7109375" style="18" customWidth="1"/>
    <col min="2314" max="2314" width="10.42578125" style="18" customWidth="1"/>
    <col min="2315" max="2315" width="5.140625" style="18" customWidth="1"/>
    <col min="2316" max="2316" width="7.28515625" style="18" customWidth="1"/>
    <col min="2317" max="2317" width="11.85546875" style="18" customWidth="1"/>
    <col min="2318" max="2318" width="11.5703125" style="18" customWidth="1"/>
    <col min="2319" max="2560" width="9.140625" style="18"/>
    <col min="2561" max="2561" width="3.85546875" style="18" customWidth="1"/>
    <col min="2562" max="2562" width="60.140625" style="18" customWidth="1"/>
    <col min="2563" max="2563" width="8.140625" style="18" customWidth="1"/>
    <col min="2564" max="2564" width="4.7109375" style="18" customWidth="1"/>
    <col min="2565" max="2565" width="5.28515625" style="18" customWidth="1"/>
    <col min="2566" max="2567" width="7.28515625" style="18" customWidth="1"/>
    <col min="2568" max="2569" width="7.7109375" style="18" customWidth="1"/>
    <col min="2570" max="2570" width="10.42578125" style="18" customWidth="1"/>
    <col min="2571" max="2571" width="5.140625" style="18" customWidth="1"/>
    <col min="2572" max="2572" width="7.28515625" style="18" customWidth="1"/>
    <col min="2573" max="2573" width="11.85546875" style="18" customWidth="1"/>
    <col min="2574" max="2574" width="11.5703125" style="18" customWidth="1"/>
    <col min="2575" max="2816" width="9.140625" style="18"/>
    <col min="2817" max="2817" width="3.85546875" style="18" customWidth="1"/>
    <col min="2818" max="2818" width="60.140625" style="18" customWidth="1"/>
    <col min="2819" max="2819" width="8.140625" style="18" customWidth="1"/>
    <col min="2820" max="2820" width="4.7109375" style="18" customWidth="1"/>
    <col min="2821" max="2821" width="5.28515625" style="18" customWidth="1"/>
    <col min="2822" max="2823" width="7.28515625" style="18" customWidth="1"/>
    <col min="2824" max="2825" width="7.7109375" style="18" customWidth="1"/>
    <col min="2826" max="2826" width="10.42578125" style="18" customWidth="1"/>
    <col min="2827" max="2827" width="5.140625" style="18" customWidth="1"/>
    <col min="2828" max="2828" width="7.28515625" style="18" customWidth="1"/>
    <col min="2829" max="2829" width="11.85546875" style="18" customWidth="1"/>
    <col min="2830" max="2830" width="11.5703125" style="18" customWidth="1"/>
    <col min="2831" max="3072" width="9.140625" style="18"/>
    <col min="3073" max="3073" width="3.85546875" style="18" customWidth="1"/>
    <col min="3074" max="3074" width="60.140625" style="18" customWidth="1"/>
    <col min="3075" max="3075" width="8.140625" style="18" customWidth="1"/>
    <col min="3076" max="3076" width="4.7109375" style="18" customWidth="1"/>
    <col min="3077" max="3077" width="5.28515625" style="18" customWidth="1"/>
    <col min="3078" max="3079" width="7.28515625" style="18" customWidth="1"/>
    <col min="3080" max="3081" width="7.7109375" style="18" customWidth="1"/>
    <col min="3082" max="3082" width="10.42578125" style="18" customWidth="1"/>
    <col min="3083" max="3083" width="5.140625" style="18" customWidth="1"/>
    <col min="3084" max="3084" width="7.28515625" style="18" customWidth="1"/>
    <col min="3085" max="3085" width="11.85546875" style="18" customWidth="1"/>
    <col min="3086" max="3086" width="11.5703125" style="18" customWidth="1"/>
    <col min="3087" max="3328" width="9.140625" style="18"/>
    <col min="3329" max="3329" width="3.85546875" style="18" customWidth="1"/>
    <col min="3330" max="3330" width="60.140625" style="18" customWidth="1"/>
    <col min="3331" max="3331" width="8.140625" style="18" customWidth="1"/>
    <col min="3332" max="3332" width="4.7109375" style="18" customWidth="1"/>
    <col min="3333" max="3333" width="5.28515625" style="18" customWidth="1"/>
    <col min="3334" max="3335" width="7.28515625" style="18" customWidth="1"/>
    <col min="3336" max="3337" width="7.7109375" style="18" customWidth="1"/>
    <col min="3338" max="3338" width="10.42578125" style="18" customWidth="1"/>
    <col min="3339" max="3339" width="5.140625" style="18" customWidth="1"/>
    <col min="3340" max="3340" width="7.28515625" style="18" customWidth="1"/>
    <col min="3341" max="3341" width="11.85546875" style="18" customWidth="1"/>
    <col min="3342" max="3342" width="11.5703125" style="18" customWidth="1"/>
    <col min="3343" max="3584" width="9.140625" style="18"/>
    <col min="3585" max="3585" width="3.85546875" style="18" customWidth="1"/>
    <col min="3586" max="3586" width="60.140625" style="18" customWidth="1"/>
    <col min="3587" max="3587" width="8.140625" style="18" customWidth="1"/>
    <col min="3588" max="3588" width="4.7109375" style="18" customWidth="1"/>
    <col min="3589" max="3589" width="5.28515625" style="18" customWidth="1"/>
    <col min="3590" max="3591" width="7.28515625" style="18" customWidth="1"/>
    <col min="3592" max="3593" width="7.7109375" style="18" customWidth="1"/>
    <col min="3594" max="3594" width="10.42578125" style="18" customWidth="1"/>
    <col min="3595" max="3595" width="5.140625" style="18" customWidth="1"/>
    <col min="3596" max="3596" width="7.28515625" style="18" customWidth="1"/>
    <col min="3597" max="3597" width="11.85546875" style="18" customWidth="1"/>
    <col min="3598" max="3598" width="11.5703125" style="18" customWidth="1"/>
    <col min="3599" max="3840" width="9.140625" style="18"/>
    <col min="3841" max="3841" width="3.85546875" style="18" customWidth="1"/>
    <col min="3842" max="3842" width="60.140625" style="18" customWidth="1"/>
    <col min="3843" max="3843" width="8.140625" style="18" customWidth="1"/>
    <col min="3844" max="3844" width="4.7109375" style="18" customWidth="1"/>
    <col min="3845" max="3845" width="5.28515625" style="18" customWidth="1"/>
    <col min="3846" max="3847" width="7.28515625" style="18" customWidth="1"/>
    <col min="3848" max="3849" width="7.7109375" style="18" customWidth="1"/>
    <col min="3850" max="3850" width="10.42578125" style="18" customWidth="1"/>
    <col min="3851" max="3851" width="5.140625" style="18" customWidth="1"/>
    <col min="3852" max="3852" width="7.28515625" style="18" customWidth="1"/>
    <col min="3853" max="3853" width="11.85546875" style="18" customWidth="1"/>
    <col min="3854" max="3854" width="11.5703125" style="18" customWidth="1"/>
    <col min="3855" max="4096" width="9.140625" style="18"/>
    <col min="4097" max="4097" width="3.85546875" style="18" customWidth="1"/>
    <col min="4098" max="4098" width="60.140625" style="18" customWidth="1"/>
    <col min="4099" max="4099" width="8.140625" style="18" customWidth="1"/>
    <col min="4100" max="4100" width="4.7109375" style="18" customWidth="1"/>
    <col min="4101" max="4101" width="5.28515625" style="18" customWidth="1"/>
    <col min="4102" max="4103" width="7.28515625" style="18" customWidth="1"/>
    <col min="4104" max="4105" width="7.7109375" style="18" customWidth="1"/>
    <col min="4106" max="4106" width="10.42578125" style="18" customWidth="1"/>
    <col min="4107" max="4107" width="5.140625" style="18" customWidth="1"/>
    <col min="4108" max="4108" width="7.28515625" style="18" customWidth="1"/>
    <col min="4109" max="4109" width="11.85546875" style="18" customWidth="1"/>
    <col min="4110" max="4110" width="11.5703125" style="18" customWidth="1"/>
    <col min="4111" max="4352" width="9.140625" style="18"/>
    <col min="4353" max="4353" width="3.85546875" style="18" customWidth="1"/>
    <col min="4354" max="4354" width="60.140625" style="18" customWidth="1"/>
    <col min="4355" max="4355" width="8.140625" style="18" customWidth="1"/>
    <col min="4356" max="4356" width="4.7109375" style="18" customWidth="1"/>
    <col min="4357" max="4357" width="5.28515625" style="18" customWidth="1"/>
    <col min="4358" max="4359" width="7.28515625" style="18" customWidth="1"/>
    <col min="4360" max="4361" width="7.7109375" style="18" customWidth="1"/>
    <col min="4362" max="4362" width="10.42578125" style="18" customWidth="1"/>
    <col min="4363" max="4363" width="5.140625" style="18" customWidth="1"/>
    <col min="4364" max="4364" width="7.28515625" style="18" customWidth="1"/>
    <col min="4365" max="4365" width="11.85546875" style="18" customWidth="1"/>
    <col min="4366" max="4366" width="11.5703125" style="18" customWidth="1"/>
    <col min="4367" max="4608" width="9.140625" style="18"/>
    <col min="4609" max="4609" width="3.85546875" style="18" customWidth="1"/>
    <col min="4610" max="4610" width="60.140625" style="18" customWidth="1"/>
    <col min="4611" max="4611" width="8.140625" style="18" customWidth="1"/>
    <col min="4612" max="4612" width="4.7109375" style="18" customWidth="1"/>
    <col min="4613" max="4613" width="5.28515625" style="18" customWidth="1"/>
    <col min="4614" max="4615" width="7.28515625" style="18" customWidth="1"/>
    <col min="4616" max="4617" width="7.7109375" style="18" customWidth="1"/>
    <col min="4618" max="4618" width="10.42578125" style="18" customWidth="1"/>
    <col min="4619" max="4619" width="5.140625" style="18" customWidth="1"/>
    <col min="4620" max="4620" width="7.28515625" style="18" customWidth="1"/>
    <col min="4621" max="4621" width="11.85546875" style="18" customWidth="1"/>
    <col min="4622" max="4622" width="11.5703125" style="18" customWidth="1"/>
    <col min="4623" max="4864" width="9.140625" style="18"/>
    <col min="4865" max="4865" width="3.85546875" style="18" customWidth="1"/>
    <col min="4866" max="4866" width="60.140625" style="18" customWidth="1"/>
    <col min="4867" max="4867" width="8.140625" style="18" customWidth="1"/>
    <col min="4868" max="4868" width="4.7109375" style="18" customWidth="1"/>
    <col min="4869" max="4869" width="5.28515625" style="18" customWidth="1"/>
    <col min="4870" max="4871" width="7.28515625" style="18" customWidth="1"/>
    <col min="4872" max="4873" width="7.7109375" style="18" customWidth="1"/>
    <col min="4874" max="4874" width="10.42578125" style="18" customWidth="1"/>
    <col min="4875" max="4875" width="5.140625" style="18" customWidth="1"/>
    <col min="4876" max="4876" width="7.28515625" style="18" customWidth="1"/>
    <col min="4877" max="4877" width="11.85546875" style="18" customWidth="1"/>
    <col min="4878" max="4878" width="11.5703125" style="18" customWidth="1"/>
    <col min="4879" max="5120" width="9.140625" style="18"/>
    <col min="5121" max="5121" width="3.85546875" style="18" customWidth="1"/>
    <col min="5122" max="5122" width="60.140625" style="18" customWidth="1"/>
    <col min="5123" max="5123" width="8.140625" style="18" customWidth="1"/>
    <col min="5124" max="5124" width="4.7109375" style="18" customWidth="1"/>
    <col min="5125" max="5125" width="5.28515625" style="18" customWidth="1"/>
    <col min="5126" max="5127" width="7.28515625" style="18" customWidth="1"/>
    <col min="5128" max="5129" width="7.7109375" style="18" customWidth="1"/>
    <col min="5130" max="5130" width="10.42578125" style="18" customWidth="1"/>
    <col min="5131" max="5131" width="5.140625" style="18" customWidth="1"/>
    <col min="5132" max="5132" width="7.28515625" style="18" customWidth="1"/>
    <col min="5133" max="5133" width="11.85546875" style="18" customWidth="1"/>
    <col min="5134" max="5134" width="11.5703125" style="18" customWidth="1"/>
    <col min="5135" max="5376" width="9.140625" style="18"/>
    <col min="5377" max="5377" width="3.85546875" style="18" customWidth="1"/>
    <col min="5378" max="5378" width="60.140625" style="18" customWidth="1"/>
    <col min="5379" max="5379" width="8.140625" style="18" customWidth="1"/>
    <col min="5380" max="5380" width="4.7109375" style="18" customWidth="1"/>
    <col min="5381" max="5381" width="5.28515625" style="18" customWidth="1"/>
    <col min="5382" max="5383" width="7.28515625" style="18" customWidth="1"/>
    <col min="5384" max="5385" width="7.7109375" style="18" customWidth="1"/>
    <col min="5386" max="5386" width="10.42578125" style="18" customWidth="1"/>
    <col min="5387" max="5387" width="5.140625" style="18" customWidth="1"/>
    <col min="5388" max="5388" width="7.28515625" style="18" customWidth="1"/>
    <col min="5389" max="5389" width="11.85546875" style="18" customWidth="1"/>
    <col min="5390" max="5390" width="11.5703125" style="18" customWidth="1"/>
    <col min="5391" max="5632" width="9.140625" style="18"/>
    <col min="5633" max="5633" width="3.85546875" style="18" customWidth="1"/>
    <col min="5634" max="5634" width="60.140625" style="18" customWidth="1"/>
    <col min="5635" max="5635" width="8.140625" style="18" customWidth="1"/>
    <col min="5636" max="5636" width="4.7109375" style="18" customWidth="1"/>
    <col min="5637" max="5637" width="5.28515625" style="18" customWidth="1"/>
    <col min="5638" max="5639" width="7.28515625" style="18" customWidth="1"/>
    <col min="5640" max="5641" width="7.7109375" style="18" customWidth="1"/>
    <col min="5642" max="5642" width="10.42578125" style="18" customWidth="1"/>
    <col min="5643" max="5643" width="5.140625" style="18" customWidth="1"/>
    <col min="5644" max="5644" width="7.28515625" style="18" customWidth="1"/>
    <col min="5645" max="5645" width="11.85546875" style="18" customWidth="1"/>
    <col min="5646" max="5646" width="11.5703125" style="18" customWidth="1"/>
    <col min="5647" max="5888" width="9.140625" style="18"/>
    <col min="5889" max="5889" width="3.85546875" style="18" customWidth="1"/>
    <col min="5890" max="5890" width="60.140625" style="18" customWidth="1"/>
    <col min="5891" max="5891" width="8.140625" style="18" customWidth="1"/>
    <col min="5892" max="5892" width="4.7109375" style="18" customWidth="1"/>
    <col min="5893" max="5893" width="5.28515625" style="18" customWidth="1"/>
    <col min="5894" max="5895" width="7.28515625" style="18" customWidth="1"/>
    <col min="5896" max="5897" width="7.7109375" style="18" customWidth="1"/>
    <col min="5898" max="5898" width="10.42578125" style="18" customWidth="1"/>
    <col min="5899" max="5899" width="5.140625" style="18" customWidth="1"/>
    <col min="5900" max="5900" width="7.28515625" style="18" customWidth="1"/>
    <col min="5901" max="5901" width="11.85546875" style="18" customWidth="1"/>
    <col min="5902" max="5902" width="11.5703125" style="18" customWidth="1"/>
    <col min="5903" max="6144" width="9.140625" style="18"/>
    <col min="6145" max="6145" width="3.85546875" style="18" customWidth="1"/>
    <col min="6146" max="6146" width="60.140625" style="18" customWidth="1"/>
    <col min="6147" max="6147" width="8.140625" style="18" customWidth="1"/>
    <col min="6148" max="6148" width="4.7109375" style="18" customWidth="1"/>
    <col min="6149" max="6149" width="5.28515625" style="18" customWidth="1"/>
    <col min="6150" max="6151" width="7.28515625" style="18" customWidth="1"/>
    <col min="6152" max="6153" width="7.7109375" style="18" customWidth="1"/>
    <col min="6154" max="6154" width="10.42578125" style="18" customWidth="1"/>
    <col min="6155" max="6155" width="5.140625" style="18" customWidth="1"/>
    <col min="6156" max="6156" width="7.28515625" style="18" customWidth="1"/>
    <col min="6157" max="6157" width="11.85546875" style="18" customWidth="1"/>
    <col min="6158" max="6158" width="11.5703125" style="18" customWidth="1"/>
    <col min="6159" max="6400" width="9.140625" style="18"/>
    <col min="6401" max="6401" width="3.85546875" style="18" customWidth="1"/>
    <col min="6402" max="6402" width="60.140625" style="18" customWidth="1"/>
    <col min="6403" max="6403" width="8.140625" style="18" customWidth="1"/>
    <col min="6404" max="6404" width="4.7109375" style="18" customWidth="1"/>
    <col min="6405" max="6405" width="5.28515625" style="18" customWidth="1"/>
    <col min="6406" max="6407" width="7.28515625" style="18" customWidth="1"/>
    <col min="6408" max="6409" width="7.7109375" style="18" customWidth="1"/>
    <col min="6410" max="6410" width="10.42578125" style="18" customWidth="1"/>
    <col min="6411" max="6411" width="5.140625" style="18" customWidth="1"/>
    <col min="6412" max="6412" width="7.28515625" style="18" customWidth="1"/>
    <col min="6413" max="6413" width="11.85546875" style="18" customWidth="1"/>
    <col min="6414" max="6414" width="11.5703125" style="18" customWidth="1"/>
    <col min="6415" max="6656" width="9.140625" style="18"/>
    <col min="6657" max="6657" width="3.85546875" style="18" customWidth="1"/>
    <col min="6658" max="6658" width="60.140625" style="18" customWidth="1"/>
    <col min="6659" max="6659" width="8.140625" style="18" customWidth="1"/>
    <col min="6660" max="6660" width="4.7109375" style="18" customWidth="1"/>
    <col min="6661" max="6661" width="5.28515625" style="18" customWidth="1"/>
    <col min="6662" max="6663" width="7.28515625" style="18" customWidth="1"/>
    <col min="6664" max="6665" width="7.7109375" style="18" customWidth="1"/>
    <col min="6666" max="6666" width="10.42578125" style="18" customWidth="1"/>
    <col min="6667" max="6667" width="5.140625" style="18" customWidth="1"/>
    <col min="6668" max="6668" width="7.28515625" style="18" customWidth="1"/>
    <col min="6669" max="6669" width="11.85546875" style="18" customWidth="1"/>
    <col min="6670" max="6670" width="11.5703125" style="18" customWidth="1"/>
    <col min="6671" max="6912" width="9.140625" style="18"/>
    <col min="6913" max="6913" width="3.85546875" style="18" customWidth="1"/>
    <col min="6914" max="6914" width="60.140625" style="18" customWidth="1"/>
    <col min="6915" max="6915" width="8.140625" style="18" customWidth="1"/>
    <col min="6916" max="6916" width="4.7109375" style="18" customWidth="1"/>
    <col min="6917" max="6917" width="5.28515625" style="18" customWidth="1"/>
    <col min="6918" max="6919" width="7.28515625" style="18" customWidth="1"/>
    <col min="6920" max="6921" width="7.7109375" style="18" customWidth="1"/>
    <col min="6922" max="6922" width="10.42578125" style="18" customWidth="1"/>
    <col min="6923" max="6923" width="5.140625" style="18" customWidth="1"/>
    <col min="6924" max="6924" width="7.28515625" style="18" customWidth="1"/>
    <col min="6925" max="6925" width="11.85546875" style="18" customWidth="1"/>
    <col min="6926" max="6926" width="11.5703125" style="18" customWidth="1"/>
    <col min="6927" max="7168" width="9.140625" style="18"/>
    <col min="7169" max="7169" width="3.85546875" style="18" customWidth="1"/>
    <col min="7170" max="7170" width="60.140625" style="18" customWidth="1"/>
    <col min="7171" max="7171" width="8.140625" style="18" customWidth="1"/>
    <col min="7172" max="7172" width="4.7109375" style="18" customWidth="1"/>
    <col min="7173" max="7173" width="5.28515625" style="18" customWidth="1"/>
    <col min="7174" max="7175" width="7.28515625" style="18" customWidth="1"/>
    <col min="7176" max="7177" width="7.7109375" style="18" customWidth="1"/>
    <col min="7178" max="7178" width="10.42578125" style="18" customWidth="1"/>
    <col min="7179" max="7179" width="5.140625" style="18" customWidth="1"/>
    <col min="7180" max="7180" width="7.28515625" style="18" customWidth="1"/>
    <col min="7181" max="7181" width="11.85546875" style="18" customWidth="1"/>
    <col min="7182" max="7182" width="11.5703125" style="18" customWidth="1"/>
    <col min="7183" max="7424" width="9.140625" style="18"/>
    <col min="7425" max="7425" width="3.85546875" style="18" customWidth="1"/>
    <col min="7426" max="7426" width="60.140625" style="18" customWidth="1"/>
    <col min="7427" max="7427" width="8.140625" style="18" customWidth="1"/>
    <col min="7428" max="7428" width="4.7109375" style="18" customWidth="1"/>
    <col min="7429" max="7429" width="5.28515625" style="18" customWidth="1"/>
    <col min="7430" max="7431" width="7.28515625" style="18" customWidth="1"/>
    <col min="7432" max="7433" width="7.7109375" style="18" customWidth="1"/>
    <col min="7434" max="7434" width="10.42578125" style="18" customWidth="1"/>
    <col min="7435" max="7435" width="5.140625" style="18" customWidth="1"/>
    <col min="7436" max="7436" width="7.28515625" style="18" customWidth="1"/>
    <col min="7437" max="7437" width="11.85546875" style="18" customWidth="1"/>
    <col min="7438" max="7438" width="11.5703125" style="18" customWidth="1"/>
    <col min="7439" max="7680" width="9.140625" style="18"/>
    <col min="7681" max="7681" width="3.85546875" style="18" customWidth="1"/>
    <col min="7682" max="7682" width="60.140625" style="18" customWidth="1"/>
    <col min="7683" max="7683" width="8.140625" style="18" customWidth="1"/>
    <col min="7684" max="7684" width="4.7109375" style="18" customWidth="1"/>
    <col min="7685" max="7685" width="5.28515625" style="18" customWidth="1"/>
    <col min="7686" max="7687" width="7.28515625" style="18" customWidth="1"/>
    <col min="7688" max="7689" width="7.7109375" style="18" customWidth="1"/>
    <col min="7690" max="7690" width="10.42578125" style="18" customWidth="1"/>
    <col min="7691" max="7691" width="5.140625" style="18" customWidth="1"/>
    <col min="7692" max="7692" width="7.28515625" style="18" customWidth="1"/>
    <col min="7693" max="7693" width="11.85546875" style="18" customWidth="1"/>
    <col min="7694" max="7694" width="11.5703125" style="18" customWidth="1"/>
    <col min="7695" max="7936" width="9.140625" style="18"/>
    <col min="7937" max="7937" width="3.85546875" style="18" customWidth="1"/>
    <col min="7938" max="7938" width="60.140625" style="18" customWidth="1"/>
    <col min="7939" max="7939" width="8.140625" style="18" customWidth="1"/>
    <col min="7940" max="7940" width="4.7109375" style="18" customWidth="1"/>
    <col min="7941" max="7941" width="5.28515625" style="18" customWidth="1"/>
    <col min="7942" max="7943" width="7.28515625" style="18" customWidth="1"/>
    <col min="7944" max="7945" width="7.7109375" style="18" customWidth="1"/>
    <col min="7946" max="7946" width="10.42578125" style="18" customWidth="1"/>
    <col min="7947" max="7947" width="5.140625" style="18" customWidth="1"/>
    <col min="7948" max="7948" width="7.28515625" style="18" customWidth="1"/>
    <col min="7949" max="7949" width="11.85546875" style="18" customWidth="1"/>
    <col min="7950" max="7950" width="11.5703125" style="18" customWidth="1"/>
    <col min="7951" max="8192" width="9.140625" style="18"/>
    <col min="8193" max="8193" width="3.85546875" style="18" customWidth="1"/>
    <col min="8194" max="8194" width="60.140625" style="18" customWidth="1"/>
    <col min="8195" max="8195" width="8.140625" style="18" customWidth="1"/>
    <col min="8196" max="8196" width="4.7109375" style="18" customWidth="1"/>
    <col min="8197" max="8197" width="5.28515625" style="18" customWidth="1"/>
    <col min="8198" max="8199" width="7.28515625" style="18" customWidth="1"/>
    <col min="8200" max="8201" width="7.7109375" style="18" customWidth="1"/>
    <col min="8202" max="8202" width="10.42578125" style="18" customWidth="1"/>
    <col min="8203" max="8203" width="5.140625" style="18" customWidth="1"/>
    <col min="8204" max="8204" width="7.28515625" style="18" customWidth="1"/>
    <col min="8205" max="8205" width="11.85546875" style="18" customWidth="1"/>
    <col min="8206" max="8206" width="11.5703125" style="18" customWidth="1"/>
    <col min="8207" max="8448" width="9.140625" style="18"/>
    <col min="8449" max="8449" width="3.85546875" style="18" customWidth="1"/>
    <col min="8450" max="8450" width="60.140625" style="18" customWidth="1"/>
    <col min="8451" max="8451" width="8.140625" style="18" customWidth="1"/>
    <col min="8452" max="8452" width="4.7109375" style="18" customWidth="1"/>
    <col min="8453" max="8453" width="5.28515625" style="18" customWidth="1"/>
    <col min="8454" max="8455" width="7.28515625" style="18" customWidth="1"/>
    <col min="8456" max="8457" width="7.7109375" style="18" customWidth="1"/>
    <col min="8458" max="8458" width="10.42578125" style="18" customWidth="1"/>
    <col min="8459" max="8459" width="5.140625" style="18" customWidth="1"/>
    <col min="8460" max="8460" width="7.28515625" style="18" customWidth="1"/>
    <col min="8461" max="8461" width="11.85546875" style="18" customWidth="1"/>
    <col min="8462" max="8462" width="11.5703125" style="18" customWidth="1"/>
    <col min="8463" max="8704" width="9.140625" style="18"/>
    <col min="8705" max="8705" width="3.85546875" style="18" customWidth="1"/>
    <col min="8706" max="8706" width="60.140625" style="18" customWidth="1"/>
    <col min="8707" max="8707" width="8.140625" style="18" customWidth="1"/>
    <col min="8708" max="8708" width="4.7109375" style="18" customWidth="1"/>
    <col min="8709" max="8709" width="5.28515625" style="18" customWidth="1"/>
    <col min="8710" max="8711" width="7.28515625" style="18" customWidth="1"/>
    <col min="8712" max="8713" width="7.7109375" style="18" customWidth="1"/>
    <col min="8714" max="8714" width="10.42578125" style="18" customWidth="1"/>
    <col min="8715" max="8715" width="5.140625" style="18" customWidth="1"/>
    <col min="8716" max="8716" width="7.28515625" style="18" customWidth="1"/>
    <col min="8717" max="8717" width="11.85546875" style="18" customWidth="1"/>
    <col min="8718" max="8718" width="11.5703125" style="18" customWidth="1"/>
    <col min="8719" max="8960" width="9.140625" style="18"/>
    <col min="8961" max="8961" width="3.85546875" style="18" customWidth="1"/>
    <col min="8962" max="8962" width="60.140625" style="18" customWidth="1"/>
    <col min="8963" max="8963" width="8.140625" style="18" customWidth="1"/>
    <col min="8964" max="8964" width="4.7109375" style="18" customWidth="1"/>
    <col min="8965" max="8965" width="5.28515625" style="18" customWidth="1"/>
    <col min="8966" max="8967" width="7.28515625" style="18" customWidth="1"/>
    <col min="8968" max="8969" width="7.7109375" style="18" customWidth="1"/>
    <col min="8970" max="8970" width="10.42578125" style="18" customWidth="1"/>
    <col min="8971" max="8971" width="5.140625" style="18" customWidth="1"/>
    <col min="8972" max="8972" width="7.28515625" style="18" customWidth="1"/>
    <col min="8973" max="8973" width="11.85546875" style="18" customWidth="1"/>
    <col min="8974" max="8974" width="11.5703125" style="18" customWidth="1"/>
    <col min="8975" max="9216" width="9.140625" style="18"/>
    <col min="9217" max="9217" width="3.85546875" style="18" customWidth="1"/>
    <col min="9218" max="9218" width="60.140625" style="18" customWidth="1"/>
    <col min="9219" max="9219" width="8.140625" style="18" customWidth="1"/>
    <col min="9220" max="9220" width="4.7109375" style="18" customWidth="1"/>
    <col min="9221" max="9221" width="5.28515625" style="18" customWidth="1"/>
    <col min="9222" max="9223" width="7.28515625" style="18" customWidth="1"/>
    <col min="9224" max="9225" width="7.7109375" style="18" customWidth="1"/>
    <col min="9226" max="9226" width="10.42578125" style="18" customWidth="1"/>
    <col min="9227" max="9227" width="5.140625" style="18" customWidth="1"/>
    <col min="9228" max="9228" width="7.28515625" style="18" customWidth="1"/>
    <col min="9229" max="9229" width="11.85546875" style="18" customWidth="1"/>
    <col min="9230" max="9230" width="11.5703125" style="18" customWidth="1"/>
    <col min="9231" max="9472" width="9.140625" style="18"/>
    <col min="9473" max="9473" width="3.85546875" style="18" customWidth="1"/>
    <col min="9474" max="9474" width="60.140625" style="18" customWidth="1"/>
    <col min="9475" max="9475" width="8.140625" style="18" customWidth="1"/>
    <col min="9476" max="9476" width="4.7109375" style="18" customWidth="1"/>
    <col min="9477" max="9477" width="5.28515625" style="18" customWidth="1"/>
    <col min="9478" max="9479" width="7.28515625" style="18" customWidth="1"/>
    <col min="9480" max="9481" width="7.7109375" style="18" customWidth="1"/>
    <col min="9482" max="9482" width="10.42578125" style="18" customWidth="1"/>
    <col min="9483" max="9483" width="5.140625" style="18" customWidth="1"/>
    <col min="9484" max="9484" width="7.28515625" style="18" customWidth="1"/>
    <col min="9485" max="9485" width="11.85546875" style="18" customWidth="1"/>
    <col min="9486" max="9486" width="11.5703125" style="18" customWidth="1"/>
    <col min="9487" max="9728" width="9.140625" style="18"/>
    <col min="9729" max="9729" width="3.85546875" style="18" customWidth="1"/>
    <col min="9730" max="9730" width="60.140625" style="18" customWidth="1"/>
    <col min="9731" max="9731" width="8.140625" style="18" customWidth="1"/>
    <col min="9732" max="9732" width="4.7109375" style="18" customWidth="1"/>
    <col min="9733" max="9733" width="5.28515625" style="18" customWidth="1"/>
    <col min="9734" max="9735" width="7.28515625" style="18" customWidth="1"/>
    <col min="9736" max="9737" width="7.7109375" style="18" customWidth="1"/>
    <col min="9738" max="9738" width="10.42578125" style="18" customWidth="1"/>
    <col min="9739" max="9739" width="5.140625" style="18" customWidth="1"/>
    <col min="9740" max="9740" width="7.28515625" style="18" customWidth="1"/>
    <col min="9741" max="9741" width="11.85546875" style="18" customWidth="1"/>
    <col min="9742" max="9742" width="11.5703125" style="18" customWidth="1"/>
    <col min="9743" max="9984" width="9.140625" style="18"/>
    <col min="9985" max="9985" width="3.85546875" style="18" customWidth="1"/>
    <col min="9986" max="9986" width="60.140625" style="18" customWidth="1"/>
    <col min="9987" max="9987" width="8.140625" style="18" customWidth="1"/>
    <col min="9988" max="9988" width="4.7109375" style="18" customWidth="1"/>
    <col min="9989" max="9989" width="5.28515625" style="18" customWidth="1"/>
    <col min="9990" max="9991" width="7.28515625" style="18" customWidth="1"/>
    <col min="9992" max="9993" width="7.7109375" style="18" customWidth="1"/>
    <col min="9994" max="9994" width="10.42578125" style="18" customWidth="1"/>
    <col min="9995" max="9995" width="5.140625" style="18" customWidth="1"/>
    <col min="9996" max="9996" width="7.28515625" style="18" customWidth="1"/>
    <col min="9997" max="9997" width="11.85546875" style="18" customWidth="1"/>
    <col min="9998" max="9998" width="11.5703125" style="18" customWidth="1"/>
    <col min="9999" max="10240" width="9.140625" style="18"/>
    <col min="10241" max="10241" width="3.85546875" style="18" customWidth="1"/>
    <col min="10242" max="10242" width="60.140625" style="18" customWidth="1"/>
    <col min="10243" max="10243" width="8.140625" style="18" customWidth="1"/>
    <col min="10244" max="10244" width="4.7109375" style="18" customWidth="1"/>
    <col min="10245" max="10245" width="5.28515625" style="18" customWidth="1"/>
    <col min="10246" max="10247" width="7.28515625" style="18" customWidth="1"/>
    <col min="10248" max="10249" width="7.7109375" style="18" customWidth="1"/>
    <col min="10250" max="10250" width="10.42578125" style="18" customWidth="1"/>
    <col min="10251" max="10251" width="5.140625" style="18" customWidth="1"/>
    <col min="10252" max="10252" width="7.28515625" style="18" customWidth="1"/>
    <col min="10253" max="10253" width="11.85546875" style="18" customWidth="1"/>
    <col min="10254" max="10254" width="11.5703125" style="18" customWidth="1"/>
    <col min="10255" max="10496" width="9.140625" style="18"/>
    <col min="10497" max="10497" width="3.85546875" style="18" customWidth="1"/>
    <col min="10498" max="10498" width="60.140625" style="18" customWidth="1"/>
    <col min="10499" max="10499" width="8.140625" style="18" customWidth="1"/>
    <col min="10500" max="10500" width="4.7109375" style="18" customWidth="1"/>
    <col min="10501" max="10501" width="5.28515625" style="18" customWidth="1"/>
    <col min="10502" max="10503" width="7.28515625" style="18" customWidth="1"/>
    <col min="10504" max="10505" width="7.7109375" style="18" customWidth="1"/>
    <col min="10506" max="10506" width="10.42578125" style="18" customWidth="1"/>
    <col min="10507" max="10507" width="5.140625" style="18" customWidth="1"/>
    <col min="10508" max="10508" width="7.28515625" style="18" customWidth="1"/>
    <col min="10509" max="10509" width="11.85546875" style="18" customWidth="1"/>
    <col min="10510" max="10510" width="11.5703125" style="18" customWidth="1"/>
    <col min="10511" max="10752" width="9.140625" style="18"/>
    <col min="10753" max="10753" width="3.85546875" style="18" customWidth="1"/>
    <col min="10754" max="10754" width="60.140625" style="18" customWidth="1"/>
    <col min="10755" max="10755" width="8.140625" style="18" customWidth="1"/>
    <col min="10756" max="10756" width="4.7109375" style="18" customWidth="1"/>
    <col min="10757" max="10757" width="5.28515625" style="18" customWidth="1"/>
    <col min="10758" max="10759" width="7.28515625" style="18" customWidth="1"/>
    <col min="10760" max="10761" width="7.7109375" style="18" customWidth="1"/>
    <col min="10762" max="10762" width="10.42578125" style="18" customWidth="1"/>
    <col min="10763" max="10763" width="5.140625" style="18" customWidth="1"/>
    <col min="10764" max="10764" width="7.28515625" style="18" customWidth="1"/>
    <col min="10765" max="10765" width="11.85546875" style="18" customWidth="1"/>
    <col min="10766" max="10766" width="11.5703125" style="18" customWidth="1"/>
    <col min="10767" max="11008" width="9.140625" style="18"/>
    <col min="11009" max="11009" width="3.85546875" style="18" customWidth="1"/>
    <col min="11010" max="11010" width="60.140625" style="18" customWidth="1"/>
    <col min="11011" max="11011" width="8.140625" style="18" customWidth="1"/>
    <col min="11012" max="11012" width="4.7109375" style="18" customWidth="1"/>
    <col min="11013" max="11013" width="5.28515625" style="18" customWidth="1"/>
    <col min="11014" max="11015" width="7.28515625" style="18" customWidth="1"/>
    <col min="11016" max="11017" width="7.7109375" style="18" customWidth="1"/>
    <col min="11018" max="11018" width="10.42578125" style="18" customWidth="1"/>
    <col min="11019" max="11019" width="5.140625" style="18" customWidth="1"/>
    <col min="11020" max="11020" width="7.28515625" style="18" customWidth="1"/>
    <col min="11021" max="11021" width="11.85546875" style="18" customWidth="1"/>
    <col min="11022" max="11022" width="11.5703125" style="18" customWidth="1"/>
    <col min="11023" max="11264" width="9.140625" style="18"/>
    <col min="11265" max="11265" width="3.85546875" style="18" customWidth="1"/>
    <col min="11266" max="11266" width="60.140625" style="18" customWidth="1"/>
    <col min="11267" max="11267" width="8.140625" style="18" customWidth="1"/>
    <col min="11268" max="11268" width="4.7109375" style="18" customWidth="1"/>
    <col min="11269" max="11269" width="5.28515625" style="18" customWidth="1"/>
    <col min="11270" max="11271" width="7.28515625" style="18" customWidth="1"/>
    <col min="11272" max="11273" width="7.7109375" style="18" customWidth="1"/>
    <col min="11274" max="11274" width="10.42578125" style="18" customWidth="1"/>
    <col min="11275" max="11275" width="5.140625" style="18" customWidth="1"/>
    <col min="11276" max="11276" width="7.28515625" style="18" customWidth="1"/>
    <col min="11277" max="11277" width="11.85546875" style="18" customWidth="1"/>
    <col min="11278" max="11278" width="11.5703125" style="18" customWidth="1"/>
    <col min="11279" max="11520" width="9.140625" style="18"/>
    <col min="11521" max="11521" width="3.85546875" style="18" customWidth="1"/>
    <col min="11522" max="11522" width="60.140625" style="18" customWidth="1"/>
    <col min="11523" max="11523" width="8.140625" style="18" customWidth="1"/>
    <col min="11524" max="11524" width="4.7109375" style="18" customWidth="1"/>
    <col min="11525" max="11525" width="5.28515625" style="18" customWidth="1"/>
    <col min="11526" max="11527" width="7.28515625" style="18" customWidth="1"/>
    <col min="11528" max="11529" width="7.7109375" style="18" customWidth="1"/>
    <col min="11530" max="11530" width="10.42578125" style="18" customWidth="1"/>
    <col min="11531" max="11531" width="5.140625" style="18" customWidth="1"/>
    <col min="11532" max="11532" width="7.28515625" style="18" customWidth="1"/>
    <col min="11533" max="11533" width="11.85546875" style="18" customWidth="1"/>
    <col min="11534" max="11534" width="11.5703125" style="18" customWidth="1"/>
    <col min="11535" max="11776" width="9.140625" style="18"/>
    <col min="11777" max="11777" width="3.85546875" style="18" customWidth="1"/>
    <col min="11778" max="11778" width="60.140625" style="18" customWidth="1"/>
    <col min="11779" max="11779" width="8.140625" style="18" customWidth="1"/>
    <col min="11780" max="11780" width="4.7109375" style="18" customWidth="1"/>
    <col min="11781" max="11781" width="5.28515625" style="18" customWidth="1"/>
    <col min="11782" max="11783" width="7.28515625" style="18" customWidth="1"/>
    <col min="11784" max="11785" width="7.7109375" style="18" customWidth="1"/>
    <col min="11786" max="11786" width="10.42578125" style="18" customWidth="1"/>
    <col min="11787" max="11787" width="5.140625" style="18" customWidth="1"/>
    <col min="11788" max="11788" width="7.28515625" style="18" customWidth="1"/>
    <col min="11789" max="11789" width="11.85546875" style="18" customWidth="1"/>
    <col min="11790" max="11790" width="11.5703125" style="18" customWidth="1"/>
    <col min="11791" max="12032" width="9.140625" style="18"/>
    <col min="12033" max="12033" width="3.85546875" style="18" customWidth="1"/>
    <col min="12034" max="12034" width="60.140625" style="18" customWidth="1"/>
    <col min="12035" max="12035" width="8.140625" style="18" customWidth="1"/>
    <col min="12036" max="12036" width="4.7109375" style="18" customWidth="1"/>
    <col min="12037" max="12037" width="5.28515625" style="18" customWidth="1"/>
    <col min="12038" max="12039" width="7.28515625" style="18" customWidth="1"/>
    <col min="12040" max="12041" width="7.7109375" style="18" customWidth="1"/>
    <col min="12042" max="12042" width="10.42578125" style="18" customWidth="1"/>
    <col min="12043" max="12043" width="5.140625" style="18" customWidth="1"/>
    <col min="12044" max="12044" width="7.28515625" style="18" customWidth="1"/>
    <col min="12045" max="12045" width="11.85546875" style="18" customWidth="1"/>
    <col min="12046" max="12046" width="11.5703125" style="18" customWidth="1"/>
    <col min="12047" max="12288" width="9.140625" style="18"/>
    <col min="12289" max="12289" width="3.85546875" style="18" customWidth="1"/>
    <col min="12290" max="12290" width="60.140625" style="18" customWidth="1"/>
    <col min="12291" max="12291" width="8.140625" style="18" customWidth="1"/>
    <col min="12292" max="12292" width="4.7109375" style="18" customWidth="1"/>
    <col min="12293" max="12293" width="5.28515625" style="18" customWidth="1"/>
    <col min="12294" max="12295" width="7.28515625" style="18" customWidth="1"/>
    <col min="12296" max="12297" width="7.7109375" style="18" customWidth="1"/>
    <col min="12298" max="12298" width="10.42578125" style="18" customWidth="1"/>
    <col min="12299" max="12299" width="5.140625" style="18" customWidth="1"/>
    <col min="12300" max="12300" width="7.28515625" style="18" customWidth="1"/>
    <col min="12301" max="12301" width="11.85546875" style="18" customWidth="1"/>
    <col min="12302" max="12302" width="11.5703125" style="18" customWidth="1"/>
    <col min="12303" max="12544" width="9.140625" style="18"/>
    <col min="12545" max="12545" width="3.85546875" style="18" customWidth="1"/>
    <col min="12546" max="12546" width="60.140625" style="18" customWidth="1"/>
    <col min="12547" max="12547" width="8.140625" style="18" customWidth="1"/>
    <col min="12548" max="12548" width="4.7109375" style="18" customWidth="1"/>
    <col min="12549" max="12549" width="5.28515625" style="18" customWidth="1"/>
    <col min="12550" max="12551" width="7.28515625" style="18" customWidth="1"/>
    <col min="12552" max="12553" width="7.7109375" style="18" customWidth="1"/>
    <col min="12554" max="12554" width="10.42578125" style="18" customWidth="1"/>
    <col min="12555" max="12555" width="5.140625" style="18" customWidth="1"/>
    <col min="12556" max="12556" width="7.28515625" style="18" customWidth="1"/>
    <col min="12557" max="12557" width="11.85546875" style="18" customWidth="1"/>
    <col min="12558" max="12558" width="11.5703125" style="18" customWidth="1"/>
    <col min="12559" max="12800" width="9.140625" style="18"/>
    <col min="12801" max="12801" width="3.85546875" style="18" customWidth="1"/>
    <col min="12802" max="12802" width="60.140625" style="18" customWidth="1"/>
    <col min="12803" max="12803" width="8.140625" style="18" customWidth="1"/>
    <col min="12804" max="12804" width="4.7109375" style="18" customWidth="1"/>
    <col min="12805" max="12805" width="5.28515625" style="18" customWidth="1"/>
    <col min="12806" max="12807" width="7.28515625" style="18" customWidth="1"/>
    <col min="12808" max="12809" width="7.7109375" style="18" customWidth="1"/>
    <col min="12810" max="12810" width="10.42578125" style="18" customWidth="1"/>
    <col min="12811" max="12811" width="5.140625" style="18" customWidth="1"/>
    <col min="12812" max="12812" width="7.28515625" style="18" customWidth="1"/>
    <col min="12813" max="12813" width="11.85546875" style="18" customWidth="1"/>
    <col min="12814" max="12814" width="11.5703125" style="18" customWidth="1"/>
    <col min="12815" max="13056" width="9.140625" style="18"/>
    <col min="13057" max="13057" width="3.85546875" style="18" customWidth="1"/>
    <col min="13058" max="13058" width="60.140625" style="18" customWidth="1"/>
    <col min="13059" max="13059" width="8.140625" style="18" customWidth="1"/>
    <col min="13060" max="13060" width="4.7109375" style="18" customWidth="1"/>
    <col min="13061" max="13061" width="5.28515625" style="18" customWidth="1"/>
    <col min="13062" max="13063" width="7.28515625" style="18" customWidth="1"/>
    <col min="13064" max="13065" width="7.7109375" style="18" customWidth="1"/>
    <col min="13066" max="13066" width="10.42578125" style="18" customWidth="1"/>
    <col min="13067" max="13067" width="5.140625" style="18" customWidth="1"/>
    <col min="13068" max="13068" width="7.28515625" style="18" customWidth="1"/>
    <col min="13069" max="13069" width="11.85546875" style="18" customWidth="1"/>
    <col min="13070" max="13070" width="11.5703125" style="18" customWidth="1"/>
    <col min="13071" max="13312" width="9.140625" style="18"/>
    <col min="13313" max="13313" width="3.85546875" style="18" customWidth="1"/>
    <col min="13314" max="13314" width="60.140625" style="18" customWidth="1"/>
    <col min="13315" max="13315" width="8.140625" style="18" customWidth="1"/>
    <col min="13316" max="13316" width="4.7109375" style="18" customWidth="1"/>
    <col min="13317" max="13317" width="5.28515625" style="18" customWidth="1"/>
    <col min="13318" max="13319" width="7.28515625" style="18" customWidth="1"/>
    <col min="13320" max="13321" width="7.7109375" style="18" customWidth="1"/>
    <col min="13322" max="13322" width="10.42578125" style="18" customWidth="1"/>
    <col min="13323" max="13323" width="5.140625" style="18" customWidth="1"/>
    <col min="13324" max="13324" width="7.28515625" style="18" customWidth="1"/>
    <col min="13325" max="13325" width="11.85546875" style="18" customWidth="1"/>
    <col min="13326" max="13326" width="11.5703125" style="18" customWidth="1"/>
    <col min="13327" max="13568" width="9.140625" style="18"/>
    <col min="13569" max="13569" width="3.85546875" style="18" customWidth="1"/>
    <col min="13570" max="13570" width="60.140625" style="18" customWidth="1"/>
    <col min="13571" max="13571" width="8.140625" style="18" customWidth="1"/>
    <col min="13572" max="13572" width="4.7109375" style="18" customWidth="1"/>
    <col min="13573" max="13573" width="5.28515625" style="18" customWidth="1"/>
    <col min="13574" max="13575" width="7.28515625" style="18" customWidth="1"/>
    <col min="13576" max="13577" width="7.7109375" style="18" customWidth="1"/>
    <col min="13578" max="13578" width="10.42578125" style="18" customWidth="1"/>
    <col min="13579" max="13579" width="5.140625" style="18" customWidth="1"/>
    <col min="13580" max="13580" width="7.28515625" style="18" customWidth="1"/>
    <col min="13581" max="13581" width="11.85546875" style="18" customWidth="1"/>
    <col min="13582" max="13582" width="11.5703125" style="18" customWidth="1"/>
    <col min="13583" max="13824" width="9.140625" style="18"/>
    <col min="13825" max="13825" width="3.85546875" style="18" customWidth="1"/>
    <col min="13826" max="13826" width="60.140625" style="18" customWidth="1"/>
    <col min="13827" max="13827" width="8.140625" style="18" customWidth="1"/>
    <col min="13828" max="13828" width="4.7109375" style="18" customWidth="1"/>
    <col min="13829" max="13829" width="5.28515625" style="18" customWidth="1"/>
    <col min="13830" max="13831" width="7.28515625" style="18" customWidth="1"/>
    <col min="13832" max="13833" width="7.7109375" style="18" customWidth="1"/>
    <col min="13834" max="13834" width="10.42578125" style="18" customWidth="1"/>
    <col min="13835" max="13835" width="5.140625" style="18" customWidth="1"/>
    <col min="13836" max="13836" width="7.28515625" style="18" customWidth="1"/>
    <col min="13837" max="13837" width="11.85546875" style="18" customWidth="1"/>
    <col min="13838" max="13838" width="11.5703125" style="18" customWidth="1"/>
    <col min="13839" max="14080" width="9.140625" style="18"/>
    <col min="14081" max="14081" width="3.85546875" style="18" customWidth="1"/>
    <col min="14082" max="14082" width="60.140625" style="18" customWidth="1"/>
    <col min="14083" max="14083" width="8.140625" style="18" customWidth="1"/>
    <col min="14084" max="14084" width="4.7109375" style="18" customWidth="1"/>
    <col min="14085" max="14085" width="5.28515625" style="18" customWidth="1"/>
    <col min="14086" max="14087" width="7.28515625" style="18" customWidth="1"/>
    <col min="14088" max="14089" width="7.7109375" style="18" customWidth="1"/>
    <col min="14090" max="14090" width="10.42578125" style="18" customWidth="1"/>
    <col min="14091" max="14091" width="5.140625" style="18" customWidth="1"/>
    <col min="14092" max="14092" width="7.28515625" style="18" customWidth="1"/>
    <col min="14093" max="14093" width="11.85546875" style="18" customWidth="1"/>
    <col min="14094" max="14094" width="11.5703125" style="18" customWidth="1"/>
    <col min="14095" max="14336" width="9.140625" style="18"/>
    <col min="14337" max="14337" width="3.85546875" style="18" customWidth="1"/>
    <col min="14338" max="14338" width="60.140625" style="18" customWidth="1"/>
    <col min="14339" max="14339" width="8.140625" style="18" customWidth="1"/>
    <col min="14340" max="14340" width="4.7109375" style="18" customWidth="1"/>
    <col min="14341" max="14341" width="5.28515625" style="18" customWidth="1"/>
    <col min="14342" max="14343" width="7.28515625" style="18" customWidth="1"/>
    <col min="14344" max="14345" width="7.7109375" style="18" customWidth="1"/>
    <col min="14346" max="14346" width="10.42578125" style="18" customWidth="1"/>
    <col min="14347" max="14347" width="5.140625" style="18" customWidth="1"/>
    <col min="14348" max="14348" width="7.28515625" style="18" customWidth="1"/>
    <col min="14349" max="14349" width="11.85546875" style="18" customWidth="1"/>
    <col min="14350" max="14350" width="11.5703125" style="18" customWidth="1"/>
    <col min="14351" max="14592" width="9.140625" style="18"/>
    <col min="14593" max="14593" width="3.85546875" style="18" customWidth="1"/>
    <col min="14594" max="14594" width="60.140625" style="18" customWidth="1"/>
    <col min="14595" max="14595" width="8.140625" style="18" customWidth="1"/>
    <col min="14596" max="14596" width="4.7109375" style="18" customWidth="1"/>
    <col min="14597" max="14597" width="5.28515625" style="18" customWidth="1"/>
    <col min="14598" max="14599" width="7.28515625" style="18" customWidth="1"/>
    <col min="14600" max="14601" width="7.7109375" style="18" customWidth="1"/>
    <col min="14602" max="14602" width="10.42578125" style="18" customWidth="1"/>
    <col min="14603" max="14603" width="5.140625" style="18" customWidth="1"/>
    <col min="14604" max="14604" width="7.28515625" style="18" customWidth="1"/>
    <col min="14605" max="14605" width="11.85546875" style="18" customWidth="1"/>
    <col min="14606" max="14606" width="11.5703125" style="18" customWidth="1"/>
    <col min="14607" max="14848" width="9.140625" style="18"/>
    <col min="14849" max="14849" width="3.85546875" style="18" customWidth="1"/>
    <col min="14850" max="14850" width="60.140625" style="18" customWidth="1"/>
    <col min="14851" max="14851" width="8.140625" style="18" customWidth="1"/>
    <col min="14852" max="14852" width="4.7109375" style="18" customWidth="1"/>
    <col min="14853" max="14853" width="5.28515625" style="18" customWidth="1"/>
    <col min="14854" max="14855" width="7.28515625" style="18" customWidth="1"/>
    <col min="14856" max="14857" width="7.7109375" style="18" customWidth="1"/>
    <col min="14858" max="14858" width="10.42578125" style="18" customWidth="1"/>
    <col min="14859" max="14859" width="5.140625" style="18" customWidth="1"/>
    <col min="14860" max="14860" width="7.28515625" style="18" customWidth="1"/>
    <col min="14861" max="14861" width="11.85546875" style="18" customWidth="1"/>
    <col min="14862" max="14862" width="11.5703125" style="18" customWidth="1"/>
    <col min="14863" max="15104" width="9.140625" style="18"/>
    <col min="15105" max="15105" width="3.85546875" style="18" customWidth="1"/>
    <col min="15106" max="15106" width="60.140625" style="18" customWidth="1"/>
    <col min="15107" max="15107" width="8.140625" style="18" customWidth="1"/>
    <col min="15108" max="15108" width="4.7109375" style="18" customWidth="1"/>
    <col min="15109" max="15109" width="5.28515625" style="18" customWidth="1"/>
    <col min="15110" max="15111" width="7.28515625" style="18" customWidth="1"/>
    <col min="15112" max="15113" width="7.7109375" style="18" customWidth="1"/>
    <col min="15114" max="15114" width="10.42578125" style="18" customWidth="1"/>
    <col min="15115" max="15115" width="5.140625" style="18" customWidth="1"/>
    <col min="15116" max="15116" width="7.28515625" style="18" customWidth="1"/>
    <col min="15117" max="15117" width="11.85546875" style="18" customWidth="1"/>
    <col min="15118" max="15118" width="11.5703125" style="18" customWidth="1"/>
    <col min="15119" max="15360" width="9.140625" style="18"/>
    <col min="15361" max="15361" width="3.85546875" style="18" customWidth="1"/>
    <col min="15362" max="15362" width="60.140625" style="18" customWidth="1"/>
    <col min="15363" max="15363" width="8.140625" style="18" customWidth="1"/>
    <col min="15364" max="15364" width="4.7109375" style="18" customWidth="1"/>
    <col min="15365" max="15365" width="5.28515625" style="18" customWidth="1"/>
    <col min="15366" max="15367" width="7.28515625" style="18" customWidth="1"/>
    <col min="15368" max="15369" width="7.7109375" style="18" customWidth="1"/>
    <col min="15370" max="15370" width="10.42578125" style="18" customWidth="1"/>
    <col min="15371" max="15371" width="5.140625" style="18" customWidth="1"/>
    <col min="15372" max="15372" width="7.28515625" style="18" customWidth="1"/>
    <col min="15373" max="15373" width="11.85546875" style="18" customWidth="1"/>
    <col min="15374" max="15374" width="11.5703125" style="18" customWidth="1"/>
    <col min="15375" max="15616" width="9.140625" style="18"/>
    <col min="15617" max="15617" width="3.85546875" style="18" customWidth="1"/>
    <col min="15618" max="15618" width="60.140625" style="18" customWidth="1"/>
    <col min="15619" max="15619" width="8.140625" style="18" customWidth="1"/>
    <col min="15620" max="15620" width="4.7109375" style="18" customWidth="1"/>
    <col min="15621" max="15621" width="5.28515625" style="18" customWidth="1"/>
    <col min="15622" max="15623" width="7.28515625" style="18" customWidth="1"/>
    <col min="15624" max="15625" width="7.7109375" style="18" customWidth="1"/>
    <col min="15626" max="15626" width="10.42578125" style="18" customWidth="1"/>
    <col min="15627" max="15627" width="5.140625" style="18" customWidth="1"/>
    <col min="15628" max="15628" width="7.28515625" style="18" customWidth="1"/>
    <col min="15629" max="15629" width="11.85546875" style="18" customWidth="1"/>
    <col min="15630" max="15630" width="11.5703125" style="18" customWidth="1"/>
    <col min="15631" max="15872" width="9.140625" style="18"/>
    <col min="15873" max="15873" width="3.85546875" style="18" customWidth="1"/>
    <col min="15874" max="15874" width="60.140625" style="18" customWidth="1"/>
    <col min="15875" max="15875" width="8.140625" style="18" customWidth="1"/>
    <col min="15876" max="15876" width="4.7109375" style="18" customWidth="1"/>
    <col min="15877" max="15877" width="5.28515625" style="18" customWidth="1"/>
    <col min="15878" max="15879" width="7.28515625" style="18" customWidth="1"/>
    <col min="15880" max="15881" width="7.7109375" style="18" customWidth="1"/>
    <col min="15882" max="15882" width="10.42578125" style="18" customWidth="1"/>
    <col min="15883" max="15883" width="5.140625" style="18" customWidth="1"/>
    <col min="15884" max="15884" width="7.28515625" style="18" customWidth="1"/>
    <col min="15885" max="15885" width="11.85546875" style="18" customWidth="1"/>
    <col min="15886" max="15886" width="11.5703125" style="18" customWidth="1"/>
    <col min="15887" max="16128" width="9.140625" style="18"/>
    <col min="16129" max="16129" width="3.85546875" style="18" customWidth="1"/>
    <col min="16130" max="16130" width="60.140625" style="18" customWidth="1"/>
    <col min="16131" max="16131" width="8.140625" style="18" customWidth="1"/>
    <col min="16132" max="16132" width="4.7109375" style="18" customWidth="1"/>
    <col min="16133" max="16133" width="5.28515625" style="18" customWidth="1"/>
    <col min="16134" max="16135" width="7.28515625" style="18" customWidth="1"/>
    <col min="16136" max="16137" width="7.7109375" style="18" customWidth="1"/>
    <col min="16138" max="16138" width="10.42578125" style="18" customWidth="1"/>
    <col min="16139" max="16139" width="5.140625" style="18" customWidth="1"/>
    <col min="16140" max="16140" width="7.28515625" style="18" customWidth="1"/>
    <col min="16141" max="16141" width="11.85546875" style="18" customWidth="1"/>
    <col min="16142" max="16142" width="11.5703125" style="18" customWidth="1"/>
    <col min="16143" max="16384" width="9.140625" style="18"/>
  </cols>
  <sheetData>
    <row r="1" spans="1:20" hidden="1"/>
    <row r="2" spans="1:20" hidden="1"/>
    <row r="3" spans="1:20" ht="15" hidden="1">
      <c r="A3" s="49" t="s">
        <v>94</v>
      </c>
    </row>
    <row r="4" spans="1:20" ht="15" hidden="1">
      <c r="A4" s="50" t="s">
        <v>94</v>
      </c>
    </row>
    <row r="5" spans="1:20" hidden="1"/>
    <row r="6" spans="1:20" hidden="1"/>
    <row r="8" spans="1:20" ht="13.5" thickBot="1"/>
    <row r="9" spans="1:20" ht="15">
      <c r="A9" s="407"/>
      <c r="B9" s="1833" t="s">
        <v>513</v>
      </c>
      <c r="C9" s="1835"/>
      <c r="D9" s="1834"/>
      <c r="E9" s="409"/>
      <c r="F9" s="409"/>
      <c r="G9" s="408"/>
      <c r="H9" s="409"/>
      <c r="I9" s="409"/>
      <c r="J9" s="410"/>
    </row>
    <row r="10" spans="1:20" ht="13.5" thickBot="1">
      <c r="A10" s="411"/>
      <c r="B10" s="1832"/>
      <c r="C10" s="1836"/>
      <c r="D10" s="6037" t="s">
        <v>514</v>
      </c>
      <c r="E10" s="6038"/>
      <c r="F10" s="6038"/>
      <c r="G10" s="6038"/>
      <c r="H10" s="6038"/>
      <c r="I10" s="6038"/>
      <c r="J10" s="6039"/>
      <c r="L10" s="18" t="s">
        <v>94</v>
      </c>
    </row>
    <row r="11" spans="1:20">
      <c r="A11" s="130"/>
      <c r="B11" s="135"/>
      <c r="C11" s="133" t="s">
        <v>2439</v>
      </c>
      <c r="D11" s="6040" t="s">
        <v>516</v>
      </c>
      <c r="E11" s="6040"/>
      <c r="F11" s="6040"/>
      <c r="G11" s="6040"/>
      <c r="H11" s="6040"/>
      <c r="I11" s="6040"/>
      <c r="J11" s="6040"/>
    </row>
    <row r="12" spans="1:20" ht="14.25">
      <c r="A12" s="127" t="s">
        <v>450</v>
      </c>
      <c r="B12" s="398" t="s">
        <v>517</v>
      </c>
      <c r="C12" s="133" t="s">
        <v>380</v>
      </c>
      <c r="D12" s="127" t="s">
        <v>518</v>
      </c>
      <c r="E12" s="131" t="s">
        <v>519</v>
      </c>
      <c r="F12" s="130" t="s">
        <v>520</v>
      </c>
      <c r="G12" s="6041" t="s">
        <v>521</v>
      </c>
      <c r="H12" s="6041"/>
      <c r="I12" s="6041"/>
      <c r="J12" s="6041"/>
    </row>
    <row r="13" spans="1:20" ht="14.25">
      <c r="A13" s="135" t="s">
        <v>452</v>
      </c>
      <c r="B13" s="398"/>
      <c r="C13" s="389" t="s">
        <v>522</v>
      </c>
      <c r="D13" s="399" t="s">
        <v>523</v>
      </c>
      <c r="E13" s="287" t="s">
        <v>524</v>
      </c>
      <c r="F13" s="400" t="s">
        <v>525</v>
      </c>
      <c r="G13" s="400" t="s">
        <v>526</v>
      </c>
      <c r="H13" s="400" t="s">
        <v>526</v>
      </c>
      <c r="I13" s="400" t="s">
        <v>526</v>
      </c>
      <c r="J13" s="401" t="s">
        <v>526</v>
      </c>
    </row>
    <row r="14" spans="1:20" ht="14.25">
      <c r="A14" s="402"/>
      <c r="B14" s="403"/>
      <c r="C14" s="129"/>
      <c r="D14" s="128"/>
      <c r="E14" s="128"/>
      <c r="F14" s="128"/>
      <c r="G14" s="134" t="s">
        <v>527</v>
      </c>
      <c r="H14" s="134" t="s">
        <v>265</v>
      </c>
      <c r="I14" s="134" t="s">
        <v>266</v>
      </c>
      <c r="J14" s="134" t="s">
        <v>267</v>
      </c>
    </row>
    <row r="15" spans="1:20" ht="15">
      <c r="A15" s="404"/>
      <c r="B15" s="405" t="s">
        <v>459</v>
      </c>
      <c r="C15" s="406"/>
      <c r="D15" s="286"/>
      <c r="E15" s="286"/>
      <c r="F15" s="132"/>
      <c r="G15" s="406"/>
      <c r="H15" s="406"/>
      <c r="I15" s="406"/>
      <c r="J15" s="406"/>
      <c r="O15" s="19"/>
    </row>
    <row r="16" spans="1:20" ht="15" hidden="1">
      <c r="A16" s="48"/>
      <c r="B16" s="51" t="s">
        <v>461</v>
      </c>
      <c r="C16" s="21">
        <v>0</v>
      </c>
      <c r="D16" s="21"/>
      <c r="E16" s="862"/>
      <c r="F16" s="64">
        <v>0.115</v>
      </c>
      <c r="G16" s="52">
        <v>0</v>
      </c>
      <c r="H16" s="21">
        <v>0</v>
      </c>
      <c r="I16" s="21">
        <v>0</v>
      </c>
      <c r="J16" s="21">
        <v>0</v>
      </c>
      <c r="N16" s="23"/>
      <c r="O16" s="58"/>
      <c r="S16" s="23"/>
      <c r="T16" s="23"/>
    </row>
    <row r="17" spans="1:20" ht="15" hidden="1">
      <c r="A17" s="53"/>
      <c r="B17" s="51" t="s">
        <v>462</v>
      </c>
      <c r="C17" s="21">
        <v>0</v>
      </c>
      <c r="D17" s="21"/>
      <c r="E17" s="862"/>
      <c r="F17" s="64">
        <v>0.115</v>
      </c>
      <c r="G17" s="52">
        <v>0</v>
      </c>
      <c r="H17" s="21">
        <v>0</v>
      </c>
      <c r="I17" s="21">
        <v>0</v>
      </c>
      <c r="J17" s="21">
        <v>0</v>
      </c>
      <c r="N17" s="23"/>
      <c r="O17" s="58"/>
      <c r="S17" s="23"/>
      <c r="T17" s="23"/>
    </row>
    <row r="18" spans="1:20" ht="15" hidden="1">
      <c r="A18" s="53">
        <v>1</v>
      </c>
      <c r="B18" s="51" t="s">
        <v>463</v>
      </c>
      <c r="C18" s="31">
        <v>0</v>
      </c>
      <c r="D18" s="21"/>
      <c r="E18" s="862"/>
      <c r="F18" s="64">
        <v>0.115</v>
      </c>
      <c r="G18" s="865">
        <v>0</v>
      </c>
      <c r="H18" s="31">
        <v>0</v>
      </c>
      <c r="I18" s="31">
        <v>0</v>
      </c>
      <c r="J18" s="31">
        <v>0</v>
      </c>
      <c r="N18" s="23"/>
      <c r="O18" s="58"/>
      <c r="S18" s="23"/>
      <c r="T18" s="23"/>
    </row>
    <row r="19" spans="1:20" ht="15" hidden="1">
      <c r="A19" s="53">
        <v>2</v>
      </c>
      <c r="B19" s="51" t="s">
        <v>464</v>
      </c>
      <c r="C19" s="31">
        <v>0</v>
      </c>
      <c r="D19" s="21"/>
      <c r="E19" s="862"/>
      <c r="F19" s="64">
        <v>0.12</v>
      </c>
      <c r="G19" s="865">
        <v>0</v>
      </c>
      <c r="H19" s="31">
        <v>0</v>
      </c>
      <c r="I19" s="31">
        <v>0</v>
      </c>
      <c r="J19" s="31">
        <v>0</v>
      </c>
      <c r="N19" s="23"/>
      <c r="O19" s="58"/>
      <c r="S19" s="23"/>
      <c r="T19" s="23"/>
    </row>
    <row r="20" spans="1:20" ht="15" hidden="1">
      <c r="A20" s="53">
        <v>3</v>
      </c>
      <c r="B20" s="54"/>
      <c r="C20" s="21"/>
      <c r="D20" s="21" t="s">
        <v>94</v>
      </c>
      <c r="E20" s="862"/>
      <c r="F20" s="64"/>
      <c r="G20" s="52"/>
      <c r="H20" s="21"/>
      <c r="I20" s="21"/>
      <c r="J20" s="21"/>
      <c r="N20" s="23"/>
      <c r="O20" s="58"/>
      <c r="S20" s="23"/>
      <c r="T20" s="23"/>
    </row>
    <row r="21" spans="1:20" ht="15" hidden="1">
      <c r="A21" s="53">
        <v>4</v>
      </c>
      <c r="B21" s="54" t="s">
        <v>465</v>
      </c>
      <c r="C21" s="31">
        <v>0</v>
      </c>
      <c r="D21" s="21"/>
      <c r="E21" s="862"/>
      <c r="F21" s="87">
        <v>0.03</v>
      </c>
      <c r="G21" s="865">
        <v>0</v>
      </c>
      <c r="H21" s="31">
        <v>0</v>
      </c>
      <c r="I21" s="31">
        <v>0</v>
      </c>
      <c r="J21" s="31">
        <v>0</v>
      </c>
      <c r="N21" s="23"/>
      <c r="O21" s="58"/>
      <c r="S21" s="23"/>
      <c r="T21" s="23"/>
    </row>
    <row r="22" spans="1:20" ht="15" hidden="1">
      <c r="A22" s="53"/>
      <c r="B22" s="54" t="s">
        <v>466</v>
      </c>
      <c r="C22" s="31">
        <v>0</v>
      </c>
      <c r="D22" s="21"/>
      <c r="E22" s="862"/>
      <c r="F22" s="87">
        <v>0.06</v>
      </c>
      <c r="G22" s="865">
        <v>0</v>
      </c>
      <c r="H22" s="31">
        <v>0</v>
      </c>
      <c r="I22" s="31">
        <v>0</v>
      </c>
      <c r="J22" s="31">
        <v>0</v>
      </c>
      <c r="N22" s="23"/>
      <c r="O22" s="58"/>
      <c r="S22" s="23"/>
      <c r="T22" s="23"/>
    </row>
    <row r="23" spans="1:20" ht="30" hidden="1">
      <c r="A23" s="53">
        <v>5</v>
      </c>
      <c r="B23" s="55" t="s">
        <v>467</v>
      </c>
      <c r="C23" s="31">
        <v>0</v>
      </c>
      <c r="D23" s="21"/>
      <c r="E23" s="862"/>
      <c r="F23" s="87">
        <v>0.15</v>
      </c>
      <c r="G23" s="865">
        <v>0</v>
      </c>
      <c r="H23" s="31">
        <v>0</v>
      </c>
      <c r="I23" s="31">
        <v>0</v>
      </c>
      <c r="J23" s="31">
        <v>0</v>
      </c>
      <c r="N23" s="23"/>
      <c r="O23" s="19"/>
      <c r="S23" s="23"/>
      <c r="T23" s="23"/>
    </row>
    <row r="24" spans="1:20" ht="15" hidden="1">
      <c r="A24" s="53">
        <v>6</v>
      </c>
      <c r="B24" s="54"/>
      <c r="C24" s="21">
        <v>0</v>
      </c>
      <c r="D24" s="21"/>
      <c r="E24" s="862"/>
      <c r="F24" s="25"/>
      <c r="G24" s="52">
        <v>0</v>
      </c>
      <c r="H24" s="21">
        <v>0</v>
      </c>
      <c r="I24" s="21">
        <v>0</v>
      </c>
      <c r="J24" s="21">
        <v>0</v>
      </c>
      <c r="N24" s="23"/>
      <c r="O24" s="19"/>
      <c r="S24" s="23"/>
      <c r="T24" s="23"/>
    </row>
    <row r="25" spans="1:20" ht="15">
      <c r="A25" s="53">
        <v>7</v>
      </c>
      <c r="B25" s="54" t="s">
        <v>468</v>
      </c>
      <c r="C25" s="31">
        <v>1.6</v>
      </c>
      <c r="D25" s="21"/>
      <c r="E25" s="862"/>
      <c r="F25" s="87">
        <v>0.14249999999999999</v>
      </c>
      <c r="G25" s="865">
        <v>1.6</v>
      </c>
      <c r="H25" s="31">
        <v>1.6</v>
      </c>
      <c r="I25" s="31">
        <v>1.6</v>
      </c>
      <c r="J25" s="31">
        <v>1.44</v>
      </c>
      <c r="N25" s="23"/>
      <c r="O25" s="58"/>
      <c r="Q25" s="1280"/>
      <c r="S25" s="23"/>
      <c r="T25" s="23"/>
    </row>
    <row r="26" spans="1:20" ht="15" hidden="1">
      <c r="A26" s="53"/>
      <c r="B26" s="54"/>
      <c r="C26" s="21" t="s">
        <v>94</v>
      </c>
      <c r="D26" s="21"/>
      <c r="E26" s="862"/>
      <c r="F26" s="25"/>
      <c r="G26" s="52" t="s">
        <v>94</v>
      </c>
      <c r="H26" s="21" t="s">
        <v>94</v>
      </c>
      <c r="I26" s="21" t="s">
        <v>94</v>
      </c>
      <c r="J26" s="21" t="s">
        <v>94</v>
      </c>
      <c r="N26" s="23"/>
      <c r="O26" s="19"/>
      <c r="S26" s="23"/>
      <c r="T26" s="23"/>
    </row>
    <row r="27" spans="1:20" ht="15">
      <c r="A27" s="53">
        <v>8</v>
      </c>
      <c r="B27" s="54" t="s">
        <v>469</v>
      </c>
      <c r="C27" s="31">
        <v>18.989999999999998</v>
      </c>
      <c r="D27" s="21"/>
      <c r="E27" s="862"/>
      <c r="F27" s="87">
        <v>0.12</v>
      </c>
      <c r="G27" s="52">
        <v>18.989999999999998</v>
      </c>
      <c r="H27" s="21">
        <v>18.989999999999998</v>
      </c>
      <c r="I27" s="31">
        <v>18.989999999999998</v>
      </c>
      <c r="J27" s="31">
        <v>18.989999999999998</v>
      </c>
      <c r="N27" s="23"/>
      <c r="O27" s="58"/>
      <c r="S27" s="23"/>
      <c r="T27" s="23"/>
    </row>
    <row r="28" spans="1:20" ht="15">
      <c r="A28" s="53"/>
      <c r="B28" s="54" t="s">
        <v>469</v>
      </c>
      <c r="C28" s="31">
        <v>18.989999999999998</v>
      </c>
      <c r="D28" s="21"/>
      <c r="E28" s="862"/>
      <c r="F28" s="65">
        <v>0.12</v>
      </c>
      <c r="G28" s="52">
        <v>18.989999999999998</v>
      </c>
      <c r="H28" s="21">
        <v>18.989999999999998</v>
      </c>
      <c r="I28" s="31">
        <v>18.989999999999998</v>
      </c>
      <c r="J28" s="31">
        <v>18.989999999999998</v>
      </c>
      <c r="N28" s="23"/>
      <c r="O28" s="58"/>
      <c r="S28" s="23"/>
      <c r="T28" s="23"/>
    </row>
    <row r="29" spans="1:20" ht="15" hidden="1">
      <c r="A29" s="53">
        <v>9</v>
      </c>
      <c r="B29" s="54" t="s">
        <v>94</v>
      </c>
      <c r="C29" s="39"/>
      <c r="D29" s="21"/>
      <c r="E29" s="20"/>
      <c r="F29" s="64"/>
      <c r="G29" s="866"/>
      <c r="H29" s="39"/>
      <c r="I29" s="39"/>
      <c r="J29" s="39"/>
      <c r="N29" s="23"/>
      <c r="O29" s="58"/>
      <c r="S29" s="23"/>
      <c r="T29" s="23"/>
    </row>
    <row r="30" spans="1:20" ht="15" hidden="1">
      <c r="A30" s="53">
        <v>10</v>
      </c>
      <c r="B30" s="54" t="s">
        <v>470</v>
      </c>
      <c r="C30" s="31">
        <v>0</v>
      </c>
      <c r="D30" s="21"/>
      <c r="E30" s="862"/>
      <c r="F30" s="64">
        <v>0.1075</v>
      </c>
      <c r="G30" s="865">
        <v>0</v>
      </c>
      <c r="H30" s="31">
        <v>0</v>
      </c>
      <c r="I30" s="31">
        <v>0</v>
      </c>
      <c r="J30" s="31">
        <v>0</v>
      </c>
      <c r="N30" s="23"/>
      <c r="O30" s="58"/>
      <c r="S30" s="23"/>
      <c r="T30" s="23"/>
    </row>
    <row r="31" spans="1:20" ht="15" hidden="1">
      <c r="A31" s="53">
        <v>11</v>
      </c>
      <c r="B31" s="54" t="s">
        <v>472</v>
      </c>
      <c r="C31" s="29">
        <v>0</v>
      </c>
      <c r="D31" s="21"/>
      <c r="E31" s="20"/>
      <c r="F31" s="64">
        <v>0.115</v>
      </c>
      <c r="G31" s="56">
        <v>0</v>
      </c>
      <c r="H31" s="29">
        <v>0</v>
      </c>
      <c r="I31" s="29">
        <v>0</v>
      </c>
      <c r="J31" s="29">
        <v>0</v>
      </c>
      <c r="N31" s="23"/>
      <c r="O31" s="58"/>
      <c r="S31" s="23"/>
      <c r="T31" s="23"/>
    </row>
    <row r="32" spans="1:20" ht="15" hidden="1">
      <c r="A32" s="53">
        <v>12</v>
      </c>
      <c r="B32" s="54" t="s">
        <v>473</v>
      </c>
      <c r="C32" s="29">
        <v>0</v>
      </c>
      <c r="D32" s="21"/>
      <c r="E32" s="20"/>
      <c r="F32" s="65">
        <v>0.1</v>
      </c>
      <c r="G32" s="56">
        <v>0</v>
      </c>
      <c r="H32" s="29">
        <v>0</v>
      </c>
      <c r="I32" s="29">
        <v>0</v>
      </c>
      <c r="J32" s="29">
        <v>0</v>
      </c>
      <c r="N32" s="23"/>
      <c r="O32" s="58"/>
      <c r="S32" s="23"/>
      <c r="T32" s="23"/>
    </row>
    <row r="33" spans="1:23" ht="15" hidden="1">
      <c r="A33" s="53">
        <v>13</v>
      </c>
      <c r="B33" s="54" t="s">
        <v>528</v>
      </c>
      <c r="C33" s="29">
        <v>0</v>
      </c>
      <c r="D33" s="21"/>
      <c r="E33" s="20"/>
      <c r="F33" s="64">
        <v>0.1125</v>
      </c>
      <c r="G33" s="56">
        <v>0</v>
      </c>
      <c r="H33" s="29">
        <v>0</v>
      </c>
      <c r="I33" s="29">
        <v>0</v>
      </c>
      <c r="J33" s="29">
        <v>0</v>
      </c>
      <c r="N33" s="23"/>
      <c r="O33" s="58"/>
      <c r="S33" s="23"/>
      <c r="T33" s="23"/>
    </row>
    <row r="34" spans="1:23" ht="15" hidden="1">
      <c r="A34" s="53">
        <v>14</v>
      </c>
      <c r="B34" s="54" t="s">
        <v>529</v>
      </c>
      <c r="C34" s="29">
        <v>0</v>
      </c>
      <c r="D34" s="21"/>
      <c r="E34" s="20"/>
      <c r="F34" s="64">
        <v>7.2499999999999995E-2</v>
      </c>
      <c r="G34" s="56">
        <v>0</v>
      </c>
      <c r="H34" s="29">
        <v>0</v>
      </c>
      <c r="I34" s="29">
        <v>0</v>
      </c>
      <c r="J34" s="29">
        <v>0</v>
      </c>
      <c r="N34" s="23"/>
      <c r="O34" s="58"/>
      <c r="S34" s="23"/>
      <c r="T34" s="23"/>
    </row>
    <row r="35" spans="1:23" ht="15" hidden="1">
      <c r="A35" s="53">
        <v>15</v>
      </c>
      <c r="B35" s="26" t="s">
        <v>530</v>
      </c>
      <c r="C35" s="56">
        <v>0</v>
      </c>
      <c r="D35" s="21"/>
      <c r="E35" s="20"/>
      <c r="F35" s="64">
        <v>7.2499999999999995E-2</v>
      </c>
      <c r="G35" s="56">
        <v>0</v>
      </c>
      <c r="H35" s="29">
        <v>0</v>
      </c>
      <c r="I35" s="29">
        <v>0</v>
      </c>
      <c r="J35" s="29">
        <v>0</v>
      </c>
      <c r="N35" s="23"/>
      <c r="O35" s="58"/>
      <c r="S35" s="23"/>
      <c r="T35" s="23"/>
    </row>
    <row r="36" spans="1:23" ht="15.75" hidden="1">
      <c r="A36" s="53">
        <v>16</v>
      </c>
      <c r="B36" s="26" t="s">
        <v>531</v>
      </c>
      <c r="C36" s="57">
        <v>0</v>
      </c>
      <c r="D36" s="33"/>
      <c r="E36" s="863"/>
      <c r="F36" s="867">
        <v>7.4999999999999997E-2</v>
      </c>
      <c r="G36" s="57">
        <v>0</v>
      </c>
      <c r="H36" s="57">
        <v>0</v>
      </c>
      <c r="I36" s="57">
        <v>0</v>
      </c>
      <c r="J36" s="57">
        <v>0</v>
      </c>
      <c r="K36" s="19"/>
      <c r="N36" s="23"/>
      <c r="O36" s="58"/>
      <c r="S36" s="23"/>
      <c r="T36" s="23"/>
    </row>
    <row r="37" spans="1:23" ht="15" hidden="1">
      <c r="A37" s="53">
        <v>17</v>
      </c>
      <c r="B37" s="26" t="s">
        <v>532</v>
      </c>
      <c r="C37" s="57">
        <v>0</v>
      </c>
      <c r="D37" s="33" t="s">
        <v>94</v>
      </c>
      <c r="E37" s="864"/>
      <c r="F37" s="64">
        <v>7.2499999999999995E-2</v>
      </c>
      <c r="G37" s="57">
        <v>0</v>
      </c>
      <c r="H37" s="57">
        <v>0</v>
      </c>
      <c r="I37" s="57">
        <v>0</v>
      </c>
      <c r="J37" s="57">
        <v>0</v>
      </c>
      <c r="K37" s="19"/>
      <c r="N37" s="23"/>
      <c r="O37" s="58"/>
      <c r="S37" s="23"/>
      <c r="T37" s="23"/>
    </row>
    <row r="38" spans="1:23" ht="16.5" hidden="1" thickBot="1">
      <c r="A38" s="53">
        <v>18</v>
      </c>
      <c r="B38" s="26" t="s">
        <v>533</v>
      </c>
      <c r="C38" s="57">
        <v>0</v>
      </c>
      <c r="D38" s="33"/>
      <c r="E38" s="22"/>
      <c r="F38" s="1026">
        <v>9.5000000000000001E-2</v>
      </c>
      <c r="G38" s="57">
        <v>0</v>
      </c>
      <c r="H38" s="57">
        <v>0</v>
      </c>
      <c r="I38" s="57">
        <v>0</v>
      </c>
      <c r="J38" s="57">
        <v>0</v>
      </c>
      <c r="K38" s="19"/>
      <c r="N38" s="23"/>
      <c r="O38" s="58"/>
      <c r="S38" s="23"/>
      <c r="T38" s="23"/>
    </row>
    <row r="39" spans="1:23" ht="16.5" hidden="1" thickBot="1">
      <c r="A39" s="53">
        <v>19</v>
      </c>
      <c r="B39" s="26" t="s">
        <v>534</v>
      </c>
      <c r="C39" s="57">
        <v>0</v>
      </c>
      <c r="D39" s="33"/>
      <c r="E39" s="22"/>
      <c r="F39" s="1027">
        <v>9.5000000000000001E-2</v>
      </c>
      <c r="G39" s="57">
        <v>0</v>
      </c>
      <c r="H39" s="57">
        <v>0</v>
      </c>
      <c r="I39" s="57">
        <v>0</v>
      </c>
      <c r="J39" s="57">
        <v>0</v>
      </c>
      <c r="K39" s="19"/>
      <c r="N39" s="23"/>
      <c r="O39" s="19"/>
      <c r="S39" s="23"/>
      <c r="T39" s="23"/>
    </row>
    <row r="40" spans="1:23" ht="16.5" hidden="1" thickBot="1">
      <c r="A40" s="53">
        <v>20</v>
      </c>
      <c r="B40" s="59" t="s">
        <v>535</v>
      </c>
      <c r="C40" s="60">
        <v>0</v>
      </c>
      <c r="D40" s="28"/>
      <c r="E40" s="32"/>
      <c r="F40" s="1820">
        <v>9.5000000000000001E-2</v>
      </c>
      <c r="G40" s="60">
        <v>0</v>
      </c>
      <c r="H40" s="60">
        <v>0</v>
      </c>
      <c r="I40" s="60">
        <v>0</v>
      </c>
      <c r="J40" s="60">
        <v>0</v>
      </c>
      <c r="K40" s="19"/>
      <c r="N40" s="23"/>
      <c r="O40" s="19"/>
      <c r="S40" s="23"/>
      <c r="T40" s="23"/>
    </row>
    <row r="41" spans="1:23" ht="30">
      <c r="A41" s="53">
        <v>21</v>
      </c>
      <c r="B41" s="2147" t="s">
        <v>536</v>
      </c>
      <c r="C41" s="56">
        <v>63</v>
      </c>
      <c r="D41" s="21"/>
      <c r="E41" s="20"/>
      <c r="F41" s="64">
        <v>0.1065</v>
      </c>
      <c r="G41" s="56">
        <v>45</v>
      </c>
      <c r="H41" s="56">
        <v>27</v>
      </c>
      <c r="I41" s="56">
        <v>7.5</v>
      </c>
      <c r="J41" s="56">
        <v>0</v>
      </c>
      <c r="K41" s="19"/>
      <c r="N41" s="23"/>
      <c r="O41" s="58"/>
      <c r="S41" s="23"/>
      <c r="T41" s="23"/>
    </row>
    <row r="42" spans="1:23" ht="30">
      <c r="A42" s="53">
        <v>22</v>
      </c>
      <c r="B42" s="2147" t="s">
        <v>537</v>
      </c>
      <c r="C42" s="56"/>
      <c r="D42" s="21"/>
      <c r="E42" s="20"/>
      <c r="F42" s="65">
        <v>0.11</v>
      </c>
      <c r="G42" s="56">
        <v>0</v>
      </c>
      <c r="H42" s="56">
        <v>0</v>
      </c>
      <c r="I42" s="56">
        <v>90</v>
      </c>
      <c r="J42" s="56">
        <v>67.45</v>
      </c>
      <c r="K42" s="19"/>
      <c r="N42" s="23"/>
      <c r="O42" s="58"/>
      <c r="T42" s="23"/>
    </row>
    <row r="43" spans="1:23" ht="15.75" hidden="1">
      <c r="A43" s="61">
        <v>23</v>
      </c>
      <c r="B43" s="59"/>
      <c r="C43" s="60"/>
      <c r="D43" s="28"/>
      <c r="E43" s="19"/>
      <c r="F43" s="861"/>
      <c r="G43" s="60"/>
      <c r="H43" s="60"/>
      <c r="I43" s="60" t="s">
        <v>94</v>
      </c>
      <c r="J43" s="60"/>
      <c r="K43" s="19"/>
      <c r="L43" s="19"/>
      <c r="O43" s="1332"/>
      <c r="W43" s="1281"/>
    </row>
    <row r="44" spans="1:23" ht="15.75" hidden="1">
      <c r="A44" s="53">
        <v>24</v>
      </c>
      <c r="B44" s="27"/>
      <c r="C44" s="60"/>
      <c r="D44" s="28"/>
      <c r="E44" s="19"/>
      <c r="F44" s="861"/>
      <c r="G44" s="60"/>
      <c r="H44" s="60"/>
      <c r="I44" s="60" t="s">
        <v>94</v>
      </c>
      <c r="J44" s="60"/>
      <c r="K44" s="19"/>
      <c r="L44" s="19"/>
      <c r="P44" s="23"/>
    </row>
    <row r="45" spans="1:23" ht="15.75">
      <c r="A45" s="53">
        <v>25</v>
      </c>
      <c r="B45" s="62" t="s">
        <v>485</v>
      </c>
      <c r="C45" s="29">
        <f>SUM(C16:C41)</f>
        <v>102.58</v>
      </c>
      <c r="D45" s="21"/>
      <c r="E45" s="20"/>
      <c r="F45" s="861"/>
      <c r="G45" s="56">
        <f>SUM(G16:G42)</f>
        <v>84.58</v>
      </c>
      <c r="H45" s="29">
        <f>SUM(H16:H42)</f>
        <v>66.58</v>
      </c>
      <c r="I45" s="29">
        <f>SUM(I16:I44)</f>
        <v>137.07999999999998</v>
      </c>
      <c r="J45" s="29">
        <f>SUM(J16:J42)</f>
        <v>106.87</v>
      </c>
    </row>
    <row r="46" spans="1:23" ht="15.75">
      <c r="A46" s="50"/>
      <c r="B46" s="24"/>
      <c r="C46" s="19"/>
      <c r="D46" s="19"/>
      <c r="E46" s="19"/>
      <c r="F46" s="804"/>
      <c r="G46" s="58"/>
    </row>
    <row r="47" spans="1:23" ht="15.75">
      <c r="A47" s="50"/>
      <c r="B47" s="24"/>
      <c r="C47" s="19"/>
      <c r="D47" s="19"/>
      <c r="E47" s="19"/>
      <c r="F47" s="804"/>
      <c r="G47" s="58"/>
    </row>
    <row r="48" spans="1:23" ht="15.75">
      <c r="A48" s="50"/>
      <c r="B48" s="63"/>
      <c r="C48" s="19"/>
      <c r="D48" s="19"/>
      <c r="E48" s="19"/>
      <c r="F48" s="804"/>
      <c r="G48" s="58"/>
    </row>
    <row r="49" spans="1:15" ht="15.75">
      <c r="F49" s="804"/>
    </row>
    <row r="50" spans="1:15" ht="15.75">
      <c r="B50" s="41" t="s">
        <v>538</v>
      </c>
      <c r="C50" s="35"/>
      <c r="D50" s="35"/>
      <c r="E50" s="35"/>
      <c r="F50" s="804"/>
      <c r="G50" s="35"/>
      <c r="H50" s="35"/>
      <c r="I50" s="35"/>
      <c r="J50" s="35"/>
      <c r="K50" s="35"/>
      <c r="L50" s="36"/>
      <c r="M50" s="36"/>
      <c r="N50" s="36"/>
    </row>
    <row r="51" spans="1:15" ht="14.25">
      <c r="A51" s="32"/>
      <c r="B51" s="412" t="s">
        <v>517</v>
      </c>
      <c r="C51" s="6042" t="s">
        <v>539</v>
      </c>
      <c r="D51" s="6042"/>
      <c r="E51" s="6042"/>
      <c r="F51" s="6042"/>
      <c r="G51" s="6042"/>
      <c r="H51" s="6042"/>
      <c r="I51" s="6042"/>
      <c r="J51" s="6042"/>
      <c r="K51" s="6042"/>
      <c r="L51" s="6042"/>
      <c r="M51" s="6042"/>
      <c r="N51" s="6042"/>
    </row>
    <row r="52" spans="1:15" ht="14.25">
      <c r="A52" s="32"/>
      <c r="B52" s="412"/>
      <c r="C52" s="6043" t="s">
        <v>261</v>
      </c>
      <c r="D52" s="6043"/>
      <c r="E52" s="6043"/>
      <c r="F52" s="6043" t="s">
        <v>540</v>
      </c>
      <c r="G52" s="6043"/>
      <c r="H52" s="6043"/>
      <c r="I52" s="6044" t="s">
        <v>541</v>
      </c>
      <c r="J52" s="6044"/>
      <c r="K52" s="1421"/>
      <c r="L52" s="6043" t="s">
        <v>542</v>
      </c>
      <c r="M52" s="6043"/>
      <c r="N52" s="6043"/>
    </row>
    <row r="53" spans="1:15" ht="14.25">
      <c r="A53" s="19"/>
      <c r="B53" s="1422"/>
      <c r="C53" s="1423" t="s">
        <v>543</v>
      </c>
      <c r="D53" s="1423" t="s">
        <v>96</v>
      </c>
      <c r="E53" s="1423" t="s">
        <v>383</v>
      </c>
      <c r="F53" s="1423" t="s">
        <v>544</v>
      </c>
      <c r="G53" s="1423" t="s">
        <v>96</v>
      </c>
      <c r="H53" s="1423" t="s">
        <v>383</v>
      </c>
      <c r="I53" s="1423" t="s">
        <v>385</v>
      </c>
      <c r="J53" s="1423" t="s">
        <v>96</v>
      </c>
      <c r="K53" s="1423" t="s">
        <v>383</v>
      </c>
      <c r="L53" s="1423" t="s">
        <v>98</v>
      </c>
      <c r="M53" s="1423" t="s">
        <v>96</v>
      </c>
      <c r="N53" s="1423" t="s">
        <v>383</v>
      </c>
      <c r="O53" s="18" t="s">
        <v>94</v>
      </c>
    </row>
    <row r="54" spans="1:15" ht="14.25">
      <c r="A54" s="19"/>
      <c r="B54" s="116"/>
      <c r="C54" s="117"/>
      <c r="D54" s="117"/>
      <c r="E54" s="117"/>
      <c r="F54" s="117"/>
      <c r="G54" s="117"/>
      <c r="H54" s="117"/>
      <c r="I54" s="117"/>
      <c r="J54" s="117"/>
      <c r="K54" s="117"/>
      <c r="L54" s="117"/>
      <c r="M54" s="117" t="s">
        <v>545</v>
      </c>
      <c r="N54" s="118"/>
    </row>
    <row r="55" spans="1:15" ht="15" hidden="1">
      <c r="A55" s="19"/>
      <c r="B55" s="86" t="s">
        <v>689</v>
      </c>
      <c r="C55" s="117"/>
      <c r="D55" s="117"/>
      <c r="E55" s="117"/>
      <c r="F55" s="117"/>
      <c r="G55" s="117"/>
      <c r="H55" s="117"/>
      <c r="I55" s="117"/>
      <c r="J55" s="117"/>
      <c r="K55" s="117"/>
      <c r="L55" s="117"/>
      <c r="M55" s="117"/>
      <c r="N55" s="117"/>
    </row>
    <row r="56" spans="1:15" ht="15" hidden="1">
      <c r="B56" s="119" t="s">
        <v>461</v>
      </c>
      <c r="C56" s="117"/>
      <c r="D56" s="117"/>
      <c r="E56" s="117"/>
      <c r="F56" s="117"/>
      <c r="G56" s="117"/>
      <c r="H56" s="117"/>
      <c r="I56" s="117"/>
      <c r="J56" s="117"/>
      <c r="K56" s="117" t="s">
        <v>94</v>
      </c>
      <c r="L56" s="120">
        <v>0</v>
      </c>
      <c r="M56" s="120">
        <v>0</v>
      </c>
      <c r="N56" s="120"/>
    </row>
    <row r="57" spans="1:15" ht="15" hidden="1">
      <c r="B57" s="119" t="s">
        <v>462</v>
      </c>
      <c r="C57" s="117"/>
      <c r="D57" s="117"/>
      <c r="E57" s="117"/>
      <c r="F57" s="117"/>
      <c r="G57" s="117"/>
      <c r="H57" s="117"/>
      <c r="I57" s="117"/>
      <c r="J57" s="117"/>
      <c r="K57" s="117"/>
      <c r="L57" s="120">
        <v>0</v>
      </c>
      <c r="M57" s="120">
        <v>0</v>
      </c>
      <c r="N57" s="120"/>
    </row>
    <row r="58" spans="1:15" ht="15" hidden="1">
      <c r="B58" s="119" t="s">
        <v>463</v>
      </c>
      <c r="C58" s="117"/>
      <c r="D58" s="117"/>
      <c r="E58" s="117"/>
      <c r="F58" s="117"/>
      <c r="G58" s="117"/>
      <c r="H58" s="117"/>
      <c r="I58" s="117"/>
      <c r="J58" s="117"/>
      <c r="K58" s="117"/>
      <c r="L58" s="121">
        <v>0</v>
      </c>
      <c r="M58" s="121">
        <v>0</v>
      </c>
      <c r="N58" s="120"/>
    </row>
    <row r="59" spans="1:15" ht="15" hidden="1">
      <c r="B59" s="119" t="s">
        <v>464</v>
      </c>
      <c r="C59" s="117"/>
      <c r="D59" s="117"/>
      <c r="E59" s="117"/>
      <c r="F59" s="117"/>
      <c r="G59" s="117"/>
      <c r="H59" s="117"/>
      <c r="I59" s="117"/>
      <c r="J59" s="117"/>
      <c r="K59" s="117"/>
      <c r="L59" s="121">
        <v>0</v>
      </c>
      <c r="M59" s="121">
        <v>0</v>
      </c>
      <c r="N59" s="120"/>
    </row>
    <row r="60" spans="1:15" ht="15" hidden="1">
      <c r="B60" s="122" t="s">
        <v>465</v>
      </c>
      <c r="C60" s="117"/>
      <c r="D60" s="117"/>
      <c r="E60" s="117"/>
      <c r="F60" s="117"/>
      <c r="G60" s="117"/>
      <c r="H60" s="117"/>
      <c r="I60" s="117"/>
      <c r="J60" s="117"/>
      <c r="K60" s="117"/>
      <c r="L60" s="121">
        <v>0</v>
      </c>
      <c r="M60" s="121">
        <v>0</v>
      </c>
      <c r="N60" s="120"/>
    </row>
    <row r="61" spans="1:15" ht="15" hidden="1">
      <c r="B61" s="122" t="s">
        <v>466</v>
      </c>
      <c r="C61" s="117"/>
      <c r="D61" s="117"/>
      <c r="E61" s="117"/>
      <c r="F61" s="117"/>
      <c r="G61" s="117"/>
      <c r="H61" s="117"/>
      <c r="I61" s="117"/>
      <c r="J61" s="117"/>
      <c r="K61" s="117"/>
      <c r="L61" s="121">
        <v>0</v>
      </c>
      <c r="M61" s="121">
        <v>0</v>
      </c>
      <c r="N61" s="120"/>
    </row>
    <row r="62" spans="1:15" ht="30" hidden="1">
      <c r="B62" s="123" t="s">
        <v>467</v>
      </c>
      <c r="C62" s="117"/>
      <c r="D62" s="117"/>
      <c r="E62" s="117"/>
      <c r="F62" s="117"/>
      <c r="G62" s="117"/>
      <c r="H62" s="117"/>
      <c r="I62" s="117"/>
      <c r="J62" s="117" t="s">
        <v>94</v>
      </c>
      <c r="K62" s="117"/>
      <c r="L62" s="121">
        <v>0</v>
      </c>
      <c r="M62" s="121">
        <v>0</v>
      </c>
      <c r="N62" s="120"/>
    </row>
    <row r="63" spans="1:15" ht="15">
      <c r="B63" s="122" t="s">
        <v>468</v>
      </c>
      <c r="C63" s="117"/>
      <c r="D63" s="117"/>
      <c r="E63" s="117"/>
      <c r="F63" s="117"/>
      <c r="G63" s="117"/>
      <c r="H63" s="117"/>
      <c r="I63" s="117"/>
      <c r="J63" s="117"/>
      <c r="K63" s="117"/>
      <c r="L63" s="121">
        <v>1.6</v>
      </c>
      <c r="M63" s="121">
        <v>1.44</v>
      </c>
      <c r="N63" s="120"/>
    </row>
    <row r="64" spans="1:15" ht="15" hidden="1">
      <c r="B64" s="122"/>
      <c r="C64" s="117"/>
      <c r="D64" s="117"/>
      <c r="E64" s="117"/>
      <c r="F64" s="117"/>
      <c r="G64" s="117"/>
      <c r="H64" s="117"/>
      <c r="I64" s="117"/>
      <c r="J64" s="117"/>
      <c r="K64" s="117"/>
      <c r="L64" s="120"/>
      <c r="M64" s="120"/>
      <c r="N64" s="120"/>
    </row>
    <row r="65" spans="2:14" ht="15">
      <c r="B65" s="122" t="s">
        <v>469</v>
      </c>
      <c r="C65" s="117"/>
      <c r="D65" s="117"/>
      <c r="E65" s="117"/>
      <c r="F65" s="117"/>
      <c r="G65" s="117"/>
      <c r="H65" s="117"/>
      <c r="I65" s="117"/>
      <c r="J65" s="117"/>
      <c r="K65" s="117"/>
      <c r="L65" s="120">
        <v>18.989999999999998</v>
      </c>
      <c r="M65" s="120">
        <v>18.989999999999998</v>
      </c>
      <c r="N65" s="120"/>
    </row>
    <row r="66" spans="2:14" ht="15">
      <c r="B66" s="122" t="s">
        <v>469</v>
      </c>
      <c r="C66" s="117"/>
      <c r="D66" s="117"/>
      <c r="E66" s="117"/>
      <c r="F66" s="117"/>
      <c r="G66" s="117"/>
      <c r="H66" s="117"/>
      <c r="I66" s="117"/>
      <c r="J66" s="117"/>
      <c r="K66" s="117"/>
      <c r="L66" s="120">
        <v>18.989999999999998</v>
      </c>
      <c r="M66" s="120">
        <v>18.989999999999998</v>
      </c>
      <c r="N66" s="120"/>
    </row>
    <row r="67" spans="2:14" ht="15" hidden="1">
      <c r="B67" s="122" t="s">
        <v>470</v>
      </c>
      <c r="C67" s="124"/>
      <c r="D67" s="117"/>
      <c r="E67" s="117"/>
      <c r="F67" s="117"/>
      <c r="G67" s="117"/>
      <c r="H67" s="117"/>
      <c r="I67" s="117"/>
      <c r="J67" s="117"/>
      <c r="K67" s="117"/>
      <c r="L67" s="121">
        <v>0</v>
      </c>
      <c r="M67" s="121">
        <v>0</v>
      </c>
      <c r="N67" s="120"/>
    </row>
    <row r="68" spans="2:14" ht="15" hidden="1">
      <c r="B68" s="122" t="s">
        <v>471</v>
      </c>
      <c r="C68" s="117"/>
      <c r="D68" s="117"/>
      <c r="E68" s="117"/>
      <c r="F68" s="117"/>
      <c r="G68" s="117"/>
      <c r="H68" s="117"/>
      <c r="I68" s="117"/>
      <c r="J68" s="117"/>
      <c r="K68" s="117"/>
      <c r="L68" s="120">
        <v>0</v>
      </c>
      <c r="M68" s="120">
        <v>0</v>
      </c>
      <c r="N68" s="120"/>
    </row>
    <row r="69" spans="2:14" ht="15" hidden="1">
      <c r="B69" s="122" t="s">
        <v>472</v>
      </c>
      <c r="C69" s="125"/>
      <c r="D69" s="25"/>
      <c r="E69" s="25"/>
      <c r="F69" s="25"/>
      <c r="G69" s="25"/>
      <c r="H69" s="25"/>
      <c r="I69" s="25"/>
      <c r="J69" s="25"/>
      <c r="K69" s="25"/>
      <c r="L69" s="121">
        <v>0</v>
      </c>
      <c r="M69" s="121">
        <v>0</v>
      </c>
      <c r="N69" s="120"/>
    </row>
    <row r="70" spans="2:14" ht="15" hidden="1">
      <c r="B70" s="122" t="s">
        <v>473</v>
      </c>
      <c r="C70" s="125"/>
      <c r="D70" s="25"/>
      <c r="E70" s="25"/>
      <c r="F70" s="25"/>
      <c r="G70" s="25"/>
      <c r="H70" s="25"/>
      <c r="I70" s="25"/>
      <c r="J70" s="25"/>
      <c r="K70" s="25"/>
      <c r="L70" s="121">
        <v>0</v>
      </c>
      <c r="M70" s="121">
        <v>0</v>
      </c>
      <c r="N70" s="120"/>
    </row>
    <row r="71" spans="2:14" ht="15" hidden="1">
      <c r="B71" s="122" t="s">
        <v>474</v>
      </c>
      <c r="C71" s="125"/>
      <c r="D71" s="25"/>
      <c r="E71" s="25"/>
      <c r="F71" s="25"/>
      <c r="G71" s="25"/>
      <c r="H71" s="25"/>
      <c r="I71" s="25"/>
      <c r="J71" s="25"/>
      <c r="K71" s="25"/>
      <c r="L71" s="121">
        <v>0</v>
      </c>
      <c r="M71" s="121">
        <v>0</v>
      </c>
      <c r="N71" s="120"/>
    </row>
    <row r="72" spans="2:14" ht="15" hidden="1">
      <c r="B72" s="122" t="s">
        <v>529</v>
      </c>
      <c r="C72" s="25"/>
      <c r="D72" s="25"/>
      <c r="E72" s="25"/>
      <c r="F72" s="25"/>
      <c r="G72" s="25"/>
      <c r="H72" s="25"/>
      <c r="I72" s="25"/>
      <c r="J72" s="25"/>
      <c r="K72" s="25"/>
      <c r="L72" s="121">
        <v>0</v>
      </c>
      <c r="M72" s="121">
        <v>0</v>
      </c>
      <c r="N72" s="120"/>
    </row>
    <row r="73" spans="2:14" ht="15" hidden="1">
      <c r="B73" s="122" t="s">
        <v>530</v>
      </c>
      <c r="C73" s="25"/>
      <c r="D73" s="25"/>
      <c r="E73" s="25"/>
      <c r="F73" s="25"/>
      <c r="G73" s="25"/>
      <c r="H73" s="25"/>
      <c r="I73" s="25"/>
      <c r="J73" s="25"/>
      <c r="K73" s="25"/>
      <c r="L73" s="121">
        <v>0</v>
      </c>
      <c r="M73" s="121">
        <v>0</v>
      </c>
      <c r="N73" s="120"/>
    </row>
    <row r="74" spans="2:14" ht="15" hidden="1">
      <c r="B74" s="122" t="s">
        <v>477</v>
      </c>
      <c r="C74" s="25" t="s">
        <v>94</v>
      </c>
      <c r="D74" s="25"/>
      <c r="E74" s="25"/>
      <c r="F74" s="25"/>
      <c r="G74" s="25"/>
      <c r="H74" s="25"/>
      <c r="I74" s="25"/>
      <c r="J74" s="25"/>
      <c r="K74" s="25"/>
      <c r="L74" s="121">
        <v>0</v>
      </c>
      <c r="M74" s="121">
        <v>0</v>
      </c>
      <c r="N74" s="120"/>
    </row>
    <row r="75" spans="2:14" ht="15" hidden="1">
      <c r="B75" s="122" t="s">
        <v>532</v>
      </c>
      <c r="C75" s="25" t="s">
        <v>94</v>
      </c>
      <c r="D75" s="25" t="s">
        <v>94</v>
      </c>
      <c r="E75" s="25"/>
      <c r="F75" s="25"/>
      <c r="G75" s="25"/>
      <c r="H75" s="25"/>
      <c r="I75" s="25"/>
      <c r="J75" s="25"/>
      <c r="K75" s="25"/>
      <c r="L75" s="121">
        <v>0</v>
      </c>
      <c r="M75" s="121">
        <v>0</v>
      </c>
      <c r="N75" s="120"/>
    </row>
    <row r="76" spans="2:14" ht="15" hidden="1">
      <c r="B76" s="122" t="s">
        <v>546</v>
      </c>
      <c r="C76" s="25"/>
      <c r="D76" s="25"/>
      <c r="E76" s="25"/>
      <c r="F76" s="25"/>
      <c r="G76" s="25"/>
      <c r="H76" s="25"/>
      <c r="I76" s="25"/>
      <c r="J76" s="25"/>
      <c r="K76" s="25"/>
      <c r="L76" s="121">
        <v>0</v>
      </c>
      <c r="M76" s="121">
        <v>0</v>
      </c>
      <c r="N76" s="120"/>
    </row>
    <row r="77" spans="2:14" ht="15" hidden="1">
      <c r="B77" s="122" t="s">
        <v>547</v>
      </c>
      <c r="C77" s="25"/>
      <c r="D77" s="25"/>
      <c r="E77" s="25"/>
      <c r="F77" s="25"/>
      <c r="G77" s="25"/>
      <c r="H77" s="25"/>
      <c r="I77" s="25"/>
      <c r="J77" s="25"/>
      <c r="K77" s="25"/>
      <c r="L77" s="121">
        <v>0</v>
      </c>
      <c r="M77" s="121">
        <v>0</v>
      </c>
      <c r="N77" s="120"/>
    </row>
    <row r="78" spans="2:14" ht="15" hidden="1">
      <c r="B78" s="122" t="s">
        <v>548</v>
      </c>
      <c r="C78" s="25"/>
      <c r="D78" s="25"/>
      <c r="E78" s="25"/>
      <c r="F78" s="25"/>
      <c r="G78" s="25"/>
      <c r="H78" s="25"/>
      <c r="I78" s="25"/>
      <c r="J78" s="25"/>
      <c r="K78" s="25"/>
      <c r="L78" s="121">
        <v>0</v>
      </c>
      <c r="M78" s="121">
        <v>0</v>
      </c>
      <c r="N78" s="120"/>
    </row>
    <row r="79" spans="2:14" ht="15">
      <c r="B79" s="122" t="s">
        <v>549</v>
      </c>
      <c r="C79" s="25"/>
      <c r="D79" s="25"/>
      <c r="E79" s="25"/>
      <c r="F79" s="25"/>
      <c r="G79" s="25"/>
      <c r="H79" s="25"/>
      <c r="I79" s="25"/>
      <c r="J79" s="25"/>
      <c r="K79" s="25"/>
      <c r="L79" s="121">
        <v>63</v>
      </c>
      <c r="M79" s="121">
        <v>0</v>
      </c>
      <c r="N79" s="120"/>
    </row>
    <row r="80" spans="2:14" ht="15">
      <c r="B80" s="122" t="s">
        <v>550</v>
      </c>
      <c r="C80" s="25"/>
      <c r="D80" s="25"/>
      <c r="E80" s="25"/>
      <c r="F80" s="25"/>
      <c r="G80" s="25"/>
      <c r="H80" s="25"/>
      <c r="I80" s="25"/>
      <c r="J80" s="25"/>
      <c r="K80" s="25"/>
      <c r="L80" s="121"/>
      <c r="M80" s="121">
        <v>67.45</v>
      </c>
      <c r="N80" s="120"/>
    </row>
    <row r="81" spans="2:14" ht="15" hidden="1">
      <c r="B81" s="122" t="s">
        <v>94</v>
      </c>
      <c r="C81" s="25"/>
      <c r="D81" s="25"/>
      <c r="E81" s="25"/>
      <c r="F81" s="25"/>
      <c r="G81" s="25"/>
      <c r="H81" s="25"/>
      <c r="I81" s="25"/>
      <c r="J81" s="25"/>
      <c r="K81" s="25"/>
      <c r="L81" s="121" t="s">
        <v>94</v>
      </c>
      <c r="M81" s="121" t="s">
        <v>94</v>
      </c>
      <c r="N81" s="120"/>
    </row>
    <row r="82" spans="2:14" ht="15" hidden="1">
      <c r="B82" s="122" t="s">
        <v>94</v>
      </c>
      <c r="C82" s="25"/>
      <c r="D82" s="25"/>
      <c r="E82" s="25"/>
      <c r="F82" s="25"/>
      <c r="G82" s="25"/>
      <c r="H82" s="25"/>
      <c r="I82" s="25"/>
      <c r="J82" s="25"/>
      <c r="K82" s="25"/>
      <c r="L82" s="121" t="s">
        <v>94</v>
      </c>
      <c r="M82" s="121" t="s">
        <v>94</v>
      </c>
      <c r="N82" s="120"/>
    </row>
    <row r="83" spans="2:14" ht="15" hidden="1">
      <c r="B83" s="122"/>
      <c r="C83" s="25"/>
      <c r="D83" s="25"/>
      <c r="E83" s="25"/>
      <c r="F83" s="25"/>
      <c r="G83" s="25"/>
      <c r="H83" s="25"/>
      <c r="I83" s="25"/>
      <c r="J83" s="25"/>
      <c r="K83" s="25"/>
      <c r="L83" s="121"/>
      <c r="M83" s="121"/>
      <c r="N83" s="120"/>
    </row>
    <row r="84" spans="2:14" ht="15" hidden="1">
      <c r="B84" s="122"/>
      <c r="C84" s="25"/>
      <c r="D84" s="25"/>
      <c r="E84" s="25"/>
      <c r="F84" s="25"/>
      <c r="G84" s="25"/>
      <c r="H84" s="25"/>
      <c r="I84" s="25"/>
      <c r="J84" s="25"/>
      <c r="K84" s="25"/>
      <c r="L84" s="121"/>
      <c r="M84" s="121"/>
      <c r="N84" s="120"/>
    </row>
    <row r="85" spans="2:14" ht="14.25">
      <c r="B85" s="126" t="s">
        <v>485</v>
      </c>
      <c r="C85" s="120"/>
      <c r="D85" s="120"/>
      <c r="E85" s="25"/>
      <c r="F85" s="25"/>
      <c r="G85" s="25"/>
      <c r="H85" s="25"/>
      <c r="I85" s="25"/>
      <c r="J85" s="25"/>
      <c r="K85" s="25"/>
      <c r="L85" s="121">
        <f>SUM(L55:L82)</f>
        <v>102.58</v>
      </c>
      <c r="M85" s="121">
        <f>SUM(M55:M82)</f>
        <v>106.87</v>
      </c>
      <c r="N85" s="120"/>
    </row>
    <row r="87" spans="2:14">
      <c r="B87" s="24"/>
    </row>
    <row r="88" spans="2:14">
      <c r="B88" s="24"/>
    </row>
  </sheetData>
  <sheetProtection selectLockedCells="1" selectUnlockedCells="1"/>
  <mergeCells count="8">
    <mergeCell ref="D10:J10"/>
    <mergeCell ref="D11:J11"/>
    <mergeCell ref="G12:J12"/>
    <mergeCell ref="C51:N51"/>
    <mergeCell ref="C52:E52"/>
    <mergeCell ref="F52:H52"/>
    <mergeCell ref="I52:J52"/>
    <mergeCell ref="L52:N52"/>
  </mergeCells>
  <pageMargins left="0.27559055118110237" right="0.27559055118110237" top="0.98425196850393704" bottom="0.98425196850393704" header="0.51181102362204722" footer="0.51181102362204722"/>
  <pageSetup paperSize="9" scale="52" firstPageNumber="0" orientation="portrait" horizontalDpi="300" verticalDpi="300" r:id="rId1"/>
  <headerFooter alignWithMargins="0"/>
  <rowBreaks count="1" manualBreakCount="1">
    <brk id="48" max="16383" man="1"/>
  </rowBreaks>
</worksheet>
</file>

<file path=xl/worksheets/sheet8.xml><?xml version="1.0" encoding="utf-8"?>
<worksheet xmlns="http://schemas.openxmlformats.org/spreadsheetml/2006/main" xmlns:r="http://schemas.openxmlformats.org/officeDocument/2006/relationships">
  <sheetPr codeName="Sheet8"/>
  <dimension ref="B1:M56"/>
  <sheetViews>
    <sheetView topLeftCell="A52" workbookViewId="0">
      <selection activeCell="B2" sqref="B2:M56"/>
    </sheetView>
  </sheetViews>
  <sheetFormatPr defaultRowHeight="15"/>
  <cols>
    <col min="7" max="7" width="12.7109375" customWidth="1"/>
  </cols>
  <sheetData>
    <row r="1" spans="2:13" ht="15.75" thickBot="1"/>
    <row r="2" spans="2:13">
      <c r="B2" s="5402" t="s">
        <v>72</v>
      </c>
      <c r="C2" s="5403"/>
      <c r="D2" s="5403"/>
      <c r="E2" s="5403"/>
      <c r="F2" s="5403"/>
      <c r="G2" s="5404"/>
    </row>
    <row r="3" spans="2:13" ht="45.75" customHeight="1">
      <c r="B3" s="7" t="s">
        <v>1</v>
      </c>
      <c r="C3" s="7" t="s">
        <v>2</v>
      </c>
      <c r="D3" s="7" t="s">
        <v>62</v>
      </c>
      <c r="E3" s="7"/>
      <c r="F3" s="7" t="s">
        <v>4</v>
      </c>
      <c r="G3" s="7" t="s">
        <v>5</v>
      </c>
      <c r="H3" s="7" t="s">
        <v>6</v>
      </c>
      <c r="I3" s="7" t="s">
        <v>7</v>
      </c>
      <c r="J3" s="7" t="s">
        <v>8</v>
      </c>
      <c r="K3" s="7" t="s">
        <v>9</v>
      </c>
      <c r="L3" s="7" t="s">
        <v>73</v>
      </c>
      <c r="M3" s="7" t="s">
        <v>11</v>
      </c>
    </row>
    <row r="4" spans="2:13">
      <c r="B4" s="1"/>
      <c r="C4" s="1"/>
      <c r="D4" s="2" t="s">
        <v>12</v>
      </c>
      <c r="E4" s="2" t="s">
        <v>13</v>
      </c>
      <c r="F4" s="1"/>
      <c r="G4" s="1"/>
      <c r="H4" s="1"/>
      <c r="I4" s="1"/>
      <c r="J4" s="1"/>
      <c r="K4" s="1"/>
      <c r="L4" s="1"/>
      <c r="M4" s="1"/>
    </row>
    <row r="5" spans="2:13">
      <c r="B5" s="1" t="s">
        <v>14</v>
      </c>
      <c r="C5" s="1" t="s">
        <v>15</v>
      </c>
      <c r="D5" s="1">
        <v>583</v>
      </c>
      <c r="E5" s="1">
        <v>0</v>
      </c>
      <c r="F5" s="1">
        <v>47620</v>
      </c>
      <c r="G5" s="1">
        <v>20988.560000000001</v>
      </c>
      <c r="H5" s="1">
        <v>1731.2</v>
      </c>
      <c r="I5" s="1">
        <v>5821.6799999999994</v>
      </c>
      <c r="J5" s="1">
        <v>28541.440000000002</v>
      </c>
      <c r="K5" s="1">
        <v>0.59935825283494337</v>
      </c>
      <c r="L5" s="1">
        <v>5482.87</v>
      </c>
      <c r="M5" s="1">
        <v>0.11513796724065518</v>
      </c>
    </row>
    <row r="6" spans="2:13">
      <c r="B6" s="1" t="s">
        <v>16</v>
      </c>
      <c r="C6" s="1" t="s">
        <v>17</v>
      </c>
      <c r="D6" s="1">
        <v>234579</v>
      </c>
      <c r="E6" s="1">
        <v>13359</v>
      </c>
      <c r="F6" s="1">
        <v>58426187</v>
      </c>
      <c r="G6" s="1">
        <v>120395645.44000001</v>
      </c>
      <c r="H6" s="5399">
        <v>62378283.969999999</v>
      </c>
      <c r="I6" s="1">
        <v>32175059.950000003</v>
      </c>
      <c r="J6" s="5399">
        <v>839735494.20999992</v>
      </c>
      <c r="K6" s="1">
        <v>5.3430146393431128</v>
      </c>
      <c r="L6" s="1"/>
      <c r="M6" s="1">
        <v>0</v>
      </c>
    </row>
    <row r="7" spans="2:13">
      <c r="B7" s="1"/>
      <c r="C7" s="1" t="s">
        <v>18</v>
      </c>
      <c r="D7" s="1">
        <v>355145</v>
      </c>
      <c r="E7" s="1">
        <v>19730</v>
      </c>
      <c r="F7" s="1">
        <v>53137134</v>
      </c>
      <c r="G7" s="1">
        <v>202480716.18000001</v>
      </c>
      <c r="H7" s="5400"/>
      <c r="I7" s="1">
        <v>54788272.940000005</v>
      </c>
      <c r="J7" s="5400"/>
      <c r="K7" s="1"/>
      <c r="L7" s="1"/>
      <c r="M7" s="1">
        <v>0</v>
      </c>
    </row>
    <row r="8" spans="2:13">
      <c r="B8" s="1"/>
      <c r="C8" s="1" t="s">
        <v>19</v>
      </c>
      <c r="D8" s="1">
        <v>58942</v>
      </c>
      <c r="E8" s="1">
        <v>17391</v>
      </c>
      <c r="F8" s="1">
        <v>15590584</v>
      </c>
      <c r="G8" s="1">
        <v>83566664.660000011</v>
      </c>
      <c r="H8" s="5400"/>
      <c r="I8" s="1">
        <v>22477667.039999999</v>
      </c>
      <c r="J8" s="5400"/>
      <c r="K8" s="1"/>
      <c r="L8" s="1"/>
      <c r="M8" s="1">
        <v>0</v>
      </c>
    </row>
    <row r="9" spans="2:13">
      <c r="B9" s="1"/>
      <c r="C9" s="1" t="s">
        <v>20</v>
      </c>
      <c r="D9" s="1">
        <v>18176</v>
      </c>
      <c r="E9" s="1">
        <v>31870</v>
      </c>
      <c r="F9" s="1">
        <v>30011207</v>
      </c>
      <c r="G9" s="1">
        <v>205879253.97999999</v>
      </c>
      <c r="H9" s="5401"/>
      <c r="I9" s="1">
        <v>55593930.050000004</v>
      </c>
      <c r="J9" s="5401"/>
      <c r="K9" s="1"/>
      <c r="L9" s="1"/>
      <c r="M9" s="1">
        <v>0</v>
      </c>
    </row>
    <row r="10" spans="2:13">
      <c r="B10" s="1" t="s">
        <v>21</v>
      </c>
      <c r="C10" s="1" t="s">
        <v>22</v>
      </c>
      <c r="D10" s="1">
        <v>177433</v>
      </c>
      <c r="E10" s="1">
        <v>14303</v>
      </c>
      <c r="F10" s="1">
        <v>-34901</v>
      </c>
      <c r="G10" s="1">
        <v>-139604</v>
      </c>
      <c r="H10" s="5399">
        <v>63053358.520000003</v>
      </c>
      <c r="I10" s="1"/>
      <c r="J10" s="5399">
        <v>722019050.79999995</v>
      </c>
      <c r="K10" s="1">
        <v>9.1716572223954884</v>
      </c>
      <c r="L10" s="1"/>
      <c r="M10" s="1"/>
    </row>
    <row r="11" spans="2:13">
      <c r="B11" s="1"/>
      <c r="C11" s="1" t="s">
        <v>19</v>
      </c>
      <c r="D11" s="1">
        <v>23121</v>
      </c>
      <c r="E11" s="1">
        <v>5193</v>
      </c>
      <c r="F11" s="1">
        <v>-10268</v>
      </c>
      <c r="G11" s="1">
        <v>-61608</v>
      </c>
      <c r="H11" s="5400"/>
      <c r="I11" s="1"/>
      <c r="J11" s="5400"/>
      <c r="K11" s="1"/>
      <c r="L11" s="1"/>
      <c r="M11" s="1"/>
    </row>
    <row r="12" spans="2:13">
      <c r="B12" s="1"/>
      <c r="C12" s="1" t="s">
        <v>23</v>
      </c>
      <c r="D12" s="1">
        <v>15068</v>
      </c>
      <c r="E12" s="1">
        <v>9518</v>
      </c>
      <c r="F12" s="1">
        <v>-13181</v>
      </c>
      <c r="G12" s="1">
        <v>-90948.900000000009</v>
      </c>
      <c r="H12" s="5400"/>
      <c r="I12" s="1"/>
      <c r="J12" s="5400"/>
      <c r="K12" s="1"/>
      <c r="L12" s="1"/>
      <c r="M12" s="1"/>
    </row>
    <row r="13" spans="2:13">
      <c r="B13" s="1"/>
      <c r="C13" s="1" t="s">
        <v>24</v>
      </c>
      <c r="D13" s="1">
        <v>3270</v>
      </c>
      <c r="E13" s="1">
        <v>14096</v>
      </c>
      <c r="F13" s="1">
        <v>-32250</v>
      </c>
      <c r="G13" s="1">
        <v>-245100</v>
      </c>
      <c r="H13" s="5400"/>
      <c r="I13" s="1"/>
      <c r="J13" s="5400"/>
      <c r="K13" s="1"/>
      <c r="L13" s="1"/>
      <c r="M13" s="1"/>
    </row>
    <row r="14" spans="2:13">
      <c r="B14" s="1"/>
      <c r="C14" s="1" t="s">
        <v>25</v>
      </c>
      <c r="D14" s="1">
        <v>200554</v>
      </c>
      <c r="E14" s="1">
        <v>19496</v>
      </c>
      <c r="F14" s="1">
        <v>46451021</v>
      </c>
      <c r="G14" s="1">
        <v>255480615.5</v>
      </c>
      <c r="H14" s="5400"/>
      <c r="I14" s="1">
        <v>68747511.079999998</v>
      </c>
      <c r="J14" s="5400"/>
      <c r="K14" s="1"/>
      <c r="L14" s="1"/>
      <c r="M14" s="1">
        <v>0</v>
      </c>
    </row>
    <row r="15" spans="2:13">
      <c r="B15" s="1"/>
      <c r="C15" s="1" t="s">
        <v>26</v>
      </c>
      <c r="D15" s="1">
        <v>18338</v>
      </c>
      <c r="E15" s="1">
        <v>23614</v>
      </c>
      <c r="F15" s="1">
        <v>32362435</v>
      </c>
      <c r="G15" s="1">
        <v>264077469.59999999</v>
      </c>
      <c r="H15" s="5401"/>
      <c r="I15" s="1">
        <v>71197357</v>
      </c>
      <c r="J15" s="5401"/>
      <c r="K15" s="1"/>
      <c r="L15" s="1"/>
      <c r="M15" s="1">
        <v>0</v>
      </c>
    </row>
    <row r="16" spans="2:13">
      <c r="B16" s="1" t="s">
        <v>27</v>
      </c>
      <c r="C16" s="1" t="s">
        <v>28</v>
      </c>
      <c r="D16" s="1">
        <v>70</v>
      </c>
      <c r="E16" s="1">
        <v>5955</v>
      </c>
      <c r="F16" s="1">
        <v>21820229</v>
      </c>
      <c r="G16" s="1">
        <v>174561806.09999999</v>
      </c>
      <c r="H16" s="1">
        <v>21944565.91</v>
      </c>
      <c r="I16" s="1">
        <v>46913412.799999997</v>
      </c>
      <c r="J16" s="1">
        <v>243419784.81</v>
      </c>
      <c r="K16" s="1">
        <v>11.155693407708966</v>
      </c>
      <c r="L16" s="1">
        <v>44290732.479999997</v>
      </c>
      <c r="M16" s="1">
        <v>2.02980145075471</v>
      </c>
    </row>
    <row r="17" spans="2:13">
      <c r="B17" s="1" t="s">
        <v>29</v>
      </c>
      <c r="C17" s="1" t="s">
        <v>28</v>
      </c>
      <c r="D17" s="1">
        <v>1</v>
      </c>
      <c r="E17" s="1">
        <v>2629</v>
      </c>
      <c r="F17" s="1">
        <v>42880984</v>
      </c>
      <c r="G17" s="1">
        <v>346907160.56</v>
      </c>
      <c r="H17" s="1">
        <v>34761261.079999998</v>
      </c>
      <c r="I17" s="1">
        <v>93480545.120000005</v>
      </c>
      <c r="J17" s="1">
        <v>475148966.75999999</v>
      </c>
      <c r="K17" s="1">
        <v>11.080645135382154</v>
      </c>
      <c r="L17" s="1">
        <v>87863113.959999993</v>
      </c>
      <c r="M17" s="1">
        <v>2.0489994809820593</v>
      </c>
    </row>
    <row r="18" spans="2:13">
      <c r="B18" s="1" t="s">
        <v>30</v>
      </c>
      <c r="C18" s="1" t="s">
        <v>22</v>
      </c>
      <c r="D18" s="1">
        <v>2531</v>
      </c>
      <c r="E18" s="1">
        <v>2967</v>
      </c>
      <c r="F18" s="1">
        <v>-627</v>
      </c>
      <c r="G18" s="1">
        <v>-2319.9</v>
      </c>
      <c r="H18" s="5399">
        <v>3048159.95</v>
      </c>
      <c r="I18" s="1"/>
      <c r="J18" s="5399">
        <v>36704027.910000004</v>
      </c>
      <c r="K18" s="1">
        <v>8.7655680205077466</v>
      </c>
      <c r="L18" s="1"/>
      <c r="M18" s="1"/>
    </row>
    <row r="19" spans="2:13">
      <c r="B19" s="1"/>
      <c r="C19" s="1" t="s">
        <v>19</v>
      </c>
      <c r="D19" s="1">
        <v>234</v>
      </c>
      <c r="E19" s="1">
        <v>724</v>
      </c>
      <c r="F19" s="1">
        <v>-129</v>
      </c>
      <c r="G19" s="1">
        <v>-709.5</v>
      </c>
      <c r="H19" s="5400"/>
      <c r="I19" s="1"/>
      <c r="J19" s="5400"/>
      <c r="K19" s="1"/>
      <c r="L19" s="1"/>
      <c r="M19" s="1"/>
    </row>
    <row r="20" spans="2:13">
      <c r="B20" s="1"/>
      <c r="C20" s="1" t="s">
        <v>23</v>
      </c>
      <c r="D20" s="1">
        <v>125</v>
      </c>
      <c r="E20" s="1">
        <v>1099</v>
      </c>
      <c r="F20" s="1">
        <v>-53</v>
      </c>
      <c r="G20" s="1">
        <v>-315.35000000000002</v>
      </c>
      <c r="H20" s="5400"/>
      <c r="I20" s="1"/>
      <c r="J20" s="5400"/>
      <c r="K20" s="1"/>
      <c r="L20" s="1"/>
      <c r="M20" s="1"/>
    </row>
    <row r="21" spans="2:13">
      <c r="B21" s="1"/>
      <c r="C21" s="1" t="s">
        <v>24</v>
      </c>
      <c r="D21" s="1">
        <v>30</v>
      </c>
      <c r="E21" s="1">
        <v>1229</v>
      </c>
      <c r="F21" s="1">
        <v>0</v>
      </c>
      <c r="G21" s="1">
        <v>0</v>
      </c>
      <c r="H21" s="5400"/>
      <c r="I21" s="1"/>
      <c r="J21" s="5400"/>
      <c r="K21" s="1"/>
      <c r="L21" s="1"/>
      <c r="M21" s="1"/>
    </row>
    <row r="22" spans="2:13">
      <c r="B22" s="1"/>
      <c r="C22" s="1" t="s">
        <v>25</v>
      </c>
      <c r="D22" s="1">
        <v>2765</v>
      </c>
      <c r="E22" s="1">
        <v>3691</v>
      </c>
      <c r="F22" s="1">
        <v>1915923</v>
      </c>
      <c r="G22" s="1">
        <v>9981958.8300000001</v>
      </c>
      <c r="H22" s="5400"/>
      <c r="I22" s="1">
        <v>2682292.1999999997</v>
      </c>
      <c r="J22" s="5400"/>
      <c r="K22" s="1"/>
      <c r="L22" s="1"/>
      <c r="M22" s="1">
        <v>0</v>
      </c>
    </row>
    <row r="23" spans="2:13">
      <c r="B23" s="1"/>
      <c r="C23" s="1" t="s">
        <v>26</v>
      </c>
      <c r="D23" s="1">
        <v>155</v>
      </c>
      <c r="E23" s="1">
        <v>2328</v>
      </c>
      <c r="F23" s="1">
        <v>2272182</v>
      </c>
      <c r="G23" s="1">
        <v>16541484.960000001</v>
      </c>
      <c r="H23" s="5401"/>
      <c r="I23" s="1">
        <v>4453476.72</v>
      </c>
      <c r="J23" s="5401"/>
      <c r="K23" s="1"/>
      <c r="L23" s="1"/>
      <c r="M23" s="1">
        <v>0</v>
      </c>
    </row>
    <row r="24" spans="2:13">
      <c r="B24" s="1" t="s">
        <v>31</v>
      </c>
      <c r="C24" s="1" t="s">
        <v>28</v>
      </c>
      <c r="D24" s="1">
        <v>9</v>
      </c>
      <c r="E24" s="1">
        <v>1220</v>
      </c>
      <c r="F24" s="1">
        <v>4579149</v>
      </c>
      <c r="G24" s="1">
        <v>29856051.479999997</v>
      </c>
      <c r="H24" s="1">
        <v>5298405.88</v>
      </c>
      <c r="I24" s="1">
        <v>8013510.75</v>
      </c>
      <c r="J24" s="1">
        <v>43167968.109999999</v>
      </c>
      <c r="K24" s="1">
        <v>9.4270721721437756</v>
      </c>
      <c r="L24" s="1">
        <v>7555667.1900000004</v>
      </c>
      <c r="M24" s="1">
        <v>1.650015579313973</v>
      </c>
    </row>
    <row r="25" spans="2:13">
      <c r="B25" s="1" t="s">
        <v>32</v>
      </c>
      <c r="C25" s="1" t="s">
        <v>28</v>
      </c>
      <c r="D25" s="1">
        <v>0</v>
      </c>
      <c r="E25" s="1">
        <v>129</v>
      </c>
      <c r="F25" s="1">
        <v>4225649</v>
      </c>
      <c r="G25" s="1">
        <v>27001897.109999999</v>
      </c>
      <c r="H25" s="1">
        <v>2729363.4</v>
      </c>
      <c r="I25" s="1">
        <v>7268116.2800000003</v>
      </c>
      <c r="J25" s="1">
        <v>36999376.789999999</v>
      </c>
      <c r="K25" s="1">
        <v>8.7559039546351336</v>
      </c>
      <c r="L25" s="1">
        <v>6845551.3799999999</v>
      </c>
      <c r="M25" s="1">
        <v>1.6199999999999999</v>
      </c>
    </row>
    <row r="26" spans="2:13">
      <c r="B26" s="1" t="s">
        <v>33</v>
      </c>
      <c r="C26" s="1" t="s">
        <v>28</v>
      </c>
      <c r="D26" s="1">
        <v>831</v>
      </c>
      <c r="E26" s="1">
        <v>172</v>
      </c>
      <c r="F26" s="1">
        <v>144749</v>
      </c>
      <c r="G26" s="1">
        <v>1701642.5</v>
      </c>
      <c r="H26" s="1">
        <v>316013.27</v>
      </c>
      <c r="I26" s="1">
        <v>465006.64</v>
      </c>
      <c r="J26" s="1">
        <v>2482662.41</v>
      </c>
      <c r="K26" s="1">
        <v>17.151499561309578</v>
      </c>
      <c r="L26" s="1">
        <v>460572.07</v>
      </c>
      <c r="M26" s="1">
        <v>3.1818670249880827</v>
      </c>
    </row>
    <row r="27" spans="2:13">
      <c r="B27" s="1" t="s">
        <v>34</v>
      </c>
      <c r="C27" s="1" t="s">
        <v>28</v>
      </c>
      <c r="D27" s="1"/>
      <c r="E27" s="1"/>
      <c r="F27" s="1">
        <v>2069850</v>
      </c>
      <c r="G27" s="1">
        <v>11715351</v>
      </c>
      <c r="H27" s="1">
        <v>1759284.54</v>
      </c>
      <c r="I27" s="1">
        <v>3146172</v>
      </c>
      <c r="J27" s="1">
        <v>16620807.539999999</v>
      </c>
      <c r="K27" s="1">
        <v>8.0299575041669691</v>
      </c>
      <c r="L27" s="1">
        <v>2980584</v>
      </c>
      <c r="M27" s="1">
        <v>1.44</v>
      </c>
    </row>
    <row r="28" spans="2:13">
      <c r="B28" s="1" t="s">
        <v>35</v>
      </c>
      <c r="C28" s="1" t="s">
        <v>28</v>
      </c>
      <c r="D28" s="1">
        <v>596</v>
      </c>
      <c r="E28" s="1">
        <v>133</v>
      </c>
      <c r="F28" s="1">
        <v>324713</v>
      </c>
      <c r="G28" s="1">
        <v>1838180.86</v>
      </c>
      <c r="H28" s="1">
        <v>215707.01</v>
      </c>
      <c r="I28" s="1">
        <v>494852.72000000003</v>
      </c>
      <c r="J28" s="1">
        <v>2548740.5900000003</v>
      </c>
      <c r="K28" s="1">
        <v>7.8492101948489905</v>
      </c>
      <c r="L28" s="1">
        <v>471056.23</v>
      </c>
      <c r="M28" s="1">
        <v>1.450684850929898</v>
      </c>
    </row>
    <row r="29" spans="2:13">
      <c r="B29" s="1" t="s">
        <v>36</v>
      </c>
      <c r="C29" s="1" t="s">
        <v>28</v>
      </c>
      <c r="D29" s="1">
        <v>1</v>
      </c>
      <c r="E29" s="1">
        <v>15</v>
      </c>
      <c r="F29" s="1">
        <v>-9154</v>
      </c>
      <c r="G29" s="1">
        <v>-29567.42</v>
      </c>
      <c r="H29" s="1">
        <v>800</v>
      </c>
      <c r="I29" s="1">
        <v>-7963.98</v>
      </c>
      <c r="J29" s="1">
        <v>-36731.399999999994</v>
      </c>
      <c r="K29" s="1">
        <v>4.012606510814944</v>
      </c>
      <c r="L29" s="1">
        <v>-3570.28</v>
      </c>
      <c r="M29" s="1">
        <v>0.39002403320952589</v>
      </c>
    </row>
    <row r="30" spans="2:13">
      <c r="B30" s="1" t="s">
        <v>37</v>
      </c>
      <c r="C30" s="1" t="s">
        <v>28</v>
      </c>
      <c r="D30" s="1">
        <v>125</v>
      </c>
      <c r="E30" s="1">
        <v>1413</v>
      </c>
      <c r="F30" s="1">
        <v>2859216</v>
      </c>
      <c r="G30" s="1">
        <v>26848045.920000002</v>
      </c>
      <c r="H30" s="1">
        <v>1932780.01</v>
      </c>
      <c r="I30" s="1">
        <v>7233846.8399999999</v>
      </c>
      <c r="J30" s="1">
        <v>36014672.770000003</v>
      </c>
      <c r="K30" s="1">
        <v>12.595995814936684</v>
      </c>
      <c r="L30" s="1">
        <v>6806270.9699999997</v>
      </c>
      <c r="M30" s="1">
        <v>2.3804675722295903</v>
      </c>
    </row>
    <row r="31" spans="2:13">
      <c r="B31" s="1" t="s">
        <v>38</v>
      </c>
      <c r="C31" s="1" t="s">
        <v>28</v>
      </c>
      <c r="D31" s="1">
        <v>7</v>
      </c>
      <c r="E31" s="1">
        <v>15</v>
      </c>
      <c r="F31" s="1">
        <v>108305</v>
      </c>
      <c r="G31" s="1">
        <v>335745.5</v>
      </c>
      <c r="H31" s="1">
        <v>3300</v>
      </c>
      <c r="I31" s="1">
        <v>89893.15</v>
      </c>
      <c r="J31" s="1">
        <v>428938.65</v>
      </c>
      <c r="K31" s="1">
        <v>3.9604695074096306</v>
      </c>
      <c r="L31" s="1">
        <v>85560.95</v>
      </c>
      <c r="M31" s="1">
        <v>0.78999999999999992</v>
      </c>
    </row>
    <row r="32" spans="2:13">
      <c r="B32" s="1" t="s">
        <v>39</v>
      </c>
      <c r="C32" s="1" t="s">
        <v>28</v>
      </c>
      <c r="D32" s="1">
        <v>0</v>
      </c>
      <c r="E32" s="1">
        <v>0</v>
      </c>
      <c r="F32" s="1">
        <v>1459483</v>
      </c>
      <c r="G32" s="1">
        <v>9924484.4000000004</v>
      </c>
      <c r="H32" s="1">
        <v>473275.02</v>
      </c>
      <c r="I32" s="1">
        <v>2670853.89</v>
      </c>
      <c r="J32" s="1">
        <v>13068613.310000001</v>
      </c>
      <c r="K32" s="1">
        <v>8.9542758017736421</v>
      </c>
      <c r="L32" s="1">
        <v>2752195.17</v>
      </c>
      <c r="M32" s="1">
        <v>1.8857329410483026</v>
      </c>
    </row>
    <row r="33" spans="2:13">
      <c r="B33" s="1" t="s">
        <v>40</v>
      </c>
      <c r="C33" s="1" t="s">
        <v>28</v>
      </c>
      <c r="D33" s="1">
        <v>0</v>
      </c>
      <c r="E33" s="1">
        <v>0</v>
      </c>
      <c r="F33" s="1">
        <v>4625851</v>
      </c>
      <c r="G33" s="1">
        <v>31455786.800000001</v>
      </c>
      <c r="H33" s="1">
        <v>3644506.31</v>
      </c>
      <c r="I33" s="1">
        <v>8465307.3300000001</v>
      </c>
      <c r="J33" s="1">
        <v>43565600.439999998</v>
      </c>
      <c r="K33" s="1">
        <v>9.4178563987469541</v>
      </c>
      <c r="L33" s="1">
        <v>8002722.2300000004</v>
      </c>
      <c r="M33" s="1">
        <v>1.7300000000000002</v>
      </c>
    </row>
    <row r="34" spans="2:13">
      <c r="B34" s="1" t="s">
        <v>41</v>
      </c>
      <c r="C34" s="1" t="s">
        <v>28</v>
      </c>
      <c r="D34" s="1">
        <v>0</v>
      </c>
      <c r="E34" s="1">
        <v>39</v>
      </c>
      <c r="F34" s="1">
        <v>15025907</v>
      </c>
      <c r="G34" s="1">
        <v>88652851.300000012</v>
      </c>
      <c r="H34" s="1">
        <v>9359206.5</v>
      </c>
      <c r="I34" s="1">
        <v>23891192.130000003</v>
      </c>
      <c r="J34" s="1">
        <v>121903249.93000001</v>
      </c>
      <c r="K34" s="1">
        <v>8.1128713181839878</v>
      </c>
      <c r="L34" s="1">
        <v>22538860.5</v>
      </c>
      <c r="M34" s="1">
        <v>1.5</v>
      </c>
    </row>
    <row r="35" spans="2:13">
      <c r="B35" s="1" t="s">
        <v>42</v>
      </c>
      <c r="C35" s="1" t="s">
        <v>28</v>
      </c>
      <c r="D35" s="1">
        <v>2</v>
      </c>
      <c r="E35" s="1">
        <v>99</v>
      </c>
      <c r="F35" s="1">
        <v>31557741</v>
      </c>
      <c r="G35" s="1">
        <v>200391655.34999999</v>
      </c>
      <c r="H35" s="1">
        <v>17803234.239999998</v>
      </c>
      <c r="I35" s="1">
        <v>53963737.109999999</v>
      </c>
      <c r="J35" s="1">
        <v>272158626.69999999</v>
      </c>
      <c r="K35" s="1">
        <v>8.6241479293463996</v>
      </c>
      <c r="L35" s="1">
        <v>50807963.009999998</v>
      </c>
      <c r="M35" s="1">
        <v>1.6099999999999999</v>
      </c>
    </row>
    <row r="36" spans="2:13">
      <c r="B36" s="1" t="s">
        <v>43</v>
      </c>
      <c r="C36" s="1" t="s">
        <v>28</v>
      </c>
      <c r="D36" s="1">
        <v>0</v>
      </c>
      <c r="E36" s="1">
        <v>9</v>
      </c>
      <c r="F36" s="1">
        <v>2803640</v>
      </c>
      <c r="G36" s="1">
        <v>9532376</v>
      </c>
      <c r="H36" s="1">
        <v>1349898.77</v>
      </c>
      <c r="I36" s="1">
        <v>2551312.4</v>
      </c>
      <c r="J36" s="1">
        <v>13433587.17</v>
      </c>
      <c r="K36" s="1">
        <v>4.7914807785593014</v>
      </c>
      <c r="L36" s="1">
        <v>2411130.4</v>
      </c>
      <c r="M36" s="1">
        <v>0.86</v>
      </c>
    </row>
    <row r="37" spans="2:13">
      <c r="B37" s="1" t="s">
        <v>44</v>
      </c>
      <c r="C37" s="1" t="s">
        <v>28</v>
      </c>
      <c r="D37" s="1">
        <v>0</v>
      </c>
      <c r="E37" s="1">
        <v>3</v>
      </c>
      <c r="F37" s="1">
        <v>305904</v>
      </c>
      <c r="G37" s="1">
        <v>2646069.6</v>
      </c>
      <c r="H37" s="1">
        <v>750</v>
      </c>
      <c r="I37" s="1">
        <v>712756.32000000007</v>
      </c>
      <c r="J37" s="1">
        <v>3359575.92</v>
      </c>
      <c r="K37" s="1">
        <v>10.982451749568492</v>
      </c>
      <c r="L37" s="1">
        <v>672988.8</v>
      </c>
      <c r="M37" s="1">
        <v>2.2000000000000002</v>
      </c>
    </row>
    <row r="38" spans="2:13">
      <c r="B38" s="1" t="s">
        <v>45</v>
      </c>
      <c r="C38" s="1" t="s">
        <v>28</v>
      </c>
      <c r="D38" s="1">
        <v>0</v>
      </c>
      <c r="E38" s="1">
        <v>0</v>
      </c>
      <c r="F38" s="1">
        <v>4224106</v>
      </c>
      <c r="G38" s="1">
        <v>23654993.599999998</v>
      </c>
      <c r="H38" s="1">
        <v>1663603</v>
      </c>
      <c r="I38" s="1">
        <v>6378400.0599999996</v>
      </c>
      <c r="J38" s="1">
        <v>31696996.659999996</v>
      </c>
      <c r="K38" s="1">
        <v>7.5038355240138381</v>
      </c>
      <c r="L38" s="1">
        <v>5998230.5199999996</v>
      </c>
      <c r="M38" s="1">
        <v>1.42</v>
      </c>
    </row>
    <row r="39" spans="2:13">
      <c r="B39" s="1" t="s">
        <v>46</v>
      </c>
      <c r="C39" s="1"/>
      <c r="D39" s="1"/>
      <c r="E39" s="1"/>
      <c r="F39" s="1"/>
      <c r="G39" s="1">
        <v>-2985780.89</v>
      </c>
      <c r="H39" s="1">
        <v>449003.96</v>
      </c>
      <c r="I39" s="1">
        <v>0</v>
      </c>
      <c r="J39" s="1">
        <v>-2536776.9300000002</v>
      </c>
      <c r="K39" s="1"/>
      <c r="L39" s="1">
        <v>29700263.949999999</v>
      </c>
      <c r="M39" s="1"/>
    </row>
    <row r="40" spans="2:13">
      <c r="B40" s="1" t="s">
        <v>47</v>
      </c>
      <c r="C40" s="1"/>
      <c r="D40" s="1">
        <v>890879</v>
      </c>
      <c r="E40" s="1">
        <v>143310</v>
      </c>
      <c r="F40" s="1">
        <v>379129206</v>
      </c>
      <c r="G40" s="1">
        <v>2141892941.8299992</v>
      </c>
      <c r="H40" s="1">
        <v>232186492.54000002</v>
      </c>
      <c r="I40" s="1">
        <v>577852340.21999991</v>
      </c>
      <c r="J40" s="1">
        <v>2951931774.5899992</v>
      </c>
      <c r="K40" s="1">
        <v>7.7860838148934359</v>
      </c>
      <c r="L40" s="1">
        <v>280245376.39999998</v>
      </c>
      <c r="M40" s="1">
        <v>0.73918171421486312</v>
      </c>
    </row>
    <row r="41" spans="2:13">
      <c r="B41" s="1"/>
      <c r="C41" s="1"/>
      <c r="D41" s="1"/>
      <c r="E41" s="1"/>
      <c r="F41" s="1"/>
      <c r="G41" s="1"/>
      <c r="H41" s="1"/>
      <c r="I41" s="1" t="s">
        <v>48</v>
      </c>
      <c r="J41" s="1">
        <v>13406599.35</v>
      </c>
      <c r="K41" s="1"/>
      <c r="L41" s="1"/>
      <c r="M41" s="1"/>
    </row>
    <row r="42" spans="2:13">
      <c r="B42" s="1"/>
      <c r="C42" s="1"/>
      <c r="D42" s="1"/>
      <c r="E42" s="1"/>
      <c r="F42" s="1"/>
      <c r="G42" s="1"/>
      <c r="H42" s="1"/>
      <c r="I42" s="1" t="s">
        <v>49</v>
      </c>
      <c r="J42" s="1">
        <v>575333285.20000005</v>
      </c>
      <c r="K42" s="1"/>
      <c r="L42" s="1">
        <v>-295087908.80000007</v>
      </c>
      <c r="M42" s="1"/>
    </row>
    <row r="43" spans="2:13">
      <c r="B43" s="1"/>
      <c r="C43" s="1"/>
      <c r="D43" s="1"/>
      <c r="E43" s="1"/>
      <c r="F43" s="1"/>
      <c r="G43" s="1"/>
      <c r="H43" s="1"/>
      <c r="I43" s="1" t="s">
        <v>50</v>
      </c>
      <c r="J43" s="1">
        <v>-55725.79</v>
      </c>
      <c r="K43" s="1"/>
      <c r="L43" s="1"/>
      <c r="M43" s="1"/>
    </row>
    <row r="44" spans="2:13">
      <c r="B44" s="1"/>
      <c r="C44" s="1"/>
      <c r="D44" s="1"/>
      <c r="E44" s="1"/>
      <c r="F44" s="1"/>
      <c r="G44" s="1"/>
      <c r="H44" s="1"/>
      <c r="I44" s="1" t="s">
        <v>51</v>
      </c>
      <c r="J44" s="1">
        <v>13209519.52</v>
      </c>
      <c r="K44" s="1"/>
      <c r="L44" s="1"/>
      <c r="M44" s="1"/>
    </row>
    <row r="45" spans="2:13">
      <c r="B45" s="1"/>
      <c r="C45" s="1"/>
      <c r="D45" s="1"/>
      <c r="E45" s="1"/>
      <c r="F45" s="1"/>
      <c r="G45" s="1"/>
      <c r="H45" s="1"/>
      <c r="I45" s="1" t="s">
        <v>52</v>
      </c>
      <c r="J45" s="1">
        <v>8700822.9199999999</v>
      </c>
      <c r="K45" s="1"/>
      <c r="L45" s="1"/>
      <c r="M45" s="1"/>
    </row>
    <row r="46" spans="2:13">
      <c r="B46" s="1"/>
      <c r="C46" s="1"/>
      <c r="D46" s="1"/>
      <c r="E46" s="1"/>
      <c r="F46" s="1"/>
      <c r="G46" s="1"/>
      <c r="H46" s="1"/>
      <c r="I46" s="1" t="s">
        <v>47</v>
      </c>
      <c r="J46" s="1">
        <v>3562526275.7899995</v>
      </c>
      <c r="K46" s="1"/>
      <c r="L46" s="1"/>
      <c r="M46" s="1"/>
    </row>
    <row r="47" spans="2:13">
      <c r="B47" s="1"/>
      <c r="C47" s="1"/>
      <c r="D47" s="1"/>
      <c r="E47" s="1"/>
      <c r="F47" s="1"/>
      <c r="G47" s="1"/>
      <c r="H47" s="1"/>
      <c r="I47" s="1" t="s">
        <v>53</v>
      </c>
      <c r="J47" s="1">
        <v>-10781162.41</v>
      </c>
      <c r="K47" s="1"/>
      <c r="L47" s="1"/>
      <c r="M47" s="1"/>
    </row>
    <row r="48" spans="2:13">
      <c r="B48" s="1"/>
      <c r="C48" s="1"/>
      <c r="D48" s="1"/>
      <c r="E48" s="1"/>
      <c r="F48" s="1"/>
      <c r="G48" s="1"/>
      <c r="H48" s="1"/>
      <c r="I48" s="1" t="s">
        <v>54</v>
      </c>
      <c r="J48" s="1">
        <v>-65749750.899999999</v>
      </c>
      <c r="K48" s="1"/>
      <c r="L48" s="1"/>
      <c r="M48" s="1"/>
    </row>
    <row r="49" spans="2:13">
      <c r="B49" s="1"/>
      <c r="C49" s="1"/>
      <c r="D49" s="1"/>
      <c r="E49" s="1"/>
      <c r="F49" s="1"/>
      <c r="G49" s="1"/>
      <c r="H49" s="1"/>
      <c r="I49" s="1" t="s">
        <v>55</v>
      </c>
      <c r="J49" s="1">
        <v>-279510.08</v>
      </c>
      <c r="K49" s="1"/>
      <c r="L49" s="1"/>
      <c r="M49" s="1"/>
    </row>
    <row r="50" spans="2:13">
      <c r="B50" s="1"/>
      <c r="C50" s="1"/>
      <c r="D50" s="1"/>
      <c r="E50" s="1"/>
      <c r="F50" s="1"/>
      <c r="G50" s="1"/>
      <c r="H50" s="1"/>
      <c r="I50" s="1" t="s">
        <v>56</v>
      </c>
      <c r="J50" s="1">
        <v>0</v>
      </c>
      <c r="K50" s="1"/>
      <c r="L50" s="1"/>
      <c r="M50" s="1"/>
    </row>
    <row r="51" spans="2:13">
      <c r="B51" s="1"/>
      <c r="C51" s="1"/>
      <c r="D51" s="1"/>
      <c r="E51" s="1"/>
      <c r="F51" s="1"/>
      <c r="G51" s="1"/>
      <c r="H51" s="1"/>
      <c r="I51" s="1" t="s">
        <v>57</v>
      </c>
      <c r="J51" s="1">
        <v>3485715852.3999996</v>
      </c>
      <c r="K51" s="1"/>
      <c r="L51" s="1"/>
      <c r="M51" s="1"/>
    </row>
    <row r="52" spans="2:13">
      <c r="B52" s="1"/>
      <c r="C52" s="1"/>
      <c r="D52" s="1"/>
      <c r="E52" s="1"/>
      <c r="F52" s="1"/>
      <c r="G52" s="1"/>
      <c r="H52" s="1"/>
      <c r="I52" s="1" t="s">
        <v>58</v>
      </c>
      <c r="J52" s="1">
        <v>9.3966020538918844</v>
      </c>
      <c r="K52" s="1"/>
      <c r="L52" s="1"/>
      <c r="M52" s="1"/>
    </row>
    <row r="53" spans="2:13">
      <c r="B53" s="1"/>
      <c r="C53" s="1"/>
      <c r="D53" s="1"/>
      <c r="E53" s="1"/>
      <c r="F53" s="1"/>
      <c r="G53" s="1"/>
      <c r="H53" s="1"/>
      <c r="I53" s="1" t="s">
        <v>59</v>
      </c>
      <c r="J53" s="1">
        <v>44959592.609999999</v>
      </c>
      <c r="K53" s="1"/>
      <c r="L53" s="1"/>
      <c r="M53" s="1"/>
    </row>
    <row r="54" spans="2:13">
      <c r="B54" s="1"/>
      <c r="C54" s="1"/>
      <c r="D54" s="1"/>
      <c r="E54" s="1"/>
      <c r="F54" s="1"/>
      <c r="G54" s="1"/>
      <c r="H54" s="1"/>
      <c r="I54" s="1" t="s">
        <v>60</v>
      </c>
      <c r="J54" s="1">
        <v>3607485868.3999996</v>
      </c>
      <c r="K54" s="1"/>
      <c r="L54" s="1"/>
      <c r="M54" s="1"/>
    </row>
    <row r="55" spans="2:13">
      <c r="B55" s="1"/>
      <c r="C55" s="1"/>
      <c r="D55" s="1"/>
      <c r="E55" s="1"/>
      <c r="F55" s="1"/>
      <c r="G55" s="1"/>
      <c r="H55" s="1"/>
      <c r="I55" s="1" t="s">
        <v>58</v>
      </c>
      <c r="J55" s="1"/>
      <c r="K55" s="1"/>
      <c r="L55" s="1"/>
      <c r="M55" s="1"/>
    </row>
    <row r="56" spans="2:13">
      <c r="B56" s="1"/>
      <c r="C56" s="1"/>
      <c r="D56" s="1"/>
      <c r="E56" s="1"/>
      <c r="F56" s="1"/>
      <c r="G56" s="1"/>
      <c r="H56" s="1"/>
      <c r="I56" s="1"/>
      <c r="J56" s="1">
        <v>9.5151885196626065</v>
      </c>
      <c r="K56" s="1"/>
      <c r="L56" s="1"/>
      <c r="M56" s="1"/>
    </row>
  </sheetData>
  <mergeCells count="7">
    <mergeCell ref="H18:H23"/>
    <mergeCell ref="J18:J23"/>
    <mergeCell ref="B2:G2"/>
    <mergeCell ref="H6:H9"/>
    <mergeCell ref="J6:J9"/>
    <mergeCell ref="H10:H15"/>
    <mergeCell ref="J10:J15"/>
  </mergeCells>
  <pageMargins left="0.7" right="0.7" top="0.75" bottom="0.75" header="0.3" footer="0.3"/>
</worksheet>
</file>

<file path=xl/worksheets/sheet80.xml><?xml version="1.0" encoding="utf-8"?>
<worksheet xmlns="http://schemas.openxmlformats.org/spreadsheetml/2006/main" xmlns:r="http://schemas.openxmlformats.org/officeDocument/2006/relationships">
  <sheetPr codeName="Sheet59">
    <tabColor theme="1" tint="4.9989318521683403E-2"/>
  </sheetPr>
  <dimension ref="B1:Q28"/>
  <sheetViews>
    <sheetView showGridLines="0" view="pageBreakPreview" topLeftCell="A10" zoomScale="60" workbookViewId="0">
      <selection activeCell="G18" sqref="G18"/>
    </sheetView>
  </sheetViews>
  <sheetFormatPr defaultRowHeight="15"/>
  <cols>
    <col min="2" max="2" width="11.5703125" customWidth="1"/>
    <col min="3" max="3" width="14.42578125" customWidth="1"/>
    <col min="4" max="4" width="13.5703125" customWidth="1"/>
    <col min="5" max="5" width="13.42578125" customWidth="1"/>
    <col min="6" max="6" width="13.7109375" customWidth="1"/>
    <col min="7" max="7" width="16.28515625" customWidth="1"/>
  </cols>
  <sheetData>
    <row r="1" spans="2:17">
      <c r="C1" s="1" t="s">
        <v>454</v>
      </c>
    </row>
    <row r="3" spans="2:17" ht="15.75">
      <c r="B3" s="5841" t="s">
        <v>2138</v>
      </c>
      <c r="C3" s="5841"/>
      <c r="D3" s="5841"/>
      <c r="E3" s="5841"/>
      <c r="F3" s="5841"/>
      <c r="G3" s="5841"/>
    </row>
    <row r="4" spans="2:17" ht="31.5">
      <c r="B4" s="1509" t="s">
        <v>81</v>
      </c>
      <c r="C4" s="1509" t="s">
        <v>2139</v>
      </c>
      <c r="D4" s="1509" t="s">
        <v>2140</v>
      </c>
      <c r="E4" s="1509" t="s">
        <v>2141</v>
      </c>
      <c r="F4" s="1509" t="s">
        <v>2142</v>
      </c>
      <c r="G4" s="1506" t="s">
        <v>2143</v>
      </c>
    </row>
    <row r="5" spans="2:17" ht="15.75">
      <c r="B5" s="1508" t="s">
        <v>2144</v>
      </c>
      <c r="C5" s="1645">
        <v>0</v>
      </c>
      <c r="D5" s="1645">
        <v>0</v>
      </c>
      <c r="E5" s="1645">
        <v>0</v>
      </c>
      <c r="F5" s="1645">
        <v>0</v>
      </c>
      <c r="G5" s="1507">
        <v>0</v>
      </c>
    </row>
    <row r="6" spans="2:17" ht="47.25">
      <c r="B6" s="1508" t="s">
        <v>2145</v>
      </c>
      <c r="C6" s="1645">
        <v>0</v>
      </c>
      <c r="D6" s="1645">
        <v>0</v>
      </c>
      <c r="E6" s="1645">
        <v>0</v>
      </c>
      <c r="F6" s="1645">
        <v>0</v>
      </c>
      <c r="G6" s="1507">
        <v>0</v>
      </c>
    </row>
    <row r="7" spans="2:17" ht="15.75">
      <c r="B7" s="1508" t="s">
        <v>2146</v>
      </c>
      <c r="C7" s="1645">
        <v>1.44</v>
      </c>
      <c r="D7" s="1645">
        <v>0</v>
      </c>
      <c r="E7" s="1645">
        <v>0</v>
      </c>
      <c r="F7" s="1645">
        <v>1.44</v>
      </c>
      <c r="G7" s="1507">
        <v>0</v>
      </c>
      <c r="H7" s="3099"/>
    </row>
    <row r="8" spans="2:17" ht="31.5">
      <c r="B8" s="1508" t="s">
        <v>1217</v>
      </c>
      <c r="C8" s="1645">
        <v>37.979999999999997</v>
      </c>
      <c r="D8" s="1645">
        <v>0</v>
      </c>
      <c r="E8" s="1645">
        <v>0</v>
      </c>
      <c r="F8" s="1645">
        <v>37.979999999999997</v>
      </c>
      <c r="G8" s="1507">
        <v>0</v>
      </c>
    </row>
    <row r="9" spans="2:17" ht="65.25" customHeight="1">
      <c r="B9" s="6045" t="s">
        <v>2147</v>
      </c>
      <c r="C9" s="3113">
        <v>67.45</v>
      </c>
      <c r="D9" s="6046">
        <v>0</v>
      </c>
      <c r="E9" s="6046">
        <v>30.06</v>
      </c>
      <c r="F9" s="6046">
        <v>37.39</v>
      </c>
      <c r="G9" s="1507">
        <v>3.01</v>
      </c>
      <c r="Q9" s="3112"/>
    </row>
    <row r="10" spans="2:17" ht="16.5">
      <c r="B10" s="6045"/>
      <c r="C10" s="3114"/>
      <c r="D10" s="6046"/>
      <c r="E10" s="6046"/>
      <c r="F10" s="6046"/>
      <c r="G10" s="1507" t="s">
        <v>2148</v>
      </c>
      <c r="Q10" s="3112"/>
    </row>
    <row r="11" spans="2:17" ht="16.5">
      <c r="B11" s="1645" t="s">
        <v>47</v>
      </c>
      <c r="C11" s="1510">
        <v>106.87</v>
      </c>
      <c r="D11" s="1510">
        <v>0</v>
      </c>
      <c r="E11" s="1510">
        <v>30.06</v>
      </c>
      <c r="F11" s="1510">
        <v>76.81</v>
      </c>
      <c r="G11" s="1650">
        <v>3.01</v>
      </c>
      <c r="Q11" s="3112"/>
    </row>
    <row r="12" spans="2:17" ht="16.5">
      <c r="Q12" s="3112"/>
    </row>
    <row r="13" spans="2:17" ht="16.5">
      <c r="B13" s="5841" t="s">
        <v>2149</v>
      </c>
      <c r="C13" s="5841"/>
      <c r="D13" s="5841"/>
      <c r="E13" s="5841"/>
      <c r="F13" s="5841"/>
      <c r="G13" s="5841"/>
      <c r="Q13" s="3112"/>
    </row>
    <row r="14" spans="2:17" ht="31.5">
      <c r="B14" s="1509" t="s">
        <v>81</v>
      </c>
      <c r="C14" s="1509" t="s">
        <v>2139</v>
      </c>
      <c r="D14" s="1509" t="s">
        <v>2140</v>
      </c>
      <c r="E14" s="1509" t="s">
        <v>2141</v>
      </c>
      <c r="F14" s="1509" t="s">
        <v>2142</v>
      </c>
      <c r="G14" s="1506" t="s">
        <v>2143</v>
      </c>
      <c r="Q14" s="155"/>
    </row>
    <row r="15" spans="2:17" ht="15.75">
      <c r="B15" s="1508" t="s">
        <v>2144</v>
      </c>
      <c r="C15" s="1645">
        <v>0</v>
      </c>
      <c r="D15" s="1645">
        <v>0</v>
      </c>
      <c r="E15" s="1645">
        <v>0</v>
      </c>
      <c r="F15" s="1645">
        <v>0</v>
      </c>
      <c r="G15" s="1507">
        <v>0</v>
      </c>
    </row>
    <row r="16" spans="2:17" ht="47.25">
      <c r="B16" s="1508" t="s">
        <v>2145</v>
      </c>
      <c r="C16" s="1645">
        <v>0</v>
      </c>
      <c r="D16" s="1645">
        <v>0</v>
      </c>
      <c r="E16" s="1645">
        <v>0</v>
      </c>
      <c r="F16" s="1645">
        <v>0</v>
      </c>
      <c r="G16" s="1507">
        <v>0</v>
      </c>
    </row>
    <row r="17" spans="2:9" ht="15.75">
      <c r="B17" s="1508" t="s">
        <v>2146</v>
      </c>
      <c r="C17" s="1645">
        <v>1.44</v>
      </c>
      <c r="D17" s="1645">
        <v>0</v>
      </c>
      <c r="E17" s="1645">
        <v>0.16</v>
      </c>
      <c r="F17" s="1645">
        <v>1.28</v>
      </c>
      <c r="G17" s="1507">
        <v>0.2</v>
      </c>
    </row>
    <row r="18" spans="2:9" ht="31.5">
      <c r="B18" s="1508" t="s">
        <v>1217</v>
      </c>
      <c r="C18" s="1645">
        <v>37.979999999999997</v>
      </c>
      <c r="D18" s="1645">
        <v>0</v>
      </c>
      <c r="E18" s="1645">
        <v>13.5</v>
      </c>
      <c r="F18" s="1645">
        <v>24.48</v>
      </c>
      <c r="G18" s="1507">
        <v>2.65</v>
      </c>
    </row>
    <row r="19" spans="2:9" ht="63">
      <c r="B19" s="1508" t="s">
        <v>2150</v>
      </c>
      <c r="C19" s="6046">
        <v>37.39</v>
      </c>
      <c r="D19" s="6046">
        <v>0</v>
      </c>
      <c r="E19" s="6046">
        <v>37.39</v>
      </c>
      <c r="F19" s="6046">
        <v>0</v>
      </c>
      <c r="G19" s="6049">
        <v>0.34</v>
      </c>
      <c r="I19">
        <v>67.45</v>
      </c>
    </row>
    <row r="20" spans="2:9" ht="31.5">
      <c r="B20" s="1508" t="s">
        <v>2151</v>
      </c>
      <c r="C20" s="6046"/>
      <c r="D20" s="6046"/>
      <c r="E20" s="6046"/>
      <c r="F20" s="6046"/>
      <c r="G20" s="6049"/>
    </row>
    <row r="21" spans="2:9" ht="15.75">
      <c r="B21" s="481"/>
      <c r="C21" s="6046"/>
      <c r="D21" s="6046"/>
      <c r="E21" s="6046"/>
      <c r="F21" s="6046"/>
      <c r="G21" s="6049"/>
    </row>
    <row r="22" spans="2:9" ht="94.5">
      <c r="B22" s="1645" t="s">
        <v>2152</v>
      </c>
      <c r="C22" s="1645">
        <v>0</v>
      </c>
      <c r="D22" s="1645">
        <v>66</v>
      </c>
      <c r="E22" s="1645">
        <v>0</v>
      </c>
      <c r="F22" s="1645">
        <v>66</v>
      </c>
      <c r="G22" s="1507">
        <v>1.0900000000000001</v>
      </c>
    </row>
    <row r="23" spans="2:9" ht="0.75" customHeight="1">
      <c r="B23" s="6047" t="s">
        <v>47</v>
      </c>
      <c r="C23" s="1510"/>
      <c r="D23" s="1510"/>
      <c r="E23" s="1510"/>
      <c r="F23" s="1510"/>
      <c r="G23" s="6048">
        <v>4.28</v>
      </c>
    </row>
    <row r="24" spans="2:9" ht="15.75">
      <c r="B24" s="6047"/>
      <c r="C24" s="1510">
        <v>76.81</v>
      </c>
      <c r="D24" s="1510">
        <v>66</v>
      </c>
      <c r="E24" s="1510">
        <f>SUM(E15:E22)</f>
        <v>51.05</v>
      </c>
      <c r="F24" s="1510">
        <f>SUM(F15:F22)</f>
        <v>91.76</v>
      </c>
      <c r="G24" s="6048"/>
    </row>
    <row r="25" spans="2:9" ht="15.75">
      <c r="B25" s="6047"/>
      <c r="C25" s="481"/>
      <c r="D25" s="481"/>
      <c r="E25" s="481"/>
      <c r="F25" s="481"/>
      <c r="G25" s="6048"/>
    </row>
    <row r="26" spans="2:9" ht="15.75">
      <c r="B26" s="6047"/>
      <c r="C26" s="481"/>
      <c r="D26" s="481"/>
      <c r="E26" s="481"/>
      <c r="F26" s="481"/>
      <c r="G26" s="6048"/>
    </row>
    <row r="27" spans="2:9" ht="47.25" customHeight="1">
      <c r="B27" s="904" t="s">
        <v>2153</v>
      </c>
      <c r="C27" s="1510"/>
      <c r="D27" s="1510"/>
      <c r="E27" s="1510"/>
      <c r="F27" s="1510"/>
      <c r="G27" s="905">
        <v>7.29</v>
      </c>
    </row>
    <row r="28" spans="2:9" ht="63">
      <c r="B28" s="1510" t="s">
        <v>2154</v>
      </c>
      <c r="C28" s="1510"/>
      <c r="D28" s="1510"/>
      <c r="E28" s="1510"/>
      <c r="F28" s="1510"/>
      <c r="G28" s="1650">
        <v>23.31</v>
      </c>
    </row>
  </sheetData>
  <mergeCells count="13">
    <mergeCell ref="B23:B26"/>
    <mergeCell ref="G23:G26"/>
    <mergeCell ref="B13:G13"/>
    <mergeCell ref="C19:C21"/>
    <mergeCell ref="D19:D21"/>
    <mergeCell ref="E19:E21"/>
    <mergeCell ref="F19:F21"/>
    <mergeCell ref="G19:G21"/>
    <mergeCell ref="B3:G3"/>
    <mergeCell ref="B9:B10"/>
    <mergeCell ref="D9:D10"/>
    <mergeCell ref="E9:E10"/>
    <mergeCell ref="F9:F10"/>
  </mergeCells>
  <pageMargins left="0.7" right="0.7" top="0.75" bottom="0.75" header="0.3" footer="0.3"/>
  <pageSetup scale="75" orientation="portrait" r:id="rId1"/>
</worksheet>
</file>

<file path=xl/worksheets/sheet81.xml><?xml version="1.0" encoding="utf-8"?>
<worksheet xmlns="http://schemas.openxmlformats.org/spreadsheetml/2006/main" xmlns:r="http://schemas.openxmlformats.org/officeDocument/2006/relationships">
  <sheetPr codeName="Sheet60"/>
  <dimension ref="B2:Z50"/>
  <sheetViews>
    <sheetView showGridLines="0" view="pageBreakPreview" zoomScale="60" workbookViewId="0">
      <selection activeCell="S39" sqref="S39"/>
    </sheetView>
  </sheetViews>
  <sheetFormatPr defaultRowHeight="15.75"/>
  <cols>
    <col min="1" max="1" width="9.140625" style="266"/>
    <col min="2" max="2" width="9.5703125" style="266" customWidth="1"/>
    <col min="3" max="3" width="46.5703125" style="266" customWidth="1"/>
    <col min="4" max="4" width="12" style="266" customWidth="1"/>
    <col min="5" max="5" width="5.85546875" style="266" hidden="1" customWidth="1"/>
    <col min="6" max="6" width="6.5703125" style="266" hidden="1" customWidth="1"/>
    <col min="7" max="7" width="6.7109375" style="266" hidden="1" customWidth="1"/>
    <col min="8" max="8" width="8" style="266" customWidth="1"/>
    <col min="9" max="11" width="9.140625" style="266"/>
    <col min="12" max="12" width="11.28515625" style="266" customWidth="1"/>
    <col min="13" max="257" width="9.140625" style="266"/>
    <col min="258" max="258" width="6" style="266" customWidth="1"/>
    <col min="259" max="259" width="46.5703125" style="266" customWidth="1"/>
    <col min="260" max="260" width="10" style="266" customWidth="1"/>
    <col min="261" max="261" width="5.85546875" style="266" customWidth="1"/>
    <col min="262" max="262" width="6.5703125" style="266" customWidth="1"/>
    <col min="263" max="263" width="6.7109375" style="266" customWidth="1"/>
    <col min="264" max="264" width="8" style="266" customWidth="1"/>
    <col min="265" max="267" width="9.140625" style="266"/>
    <col min="268" max="268" width="11.28515625" style="266" customWidth="1"/>
    <col min="269" max="513" width="9.140625" style="266"/>
    <col min="514" max="514" width="6" style="266" customWidth="1"/>
    <col min="515" max="515" width="46.5703125" style="266" customWidth="1"/>
    <col min="516" max="516" width="10" style="266" customWidth="1"/>
    <col min="517" max="517" width="5.85546875" style="266" customWidth="1"/>
    <col min="518" max="518" width="6.5703125" style="266" customWidth="1"/>
    <col min="519" max="519" width="6.7109375" style="266" customWidth="1"/>
    <col min="520" max="520" width="8" style="266" customWidth="1"/>
    <col min="521" max="523" width="9.140625" style="266"/>
    <col min="524" max="524" width="11.28515625" style="266" customWidth="1"/>
    <col min="525" max="769" width="9.140625" style="266"/>
    <col min="770" max="770" width="6" style="266" customWidth="1"/>
    <col min="771" max="771" width="46.5703125" style="266" customWidth="1"/>
    <col min="772" max="772" width="10" style="266" customWidth="1"/>
    <col min="773" max="773" width="5.85546875" style="266" customWidth="1"/>
    <col min="774" max="774" width="6.5703125" style="266" customWidth="1"/>
    <col min="775" max="775" width="6.7109375" style="266" customWidth="1"/>
    <col min="776" max="776" width="8" style="266" customWidth="1"/>
    <col min="777" max="779" width="9.140625" style="266"/>
    <col min="780" max="780" width="11.28515625" style="266" customWidth="1"/>
    <col min="781" max="1025" width="9.140625" style="266"/>
    <col min="1026" max="1026" width="6" style="266" customWidth="1"/>
    <col min="1027" max="1027" width="46.5703125" style="266" customWidth="1"/>
    <col min="1028" max="1028" width="10" style="266" customWidth="1"/>
    <col min="1029" max="1029" width="5.85546875" style="266" customWidth="1"/>
    <col min="1030" max="1030" width="6.5703125" style="266" customWidth="1"/>
    <col min="1031" max="1031" width="6.7109375" style="266" customWidth="1"/>
    <col min="1032" max="1032" width="8" style="266" customWidth="1"/>
    <col min="1033" max="1035" width="9.140625" style="266"/>
    <col min="1036" max="1036" width="11.28515625" style="266" customWidth="1"/>
    <col min="1037" max="1281" width="9.140625" style="266"/>
    <col min="1282" max="1282" width="6" style="266" customWidth="1"/>
    <col min="1283" max="1283" width="46.5703125" style="266" customWidth="1"/>
    <col min="1284" max="1284" width="10" style="266" customWidth="1"/>
    <col min="1285" max="1285" width="5.85546875" style="266" customWidth="1"/>
    <col min="1286" max="1286" width="6.5703125" style="266" customWidth="1"/>
    <col min="1287" max="1287" width="6.7109375" style="266" customWidth="1"/>
    <col min="1288" max="1288" width="8" style="266" customWidth="1"/>
    <col min="1289" max="1291" width="9.140625" style="266"/>
    <col min="1292" max="1292" width="11.28515625" style="266" customWidth="1"/>
    <col min="1293" max="1537" width="9.140625" style="266"/>
    <col min="1538" max="1538" width="6" style="266" customWidth="1"/>
    <col min="1539" max="1539" width="46.5703125" style="266" customWidth="1"/>
    <col min="1540" max="1540" width="10" style="266" customWidth="1"/>
    <col min="1541" max="1541" width="5.85546875" style="266" customWidth="1"/>
    <col min="1542" max="1542" width="6.5703125" style="266" customWidth="1"/>
    <col min="1543" max="1543" width="6.7109375" style="266" customWidth="1"/>
    <col min="1544" max="1544" width="8" style="266" customWidth="1"/>
    <col min="1545" max="1547" width="9.140625" style="266"/>
    <col min="1548" max="1548" width="11.28515625" style="266" customWidth="1"/>
    <col min="1549" max="1793" width="9.140625" style="266"/>
    <col min="1794" max="1794" width="6" style="266" customWidth="1"/>
    <col min="1795" max="1795" width="46.5703125" style="266" customWidth="1"/>
    <col min="1796" max="1796" width="10" style="266" customWidth="1"/>
    <col min="1797" max="1797" width="5.85546875" style="266" customWidth="1"/>
    <col min="1798" max="1798" width="6.5703125" style="266" customWidth="1"/>
    <col min="1799" max="1799" width="6.7109375" style="266" customWidth="1"/>
    <col min="1800" max="1800" width="8" style="266" customWidth="1"/>
    <col min="1801" max="1803" width="9.140625" style="266"/>
    <col min="1804" max="1804" width="11.28515625" style="266" customWidth="1"/>
    <col min="1805" max="2049" width="9.140625" style="266"/>
    <col min="2050" max="2050" width="6" style="266" customWidth="1"/>
    <col min="2051" max="2051" width="46.5703125" style="266" customWidth="1"/>
    <col min="2052" max="2052" width="10" style="266" customWidth="1"/>
    <col min="2053" max="2053" width="5.85546875" style="266" customWidth="1"/>
    <col min="2054" max="2054" width="6.5703125" style="266" customWidth="1"/>
    <col min="2055" max="2055" width="6.7109375" style="266" customWidth="1"/>
    <col min="2056" max="2056" width="8" style="266" customWidth="1"/>
    <col min="2057" max="2059" width="9.140625" style="266"/>
    <col min="2060" max="2060" width="11.28515625" style="266" customWidth="1"/>
    <col min="2061" max="2305" width="9.140625" style="266"/>
    <col min="2306" max="2306" width="6" style="266" customWidth="1"/>
    <col min="2307" max="2307" width="46.5703125" style="266" customWidth="1"/>
    <col min="2308" max="2308" width="10" style="266" customWidth="1"/>
    <col min="2309" max="2309" width="5.85546875" style="266" customWidth="1"/>
    <col min="2310" max="2310" width="6.5703125" style="266" customWidth="1"/>
    <col min="2311" max="2311" width="6.7109375" style="266" customWidth="1"/>
    <col min="2312" max="2312" width="8" style="266" customWidth="1"/>
    <col min="2313" max="2315" width="9.140625" style="266"/>
    <col min="2316" max="2316" width="11.28515625" style="266" customWidth="1"/>
    <col min="2317" max="2561" width="9.140625" style="266"/>
    <col min="2562" max="2562" width="6" style="266" customWidth="1"/>
    <col min="2563" max="2563" width="46.5703125" style="266" customWidth="1"/>
    <col min="2564" max="2564" width="10" style="266" customWidth="1"/>
    <col min="2565" max="2565" width="5.85546875" style="266" customWidth="1"/>
    <col min="2566" max="2566" width="6.5703125" style="266" customWidth="1"/>
    <col min="2567" max="2567" width="6.7109375" style="266" customWidth="1"/>
    <col min="2568" max="2568" width="8" style="266" customWidth="1"/>
    <col min="2569" max="2571" width="9.140625" style="266"/>
    <col min="2572" max="2572" width="11.28515625" style="266" customWidth="1"/>
    <col min="2573" max="2817" width="9.140625" style="266"/>
    <col min="2818" max="2818" width="6" style="266" customWidth="1"/>
    <col min="2819" max="2819" width="46.5703125" style="266" customWidth="1"/>
    <col min="2820" max="2820" width="10" style="266" customWidth="1"/>
    <col min="2821" max="2821" width="5.85546875" style="266" customWidth="1"/>
    <col min="2822" max="2822" width="6.5703125" style="266" customWidth="1"/>
    <col min="2823" max="2823" width="6.7109375" style="266" customWidth="1"/>
    <col min="2824" max="2824" width="8" style="266" customWidth="1"/>
    <col min="2825" max="2827" width="9.140625" style="266"/>
    <col min="2828" max="2828" width="11.28515625" style="266" customWidth="1"/>
    <col min="2829" max="3073" width="9.140625" style="266"/>
    <col min="3074" max="3074" width="6" style="266" customWidth="1"/>
    <col min="3075" max="3075" width="46.5703125" style="266" customWidth="1"/>
    <col min="3076" max="3076" width="10" style="266" customWidth="1"/>
    <col min="3077" max="3077" width="5.85546875" style="266" customWidth="1"/>
    <col min="3078" max="3078" width="6.5703125" style="266" customWidth="1"/>
    <col min="3079" max="3079" width="6.7109375" style="266" customWidth="1"/>
    <col min="3080" max="3080" width="8" style="266" customWidth="1"/>
    <col min="3081" max="3083" width="9.140625" style="266"/>
    <col min="3084" max="3084" width="11.28515625" style="266" customWidth="1"/>
    <col min="3085" max="3329" width="9.140625" style="266"/>
    <col min="3330" max="3330" width="6" style="266" customWidth="1"/>
    <col min="3331" max="3331" width="46.5703125" style="266" customWidth="1"/>
    <col min="3332" max="3332" width="10" style="266" customWidth="1"/>
    <col min="3333" max="3333" width="5.85546875" style="266" customWidth="1"/>
    <col min="3334" max="3334" width="6.5703125" style="266" customWidth="1"/>
    <col min="3335" max="3335" width="6.7109375" style="266" customWidth="1"/>
    <col min="3336" max="3336" width="8" style="266" customWidth="1"/>
    <col min="3337" max="3339" width="9.140625" style="266"/>
    <col min="3340" max="3340" width="11.28515625" style="266" customWidth="1"/>
    <col min="3341" max="3585" width="9.140625" style="266"/>
    <col min="3586" max="3586" width="6" style="266" customWidth="1"/>
    <col min="3587" max="3587" width="46.5703125" style="266" customWidth="1"/>
    <col min="3588" max="3588" width="10" style="266" customWidth="1"/>
    <col min="3589" max="3589" width="5.85546875" style="266" customWidth="1"/>
    <col min="3590" max="3590" width="6.5703125" style="266" customWidth="1"/>
    <col min="3591" max="3591" width="6.7109375" style="266" customWidth="1"/>
    <col min="3592" max="3592" width="8" style="266" customWidth="1"/>
    <col min="3593" max="3595" width="9.140625" style="266"/>
    <col min="3596" max="3596" width="11.28515625" style="266" customWidth="1"/>
    <col min="3597" max="3841" width="9.140625" style="266"/>
    <col min="3842" max="3842" width="6" style="266" customWidth="1"/>
    <col min="3843" max="3843" width="46.5703125" style="266" customWidth="1"/>
    <col min="3844" max="3844" width="10" style="266" customWidth="1"/>
    <col min="3845" max="3845" width="5.85546875" style="266" customWidth="1"/>
    <col min="3846" max="3846" width="6.5703125" style="266" customWidth="1"/>
    <col min="3847" max="3847" width="6.7109375" style="266" customWidth="1"/>
    <col min="3848" max="3848" width="8" style="266" customWidth="1"/>
    <col min="3849" max="3851" width="9.140625" style="266"/>
    <col min="3852" max="3852" width="11.28515625" style="266" customWidth="1"/>
    <col min="3853" max="4097" width="9.140625" style="266"/>
    <col min="4098" max="4098" width="6" style="266" customWidth="1"/>
    <col min="4099" max="4099" width="46.5703125" style="266" customWidth="1"/>
    <col min="4100" max="4100" width="10" style="266" customWidth="1"/>
    <col min="4101" max="4101" width="5.85546875" style="266" customWidth="1"/>
    <col min="4102" max="4102" width="6.5703125" style="266" customWidth="1"/>
    <col min="4103" max="4103" width="6.7109375" style="266" customWidth="1"/>
    <col min="4104" max="4104" width="8" style="266" customWidth="1"/>
    <col min="4105" max="4107" width="9.140625" style="266"/>
    <col min="4108" max="4108" width="11.28515625" style="266" customWidth="1"/>
    <col min="4109" max="4353" width="9.140625" style="266"/>
    <col min="4354" max="4354" width="6" style="266" customWidth="1"/>
    <col min="4355" max="4355" width="46.5703125" style="266" customWidth="1"/>
    <col min="4356" max="4356" width="10" style="266" customWidth="1"/>
    <col min="4357" max="4357" width="5.85546875" style="266" customWidth="1"/>
    <col min="4358" max="4358" width="6.5703125" style="266" customWidth="1"/>
    <col min="4359" max="4359" width="6.7109375" style="266" customWidth="1"/>
    <col min="4360" max="4360" width="8" style="266" customWidth="1"/>
    <col min="4361" max="4363" width="9.140625" style="266"/>
    <col min="4364" max="4364" width="11.28515625" style="266" customWidth="1"/>
    <col min="4365" max="4609" width="9.140625" style="266"/>
    <col min="4610" max="4610" width="6" style="266" customWidth="1"/>
    <col min="4611" max="4611" width="46.5703125" style="266" customWidth="1"/>
    <col min="4612" max="4612" width="10" style="266" customWidth="1"/>
    <col min="4613" max="4613" width="5.85546875" style="266" customWidth="1"/>
    <col min="4614" max="4614" width="6.5703125" style="266" customWidth="1"/>
    <col min="4615" max="4615" width="6.7109375" style="266" customWidth="1"/>
    <col min="4616" max="4616" width="8" style="266" customWidth="1"/>
    <col min="4617" max="4619" width="9.140625" style="266"/>
    <col min="4620" max="4620" width="11.28515625" style="266" customWidth="1"/>
    <col min="4621" max="4865" width="9.140625" style="266"/>
    <col min="4866" max="4866" width="6" style="266" customWidth="1"/>
    <col min="4867" max="4867" width="46.5703125" style="266" customWidth="1"/>
    <col min="4868" max="4868" width="10" style="266" customWidth="1"/>
    <col min="4869" max="4869" width="5.85546875" style="266" customWidth="1"/>
    <col min="4870" max="4870" width="6.5703125" style="266" customWidth="1"/>
    <col min="4871" max="4871" width="6.7109375" style="266" customWidth="1"/>
    <col min="4872" max="4872" width="8" style="266" customWidth="1"/>
    <col min="4873" max="4875" width="9.140625" style="266"/>
    <col min="4876" max="4876" width="11.28515625" style="266" customWidth="1"/>
    <col min="4877" max="5121" width="9.140625" style="266"/>
    <col min="5122" max="5122" width="6" style="266" customWidth="1"/>
    <col min="5123" max="5123" width="46.5703125" style="266" customWidth="1"/>
    <col min="5124" max="5124" width="10" style="266" customWidth="1"/>
    <col min="5125" max="5125" width="5.85546875" style="266" customWidth="1"/>
    <col min="5126" max="5126" width="6.5703125" style="266" customWidth="1"/>
    <col min="5127" max="5127" width="6.7109375" style="266" customWidth="1"/>
    <col min="5128" max="5128" width="8" style="266" customWidth="1"/>
    <col min="5129" max="5131" width="9.140625" style="266"/>
    <col min="5132" max="5132" width="11.28515625" style="266" customWidth="1"/>
    <col min="5133" max="5377" width="9.140625" style="266"/>
    <col min="5378" max="5378" width="6" style="266" customWidth="1"/>
    <col min="5379" max="5379" width="46.5703125" style="266" customWidth="1"/>
    <col min="5380" max="5380" width="10" style="266" customWidth="1"/>
    <col min="5381" max="5381" width="5.85546875" style="266" customWidth="1"/>
    <col min="5382" max="5382" width="6.5703125" style="266" customWidth="1"/>
    <col min="5383" max="5383" width="6.7109375" style="266" customWidth="1"/>
    <col min="5384" max="5384" width="8" style="266" customWidth="1"/>
    <col min="5385" max="5387" width="9.140625" style="266"/>
    <col min="5388" max="5388" width="11.28515625" style="266" customWidth="1"/>
    <col min="5389" max="5633" width="9.140625" style="266"/>
    <col min="5634" max="5634" width="6" style="266" customWidth="1"/>
    <col min="5635" max="5635" width="46.5703125" style="266" customWidth="1"/>
    <col min="5636" max="5636" width="10" style="266" customWidth="1"/>
    <col min="5637" max="5637" width="5.85546875" style="266" customWidth="1"/>
    <col min="5638" max="5638" width="6.5703125" style="266" customWidth="1"/>
    <col min="5639" max="5639" width="6.7109375" style="266" customWidth="1"/>
    <col min="5640" max="5640" width="8" style="266" customWidth="1"/>
    <col min="5641" max="5643" width="9.140625" style="266"/>
    <col min="5644" max="5644" width="11.28515625" style="266" customWidth="1"/>
    <col min="5645" max="5889" width="9.140625" style="266"/>
    <col min="5890" max="5890" width="6" style="266" customWidth="1"/>
    <col min="5891" max="5891" width="46.5703125" style="266" customWidth="1"/>
    <col min="5892" max="5892" width="10" style="266" customWidth="1"/>
    <col min="5893" max="5893" width="5.85546875" style="266" customWidth="1"/>
    <col min="5894" max="5894" width="6.5703125" style="266" customWidth="1"/>
    <col min="5895" max="5895" width="6.7109375" style="266" customWidth="1"/>
    <col min="5896" max="5896" width="8" style="266" customWidth="1"/>
    <col min="5897" max="5899" width="9.140625" style="266"/>
    <col min="5900" max="5900" width="11.28515625" style="266" customWidth="1"/>
    <col min="5901" max="6145" width="9.140625" style="266"/>
    <col min="6146" max="6146" width="6" style="266" customWidth="1"/>
    <col min="6147" max="6147" width="46.5703125" style="266" customWidth="1"/>
    <col min="6148" max="6148" width="10" style="266" customWidth="1"/>
    <col min="6149" max="6149" width="5.85546875" style="266" customWidth="1"/>
    <col min="6150" max="6150" width="6.5703125" style="266" customWidth="1"/>
    <col min="6151" max="6151" width="6.7109375" style="266" customWidth="1"/>
    <col min="6152" max="6152" width="8" style="266" customWidth="1"/>
    <col min="6153" max="6155" width="9.140625" style="266"/>
    <col min="6156" max="6156" width="11.28515625" style="266" customWidth="1"/>
    <col min="6157" max="6401" width="9.140625" style="266"/>
    <col min="6402" max="6402" width="6" style="266" customWidth="1"/>
    <col min="6403" max="6403" width="46.5703125" style="266" customWidth="1"/>
    <col min="6404" max="6404" width="10" style="266" customWidth="1"/>
    <col min="6405" max="6405" width="5.85546875" style="266" customWidth="1"/>
    <col min="6406" max="6406" width="6.5703125" style="266" customWidth="1"/>
    <col min="6407" max="6407" width="6.7109375" style="266" customWidth="1"/>
    <col min="6408" max="6408" width="8" style="266" customWidth="1"/>
    <col min="6409" max="6411" width="9.140625" style="266"/>
    <col min="6412" max="6412" width="11.28515625" style="266" customWidth="1"/>
    <col min="6413" max="6657" width="9.140625" style="266"/>
    <col min="6658" max="6658" width="6" style="266" customWidth="1"/>
    <col min="6659" max="6659" width="46.5703125" style="266" customWidth="1"/>
    <col min="6660" max="6660" width="10" style="266" customWidth="1"/>
    <col min="6661" max="6661" width="5.85546875" style="266" customWidth="1"/>
    <col min="6662" max="6662" width="6.5703125" style="266" customWidth="1"/>
    <col min="6663" max="6663" width="6.7109375" style="266" customWidth="1"/>
    <col min="6664" max="6664" width="8" style="266" customWidth="1"/>
    <col min="6665" max="6667" width="9.140625" style="266"/>
    <col min="6668" max="6668" width="11.28515625" style="266" customWidth="1"/>
    <col min="6669" max="6913" width="9.140625" style="266"/>
    <col min="6914" max="6914" width="6" style="266" customWidth="1"/>
    <col min="6915" max="6915" width="46.5703125" style="266" customWidth="1"/>
    <col min="6916" max="6916" width="10" style="266" customWidth="1"/>
    <col min="6917" max="6917" width="5.85546875" style="266" customWidth="1"/>
    <col min="6918" max="6918" width="6.5703125" style="266" customWidth="1"/>
    <col min="6919" max="6919" width="6.7109375" style="266" customWidth="1"/>
    <col min="6920" max="6920" width="8" style="266" customWidth="1"/>
    <col min="6921" max="6923" width="9.140625" style="266"/>
    <col min="6924" max="6924" width="11.28515625" style="266" customWidth="1"/>
    <col min="6925" max="7169" width="9.140625" style="266"/>
    <col min="7170" max="7170" width="6" style="266" customWidth="1"/>
    <col min="7171" max="7171" width="46.5703125" style="266" customWidth="1"/>
    <col min="7172" max="7172" width="10" style="266" customWidth="1"/>
    <col min="7173" max="7173" width="5.85546875" style="266" customWidth="1"/>
    <col min="7174" max="7174" width="6.5703125" style="266" customWidth="1"/>
    <col min="7175" max="7175" width="6.7109375" style="266" customWidth="1"/>
    <col min="7176" max="7176" width="8" style="266" customWidth="1"/>
    <col min="7177" max="7179" width="9.140625" style="266"/>
    <col min="7180" max="7180" width="11.28515625" style="266" customWidth="1"/>
    <col min="7181" max="7425" width="9.140625" style="266"/>
    <col min="7426" max="7426" width="6" style="266" customWidth="1"/>
    <col min="7427" max="7427" width="46.5703125" style="266" customWidth="1"/>
    <col min="7428" max="7428" width="10" style="266" customWidth="1"/>
    <col min="7429" max="7429" width="5.85546875" style="266" customWidth="1"/>
    <col min="7430" max="7430" width="6.5703125" style="266" customWidth="1"/>
    <col min="7431" max="7431" width="6.7109375" style="266" customWidth="1"/>
    <col min="7432" max="7432" width="8" style="266" customWidth="1"/>
    <col min="7433" max="7435" width="9.140625" style="266"/>
    <col min="7436" max="7436" width="11.28515625" style="266" customWidth="1"/>
    <col min="7437" max="7681" width="9.140625" style="266"/>
    <col min="7682" max="7682" width="6" style="266" customWidth="1"/>
    <col min="7683" max="7683" width="46.5703125" style="266" customWidth="1"/>
    <col min="7684" max="7684" width="10" style="266" customWidth="1"/>
    <col min="7685" max="7685" width="5.85546875" style="266" customWidth="1"/>
    <col min="7686" max="7686" width="6.5703125" style="266" customWidth="1"/>
    <col min="7687" max="7687" width="6.7109375" style="266" customWidth="1"/>
    <col min="7688" max="7688" width="8" style="266" customWidth="1"/>
    <col min="7689" max="7691" width="9.140625" style="266"/>
    <col min="7692" max="7692" width="11.28515625" style="266" customWidth="1"/>
    <col min="7693" max="7937" width="9.140625" style="266"/>
    <col min="7938" max="7938" width="6" style="266" customWidth="1"/>
    <col min="7939" max="7939" width="46.5703125" style="266" customWidth="1"/>
    <col min="7940" max="7940" width="10" style="266" customWidth="1"/>
    <col min="7941" max="7941" width="5.85546875" style="266" customWidth="1"/>
    <col min="7942" max="7942" width="6.5703125" style="266" customWidth="1"/>
    <col min="7943" max="7943" width="6.7109375" style="266" customWidth="1"/>
    <col min="7944" max="7944" width="8" style="266" customWidth="1"/>
    <col min="7945" max="7947" width="9.140625" style="266"/>
    <col min="7948" max="7948" width="11.28515625" style="266" customWidth="1"/>
    <col min="7949" max="8193" width="9.140625" style="266"/>
    <col min="8194" max="8194" width="6" style="266" customWidth="1"/>
    <col min="8195" max="8195" width="46.5703125" style="266" customWidth="1"/>
    <col min="8196" max="8196" width="10" style="266" customWidth="1"/>
    <col min="8197" max="8197" width="5.85546875" style="266" customWidth="1"/>
    <col min="8198" max="8198" width="6.5703125" style="266" customWidth="1"/>
    <col min="8199" max="8199" width="6.7109375" style="266" customWidth="1"/>
    <col min="8200" max="8200" width="8" style="266" customWidth="1"/>
    <col min="8201" max="8203" width="9.140625" style="266"/>
    <col min="8204" max="8204" width="11.28515625" style="266" customWidth="1"/>
    <col min="8205" max="8449" width="9.140625" style="266"/>
    <col min="8450" max="8450" width="6" style="266" customWidth="1"/>
    <col min="8451" max="8451" width="46.5703125" style="266" customWidth="1"/>
    <col min="8452" max="8452" width="10" style="266" customWidth="1"/>
    <col min="8453" max="8453" width="5.85546875" style="266" customWidth="1"/>
    <col min="8454" max="8454" width="6.5703125" style="266" customWidth="1"/>
    <col min="8455" max="8455" width="6.7109375" style="266" customWidth="1"/>
    <col min="8456" max="8456" width="8" style="266" customWidth="1"/>
    <col min="8457" max="8459" width="9.140625" style="266"/>
    <col min="8460" max="8460" width="11.28515625" style="266" customWidth="1"/>
    <col min="8461" max="8705" width="9.140625" style="266"/>
    <col min="8706" max="8706" width="6" style="266" customWidth="1"/>
    <col min="8707" max="8707" width="46.5703125" style="266" customWidth="1"/>
    <col min="8708" max="8708" width="10" style="266" customWidth="1"/>
    <col min="8709" max="8709" width="5.85546875" style="266" customWidth="1"/>
    <col min="8710" max="8710" width="6.5703125" style="266" customWidth="1"/>
    <col min="8711" max="8711" width="6.7109375" style="266" customWidth="1"/>
    <col min="8712" max="8712" width="8" style="266" customWidth="1"/>
    <col min="8713" max="8715" width="9.140625" style="266"/>
    <col min="8716" max="8716" width="11.28515625" style="266" customWidth="1"/>
    <col min="8717" max="8961" width="9.140625" style="266"/>
    <col min="8962" max="8962" width="6" style="266" customWidth="1"/>
    <col min="8963" max="8963" width="46.5703125" style="266" customWidth="1"/>
    <col min="8964" max="8964" width="10" style="266" customWidth="1"/>
    <col min="8965" max="8965" width="5.85546875" style="266" customWidth="1"/>
    <col min="8966" max="8966" width="6.5703125" style="266" customWidth="1"/>
    <col min="8967" max="8967" width="6.7109375" style="266" customWidth="1"/>
    <col min="8968" max="8968" width="8" style="266" customWidth="1"/>
    <col min="8969" max="8971" width="9.140625" style="266"/>
    <col min="8972" max="8972" width="11.28515625" style="266" customWidth="1"/>
    <col min="8973" max="9217" width="9.140625" style="266"/>
    <col min="9218" max="9218" width="6" style="266" customWidth="1"/>
    <col min="9219" max="9219" width="46.5703125" style="266" customWidth="1"/>
    <col min="9220" max="9220" width="10" style="266" customWidth="1"/>
    <col min="9221" max="9221" width="5.85546875" style="266" customWidth="1"/>
    <col min="9222" max="9222" width="6.5703125" style="266" customWidth="1"/>
    <col min="9223" max="9223" width="6.7109375" style="266" customWidth="1"/>
    <col min="9224" max="9224" width="8" style="266" customWidth="1"/>
    <col min="9225" max="9227" width="9.140625" style="266"/>
    <col min="9228" max="9228" width="11.28515625" style="266" customWidth="1"/>
    <col min="9229" max="9473" width="9.140625" style="266"/>
    <col min="9474" max="9474" width="6" style="266" customWidth="1"/>
    <col min="9475" max="9475" width="46.5703125" style="266" customWidth="1"/>
    <col min="9476" max="9476" width="10" style="266" customWidth="1"/>
    <col min="9477" max="9477" width="5.85546875" style="266" customWidth="1"/>
    <col min="9478" max="9478" width="6.5703125" style="266" customWidth="1"/>
    <col min="9479" max="9479" width="6.7109375" style="266" customWidth="1"/>
    <col min="9480" max="9480" width="8" style="266" customWidth="1"/>
    <col min="9481" max="9483" width="9.140625" style="266"/>
    <col min="9484" max="9484" width="11.28515625" style="266" customWidth="1"/>
    <col min="9485" max="9729" width="9.140625" style="266"/>
    <col min="9730" max="9730" width="6" style="266" customWidth="1"/>
    <col min="9731" max="9731" width="46.5703125" style="266" customWidth="1"/>
    <col min="9732" max="9732" width="10" style="266" customWidth="1"/>
    <col min="9733" max="9733" width="5.85546875" style="266" customWidth="1"/>
    <col min="9734" max="9734" width="6.5703125" style="266" customWidth="1"/>
    <col min="9735" max="9735" width="6.7109375" style="266" customWidth="1"/>
    <col min="9736" max="9736" width="8" style="266" customWidth="1"/>
    <col min="9737" max="9739" width="9.140625" style="266"/>
    <col min="9740" max="9740" width="11.28515625" style="266" customWidth="1"/>
    <col min="9741" max="9985" width="9.140625" style="266"/>
    <col min="9986" max="9986" width="6" style="266" customWidth="1"/>
    <col min="9987" max="9987" width="46.5703125" style="266" customWidth="1"/>
    <col min="9988" max="9988" width="10" style="266" customWidth="1"/>
    <col min="9989" max="9989" width="5.85546875" style="266" customWidth="1"/>
    <col min="9990" max="9990" width="6.5703125" style="266" customWidth="1"/>
    <col min="9991" max="9991" width="6.7109375" style="266" customWidth="1"/>
    <col min="9992" max="9992" width="8" style="266" customWidth="1"/>
    <col min="9993" max="9995" width="9.140625" style="266"/>
    <col min="9996" max="9996" width="11.28515625" style="266" customWidth="1"/>
    <col min="9997" max="10241" width="9.140625" style="266"/>
    <col min="10242" max="10242" width="6" style="266" customWidth="1"/>
    <col min="10243" max="10243" width="46.5703125" style="266" customWidth="1"/>
    <col min="10244" max="10244" width="10" style="266" customWidth="1"/>
    <col min="10245" max="10245" width="5.85546875" style="266" customWidth="1"/>
    <col min="10246" max="10246" width="6.5703125" style="266" customWidth="1"/>
    <col min="10247" max="10247" width="6.7109375" style="266" customWidth="1"/>
    <col min="10248" max="10248" width="8" style="266" customWidth="1"/>
    <col min="10249" max="10251" width="9.140625" style="266"/>
    <col min="10252" max="10252" width="11.28515625" style="266" customWidth="1"/>
    <col min="10253" max="10497" width="9.140625" style="266"/>
    <col min="10498" max="10498" width="6" style="266" customWidth="1"/>
    <col min="10499" max="10499" width="46.5703125" style="266" customWidth="1"/>
    <col min="10500" max="10500" width="10" style="266" customWidth="1"/>
    <col min="10501" max="10501" width="5.85546875" style="266" customWidth="1"/>
    <col min="10502" max="10502" width="6.5703125" style="266" customWidth="1"/>
    <col min="10503" max="10503" width="6.7109375" style="266" customWidth="1"/>
    <col min="10504" max="10504" width="8" style="266" customWidth="1"/>
    <col min="10505" max="10507" width="9.140625" style="266"/>
    <col min="10508" max="10508" width="11.28515625" style="266" customWidth="1"/>
    <col min="10509" max="10753" width="9.140625" style="266"/>
    <col min="10754" max="10754" width="6" style="266" customWidth="1"/>
    <col min="10755" max="10755" width="46.5703125" style="266" customWidth="1"/>
    <col min="10756" max="10756" width="10" style="266" customWidth="1"/>
    <col min="10757" max="10757" width="5.85546875" style="266" customWidth="1"/>
    <col min="10758" max="10758" width="6.5703125" style="266" customWidth="1"/>
    <col min="10759" max="10759" width="6.7109375" style="266" customWidth="1"/>
    <col min="10760" max="10760" width="8" style="266" customWidth="1"/>
    <col min="10761" max="10763" width="9.140625" style="266"/>
    <col min="10764" max="10764" width="11.28515625" style="266" customWidth="1"/>
    <col min="10765" max="11009" width="9.140625" style="266"/>
    <col min="11010" max="11010" width="6" style="266" customWidth="1"/>
    <col min="11011" max="11011" width="46.5703125" style="266" customWidth="1"/>
    <col min="11012" max="11012" width="10" style="266" customWidth="1"/>
    <col min="11013" max="11013" width="5.85546875" style="266" customWidth="1"/>
    <col min="11014" max="11014" width="6.5703125" style="266" customWidth="1"/>
    <col min="11015" max="11015" width="6.7109375" style="266" customWidth="1"/>
    <col min="11016" max="11016" width="8" style="266" customWidth="1"/>
    <col min="11017" max="11019" width="9.140625" style="266"/>
    <col min="11020" max="11020" width="11.28515625" style="266" customWidth="1"/>
    <col min="11021" max="11265" width="9.140625" style="266"/>
    <col min="11266" max="11266" width="6" style="266" customWidth="1"/>
    <col min="11267" max="11267" width="46.5703125" style="266" customWidth="1"/>
    <col min="11268" max="11268" width="10" style="266" customWidth="1"/>
    <col min="11269" max="11269" width="5.85546875" style="266" customWidth="1"/>
    <col min="11270" max="11270" width="6.5703125" style="266" customWidth="1"/>
    <col min="11271" max="11271" width="6.7109375" style="266" customWidth="1"/>
    <col min="11272" max="11272" width="8" style="266" customWidth="1"/>
    <col min="11273" max="11275" width="9.140625" style="266"/>
    <col min="11276" max="11276" width="11.28515625" style="266" customWidth="1"/>
    <col min="11277" max="11521" width="9.140625" style="266"/>
    <col min="11522" max="11522" width="6" style="266" customWidth="1"/>
    <col min="11523" max="11523" width="46.5703125" style="266" customWidth="1"/>
    <col min="11524" max="11524" width="10" style="266" customWidth="1"/>
    <col min="11525" max="11525" width="5.85546875" style="266" customWidth="1"/>
    <col min="11526" max="11526" width="6.5703125" style="266" customWidth="1"/>
    <col min="11527" max="11527" width="6.7109375" style="266" customWidth="1"/>
    <col min="11528" max="11528" width="8" style="266" customWidth="1"/>
    <col min="11529" max="11531" width="9.140625" style="266"/>
    <col min="11532" max="11532" width="11.28515625" style="266" customWidth="1"/>
    <col min="11533" max="11777" width="9.140625" style="266"/>
    <col min="11778" max="11778" width="6" style="266" customWidth="1"/>
    <col min="11779" max="11779" width="46.5703125" style="266" customWidth="1"/>
    <col min="11780" max="11780" width="10" style="266" customWidth="1"/>
    <col min="11781" max="11781" width="5.85546875" style="266" customWidth="1"/>
    <col min="11782" max="11782" width="6.5703125" style="266" customWidth="1"/>
    <col min="11783" max="11783" width="6.7109375" style="266" customWidth="1"/>
    <col min="11784" max="11784" width="8" style="266" customWidth="1"/>
    <col min="11785" max="11787" width="9.140625" style="266"/>
    <col min="11788" max="11788" width="11.28515625" style="266" customWidth="1"/>
    <col min="11789" max="12033" width="9.140625" style="266"/>
    <col min="12034" max="12034" width="6" style="266" customWidth="1"/>
    <col min="12035" max="12035" width="46.5703125" style="266" customWidth="1"/>
    <col min="12036" max="12036" width="10" style="266" customWidth="1"/>
    <col min="12037" max="12037" width="5.85546875" style="266" customWidth="1"/>
    <col min="12038" max="12038" width="6.5703125" style="266" customWidth="1"/>
    <col min="12039" max="12039" width="6.7109375" style="266" customWidth="1"/>
    <col min="12040" max="12040" width="8" style="266" customWidth="1"/>
    <col min="12041" max="12043" width="9.140625" style="266"/>
    <col min="12044" max="12044" width="11.28515625" style="266" customWidth="1"/>
    <col min="12045" max="12289" width="9.140625" style="266"/>
    <col min="12290" max="12290" width="6" style="266" customWidth="1"/>
    <col min="12291" max="12291" width="46.5703125" style="266" customWidth="1"/>
    <col min="12292" max="12292" width="10" style="266" customWidth="1"/>
    <col min="12293" max="12293" width="5.85546875" style="266" customWidth="1"/>
    <col min="12294" max="12294" width="6.5703125" style="266" customWidth="1"/>
    <col min="12295" max="12295" width="6.7109375" style="266" customWidth="1"/>
    <col min="12296" max="12296" width="8" style="266" customWidth="1"/>
    <col min="12297" max="12299" width="9.140625" style="266"/>
    <col min="12300" max="12300" width="11.28515625" style="266" customWidth="1"/>
    <col min="12301" max="12545" width="9.140625" style="266"/>
    <col min="12546" max="12546" width="6" style="266" customWidth="1"/>
    <col min="12547" max="12547" width="46.5703125" style="266" customWidth="1"/>
    <col min="12548" max="12548" width="10" style="266" customWidth="1"/>
    <col min="12549" max="12549" width="5.85546875" style="266" customWidth="1"/>
    <col min="12550" max="12550" width="6.5703125" style="266" customWidth="1"/>
    <col min="12551" max="12551" width="6.7109375" style="266" customWidth="1"/>
    <col min="12552" max="12552" width="8" style="266" customWidth="1"/>
    <col min="12553" max="12555" width="9.140625" style="266"/>
    <col min="12556" max="12556" width="11.28515625" style="266" customWidth="1"/>
    <col min="12557" max="12801" width="9.140625" style="266"/>
    <col min="12802" max="12802" width="6" style="266" customWidth="1"/>
    <col min="12803" max="12803" width="46.5703125" style="266" customWidth="1"/>
    <col min="12804" max="12804" width="10" style="266" customWidth="1"/>
    <col min="12805" max="12805" width="5.85546875" style="266" customWidth="1"/>
    <col min="12806" max="12806" width="6.5703125" style="266" customWidth="1"/>
    <col min="12807" max="12807" width="6.7109375" style="266" customWidth="1"/>
    <col min="12808" max="12808" width="8" style="266" customWidth="1"/>
    <col min="12809" max="12811" width="9.140625" style="266"/>
    <col min="12812" max="12812" width="11.28515625" style="266" customWidth="1"/>
    <col min="12813" max="13057" width="9.140625" style="266"/>
    <col min="13058" max="13058" width="6" style="266" customWidth="1"/>
    <col min="13059" max="13059" width="46.5703125" style="266" customWidth="1"/>
    <col min="13060" max="13060" width="10" style="266" customWidth="1"/>
    <col min="13061" max="13061" width="5.85546875" style="266" customWidth="1"/>
    <col min="13062" max="13062" width="6.5703125" style="266" customWidth="1"/>
    <col min="13063" max="13063" width="6.7109375" style="266" customWidth="1"/>
    <col min="13064" max="13064" width="8" style="266" customWidth="1"/>
    <col min="13065" max="13067" width="9.140625" style="266"/>
    <col min="13068" max="13068" width="11.28515625" style="266" customWidth="1"/>
    <col min="13069" max="13313" width="9.140625" style="266"/>
    <col min="13314" max="13314" width="6" style="266" customWidth="1"/>
    <col min="13315" max="13315" width="46.5703125" style="266" customWidth="1"/>
    <col min="13316" max="13316" width="10" style="266" customWidth="1"/>
    <col min="13317" max="13317" width="5.85546875" style="266" customWidth="1"/>
    <col min="13318" max="13318" width="6.5703125" style="266" customWidth="1"/>
    <col min="13319" max="13319" width="6.7109375" style="266" customWidth="1"/>
    <col min="13320" max="13320" width="8" style="266" customWidth="1"/>
    <col min="13321" max="13323" width="9.140625" style="266"/>
    <col min="13324" max="13324" width="11.28515625" style="266" customWidth="1"/>
    <col min="13325" max="13569" width="9.140625" style="266"/>
    <col min="13570" max="13570" width="6" style="266" customWidth="1"/>
    <col min="13571" max="13571" width="46.5703125" style="266" customWidth="1"/>
    <col min="13572" max="13572" width="10" style="266" customWidth="1"/>
    <col min="13573" max="13573" width="5.85546875" style="266" customWidth="1"/>
    <col min="13574" max="13574" width="6.5703125" style="266" customWidth="1"/>
    <col min="13575" max="13575" width="6.7109375" style="266" customWidth="1"/>
    <col min="13576" max="13576" width="8" style="266" customWidth="1"/>
    <col min="13577" max="13579" width="9.140625" style="266"/>
    <col min="13580" max="13580" width="11.28515625" style="266" customWidth="1"/>
    <col min="13581" max="13825" width="9.140625" style="266"/>
    <col min="13826" max="13826" width="6" style="266" customWidth="1"/>
    <col min="13827" max="13827" width="46.5703125" style="266" customWidth="1"/>
    <col min="13828" max="13828" width="10" style="266" customWidth="1"/>
    <col min="13829" max="13829" width="5.85546875" style="266" customWidth="1"/>
    <col min="13830" max="13830" width="6.5703125" style="266" customWidth="1"/>
    <col min="13831" max="13831" width="6.7109375" style="266" customWidth="1"/>
    <col min="13832" max="13832" width="8" style="266" customWidth="1"/>
    <col min="13833" max="13835" width="9.140625" style="266"/>
    <col min="13836" max="13836" width="11.28515625" style="266" customWidth="1"/>
    <col min="13837" max="14081" width="9.140625" style="266"/>
    <col min="14082" max="14082" width="6" style="266" customWidth="1"/>
    <col min="14083" max="14083" width="46.5703125" style="266" customWidth="1"/>
    <col min="14084" max="14084" width="10" style="266" customWidth="1"/>
    <col min="14085" max="14085" width="5.85546875" style="266" customWidth="1"/>
    <col min="14086" max="14086" width="6.5703125" style="266" customWidth="1"/>
    <col min="14087" max="14087" width="6.7109375" style="266" customWidth="1"/>
    <col min="14088" max="14088" width="8" style="266" customWidth="1"/>
    <col min="14089" max="14091" width="9.140625" style="266"/>
    <col min="14092" max="14092" width="11.28515625" style="266" customWidth="1"/>
    <col min="14093" max="14337" width="9.140625" style="266"/>
    <col min="14338" max="14338" width="6" style="266" customWidth="1"/>
    <col min="14339" max="14339" width="46.5703125" style="266" customWidth="1"/>
    <col min="14340" max="14340" width="10" style="266" customWidth="1"/>
    <col min="14341" max="14341" width="5.85546875" style="266" customWidth="1"/>
    <col min="14342" max="14342" width="6.5703125" style="266" customWidth="1"/>
    <col min="14343" max="14343" width="6.7109375" style="266" customWidth="1"/>
    <col min="14344" max="14344" width="8" style="266" customWidth="1"/>
    <col min="14345" max="14347" width="9.140625" style="266"/>
    <col min="14348" max="14348" width="11.28515625" style="266" customWidth="1"/>
    <col min="14349" max="14593" width="9.140625" style="266"/>
    <col min="14594" max="14594" width="6" style="266" customWidth="1"/>
    <col min="14595" max="14595" width="46.5703125" style="266" customWidth="1"/>
    <col min="14596" max="14596" width="10" style="266" customWidth="1"/>
    <col min="14597" max="14597" width="5.85546875" style="266" customWidth="1"/>
    <col min="14598" max="14598" width="6.5703125" style="266" customWidth="1"/>
    <col min="14599" max="14599" width="6.7109375" style="266" customWidth="1"/>
    <col min="14600" max="14600" width="8" style="266" customWidth="1"/>
    <col min="14601" max="14603" width="9.140625" style="266"/>
    <col min="14604" max="14604" width="11.28515625" style="266" customWidth="1"/>
    <col min="14605" max="14849" width="9.140625" style="266"/>
    <col min="14850" max="14850" width="6" style="266" customWidth="1"/>
    <col min="14851" max="14851" width="46.5703125" style="266" customWidth="1"/>
    <col min="14852" max="14852" width="10" style="266" customWidth="1"/>
    <col min="14853" max="14853" width="5.85546875" style="266" customWidth="1"/>
    <col min="14854" max="14854" width="6.5703125" style="266" customWidth="1"/>
    <col min="14855" max="14855" width="6.7109375" style="266" customWidth="1"/>
    <col min="14856" max="14856" width="8" style="266" customWidth="1"/>
    <col min="14857" max="14859" width="9.140625" style="266"/>
    <col min="14860" max="14860" width="11.28515625" style="266" customWidth="1"/>
    <col min="14861" max="15105" width="9.140625" style="266"/>
    <col min="15106" max="15106" width="6" style="266" customWidth="1"/>
    <col min="15107" max="15107" width="46.5703125" style="266" customWidth="1"/>
    <col min="15108" max="15108" width="10" style="266" customWidth="1"/>
    <col min="15109" max="15109" width="5.85546875" style="266" customWidth="1"/>
    <col min="15110" max="15110" width="6.5703125" style="266" customWidth="1"/>
    <col min="15111" max="15111" width="6.7109375" style="266" customWidth="1"/>
    <col min="15112" max="15112" width="8" style="266" customWidth="1"/>
    <col min="15113" max="15115" width="9.140625" style="266"/>
    <col min="15116" max="15116" width="11.28515625" style="266" customWidth="1"/>
    <col min="15117" max="15361" width="9.140625" style="266"/>
    <col min="15362" max="15362" width="6" style="266" customWidth="1"/>
    <col min="15363" max="15363" width="46.5703125" style="266" customWidth="1"/>
    <col min="15364" max="15364" width="10" style="266" customWidth="1"/>
    <col min="15365" max="15365" width="5.85546875" style="266" customWidth="1"/>
    <col min="15366" max="15366" width="6.5703125" style="266" customWidth="1"/>
    <col min="15367" max="15367" width="6.7109375" style="266" customWidth="1"/>
    <col min="15368" max="15368" width="8" style="266" customWidth="1"/>
    <col min="15369" max="15371" width="9.140625" style="266"/>
    <col min="15372" max="15372" width="11.28515625" style="266" customWidth="1"/>
    <col min="15373" max="15617" width="9.140625" style="266"/>
    <col min="15618" max="15618" width="6" style="266" customWidth="1"/>
    <col min="15619" max="15619" width="46.5703125" style="266" customWidth="1"/>
    <col min="15620" max="15620" width="10" style="266" customWidth="1"/>
    <col min="15621" max="15621" width="5.85546875" style="266" customWidth="1"/>
    <col min="15622" max="15622" width="6.5703125" style="266" customWidth="1"/>
    <col min="15623" max="15623" width="6.7109375" style="266" customWidth="1"/>
    <col min="15624" max="15624" width="8" style="266" customWidth="1"/>
    <col min="15625" max="15627" width="9.140625" style="266"/>
    <col min="15628" max="15628" width="11.28515625" style="266" customWidth="1"/>
    <col min="15629" max="15873" width="9.140625" style="266"/>
    <col min="15874" max="15874" width="6" style="266" customWidth="1"/>
    <col min="15875" max="15875" width="46.5703125" style="266" customWidth="1"/>
    <col min="15876" max="15876" width="10" style="266" customWidth="1"/>
    <col min="15877" max="15877" width="5.85546875" style="266" customWidth="1"/>
    <col min="15878" max="15878" width="6.5703125" style="266" customWidth="1"/>
    <col min="15879" max="15879" width="6.7109375" style="266" customWidth="1"/>
    <col min="15880" max="15880" width="8" style="266" customWidth="1"/>
    <col min="15881" max="15883" width="9.140625" style="266"/>
    <col min="15884" max="15884" width="11.28515625" style="266" customWidth="1"/>
    <col min="15885" max="16129" width="9.140625" style="266"/>
    <col min="16130" max="16130" width="6" style="266" customWidth="1"/>
    <col min="16131" max="16131" width="46.5703125" style="266" customWidth="1"/>
    <col min="16132" max="16132" width="10" style="266" customWidth="1"/>
    <col min="16133" max="16133" width="5.85546875" style="266" customWidth="1"/>
    <col min="16134" max="16134" width="6.5703125" style="266" customWidth="1"/>
    <col min="16135" max="16135" width="6.7109375" style="266" customWidth="1"/>
    <col min="16136" max="16136" width="8" style="266" customWidth="1"/>
    <col min="16137" max="16139" width="9.140625" style="266"/>
    <col min="16140" max="16140" width="11.28515625" style="266" customWidth="1"/>
    <col min="16141" max="16384" width="9.140625" style="266"/>
  </cols>
  <sheetData>
    <row r="2" spans="2:12">
      <c r="C2" s="413" t="s">
        <v>449</v>
      </c>
    </row>
    <row r="3" spans="2:12">
      <c r="B3" s="267" t="s">
        <v>94</v>
      </c>
      <c r="C3" s="413" t="s">
        <v>94</v>
      </c>
      <c r="D3" s="267"/>
      <c r="E3" s="267"/>
      <c r="G3" s="265" t="s">
        <v>435</v>
      </c>
    </row>
    <row r="4" spans="2:12">
      <c r="B4" s="6060" t="s">
        <v>1869</v>
      </c>
      <c r="C4" s="1852"/>
      <c r="D4" s="6056" t="s">
        <v>451</v>
      </c>
      <c r="E4" s="6057"/>
      <c r="F4" s="6057"/>
      <c r="G4" s="6057"/>
      <c r="H4" s="6057"/>
      <c r="I4" s="6057"/>
      <c r="J4" s="6057"/>
      <c r="K4" s="6057"/>
      <c r="L4" s="6058"/>
    </row>
    <row r="5" spans="2:12">
      <c r="B5" s="6061"/>
      <c r="C5" s="415"/>
      <c r="D5" s="6059" t="s">
        <v>453</v>
      </c>
      <c r="E5" s="6059"/>
      <c r="F5" s="6059"/>
      <c r="G5" s="6059"/>
      <c r="H5" s="6059"/>
      <c r="I5" s="6059"/>
      <c r="J5" s="6059"/>
      <c r="K5" s="6059"/>
      <c r="L5" s="6059"/>
    </row>
    <row r="6" spans="2:12">
      <c r="B6" s="6061"/>
      <c r="C6" s="415" t="s">
        <v>454</v>
      </c>
      <c r="D6" s="1571" t="s">
        <v>314</v>
      </c>
      <c r="E6" s="1558" t="s">
        <v>455</v>
      </c>
      <c r="F6" s="312" t="s">
        <v>342</v>
      </c>
      <c r="G6" s="308" t="s">
        <v>456</v>
      </c>
      <c r="H6" s="6053" t="s">
        <v>457</v>
      </c>
      <c r="I6" s="6054"/>
      <c r="J6" s="6054"/>
      <c r="K6" s="6054"/>
      <c r="L6" s="6055"/>
    </row>
    <row r="7" spans="2:12">
      <c r="B7" s="6061"/>
      <c r="C7" s="415"/>
      <c r="D7" s="1588" t="s">
        <v>380</v>
      </c>
      <c r="E7" s="1588" t="s">
        <v>94</v>
      </c>
      <c r="F7" s="316" t="s">
        <v>94</v>
      </c>
      <c r="G7" s="319" t="s">
        <v>458</v>
      </c>
      <c r="H7" s="6050"/>
      <c r="I7" s="6051"/>
      <c r="J7" s="6051"/>
      <c r="K7" s="6051"/>
      <c r="L7" s="6052"/>
    </row>
    <row r="8" spans="2:12">
      <c r="B8" s="6062"/>
      <c r="C8" s="1853" t="s">
        <v>459</v>
      </c>
      <c r="D8" s="315"/>
      <c r="E8" s="319"/>
      <c r="F8" s="414"/>
      <c r="G8" s="1854"/>
      <c r="H8" s="1853" t="s">
        <v>264</v>
      </c>
      <c r="I8" s="416" t="s">
        <v>265</v>
      </c>
      <c r="J8" s="416" t="s">
        <v>266</v>
      </c>
      <c r="K8" s="417" t="s">
        <v>334</v>
      </c>
      <c r="L8" s="1838" t="s">
        <v>460</v>
      </c>
    </row>
    <row r="9" spans="2:12" hidden="1">
      <c r="B9" s="1839">
        <v>1</v>
      </c>
      <c r="C9" s="348" t="s">
        <v>461</v>
      </c>
      <c r="D9" s="331">
        <v>0</v>
      </c>
      <c r="E9" s="321"/>
      <c r="F9" s="321"/>
      <c r="G9" s="321"/>
      <c r="H9" s="418">
        <v>0</v>
      </c>
      <c r="I9" s="418">
        <v>0</v>
      </c>
      <c r="J9" s="418">
        <v>0</v>
      </c>
      <c r="K9" s="419">
        <v>0</v>
      </c>
      <c r="L9" s="1840">
        <f>H9+I9+J9+K9</f>
        <v>0</v>
      </c>
    </row>
    <row r="10" spans="2:12" hidden="1">
      <c r="B10" s="1839">
        <f>B9+1</f>
        <v>2</v>
      </c>
      <c r="C10" s="328" t="s">
        <v>462</v>
      </c>
      <c r="D10" s="44">
        <v>0</v>
      </c>
      <c r="E10" s="42"/>
      <c r="F10" s="42"/>
      <c r="G10" s="42"/>
      <c r="H10" s="418">
        <v>0</v>
      </c>
      <c r="I10" s="418">
        <v>0</v>
      </c>
      <c r="J10" s="418">
        <v>0</v>
      </c>
      <c r="K10" s="419">
        <v>0</v>
      </c>
      <c r="L10" s="1840">
        <f t="shared" ref="L10:L33" si="0">H10+I10+J10+K10</f>
        <v>0</v>
      </c>
    </row>
    <row r="11" spans="2:12" hidden="1">
      <c r="B11" s="1839">
        <f t="shared" ref="B11:B34" si="1">B10+1</f>
        <v>3</v>
      </c>
      <c r="C11" s="328" t="s">
        <v>463</v>
      </c>
      <c r="D11" s="331">
        <v>0</v>
      </c>
      <c r="E11" s="321"/>
      <c r="F11" s="321"/>
      <c r="G11" s="321"/>
      <c r="H11" s="418">
        <v>0</v>
      </c>
      <c r="I11" s="418">
        <v>0</v>
      </c>
      <c r="J11" s="418">
        <v>0</v>
      </c>
      <c r="K11" s="419">
        <v>0</v>
      </c>
      <c r="L11" s="1840">
        <f t="shared" si="0"/>
        <v>0</v>
      </c>
    </row>
    <row r="12" spans="2:12" hidden="1">
      <c r="B12" s="1839">
        <f t="shared" si="1"/>
        <v>4</v>
      </c>
      <c r="C12" s="328" t="s">
        <v>464</v>
      </c>
      <c r="D12" s="44">
        <v>0.06</v>
      </c>
      <c r="E12" s="42"/>
      <c r="F12" s="42"/>
      <c r="G12" s="42"/>
      <c r="H12" s="418">
        <v>0</v>
      </c>
      <c r="I12" s="418">
        <v>0</v>
      </c>
      <c r="J12" s="418">
        <v>0</v>
      </c>
      <c r="K12" s="419">
        <v>0</v>
      </c>
      <c r="L12" s="1840">
        <f t="shared" si="0"/>
        <v>0</v>
      </c>
    </row>
    <row r="13" spans="2:12" hidden="1">
      <c r="B13" s="1839">
        <f t="shared" si="1"/>
        <v>5</v>
      </c>
      <c r="C13" s="349" t="s">
        <v>465</v>
      </c>
      <c r="D13" s="44">
        <v>0</v>
      </c>
      <c r="E13" s="267"/>
      <c r="F13" s="321"/>
      <c r="G13" s="323"/>
      <c r="H13" s="418">
        <v>0</v>
      </c>
      <c r="I13" s="418">
        <v>0</v>
      </c>
      <c r="J13" s="418">
        <v>0</v>
      </c>
      <c r="K13" s="419">
        <v>0</v>
      </c>
      <c r="L13" s="1840">
        <f t="shared" si="0"/>
        <v>0</v>
      </c>
    </row>
    <row r="14" spans="2:12" hidden="1">
      <c r="B14" s="1839">
        <f t="shared" si="1"/>
        <v>6</v>
      </c>
      <c r="C14" s="349" t="s">
        <v>466</v>
      </c>
      <c r="D14" s="44">
        <v>0</v>
      </c>
      <c r="E14" s="327"/>
      <c r="F14" s="42"/>
      <c r="G14" s="326"/>
      <c r="H14" s="418">
        <v>0</v>
      </c>
      <c r="I14" s="418">
        <v>0</v>
      </c>
      <c r="J14" s="418">
        <v>0</v>
      </c>
      <c r="K14" s="419">
        <v>0</v>
      </c>
      <c r="L14" s="1840">
        <f t="shared" si="0"/>
        <v>0</v>
      </c>
    </row>
    <row r="15" spans="2:12" ht="31.5" hidden="1">
      <c r="B15" s="1849">
        <f t="shared" si="1"/>
        <v>7</v>
      </c>
      <c r="C15" s="351" t="s">
        <v>467</v>
      </c>
      <c r="D15" s="44">
        <v>0</v>
      </c>
      <c r="E15" s="327"/>
      <c r="F15" s="42"/>
      <c r="G15" s="326"/>
      <c r="H15" s="418">
        <v>0</v>
      </c>
      <c r="I15" s="418">
        <v>0</v>
      </c>
      <c r="J15" s="418">
        <v>0</v>
      </c>
      <c r="K15" s="419">
        <v>0</v>
      </c>
      <c r="L15" s="1840">
        <f t="shared" si="0"/>
        <v>0</v>
      </c>
    </row>
    <row r="16" spans="2:12">
      <c r="B16" s="1850">
        <f t="shared" si="1"/>
        <v>8</v>
      </c>
      <c r="C16" s="1846" t="s">
        <v>468</v>
      </c>
      <c r="D16" s="331">
        <v>0.25</v>
      </c>
      <c r="E16" s="267"/>
      <c r="F16" s="321"/>
      <c r="G16" s="323"/>
      <c r="H16" s="418">
        <v>0</v>
      </c>
      <c r="I16" s="418">
        <v>0</v>
      </c>
      <c r="J16" s="418">
        <v>0</v>
      </c>
      <c r="K16" s="419">
        <v>0.23</v>
      </c>
      <c r="L16" s="1840">
        <f t="shared" si="0"/>
        <v>0.23</v>
      </c>
    </row>
    <row r="17" spans="2:12">
      <c r="B17" s="1851">
        <f t="shared" si="1"/>
        <v>9</v>
      </c>
      <c r="C17" s="1846" t="s">
        <v>469</v>
      </c>
      <c r="D17" s="382">
        <v>1.55</v>
      </c>
      <c r="E17" s="327"/>
      <c r="F17" s="42"/>
      <c r="G17" s="326"/>
      <c r="H17" s="420">
        <v>0</v>
      </c>
      <c r="I17" s="420">
        <v>0</v>
      </c>
      <c r="J17" s="420">
        <v>0</v>
      </c>
      <c r="K17" s="421">
        <v>1.44</v>
      </c>
      <c r="L17" s="1840">
        <f t="shared" si="0"/>
        <v>1.44</v>
      </c>
    </row>
    <row r="18" spans="2:12">
      <c r="B18" s="1851">
        <f t="shared" si="1"/>
        <v>10</v>
      </c>
      <c r="C18" s="1846" t="s">
        <v>469</v>
      </c>
      <c r="D18" s="1652">
        <v>1.56</v>
      </c>
      <c r="E18" s="327"/>
      <c r="F18" s="328"/>
      <c r="G18" s="42"/>
      <c r="H18" s="418">
        <v>0</v>
      </c>
      <c r="I18" s="418">
        <v>0</v>
      </c>
      <c r="J18" s="418">
        <v>0</v>
      </c>
      <c r="K18" s="419">
        <v>1.44</v>
      </c>
      <c r="L18" s="1840">
        <f t="shared" si="0"/>
        <v>1.44</v>
      </c>
    </row>
    <row r="19" spans="2:12" hidden="1">
      <c r="B19" s="1851">
        <f t="shared" si="1"/>
        <v>11</v>
      </c>
      <c r="C19" s="1846" t="s">
        <v>470</v>
      </c>
      <c r="D19" s="422">
        <v>0</v>
      </c>
      <c r="E19" s="348"/>
      <c r="F19" s="348"/>
      <c r="G19" s="384"/>
      <c r="H19" s="423">
        <v>0</v>
      </c>
      <c r="I19" s="423">
        <v>0</v>
      </c>
      <c r="J19" s="423">
        <v>0</v>
      </c>
      <c r="K19" s="424">
        <v>0</v>
      </c>
      <c r="L19" s="1840">
        <f t="shared" si="0"/>
        <v>0</v>
      </c>
    </row>
    <row r="20" spans="2:12" hidden="1">
      <c r="B20" s="1851">
        <f t="shared" si="1"/>
        <v>12</v>
      </c>
      <c r="C20" s="1846" t="s">
        <v>471</v>
      </c>
      <c r="D20" s="395">
        <v>0</v>
      </c>
      <c r="E20" s="328"/>
      <c r="F20" s="328"/>
      <c r="G20" s="42"/>
      <c r="H20" s="425">
        <v>0</v>
      </c>
      <c r="I20" s="425">
        <v>0</v>
      </c>
      <c r="J20" s="425">
        <v>0</v>
      </c>
      <c r="K20" s="426">
        <v>0</v>
      </c>
      <c r="L20" s="1840">
        <f t="shared" si="0"/>
        <v>0</v>
      </c>
    </row>
    <row r="21" spans="2:12" hidden="1">
      <c r="B21" s="1851">
        <f t="shared" si="1"/>
        <v>13</v>
      </c>
      <c r="C21" s="1846" t="s">
        <v>472</v>
      </c>
      <c r="D21" s="395">
        <v>0</v>
      </c>
      <c r="E21" s="328"/>
      <c r="F21" s="328"/>
      <c r="G21" s="42"/>
      <c r="H21" s="423">
        <v>0</v>
      </c>
      <c r="I21" s="423">
        <v>0</v>
      </c>
      <c r="J21" s="423">
        <v>0</v>
      </c>
      <c r="K21" s="424">
        <v>0</v>
      </c>
      <c r="L21" s="1840">
        <f t="shared" si="0"/>
        <v>0</v>
      </c>
    </row>
    <row r="22" spans="2:12" hidden="1">
      <c r="B22" s="1851">
        <f t="shared" si="1"/>
        <v>14</v>
      </c>
      <c r="C22" s="1846" t="s">
        <v>473</v>
      </c>
      <c r="D22" s="396">
        <v>0</v>
      </c>
      <c r="E22" s="330"/>
      <c r="F22" s="330"/>
      <c r="G22" s="321"/>
      <c r="H22" s="423">
        <v>0</v>
      </c>
      <c r="I22" s="423">
        <v>0</v>
      </c>
      <c r="J22" s="423">
        <v>0</v>
      </c>
      <c r="K22" s="424">
        <v>0</v>
      </c>
      <c r="L22" s="1840">
        <f t="shared" si="0"/>
        <v>0</v>
      </c>
    </row>
    <row r="23" spans="2:12" hidden="1">
      <c r="B23" s="1851">
        <f t="shared" si="1"/>
        <v>15</v>
      </c>
      <c r="C23" s="1846" t="s">
        <v>474</v>
      </c>
      <c r="D23" s="395">
        <v>0</v>
      </c>
      <c r="E23" s="328"/>
      <c r="F23" s="328"/>
      <c r="G23" s="42"/>
      <c r="H23" s="423">
        <v>0</v>
      </c>
      <c r="I23" s="423">
        <v>0</v>
      </c>
      <c r="J23" s="423">
        <v>0</v>
      </c>
      <c r="K23" s="424">
        <v>0</v>
      </c>
      <c r="L23" s="1840">
        <f t="shared" si="0"/>
        <v>0</v>
      </c>
    </row>
    <row r="24" spans="2:12" hidden="1">
      <c r="B24" s="1851">
        <f t="shared" si="1"/>
        <v>16</v>
      </c>
      <c r="C24" s="1846" t="s">
        <v>475</v>
      </c>
      <c r="D24" s="396">
        <v>0</v>
      </c>
      <c r="E24" s="330"/>
      <c r="F24" s="330"/>
      <c r="G24" s="321"/>
      <c r="H24" s="423">
        <v>0</v>
      </c>
      <c r="I24" s="423">
        <v>0</v>
      </c>
      <c r="J24" s="423">
        <v>0</v>
      </c>
      <c r="K24" s="424">
        <v>0</v>
      </c>
      <c r="L24" s="1840">
        <f t="shared" si="0"/>
        <v>0</v>
      </c>
    </row>
    <row r="25" spans="2:12" hidden="1">
      <c r="B25" s="1851">
        <f t="shared" si="1"/>
        <v>17</v>
      </c>
      <c r="C25" s="1846" t="s">
        <v>476</v>
      </c>
      <c r="D25" s="395">
        <v>0</v>
      </c>
      <c r="E25" s="328"/>
      <c r="F25" s="328"/>
      <c r="G25" s="42"/>
      <c r="H25" s="423">
        <v>0</v>
      </c>
      <c r="I25" s="423">
        <v>0</v>
      </c>
      <c r="J25" s="423">
        <v>0</v>
      </c>
      <c r="K25" s="424">
        <v>0</v>
      </c>
      <c r="L25" s="1840">
        <f t="shared" si="0"/>
        <v>0</v>
      </c>
    </row>
    <row r="26" spans="2:12" hidden="1">
      <c r="B26" s="1851">
        <f t="shared" si="1"/>
        <v>18</v>
      </c>
      <c r="C26" s="1846" t="s">
        <v>477</v>
      </c>
      <c r="D26" s="44">
        <v>0</v>
      </c>
      <c r="E26" s="42"/>
      <c r="F26" s="42"/>
      <c r="G26" s="42"/>
      <c r="H26" s="423">
        <v>0</v>
      </c>
      <c r="I26" s="423">
        <v>0</v>
      </c>
      <c r="J26" s="423">
        <v>0</v>
      </c>
      <c r="K26" s="424">
        <v>0</v>
      </c>
      <c r="L26" s="1840">
        <f t="shared" si="0"/>
        <v>0</v>
      </c>
    </row>
    <row r="27" spans="2:12" hidden="1">
      <c r="B27" s="1851">
        <f t="shared" si="1"/>
        <v>19</v>
      </c>
      <c r="C27" s="1846" t="s">
        <v>478</v>
      </c>
      <c r="D27" s="44">
        <v>0</v>
      </c>
      <c r="E27" s="42"/>
      <c r="F27" s="42"/>
      <c r="G27" s="42"/>
      <c r="H27" s="423">
        <v>0</v>
      </c>
      <c r="I27" s="423">
        <v>0</v>
      </c>
      <c r="J27" s="423">
        <v>0</v>
      </c>
      <c r="K27" s="424">
        <v>0</v>
      </c>
      <c r="L27" s="1840">
        <f t="shared" si="0"/>
        <v>0</v>
      </c>
    </row>
    <row r="28" spans="2:12" hidden="1">
      <c r="B28" s="1851">
        <f t="shared" si="1"/>
        <v>20</v>
      </c>
      <c r="C28" s="1846" t="s">
        <v>479</v>
      </c>
      <c r="D28" s="44">
        <v>0</v>
      </c>
      <c r="E28" s="42"/>
      <c r="F28" s="42"/>
      <c r="G28" s="42"/>
      <c r="H28" s="423">
        <v>0</v>
      </c>
      <c r="I28" s="423">
        <v>0</v>
      </c>
      <c r="J28" s="423">
        <v>0</v>
      </c>
      <c r="K28" s="424">
        <v>0</v>
      </c>
      <c r="L28" s="1840">
        <f t="shared" si="0"/>
        <v>0</v>
      </c>
    </row>
    <row r="29" spans="2:12" hidden="1">
      <c r="B29" s="1851">
        <f t="shared" si="1"/>
        <v>21</v>
      </c>
      <c r="C29" s="1846" t="s">
        <v>480</v>
      </c>
      <c r="D29" s="44">
        <v>1.57</v>
      </c>
      <c r="E29" s="42"/>
      <c r="F29" s="42"/>
      <c r="G29" s="42"/>
      <c r="H29" s="424">
        <v>0</v>
      </c>
      <c r="I29" s="424">
        <v>0</v>
      </c>
      <c r="J29" s="424">
        <v>0</v>
      </c>
      <c r="K29" s="426">
        <v>0</v>
      </c>
      <c r="L29" s="1840">
        <f t="shared" si="0"/>
        <v>0</v>
      </c>
    </row>
    <row r="30" spans="2:12" hidden="1">
      <c r="B30" s="1851">
        <f t="shared" si="1"/>
        <v>22</v>
      </c>
      <c r="C30" s="1846" t="s">
        <v>481</v>
      </c>
      <c r="D30" s="44">
        <v>3.3099999999999996</v>
      </c>
      <c r="E30" s="42"/>
      <c r="F30" s="42"/>
      <c r="G30" s="42"/>
      <c r="H30" s="424">
        <v>0</v>
      </c>
      <c r="I30" s="424">
        <v>0</v>
      </c>
      <c r="J30" s="424">
        <v>0</v>
      </c>
      <c r="K30" s="424">
        <v>0</v>
      </c>
      <c r="L30" s="1840">
        <f t="shared" si="0"/>
        <v>0</v>
      </c>
    </row>
    <row r="31" spans="2:12" hidden="1">
      <c r="B31" s="1851">
        <f t="shared" si="1"/>
        <v>23</v>
      </c>
      <c r="C31" s="1846" t="s">
        <v>482</v>
      </c>
      <c r="D31" s="44">
        <v>1.02</v>
      </c>
      <c r="E31" s="42"/>
      <c r="F31" s="42"/>
      <c r="G31" s="42"/>
      <c r="H31" s="424">
        <v>0</v>
      </c>
      <c r="I31" s="424">
        <v>0</v>
      </c>
      <c r="J31" s="424">
        <v>0</v>
      </c>
      <c r="K31" s="424">
        <v>0</v>
      </c>
      <c r="L31" s="1840">
        <f t="shared" si="0"/>
        <v>0</v>
      </c>
    </row>
    <row r="32" spans="2:12">
      <c r="B32" s="1851">
        <f t="shared" si="1"/>
        <v>24</v>
      </c>
      <c r="C32" s="1846" t="s">
        <v>483</v>
      </c>
      <c r="D32" s="44">
        <v>1.69</v>
      </c>
      <c r="E32" s="42"/>
      <c r="F32" s="42"/>
      <c r="G32" s="42"/>
      <c r="H32" s="424">
        <v>1.38</v>
      </c>
      <c r="I32" s="424">
        <v>0.93</v>
      </c>
      <c r="J32" s="424">
        <v>0.46</v>
      </c>
      <c r="K32" s="424">
        <v>0.05</v>
      </c>
      <c r="L32" s="1840">
        <f t="shared" si="0"/>
        <v>2.82</v>
      </c>
    </row>
    <row r="33" spans="2:12" ht="31.5">
      <c r="B33" s="1851">
        <f t="shared" si="1"/>
        <v>25</v>
      </c>
      <c r="C33" s="1847" t="s">
        <v>484</v>
      </c>
      <c r="D33" s="336"/>
      <c r="E33" s="42"/>
      <c r="F33" s="42"/>
      <c r="G33" s="42"/>
      <c r="H33" s="424">
        <v>0</v>
      </c>
      <c r="I33" s="424">
        <v>0</v>
      </c>
      <c r="J33" s="424">
        <v>0</v>
      </c>
      <c r="K33" s="424">
        <v>2.5</v>
      </c>
      <c r="L33" s="1840">
        <f t="shared" si="0"/>
        <v>2.5</v>
      </c>
    </row>
    <row r="34" spans="2:12">
      <c r="B34" s="1607">
        <f t="shared" si="1"/>
        <v>26</v>
      </c>
      <c r="C34" s="1848" t="s">
        <v>485</v>
      </c>
      <c r="D34" s="273">
        <f>SUM(D9:D32)</f>
        <v>11.01</v>
      </c>
      <c r="E34" s="1841"/>
      <c r="F34" s="1842"/>
      <c r="G34" s="1842"/>
      <c r="H34" s="1843">
        <f>SUM(H9:H33)</f>
        <v>1.38</v>
      </c>
      <c r="I34" s="1843">
        <f>SUM(I9:I33)</f>
        <v>0.93</v>
      </c>
      <c r="J34" s="1843">
        <f>SUM(J9:J33)</f>
        <v>0.46</v>
      </c>
      <c r="K34" s="1844">
        <f>SUM(K9:K33)</f>
        <v>5.66</v>
      </c>
      <c r="L34" s="1845">
        <f>SUM(L9:L33)</f>
        <v>8.43</v>
      </c>
    </row>
    <row r="35" spans="2:12" ht="16.5" thickBot="1">
      <c r="B35" s="427" t="s">
        <v>94</v>
      </c>
      <c r="C35" s="1651" t="s">
        <v>94</v>
      </c>
      <c r="D35" s="1651"/>
      <c r="E35" s="1651"/>
      <c r="F35" s="1651"/>
      <c r="G35" s="1837"/>
      <c r="H35" s="428" t="s">
        <v>94</v>
      </c>
      <c r="I35" s="428" t="s">
        <v>94</v>
      </c>
      <c r="J35" s="428" t="s">
        <v>94</v>
      </c>
      <c r="K35" s="429" t="s">
        <v>94</v>
      </c>
      <c r="L35" s="384"/>
    </row>
    <row r="36" spans="2:12">
      <c r="H36" s="388"/>
    </row>
    <row r="37" spans="2:12">
      <c r="C37" s="332"/>
    </row>
    <row r="38" spans="2:12">
      <c r="C38" s="332"/>
    </row>
    <row r="50" spans="26:26">
      <c r="Z50" s="266" t="s">
        <v>2617</v>
      </c>
    </row>
  </sheetData>
  <sheetProtection selectLockedCells="1" selectUnlockedCells="1"/>
  <mergeCells count="5">
    <mergeCell ref="H7:L7"/>
    <mergeCell ref="H6:L6"/>
    <mergeCell ref="D4:L4"/>
    <mergeCell ref="D5:L5"/>
    <mergeCell ref="B4:B8"/>
  </mergeCells>
  <pageMargins left="0.25" right="0.2" top="1" bottom="1" header="0.51180555555555551" footer="0.51180555555555551"/>
  <pageSetup paperSize="9" scale="70" firstPageNumber="0"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sheetPr codeName="Sheet61">
    <tabColor theme="9" tint="-0.249977111117893"/>
  </sheetPr>
  <dimension ref="A1:K27"/>
  <sheetViews>
    <sheetView showGridLines="0" view="pageBreakPreview" topLeftCell="A4" zoomScale="70" zoomScaleSheetLayoutView="70" workbookViewId="0">
      <selection activeCell="E8" sqref="E8:E9"/>
    </sheetView>
  </sheetViews>
  <sheetFormatPr defaultRowHeight="15.75"/>
  <cols>
    <col min="1" max="1" width="5.85546875" style="266" customWidth="1"/>
    <col min="2" max="2" width="35.42578125" style="266" customWidth="1"/>
    <col min="3" max="3" width="9.140625" style="266"/>
    <col min="4" max="5" width="0" style="266" hidden="1" customWidth="1"/>
    <col min="6" max="6" width="10.28515625" style="266" hidden="1" customWidth="1"/>
    <col min="7" max="9" width="9.140625" style="266"/>
    <col min="10" max="10" width="12" style="266" customWidth="1"/>
    <col min="11" max="256" width="9.140625" style="266"/>
    <col min="257" max="257" width="5.85546875" style="266" customWidth="1"/>
    <col min="258" max="258" width="35.42578125" style="266" customWidth="1"/>
    <col min="259" max="261" width="9.140625" style="266"/>
    <col min="262" max="262" width="10.28515625" style="266" customWidth="1"/>
    <col min="263" max="265" width="9.140625" style="266"/>
    <col min="266" max="266" width="12" style="266" customWidth="1"/>
    <col min="267" max="512" width="9.140625" style="266"/>
    <col min="513" max="513" width="5.85546875" style="266" customWidth="1"/>
    <col min="514" max="514" width="35.42578125" style="266" customWidth="1"/>
    <col min="515" max="517" width="9.140625" style="266"/>
    <col min="518" max="518" width="10.28515625" style="266" customWidth="1"/>
    <col min="519" max="521" width="9.140625" style="266"/>
    <col min="522" max="522" width="12" style="266" customWidth="1"/>
    <col min="523" max="768" width="9.140625" style="266"/>
    <col min="769" max="769" width="5.85546875" style="266" customWidth="1"/>
    <col min="770" max="770" width="35.42578125" style="266" customWidth="1"/>
    <col min="771" max="773" width="9.140625" style="266"/>
    <col min="774" max="774" width="10.28515625" style="266" customWidth="1"/>
    <col min="775" max="777" width="9.140625" style="266"/>
    <col min="778" max="778" width="12" style="266" customWidth="1"/>
    <col min="779" max="1024" width="9.140625" style="266"/>
    <col min="1025" max="1025" width="5.85546875" style="266" customWidth="1"/>
    <col min="1026" max="1026" width="35.42578125" style="266" customWidth="1"/>
    <col min="1027" max="1029" width="9.140625" style="266"/>
    <col min="1030" max="1030" width="10.28515625" style="266" customWidth="1"/>
    <col min="1031" max="1033" width="9.140625" style="266"/>
    <col min="1034" max="1034" width="12" style="266" customWidth="1"/>
    <col min="1035" max="1280" width="9.140625" style="266"/>
    <col min="1281" max="1281" width="5.85546875" style="266" customWidth="1"/>
    <col min="1282" max="1282" width="35.42578125" style="266" customWidth="1"/>
    <col min="1283" max="1285" width="9.140625" style="266"/>
    <col min="1286" max="1286" width="10.28515625" style="266" customWidth="1"/>
    <col min="1287" max="1289" width="9.140625" style="266"/>
    <col min="1290" max="1290" width="12" style="266" customWidth="1"/>
    <col min="1291" max="1536" width="9.140625" style="266"/>
    <col min="1537" max="1537" width="5.85546875" style="266" customWidth="1"/>
    <col min="1538" max="1538" width="35.42578125" style="266" customWidth="1"/>
    <col min="1539" max="1541" width="9.140625" style="266"/>
    <col min="1542" max="1542" width="10.28515625" style="266" customWidth="1"/>
    <col min="1543" max="1545" width="9.140625" style="266"/>
    <col min="1546" max="1546" width="12" style="266" customWidth="1"/>
    <col min="1547" max="1792" width="9.140625" style="266"/>
    <col min="1793" max="1793" width="5.85546875" style="266" customWidth="1"/>
    <col min="1794" max="1794" width="35.42578125" style="266" customWidth="1"/>
    <col min="1795" max="1797" width="9.140625" style="266"/>
    <col min="1798" max="1798" width="10.28515625" style="266" customWidth="1"/>
    <col min="1799" max="1801" width="9.140625" style="266"/>
    <col min="1802" max="1802" width="12" style="266" customWidth="1"/>
    <col min="1803" max="2048" width="9.140625" style="266"/>
    <col min="2049" max="2049" width="5.85546875" style="266" customWidth="1"/>
    <col min="2050" max="2050" width="35.42578125" style="266" customWidth="1"/>
    <col min="2051" max="2053" width="9.140625" style="266"/>
    <col min="2054" max="2054" width="10.28515625" style="266" customWidth="1"/>
    <col min="2055" max="2057" width="9.140625" style="266"/>
    <col min="2058" max="2058" width="12" style="266" customWidth="1"/>
    <col min="2059" max="2304" width="9.140625" style="266"/>
    <col min="2305" max="2305" width="5.85546875" style="266" customWidth="1"/>
    <col min="2306" max="2306" width="35.42578125" style="266" customWidth="1"/>
    <col min="2307" max="2309" width="9.140625" style="266"/>
    <col min="2310" max="2310" width="10.28515625" style="266" customWidth="1"/>
    <col min="2311" max="2313" width="9.140625" style="266"/>
    <col min="2314" max="2314" width="12" style="266" customWidth="1"/>
    <col min="2315" max="2560" width="9.140625" style="266"/>
    <col min="2561" max="2561" width="5.85546875" style="266" customWidth="1"/>
    <col min="2562" max="2562" width="35.42578125" style="266" customWidth="1"/>
    <col min="2563" max="2565" width="9.140625" style="266"/>
    <col min="2566" max="2566" width="10.28515625" style="266" customWidth="1"/>
    <col min="2567" max="2569" width="9.140625" style="266"/>
    <col min="2570" max="2570" width="12" style="266" customWidth="1"/>
    <col min="2571" max="2816" width="9.140625" style="266"/>
    <col min="2817" max="2817" width="5.85546875" style="266" customWidth="1"/>
    <col min="2818" max="2818" width="35.42578125" style="266" customWidth="1"/>
    <col min="2819" max="2821" width="9.140625" style="266"/>
    <col min="2822" max="2822" width="10.28515625" style="266" customWidth="1"/>
    <col min="2823" max="2825" width="9.140625" style="266"/>
    <col min="2826" max="2826" width="12" style="266" customWidth="1"/>
    <col min="2827" max="3072" width="9.140625" style="266"/>
    <col min="3073" max="3073" width="5.85546875" style="266" customWidth="1"/>
    <col min="3074" max="3074" width="35.42578125" style="266" customWidth="1"/>
    <col min="3075" max="3077" width="9.140625" style="266"/>
    <col min="3078" max="3078" width="10.28515625" style="266" customWidth="1"/>
    <col min="3079" max="3081" width="9.140625" style="266"/>
    <col min="3082" max="3082" width="12" style="266" customWidth="1"/>
    <col min="3083" max="3328" width="9.140625" style="266"/>
    <col min="3329" max="3329" width="5.85546875" style="266" customWidth="1"/>
    <col min="3330" max="3330" width="35.42578125" style="266" customWidth="1"/>
    <col min="3331" max="3333" width="9.140625" style="266"/>
    <col min="3334" max="3334" width="10.28515625" style="266" customWidth="1"/>
    <col min="3335" max="3337" width="9.140625" style="266"/>
    <col min="3338" max="3338" width="12" style="266" customWidth="1"/>
    <col min="3339" max="3584" width="9.140625" style="266"/>
    <col min="3585" max="3585" width="5.85546875" style="266" customWidth="1"/>
    <col min="3586" max="3586" width="35.42578125" style="266" customWidth="1"/>
    <col min="3587" max="3589" width="9.140625" style="266"/>
    <col min="3590" max="3590" width="10.28515625" style="266" customWidth="1"/>
    <col min="3591" max="3593" width="9.140625" style="266"/>
    <col min="3594" max="3594" width="12" style="266" customWidth="1"/>
    <col min="3595" max="3840" width="9.140625" style="266"/>
    <col min="3841" max="3841" width="5.85546875" style="266" customWidth="1"/>
    <col min="3842" max="3842" width="35.42578125" style="266" customWidth="1"/>
    <col min="3843" max="3845" width="9.140625" style="266"/>
    <col min="3846" max="3846" width="10.28515625" style="266" customWidth="1"/>
    <col min="3847" max="3849" width="9.140625" style="266"/>
    <col min="3850" max="3850" width="12" style="266" customWidth="1"/>
    <col min="3851" max="4096" width="9.140625" style="266"/>
    <col min="4097" max="4097" width="5.85546875" style="266" customWidth="1"/>
    <col min="4098" max="4098" width="35.42578125" style="266" customWidth="1"/>
    <col min="4099" max="4101" width="9.140625" style="266"/>
    <col min="4102" max="4102" width="10.28515625" style="266" customWidth="1"/>
    <col min="4103" max="4105" width="9.140625" style="266"/>
    <col min="4106" max="4106" width="12" style="266" customWidth="1"/>
    <col min="4107" max="4352" width="9.140625" style="266"/>
    <col min="4353" max="4353" width="5.85546875" style="266" customWidth="1"/>
    <col min="4354" max="4354" width="35.42578125" style="266" customWidth="1"/>
    <col min="4355" max="4357" width="9.140625" style="266"/>
    <col min="4358" max="4358" width="10.28515625" style="266" customWidth="1"/>
    <col min="4359" max="4361" width="9.140625" style="266"/>
    <col min="4362" max="4362" width="12" style="266" customWidth="1"/>
    <col min="4363" max="4608" width="9.140625" style="266"/>
    <col min="4609" max="4609" width="5.85546875" style="266" customWidth="1"/>
    <col min="4610" max="4610" width="35.42578125" style="266" customWidth="1"/>
    <col min="4611" max="4613" width="9.140625" style="266"/>
    <col min="4614" max="4614" width="10.28515625" style="266" customWidth="1"/>
    <col min="4615" max="4617" width="9.140625" style="266"/>
    <col min="4618" max="4618" width="12" style="266" customWidth="1"/>
    <col min="4619" max="4864" width="9.140625" style="266"/>
    <col min="4865" max="4865" width="5.85546875" style="266" customWidth="1"/>
    <col min="4866" max="4866" width="35.42578125" style="266" customWidth="1"/>
    <col min="4867" max="4869" width="9.140625" style="266"/>
    <col min="4870" max="4870" width="10.28515625" style="266" customWidth="1"/>
    <col min="4871" max="4873" width="9.140625" style="266"/>
    <col min="4874" max="4874" width="12" style="266" customWidth="1"/>
    <col min="4875" max="5120" width="9.140625" style="266"/>
    <col min="5121" max="5121" width="5.85546875" style="266" customWidth="1"/>
    <col min="5122" max="5122" width="35.42578125" style="266" customWidth="1"/>
    <col min="5123" max="5125" width="9.140625" style="266"/>
    <col min="5126" max="5126" width="10.28515625" style="266" customWidth="1"/>
    <col min="5127" max="5129" width="9.140625" style="266"/>
    <col min="5130" max="5130" width="12" style="266" customWidth="1"/>
    <col min="5131" max="5376" width="9.140625" style="266"/>
    <col min="5377" max="5377" width="5.85546875" style="266" customWidth="1"/>
    <col min="5378" max="5378" width="35.42578125" style="266" customWidth="1"/>
    <col min="5379" max="5381" width="9.140625" style="266"/>
    <col min="5382" max="5382" width="10.28515625" style="266" customWidth="1"/>
    <col min="5383" max="5385" width="9.140625" style="266"/>
    <col min="5386" max="5386" width="12" style="266" customWidth="1"/>
    <col min="5387" max="5632" width="9.140625" style="266"/>
    <col min="5633" max="5633" width="5.85546875" style="266" customWidth="1"/>
    <col min="5634" max="5634" width="35.42578125" style="266" customWidth="1"/>
    <col min="5635" max="5637" width="9.140625" style="266"/>
    <col min="5638" max="5638" width="10.28515625" style="266" customWidth="1"/>
    <col min="5639" max="5641" width="9.140625" style="266"/>
    <col min="5642" max="5642" width="12" style="266" customWidth="1"/>
    <col min="5643" max="5888" width="9.140625" style="266"/>
    <col min="5889" max="5889" width="5.85546875" style="266" customWidth="1"/>
    <col min="5890" max="5890" width="35.42578125" style="266" customWidth="1"/>
    <col min="5891" max="5893" width="9.140625" style="266"/>
    <col min="5894" max="5894" width="10.28515625" style="266" customWidth="1"/>
    <col min="5895" max="5897" width="9.140625" style="266"/>
    <col min="5898" max="5898" width="12" style="266" customWidth="1"/>
    <col min="5899" max="6144" width="9.140625" style="266"/>
    <col min="6145" max="6145" width="5.85546875" style="266" customWidth="1"/>
    <col min="6146" max="6146" width="35.42578125" style="266" customWidth="1"/>
    <col min="6147" max="6149" width="9.140625" style="266"/>
    <col min="6150" max="6150" width="10.28515625" style="266" customWidth="1"/>
    <col min="6151" max="6153" width="9.140625" style="266"/>
    <col min="6154" max="6154" width="12" style="266" customWidth="1"/>
    <col min="6155" max="6400" width="9.140625" style="266"/>
    <col min="6401" max="6401" width="5.85546875" style="266" customWidth="1"/>
    <col min="6402" max="6402" width="35.42578125" style="266" customWidth="1"/>
    <col min="6403" max="6405" width="9.140625" style="266"/>
    <col min="6406" max="6406" width="10.28515625" style="266" customWidth="1"/>
    <col min="6407" max="6409" width="9.140625" style="266"/>
    <col min="6410" max="6410" width="12" style="266" customWidth="1"/>
    <col min="6411" max="6656" width="9.140625" style="266"/>
    <col min="6657" max="6657" width="5.85546875" style="266" customWidth="1"/>
    <col min="6658" max="6658" width="35.42578125" style="266" customWidth="1"/>
    <col min="6659" max="6661" width="9.140625" style="266"/>
    <col min="6662" max="6662" width="10.28515625" style="266" customWidth="1"/>
    <col min="6663" max="6665" width="9.140625" style="266"/>
    <col min="6666" max="6666" width="12" style="266" customWidth="1"/>
    <col min="6667" max="6912" width="9.140625" style="266"/>
    <col min="6913" max="6913" width="5.85546875" style="266" customWidth="1"/>
    <col min="6914" max="6914" width="35.42578125" style="266" customWidth="1"/>
    <col min="6915" max="6917" width="9.140625" style="266"/>
    <col min="6918" max="6918" width="10.28515625" style="266" customWidth="1"/>
    <col min="6919" max="6921" width="9.140625" style="266"/>
    <col min="6922" max="6922" width="12" style="266" customWidth="1"/>
    <col min="6923" max="7168" width="9.140625" style="266"/>
    <col min="7169" max="7169" width="5.85546875" style="266" customWidth="1"/>
    <col min="7170" max="7170" width="35.42578125" style="266" customWidth="1"/>
    <col min="7171" max="7173" width="9.140625" style="266"/>
    <col min="7174" max="7174" width="10.28515625" style="266" customWidth="1"/>
    <col min="7175" max="7177" width="9.140625" style="266"/>
    <col min="7178" max="7178" width="12" style="266" customWidth="1"/>
    <col min="7179" max="7424" width="9.140625" style="266"/>
    <col min="7425" max="7425" width="5.85546875" style="266" customWidth="1"/>
    <col min="7426" max="7426" width="35.42578125" style="266" customWidth="1"/>
    <col min="7427" max="7429" width="9.140625" style="266"/>
    <col min="7430" max="7430" width="10.28515625" style="266" customWidth="1"/>
    <col min="7431" max="7433" width="9.140625" style="266"/>
    <col min="7434" max="7434" width="12" style="266" customWidth="1"/>
    <col min="7435" max="7680" width="9.140625" style="266"/>
    <col min="7681" max="7681" width="5.85546875" style="266" customWidth="1"/>
    <col min="7682" max="7682" width="35.42578125" style="266" customWidth="1"/>
    <col min="7683" max="7685" width="9.140625" style="266"/>
    <col min="7686" max="7686" width="10.28515625" style="266" customWidth="1"/>
    <col min="7687" max="7689" width="9.140625" style="266"/>
    <col min="7690" max="7690" width="12" style="266" customWidth="1"/>
    <col min="7691" max="7936" width="9.140625" style="266"/>
    <col min="7937" max="7937" width="5.85546875" style="266" customWidth="1"/>
    <col min="7938" max="7938" width="35.42578125" style="266" customWidth="1"/>
    <col min="7939" max="7941" width="9.140625" style="266"/>
    <col min="7942" max="7942" width="10.28515625" style="266" customWidth="1"/>
    <col min="7943" max="7945" width="9.140625" style="266"/>
    <col min="7946" max="7946" width="12" style="266" customWidth="1"/>
    <col min="7947" max="8192" width="9.140625" style="266"/>
    <col min="8193" max="8193" width="5.85546875" style="266" customWidth="1"/>
    <col min="8194" max="8194" width="35.42578125" style="266" customWidth="1"/>
    <col min="8195" max="8197" width="9.140625" style="266"/>
    <col min="8198" max="8198" width="10.28515625" style="266" customWidth="1"/>
    <col min="8199" max="8201" width="9.140625" style="266"/>
    <col min="8202" max="8202" width="12" style="266" customWidth="1"/>
    <col min="8203" max="8448" width="9.140625" style="266"/>
    <col min="8449" max="8449" width="5.85546875" style="266" customWidth="1"/>
    <col min="8450" max="8450" width="35.42578125" style="266" customWidth="1"/>
    <col min="8451" max="8453" width="9.140625" style="266"/>
    <col min="8454" max="8454" width="10.28515625" style="266" customWidth="1"/>
    <col min="8455" max="8457" width="9.140625" style="266"/>
    <col min="8458" max="8458" width="12" style="266" customWidth="1"/>
    <col min="8459" max="8704" width="9.140625" style="266"/>
    <col min="8705" max="8705" width="5.85546875" style="266" customWidth="1"/>
    <col min="8706" max="8706" width="35.42578125" style="266" customWidth="1"/>
    <col min="8707" max="8709" width="9.140625" style="266"/>
    <col min="8710" max="8710" width="10.28515625" style="266" customWidth="1"/>
    <col min="8711" max="8713" width="9.140625" style="266"/>
    <col min="8714" max="8714" width="12" style="266" customWidth="1"/>
    <col min="8715" max="8960" width="9.140625" style="266"/>
    <col min="8961" max="8961" width="5.85546875" style="266" customWidth="1"/>
    <col min="8962" max="8962" width="35.42578125" style="266" customWidth="1"/>
    <col min="8963" max="8965" width="9.140625" style="266"/>
    <col min="8966" max="8966" width="10.28515625" style="266" customWidth="1"/>
    <col min="8967" max="8969" width="9.140625" style="266"/>
    <col min="8970" max="8970" width="12" style="266" customWidth="1"/>
    <col min="8971" max="9216" width="9.140625" style="266"/>
    <col min="9217" max="9217" width="5.85546875" style="266" customWidth="1"/>
    <col min="9218" max="9218" width="35.42578125" style="266" customWidth="1"/>
    <col min="9219" max="9221" width="9.140625" style="266"/>
    <col min="9222" max="9222" width="10.28515625" style="266" customWidth="1"/>
    <col min="9223" max="9225" width="9.140625" style="266"/>
    <col min="9226" max="9226" width="12" style="266" customWidth="1"/>
    <col min="9227" max="9472" width="9.140625" style="266"/>
    <col min="9473" max="9473" width="5.85546875" style="266" customWidth="1"/>
    <col min="9474" max="9474" width="35.42578125" style="266" customWidth="1"/>
    <col min="9475" max="9477" width="9.140625" style="266"/>
    <col min="9478" max="9478" width="10.28515625" style="266" customWidth="1"/>
    <col min="9479" max="9481" width="9.140625" style="266"/>
    <col min="9482" max="9482" width="12" style="266" customWidth="1"/>
    <col min="9483" max="9728" width="9.140625" style="266"/>
    <col min="9729" max="9729" width="5.85546875" style="266" customWidth="1"/>
    <col min="9730" max="9730" width="35.42578125" style="266" customWidth="1"/>
    <col min="9731" max="9733" width="9.140625" style="266"/>
    <col min="9734" max="9734" width="10.28515625" style="266" customWidth="1"/>
    <col min="9735" max="9737" width="9.140625" style="266"/>
    <col min="9738" max="9738" width="12" style="266" customWidth="1"/>
    <col min="9739" max="9984" width="9.140625" style="266"/>
    <col min="9985" max="9985" width="5.85546875" style="266" customWidth="1"/>
    <col min="9986" max="9986" width="35.42578125" style="266" customWidth="1"/>
    <col min="9987" max="9989" width="9.140625" style="266"/>
    <col min="9990" max="9990" width="10.28515625" style="266" customWidth="1"/>
    <col min="9991" max="9993" width="9.140625" style="266"/>
    <col min="9994" max="9994" width="12" style="266" customWidth="1"/>
    <col min="9995" max="10240" width="9.140625" style="266"/>
    <col min="10241" max="10241" width="5.85546875" style="266" customWidth="1"/>
    <col min="10242" max="10242" width="35.42578125" style="266" customWidth="1"/>
    <col min="10243" max="10245" width="9.140625" style="266"/>
    <col min="10246" max="10246" width="10.28515625" style="266" customWidth="1"/>
    <col min="10247" max="10249" width="9.140625" style="266"/>
    <col min="10250" max="10250" width="12" style="266" customWidth="1"/>
    <col min="10251" max="10496" width="9.140625" style="266"/>
    <col min="10497" max="10497" width="5.85546875" style="266" customWidth="1"/>
    <col min="10498" max="10498" width="35.42578125" style="266" customWidth="1"/>
    <col min="10499" max="10501" width="9.140625" style="266"/>
    <col min="10502" max="10502" width="10.28515625" style="266" customWidth="1"/>
    <col min="10503" max="10505" width="9.140625" style="266"/>
    <col min="10506" max="10506" width="12" style="266" customWidth="1"/>
    <col min="10507" max="10752" width="9.140625" style="266"/>
    <col min="10753" max="10753" width="5.85546875" style="266" customWidth="1"/>
    <col min="10754" max="10754" width="35.42578125" style="266" customWidth="1"/>
    <col min="10755" max="10757" width="9.140625" style="266"/>
    <col min="10758" max="10758" width="10.28515625" style="266" customWidth="1"/>
    <col min="10759" max="10761" width="9.140625" style="266"/>
    <col min="10762" max="10762" width="12" style="266" customWidth="1"/>
    <col min="10763" max="11008" width="9.140625" style="266"/>
    <col min="11009" max="11009" width="5.85546875" style="266" customWidth="1"/>
    <col min="11010" max="11010" width="35.42578125" style="266" customWidth="1"/>
    <col min="11011" max="11013" width="9.140625" style="266"/>
    <col min="11014" max="11014" width="10.28515625" style="266" customWidth="1"/>
    <col min="11015" max="11017" width="9.140625" style="266"/>
    <col min="11018" max="11018" width="12" style="266" customWidth="1"/>
    <col min="11019" max="11264" width="9.140625" style="266"/>
    <col min="11265" max="11265" width="5.85546875" style="266" customWidth="1"/>
    <col min="11266" max="11266" width="35.42578125" style="266" customWidth="1"/>
    <col min="11267" max="11269" width="9.140625" style="266"/>
    <col min="11270" max="11270" width="10.28515625" style="266" customWidth="1"/>
    <col min="11271" max="11273" width="9.140625" style="266"/>
    <col min="11274" max="11274" width="12" style="266" customWidth="1"/>
    <col min="11275" max="11520" width="9.140625" style="266"/>
    <col min="11521" max="11521" width="5.85546875" style="266" customWidth="1"/>
    <col min="11522" max="11522" width="35.42578125" style="266" customWidth="1"/>
    <col min="11523" max="11525" width="9.140625" style="266"/>
    <col min="11526" max="11526" width="10.28515625" style="266" customWidth="1"/>
    <col min="11527" max="11529" width="9.140625" style="266"/>
    <col min="11530" max="11530" width="12" style="266" customWidth="1"/>
    <col min="11531" max="11776" width="9.140625" style="266"/>
    <col min="11777" max="11777" width="5.85546875" style="266" customWidth="1"/>
    <col min="11778" max="11778" width="35.42578125" style="266" customWidth="1"/>
    <col min="11779" max="11781" width="9.140625" style="266"/>
    <col min="11782" max="11782" width="10.28515625" style="266" customWidth="1"/>
    <col min="11783" max="11785" width="9.140625" style="266"/>
    <col min="11786" max="11786" width="12" style="266" customWidth="1"/>
    <col min="11787" max="12032" width="9.140625" style="266"/>
    <col min="12033" max="12033" width="5.85546875" style="266" customWidth="1"/>
    <col min="12034" max="12034" width="35.42578125" style="266" customWidth="1"/>
    <col min="12035" max="12037" width="9.140625" style="266"/>
    <col min="12038" max="12038" width="10.28515625" style="266" customWidth="1"/>
    <col min="12039" max="12041" width="9.140625" style="266"/>
    <col min="12042" max="12042" width="12" style="266" customWidth="1"/>
    <col min="12043" max="12288" width="9.140625" style="266"/>
    <col min="12289" max="12289" width="5.85546875" style="266" customWidth="1"/>
    <col min="12290" max="12290" width="35.42578125" style="266" customWidth="1"/>
    <col min="12291" max="12293" width="9.140625" style="266"/>
    <col min="12294" max="12294" width="10.28515625" style="266" customWidth="1"/>
    <col min="12295" max="12297" width="9.140625" style="266"/>
    <col min="12298" max="12298" width="12" style="266" customWidth="1"/>
    <col min="12299" max="12544" width="9.140625" style="266"/>
    <col min="12545" max="12545" width="5.85546875" style="266" customWidth="1"/>
    <col min="12546" max="12546" width="35.42578125" style="266" customWidth="1"/>
    <col min="12547" max="12549" width="9.140625" style="266"/>
    <col min="12550" max="12550" width="10.28515625" style="266" customWidth="1"/>
    <col min="12551" max="12553" width="9.140625" style="266"/>
    <col min="12554" max="12554" width="12" style="266" customWidth="1"/>
    <col min="12555" max="12800" width="9.140625" style="266"/>
    <col min="12801" max="12801" width="5.85546875" style="266" customWidth="1"/>
    <col min="12802" max="12802" width="35.42578125" style="266" customWidth="1"/>
    <col min="12803" max="12805" width="9.140625" style="266"/>
    <col min="12806" max="12806" width="10.28515625" style="266" customWidth="1"/>
    <col min="12807" max="12809" width="9.140625" style="266"/>
    <col min="12810" max="12810" width="12" style="266" customWidth="1"/>
    <col min="12811" max="13056" width="9.140625" style="266"/>
    <col min="13057" max="13057" width="5.85546875" style="266" customWidth="1"/>
    <col min="13058" max="13058" width="35.42578125" style="266" customWidth="1"/>
    <col min="13059" max="13061" width="9.140625" style="266"/>
    <col min="13062" max="13062" width="10.28515625" style="266" customWidth="1"/>
    <col min="13063" max="13065" width="9.140625" style="266"/>
    <col min="13066" max="13066" width="12" style="266" customWidth="1"/>
    <col min="13067" max="13312" width="9.140625" style="266"/>
    <col min="13313" max="13313" width="5.85546875" style="266" customWidth="1"/>
    <col min="13314" max="13314" width="35.42578125" style="266" customWidth="1"/>
    <col min="13315" max="13317" width="9.140625" style="266"/>
    <col min="13318" max="13318" width="10.28515625" style="266" customWidth="1"/>
    <col min="13319" max="13321" width="9.140625" style="266"/>
    <col min="13322" max="13322" width="12" style="266" customWidth="1"/>
    <col min="13323" max="13568" width="9.140625" style="266"/>
    <col min="13569" max="13569" width="5.85546875" style="266" customWidth="1"/>
    <col min="13570" max="13570" width="35.42578125" style="266" customWidth="1"/>
    <col min="13571" max="13573" width="9.140625" style="266"/>
    <col min="13574" max="13574" width="10.28515625" style="266" customWidth="1"/>
    <col min="13575" max="13577" width="9.140625" style="266"/>
    <col min="13578" max="13578" width="12" style="266" customWidth="1"/>
    <col min="13579" max="13824" width="9.140625" style="266"/>
    <col min="13825" max="13825" width="5.85546875" style="266" customWidth="1"/>
    <col min="13826" max="13826" width="35.42578125" style="266" customWidth="1"/>
    <col min="13827" max="13829" width="9.140625" style="266"/>
    <col min="13830" max="13830" width="10.28515625" style="266" customWidth="1"/>
    <col min="13831" max="13833" width="9.140625" style="266"/>
    <col min="13834" max="13834" width="12" style="266" customWidth="1"/>
    <col min="13835" max="14080" width="9.140625" style="266"/>
    <col min="14081" max="14081" width="5.85546875" style="266" customWidth="1"/>
    <col min="14082" max="14082" width="35.42578125" style="266" customWidth="1"/>
    <col min="14083" max="14085" width="9.140625" style="266"/>
    <col min="14086" max="14086" width="10.28515625" style="266" customWidth="1"/>
    <col min="14087" max="14089" width="9.140625" style="266"/>
    <col min="14090" max="14090" width="12" style="266" customWidth="1"/>
    <col min="14091" max="14336" width="9.140625" style="266"/>
    <col min="14337" max="14337" width="5.85546875" style="266" customWidth="1"/>
    <col min="14338" max="14338" width="35.42578125" style="266" customWidth="1"/>
    <col min="14339" max="14341" width="9.140625" style="266"/>
    <col min="14342" max="14342" width="10.28515625" style="266" customWidth="1"/>
    <col min="14343" max="14345" width="9.140625" style="266"/>
    <col min="14346" max="14346" width="12" style="266" customWidth="1"/>
    <col min="14347" max="14592" width="9.140625" style="266"/>
    <col min="14593" max="14593" width="5.85546875" style="266" customWidth="1"/>
    <col min="14594" max="14594" width="35.42578125" style="266" customWidth="1"/>
    <col min="14595" max="14597" width="9.140625" style="266"/>
    <col min="14598" max="14598" width="10.28515625" style="266" customWidth="1"/>
    <col min="14599" max="14601" width="9.140625" style="266"/>
    <col min="14602" max="14602" width="12" style="266" customWidth="1"/>
    <col min="14603" max="14848" width="9.140625" style="266"/>
    <col min="14849" max="14849" width="5.85546875" style="266" customWidth="1"/>
    <col min="14850" max="14850" width="35.42578125" style="266" customWidth="1"/>
    <col min="14851" max="14853" width="9.140625" style="266"/>
    <col min="14854" max="14854" width="10.28515625" style="266" customWidth="1"/>
    <col min="14855" max="14857" width="9.140625" style="266"/>
    <col min="14858" max="14858" width="12" style="266" customWidth="1"/>
    <col min="14859" max="15104" width="9.140625" style="266"/>
    <col min="15105" max="15105" width="5.85546875" style="266" customWidth="1"/>
    <col min="15106" max="15106" width="35.42578125" style="266" customWidth="1"/>
    <col min="15107" max="15109" width="9.140625" style="266"/>
    <col min="15110" max="15110" width="10.28515625" style="266" customWidth="1"/>
    <col min="15111" max="15113" width="9.140625" style="266"/>
    <col min="15114" max="15114" width="12" style="266" customWidth="1"/>
    <col min="15115" max="15360" width="9.140625" style="266"/>
    <col min="15361" max="15361" width="5.85546875" style="266" customWidth="1"/>
    <col min="15362" max="15362" width="35.42578125" style="266" customWidth="1"/>
    <col min="15363" max="15365" width="9.140625" style="266"/>
    <col min="15366" max="15366" width="10.28515625" style="266" customWidth="1"/>
    <col min="15367" max="15369" width="9.140625" style="266"/>
    <col min="15370" max="15370" width="12" style="266" customWidth="1"/>
    <col min="15371" max="15616" width="9.140625" style="266"/>
    <col min="15617" max="15617" width="5.85546875" style="266" customWidth="1"/>
    <col min="15618" max="15618" width="35.42578125" style="266" customWidth="1"/>
    <col min="15619" max="15621" width="9.140625" style="266"/>
    <col min="15622" max="15622" width="10.28515625" style="266" customWidth="1"/>
    <col min="15623" max="15625" width="9.140625" style="266"/>
    <col min="15626" max="15626" width="12" style="266" customWidth="1"/>
    <col min="15627" max="15872" width="9.140625" style="266"/>
    <col min="15873" max="15873" width="5.85546875" style="266" customWidth="1"/>
    <col min="15874" max="15874" width="35.42578125" style="266" customWidth="1"/>
    <col min="15875" max="15877" width="9.140625" style="266"/>
    <col min="15878" max="15878" width="10.28515625" style="266" customWidth="1"/>
    <col min="15879" max="15881" width="9.140625" style="266"/>
    <col min="15882" max="15882" width="12" style="266" customWidth="1"/>
    <col min="15883" max="16128" width="9.140625" style="266"/>
    <col min="16129" max="16129" width="5.85546875" style="266" customWidth="1"/>
    <col min="16130" max="16130" width="35.42578125" style="266" customWidth="1"/>
    <col min="16131" max="16133" width="9.140625" style="266"/>
    <col min="16134" max="16134" width="10.28515625" style="266" customWidth="1"/>
    <col min="16135" max="16137" width="9.140625" style="266"/>
    <col min="16138" max="16138" width="12" style="266" customWidth="1"/>
    <col min="16139" max="16384" width="9.140625" style="266"/>
  </cols>
  <sheetData>
    <row r="1" spans="1:11" hidden="1"/>
    <row r="2" spans="1:11" hidden="1"/>
    <row r="3" spans="1:11" hidden="1"/>
    <row r="4" spans="1:11" ht="15.75" customHeight="1" thickBot="1">
      <c r="A4" s="265" t="s">
        <v>2350</v>
      </c>
      <c r="B4" s="1266"/>
      <c r="D4" s="6063"/>
      <c r="E4" s="6063"/>
    </row>
    <row r="5" spans="1:11">
      <c r="C5" s="267"/>
    </row>
    <row r="6" spans="1:11">
      <c r="A6" s="6067" t="s">
        <v>101</v>
      </c>
      <c r="B6" s="6064" t="s">
        <v>2351</v>
      </c>
      <c r="C6" s="816" t="s">
        <v>314</v>
      </c>
      <c r="D6" s="6070" t="s">
        <v>256</v>
      </c>
      <c r="E6" s="6071"/>
      <c r="F6" s="6071"/>
      <c r="G6" s="6071"/>
      <c r="H6" s="6071"/>
      <c r="I6" s="6071"/>
      <c r="J6" s="6072"/>
    </row>
    <row r="7" spans="1:11" ht="15.75" customHeight="1" thickBot="1">
      <c r="A7" s="6068"/>
      <c r="B7" s="6065"/>
      <c r="C7" s="1558"/>
      <c r="D7" s="6073" t="s">
        <v>2367</v>
      </c>
      <c r="E7" s="6073"/>
      <c r="F7" s="6070" t="s">
        <v>2368</v>
      </c>
      <c r="G7" s="6071"/>
      <c r="H7" s="6071"/>
      <c r="I7" s="6072"/>
      <c r="J7" s="268"/>
    </row>
    <row r="8" spans="1:11">
      <c r="A8" s="6068"/>
      <c r="B8" s="6065"/>
      <c r="C8" s="1829" t="s">
        <v>380</v>
      </c>
      <c r="D8" s="309" t="s">
        <v>94</v>
      </c>
      <c r="E8" s="308"/>
      <c r="F8" s="309"/>
      <c r="G8" s="314"/>
      <c r="H8" s="314"/>
      <c r="I8" s="315"/>
      <c r="J8" s="308" t="s">
        <v>2352</v>
      </c>
    </row>
    <row r="9" spans="1:11">
      <c r="A9" s="6068"/>
      <c r="B9" s="6065"/>
      <c r="C9" s="1559"/>
      <c r="D9" s="391" t="s">
        <v>261</v>
      </c>
      <c r="E9" s="414" t="s">
        <v>2353</v>
      </c>
      <c r="F9" s="414" t="s">
        <v>2354</v>
      </c>
      <c r="G9" s="308" t="s">
        <v>526</v>
      </c>
      <c r="H9" s="308" t="s">
        <v>526</v>
      </c>
      <c r="I9" s="308" t="s">
        <v>526</v>
      </c>
      <c r="J9" s="390" t="s">
        <v>2355</v>
      </c>
    </row>
    <row r="10" spans="1:11">
      <c r="A10" s="6069"/>
      <c r="B10" s="6066"/>
      <c r="C10" s="1588"/>
      <c r="D10" s="309" t="s">
        <v>94</v>
      </c>
      <c r="E10" s="308" t="s">
        <v>94</v>
      </c>
      <c r="F10" s="308" t="s">
        <v>263</v>
      </c>
      <c r="G10" s="319" t="s">
        <v>264</v>
      </c>
      <c r="H10" s="319" t="s">
        <v>265</v>
      </c>
      <c r="I10" s="315" t="s">
        <v>266</v>
      </c>
      <c r="J10" s="308" t="s">
        <v>259</v>
      </c>
    </row>
    <row r="11" spans="1:11">
      <c r="A11" s="42">
        <v>1</v>
      </c>
      <c r="B11" s="327" t="s">
        <v>2356</v>
      </c>
      <c r="C11" s="384">
        <v>0</v>
      </c>
      <c r="D11" s="327" t="s">
        <v>94</v>
      </c>
      <c r="E11" s="42"/>
      <c r="F11" s="42"/>
      <c r="G11" s="42">
        <v>0</v>
      </c>
      <c r="H11" s="42">
        <v>0</v>
      </c>
      <c r="I11" s="42">
        <v>0</v>
      </c>
      <c r="J11" s="42">
        <v>0</v>
      </c>
    </row>
    <row r="12" spans="1:11">
      <c r="A12" s="321">
        <v>2</v>
      </c>
      <c r="B12" s="266" t="s">
        <v>2357</v>
      </c>
      <c r="C12" s="321">
        <v>54.04</v>
      </c>
      <c r="E12" s="321"/>
      <c r="F12" s="321"/>
      <c r="G12" s="331">
        <v>55.93</v>
      </c>
      <c r="H12" s="321">
        <v>57.35</v>
      </c>
      <c r="I12" s="331">
        <v>59.2</v>
      </c>
      <c r="J12" s="321">
        <v>59.11</v>
      </c>
    </row>
    <row r="13" spans="1:11">
      <c r="A13" s="42">
        <v>3</v>
      </c>
      <c r="B13" s="327" t="s">
        <v>2358</v>
      </c>
      <c r="C13" s="44">
        <v>371.76</v>
      </c>
      <c r="D13" s="327"/>
      <c r="E13" s="42"/>
      <c r="F13" s="42"/>
      <c r="G13" s="44">
        <v>397.87</v>
      </c>
      <c r="H13" s="44">
        <v>216.42</v>
      </c>
      <c r="I13" s="44">
        <v>451.98</v>
      </c>
      <c r="J13" s="44">
        <v>732.14</v>
      </c>
      <c r="K13" s="388"/>
    </row>
    <row r="14" spans="1:11">
      <c r="A14" s="321">
        <v>4</v>
      </c>
      <c r="B14" s="266" t="s">
        <v>2359</v>
      </c>
      <c r="C14" s="321">
        <v>336.45</v>
      </c>
      <c r="E14" s="321"/>
      <c r="F14" s="321"/>
      <c r="G14" s="321">
        <v>337.83</v>
      </c>
      <c r="H14" s="321">
        <v>340.01</v>
      </c>
      <c r="I14" s="321">
        <v>343.02</v>
      </c>
      <c r="J14" s="321">
        <v>259.76</v>
      </c>
    </row>
    <row r="15" spans="1:11">
      <c r="A15" s="42">
        <v>5</v>
      </c>
      <c r="B15" s="327" t="s">
        <v>2360</v>
      </c>
      <c r="C15" s="42">
        <v>0</v>
      </c>
      <c r="D15" s="327"/>
      <c r="E15" s="42"/>
      <c r="F15" s="42"/>
      <c r="G15" s="42">
        <v>0</v>
      </c>
      <c r="H15" s="42">
        <v>0</v>
      </c>
      <c r="I15" s="42">
        <v>0</v>
      </c>
      <c r="J15" s="42">
        <v>0</v>
      </c>
    </row>
    <row r="16" spans="1:11">
      <c r="A16" s="321">
        <v>6</v>
      </c>
      <c r="B16" s="266" t="s">
        <v>2361</v>
      </c>
      <c r="C16" s="331">
        <v>88.29</v>
      </c>
      <c r="E16" s="321"/>
      <c r="F16" s="321"/>
      <c r="G16" s="331">
        <v>92.54</v>
      </c>
      <c r="H16" s="331">
        <v>90.31</v>
      </c>
      <c r="I16" s="331">
        <v>92.72</v>
      </c>
      <c r="J16" s="331">
        <v>92.51</v>
      </c>
    </row>
    <row r="17" spans="1:11">
      <c r="A17" s="42">
        <v>7</v>
      </c>
      <c r="B17" s="327" t="s">
        <v>2362</v>
      </c>
      <c r="C17" s="44">
        <v>305.83</v>
      </c>
      <c r="D17" s="327"/>
      <c r="E17" s="42"/>
      <c r="F17" s="42"/>
      <c r="G17" s="44">
        <v>5.84</v>
      </c>
      <c r="H17" s="44">
        <v>3.63</v>
      </c>
      <c r="I17" s="44">
        <v>3.67</v>
      </c>
      <c r="J17" s="44">
        <v>308.41000000000003</v>
      </c>
    </row>
    <row r="18" spans="1:11">
      <c r="A18" s="321">
        <v>8</v>
      </c>
      <c r="B18" s="334" t="s">
        <v>2363</v>
      </c>
      <c r="C18" s="331">
        <v>0</v>
      </c>
      <c r="D18" s="267"/>
      <c r="E18" s="321"/>
      <c r="F18" s="321"/>
      <c r="G18" s="331">
        <v>0</v>
      </c>
      <c r="H18" s="331">
        <v>0</v>
      </c>
      <c r="I18" s="331">
        <v>0</v>
      </c>
      <c r="J18" s="331">
        <v>0</v>
      </c>
    </row>
    <row r="19" spans="1:11">
      <c r="A19" s="321">
        <v>8</v>
      </c>
      <c r="B19" s="266" t="s">
        <v>2364</v>
      </c>
      <c r="C19" s="331">
        <v>0</v>
      </c>
      <c r="E19" s="321" t="s">
        <v>94</v>
      </c>
      <c r="F19" s="321"/>
      <c r="G19" s="331">
        <v>0</v>
      </c>
      <c r="H19" s="331">
        <v>0</v>
      </c>
      <c r="I19" s="331">
        <v>0</v>
      </c>
      <c r="J19" s="331">
        <v>0</v>
      </c>
    </row>
    <row r="20" spans="1:11">
      <c r="A20" s="42">
        <v>9</v>
      </c>
      <c r="B20" s="327" t="s">
        <v>2365</v>
      </c>
      <c r="C20" s="44">
        <v>119.63</v>
      </c>
      <c r="D20" s="327"/>
      <c r="E20" s="42"/>
      <c r="F20" s="42"/>
      <c r="G20" s="42">
        <v>142.15</v>
      </c>
      <c r="H20" s="42">
        <v>664.63</v>
      </c>
      <c r="I20" s="42">
        <v>400.69</v>
      </c>
      <c r="J20" s="44">
        <v>289.83999999999997</v>
      </c>
    </row>
    <row r="21" spans="1:11">
      <c r="A21" s="321"/>
      <c r="B21" s="266" t="s">
        <v>2366</v>
      </c>
      <c r="C21" s="331">
        <f>SUM(C11:C20)</f>
        <v>1276</v>
      </c>
      <c r="E21" s="321"/>
      <c r="F21" s="321"/>
      <c r="G21" s="331">
        <f>SUM(G11:G20)</f>
        <v>1032.1600000000001</v>
      </c>
      <c r="H21" s="331">
        <f>SUM(H11:H20)</f>
        <v>1372.35</v>
      </c>
      <c r="I21" s="331">
        <f>SUM(I11:I20)</f>
        <v>1351.28</v>
      </c>
      <c r="J21" s="331">
        <f>SUM(J11:J20)</f>
        <v>1741.77</v>
      </c>
      <c r="K21" s="388"/>
    </row>
    <row r="22" spans="1:11">
      <c r="A22" s="42"/>
      <c r="B22" s="327"/>
      <c r="C22" s="42"/>
      <c r="D22" s="327"/>
      <c r="E22" s="42"/>
      <c r="F22" s="42"/>
      <c r="G22" s="42"/>
      <c r="H22" s="42"/>
      <c r="I22" s="42"/>
      <c r="J22" s="42"/>
    </row>
    <row r="23" spans="1:11">
      <c r="A23" s="384"/>
      <c r="B23" s="266" t="s">
        <v>94</v>
      </c>
      <c r="C23" s="321" t="s">
        <v>94</v>
      </c>
      <c r="E23" s="321"/>
      <c r="F23" s="384"/>
      <c r="G23" s="321">
        <v>0</v>
      </c>
      <c r="H23" s="321">
        <v>0</v>
      </c>
      <c r="I23" s="321">
        <v>0</v>
      </c>
      <c r="J23" s="321">
        <v>0</v>
      </c>
    </row>
    <row r="24" spans="1:11">
      <c r="A24" s="42"/>
      <c r="B24" s="42" t="s">
        <v>94</v>
      </c>
      <c r="C24" s="42" t="s">
        <v>94</v>
      </c>
      <c r="D24" s="328"/>
      <c r="E24" s="42"/>
      <c r="F24" s="42"/>
      <c r="G24" s="42">
        <v>0</v>
      </c>
      <c r="H24" s="42">
        <v>0</v>
      </c>
      <c r="I24" s="42">
        <v>0</v>
      </c>
      <c r="J24" s="42">
        <v>0</v>
      </c>
    </row>
    <row r="26" spans="1:11">
      <c r="B26" s="332" t="s">
        <v>295</v>
      </c>
    </row>
    <row r="27" spans="1:11">
      <c r="B27" s="332" t="s">
        <v>296</v>
      </c>
    </row>
  </sheetData>
  <sheetProtection selectLockedCells="1" selectUnlockedCells="1"/>
  <mergeCells count="6">
    <mergeCell ref="D4:E4"/>
    <mergeCell ref="B6:B10"/>
    <mergeCell ref="A6:A10"/>
    <mergeCell ref="D6:J6"/>
    <mergeCell ref="D7:E7"/>
    <mergeCell ref="F7:I7"/>
  </mergeCells>
  <pageMargins left="0.51181102362204722" right="0.15748031496062992" top="0.98425196850393704" bottom="0.98425196850393704" header="0.51181102362204722" footer="0.51181102362204722"/>
  <pageSetup paperSize="9" scale="78" firstPageNumber="0" orientation="portrait" horizontalDpi="300" verticalDpi="300" r:id="rId1"/>
  <headerFooter alignWithMargins="0"/>
</worksheet>
</file>

<file path=xl/worksheets/sheet83.xml><?xml version="1.0" encoding="utf-8"?>
<worksheet xmlns="http://schemas.openxmlformats.org/spreadsheetml/2006/main" xmlns:r="http://schemas.openxmlformats.org/officeDocument/2006/relationships">
  <sheetPr codeName="Sheet62"/>
  <dimension ref="B1:H17"/>
  <sheetViews>
    <sheetView showGridLines="0" view="pageBreakPreview" zoomScale="60" workbookViewId="0">
      <selection activeCell="R22" sqref="R22"/>
    </sheetView>
  </sheetViews>
  <sheetFormatPr defaultRowHeight="15"/>
  <cols>
    <col min="2" max="2" width="15.28515625" customWidth="1"/>
    <col min="3" max="3" width="10.85546875" bestFit="1" customWidth="1"/>
    <col min="4" max="6" width="9.28515625" bestFit="1" customWidth="1"/>
    <col min="7" max="7" width="9.42578125" bestFit="1" customWidth="1"/>
    <col min="8" max="8" width="10.85546875" bestFit="1" customWidth="1"/>
  </cols>
  <sheetData>
    <row r="1" spans="2:8">
      <c r="B1" t="s">
        <v>2294</v>
      </c>
      <c r="H1" t="s">
        <v>2295</v>
      </c>
    </row>
    <row r="2" spans="2:8" ht="63">
      <c r="B2" s="1855" t="s">
        <v>2296</v>
      </c>
      <c r="C2" s="1855" t="s">
        <v>2139</v>
      </c>
      <c r="D2" s="1855" t="s">
        <v>2304</v>
      </c>
      <c r="E2" s="1855" t="s">
        <v>2298</v>
      </c>
      <c r="F2" s="1855" t="s">
        <v>2299</v>
      </c>
      <c r="G2" s="1855" t="s">
        <v>2239</v>
      </c>
      <c r="H2" s="1855" t="s">
        <v>155</v>
      </c>
    </row>
    <row r="3" spans="2:8" ht="15.75">
      <c r="B3" s="1856" t="s">
        <v>2300</v>
      </c>
      <c r="C3" s="1488">
        <v>46</v>
      </c>
      <c r="D3" s="1856">
        <v>13.5</v>
      </c>
      <c r="E3" s="1488">
        <v>0</v>
      </c>
      <c r="F3" s="1488">
        <v>5.75</v>
      </c>
      <c r="G3" s="1488">
        <v>2.83</v>
      </c>
      <c r="H3" s="1488">
        <v>40.25</v>
      </c>
    </row>
    <row r="4" spans="2:8" ht="15.75">
      <c r="B4" s="1856" t="s">
        <v>2301</v>
      </c>
      <c r="C4" s="1488">
        <v>225</v>
      </c>
      <c r="D4" s="1856">
        <v>13</v>
      </c>
      <c r="E4" s="1488">
        <v>0</v>
      </c>
      <c r="F4" s="1488">
        <v>0</v>
      </c>
      <c r="G4" s="1488">
        <v>4.45</v>
      </c>
      <c r="H4" s="1488">
        <v>225</v>
      </c>
    </row>
    <row r="5" spans="2:8" ht="15.75">
      <c r="B5" s="1856" t="s">
        <v>2302</v>
      </c>
      <c r="C5" s="1488">
        <v>0</v>
      </c>
      <c r="D5" s="1856">
        <v>10</v>
      </c>
      <c r="E5" s="1488">
        <v>800</v>
      </c>
      <c r="F5" s="1488">
        <v>0</v>
      </c>
      <c r="G5" s="1488">
        <v>29.19</v>
      </c>
      <c r="H5" s="1488">
        <v>800</v>
      </c>
    </row>
    <row r="6" spans="2:8" ht="15.75">
      <c r="B6" s="902" t="s">
        <v>47</v>
      </c>
      <c r="C6" s="902">
        <v>271</v>
      </c>
      <c r="D6" s="1857"/>
      <c r="E6" s="902">
        <v>800</v>
      </c>
      <c r="F6" s="902">
        <v>5.75</v>
      </c>
      <c r="G6" s="902">
        <v>36.47</v>
      </c>
      <c r="H6" s="902">
        <v>1065.25</v>
      </c>
    </row>
    <row r="9" spans="2:8" ht="33">
      <c r="B9" t="s">
        <v>2303</v>
      </c>
      <c r="H9" s="1034" t="s">
        <v>2295</v>
      </c>
    </row>
    <row r="11" spans="2:8" ht="63">
      <c r="B11" s="1855" t="s">
        <v>2296</v>
      </c>
      <c r="C11" s="1855" t="s">
        <v>2139</v>
      </c>
      <c r="D11" s="1855" t="s">
        <v>2304</v>
      </c>
      <c r="E11" s="1855" t="s">
        <v>2298</v>
      </c>
      <c r="F11" s="1855" t="s">
        <v>2299</v>
      </c>
      <c r="G11" s="1855" t="s">
        <v>2239</v>
      </c>
      <c r="H11" s="1855" t="s">
        <v>155</v>
      </c>
    </row>
    <row r="12" spans="2:8" ht="15.75">
      <c r="B12" s="1856" t="s">
        <v>2300</v>
      </c>
      <c r="C12" s="1488">
        <v>40.25</v>
      </c>
      <c r="D12" s="1507">
        <v>13.5</v>
      </c>
      <c r="E12" s="1488">
        <v>0</v>
      </c>
      <c r="F12" s="1488">
        <v>5.75</v>
      </c>
      <c r="G12" s="1488">
        <v>2.39</v>
      </c>
      <c r="H12" s="1488">
        <v>34.5</v>
      </c>
    </row>
    <row r="13" spans="2:8" ht="15.75">
      <c r="B13" s="1856" t="s">
        <v>2301</v>
      </c>
      <c r="C13" s="1488">
        <v>225</v>
      </c>
      <c r="D13" s="1507">
        <v>13</v>
      </c>
      <c r="E13" s="1488">
        <v>0</v>
      </c>
      <c r="F13" s="1488">
        <v>0</v>
      </c>
      <c r="G13" s="1488">
        <v>7.52</v>
      </c>
      <c r="H13" s="1488">
        <v>225</v>
      </c>
    </row>
    <row r="14" spans="2:8" ht="38.25" customHeight="1">
      <c r="B14" s="1856" t="s">
        <v>2302</v>
      </c>
      <c r="C14" s="1488">
        <v>800</v>
      </c>
      <c r="D14" s="1507">
        <v>10</v>
      </c>
      <c r="E14" s="1488">
        <v>800</v>
      </c>
      <c r="F14" s="1488">
        <v>0</v>
      </c>
      <c r="G14" s="1488">
        <v>86.04</v>
      </c>
      <c r="H14" s="1488">
        <v>1600</v>
      </c>
    </row>
    <row r="15" spans="2:8" ht="15.75">
      <c r="B15" s="902" t="s">
        <v>2305</v>
      </c>
      <c r="C15" s="902">
        <v>1065.25</v>
      </c>
      <c r="D15" s="1650"/>
      <c r="E15" s="1488">
        <v>800</v>
      </c>
      <c r="F15" s="902">
        <v>5.75</v>
      </c>
      <c r="G15" s="1650">
        <v>95.95</v>
      </c>
      <c r="H15" s="902">
        <v>1859.5</v>
      </c>
    </row>
    <row r="16" spans="2:8" ht="38.25" customHeight="1">
      <c r="B16" s="902" t="s">
        <v>2306</v>
      </c>
      <c r="C16" s="902"/>
      <c r="D16" s="1650"/>
      <c r="E16" s="902"/>
      <c r="F16" s="902"/>
      <c r="G16" s="902">
        <v>132.41999999999999</v>
      </c>
      <c r="H16" s="902"/>
    </row>
    <row r="17" spans="2:8" ht="51.75" customHeight="1">
      <c r="B17" s="902" t="s">
        <v>2154</v>
      </c>
      <c r="C17" s="902"/>
      <c r="D17" s="1650"/>
      <c r="E17" s="902"/>
      <c r="F17" s="902"/>
      <c r="G17" s="902">
        <v>31.02</v>
      </c>
      <c r="H17" s="902"/>
    </row>
  </sheetData>
  <pageMargins left="0.7" right="0.7" top="0.75" bottom="0.75" header="0.3" footer="0.3"/>
  <pageSetup paperSize="9" scale="94" orientation="portrait" r:id="rId1"/>
</worksheet>
</file>

<file path=xl/worksheets/sheet84.xml><?xml version="1.0" encoding="utf-8"?>
<worksheet xmlns="http://schemas.openxmlformats.org/spreadsheetml/2006/main" xmlns:r="http://schemas.openxmlformats.org/officeDocument/2006/relationships">
  <sheetPr codeName="Sheet63"/>
  <dimension ref="C2:I20"/>
  <sheetViews>
    <sheetView showGridLines="0" view="pageBreakPreview" zoomScale="60" workbookViewId="0">
      <selection activeCell="H19" sqref="H19"/>
    </sheetView>
  </sheetViews>
  <sheetFormatPr defaultRowHeight="15"/>
  <cols>
    <col min="3" max="3" width="16.42578125" customWidth="1"/>
    <col min="4" max="4" width="14.42578125" customWidth="1"/>
    <col min="5" max="5" width="15.28515625" customWidth="1"/>
    <col min="6" max="6" width="16.7109375" customWidth="1"/>
    <col min="7" max="7" width="17.140625" customWidth="1"/>
    <col min="8" max="8" width="13.28515625" customWidth="1"/>
    <col min="9" max="9" width="15" customWidth="1"/>
  </cols>
  <sheetData>
    <row r="2" spans="3:9">
      <c r="C2" s="176" t="s">
        <v>2348</v>
      </c>
      <c r="D2" s="1655"/>
      <c r="E2" s="1656"/>
      <c r="I2" t="s">
        <v>2295</v>
      </c>
    </row>
    <row r="3" spans="3:9" ht="9.75" customHeight="1"/>
    <row r="4" spans="3:9" ht="43.5" customHeight="1">
      <c r="C4" s="1858" t="s">
        <v>2296</v>
      </c>
      <c r="D4" s="1858" t="s">
        <v>2139</v>
      </c>
      <c r="E4" s="1859" t="s">
        <v>2297</v>
      </c>
      <c r="F4" s="1858" t="s">
        <v>2298</v>
      </c>
      <c r="G4" s="1858" t="s">
        <v>2299</v>
      </c>
      <c r="H4" s="1858" t="s">
        <v>2239</v>
      </c>
      <c r="I4" s="1858" t="s">
        <v>155</v>
      </c>
    </row>
    <row r="5" spans="3:9" ht="16.5">
      <c r="C5" s="1860" t="s">
        <v>2300</v>
      </c>
      <c r="D5" s="1720">
        <v>57.5</v>
      </c>
      <c r="E5" s="1720">
        <v>13.5</v>
      </c>
      <c r="F5" s="1720">
        <v>0</v>
      </c>
      <c r="G5" s="1720">
        <v>5.75</v>
      </c>
      <c r="H5" s="1720">
        <v>3.67</v>
      </c>
      <c r="I5" s="1720">
        <v>51.75</v>
      </c>
    </row>
    <row r="6" spans="3:9" ht="16.5">
      <c r="C6" s="1860" t="s">
        <v>2301</v>
      </c>
      <c r="D6" s="1720">
        <v>225</v>
      </c>
      <c r="E6" s="1720">
        <v>13</v>
      </c>
      <c r="F6" s="1720">
        <v>0</v>
      </c>
      <c r="G6" s="1720">
        <v>0</v>
      </c>
      <c r="H6" s="1720">
        <v>7.23</v>
      </c>
      <c r="I6" s="1720">
        <v>225</v>
      </c>
    </row>
    <row r="7" spans="3:9" ht="16.5">
      <c r="C7" s="1860" t="s">
        <v>2309</v>
      </c>
      <c r="D7" s="1720">
        <v>58.25</v>
      </c>
      <c r="E7" s="1720">
        <v>10.75</v>
      </c>
      <c r="F7" s="1720">
        <v>0</v>
      </c>
      <c r="G7" s="1720">
        <v>50</v>
      </c>
      <c r="H7" s="1720">
        <v>1.69</v>
      </c>
      <c r="I7" s="1720">
        <v>8.75</v>
      </c>
    </row>
    <row r="8" spans="3:9" ht="33">
      <c r="C8" s="1860" t="s">
        <v>2310</v>
      </c>
      <c r="D8" s="1720">
        <v>149.9</v>
      </c>
      <c r="E8" s="1720">
        <v>10.75</v>
      </c>
      <c r="F8" s="1720">
        <v>0</v>
      </c>
      <c r="G8" s="1720">
        <v>100.2</v>
      </c>
      <c r="H8" s="1720">
        <v>5.0999999999999996</v>
      </c>
      <c r="I8" s="1720">
        <v>49.7</v>
      </c>
    </row>
    <row r="9" spans="3:9">
      <c r="C9" s="1861" t="s">
        <v>47</v>
      </c>
      <c r="D9" s="1862">
        <v>491.15</v>
      </c>
      <c r="E9" s="1862"/>
      <c r="F9" s="1862">
        <v>0</v>
      </c>
      <c r="G9" s="1862">
        <v>155.94999999999999</v>
      </c>
      <c r="H9" s="1862">
        <v>17.690000000000001</v>
      </c>
      <c r="I9" s="1862">
        <v>335.2</v>
      </c>
    </row>
    <row r="11" spans="3:9">
      <c r="C11" s="176" t="s">
        <v>2349</v>
      </c>
      <c r="D11" s="1655"/>
      <c r="E11" s="1656"/>
      <c r="I11" t="s">
        <v>2295</v>
      </c>
    </row>
    <row r="13" spans="3:9" ht="49.5">
      <c r="C13" s="1858" t="s">
        <v>2296</v>
      </c>
      <c r="D13" s="1858" t="s">
        <v>2139</v>
      </c>
      <c r="E13" s="1858" t="s">
        <v>2304</v>
      </c>
      <c r="F13" s="1858" t="s">
        <v>2298</v>
      </c>
      <c r="G13" s="1858" t="s">
        <v>2299</v>
      </c>
      <c r="H13" s="1858" t="s">
        <v>2239</v>
      </c>
      <c r="I13" s="1858" t="s">
        <v>155</v>
      </c>
    </row>
    <row r="14" spans="3:9" ht="16.5">
      <c r="C14" s="1860" t="s">
        <v>2300</v>
      </c>
      <c r="D14" s="1720">
        <v>51.75</v>
      </c>
      <c r="E14" s="1720">
        <v>13.5</v>
      </c>
      <c r="F14" s="1720">
        <v>0</v>
      </c>
      <c r="G14" s="1720">
        <v>5.75</v>
      </c>
      <c r="H14" s="1720">
        <v>3.23</v>
      </c>
      <c r="I14" s="1720">
        <v>46</v>
      </c>
    </row>
    <row r="15" spans="3:9" ht="16.5">
      <c r="C15" s="1860" t="s">
        <v>2301</v>
      </c>
      <c r="D15" s="1720">
        <v>225</v>
      </c>
      <c r="E15" s="1720">
        <v>13</v>
      </c>
      <c r="F15" s="1720">
        <v>0</v>
      </c>
      <c r="G15" s="1720">
        <v>0</v>
      </c>
      <c r="H15" s="1720">
        <v>1.44</v>
      </c>
      <c r="I15" s="1720">
        <v>225</v>
      </c>
    </row>
    <row r="16" spans="3:9" ht="33">
      <c r="C16" s="1860" t="s">
        <v>2311</v>
      </c>
      <c r="D16" s="1720">
        <v>8.75</v>
      </c>
      <c r="E16" s="1720">
        <v>10.75</v>
      </c>
      <c r="F16" s="1720">
        <v>0</v>
      </c>
      <c r="G16" s="1720">
        <v>8.75</v>
      </c>
      <c r="H16" s="1720">
        <v>0.74</v>
      </c>
      <c r="I16" s="1720">
        <v>0</v>
      </c>
    </row>
    <row r="17" spans="3:9" ht="33">
      <c r="C17" s="1860" t="s">
        <v>2312</v>
      </c>
      <c r="D17" s="1720">
        <v>49.7</v>
      </c>
      <c r="E17" s="1720">
        <v>10.75</v>
      </c>
      <c r="F17" s="1720">
        <v>0</v>
      </c>
      <c r="G17" s="1720">
        <v>49.7</v>
      </c>
      <c r="H17" s="1720">
        <v>1.05</v>
      </c>
      <c r="I17" s="1720">
        <v>0</v>
      </c>
    </row>
    <row r="18" spans="3:9" ht="16.5">
      <c r="C18" s="1861" t="s">
        <v>2305</v>
      </c>
      <c r="D18" s="1862">
        <v>335.2</v>
      </c>
      <c r="E18" s="1862"/>
      <c r="F18" s="1720">
        <v>0</v>
      </c>
      <c r="G18" s="1862">
        <v>64.2</v>
      </c>
      <c r="H18" s="1862">
        <v>6.46</v>
      </c>
      <c r="I18" s="1862">
        <v>271</v>
      </c>
    </row>
    <row r="19" spans="3:9" ht="30">
      <c r="C19" s="1861" t="s">
        <v>2306</v>
      </c>
      <c r="D19" s="1862"/>
      <c r="E19" s="1862"/>
      <c r="F19" s="1862"/>
      <c r="G19" s="1862"/>
      <c r="H19" s="1862">
        <v>24.15</v>
      </c>
      <c r="I19" s="1862"/>
    </row>
    <row r="20" spans="3:9" ht="45">
      <c r="C20" s="1861" t="s">
        <v>2154</v>
      </c>
      <c r="D20" s="1862"/>
      <c r="E20" s="1862"/>
      <c r="F20" s="1862"/>
      <c r="G20" s="1862"/>
      <c r="H20" s="1862">
        <v>29.44</v>
      </c>
      <c r="I20" s="1862"/>
    </row>
  </sheetData>
  <pageMargins left="0.7" right="0.7" top="0.75" bottom="0.75" header="0.3" footer="0.3"/>
  <pageSetup paperSize="9" scale="60" orientation="portrait" r:id="rId1"/>
</worksheet>
</file>

<file path=xl/worksheets/sheet85.xml><?xml version="1.0" encoding="utf-8"?>
<worksheet xmlns="http://schemas.openxmlformats.org/spreadsheetml/2006/main" xmlns:r="http://schemas.openxmlformats.org/officeDocument/2006/relationships">
  <sheetPr codeName="Sheet64">
    <tabColor theme="9" tint="-0.249977111117893"/>
  </sheetPr>
  <dimension ref="B1:F25"/>
  <sheetViews>
    <sheetView showGridLines="0" view="pageBreakPreview" zoomScale="60" workbookViewId="0">
      <selection activeCell="E8" sqref="E8:E9"/>
    </sheetView>
  </sheetViews>
  <sheetFormatPr defaultRowHeight="15"/>
  <cols>
    <col min="3" max="3" width="55.7109375" customWidth="1"/>
    <col min="4" max="4" width="30" customWidth="1"/>
    <col min="5" max="5" width="22.7109375" customWidth="1"/>
  </cols>
  <sheetData>
    <row r="1" spans="2:6">
      <c r="B1" s="247" t="s">
        <v>1868</v>
      </c>
    </row>
    <row r="3" spans="2:6" ht="15.75">
      <c r="B3" s="6074" t="s">
        <v>1869</v>
      </c>
      <c r="C3" s="6074" t="s">
        <v>1870</v>
      </c>
      <c r="D3" s="808" t="s">
        <v>98</v>
      </c>
    </row>
    <row r="4" spans="2:6" ht="15.75">
      <c r="B4" s="6074"/>
      <c r="C4" s="6074"/>
      <c r="D4" s="808" t="s">
        <v>1871</v>
      </c>
    </row>
    <row r="5" spans="2:6" ht="61.5" customHeight="1">
      <c r="B5" s="482">
        <v>1</v>
      </c>
      <c r="C5" s="482" t="s">
        <v>1872</v>
      </c>
      <c r="D5" s="1486">
        <v>38.53</v>
      </c>
    </row>
    <row r="6" spans="2:6" ht="59.25" customHeight="1">
      <c r="B6" s="482">
        <v>2</v>
      </c>
      <c r="C6" s="482" t="s">
        <v>1873</v>
      </c>
      <c r="D6" s="1486">
        <v>2.29</v>
      </c>
    </row>
    <row r="7" spans="2:6" ht="77.25" customHeight="1">
      <c r="B7" s="482">
        <v>3</v>
      </c>
      <c r="C7" s="482" t="s">
        <v>1874</v>
      </c>
      <c r="D7" s="1486">
        <v>646.70000000000005</v>
      </c>
    </row>
    <row r="8" spans="2:6" ht="15.75">
      <c r="B8" s="482" t="s">
        <v>1875</v>
      </c>
      <c r="C8" s="482"/>
      <c r="D8" s="1486"/>
    </row>
    <row r="9" spans="2:6" ht="39.75" customHeight="1">
      <c r="B9" s="1659">
        <v>4</v>
      </c>
      <c r="C9" s="1659" t="s">
        <v>696</v>
      </c>
      <c r="D9" s="1486"/>
    </row>
    <row r="10" spans="2:6" ht="37.5" customHeight="1">
      <c r="B10" s="482">
        <v>5</v>
      </c>
      <c r="C10" s="482" t="s">
        <v>1876</v>
      </c>
      <c r="D10" s="1486">
        <v>252.52</v>
      </c>
    </row>
    <row r="11" spans="2:6" ht="58.5" customHeight="1">
      <c r="B11" s="482">
        <v>6</v>
      </c>
      <c r="C11" s="482" t="s">
        <v>1877</v>
      </c>
      <c r="D11" s="1486"/>
    </row>
    <row r="12" spans="2:6" ht="80.25" customHeight="1">
      <c r="B12" s="482">
        <v>7</v>
      </c>
      <c r="C12" s="482" t="s">
        <v>1878</v>
      </c>
      <c r="D12" s="1486">
        <v>244.29</v>
      </c>
    </row>
    <row r="13" spans="2:6" ht="55.5" customHeight="1">
      <c r="B13" s="1659">
        <v>8</v>
      </c>
      <c r="C13" s="1659" t="s">
        <v>1879</v>
      </c>
      <c r="D13" s="1486">
        <v>139.88999999999999</v>
      </c>
      <c r="F13" s="1660"/>
    </row>
    <row r="14" spans="2:6" ht="15.75">
      <c r="B14" s="482">
        <v>9</v>
      </c>
      <c r="C14" s="482" t="s">
        <v>1880</v>
      </c>
      <c r="D14" s="1486">
        <v>12.75</v>
      </c>
    </row>
    <row r="15" spans="2:6" ht="32.25" customHeight="1">
      <c r="B15" s="482">
        <v>10</v>
      </c>
      <c r="C15" s="482" t="s">
        <v>1881</v>
      </c>
      <c r="D15" s="1486">
        <v>19.11</v>
      </c>
    </row>
    <row r="19" spans="2:6">
      <c r="B19" s="6076" t="s">
        <v>101</v>
      </c>
      <c r="C19" s="6075" t="s">
        <v>81</v>
      </c>
      <c r="D19" s="6075" t="s">
        <v>1883</v>
      </c>
      <c r="E19" s="6075"/>
      <c r="F19" s="6075"/>
    </row>
    <row r="20" spans="2:6" ht="30">
      <c r="B20" s="6076"/>
      <c r="C20" s="6075"/>
      <c r="D20" s="1715" t="s">
        <v>1884</v>
      </c>
      <c r="E20" s="1715" t="s">
        <v>1885</v>
      </c>
      <c r="F20" s="1715" t="s">
        <v>1886</v>
      </c>
    </row>
    <row r="21" spans="2:6">
      <c r="B21" s="3441">
        <v>1</v>
      </c>
      <c r="C21" s="3465" t="s">
        <v>2853</v>
      </c>
      <c r="D21" s="3440">
        <v>245.08</v>
      </c>
      <c r="E21" s="3440">
        <v>245.08</v>
      </c>
      <c r="F21" s="3440">
        <v>252.52</v>
      </c>
    </row>
    <row r="22" spans="2:6">
      <c r="B22" s="3441">
        <f>B21+1</f>
        <v>2</v>
      </c>
      <c r="C22" s="3465" t="s">
        <v>1888</v>
      </c>
      <c r="D22" s="3466">
        <v>0.09</v>
      </c>
      <c r="E22" s="3466">
        <v>0.09</v>
      </c>
      <c r="F22" s="3466">
        <v>0.09</v>
      </c>
    </row>
    <row r="23" spans="2:6">
      <c r="B23" s="3441">
        <f>B22+1</f>
        <v>3</v>
      </c>
      <c r="C23" s="3465" t="s">
        <v>2854</v>
      </c>
      <c r="D23" s="3440">
        <v>22.06</v>
      </c>
      <c r="E23" s="3440">
        <v>22.06</v>
      </c>
      <c r="F23" s="3440">
        <v>22.5</v>
      </c>
    </row>
    <row r="24" spans="2:6" ht="30">
      <c r="B24" s="3441">
        <f>B23+1</f>
        <v>4</v>
      </c>
      <c r="C24" s="3465" t="s">
        <v>1890</v>
      </c>
      <c r="D24" s="3440">
        <v>0</v>
      </c>
      <c r="E24" s="3440">
        <v>0</v>
      </c>
      <c r="F24" s="3440">
        <v>0.23</v>
      </c>
    </row>
    <row r="25" spans="2:6">
      <c r="B25" s="3441">
        <f>B24+1</f>
        <v>5</v>
      </c>
      <c r="C25" s="3465" t="s">
        <v>1891</v>
      </c>
      <c r="D25" s="3440">
        <v>22.06</v>
      </c>
      <c r="E25" s="3440">
        <v>22.06</v>
      </c>
      <c r="F25" s="3440">
        <v>22.73</v>
      </c>
    </row>
  </sheetData>
  <mergeCells count="5">
    <mergeCell ref="B3:B4"/>
    <mergeCell ref="C3:C4"/>
    <mergeCell ref="C19:C20"/>
    <mergeCell ref="D19:F19"/>
    <mergeCell ref="B19:B20"/>
  </mergeCells>
  <pageMargins left="0.7" right="0.7" top="0.75" bottom="0.75" header="0.3" footer="0.3"/>
  <pageSetup scale="55" orientation="portrait" r:id="rId1"/>
</worksheet>
</file>

<file path=xl/worksheets/sheet86.xml><?xml version="1.0" encoding="utf-8"?>
<worksheet xmlns="http://schemas.openxmlformats.org/spreadsheetml/2006/main" xmlns:r="http://schemas.openxmlformats.org/officeDocument/2006/relationships">
  <sheetPr transitionEvaluation="1" codeName="Sheet65">
    <tabColor theme="9" tint="-0.249977111117893"/>
  </sheetPr>
  <dimension ref="A2:Q209"/>
  <sheetViews>
    <sheetView showGridLines="0" view="pageBreakPreview" topLeftCell="B68" zoomScale="60" zoomScaleNormal="70" workbookViewId="0">
      <selection activeCell="E8" sqref="E8:E9"/>
    </sheetView>
  </sheetViews>
  <sheetFormatPr defaultColWidth="11" defaultRowHeight="26.25" customHeight="1"/>
  <cols>
    <col min="1" max="1" width="3.7109375" style="616" customWidth="1"/>
    <col min="2" max="2" width="24.140625" style="616" customWidth="1"/>
    <col min="3" max="3" width="5.28515625" style="616" customWidth="1"/>
    <col min="4" max="4" width="62.5703125" style="616" customWidth="1"/>
    <col min="5" max="5" width="6.5703125" style="616" customWidth="1"/>
    <col min="6" max="6" width="5.85546875" style="616" customWidth="1"/>
    <col min="7" max="7" width="22.140625" style="616" customWidth="1"/>
    <col min="8" max="8" width="23.140625" style="616" customWidth="1"/>
    <col min="9" max="9" width="22.85546875" style="616" customWidth="1"/>
    <col min="10" max="10" width="5.28515625" style="616" customWidth="1"/>
    <col min="11" max="11" width="73.140625" style="616" customWidth="1"/>
    <col min="12" max="12" width="27.5703125" style="616" customWidth="1"/>
    <col min="13" max="13" width="24.5703125" style="616" customWidth="1"/>
    <col min="14" max="14" width="4" style="616" customWidth="1"/>
    <col min="15" max="15" width="10.140625" style="616" customWidth="1"/>
    <col min="16" max="256" width="11" style="616"/>
    <col min="257" max="257" width="3.7109375" style="616" customWidth="1"/>
    <col min="258" max="258" width="24.140625" style="616" customWidth="1"/>
    <col min="259" max="259" width="5.28515625" style="616" customWidth="1"/>
    <col min="260" max="260" width="62.5703125" style="616" customWidth="1"/>
    <col min="261" max="261" width="6.5703125" style="616" customWidth="1"/>
    <col min="262" max="262" width="5.85546875" style="616" customWidth="1"/>
    <col min="263" max="263" width="22.140625" style="616" customWidth="1"/>
    <col min="264" max="264" width="23.140625" style="616" customWidth="1"/>
    <col min="265" max="265" width="22.85546875" style="616" customWidth="1"/>
    <col min="266" max="266" width="5.28515625" style="616" customWidth="1"/>
    <col min="267" max="267" width="73.140625" style="616" customWidth="1"/>
    <col min="268" max="268" width="27.5703125" style="616" customWidth="1"/>
    <col min="269" max="269" width="24.5703125" style="616" customWidth="1"/>
    <col min="270" max="270" width="4" style="616" customWidth="1"/>
    <col min="271" max="271" width="10.140625" style="616" customWidth="1"/>
    <col min="272" max="512" width="11" style="616"/>
    <col min="513" max="513" width="3.7109375" style="616" customWidth="1"/>
    <col min="514" max="514" width="24.140625" style="616" customWidth="1"/>
    <col min="515" max="515" width="5.28515625" style="616" customWidth="1"/>
    <col min="516" max="516" width="62.5703125" style="616" customWidth="1"/>
    <col min="517" max="517" width="6.5703125" style="616" customWidth="1"/>
    <col min="518" max="518" width="5.85546875" style="616" customWidth="1"/>
    <col min="519" max="519" width="22.140625" style="616" customWidth="1"/>
    <col min="520" max="520" width="23.140625" style="616" customWidth="1"/>
    <col min="521" max="521" width="22.85546875" style="616" customWidth="1"/>
    <col min="522" max="522" width="5.28515625" style="616" customWidth="1"/>
    <col min="523" max="523" width="73.140625" style="616" customWidth="1"/>
    <col min="524" max="524" width="27.5703125" style="616" customWidth="1"/>
    <col min="525" max="525" width="24.5703125" style="616" customWidth="1"/>
    <col min="526" max="526" width="4" style="616" customWidth="1"/>
    <col min="527" max="527" width="10.140625" style="616" customWidth="1"/>
    <col min="528" max="768" width="11" style="616"/>
    <col min="769" max="769" width="3.7109375" style="616" customWidth="1"/>
    <col min="770" max="770" width="24.140625" style="616" customWidth="1"/>
    <col min="771" max="771" width="5.28515625" style="616" customWidth="1"/>
    <col min="772" max="772" width="62.5703125" style="616" customWidth="1"/>
    <col min="773" max="773" width="6.5703125" style="616" customWidth="1"/>
    <col min="774" max="774" width="5.85546875" style="616" customWidth="1"/>
    <col min="775" max="775" width="22.140625" style="616" customWidth="1"/>
    <col min="776" max="776" width="23.140625" style="616" customWidth="1"/>
    <col min="777" max="777" width="22.85546875" style="616" customWidth="1"/>
    <col min="778" max="778" width="5.28515625" style="616" customWidth="1"/>
    <col min="779" max="779" width="73.140625" style="616" customWidth="1"/>
    <col min="780" max="780" width="27.5703125" style="616" customWidth="1"/>
    <col min="781" max="781" width="24.5703125" style="616" customWidth="1"/>
    <col min="782" max="782" width="4" style="616" customWidth="1"/>
    <col min="783" max="783" width="10.140625" style="616" customWidth="1"/>
    <col min="784" max="1024" width="11" style="616"/>
    <col min="1025" max="1025" width="3.7109375" style="616" customWidth="1"/>
    <col min="1026" max="1026" width="24.140625" style="616" customWidth="1"/>
    <col min="1027" max="1027" width="5.28515625" style="616" customWidth="1"/>
    <col min="1028" max="1028" width="62.5703125" style="616" customWidth="1"/>
    <col min="1029" max="1029" width="6.5703125" style="616" customWidth="1"/>
    <col min="1030" max="1030" width="5.85546875" style="616" customWidth="1"/>
    <col min="1031" max="1031" width="22.140625" style="616" customWidth="1"/>
    <col min="1032" max="1032" width="23.140625" style="616" customWidth="1"/>
    <col min="1033" max="1033" width="22.85546875" style="616" customWidth="1"/>
    <col min="1034" max="1034" width="5.28515625" style="616" customWidth="1"/>
    <col min="1035" max="1035" width="73.140625" style="616" customWidth="1"/>
    <col min="1036" max="1036" width="27.5703125" style="616" customWidth="1"/>
    <col min="1037" max="1037" width="24.5703125" style="616" customWidth="1"/>
    <col min="1038" max="1038" width="4" style="616" customWidth="1"/>
    <col min="1039" max="1039" width="10.140625" style="616" customWidth="1"/>
    <col min="1040" max="1280" width="11" style="616"/>
    <col min="1281" max="1281" width="3.7109375" style="616" customWidth="1"/>
    <col min="1282" max="1282" width="24.140625" style="616" customWidth="1"/>
    <col min="1283" max="1283" width="5.28515625" style="616" customWidth="1"/>
    <col min="1284" max="1284" width="62.5703125" style="616" customWidth="1"/>
    <col min="1285" max="1285" width="6.5703125" style="616" customWidth="1"/>
    <col min="1286" max="1286" width="5.85546875" style="616" customWidth="1"/>
    <col min="1287" max="1287" width="22.140625" style="616" customWidth="1"/>
    <col min="1288" max="1288" width="23.140625" style="616" customWidth="1"/>
    <col min="1289" max="1289" width="22.85546875" style="616" customWidth="1"/>
    <col min="1290" max="1290" width="5.28515625" style="616" customWidth="1"/>
    <col min="1291" max="1291" width="73.140625" style="616" customWidth="1"/>
    <col min="1292" max="1292" width="27.5703125" style="616" customWidth="1"/>
    <col min="1293" max="1293" width="24.5703125" style="616" customWidth="1"/>
    <col min="1294" max="1294" width="4" style="616" customWidth="1"/>
    <col min="1295" max="1295" width="10.140625" style="616" customWidth="1"/>
    <col min="1296" max="1536" width="11" style="616"/>
    <col min="1537" max="1537" width="3.7109375" style="616" customWidth="1"/>
    <col min="1538" max="1538" width="24.140625" style="616" customWidth="1"/>
    <col min="1539" max="1539" width="5.28515625" style="616" customWidth="1"/>
    <col min="1540" max="1540" width="62.5703125" style="616" customWidth="1"/>
    <col min="1541" max="1541" width="6.5703125" style="616" customWidth="1"/>
    <col min="1542" max="1542" width="5.85546875" style="616" customWidth="1"/>
    <col min="1543" max="1543" width="22.140625" style="616" customWidth="1"/>
    <col min="1544" max="1544" width="23.140625" style="616" customWidth="1"/>
    <col min="1545" max="1545" width="22.85546875" style="616" customWidth="1"/>
    <col min="1546" max="1546" width="5.28515625" style="616" customWidth="1"/>
    <col min="1547" max="1547" width="73.140625" style="616" customWidth="1"/>
    <col min="1548" max="1548" width="27.5703125" style="616" customWidth="1"/>
    <col min="1549" max="1549" width="24.5703125" style="616" customWidth="1"/>
    <col min="1550" max="1550" width="4" style="616" customWidth="1"/>
    <col min="1551" max="1551" width="10.140625" style="616" customWidth="1"/>
    <col min="1552" max="1792" width="11" style="616"/>
    <col min="1793" max="1793" width="3.7109375" style="616" customWidth="1"/>
    <col min="1794" max="1794" width="24.140625" style="616" customWidth="1"/>
    <col min="1795" max="1795" width="5.28515625" style="616" customWidth="1"/>
    <col min="1796" max="1796" width="62.5703125" style="616" customWidth="1"/>
    <col min="1797" max="1797" width="6.5703125" style="616" customWidth="1"/>
    <col min="1798" max="1798" width="5.85546875" style="616" customWidth="1"/>
    <col min="1799" max="1799" width="22.140625" style="616" customWidth="1"/>
    <col min="1800" max="1800" width="23.140625" style="616" customWidth="1"/>
    <col min="1801" max="1801" width="22.85546875" style="616" customWidth="1"/>
    <col min="1802" max="1802" width="5.28515625" style="616" customWidth="1"/>
    <col min="1803" max="1803" width="73.140625" style="616" customWidth="1"/>
    <col min="1804" max="1804" width="27.5703125" style="616" customWidth="1"/>
    <col min="1805" max="1805" width="24.5703125" style="616" customWidth="1"/>
    <col min="1806" max="1806" width="4" style="616" customWidth="1"/>
    <col min="1807" max="1807" width="10.140625" style="616" customWidth="1"/>
    <col min="1808" max="2048" width="11" style="616"/>
    <col min="2049" max="2049" width="3.7109375" style="616" customWidth="1"/>
    <col min="2050" max="2050" width="24.140625" style="616" customWidth="1"/>
    <col min="2051" max="2051" width="5.28515625" style="616" customWidth="1"/>
    <col min="2052" max="2052" width="62.5703125" style="616" customWidth="1"/>
    <col min="2053" max="2053" width="6.5703125" style="616" customWidth="1"/>
    <col min="2054" max="2054" width="5.85546875" style="616" customWidth="1"/>
    <col min="2055" max="2055" width="22.140625" style="616" customWidth="1"/>
    <col min="2056" max="2056" width="23.140625" style="616" customWidth="1"/>
    <col min="2057" max="2057" width="22.85546875" style="616" customWidth="1"/>
    <col min="2058" max="2058" width="5.28515625" style="616" customWidth="1"/>
    <col min="2059" max="2059" width="73.140625" style="616" customWidth="1"/>
    <col min="2060" max="2060" width="27.5703125" style="616" customWidth="1"/>
    <col min="2061" max="2061" width="24.5703125" style="616" customWidth="1"/>
    <col min="2062" max="2062" width="4" style="616" customWidth="1"/>
    <col min="2063" max="2063" width="10.140625" style="616" customWidth="1"/>
    <col min="2064" max="2304" width="11" style="616"/>
    <col min="2305" max="2305" width="3.7109375" style="616" customWidth="1"/>
    <col min="2306" max="2306" width="24.140625" style="616" customWidth="1"/>
    <col min="2307" max="2307" width="5.28515625" style="616" customWidth="1"/>
    <col min="2308" max="2308" width="62.5703125" style="616" customWidth="1"/>
    <col min="2309" max="2309" width="6.5703125" style="616" customWidth="1"/>
    <col min="2310" max="2310" width="5.85546875" style="616" customWidth="1"/>
    <col min="2311" max="2311" width="22.140625" style="616" customWidth="1"/>
    <col min="2312" max="2312" width="23.140625" style="616" customWidth="1"/>
    <col min="2313" max="2313" width="22.85546875" style="616" customWidth="1"/>
    <col min="2314" max="2314" width="5.28515625" style="616" customWidth="1"/>
    <col min="2315" max="2315" width="73.140625" style="616" customWidth="1"/>
    <col min="2316" max="2316" width="27.5703125" style="616" customWidth="1"/>
    <col min="2317" max="2317" width="24.5703125" style="616" customWidth="1"/>
    <col min="2318" max="2318" width="4" style="616" customWidth="1"/>
    <col min="2319" max="2319" width="10.140625" style="616" customWidth="1"/>
    <col min="2320" max="2560" width="11" style="616"/>
    <col min="2561" max="2561" width="3.7109375" style="616" customWidth="1"/>
    <col min="2562" max="2562" width="24.140625" style="616" customWidth="1"/>
    <col min="2563" max="2563" width="5.28515625" style="616" customWidth="1"/>
    <col min="2564" max="2564" width="62.5703125" style="616" customWidth="1"/>
    <col min="2565" max="2565" width="6.5703125" style="616" customWidth="1"/>
    <col min="2566" max="2566" width="5.85546875" style="616" customWidth="1"/>
    <col min="2567" max="2567" width="22.140625" style="616" customWidth="1"/>
    <col min="2568" max="2568" width="23.140625" style="616" customWidth="1"/>
    <col min="2569" max="2569" width="22.85546875" style="616" customWidth="1"/>
    <col min="2570" max="2570" width="5.28515625" style="616" customWidth="1"/>
    <col min="2571" max="2571" width="73.140625" style="616" customWidth="1"/>
    <col min="2572" max="2572" width="27.5703125" style="616" customWidth="1"/>
    <col min="2573" max="2573" width="24.5703125" style="616" customWidth="1"/>
    <col min="2574" max="2574" width="4" style="616" customWidth="1"/>
    <col min="2575" max="2575" width="10.140625" style="616" customWidth="1"/>
    <col min="2576" max="2816" width="11" style="616"/>
    <col min="2817" max="2817" width="3.7109375" style="616" customWidth="1"/>
    <col min="2818" max="2818" width="24.140625" style="616" customWidth="1"/>
    <col min="2819" max="2819" width="5.28515625" style="616" customWidth="1"/>
    <col min="2820" max="2820" width="62.5703125" style="616" customWidth="1"/>
    <col min="2821" max="2821" width="6.5703125" style="616" customWidth="1"/>
    <col min="2822" max="2822" width="5.85546875" style="616" customWidth="1"/>
    <col min="2823" max="2823" width="22.140625" style="616" customWidth="1"/>
    <col min="2824" max="2824" width="23.140625" style="616" customWidth="1"/>
    <col min="2825" max="2825" width="22.85546875" style="616" customWidth="1"/>
    <col min="2826" max="2826" width="5.28515625" style="616" customWidth="1"/>
    <col min="2827" max="2827" width="73.140625" style="616" customWidth="1"/>
    <col min="2828" max="2828" width="27.5703125" style="616" customWidth="1"/>
    <col min="2829" max="2829" width="24.5703125" style="616" customWidth="1"/>
    <col min="2830" max="2830" width="4" style="616" customWidth="1"/>
    <col min="2831" max="2831" width="10.140625" style="616" customWidth="1"/>
    <col min="2832" max="3072" width="11" style="616"/>
    <col min="3073" max="3073" width="3.7109375" style="616" customWidth="1"/>
    <col min="3074" max="3074" width="24.140625" style="616" customWidth="1"/>
    <col min="3075" max="3075" width="5.28515625" style="616" customWidth="1"/>
    <col min="3076" max="3076" width="62.5703125" style="616" customWidth="1"/>
    <col min="3077" max="3077" width="6.5703125" style="616" customWidth="1"/>
    <col min="3078" max="3078" width="5.85546875" style="616" customWidth="1"/>
    <col min="3079" max="3079" width="22.140625" style="616" customWidth="1"/>
    <col min="3080" max="3080" width="23.140625" style="616" customWidth="1"/>
    <col min="3081" max="3081" width="22.85546875" style="616" customWidth="1"/>
    <col min="3082" max="3082" width="5.28515625" style="616" customWidth="1"/>
    <col min="3083" max="3083" width="73.140625" style="616" customWidth="1"/>
    <col min="3084" max="3084" width="27.5703125" style="616" customWidth="1"/>
    <col min="3085" max="3085" width="24.5703125" style="616" customWidth="1"/>
    <col min="3086" max="3086" width="4" style="616" customWidth="1"/>
    <col min="3087" max="3087" width="10.140625" style="616" customWidth="1"/>
    <col min="3088" max="3328" width="11" style="616"/>
    <col min="3329" max="3329" width="3.7109375" style="616" customWidth="1"/>
    <col min="3330" max="3330" width="24.140625" style="616" customWidth="1"/>
    <col min="3331" max="3331" width="5.28515625" style="616" customWidth="1"/>
    <col min="3332" max="3332" width="62.5703125" style="616" customWidth="1"/>
    <col min="3333" max="3333" width="6.5703125" style="616" customWidth="1"/>
    <col min="3334" max="3334" width="5.85546875" style="616" customWidth="1"/>
    <col min="3335" max="3335" width="22.140625" style="616" customWidth="1"/>
    <col min="3336" max="3336" width="23.140625" style="616" customWidth="1"/>
    <col min="3337" max="3337" width="22.85546875" style="616" customWidth="1"/>
    <col min="3338" max="3338" width="5.28515625" style="616" customWidth="1"/>
    <col min="3339" max="3339" width="73.140625" style="616" customWidth="1"/>
    <col min="3340" max="3340" width="27.5703125" style="616" customWidth="1"/>
    <col min="3341" max="3341" width="24.5703125" style="616" customWidth="1"/>
    <col min="3342" max="3342" width="4" style="616" customWidth="1"/>
    <col min="3343" max="3343" width="10.140625" style="616" customWidth="1"/>
    <col min="3344" max="3584" width="11" style="616"/>
    <col min="3585" max="3585" width="3.7109375" style="616" customWidth="1"/>
    <col min="3586" max="3586" width="24.140625" style="616" customWidth="1"/>
    <col min="3587" max="3587" width="5.28515625" style="616" customWidth="1"/>
    <col min="3588" max="3588" width="62.5703125" style="616" customWidth="1"/>
    <col min="3589" max="3589" width="6.5703125" style="616" customWidth="1"/>
    <col min="3590" max="3590" width="5.85546875" style="616" customWidth="1"/>
    <col min="3591" max="3591" width="22.140625" style="616" customWidth="1"/>
    <col min="3592" max="3592" width="23.140625" style="616" customWidth="1"/>
    <col min="3593" max="3593" width="22.85546875" style="616" customWidth="1"/>
    <col min="3594" max="3594" width="5.28515625" style="616" customWidth="1"/>
    <col min="3595" max="3595" width="73.140625" style="616" customWidth="1"/>
    <col min="3596" max="3596" width="27.5703125" style="616" customWidth="1"/>
    <col min="3597" max="3597" width="24.5703125" style="616" customWidth="1"/>
    <col min="3598" max="3598" width="4" style="616" customWidth="1"/>
    <col min="3599" max="3599" width="10.140625" style="616" customWidth="1"/>
    <col min="3600" max="3840" width="11" style="616"/>
    <col min="3841" max="3841" width="3.7109375" style="616" customWidth="1"/>
    <col min="3842" max="3842" width="24.140625" style="616" customWidth="1"/>
    <col min="3843" max="3843" width="5.28515625" style="616" customWidth="1"/>
    <col min="3844" max="3844" width="62.5703125" style="616" customWidth="1"/>
    <col min="3845" max="3845" width="6.5703125" style="616" customWidth="1"/>
    <col min="3846" max="3846" width="5.85546875" style="616" customWidth="1"/>
    <col min="3847" max="3847" width="22.140625" style="616" customWidth="1"/>
    <col min="3848" max="3848" width="23.140625" style="616" customWidth="1"/>
    <col min="3849" max="3849" width="22.85546875" style="616" customWidth="1"/>
    <col min="3850" max="3850" width="5.28515625" style="616" customWidth="1"/>
    <col min="3851" max="3851" width="73.140625" style="616" customWidth="1"/>
    <col min="3852" max="3852" width="27.5703125" style="616" customWidth="1"/>
    <col min="3853" max="3853" width="24.5703125" style="616" customWidth="1"/>
    <col min="3854" max="3854" width="4" style="616" customWidth="1"/>
    <col min="3855" max="3855" width="10.140625" style="616" customWidth="1"/>
    <col min="3856" max="4096" width="11" style="616"/>
    <col min="4097" max="4097" width="3.7109375" style="616" customWidth="1"/>
    <col min="4098" max="4098" width="24.140625" style="616" customWidth="1"/>
    <col min="4099" max="4099" width="5.28515625" style="616" customWidth="1"/>
    <col min="4100" max="4100" width="62.5703125" style="616" customWidth="1"/>
    <col min="4101" max="4101" width="6.5703125" style="616" customWidth="1"/>
    <col min="4102" max="4102" width="5.85546875" style="616" customWidth="1"/>
    <col min="4103" max="4103" width="22.140625" style="616" customWidth="1"/>
    <col min="4104" max="4104" width="23.140625" style="616" customWidth="1"/>
    <col min="4105" max="4105" width="22.85546875" style="616" customWidth="1"/>
    <col min="4106" max="4106" width="5.28515625" style="616" customWidth="1"/>
    <col min="4107" max="4107" width="73.140625" style="616" customWidth="1"/>
    <col min="4108" max="4108" width="27.5703125" style="616" customWidth="1"/>
    <col min="4109" max="4109" width="24.5703125" style="616" customWidth="1"/>
    <col min="4110" max="4110" width="4" style="616" customWidth="1"/>
    <col min="4111" max="4111" width="10.140625" style="616" customWidth="1"/>
    <col min="4112" max="4352" width="11" style="616"/>
    <col min="4353" max="4353" width="3.7109375" style="616" customWidth="1"/>
    <col min="4354" max="4354" width="24.140625" style="616" customWidth="1"/>
    <col min="4355" max="4355" width="5.28515625" style="616" customWidth="1"/>
    <col min="4356" max="4356" width="62.5703125" style="616" customWidth="1"/>
    <col min="4357" max="4357" width="6.5703125" style="616" customWidth="1"/>
    <col min="4358" max="4358" width="5.85546875" style="616" customWidth="1"/>
    <col min="4359" max="4359" width="22.140625" style="616" customWidth="1"/>
    <col min="4360" max="4360" width="23.140625" style="616" customWidth="1"/>
    <col min="4361" max="4361" width="22.85546875" style="616" customWidth="1"/>
    <col min="4362" max="4362" width="5.28515625" style="616" customWidth="1"/>
    <col min="4363" max="4363" width="73.140625" style="616" customWidth="1"/>
    <col min="4364" max="4364" width="27.5703125" style="616" customWidth="1"/>
    <col min="4365" max="4365" width="24.5703125" style="616" customWidth="1"/>
    <col min="4366" max="4366" width="4" style="616" customWidth="1"/>
    <col min="4367" max="4367" width="10.140625" style="616" customWidth="1"/>
    <col min="4368" max="4608" width="11" style="616"/>
    <col min="4609" max="4609" width="3.7109375" style="616" customWidth="1"/>
    <col min="4610" max="4610" width="24.140625" style="616" customWidth="1"/>
    <col min="4611" max="4611" width="5.28515625" style="616" customWidth="1"/>
    <col min="4612" max="4612" width="62.5703125" style="616" customWidth="1"/>
    <col min="4613" max="4613" width="6.5703125" style="616" customWidth="1"/>
    <col min="4614" max="4614" width="5.85546875" style="616" customWidth="1"/>
    <col min="4615" max="4615" width="22.140625" style="616" customWidth="1"/>
    <col min="4616" max="4616" width="23.140625" style="616" customWidth="1"/>
    <col min="4617" max="4617" width="22.85546875" style="616" customWidth="1"/>
    <col min="4618" max="4618" width="5.28515625" style="616" customWidth="1"/>
    <col min="4619" max="4619" width="73.140625" style="616" customWidth="1"/>
    <col min="4620" max="4620" width="27.5703125" style="616" customWidth="1"/>
    <col min="4621" max="4621" width="24.5703125" style="616" customWidth="1"/>
    <col min="4622" max="4622" width="4" style="616" customWidth="1"/>
    <col min="4623" max="4623" width="10.140625" style="616" customWidth="1"/>
    <col min="4624" max="4864" width="11" style="616"/>
    <col min="4865" max="4865" width="3.7109375" style="616" customWidth="1"/>
    <col min="4866" max="4866" width="24.140625" style="616" customWidth="1"/>
    <col min="4867" max="4867" width="5.28515625" style="616" customWidth="1"/>
    <col min="4868" max="4868" width="62.5703125" style="616" customWidth="1"/>
    <col min="4869" max="4869" width="6.5703125" style="616" customWidth="1"/>
    <col min="4870" max="4870" width="5.85546875" style="616" customWidth="1"/>
    <col min="4871" max="4871" width="22.140625" style="616" customWidth="1"/>
    <col min="4872" max="4872" width="23.140625" style="616" customWidth="1"/>
    <col min="4873" max="4873" width="22.85546875" style="616" customWidth="1"/>
    <col min="4874" max="4874" width="5.28515625" style="616" customWidth="1"/>
    <col min="4875" max="4875" width="73.140625" style="616" customWidth="1"/>
    <col min="4876" max="4876" width="27.5703125" style="616" customWidth="1"/>
    <col min="4877" max="4877" width="24.5703125" style="616" customWidth="1"/>
    <col min="4878" max="4878" width="4" style="616" customWidth="1"/>
    <col min="4879" max="4879" width="10.140625" style="616" customWidth="1"/>
    <col min="4880" max="5120" width="11" style="616"/>
    <col min="5121" max="5121" width="3.7109375" style="616" customWidth="1"/>
    <col min="5122" max="5122" width="24.140625" style="616" customWidth="1"/>
    <col min="5123" max="5123" width="5.28515625" style="616" customWidth="1"/>
    <col min="5124" max="5124" width="62.5703125" style="616" customWidth="1"/>
    <col min="5125" max="5125" width="6.5703125" style="616" customWidth="1"/>
    <col min="5126" max="5126" width="5.85546875" style="616" customWidth="1"/>
    <col min="5127" max="5127" width="22.140625" style="616" customWidth="1"/>
    <col min="5128" max="5128" width="23.140625" style="616" customWidth="1"/>
    <col min="5129" max="5129" width="22.85546875" style="616" customWidth="1"/>
    <col min="5130" max="5130" width="5.28515625" style="616" customWidth="1"/>
    <col min="5131" max="5131" width="73.140625" style="616" customWidth="1"/>
    <col min="5132" max="5132" width="27.5703125" style="616" customWidth="1"/>
    <col min="5133" max="5133" width="24.5703125" style="616" customWidth="1"/>
    <col min="5134" max="5134" width="4" style="616" customWidth="1"/>
    <col min="5135" max="5135" width="10.140625" style="616" customWidth="1"/>
    <col min="5136" max="5376" width="11" style="616"/>
    <col min="5377" max="5377" width="3.7109375" style="616" customWidth="1"/>
    <col min="5378" max="5378" width="24.140625" style="616" customWidth="1"/>
    <col min="5379" max="5379" width="5.28515625" style="616" customWidth="1"/>
    <col min="5380" max="5380" width="62.5703125" style="616" customWidth="1"/>
    <col min="5381" max="5381" width="6.5703125" style="616" customWidth="1"/>
    <col min="5382" max="5382" width="5.85546875" style="616" customWidth="1"/>
    <col min="5383" max="5383" width="22.140625" style="616" customWidth="1"/>
    <col min="5384" max="5384" width="23.140625" style="616" customWidth="1"/>
    <col min="5385" max="5385" width="22.85546875" style="616" customWidth="1"/>
    <col min="5386" max="5386" width="5.28515625" style="616" customWidth="1"/>
    <col min="5387" max="5387" width="73.140625" style="616" customWidth="1"/>
    <col min="5388" max="5388" width="27.5703125" style="616" customWidth="1"/>
    <col min="5389" max="5389" width="24.5703125" style="616" customWidth="1"/>
    <col min="5390" max="5390" width="4" style="616" customWidth="1"/>
    <col min="5391" max="5391" width="10.140625" style="616" customWidth="1"/>
    <col min="5392" max="5632" width="11" style="616"/>
    <col min="5633" max="5633" width="3.7109375" style="616" customWidth="1"/>
    <col min="5634" max="5634" width="24.140625" style="616" customWidth="1"/>
    <col min="5635" max="5635" width="5.28515625" style="616" customWidth="1"/>
    <col min="5636" max="5636" width="62.5703125" style="616" customWidth="1"/>
    <col min="5637" max="5637" width="6.5703125" style="616" customWidth="1"/>
    <col min="5638" max="5638" width="5.85546875" style="616" customWidth="1"/>
    <col min="5639" max="5639" width="22.140625" style="616" customWidth="1"/>
    <col min="5640" max="5640" width="23.140625" style="616" customWidth="1"/>
    <col min="5641" max="5641" width="22.85546875" style="616" customWidth="1"/>
    <col min="5642" max="5642" width="5.28515625" style="616" customWidth="1"/>
    <col min="5643" max="5643" width="73.140625" style="616" customWidth="1"/>
    <col min="5644" max="5644" width="27.5703125" style="616" customWidth="1"/>
    <col min="5645" max="5645" width="24.5703125" style="616" customWidth="1"/>
    <col min="5646" max="5646" width="4" style="616" customWidth="1"/>
    <col min="5647" max="5647" width="10.140625" style="616" customWidth="1"/>
    <col min="5648" max="5888" width="11" style="616"/>
    <col min="5889" max="5889" width="3.7109375" style="616" customWidth="1"/>
    <col min="5890" max="5890" width="24.140625" style="616" customWidth="1"/>
    <col min="5891" max="5891" width="5.28515625" style="616" customWidth="1"/>
    <col min="5892" max="5892" width="62.5703125" style="616" customWidth="1"/>
    <col min="5893" max="5893" width="6.5703125" style="616" customWidth="1"/>
    <col min="5894" max="5894" width="5.85546875" style="616" customWidth="1"/>
    <col min="5895" max="5895" width="22.140625" style="616" customWidth="1"/>
    <col min="5896" max="5896" width="23.140625" style="616" customWidth="1"/>
    <col min="5897" max="5897" width="22.85546875" style="616" customWidth="1"/>
    <col min="5898" max="5898" width="5.28515625" style="616" customWidth="1"/>
    <col min="5899" max="5899" width="73.140625" style="616" customWidth="1"/>
    <col min="5900" max="5900" width="27.5703125" style="616" customWidth="1"/>
    <col min="5901" max="5901" width="24.5703125" style="616" customWidth="1"/>
    <col min="5902" max="5902" width="4" style="616" customWidth="1"/>
    <col min="5903" max="5903" width="10.140625" style="616" customWidth="1"/>
    <col min="5904" max="6144" width="11" style="616"/>
    <col min="6145" max="6145" width="3.7109375" style="616" customWidth="1"/>
    <col min="6146" max="6146" width="24.140625" style="616" customWidth="1"/>
    <col min="6147" max="6147" width="5.28515625" style="616" customWidth="1"/>
    <col min="6148" max="6148" width="62.5703125" style="616" customWidth="1"/>
    <col min="6149" max="6149" width="6.5703125" style="616" customWidth="1"/>
    <col min="6150" max="6150" width="5.85546875" style="616" customWidth="1"/>
    <col min="6151" max="6151" width="22.140625" style="616" customWidth="1"/>
    <col min="6152" max="6152" width="23.140625" style="616" customWidth="1"/>
    <col min="6153" max="6153" width="22.85546875" style="616" customWidth="1"/>
    <col min="6154" max="6154" width="5.28515625" style="616" customWidth="1"/>
    <col min="6155" max="6155" width="73.140625" style="616" customWidth="1"/>
    <col min="6156" max="6156" width="27.5703125" style="616" customWidth="1"/>
    <col min="6157" max="6157" width="24.5703125" style="616" customWidth="1"/>
    <col min="6158" max="6158" width="4" style="616" customWidth="1"/>
    <col min="6159" max="6159" width="10.140625" style="616" customWidth="1"/>
    <col min="6160" max="6400" width="11" style="616"/>
    <col min="6401" max="6401" width="3.7109375" style="616" customWidth="1"/>
    <col min="6402" max="6402" width="24.140625" style="616" customWidth="1"/>
    <col min="6403" max="6403" width="5.28515625" style="616" customWidth="1"/>
    <col min="6404" max="6404" width="62.5703125" style="616" customWidth="1"/>
    <col min="6405" max="6405" width="6.5703125" style="616" customWidth="1"/>
    <col min="6406" max="6406" width="5.85546875" style="616" customWidth="1"/>
    <col min="6407" max="6407" width="22.140625" style="616" customWidth="1"/>
    <col min="6408" max="6408" width="23.140625" style="616" customWidth="1"/>
    <col min="6409" max="6409" width="22.85546875" style="616" customWidth="1"/>
    <col min="6410" max="6410" width="5.28515625" style="616" customWidth="1"/>
    <col min="6411" max="6411" width="73.140625" style="616" customWidth="1"/>
    <col min="6412" max="6412" width="27.5703125" style="616" customWidth="1"/>
    <col min="6413" max="6413" width="24.5703125" style="616" customWidth="1"/>
    <col min="6414" max="6414" width="4" style="616" customWidth="1"/>
    <col min="6415" max="6415" width="10.140625" style="616" customWidth="1"/>
    <col min="6416" max="6656" width="11" style="616"/>
    <col min="6657" max="6657" width="3.7109375" style="616" customWidth="1"/>
    <col min="6658" max="6658" width="24.140625" style="616" customWidth="1"/>
    <col min="6659" max="6659" width="5.28515625" style="616" customWidth="1"/>
    <col min="6660" max="6660" width="62.5703125" style="616" customWidth="1"/>
    <col min="6661" max="6661" width="6.5703125" style="616" customWidth="1"/>
    <col min="6662" max="6662" width="5.85546875" style="616" customWidth="1"/>
    <col min="6663" max="6663" width="22.140625" style="616" customWidth="1"/>
    <col min="6664" max="6664" width="23.140625" style="616" customWidth="1"/>
    <col min="6665" max="6665" width="22.85546875" style="616" customWidth="1"/>
    <col min="6666" max="6666" width="5.28515625" style="616" customWidth="1"/>
    <col min="6667" max="6667" width="73.140625" style="616" customWidth="1"/>
    <col min="6668" max="6668" width="27.5703125" style="616" customWidth="1"/>
    <col min="6669" max="6669" width="24.5703125" style="616" customWidth="1"/>
    <col min="6670" max="6670" width="4" style="616" customWidth="1"/>
    <col min="6671" max="6671" width="10.140625" style="616" customWidth="1"/>
    <col min="6672" max="6912" width="11" style="616"/>
    <col min="6913" max="6913" width="3.7109375" style="616" customWidth="1"/>
    <col min="6914" max="6914" width="24.140625" style="616" customWidth="1"/>
    <col min="6915" max="6915" width="5.28515625" style="616" customWidth="1"/>
    <col min="6916" max="6916" width="62.5703125" style="616" customWidth="1"/>
    <col min="6917" max="6917" width="6.5703125" style="616" customWidth="1"/>
    <col min="6918" max="6918" width="5.85546875" style="616" customWidth="1"/>
    <col min="6919" max="6919" width="22.140625" style="616" customWidth="1"/>
    <col min="6920" max="6920" width="23.140625" style="616" customWidth="1"/>
    <col min="6921" max="6921" width="22.85546875" style="616" customWidth="1"/>
    <col min="6922" max="6922" width="5.28515625" style="616" customWidth="1"/>
    <col min="6923" max="6923" width="73.140625" style="616" customWidth="1"/>
    <col min="6924" max="6924" width="27.5703125" style="616" customWidth="1"/>
    <col min="6925" max="6925" width="24.5703125" style="616" customWidth="1"/>
    <col min="6926" max="6926" width="4" style="616" customWidth="1"/>
    <col min="6927" max="6927" width="10.140625" style="616" customWidth="1"/>
    <col min="6928" max="7168" width="11" style="616"/>
    <col min="7169" max="7169" width="3.7109375" style="616" customWidth="1"/>
    <col min="7170" max="7170" width="24.140625" style="616" customWidth="1"/>
    <col min="7171" max="7171" width="5.28515625" style="616" customWidth="1"/>
    <col min="7172" max="7172" width="62.5703125" style="616" customWidth="1"/>
    <col min="7173" max="7173" width="6.5703125" style="616" customWidth="1"/>
    <col min="7174" max="7174" width="5.85546875" style="616" customWidth="1"/>
    <col min="7175" max="7175" width="22.140625" style="616" customWidth="1"/>
    <col min="7176" max="7176" width="23.140625" style="616" customWidth="1"/>
    <col min="7177" max="7177" width="22.85546875" style="616" customWidth="1"/>
    <col min="7178" max="7178" width="5.28515625" style="616" customWidth="1"/>
    <col min="7179" max="7179" width="73.140625" style="616" customWidth="1"/>
    <col min="7180" max="7180" width="27.5703125" style="616" customWidth="1"/>
    <col min="7181" max="7181" width="24.5703125" style="616" customWidth="1"/>
    <col min="7182" max="7182" width="4" style="616" customWidth="1"/>
    <col min="7183" max="7183" width="10.140625" style="616" customWidth="1"/>
    <col min="7184" max="7424" width="11" style="616"/>
    <col min="7425" max="7425" width="3.7109375" style="616" customWidth="1"/>
    <col min="7426" max="7426" width="24.140625" style="616" customWidth="1"/>
    <col min="7427" max="7427" width="5.28515625" style="616" customWidth="1"/>
    <col min="7428" max="7428" width="62.5703125" style="616" customWidth="1"/>
    <col min="7429" max="7429" width="6.5703125" style="616" customWidth="1"/>
    <col min="7430" max="7430" width="5.85546875" style="616" customWidth="1"/>
    <col min="7431" max="7431" width="22.140625" style="616" customWidth="1"/>
    <col min="7432" max="7432" width="23.140625" style="616" customWidth="1"/>
    <col min="7433" max="7433" width="22.85546875" style="616" customWidth="1"/>
    <col min="7434" max="7434" width="5.28515625" style="616" customWidth="1"/>
    <col min="7435" max="7435" width="73.140625" style="616" customWidth="1"/>
    <col min="7436" max="7436" width="27.5703125" style="616" customWidth="1"/>
    <col min="7437" max="7437" width="24.5703125" style="616" customWidth="1"/>
    <col min="7438" max="7438" width="4" style="616" customWidth="1"/>
    <col min="7439" max="7439" width="10.140625" style="616" customWidth="1"/>
    <col min="7440" max="7680" width="11" style="616"/>
    <col min="7681" max="7681" width="3.7109375" style="616" customWidth="1"/>
    <col min="7682" max="7682" width="24.140625" style="616" customWidth="1"/>
    <col min="7683" max="7683" width="5.28515625" style="616" customWidth="1"/>
    <col min="7684" max="7684" width="62.5703125" style="616" customWidth="1"/>
    <col min="7685" max="7685" width="6.5703125" style="616" customWidth="1"/>
    <col min="7686" max="7686" width="5.85546875" style="616" customWidth="1"/>
    <col min="7687" max="7687" width="22.140625" style="616" customWidth="1"/>
    <col min="7688" max="7688" width="23.140625" style="616" customWidth="1"/>
    <col min="7689" max="7689" width="22.85546875" style="616" customWidth="1"/>
    <col min="7690" max="7690" width="5.28515625" style="616" customWidth="1"/>
    <col min="7691" max="7691" width="73.140625" style="616" customWidth="1"/>
    <col min="7692" max="7692" width="27.5703125" style="616" customWidth="1"/>
    <col min="7693" max="7693" width="24.5703125" style="616" customWidth="1"/>
    <col min="7694" max="7694" width="4" style="616" customWidth="1"/>
    <col min="7695" max="7695" width="10.140625" style="616" customWidth="1"/>
    <col min="7696" max="7936" width="11" style="616"/>
    <col min="7937" max="7937" width="3.7109375" style="616" customWidth="1"/>
    <col min="7938" max="7938" width="24.140625" style="616" customWidth="1"/>
    <col min="7939" max="7939" width="5.28515625" style="616" customWidth="1"/>
    <col min="7940" max="7940" width="62.5703125" style="616" customWidth="1"/>
    <col min="7941" max="7941" width="6.5703125" style="616" customWidth="1"/>
    <col min="7942" max="7942" width="5.85546875" style="616" customWidth="1"/>
    <col min="7943" max="7943" width="22.140625" style="616" customWidth="1"/>
    <col min="7944" max="7944" width="23.140625" style="616" customWidth="1"/>
    <col min="7945" max="7945" width="22.85546875" style="616" customWidth="1"/>
    <col min="7946" max="7946" width="5.28515625" style="616" customWidth="1"/>
    <col min="7947" max="7947" width="73.140625" style="616" customWidth="1"/>
    <col min="7948" max="7948" width="27.5703125" style="616" customWidth="1"/>
    <col min="7949" max="7949" width="24.5703125" style="616" customWidth="1"/>
    <col min="7950" max="7950" width="4" style="616" customWidth="1"/>
    <col min="7951" max="7951" width="10.140625" style="616" customWidth="1"/>
    <col min="7952" max="8192" width="11" style="616"/>
    <col min="8193" max="8193" width="3.7109375" style="616" customWidth="1"/>
    <col min="8194" max="8194" width="24.140625" style="616" customWidth="1"/>
    <col min="8195" max="8195" width="5.28515625" style="616" customWidth="1"/>
    <col min="8196" max="8196" width="62.5703125" style="616" customWidth="1"/>
    <col min="8197" max="8197" width="6.5703125" style="616" customWidth="1"/>
    <col min="8198" max="8198" width="5.85546875" style="616" customWidth="1"/>
    <col min="8199" max="8199" width="22.140625" style="616" customWidth="1"/>
    <col min="8200" max="8200" width="23.140625" style="616" customWidth="1"/>
    <col min="8201" max="8201" width="22.85546875" style="616" customWidth="1"/>
    <col min="8202" max="8202" width="5.28515625" style="616" customWidth="1"/>
    <col min="8203" max="8203" width="73.140625" style="616" customWidth="1"/>
    <col min="8204" max="8204" width="27.5703125" style="616" customWidth="1"/>
    <col min="8205" max="8205" width="24.5703125" style="616" customWidth="1"/>
    <col min="8206" max="8206" width="4" style="616" customWidth="1"/>
    <col min="8207" max="8207" width="10.140625" style="616" customWidth="1"/>
    <col min="8208" max="8448" width="11" style="616"/>
    <col min="8449" max="8449" width="3.7109375" style="616" customWidth="1"/>
    <col min="8450" max="8450" width="24.140625" style="616" customWidth="1"/>
    <col min="8451" max="8451" width="5.28515625" style="616" customWidth="1"/>
    <col min="8452" max="8452" width="62.5703125" style="616" customWidth="1"/>
    <col min="8453" max="8453" width="6.5703125" style="616" customWidth="1"/>
    <col min="8454" max="8454" width="5.85546875" style="616" customWidth="1"/>
    <col min="8455" max="8455" width="22.140625" style="616" customWidth="1"/>
    <col min="8456" max="8456" width="23.140625" style="616" customWidth="1"/>
    <col min="8457" max="8457" width="22.85546875" style="616" customWidth="1"/>
    <col min="8458" max="8458" width="5.28515625" style="616" customWidth="1"/>
    <col min="8459" max="8459" width="73.140625" style="616" customWidth="1"/>
    <col min="8460" max="8460" width="27.5703125" style="616" customWidth="1"/>
    <col min="8461" max="8461" width="24.5703125" style="616" customWidth="1"/>
    <col min="8462" max="8462" width="4" style="616" customWidth="1"/>
    <col min="8463" max="8463" width="10.140625" style="616" customWidth="1"/>
    <col min="8464" max="8704" width="11" style="616"/>
    <col min="8705" max="8705" width="3.7109375" style="616" customWidth="1"/>
    <col min="8706" max="8706" width="24.140625" style="616" customWidth="1"/>
    <col min="8707" max="8707" width="5.28515625" style="616" customWidth="1"/>
    <col min="8708" max="8708" width="62.5703125" style="616" customWidth="1"/>
    <col min="8709" max="8709" width="6.5703125" style="616" customWidth="1"/>
    <col min="8710" max="8710" width="5.85546875" style="616" customWidth="1"/>
    <col min="8711" max="8711" width="22.140625" style="616" customWidth="1"/>
    <col min="8712" max="8712" width="23.140625" style="616" customWidth="1"/>
    <col min="8713" max="8713" width="22.85546875" style="616" customWidth="1"/>
    <col min="8714" max="8714" width="5.28515625" style="616" customWidth="1"/>
    <col min="8715" max="8715" width="73.140625" style="616" customWidth="1"/>
    <col min="8716" max="8716" width="27.5703125" style="616" customWidth="1"/>
    <col min="8717" max="8717" width="24.5703125" style="616" customWidth="1"/>
    <col min="8718" max="8718" width="4" style="616" customWidth="1"/>
    <col min="8719" max="8719" width="10.140625" style="616" customWidth="1"/>
    <col min="8720" max="8960" width="11" style="616"/>
    <col min="8961" max="8961" width="3.7109375" style="616" customWidth="1"/>
    <col min="8962" max="8962" width="24.140625" style="616" customWidth="1"/>
    <col min="8963" max="8963" width="5.28515625" style="616" customWidth="1"/>
    <col min="8964" max="8964" width="62.5703125" style="616" customWidth="1"/>
    <col min="8965" max="8965" width="6.5703125" style="616" customWidth="1"/>
    <col min="8966" max="8966" width="5.85546875" style="616" customWidth="1"/>
    <col min="8967" max="8967" width="22.140625" style="616" customWidth="1"/>
    <col min="8968" max="8968" width="23.140625" style="616" customWidth="1"/>
    <col min="8969" max="8969" width="22.85546875" style="616" customWidth="1"/>
    <col min="8970" max="8970" width="5.28515625" style="616" customWidth="1"/>
    <col min="8971" max="8971" width="73.140625" style="616" customWidth="1"/>
    <col min="8972" max="8972" width="27.5703125" style="616" customWidth="1"/>
    <col min="8973" max="8973" width="24.5703125" style="616" customWidth="1"/>
    <col min="8974" max="8974" width="4" style="616" customWidth="1"/>
    <col min="8975" max="8975" width="10.140625" style="616" customWidth="1"/>
    <col min="8976" max="9216" width="11" style="616"/>
    <col min="9217" max="9217" width="3.7109375" style="616" customWidth="1"/>
    <col min="9218" max="9218" width="24.140625" style="616" customWidth="1"/>
    <col min="9219" max="9219" width="5.28515625" style="616" customWidth="1"/>
    <col min="9220" max="9220" width="62.5703125" style="616" customWidth="1"/>
    <col min="9221" max="9221" width="6.5703125" style="616" customWidth="1"/>
    <col min="9222" max="9222" width="5.85546875" style="616" customWidth="1"/>
    <col min="9223" max="9223" width="22.140625" style="616" customWidth="1"/>
    <col min="9224" max="9224" width="23.140625" style="616" customWidth="1"/>
    <col min="9225" max="9225" width="22.85546875" style="616" customWidth="1"/>
    <col min="9226" max="9226" width="5.28515625" style="616" customWidth="1"/>
    <col min="9227" max="9227" width="73.140625" style="616" customWidth="1"/>
    <col min="9228" max="9228" width="27.5703125" style="616" customWidth="1"/>
    <col min="9229" max="9229" width="24.5703125" style="616" customWidth="1"/>
    <col min="9230" max="9230" width="4" style="616" customWidth="1"/>
    <col min="9231" max="9231" width="10.140625" style="616" customWidth="1"/>
    <col min="9232" max="9472" width="11" style="616"/>
    <col min="9473" max="9473" width="3.7109375" style="616" customWidth="1"/>
    <col min="9474" max="9474" width="24.140625" style="616" customWidth="1"/>
    <col min="9475" max="9475" width="5.28515625" style="616" customWidth="1"/>
    <col min="9476" max="9476" width="62.5703125" style="616" customWidth="1"/>
    <col min="9477" max="9477" width="6.5703125" style="616" customWidth="1"/>
    <col min="9478" max="9478" width="5.85546875" style="616" customWidth="1"/>
    <col min="9479" max="9479" width="22.140625" style="616" customWidth="1"/>
    <col min="9480" max="9480" width="23.140625" style="616" customWidth="1"/>
    <col min="9481" max="9481" width="22.85546875" style="616" customWidth="1"/>
    <col min="9482" max="9482" width="5.28515625" style="616" customWidth="1"/>
    <col min="9483" max="9483" width="73.140625" style="616" customWidth="1"/>
    <col min="9484" max="9484" width="27.5703125" style="616" customWidth="1"/>
    <col min="9485" max="9485" width="24.5703125" style="616" customWidth="1"/>
    <col min="9486" max="9486" width="4" style="616" customWidth="1"/>
    <col min="9487" max="9487" width="10.140625" style="616" customWidth="1"/>
    <col min="9488" max="9728" width="11" style="616"/>
    <col min="9729" max="9729" width="3.7109375" style="616" customWidth="1"/>
    <col min="9730" max="9730" width="24.140625" style="616" customWidth="1"/>
    <col min="9731" max="9731" width="5.28515625" style="616" customWidth="1"/>
    <col min="9732" max="9732" width="62.5703125" style="616" customWidth="1"/>
    <col min="9733" max="9733" width="6.5703125" style="616" customWidth="1"/>
    <col min="9734" max="9734" width="5.85546875" style="616" customWidth="1"/>
    <col min="9735" max="9735" width="22.140625" style="616" customWidth="1"/>
    <col min="9736" max="9736" width="23.140625" style="616" customWidth="1"/>
    <col min="9737" max="9737" width="22.85546875" style="616" customWidth="1"/>
    <col min="9738" max="9738" width="5.28515625" style="616" customWidth="1"/>
    <col min="9739" max="9739" width="73.140625" style="616" customWidth="1"/>
    <col min="9740" max="9740" width="27.5703125" style="616" customWidth="1"/>
    <col min="9741" max="9741" width="24.5703125" style="616" customWidth="1"/>
    <col min="9742" max="9742" width="4" style="616" customWidth="1"/>
    <col min="9743" max="9743" width="10.140625" style="616" customWidth="1"/>
    <col min="9744" max="9984" width="11" style="616"/>
    <col min="9985" max="9985" width="3.7109375" style="616" customWidth="1"/>
    <col min="9986" max="9986" width="24.140625" style="616" customWidth="1"/>
    <col min="9987" max="9987" width="5.28515625" style="616" customWidth="1"/>
    <col min="9988" max="9988" width="62.5703125" style="616" customWidth="1"/>
    <col min="9989" max="9989" width="6.5703125" style="616" customWidth="1"/>
    <col min="9990" max="9990" width="5.85546875" style="616" customWidth="1"/>
    <col min="9991" max="9991" width="22.140625" style="616" customWidth="1"/>
    <col min="9992" max="9992" width="23.140625" style="616" customWidth="1"/>
    <col min="9993" max="9993" width="22.85546875" style="616" customWidth="1"/>
    <col min="9994" max="9994" width="5.28515625" style="616" customWidth="1"/>
    <col min="9995" max="9995" width="73.140625" style="616" customWidth="1"/>
    <col min="9996" max="9996" width="27.5703125" style="616" customWidth="1"/>
    <col min="9997" max="9997" width="24.5703125" style="616" customWidth="1"/>
    <col min="9998" max="9998" width="4" style="616" customWidth="1"/>
    <col min="9999" max="9999" width="10.140625" style="616" customWidth="1"/>
    <col min="10000" max="10240" width="11" style="616"/>
    <col min="10241" max="10241" width="3.7109375" style="616" customWidth="1"/>
    <col min="10242" max="10242" width="24.140625" style="616" customWidth="1"/>
    <col min="10243" max="10243" width="5.28515625" style="616" customWidth="1"/>
    <col min="10244" max="10244" width="62.5703125" style="616" customWidth="1"/>
    <col min="10245" max="10245" width="6.5703125" style="616" customWidth="1"/>
    <col min="10246" max="10246" width="5.85546875" style="616" customWidth="1"/>
    <col min="10247" max="10247" width="22.140625" style="616" customWidth="1"/>
    <col min="10248" max="10248" width="23.140625" style="616" customWidth="1"/>
    <col min="10249" max="10249" width="22.85546875" style="616" customWidth="1"/>
    <col min="10250" max="10250" width="5.28515625" style="616" customWidth="1"/>
    <col min="10251" max="10251" width="73.140625" style="616" customWidth="1"/>
    <col min="10252" max="10252" width="27.5703125" style="616" customWidth="1"/>
    <col min="10253" max="10253" width="24.5703125" style="616" customWidth="1"/>
    <col min="10254" max="10254" width="4" style="616" customWidth="1"/>
    <col min="10255" max="10255" width="10.140625" style="616" customWidth="1"/>
    <col min="10256" max="10496" width="11" style="616"/>
    <col min="10497" max="10497" width="3.7109375" style="616" customWidth="1"/>
    <col min="10498" max="10498" width="24.140625" style="616" customWidth="1"/>
    <col min="10499" max="10499" width="5.28515625" style="616" customWidth="1"/>
    <col min="10500" max="10500" width="62.5703125" style="616" customWidth="1"/>
    <col min="10501" max="10501" width="6.5703125" style="616" customWidth="1"/>
    <col min="10502" max="10502" width="5.85546875" style="616" customWidth="1"/>
    <col min="10503" max="10503" width="22.140625" style="616" customWidth="1"/>
    <col min="10504" max="10504" width="23.140625" style="616" customWidth="1"/>
    <col min="10505" max="10505" width="22.85546875" style="616" customWidth="1"/>
    <col min="10506" max="10506" width="5.28515625" style="616" customWidth="1"/>
    <col min="10507" max="10507" width="73.140625" style="616" customWidth="1"/>
    <col min="10508" max="10508" width="27.5703125" style="616" customWidth="1"/>
    <col min="10509" max="10509" width="24.5703125" style="616" customWidth="1"/>
    <col min="10510" max="10510" width="4" style="616" customWidth="1"/>
    <col min="10511" max="10511" width="10.140625" style="616" customWidth="1"/>
    <col min="10512" max="10752" width="11" style="616"/>
    <col min="10753" max="10753" width="3.7109375" style="616" customWidth="1"/>
    <col min="10754" max="10754" width="24.140625" style="616" customWidth="1"/>
    <col min="10755" max="10755" width="5.28515625" style="616" customWidth="1"/>
    <col min="10756" max="10756" width="62.5703125" style="616" customWidth="1"/>
    <col min="10757" max="10757" width="6.5703125" style="616" customWidth="1"/>
    <col min="10758" max="10758" width="5.85546875" style="616" customWidth="1"/>
    <col min="10759" max="10759" width="22.140625" style="616" customWidth="1"/>
    <col min="10760" max="10760" width="23.140625" style="616" customWidth="1"/>
    <col min="10761" max="10761" width="22.85546875" style="616" customWidth="1"/>
    <col min="10762" max="10762" width="5.28515625" style="616" customWidth="1"/>
    <col min="10763" max="10763" width="73.140625" style="616" customWidth="1"/>
    <col min="10764" max="10764" width="27.5703125" style="616" customWidth="1"/>
    <col min="10765" max="10765" width="24.5703125" style="616" customWidth="1"/>
    <col min="10766" max="10766" width="4" style="616" customWidth="1"/>
    <col min="10767" max="10767" width="10.140625" style="616" customWidth="1"/>
    <col min="10768" max="11008" width="11" style="616"/>
    <col min="11009" max="11009" width="3.7109375" style="616" customWidth="1"/>
    <col min="11010" max="11010" width="24.140625" style="616" customWidth="1"/>
    <col min="11011" max="11011" width="5.28515625" style="616" customWidth="1"/>
    <col min="11012" max="11012" width="62.5703125" style="616" customWidth="1"/>
    <col min="11013" max="11013" width="6.5703125" style="616" customWidth="1"/>
    <col min="11014" max="11014" width="5.85546875" style="616" customWidth="1"/>
    <col min="11015" max="11015" width="22.140625" style="616" customWidth="1"/>
    <col min="11016" max="11016" width="23.140625" style="616" customWidth="1"/>
    <col min="11017" max="11017" width="22.85546875" style="616" customWidth="1"/>
    <col min="11018" max="11018" width="5.28515625" style="616" customWidth="1"/>
    <col min="11019" max="11019" width="73.140625" style="616" customWidth="1"/>
    <col min="11020" max="11020" width="27.5703125" style="616" customWidth="1"/>
    <col min="11021" max="11021" width="24.5703125" style="616" customWidth="1"/>
    <col min="11022" max="11022" width="4" style="616" customWidth="1"/>
    <col min="11023" max="11023" width="10.140625" style="616" customWidth="1"/>
    <col min="11024" max="11264" width="11" style="616"/>
    <col min="11265" max="11265" width="3.7109375" style="616" customWidth="1"/>
    <col min="11266" max="11266" width="24.140625" style="616" customWidth="1"/>
    <col min="11267" max="11267" width="5.28515625" style="616" customWidth="1"/>
    <col min="11268" max="11268" width="62.5703125" style="616" customWidth="1"/>
    <col min="11269" max="11269" width="6.5703125" style="616" customWidth="1"/>
    <col min="11270" max="11270" width="5.85546875" style="616" customWidth="1"/>
    <col min="11271" max="11271" width="22.140625" style="616" customWidth="1"/>
    <col min="11272" max="11272" width="23.140625" style="616" customWidth="1"/>
    <col min="11273" max="11273" width="22.85546875" style="616" customWidth="1"/>
    <col min="11274" max="11274" width="5.28515625" style="616" customWidth="1"/>
    <col min="11275" max="11275" width="73.140625" style="616" customWidth="1"/>
    <col min="11276" max="11276" width="27.5703125" style="616" customWidth="1"/>
    <col min="11277" max="11277" width="24.5703125" style="616" customWidth="1"/>
    <col min="11278" max="11278" width="4" style="616" customWidth="1"/>
    <col min="11279" max="11279" width="10.140625" style="616" customWidth="1"/>
    <col min="11280" max="11520" width="11" style="616"/>
    <col min="11521" max="11521" width="3.7109375" style="616" customWidth="1"/>
    <col min="11522" max="11522" width="24.140625" style="616" customWidth="1"/>
    <col min="11523" max="11523" width="5.28515625" style="616" customWidth="1"/>
    <col min="11524" max="11524" width="62.5703125" style="616" customWidth="1"/>
    <col min="11525" max="11525" width="6.5703125" style="616" customWidth="1"/>
    <col min="11526" max="11526" width="5.85546875" style="616" customWidth="1"/>
    <col min="11527" max="11527" width="22.140625" style="616" customWidth="1"/>
    <col min="11528" max="11528" width="23.140625" style="616" customWidth="1"/>
    <col min="11529" max="11529" width="22.85546875" style="616" customWidth="1"/>
    <col min="11530" max="11530" width="5.28515625" style="616" customWidth="1"/>
    <col min="11531" max="11531" width="73.140625" style="616" customWidth="1"/>
    <col min="11532" max="11532" width="27.5703125" style="616" customWidth="1"/>
    <col min="11533" max="11533" width="24.5703125" style="616" customWidth="1"/>
    <col min="11534" max="11534" width="4" style="616" customWidth="1"/>
    <col min="11535" max="11535" width="10.140625" style="616" customWidth="1"/>
    <col min="11536" max="11776" width="11" style="616"/>
    <col min="11777" max="11777" width="3.7109375" style="616" customWidth="1"/>
    <col min="11778" max="11778" width="24.140625" style="616" customWidth="1"/>
    <col min="11779" max="11779" width="5.28515625" style="616" customWidth="1"/>
    <col min="11780" max="11780" width="62.5703125" style="616" customWidth="1"/>
    <col min="11781" max="11781" width="6.5703125" style="616" customWidth="1"/>
    <col min="11782" max="11782" width="5.85546875" style="616" customWidth="1"/>
    <col min="11783" max="11783" width="22.140625" style="616" customWidth="1"/>
    <col min="11784" max="11784" width="23.140625" style="616" customWidth="1"/>
    <col min="11785" max="11785" width="22.85546875" style="616" customWidth="1"/>
    <col min="11786" max="11786" width="5.28515625" style="616" customWidth="1"/>
    <col min="11787" max="11787" width="73.140625" style="616" customWidth="1"/>
    <col min="11788" max="11788" width="27.5703125" style="616" customWidth="1"/>
    <col min="11789" max="11789" width="24.5703125" style="616" customWidth="1"/>
    <col min="11790" max="11790" width="4" style="616" customWidth="1"/>
    <col min="11791" max="11791" width="10.140625" style="616" customWidth="1"/>
    <col min="11792" max="12032" width="11" style="616"/>
    <col min="12033" max="12033" width="3.7109375" style="616" customWidth="1"/>
    <col min="12034" max="12034" width="24.140625" style="616" customWidth="1"/>
    <col min="12035" max="12035" width="5.28515625" style="616" customWidth="1"/>
    <col min="12036" max="12036" width="62.5703125" style="616" customWidth="1"/>
    <col min="12037" max="12037" width="6.5703125" style="616" customWidth="1"/>
    <col min="12038" max="12038" width="5.85546875" style="616" customWidth="1"/>
    <col min="12039" max="12039" width="22.140625" style="616" customWidth="1"/>
    <col min="12040" max="12040" width="23.140625" style="616" customWidth="1"/>
    <col min="12041" max="12041" width="22.85546875" style="616" customWidth="1"/>
    <col min="12042" max="12042" width="5.28515625" style="616" customWidth="1"/>
    <col min="12043" max="12043" width="73.140625" style="616" customWidth="1"/>
    <col min="12044" max="12044" width="27.5703125" style="616" customWidth="1"/>
    <col min="12045" max="12045" width="24.5703125" style="616" customWidth="1"/>
    <col min="12046" max="12046" width="4" style="616" customWidth="1"/>
    <col min="12047" max="12047" width="10.140625" style="616" customWidth="1"/>
    <col min="12048" max="12288" width="11" style="616"/>
    <col min="12289" max="12289" width="3.7109375" style="616" customWidth="1"/>
    <col min="12290" max="12290" width="24.140625" style="616" customWidth="1"/>
    <col min="12291" max="12291" width="5.28515625" style="616" customWidth="1"/>
    <col min="12292" max="12292" width="62.5703125" style="616" customWidth="1"/>
    <col min="12293" max="12293" width="6.5703125" style="616" customWidth="1"/>
    <col min="12294" max="12294" width="5.85546875" style="616" customWidth="1"/>
    <col min="12295" max="12295" width="22.140625" style="616" customWidth="1"/>
    <col min="12296" max="12296" width="23.140625" style="616" customWidth="1"/>
    <col min="12297" max="12297" width="22.85546875" style="616" customWidth="1"/>
    <col min="12298" max="12298" width="5.28515625" style="616" customWidth="1"/>
    <col min="12299" max="12299" width="73.140625" style="616" customWidth="1"/>
    <col min="12300" max="12300" width="27.5703125" style="616" customWidth="1"/>
    <col min="12301" max="12301" width="24.5703125" style="616" customWidth="1"/>
    <col min="12302" max="12302" width="4" style="616" customWidth="1"/>
    <col min="12303" max="12303" width="10.140625" style="616" customWidth="1"/>
    <col min="12304" max="12544" width="11" style="616"/>
    <col min="12545" max="12545" width="3.7109375" style="616" customWidth="1"/>
    <col min="12546" max="12546" width="24.140625" style="616" customWidth="1"/>
    <col min="12547" max="12547" width="5.28515625" style="616" customWidth="1"/>
    <col min="12548" max="12548" width="62.5703125" style="616" customWidth="1"/>
    <col min="12549" max="12549" width="6.5703125" style="616" customWidth="1"/>
    <col min="12550" max="12550" width="5.85546875" style="616" customWidth="1"/>
    <col min="12551" max="12551" width="22.140625" style="616" customWidth="1"/>
    <col min="12552" max="12552" width="23.140625" style="616" customWidth="1"/>
    <col min="12553" max="12553" width="22.85546875" style="616" customWidth="1"/>
    <col min="12554" max="12554" width="5.28515625" style="616" customWidth="1"/>
    <col min="12555" max="12555" width="73.140625" style="616" customWidth="1"/>
    <col min="12556" max="12556" width="27.5703125" style="616" customWidth="1"/>
    <col min="12557" max="12557" width="24.5703125" style="616" customWidth="1"/>
    <col min="12558" max="12558" width="4" style="616" customWidth="1"/>
    <col min="12559" max="12559" width="10.140625" style="616" customWidth="1"/>
    <col min="12560" max="12800" width="11" style="616"/>
    <col min="12801" max="12801" width="3.7109375" style="616" customWidth="1"/>
    <col min="12802" max="12802" width="24.140625" style="616" customWidth="1"/>
    <col min="12803" max="12803" width="5.28515625" style="616" customWidth="1"/>
    <col min="12804" max="12804" width="62.5703125" style="616" customWidth="1"/>
    <col min="12805" max="12805" width="6.5703125" style="616" customWidth="1"/>
    <col min="12806" max="12806" width="5.85546875" style="616" customWidth="1"/>
    <col min="12807" max="12807" width="22.140625" style="616" customWidth="1"/>
    <col min="12808" max="12808" width="23.140625" style="616" customWidth="1"/>
    <col min="12809" max="12809" width="22.85546875" style="616" customWidth="1"/>
    <col min="12810" max="12810" width="5.28515625" style="616" customWidth="1"/>
    <col min="12811" max="12811" width="73.140625" style="616" customWidth="1"/>
    <col min="12812" max="12812" width="27.5703125" style="616" customWidth="1"/>
    <col min="12813" max="12813" width="24.5703125" style="616" customWidth="1"/>
    <col min="12814" max="12814" width="4" style="616" customWidth="1"/>
    <col min="12815" max="12815" width="10.140625" style="616" customWidth="1"/>
    <col min="12816" max="13056" width="11" style="616"/>
    <col min="13057" max="13057" width="3.7109375" style="616" customWidth="1"/>
    <col min="13058" max="13058" width="24.140625" style="616" customWidth="1"/>
    <col min="13059" max="13059" width="5.28515625" style="616" customWidth="1"/>
    <col min="13060" max="13060" width="62.5703125" style="616" customWidth="1"/>
    <col min="13061" max="13061" width="6.5703125" style="616" customWidth="1"/>
    <col min="13062" max="13062" width="5.85546875" style="616" customWidth="1"/>
    <col min="13063" max="13063" width="22.140625" style="616" customWidth="1"/>
    <col min="13064" max="13064" width="23.140625" style="616" customWidth="1"/>
    <col min="13065" max="13065" width="22.85546875" style="616" customWidth="1"/>
    <col min="13066" max="13066" width="5.28515625" style="616" customWidth="1"/>
    <col min="13067" max="13067" width="73.140625" style="616" customWidth="1"/>
    <col min="13068" max="13068" width="27.5703125" style="616" customWidth="1"/>
    <col min="13069" max="13069" width="24.5703125" style="616" customWidth="1"/>
    <col min="13070" max="13070" width="4" style="616" customWidth="1"/>
    <col min="13071" max="13071" width="10.140625" style="616" customWidth="1"/>
    <col min="13072" max="13312" width="11" style="616"/>
    <col min="13313" max="13313" width="3.7109375" style="616" customWidth="1"/>
    <col min="13314" max="13314" width="24.140625" style="616" customWidth="1"/>
    <col min="13315" max="13315" width="5.28515625" style="616" customWidth="1"/>
    <col min="13316" max="13316" width="62.5703125" style="616" customWidth="1"/>
    <col min="13317" max="13317" width="6.5703125" style="616" customWidth="1"/>
    <col min="13318" max="13318" width="5.85546875" style="616" customWidth="1"/>
    <col min="13319" max="13319" width="22.140625" style="616" customWidth="1"/>
    <col min="13320" max="13320" width="23.140625" style="616" customWidth="1"/>
    <col min="13321" max="13321" width="22.85546875" style="616" customWidth="1"/>
    <col min="13322" max="13322" width="5.28515625" style="616" customWidth="1"/>
    <col min="13323" max="13323" width="73.140625" style="616" customWidth="1"/>
    <col min="13324" max="13324" width="27.5703125" style="616" customWidth="1"/>
    <col min="13325" max="13325" width="24.5703125" style="616" customWidth="1"/>
    <col min="13326" max="13326" width="4" style="616" customWidth="1"/>
    <col min="13327" max="13327" width="10.140625" style="616" customWidth="1"/>
    <col min="13328" max="13568" width="11" style="616"/>
    <col min="13569" max="13569" width="3.7109375" style="616" customWidth="1"/>
    <col min="13570" max="13570" width="24.140625" style="616" customWidth="1"/>
    <col min="13571" max="13571" width="5.28515625" style="616" customWidth="1"/>
    <col min="13572" max="13572" width="62.5703125" style="616" customWidth="1"/>
    <col min="13573" max="13573" width="6.5703125" style="616" customWidth="1"/>
    <col min="13574" max="13574" width="5.85546875" style="616" customWidth="1"/>
    <col min="13575" max="13575" width="22.140625" style="616" customWidth="1"/>
    <col min="13576" max="13576" width="23.140625" style="616" customWidth="1"/>
    <col min="13577" max="13577" width="22.85546875" style="616" customWidth="1"/>
    <col min="13578" max="13578" width="5.28515625" style="616" customWidth="1"/>
    <col min="13579" max="13579" width="73.140625" style="616" customWidth="1"/>
    <col min="13580" max="13580" width="27.5703125" style="616" customWidth="1"/>
    <col min="13581" max="13581" width="24.5703125" style="616" customWidth="1"/>
    <col min="13582" max="13582" width="4" style="616" customWidth="1"/>
    <col min="13583" max="13583" width="10.140625" style="616" customWidth="1"/>
    <col min="13584" max="13824" width="11" style="616"/>
    <col min="13825" max="13825" width="3.7109375" style="616" customWidth="1"/>
    <col min="13826" max="13826" width="24.140625" style="616" customWidth="1"/>
    <col min="13827" max="13827" width="5.28515625" style="616" customWidth="1"/>
    <col min="13828" max="13828" width="62.5703125" style="616" customWidth="1"/>
    <col min="13829" max="13829" width="6.5703125" style="616" customWidth="1"/>
    <col min="13830" max="13830" width="5.85546875" style="616" customWidth="1"/>
    <col min="13831" max="13831" width="22.140625" style="616" customWidth="1"/>
    <col min="13832" max="13832" width="23.140625" style="616" customWidth="1"/>
    <col min="13833" max="13833" width="22.85546875" style="616" customWidth="1"/>
    <col min="13834" max="13834" width="5.28515625" style="616" customWidth="1"/>
    <col min="13835" max="13835" width="73.140625" style="616" customWidth="1"/>
    <col min="13836" max="13836" width="27.5703125" style="616" customWidth="1"/>
    <col min="13837" max="13837" width="24.5703125" style="616" customWidth="1"/>
    <col min="13838" max="13838" width="4" style="616" customWidth="1"/>
    <col min="13839" max="13839" width="10.140625" style="616" customWidth="1"/>
    <col min="13840" max="14080" width="11" style="616"/>
    <col min="14081" max="14081" width="3.7109375" style="616" customWidth="1"/>
    <col min="14082" max="14082" width="24.140625" style="616" customWidth="1"/>
    <col min="14083" max="14083" width="5.28515625" style="616" customWidth="1"/>
    <col min="14084" max="14084" width="62.5703125" style="616" customWidth="1"/>
    <col min="14085" max="14085" width="6.5703125" style="616" customWidth="1"/>
    <col min="14086" max="14086" width="5.85546875" style="616" customWidth="1"/>
    <col min="14087" max="14087" width="22.140625" style="616" customWidth="1"/>
    <col min="14088" max="14088" width="23.140625" style="616" customWidth="1"/>
    <col min="14089" max="14089" width="22.85546875" style="616" customWidth="1"/>
    <col min="14090" max="14090" width="5.28515625" style="616" customWidth="1"/>
    <col min="14091" max="14091" width="73.140625" style="616" customWidth="1"/>
    <col min="14092" max="14092" width="27.5703125" style="616" customWidth="1"/>
    <col min="14093" max="14093" width="24.5703125" style="616" customWidth="1"/>
    <col min="14094" max="14094" width="4" style="616" customWidth="1"/>
    <col min="14095" max="14095" width="10.140625" style="616" customWidth="1"/>
    <col min="14096" max="14336" width="11" style="616"/>
    <col min="14337" max="14337" width="3.7109375" style="616" customWidth="1"/>
    <col min="14338" max="14338" width="24.140625" style="616" customWidth="1"/>
    <col min="14339" max="14339" width="5.28515625" style="616" customWidth="1"/>
    <col min="14340" max="14340" width="62.5703125" style="616" customWidth="1"/>
    <col min="14341" max="14341" width="6.5703125" style="616" customWidth="1"/>
    <col min="14342" max="14342" width="5.85546875" style="616" customWidth="1"/>
    <col min="14343" max="14343" width="22.140625" style="616" customWidth="1"/>
    <col min="14344" max="14344" width="23.140625" style="616" customWidth="1"/>
    <col min="14345" max="14345" width="22.85546875" style="616" customWidth="1"/>
    <col min="14346" max="14346" width="5.28515625" style="616" customWidth="1"/>
    <col min="14347" max="14347" width="73.140625" style="616" customWidth="1"/>
    <col min="14348" max="14348" width="27.5703125" style="616" customWidth="1"/>
    <col min="14349" max="14349" width="24.5703125" style="616" customWidth="1"/>
    <col min="14350" max="14350" width="4" style="616" customWidth="1"/>
    <col min="14351" max="14351" width="10.140625" style="616" customWidth="1"/>
    <col min="14352" max="14592" width="11" style="616"/>
    <col min="14593" max="14593" width="3.7109375" style="616" customWidth="1"/>
    <col min="14594" max="14594" width="24.140625" style="616" customWidth="1"/>
    <col min="14595" max="14595" width="5.28515625" style="616" customWidth="1"/>
    <col min="14596" max="14596" width="62.5703125" style="616" customWidth="1"/>
    <col min="14597" max="14597" width="6.5703125" style="616" customWidth="1"/>
    <col min="14598" max="14598" width="5.85546875" style="616" customWidth="1"/>
    <col min="14599" max="14599" width="22.140625" style="616" customWidth="1"/>
    <col min="14600" max="14600" width="23.140625" style="616" customWidth="1"/>
    <col min="14601" max="14601" width="22.85546875" style="616" customWidth="1"/>
    <col min="14602" max="14602" width="5.28515625" style="616" customWidth="1"/>
    <col min="14603" max="14603" width="73.140625" style="616" customWidth="1"/>
    <col min="14604" max="14604" width="27.5703125" style="616" customWidth="1"/>
    <col min="14605" max="14605" width="24.5703125" style="616" customWidth="1"/>
    <col min="14606" max="14606" width="4" style="616" customWidth="1"/>
    <col min="14607" max="14607" width="10.140625" style="616" customWidth="1"/>
    <col min="14608" max="14848" width="11" style="616"/>
    <col min="14849" max="14849" width="3.7109375" style="616" customWidth="1"/>
    <col min="14850" max="14850" width="24.140625" style="616" customWidth="1"/>
    <col min="14851" max="14851" width="5.28515625" style="616" customWidth="1"/>
    <col min="14852" max="14852" width="62.5703125" style="616" customWidth="1"/>
    <col min="14853" max="14853" width="6.5703125" style="616" customWidth="1"/>
    <col min="14854" max="14854" width="5.85546875" style="616" customWidth="1"/>
    <col min="14855" max="14855" width="22.140625" style="616" customWidth="1"/>
    <col min="14856" max="14856" width="23.140625" style="616" customWidth="1"/>
    <col min="14857" max="14857" width="22.85546875" style="616" customWidth="1"/>
    <col min="14858" max="14858" width="5.28515625" style="616" customWidth="1"/>
    <col min="14859" max="14859" width="73.140625" style="616" customWidth="1"/>
    <col min="14860" max="14860" width="27.5703125" style="616" customWidth="1"/>
    <col min="14861" max="14861" width="24.5703125" style="616" customWidth="1"/>
    <col min="14862" max="14862" width="4" style="616" customWidth="1"/>
    <col min="14863" max="14863" width="10.140625" style="616" customWidth="1"/>
    <col min="14864" max="15104" width="11" style="616"/>
    <col min="15105" max="15105" width="3.7109375" style="616" customWidth="1"/>
    <col min="15106" max="15106" width="24.140625" style="616" customWidth="1"/>
    <col min="15107" max="15107" width="5.28515625" style="616" customWidth="1"/>
    <col min="15108" max="15108" width="62.5703125" style="616" customWidth="1"/>
    <col min="15109" max="15109" width="6.5703125" style="616" customWidth="1"/>
    <col min="15110" max="15110" width="5.85546875" style="616" customWidth="1"/>
    <col min="15111" max="15111" width="22.140625" style="616" customWidth="1"/>
    <col min="15112" max="15112" width="23.140625" style="616" customWidth="1"/>
    <col min="15113" max="15113" width="22.85546875" style="616" customWidth="1"/>
    <col min="15114" max="15114" width="5.28515625" style="616" customWidth="1"/>
    <col min="15115" max="15115" width="73.140625" style="616" customWidth="1"/>
    <col min="15116" max="15116" width="27.5703125" style="616" customWidth="1"/>
    <col min="15117" max="15117" width="24.5703125" style="616" customWidth="1"/>
    <col min="15118" max="15118" width="4" style="616" customWidth="1"/>
    <col min="15119" max="15119" width="10.140625" style="616" customWidth="1"/>
    <col min="15120" max="15360" width="11" style="616"/>
    <col min="15361" max="15361" width="3.7109375" style="616" customWidth="1"/>
    <col min="15362" max="15362" width="24.140625" style="616" customWidth="1"/>
    <col min="15363" max="15363" width="5.28515625" style="616" customWidth="1"/>
    <col min="15364" max="15364" width="62.5703125" style="616" customWidth="1"/>
    <col min="15365" max="15365" width="6.5703125" style="616" customWidth="1"/>
    <col min="15366" max="15366" width="5.85546875" style="616" customWidth="1"/>
    <col min="15367" max="15367" width="22.140625" style="616" customWidth="1"/>
    <col min="15368" max="15368" width="23.140625" style="616" customWidth="1"/>
    <col min="15369" max="15369" width="22.85546875" style="616" customWidth="1"/>
    <col min="15370" max="15370" width="5.28515625" style="616" customWidth="1"/>
    <col min="15371" max="15371" width="73.140625" style="616" customWidth="1"/>
    <col min="15372" max="15372" width="27.5703125" style="616" customWidth="1"/>
    <col min="15373" max="15373" width="24.5703125" style="616" customWidth="1"/>
    <col min="15374" max="15374" width="4" style="616" customWidth="1"/>
    <col min="15375" max="15375" width="10.140625" style="616" customWidth="1"/>
    <col min="15376" max="15616" width="11" style="616"/>
    <col min="15617" max="15617" width="3.7109375" style="616" customWidth="1"/>
    <col min="15618" max="15618" width="24.140625" style="616" customWidth="1"/>
    <col min="15619" max="15619" width="5.28515625" style="616" customWidth="1"/>
    <col min="15620" max="15620" width="62.5703125" style="616" customWidth="1"/>
    <col min="15621" max="15621" width="6.5703125" style="616" customWidth="1"/>
    <col min="15622" max="15622" width="5.85546875" style="616" customWidth="1"/>
    <col min="15623" max="15623" width="22.140625" style="616" customWidth="1"/>
    <col min="15624" max="15624" width="23.140625" style="616" customWidth="1"/>
    <col min="15625" max="15625" width="22.85546875" style="616" customWidth="1"/>
    <col min="15626" max="15626" width="5.28515625" style="616" customWidth="1"/>
    <col min="15627" max="15627" width="73.140625" style="616" customWidth="1"/>
    <col min="15628" max="15628" width="27.5703125" style="616" customWidth="1"/>
    <col min="15629" max="15629" width="24.5703125" style="616" customWidth="1"/>
    <col min="15630" max="15630" width="4" style="616" customWidth="1"/>
    <col min="15631" max="15631" width="10.140625" style="616" customWidth="1"/>
    <col min="15632" max="15872" width="11" style="616"/>
    <col min="15873" max="15873" width="3.7109375" style="616" customWidth="1"/>
    <col min="15874" max="15874" width="24.140625" style="616" customWidth="1"/>
    <col min="15875" max="15875" width="5.28515625" style="616" customWidth="1"/>
    <col min="15876" max="15876" width="62.5703125" style="616" customWidth="1"/>
    <col min="15877" max="15877" width="6.5703125" style="616" customWidth="1"/>
    <col min="15878" max="15878" width="5.85546875" style="616" customWidth="1"/>
    <col min="15879" max="15879" width="22.140625" style="616" customWidth="1"/>
    <col min="15880" max="15880" width="23.140625" style="616" customWidth="1"/>
    <col min="15881" max="15881" width="22.85546875" style="616" customWidth="1"/>
    <col min="15882" max="15882" width="5.28515625" style="616" customWidth="1"/>
    <col min="15883" max="15883" width="73.140625" style="616" customWidth="1"/>
    <col min="15884" max="15884" width="27.5703125" style="616" customWidth="1"/>
    <col min="15885" max="15885" width="24.5703125" style="616" customWidth="1"/>
    <col min="15886" max="15886" width="4" style="616" customWidth="1"/>
    <col min="15887" max="15887" width="10.140625" style="616" customWidth="1"/>
    <col min="15888" max="16128" width="11" style="616"/>
    <col min="16129" max="16129" width="3.7109375" style="616" customWidth="1"/>
    <col min="16130" max="16130" width="24.140625" style="616" customWidth="1"/>
    <col min="16131" max="16131" width="5.28515625" style="616" customWidth="1"/>
    <col min="16132" max="16132" width="62.5703125" style="616" customWidth="1"/>
    <col min="16133" max="16133" width="6.5703125" style="616" customWidth="1"/>
    <col min="16134" max="16134" width="5.85546875" style="616" customWidth="1"/>
    <col min="16135" max="16135" width="22.140625" style="616" customWidth="1"/>
    <col min="16136" max="16136" width="23.140625" style="616" customWidth="1"/>
    <col min="16137" max="16137" width="22.85546875" style="616" customWidth="1"/>
    <col min="16138" max="16138" width="5.28515625" style="616" customWidth="1"/>
    <col min="16139" max="16139" width="73.140625" style="616" customWidth="1"/>
    <col min="16140" max="16140" width="27.5703125" style="616" customWidth="1"/>
    <col min="16141" max="16141" width="24.5703125" style="616" customWidth="1"/>
    <col min="16142" max="16142" width="4" style="616" customWidth="1"/>
    <col min="16143" max="16143" width="10.140625" style="616" customWidth="1"/>
    <col min="16144" max="16384" width="11" style="616"/>
  </cols>
  <sheetData>
    <row r="2" spans="1:15" ht="24" customHeight="1">
      <c r="B2" s="616" t="s">
        <v>94</v>
      </c>
      <c r="G2" s="617"/>
      <c r="H2" s="618" t="s">
        <v>1649</v>
      </c>
      <c r="I2" s="619"/>
      <c r="J2" s="619"/>
    </row>
    <row r="3" spans="1:15" ht="26.25" customHeight="1">
      <c r="G3" s="620" t="s">
        <v>1650</v>
      </c>
      <c r="H3" s="619"/>
      <c r="I3" s="619"/>
      <c r="J3" s="619"/>
    </row>
    <row r="4" spans="1:15" ht="21" customHeight="1">
      <c r="G4" s="621"/>
      <c r="H4" s="619"/>
      <c r="I4" s="619"/>
      <c r="J4" s="619"/>
    </row>
    <row r="5" spans="1:15" ht="21" customHeight="1">
      <c r="B5" s="622" t="s">
        <v>808</v>
      </c>
      <c r="C5" s="623"/>
      <c r="D5" s="624" t="s">
        <v>1651</v>
      </c>
      <c r="E5" s="623"/>
      <c r="F5" s="625"/>
      <c r="G5" s="626"/>
      <c r="H5" s="624" t="s">
        <v>810</v>
      </c>
      <c r="I5" s="622" t="s">
        <v>808</v>
      </c>
      <c r="J5" s="623"/>
      <c r="K5" s="624" t="s">
        <v>1083</v>
      </c>
      <c r="L5" s="627"/>
      <c r="M5" s="628" t="s">
        <v>557</v>
      </c>
      <c r="N5" s="629"/>
    </row>
    <row r="6" spans="1:15" ht="22.5" customHeight="1">
      <c r="B6" s="630" t="s">
        <v>586</v>
      </c>
      <c r="C6" s="631"/>
      <c r="D6" s="631"/>
      <c r="E6" s="631"/>
      <c r="F6" s="629"/>
      <c r="G6" s="632" t="s">
        <v>586</v>
      </c>
      <c r="H6" s="633" t="s">
        <v>586</v>
      </c>
      <c r="I6" s="630" t="s">
        <v>586</v>
      </c>
      <c r="J6" s="631"/>
      <c r="K6" s="634"/>
      <c r="L6" s="635" t="s">
        <v>586</v>
      </c>
      <c r="M6" s="632" t="s">
        <v>586</v>
      </c>
      <c r="N6" s="629"/>
      <c r="O6" s="616" t="s">
        <v>94</v>
      </c>
    </row>
    <row r="7" spans="1:15" ht="23.25" customHeight="1">
      <c r="B7" s="636"/>
      <c r="C7" s="637"/>
      <c r="D7" s="638" t="s">
        <v>1652</v>
      </c>
      <c r="E7" s="639"/>
      <c r="F7" s="640"/>
      <c r="G7" s="641"/>
      <c r="H7" s="642"/>
      <c r="I7" s="636"/>
      <c r="J7" s="637"/>
      <c r="K7" s="643" t="s">
        <v>1653</v>
      </c>
      <c r="L7" s="644" t="s">
        <v>94</v>
      </c>
      <c r="M7" s="641"/>
      <c r="N7" s="629"/>
    </row>
    <row r="8" spans="1:15" ht="26.25" customHeight="1">
      <c r="B8" s="636" t="s">
        <v>94</v>
      </c>
      <c r="C8" s="645" t="s">
        <v>1654</v>
      </c>
      <c r="D8" s="639" t="s">
        <v>1655</v>
      </c>
      <c r="E8" s="639"/>
      <c r="F8" s="646"/>
      <c r="G8" s="641" t="s">
        <v>94</v>
      </c>
      <c r="H8" s="637" t="s">
        <v>94</v>
      </c>
      <c r="I8" s="636">
        <v>30564630192</v>
      </c>
      <c r="J8" s="647" t="s">
        <v>1654</v>
      </c>
      <c r="K8" s="639" t="s">
        <v>1656</v>
      </c>
      <c r="L8" s="636">
        <v>31429528606</v>
      </c>
      <c r="M8" s="641" t="s">
        <v>94</v>
      </c>
      <c r="N8" s="629"/>
    </row>
    <row r="9" spans="1:15" ht="26.25" customHeight="1">
      <c r="B9" s="636">
        <v>0</v>
      </c>
      <c r="C9" s="637"/>
      <c r="D9" s="639" t="s">
        <v>1657</v>
      </c>
      <c r="E9" s="639"/>
      <c r="F9" s="646"/>
      <c r="G9" s="641" t="s">
        <v>94</v>
      </c>
      <c r="H9" s="637">
        <v>0</v>
      </c>
      <c r="I9" s="636">
        <v>-12781781699</v>
      </c>
      <c r="J9" s="637"/>
      <c r="K9" s="639" t="s">
        <v>1658</v>
      </c>
      <c r="L9" s="636">
        <v>-13759125791</v>
      </c>
      <c r="M9" s="641"/>
      <c r="N9" s="629" t="s">
        <v>94</v>
      </c>
    </row>
    <row r="10" spans="1:15" ht="26.25" customHeight="1">
      <c r="B10" s="636"/>
      <c r="C10" s="645" t="s">
        <v>1659</v>
      </c>
      <c r="D10" s="639" t="s">
        <v>1660</v>
      </c>
      <c r="E10" s="639"/>
      <c r="F10" s="646"/>
      <c r="G10" s="641"/>
      <c r="H10" s="637" t="s">
        <v>94</v>
      </c>
      <c r="I10" s="648">
        <v>551273601</v>
      </c>
      <c r="J10" s="649" t="s">
        <v>1659</v>
      </c>
      <c r="K10" s="639" t="s">
        <v>1661</v>
      </c>
      <c r="L10" s="648">
        <v>748743995</v>
      </c>
      <c r="M10" s="650" t="s">
        <v>94</v>
      </c>
      <c r="N10" s="629"/>
      <c r="O10" s="651" t="s">
        <v>94</v>
      </c>
    </row>
    <row r="11" spans="1:15" ht="26.25" customHeight="1">
      <c r="B11" s="652">
        <v>0</v>
      </c>
      <c r="C11" s="637"/>
      <c r="D11" s="639" t="s">
        <v>1662</v>
      </c>
      <c r="E11" s="653"/>
      <c r="F11" s="654"/>
      <c r="G11" s="655" t="s">
        <v>94</v>
      </c>
      <c r="H11" s="637">
        <v>0</v>
      </c>
      <c r="I11" s="656">
        <v>18334122094</v>
      </c>
      <c r="J11" s="657"/>
      <c r="L11" s="658" t="s">
        <v>94</v>
      </c>
      <c r="M11" s="659">
        <v>18419146810</v>
      </c>
      <c r="N11" s="629"/>
    </row>
    <row r="12" spans="1:15" ht="26.25" customHeight="1">
      <c r="B12" s="652"/>
      <c r="C12" s="645" t="s">
        <v>1663</v>
      </c>
      <c r="D12" s="639" t="s">
        <v>1664</v>
      </c>
      <c r="E12" s="653"/>
      <c r="F12" s="654"/>
      <c r="G12" s="655"/>
      <c r="H12" s="637"/>
      <c r="I12" s="636" t="s">
        <v>94</v>
      </c>
      <c r="J12" s="649" t="s">
        <v>94</v>
      </c>
      <c r="K12" s="639" t="s">
        <v>94</v>
      </c>
      <c r="L12" s="660" t="s">
        <v>94</v>
      </c>
      <c r="M12" s="641" t="s">
        <v>94</v>
      </c>
      <c r="N12" s="629"/>
    </row>
    <row r="13" spans="1:15" ht="26.25" customHeight="1">
      <c r="A13" s="634"/>
      <c r="B13" s="652">
        <v>0</v>
      </c>
      <c r="C13" s="637"/>
      <c r="D13" s="639" t="s">
        <v>1665</v>
      </c>
      <c r="E13" s="653"/>
      <c r="F13" s="654"/>
      <c r="G13" s="655" t="s">
        <v>94</v>
      </c>
      <c r="H13" s="637">
        <v>0</v>
      </c>
      <c r="I13" s="636" t="s">
        <v>94</v>
      </c>
      <c r="J13" s="649" t="s">
        <v>94</v>
      </c>
      <c r="K13" s="638" t="s">
        <v>1666</v>
      </c>
      <c r="L13" s="661" t="s">
        <v>94</v>
      </c>
      <c r="M13" s="641" t="s">
        <v>94</v>
      </c>
      <c r="N13" s="629"/>
    </row>
    <row r="14" spans="1:15" ht="26.25" customHeight="1">
      <c r="A14" s="634"/>
      <c r="B14" s="636">
        <v>1370570058</v>
      </c>
      <c r="C14" s="645" t="s">
        <v>1667</v>
      </c>
      <c r="D14" s="639" t="s">
        <v>1668</v>
      </c>
      <c r="E14" s="653"/>
      <c r="F14" s="654"/>
      <c r="G14" s="641" t="s">
        <v>94</v>
      </c>
      <c r="H14" s="637">
        <v>1505678106</v>
      </c>
      <c r="I14" s="636">
        <v>135900000</v>
      </c>
      <c r="J14" s="649" t="s">
        <v>1654</v>
      </c>
      <c r="K14" s="639" t="s">
        <v>1669</v>
      </c>
      <c r="L14" s="660">
        <v>110900000</v>
      </c>
      <c r="M14" s="641" t="s">
        <v>94</v>
      </c>
      <c r="N14" s="629"/>
    </row>
    <row r="15" spans="1:15" ht="26.25" customHeight="1">
      <c r="A15" s="634"/>
      <c r="B15" s="636"/>
      <c r="C15" s="645" t="s">
        <v>1670</v>
      </c>
      <c r="D15" s="639" t="s">
        <v>1671</v>
      </c>
      <c r="E15" s="653"/>
      <c r="F15" s="654"/>
      <c r="G15" s="641"/>
      <c r="H15" s="637"/>
      <c r="I15" s="636">
        <v>20000000</v>
      </c>
      <c r="J15" s="649" t="s">
        <v>1659</v>
      </c>
      <c r="K15" s="639" t="s">
        <v>1672</v>
      </c>
      <c r="L15" s="660">
        <v>20000000</v>
      </c>
      <c r="M15" s="641" t="s">
        <v>94</v>
      </c>
      <c r="N15" s="629"/>
    </row>
    <row r="16" spans="1:15" ht="26.25" customHeight="1">
      <c r="A16" s="634"/>
      <c r="B16" s="652">
        <v>548603124</v>
      </c>
      <c r="C16" s="637"/>
      <c r="D16" s="639" t="s">
        <v>1673</v>
      </c>
      <c r="E16" s="653"/>
      <c r="F16" s="654"/>
      <c r="G16" s="655" t="s">
        <v>94</v>
      </c>
      <c r="H16" s="637">
        <v>548603124</v>
      </c>
      <c r="I16" s="636">
        <v>1250</v>
      </c>
      <c r="J16" s="649" t="s">
        <v>1663</v>
      </c>
      <c r="K16" s="639" t="s">
        <v>1674</v>
      </c>
      <c r="L16" s="660">
        <v>1250</v>
      </c>
      <c r="M16" s="641" t="s">
        <v>94</v>
      </c>
      <c r="N16" s="629"/>
      <c r="O16" s="616" t="s">
        <v>94</v>
      </c>
    </row>
    <row r="17" spans="1:15" ht="26.25" customHeight="1">
      <c r="A17" s="634"/>
      <c r="B17" s="636">
        <v>3000000</v>
      </c>
      <c r="C17" s="647" t="s">
        <v>1675</v>
      </c>
      <c r="D17" s="639" t="s">
        <v>1676</v>
      </c>
      <c r="E17" s="653"/>
      <c r="F17" s="654"/>
      <c r="G17" s="641" t="s">
        <v>94</v>
      </c>
      <c r="H17" s="637">
        <v>3000000</v>
      </c>
      <c r="I17" s="636">
        <v>71100000</v>
      </c>
      <c r="J17" s="649" t="s">
        <v>1667</v>
      </c>
      <c r="K17" s="639" t="s">
        <v>1677</v>
      </c>
      <c r="L17" s="660">
        <v>80000000</v>
      </c>
      <c r="M17" s="641" t="s">
        <v>94</v>
      </c>
      <c r="N17" s="629"/>
    </row>
    <row r="18" spans="1:15" ht="26.25" customHeight="1">
      <c r="A18" s="634"/>
      <c r="B18" s="636">
        <v>10240722013</v>
      </c>
      <c r="C18" s="647" t="s">
        <v>1678</v>
      </c>
      <c r="D18" s="639" t="s">
        <v>1679</v>
      </c>
      <c r="E18" s="653" t="s">
        <v>94</v>
      </c>
      <c r="F18" s="654" t="s">
        <v>94</v>
      </c>
      <c r="G18" s="641" t="s">
        <v>94</v>
      </c>
      <c r="H18" s="637">
        <v>10240722013</v>
      </c>
      <c r="I18" s="636">
        <v>16632000</v>
      </c>
      <c r="J18" s="637" t="s">
        <v>1670</v>
      </c>
      <c r="K18" s="639" t="s">
        <v>1680</v>
      </c>
      <c r="L18" s="636">
        <v>52632000</v>
      </c>
      <c r="M18" s="639" t="s">
        <v>94</v>
      </c>
      <c r="N18" s="629"/>
      <c r="O18" s="662" t="s">
        <v>94</v>
      </c>
    </row>
    <row r="19" spans="1:15" ht="26.25" customHeight="1">
      <c r="A19" s="634"/>
      <c r="B19" s="663"/>
      <c r="F19" s="629"/>
      <c r="G19" s="664"/>
      <c r="H19" s="665" t="s">
        <v>94</v>
      </c>
      <c r="I19" s="636">
        <v>110900000</v>
      </c>
      <c r="J19" s="649" t="s">
        <v>1675</v>
      </c>
      <c r="K19" s="639" t="s">
        <v>1681</v>
      </c>
      <c r="L19" s="648">
        <v>154900000</v>
      </c>
      <c r="M19" s="666" t="s">
        <v>94</v>
      </c>
      <c r="N19" s="629"/>
      <c r="O19" s="662" t="s">
        <v>94</v>
      </c>
    </row>
    <row r="20" spans="1:15" ht="26.25" customHeight="1">
      <c r="A20" s="634"/>
      <c r="B20" s="660">
        <v>17807841857</v>
      </c>
      <c r="C20" s="647" t="s">
        <v>1682</v>
      </c>
      <c r="D20" s="639" t="s">
        <v>1683</v>
      </c>
      <c r="E20" s="653" t="s">
        <v>94</v>
      </c>
      <c r="F20" s="654" t="s">
        <v>94</v>
      </c>
      <c r="G20" s="641">
        <v>18747680301</v>
      </c>
      <c r="H20" s="637"/>
      <c r="I20" s="667">
        <v>354533250</v>
      </c>
      <c r="L20" s="663"/>
      <c r="M20" s="668">
        <v>418433250</v>
      </c>
      <c r="N20" s="629"/>
      <c r="O20" s="669"/>
    </row>
    <row r="21" spans="1:15" ht="26.25" customHeight="1">
      <c r="A21" s="634"/>
      <c r="B21" s="660">
        <v>-12781781699</v>
      </c>
      <c r="C21" s="637"/>
      <c r="D21" s="639" t="s">
        <v>1684</v>
      </c>
      <c r="E21" s="670" t="s">
        <v>94</v>
      </c>
      <c r="F21" s="671" t="s">
        <v>1685</v>
      </c>
      <c r="G21" s="672">
        <v>13759125791</v>
      </c>
      <c r="H21" s="673">
        <v>4988554510</v>
      </c>
      <c r="I21" s="636"/>
      <c r="J21" s="637"/>
      <c r="K21" s="674" t="s">
        <v>1686</v>
      </c>
      <c r="L21" s="660"/>
      <c r="M21" s="641"/>
      <c r="N21" s="629"/>
    </row>
    <row r="22" spans="1:15" ht="26.25" customHeight="1">
      <c r="A22" s="634"/>
      <c r="B22" s="661" t="s">
        <v>94</v>
      </c>
      <c r="F22" s="629"/>
      <c r="G22" s="634"/>
      <c r="H22" s="661" t="s">
        <v>94</v>
      </c>
      <c r="I22" s="641">
        <v>600000000</v>
      </c>
      <c r="J22" s="639" t="s">
        <v>1654</v>
      </c>
      <c r="K22" s="641" t="s">
        <v>1687</v>
      </c>
      <c r="L22" s="636">
        <v>600000000</v>
      </c>
      <c r="N22" s="629"/>
      <c r="O22" s="662" t="s">
        <v>94</v>
      </c>
    </row>
    <row r="23" spans="1:15" ht="26.25" customHeight="1">
      <c r="A23" s="634"/>
      <c r="B23" s="663"/>
      <c r="F23" s="629"/>
      <c r="G23" s="664"/>
      <c r="I23" s="636"/>
      <c r="J23" s="637" t="s">
        <v>1659</v>
      </c>
      <c r="K23" s="641" t="s">
        <v>1688</v>
      </c>
      <c r="L23" s="636"/>
      <c r="N23" s="629"/>
    </row>
    <row r="24" spans="1:15" ht="26.25" customHeight="1">
      <c r="A24" s="634"/>
      <c r="B24" s="636">
        <v>4872500000</v>
      </c>
      <c r="C24" s="647" t="s">
        <v>1689</v>
      </c>
      <c r="D24" s="639" t="s">
        <v>842</v>
      </c>
      <c r="E24" s="653" t="s">
        <v>94</v>
      </c>
      <c r="F24" s="654"/>
      <c r="G24" s="641" t="s">
        <v>94</v>
      </c>
      <c r="H24" s="665">
        <v>4872500000</v>
      </c>
      <c r="I24" s="636">
        <v>149773422</v>
      </c>
      <c r="J24" s="637" t="s">
        <v>94</v>
      </c>
      <c r="K24" s="641" t="s">
        <v>1690</v>
      </c>
      <c r="L24" s="641">
        <v>151667415</v>
      </c>
      <c r="N24" s="629"/>
    </row>
    <row r="25" spans="1:15" ht="26.25" customHeight="1">
      <c r="A25" s="634"/>
      <c r="B25" s="636">
        <v>25200000</v>
      </c>
      <c r="C25" s="647" t="s">
        <v>1691</v>
      </c>
      <c r="D25" s="639" t="s">
        <v>1692</v>
      </c>
      <c r="E25" s="653" t="s">
        <v>94</v>
      </c>
      <c r="F25" s="654"/>
      <c r="G25" s="641" t="s">
        <v>94</v>
      </c>
      <c r="H25" s="665">
        <v>25200000</v>
      </c>
      <c r="I25" s="636">
        <v>1094703</v>
      </c>
      <c r="J25" s="649" t="s">
        <v>1663</v>
      </c>
      <c r="K25" s="641" t="s">
        <v>1693</v>
      </c>
      <c r="L25" s="641">
        <v>1094703</v>
      </c>
      <c r="N25" s="629"/>
    </row>
    <row r="26" spans="1:15" ht="26.25" customHeight="1">
      <c r="A26" s="634"/>
      <c r="B26" s="636"/>
      <c r="C26" s="637" t="s">
        <v>1694</v>
      </c>
      <c r="D26" s="639" t="s">
        <v>1695</v>
      </c>
      <c r="E26" s="653"/>
      <c r="F26" s="654" t="s">
        <v>277</v>
      </c>
      <c r="G26" s="641"/>
      <c r="H26" s="634"/>
      <c r="I26" s="636"/>
      <c r="J26" s="649" t="s">
        <v>1667</v>
      </c>
      <c r="K26" s="641" t="s">
        <v>1696</v>
      </c>
      <c r="L26" s="641"/>
      <c r="N26" s="629"/>
    </row>
    <row r="27" spans="1:15" ht="26.25" customHeight="1">
      <c r="A27" s="634"/>
      <c r="B27" s="636">
        <v>1721608607</v>
      </c>
      <c r="C27" s="637"/>
      <c r="D27" s="639" t="s">
        <v>1697</v>
      </c>
      <c r="E27" s="653"/>
      <c r="F27" s="654"/>
      <c r="G27" s="641">
        <v>1756537607</v>
      </c>
      <c r="H27" s="634"/>
      <c r="I27" s="636">
        <v>335080</v>
      </c>
      <c r="J27" s="649"/>
      <c r="K27" s="641" t="s">
        <v>1698</v>
      </c>
      <c r="L27" s="648">
        <v>318080</v>
      </c>
      <c r="N27" s="629"/>
    </row>
    <row r="28" spans="1:15" ht="26.25" customHeight="1">
      <c r="A28" s="634"/>
      <c r="B28" s="636">
        <v>3366762318</v>
      </c>
      <c r="C28" s="637"/>
      <c r="D28" s="675" t="s">
        <v>1699</v>
      </c>
      <c r="E28" s="653"/>
      <c r="F28" s="654"/>
      <c r="G28" s="641">
        <v>3366762318</v>
      </c>
      <c r="H28" s="634"/>
      <c r="I28" s="656">
        <v>751203205</v>
      </c>
      <c r="J28" s="649"/>
      <c r="K28" s="641" t="s">
        <v>94</v>
      </c>
      <c r="L28" s="670" t="s">
        <v>94</v>
      </c>
      <c r="M28" s="659">
        <v>753080198</v>
      </c>
      <c r="N28" s="629"/>
    </row>
    <row r="29" spans="1:15" ht="26.25" customHeight="1">
      <c r="A29" s="634"/>
      <c r="B29" s="636">
        <v>564641913</v>
      </c>
      <c r="C29" s="637"/>
      <c r="D29" s="675" t="s">
        <v>1700</v>
      </c>
      <c r="E29" s="653"/>
      <c r="F29" s="654"/>
      <c r="G29" s="676">
        <v>648320218</v>
      </c>
      <c r="H29" s="637">
        <v>5771620143</v>
      </c>
      <c r="I29" s="652" t="s">
        <v>94</v>
      </c>
      <c r="J29" s="649"/>
      <c r="K29" s="641"/>
      <c r="L29" s="641"/>
      <c r="N29" s="629"/>
    </row>
    <row r="30" spans="1:15" ht="26.25" customHeight="1">
      <c r="A30" s="634"/>
      <c r="B30" s="636" t="s">
        <v>94</v>
      </c>
      <c r="C30" s="637"/>
      <c r="D30" s="639" t="s">
        <v>94</v>
      </c>
      <c r="E30" s="653"/>
      <c r="F30" s="654"/>
      <c r="G30" s="641" t="s">
        <v>94</v>
      </c>
      <c r="H30" s="637" t="s">
        <v>94</v>
      </c>
      <c r="I30" s="663"/>
      <c r="J30" s="637" t="s">
        <v>1670</v>
      </c>
      <c r="K30" s="641" t="s">
        <v>1701</v>
      </c>
      <c r="L30" s="670" t="s">
        <v>94</v>
      </c>
      <c r="M30" s="670" t="s">
        <v>94</v>
      </c>
      <c r="N30" s="629"/>
    </row>
    <row r="31" spans="1:15" ht="26.25" customHeight="1">
      <c r="A31" s="634"/>
      <c r="B31" s="667">
        <v>27739668191</v>
      </c>
      <c r="F31" s="629"/>
      <c r="G31" s="664"/>
      <c r="H31" s="677">
        <v>27955877896</v>
      </c>
      <c r="I31" s="636">
        <v>217706976</v>
      </c>
      <c r="J31" s="637"/>
      <c r="K31" s="641" t="s">
        <v>1702</v>
      </c>
      <c r="M31" s="636">
        <v>365573590</v>
      </c>
      <c r="N31" s="629"/>
    </row>
    <row r="32" spans="1:15" ht="26.25" customHeight="1">
      <c r="A32" s="634"/>
      <c r="B32" s="652" t="s">
        <v>94</v>
      </c>
      <c r="C32" s="637" t="s">
        <v>94</v>
      </c>
      <c r="D32" s="621" t="s">
        <v>1703</v>
      </c>
      <c r="E32" s="653"/>
      <c r="F32" s="654"/>
      <c r="G32" s="655" t="s">
        <v>94</v>
      </c>
      <c r="H32" s="637" t="s">
        <v>94</v>
      </c>
      <c r="I32" s="663"/>
      <c r="J32" s="637"/>
      <c r="K32" s="639"/>
      <c r="L32" s="652"/>
      <c r="M32" s="660" t="s">
        <v>94</v>
      </c>
      <c r="N32" s="629"/>
      <c r="O32" s="616" t="s">
        <v>94</v>
      </c>
    </row>
    <row r="33" spans="1:17" ht="26.25" customHeight="1">
      <c r="A33" s="634"/>
      <c r="B33" s="652" t="s">
        <v>94</v>
      </c>
      <c r="C33" s="637" t="s">
        <v>1654</v>
      </c>
      <c r="D33" s="639" t="s">
        <v>1704</v>
      </c>
      <c r="E33" s="653"/>
      <c r="F33" s="654"/>
      <c r="G33" s="655" t="s">
        <v>94</v>
      </c>
      <c r="H33" s="637"/>
      <c r="I33" s="660">
        <v>6315877</v>
      </c>
      <c r="J33" s="647" t="s">
        <v>1675</v>
      </c>
      <c r="K33" s="639" t="s">
        <v>1705</v>
      </c>
      <c r="L33" s="652" t="s">
        <v>94</v>
      </c>
      <c r="M33" s="670">
        <v>11258439</v>
      </c>
      <c r="N33" s="629"/>
    </row>
    <row r="34" spans="1:17" ht="26.25" customHeight="1">
      <c r="A34" s="634"/>
      <c r="B34" s="646">
        <v>139845489</v>
      </c>
      <c r="C34" s="629"/>
      <c r="D34" s="639" t="s">
        <v>1706</v>
      </c>
      <c r="F34" s="629"/>
      <c r="G34" s="639">
        <v>185968346</v>
      </c>
      <c r="H34" s="629"/>
      <c r="I34" s="636">
        <v>5827398934</v>
      </c>
      <c r="J34" s="647" t="s">
        <v>1678</v>
      </c>
      <c r="K34" s="639" t="s">
        <v>1707</v>
      </c>
      <c r="L34" s="652" t="s">
        <v>94</v>
      </c>
      <c r="M34" s="641">
        <v>6004726633</v>
      </c>
      <c r="N34" s="629"/>
    </row>
    <row r="35" spans="1:17" ht="26.25" customHeight="1">
      <c r="A35" s="634"/>
      <c r="B35" s="652">
        <v>76285642</v>
      </c>
      <c r="C35" s="637" t="s">
        <v>1659</v>
      </c>
      <c r="D35" s="639" t="s">
        <v>1708</v>
      </c>
      <c r="E35" s="653"/>
      <c r="F35" s="654"/>
      <c r="G35" s="655">
        <v>84487447</v>
      </c>
      <c r="H35" s="637"/>
      <c r="I35" s="660"/>
      <c r="J35" s="647" t="s">
        <v>1682</v>
      </c>
      <c r="K35" s="639" t="s">
        <v>1709</v>
      </c>
      <c r="L35" s="652" t="s">
        <v>94</v>
      </c>
      <c r="M35" s="670"/>
      <c r="N35" s="629"/>
    </row>
    <row r="36" spans="1:17" ht="26.25" customHeight="1">
      <c r="A36" s="634"/>
      <c r="B36" s="636">
        <v>1936721338</v>
      </c>
      <c r="C36" s="637" t="s">
        <v>1663</v>
      </c>
      <c r="D36" s="639" t="s">
        <v>1710</v>
      </c>
      <c r="E36" s="639"/>
      <c r="F36" s="678"/>
      <c r="G36" s="676">
        <v>1939921338</v>
      </c>
      <c r="H36" s="665" t="s">
        <v>94</v>
      </c>
      <c r="I36" s="636">
        <v>97062275</v>
      </c>
      <c r="J36" s="637"/>
      <c r="K36" s="639" t="s">
        <v>1711</v>
      </c>
      <c r="L36" s="636">
        <v>122691993</v>
      </c>
      <c r="M36" s="670" t="s">
        <v>94</v>
      </c>
      <c r="N36" s="629"/>
    </row>
    <row r="37" spans="1:17" ht="26.25" customHeight="1">
      <c r="A37" s="634"/>
      <c r="B37" s="656">
        <v>2152852469</v>
      </c>
      <c r="F37" s="629"/>
      <c r="G37" s="664"/>
      <c r="H37" s="679">
        <v>2210377131</v>
      </c>
      <c r="I37" s="636">
        <v>-150158455</v>
      </c>
      <c r="J37" s="637"/>
      <c r="K37" s="639" t="s">
        <v>1712</v>
      </c>
      <c r="L37" s="636">
        <v>-2292119765</v>
      </c>
      <c r="M37" s="670" t="s">
        <v>94</v>
      </c>
      <c r="N37" s="629"/>
    </row>
    <row r="38" spans="1:17" ht="26.25" customHeight="1">
      <c r="A38" s="634"/>
      <c r="B38" s="652"/>
      <c r="C38" s="637"/>
      <c r="D38" s="638" t="s">
        <v>1713</v>
      </c>
      <c r="E38" s="639"/>
      <c r="F38" s="646"/>
      <c r="G38" s="655"/>
      <c r="I38" s="648">
        <v>500</v>
      </c>
      <c r="J38" s="637" t="s">
        <v>94</v>
      </c>
      <c r="K38" s="639" t="s">
        <v>1714</v>
      </c>
      <c r="L38" s="648">
        <v>500</v>
      </c>
      <c r="M38" s="670" t="s">
        <v>94</v>
      </c>
      <c r="N38" s="629"/>
    </row>
    <row r="39" spans="1:17" ht="26.25" customHeight="1">
      <c r="A39" s="634"/>
      <c r="B39" s="636">
        <v>15958338</v>
      </c>
      <c r="C39" s="637"/>
      <c r="D39" s="639" t="s">
        <v>1715</v>
      </c>
      <c r="E39" s="639"/>
      <c r="F39" s="646"/>
      <c r="G39" s="641">
        <v>14362505</v>
      </c>
      <c r="I39" s="667">
        <v>-53095680</v>
      </c>
      <c r="J39" s="637"/>
      <c r="K39" s="639"/>
      <c r="L39" s="640"/>
      <c r="M39" s="659">
        <v>-2169427272</v>
      </c>
      <c r="N39" s="634" t="s">
        <v>94</v>
      </c>
    </row>
    <row r="40" spans="1:17" ht="26.25" customHeight="1">
      <c r="A40" s="634"/>
      <c r="B40" s="636">
        <v>813980700</v>
      </c>
      <c r="C40" s="637"/>
      <c r="D40" s="639" t="s">
        <v>1042</v>
      </c>
      <c r="E40" s="653"/>
      <c r="F40" s="654"/>
      <c r="G40" s="641">
        <v>768759550</v>
      </c>
      <c r="H40" s="671" t="s">
        <v>94</v>
      </c>
      <c r="I40" s="663"/>
      <c r="L40" s="663"/>
      <c r="M40" s="663"/>
      <c r="N40" s="634"/>
    </row>
    <row r="41" spans="1:17" ht="26.25" customHeight="1">
      <c r="A41" s="634"/>
      <c r="B41" s="636">
        <v>0</v>
      </c>
      <c r="D41" s="639" t="s">
        <v>1716</v>
      </c>
      <c r="F41" s="629"/>
      <c r="G41" s="641">
        <v>4000000000</v>
      </c>
      <c r="I41" s="663"/>
      <c r="L41" s="663"/>
      <c r="M41" s="663"/>
      <c r="N41" s="634"/>
    </row>
    <row r="42" spans="1:17" ht="26.25" customHeight="1">
      <c r="A42" s="634"/>
      <c r="B42" s="636">
        <v>379850000</v>
      </c>
      <c r="C42" s="637"/>
      <c r="D42" s="639" t="s">
        <v>1217</v>
      </c>
      <c r="E42" s="653"/>
      <c r="F42" s="654"/>
      <c r="G42" s="641">
        <v>379850000</v>
      </c>
      <c r="H42" s="671" t="s">
        <v>94</v>
      </c>
      <c r="I42" s="663"/>
      <c r="J42" s="629"/>
      <c r="L42" s="663"/>
      <c r="M42" s="663"/>
      <c r="N42" s="629"/>
    </row>
    <row r="43" spans="1:17" ht="26.25" customHeight="1">
      <c r="A43" s="634"/>
      <c r="B43" s="636">
        <v>1250000000</v>
      </c>
      <c r="C43" s="637"/>
      <c r="D43" s="639" t="s">
        <v>1717</v>
      </c>
      <c r="E43" s="653"/>
      <c r="F43" s="654"/>
      <c r="G43" s="641">
        <v>1000000000</v>
      </c>
      <c r="H43" s="671" t="s">
        <v>94</v>
      </c>
      <c r="I43" s="663"/>
      <c r="J43" s="629"/>
      <c r="L43" s="663"/>
      <c r="M43" s="663"/>
      <c r="N43" s="629"/>
    </row>
    <row r="44" spans="1:17" ht="26.25" customHeight="1">
      <c r="A44" s="634"/>
      <c r="B44" s="636">
        <v>16885666668</v>
      </c>
      <c r="C44" s="637"/>
      <c r="D44" s="639" t="s">
        <v>1718</v>
      </c>
      <c r="E44" s="653"/>
      <c r="F44" s="680"/>
      <c r="G44" s="676">
        <v>14140750000</v>
      </c>
      <c r="H44" s="671" t="s">
        <v>94</v>
      </c>
      <c r="I44" s="663"/>
      <c r="J44" s="629"/>
      <c r="L44" s="663"/>
      <c r="M44" s="663"/>
      <c r="N44" s="629"/>
    </row>
    <row r="45" spans="1:17" ht="26.25" customHeight="1">
      <c r="A45" s="634"/>
      <c r="B45" s="667">
        <v>19345455706</v>
      </c>
      <c r="F45" s="629"/>
      <c r="G45" s="664"/>
      <c r="H45" s="667">
        <v>20303722055</v>
      </c>
      <c r="I45" s="636"/>
      <c r="J45" s="637"/>
      <c r="K45" s="639"/>
      <c r="L45" s="636"/>
      <c r="M45" s="670"/>
      <c r="N45" s="629"/>
    </row>
    <row r="46" spans="1:17" ht="26.25" customHeight="1">
      <c r="A46" s="634"/>
      <c r="B46" s="663"/>
      <c r="F46" s="629"/>
      <c r="G46" s="664"/>
      <c r="I46" s="636"/>
      <c r="J46" s="637"/>
      <c r="K46" s="639"/>
      <c r="L46" s="636"/>
      <c r="M46" s="670"/>
      <c r="N46" s="629"/>
    </row>
    <row r="47" spans="1:17" ht="26.25" customHeight="1">
      <c r="A47" s="634"/>
      <c r="B47" s="681">
        <v>49237976366</v>
      </c>
      <c r="C47" s="682"/>
      <c r="D47" s="682" t="s">
        <v>1719</v>
      </c>
      <c r="E47" s="682"/>
      <c r="F47" s="683"/>
      <c r="G47" s="684" t="s">
        <v>94</v>
      </c>
      <c r="H47" s="681">
        <v>50469977082</v>
      </c>
      <c r="I47" s="681">
        <v>25438184656</v>
      </c>
      <c r="J47" s="682"/>
      <c r="K47" s="682" t="s">
        <v>1719</v>
      </c>
      <c r="L47" s="685"/>
      <c r="M47" s="681">
        <v>23802791648</v>
      </c>
      <c r="N47" s="629"/>
      <c r="O47" s="686"/>
      <c r="P47" s="686"/>
      <c r="Q47" s="686"/>
    </row>
    <row r="48" spans="1:17" ht="18.75" customHeight="1">
      <c r="B48" s="687" t="s">
        <v>94</v>
      </c>
      <c r="F48" s="688"/>
      <c r="G48" s="689"/>
      <c r="H48" s="688"/>
      <c r="I48" s="688"/>
      <c r="J48" s="690"/>
      <c r="K48" s="688"/>
      <c r="L48" s="688"/>
      <c r="M48" s="691" t="s">
        <v>845</v>
      </c>
      <c r="N48" s="634"/>
    </row>
    <row r="49" spans="2:14" ht="26.25" customHeight="1">
      <c r="B49" s="692" t="s">
        <v>94</v>
      </c>
      <c r="E49" s="619"/>
      <c r="G49" s="621" t="s">
        <v>1720</v>
      </c>
    </row>
    <row r="50" spans="2:14" ht="26.25" customHeight="1">
      <c r="B50" s="622" t="s">
        <v>808</v>
      </c>
      <c r="C50" s="623"/>
      <c r="D50" s="624" t="s">
        <v>1721</v>
      </c>
      <c r="E50" s="623"/>
      <c r="F50" s="625"/>
      <c r="G50" s="626"/>
      <c r="H50" s="624" t="s">
        <v>810</v>
      </c>
      <c r="I50" s="622" t="s">
        <v>808</v>
      </c>
      <c r="J50" s="625"/>
      <c r="K50" s="624" t="s">
        <v>1083</v>
      </c>
      <c r="L50" s="627"/>
      <c r="M50" s="622" t="s">
        <v>557</v>
      </c>
      <c r="N50" s="629"/>
    </row>
    <row r="51" spans="2:14" ht="22.5" customHeight="1">
      <c r="B51" s="630" t="s">
        <v>586</v>
      </c>
      <c r="C51" s="631"/>
      <c r="D51" s="631" t="s">
        <v>94</v>
      </c>
      <c r="E51" s="631"/>
      <c r="F51" s="625"/>
      <c r="G51" s="632" t="s">
        <v>586</v>
      </c>
      <c r="H51" s="632" t="s">
        <v>586</v>
      </c>
      <c r="I51" s="630" t="s">
        <v>586</v>
      </c>
      <c r="J51" s="693"/>
      <c r="K51" s="694"/>
      <c r="L51" s="630" t="s">
        <v>586</v>
      </c>
      <c r="M51" s="630" t="s">
        <v>586</v>
      </c>
      <c r="N51" s="629"/>
    </row>
    <row r="52" spans="2:14" ht="26.25" customHeight="1">
      <c r="B52" s="660">
        <v>49237976366</v>
      </c>
      <c r="C52" s="637"/>
      <c r="D52" s="639" t="s">
        <v>1722</v>
      </c>
      <c r="E52" s="639"/>
      <c r="F52" s="640"/>
      <c r="G52" s="695"/>
      <c r="H52" s="671">
        <v>50469977082</v>
      </c>
      <c r="I52" s="654">
        <v>25438184656</v>
      </c>
      <c r="J52" s="646"/>
      <c r="K52" s="639" t="s">
        <v>1723</v>
      </c>
      <c r="L52" s="644"/>
      <c r="M52" s="660">
        <v>23802791648</v>
      </c>
      <c r="N52" s="629"/>
    </row>
    <row r="53" spans="2:14" ht="26.25" customHeight="1">
      <c r="B53" s="660"/>
      <c r="C53" s="637"/>
      <c r="D53" s="639"/>
      <c r="E53" s="639"/>
      <c r="F53" s="646"/>
      <c r="G53" s="641"/>
      <c r="H53" s="671"/>
      <c r="I53" s="654"/>
      <c r="J53" s="646"/>
      <c r="K53" s="639"/>
      <c r="L53" s="636"/>
      <c r="M53" s="660"/>
      <c r="N53" s="629"/>
    </row>
    <row r="54" spans="2:14" ht="26.25" customHeight="1">
      <c r="B54" s="636"/>
      <c r="C54" s="637"/>
      <c r="D54" s="621" t="s">
        <v>1724</v>
      </c>
      <c r="E54" s="637"/>
      <c r="F54" s="646"/>
      <c r="G54" s="641"/>
      <c r="H54" s="655" t="s">
        <v>94</v>
      </c>
      <c r="I54" s="646"/>
      <c r="J54" s="646" t="s">
        <v>1682</v>
      </c>
      <c r="K54" s="638" t="s">
        <v>1281</v>
      </c>
      <c r="L54" s="660"/>
      <c r="M54" s="660"/>
      <c r="N54" s="629"/>
    </row>
    <row r="55" spans="2:14" ht="26.25" customHeight="1">
      <c r="B55" s="652" t="s">
        <v>94</v>
      </c>
      <c r="C55" s="696" t="s">
        <v>1725</v>
      </c>
      <c r="D55" s="638" t="s">
        <v>1726</v>
      </c>
      <c r="E55" s="653"/>
      <c r="F55" s="654"/>
      <c r="G55" s="655" t="s">
        <v>94</v>
      </c>
      <c r="H55" s="670"/>
      <c r="I55" s="636">
        <v>31897910</v>
      </c>
      <c r="J55" s="697" t="s">
        <v>1259</v>
      </c>
      <c r="K55" s="639" t="s">
        <v>1727</v>
      </c>
      <c r="L55" s="636">
        <v>31411113</v>
      </c>
      <c r="M55" s="660" t="s">
        <v>94</v>
      </c>
      <c r="N55" s="629"/>
    </row>
    <row r="56" spans="2:14" ht="26.25" customHeight="1">
      <c r="B56" s="636">
        <v>28120996</v>
      </c>
      <c r="C56" s="647" t="s">
        <v>1728</v>
      </c>
      <c r="D56" s="639" t="s">
        <v>1729</v>
      </c>
      <c r="E56" s="653"/>
      <c r="F56" s="654"/>
      <c r="G56" s="641">
        <v>29822833</v>
      </c>
      <c r="H56" s="670"/>
      <c r="I56" s="636">
        <v>195895408</v>
      </c>
      <c r="J56" s="697" t="s">
        <v>1730</v>
      </c>
      <c r="K56" s="639" t="s">
        <v>1288</v>
      </c>
      <c r="L56" s="636">
        <v>193763193</v>
      </c>
      <c r="M56" s="660" t="s">
        <v>94</v>
      </c>
      <c r="N56" s="629"/>
    </row>
    <row r="57" spans="2:14" ht="26.25" customHeight="1">
      <c r="B57" s="636">
        <v>3438990344</v>
      </c>
      <c r="C57" s="647" t="s">
        <v>1731</v>
      </c>
      <c r="D57" s="639" t="s">
        <v>1732</v>
      </c>
      <c r="E57" s="653"/>
      <c r="F57" s="654"/>
      <c r="G57" s="641">
        <v>3531381035</v>
      </c>
      <c r="H57" s="670"/>
      <c r="I57" s="636">
        <v>195923093</v>
      </c>
      <c r="J57" s="698" t="s">
        <v>1733</v>
      </c>
      <c r="K57" s="639" t="s">
        <v>1734</v>
      </c>
      <c r="L57" s="636">
        <v>223133293</v>
      </c>
      <c r="M57" s="660" t="s">
        <v>94</v>
      </c>
      <c r="N57" s="629"/>
    </row>
    <row r="58" spans="2:14" ht="26.25" customHeight="1">
      <c r="B58" s="636">
        <v>2038420205</v>
      </c>
      <c r="C58" s="647" t="s">
        <v>1735</v>
      </c>
      <c r="D58" s="639" t="s">
        <v>1736</v>
      </c>
      <c r="E58" s="653"/>
      <c r="F58" s="654"/>
      <c r="G58" s="641">
        <v>2077063609</v>
      </c>
      <c r="H58" s="670" t="s">
        <v>94</v>
      </c>
      <c r="I58" s="636">
        <v>15323194</v>
      </c>
      <c r="J58" s="697" t="s">
        <v>1737</v>
      </c>
      <c r="K58" s="639" t="s">
        <v>1738</v>
      </c>
      <c r="L58" s="636">
        <v>45422928</v>
      </c>
      <c r="M58" s="660" t="s">
        <v>94</v>
      </c>
      <c r="N58" s="629"/>
    </row>
    <row r="59" spans="2:14" ht="26.25" customHeight="1">
      <c r="B59" s="636">
        <v>335080</v>
      </c>
      <c r="C59" s="647" t="s">
        <v>1739</v>
      </c>
      <c r="D59" s="639" t="s">
        <v>1740</v>
      </c>
      <c r="E59" s="653"/>
      <c r="F59" s="654"/>
      <c r="G59" s="641">
        <v>318080</v>
      </c>
      <c r="H59" s="670" t="s">
        <v>94</v>
      </c>
      <c r="I59" s="636">
        <v>949455268</v>
      </c>
      <c r="J59" s="697" t="s">
        <v>1741</v>
      </c>
      <c r="K59" s="639" t="s">
        <v>1742</v>
      </c>
      <c r="L59" s="636">
        <v>963170491</v>
      </c>
      <c r="M59" s="660"/>
      <c r="N59" s="629"/>
    </row>
    <row r="60" spans="2:14" ht="26.25" customHeight="1">
      <c r="B60" s="659">
        <v>5505866625</v>
      </c>
      <c r="C60" s="637"/>
      <c r="D60" s="639"/>
      <c r="E60" s="639"/>
      <c r="F60" s="646"/>
      <c r="G60" s="641"/>
      <c r="H60" s="659">
        <v>5638585557</v>
      </c>
      <c r="I60" s="636">
        <v>7921810</v>
      </c>
      <c r="J60" s="697" t="s">
        <v>1743</v>
      </c>
      <c r="K60" s="639" t="s">
        <v>1744</v>
      </c>
      <c r="L60" s="636">
        <v>7825640</v>
      </c>
      <c r="M60" s="660" t="s">
        <v>94</v>
      </c>
      <c r="N60" s="629"/>
    </row>
    <row r="61" spans="2:14" ht="26.25" customHeight="1">
      <c r="B61" s="636"/>
      <c r="C61" s="696" t="s">
        <v>1745</v>
      </c>
      <c r="D61" s="638" t="s">
        <v>1746</v>
      </c>
      <c r="E61" s="653"/>
      <c r="F61" s="654"/>
      <c r="G61" s="670" t="s">
        <v>94</v>
      </c>
      <c r="H61" s="671"/>
      <c r="I61" s="636">
        <v>504</v>
      </c>
      <c r="J61" s="697" t="s">
        <v>1747</v>
      </c>
      <c r="K61" s="639" t="s">
        <v>1748</v>
      </c>
      <c r="L61" s="648">
        <v>504</v>
      </c>
      <c r="M61" s="660" t="s">
        <v>94</v>
      </c>
      <c r="N61" s="629"/>
    </row>
    <row r="62" spans="2:14" ht="26.25" customHeight="1">
      <c r="B62" s="636"/>
      <c r="C62" s="637"/>
      <c r="D62" s="639" t="s">
        <v>94</v>
      </c>
      <c r="E62" s="653"/>
      <c r="F62" s="654"/>
      <c r="G62" s="670"/>
      <c r="H62" s="671"/>
      <c r="I62" s="659">
        <v>1396417187</v>
      </c>
      <c r="J62" s="646"/>
      <c r="K62" s="639"/>
      <c r="L62" s="636"/>
      <c r="M62" s="659">
        <v>1464727162</v>
      </c>
      <c r="N62" s="629"/>
    </row>
    <row r="63" spans="2:14" ht="26.25" customHeight="1">
      <c r="B63" s="636">
        <v>603401501</v>
      </c>
      <c r="C63" s="647" t="s">
        <v>1728</v>
      </c>
      <c r="D63" s="639" t="s">
        <v>1749</v>
      </c>
      <c r="E63" s="653"/>
      <c r="F63" s="654"/>
      <c r="G63" s="641">
        <v>676946327</v>
      </c>
      <c r="H63" s="670"/>
      <c r="I63" s="654"/>
      <c r="J63" s="646"/>
      <c r="K63" s="639"/>
      <c r="L63" s="636"/>
      <c r="M63" s="670"/>
      <c r="N63" s="629"/>
    </row>
    <row r="64" spans="2:14" ht="26.25" customHeight="1">
      <c r="B64" s="636">
        <v>3657582606</v>
      </c>
      <c r="C64" s="647" t="s">
        <v>1731</v>
      </c>
      <c r="D64" s="639" t="s">
        <v>194</v>
      </c>
      <c r="E64" s="653"/>
      <c r="F64" s="654"/>
      <c r="G64" s="641">
        <v>3881173959</v>
      </c>
      <c r="H64" s="670"/>
      <c r="I64" s="646"/>
      <c r="J64" s="646"/>
      <c r="K64" s="638" t="s">
        <v>1750</v>
      </c>
      <c r="L64" s="660" t="s">
        <v>94</v>
      </c>
      <c r="M64" s="660"/>
      <c r="N64" s="629"/>
    </row>
    <row r="65" spans="1:15" ht="26.25" customHeight="1">
      <c r="B65" s="636">
        <v>830105050</v>
      </c>
      <c r="C65" s="647" t="s">
        <v>1735</v>
      </c>
      <c r="D65" s="639" t="s">
        <v>1751</v>
      </c>
      <c r="E65" s="653"/>
      <c r="F65" s="654"/>
      <c r="G65" s="641">
        <v>2183885541</v>
      </c>
      <c r="H65" s="670"/>
      <c r="I65" s="636">
        <v>33776210435</v>
      </c>
      <c r="J65" s="646"/>
      <c r="K65" s="639" t="s">
        <v>1752</v>
      </c>
      <c r="L65" s="660"/>
      <c r="M65" s="670">
        <v>38836687614</v>
      </c>
      <c r="N65" s="629"/>
    </row>
    <row r="66" spans="1:15" ht="26.25" customHeight="1">
      <c r="B66" s="636">
        <v>16745</v>
      </c>
      <c r="C66" s="647" t="s">
        <v>1739</v>
      </c>
      <c r="D66" s="639" t="s">
        <v>1753</v>
      </c>
      <c r="E66" s="653"/>
      <c r="F66" s="654"/>
      <c r="G66" s="641">
        <v>16745</v>
      </c>
      <c r="H66" s="671"/>
      <c r="I66" s="636" t="s">
        <v>94</v>
      </c>
      <c r="J66" s="637"/>
      <c r="K66" s="639" t="s">
        <v>94</v>
      </c>
      <c r="L66" s="636"/>
      <c r="M66" s="641" t="s">
        <v>94</v>
      </c>
      <c r="N66" s="629"/>
    </row>
    <row r="67" spans="1:15" ht="26.25" customHeight="1">
      <c r="B67" s="636">
        <v>0</v>
      </c>
      <c r="C67" s="647" t="s">
        <v>1754</v>
      </c>
      <c r="D67" s="639" t="s">
        <v>1755</v>
      </c>
      <c r="E67" s="653"/>
      <c r="F67" s="654"/>
      <c r="G67" s="641">
        <v>0</v>
      </c>
      <c r="H67" s="671"/>
      <c r="I67" s="663"/>
      <c r="L67" s="663"/>
      <c r="M67" s="664"/>
      <c r="N67" s="629"/>
    </row>
    <row r="68" spans="1:15" ht="26.25" customHeight="1">
      <c r="B68" s="636">
        <v>775445260</v>
      </c>
      <c r="C68" s="647" t="s">
        <v>1756</v>
      </c>
      <c r="D68" s="639" t="s">
        <v>1757</v>
      </c>
      <c r="E68" s="653"/>
      <c r="F68" s="654"/>
      <c r="G68" s="641">
        <v>1253114707</v>
      </c>
      <c r="H68" s="671" t="s">
        <v>94</v>
      </c>
      <c r="I68" s="663"/>
      <c r="L68" s="663"/>
      <c r="M68" s="664"/>
      <c r="N68" s="629"/>
      <c r="O68" s="662" t="s">
        <v>94</v>
      </c>
    </row>
    <row r="69" spans="1:15" ht="26.25" customHeight="1">
      <c r="B69" s="659">
        <v>5866551162</v>
      </c>
      <c r="C69" s="647" t="s">
        <v>94</v>
      </c>
      <c r="D69" s="639" t="s">
        <v>94</v>
      </c>
      <c r="E69" s="653"/>
      <c r="F69" s="654"/>
      <c r="G69" s="670" t="s">
        <v>94</v>
      </c>
      <c r="H69" s="659">
        <v>7995137279</v>
      </c>
      <c r="I69" s="663"/>
      <c r="L69" s="663"/>
      <c r="M69" s="664"/>
      <c r="N69" s="699" t="s">
        <v>94</v>
      </c>
    </row>
    <row r="70" spans="1:15" ht="26.25" customHeight="1">
      <c r="B70" s="660"/>
      <c r="C70" s="637"/>
      <c r="D70" s="638" t="s">
        <v>1758</v>
      </c>
      <c r="E70" s="653"/>
      <c r="F70" s="654"/>
      <c r="G70" s="670"/>
      <c r="H70" s="671"/>
      <c r="I70" s="663"/>
      <c r="L70" s="663"/>
      <c r="M70" s="664"/>
      <c r="N70" s="699" t="s">
        <v>94</v>
      </c>
    </row>
    <row r="71" spans="1:15" ht="26.25" customHeight="1">
      <c r="B71" s="636">
        <v>0</v>
      </c>
      <c r="C71" s="647" t="s">
        <v>1728</v>
      </c>
      <c r="D71" s="639" t="s">
        <v>1759</v>
      </c>
      <c r="E71" s="653"/>
      <c r="F71" s="654"/>
      <c r="G71" s="641">
        <v>0</v>
      </c>
      <c r="H71" s="671"/>
      <c r="I71" s="663"/>
      <c r="L71" s="663"/>
      <c r="M71" s="664"/>
      <c r="N71" s="629"/>
    </row>
    <row r="72" spans="1:15" ht="26.25" customHeight="1">
      <c r="B72" s="636">
        <v>247391</v>
      </c>
      <c r="C72" s="647" t="s">
        <v>1731</v>
      </c>
      <c r="D72" s="639" t="s">
        <v>1760</v>
      </c>
      <c r="E72" s="653"/>
      <c r="F72" s="654"/>
      <c r="G72" s="641">
        <v>306046</v>
      </c>
      <c r="H72" s="671"/>
      <c r="I72" s="663"/>
      <c r="L72" s="663"/>
      <c r="M72" s="664"/>
      <c r="N72" s="629"/>
    </row>
    <row r="73" spans="1:15" ht="26.25" customHeight="1">
      <c r="B73" s="636">
        <v>0</v>
      </c>
      <c r="C73" s="647" t="s">
        <v>1735</v>
      </c>
      <c r="D73" s="639" t="s">
        <v>1761</v>
      </c>
      <c r="E73" s="653"/>
      <c r="F73" s="654"/>
      <c r="G73" s="641">
        <v>0</v>
      </c>
      <c r="H73" s="671"/>
      <c r="I73" s="663"/>
      <c r="L73" s="663"/>
      <c r="M73" s="664"/>
      <c r="N73" s="629"/>
    </row>
    <row r="74" spans="1:15" ht="26.25" customHeight="1">
      <c r="B74" s="636">
        <v>70734</v>
      </c>
      <c r="C74" s="647" t="s">
        <v>1739</v>
      </c>
      <c r="D74" s="639" t="s">
        <v>1762</v>
      </c>
      <c r="E74" s="653"/>
      <c r="F74" s="680"/>
      <c r="G74" s="676">
        <v>100460</v>
      </c>
      <c r="H74" s="671" t="s">
        <v>94</v>
      </c>
      <c r="I74" s="663"/>
      <c r="L74" s="663"/>
      <c r="M74" s="664"/>
      <c r="N74" s="629"/>
    </row>
    <row r="75" spans="1:15" ht="26.25" customHeight="1">
      <c r="B75" s="667">
        <v>318125</v>
      </c>
      <c r="F75" s="629"/>
      <c r="G75" s="664"/>
      <c r="H75" s="667">
        <v>406506</v>
      </c>
      <c r="I75" s="663"/>
      <c r="L75" s="663"/>
      <c r="M75" s="664"/>
      <c r="N75" s="629"/>
    </row>
    <row r="76" spans="1:15" ht="26.25" customHeight="1">
      <c r="B76" s="636" t="s">
        <v>94</v>
      </c>
      <c r="C76" s="637"/>
      <c r="D76" s="639" t="s">
        <v>1763</v>
      </c>
      <c r="E76" s="653"/>
      <c r="F76" s="654"/>
      <c r="G76" s="700" t="s">
        <v>94</v>
      </c>
      <c r="H76" s="671"/>
      <c r="I76" s="663"/>
      <c r="L76" s="663"/>
      <c r="M76" s="664"/>
      <c r="N76" s="629"/>
      <c r="O76" s="701">
        <v>13</v>
      </c>
    </row>
    <row r="77" spans="1:15" ht="26.25" customHeight="1">
      <c r="B77" s="660">
        <v>100000</v>
      </c>
      <c r="C77" s="637"/>
      <c r="D77" s="639" t="s">
        <v>1764</v>
      </c>
      <c r="E77" s="653"/>
      <c r="F77" s="654"/>
      <c r="G77" s="670" t="s">
        <v>94</v>
      </c>
      <c r="H77" s="671">
        <v>100000</v>
      </c>
      <c r="I77" s="663"/>
      <c r="L77" s="663"/>
      <c r="M77" s="664"/>
      <c r="N77" s="634"/>
    </row>
    <row r="78" spans="1:15" ht="26.25" customHeight="1">
      <c r="B78" s="663"/>
      <c r="F78" s="629"/>
      <c r="G78" s="664"/>
      <c r="I78" s="636"/>
      <c r="J78" s="637"/>
      <c r="K78" s="639"/>
      <c r="L78" s="636"/>
      <c r="M78" s="641" t="s">
        <v>94</v>
      </c>
      <c r="N78" s="634"/>
    </row>
    <row r="79" spans="1:15" ht="26.25" customHeight="1">
      <c r="B79" s="702">
        <v>60610812278</v>
      </c>
      <c r="C79" s="682"/>
      <c r="D79" s="703" t="s">
        <v>499</v>
      </c>
      <c r="E79" s="682"/>
      <c r="F79" s="683"/>
      <c r="G79" s="704"/>
      <c r="H79" s="705">
        <v>64104206424</v>
      </c>
      <c r="I79" s="706">
        <v>60610812278</v>
      </c>
      <c r="J79" s="682"/>
      <c r="K79" s="703" t="s">
        <v>499</v>
      </c>
      <c r="L79" s="685" t="s">
        <v>94</v>
      </c>
      <c r="M79" s="707">
        <v>64104206424</v>
      </c>
      <c r="N79" s="634"/>
    </row>
    <row r="80" spans="1:15" ht="26.25" customHeight="1">
      <c r="A80" s="634"/>
      <c r="B80" s="6077" t="s">
        <v>1765</v>
      </c>
      <c r="C80" s="6077"/>
      <c r="D80" s="6077"/>
      <c r="E80" s="6077"/>
      <c r="F80" s="6077"/>
      <c r="G80" s="6077"/>
      <c r="H80" s="6077"/>
      <c r="I80" s="673" t="s">
        <v>94</v>
      </c>
      <c r="J80" s="639"/>
      <c r="K80" s="673" t="s">
        <v>94</v>
      </c>
      <c r="M80" s="708" t="s">
        <v>94</v>
      </c>
      <c r="N80" s="634"/>
    </row>
    <row r="81" spans="1:14" ht="26.25" customHeight="1">
      <c r="A81" s="634"/>
      <c r="B81" s="637" t="s">
        <v>1766</v>
      </c>
      <c r="C81" s="639"/>
      <c r="D81" s="639"/>
      <c r="E81" s="639"/>
      <c r="F81" s="639"/>
      <c r="G81" s="639"/>
      <c r="H81" s="653"/>
      <c r="I81" s="639"/>
      <c r="J81" s="639"/>
      <c r="K81" s="639"/>
      <c r="M81" s="709"/>
      <c r="N81" s="634"/>
    </row>
    <row r="82" spans="1:14" ht="26.25" customHeight="1">
      <c r="A82" s="634"/>
      <c r="B82" s="6078" t="s">
        <v>1767</v>
      </c>
      <c r="C82" s="6078"/>
      <c r="D82" s="6078"/>
      <c r="E82" s="6078"/>
      <c r="F82" s="6078"/>
      <c r="G82" s="6078"/>
      <c r="H82" s="6078"/>
      <c r="I82" s="639"/>
      <c r="J82" s="639"/>
      <c r="K82" s="639"/>
      <c r="M82" s="710"/>
      <c r="N82" s="634"/>
    </row>
    <row r="83" spans="1:14" ht="26.25" customHeight="1">
      <c r="A83" s="634"/>
      <c r="B83" s="711" t="s">
        <v>1768</v>
      </c>
      <c r="C83" s="639" t="s">
        <v>1769</v>
      </c>
      <c r="D83" s="639"/>
      <c r="E83" s="639"/>
      <c r="F83" s="639"/>
      <c r="G83" s="639"/>
      <c r="H83" s="639"/>
      <c r="I83" s="673" t="s">
        <v>94</v>
      </c>
      <c r="J83" s="639"/>
      <c r="K83" s="639"/>
      <c r="M83" s="665" t="s">
        <v>94</v>
      </c>
      <c r="N83" s="634"/>
    </row>
    <row r="84" spans="1:14" ht="26.25" customHeight="1">
      <c r="A84" s="634"/>
      <c r="B84" s="712" t="s">
        <v>1770</v>
      </c>
      <c r="C84" s="639" t="s">
        <v>1771</v>
      </c>
      <c r="D84" s="639"/>
      <c r="E84" s="639"/>
      <c r="F84" s="639"/>
      <c r="G84" s="639"/>
      <c r="H84" s="673" t="s">
        <v>94</v>
      </c>
      <c r="I84" s="639"/>
      <c r="J84" s="639"/>
      <c r="K84" s="639"/>
      <c r="M84" s="710"/>
      <c r="N84" s="634"/>
    </row>
    <row r="85" spans="1:14" ht="26.25" customHeight="1">
      <c r="A85" s="634"/>
      <c r="B85" s="713" t="s">
        <v>1772</v>
      </c>
      <c r="C85" s="639" t="s">
        <v>94</v>
      </c>
      <c r="D85" s="639"/>
      <c r="E85" s="639"/>
      <c r="F85" s="639"/>
      <c r="G85" s="639"/>
      <c r="H85" s="639"/>
      <c r="I85" s="639"/>
      <c r="J85" s="639"/>
      <c r="K85" s="639"/>
      <c r="M85" s="710"/>
      <c r="N85" s="634"/>
    </row>
    <row r="86" spans="1:14" ht="26.25" customHeight="1">
      <c r="A86" s="634"/>
      <c r="B86" s="714" t="s">
        <v>1773</v>
      </c>
      <c r="C86" s="639" t="s">
        <v>1774</v>
      </c>
      <c r="D86" s="639"/>
      <c r="E86" s="639"/>
      <c r="F86" s="639"/>
      <c r="G86" s="639"/>
      <c r="H86" s="639"/>
      <c r="I86" s="639"/>
      <c r="J86" s="639"/>
      <c r="K86" s="639"/>
      <c r="M86" s="710"/>
      <c r="N86" s="634"/>
    </row>
    <row r="87" spans="1:14" ht="26.25" customHeight="1">
      <c r="A87" s="634"/>
      <c r="B87" s="713" t="s">
        <v>1775</v>
      </c>
      <c r="C87" s="639" t="s">
        <v>1776</v>
      </c>
      <c r="D87" s="639"/>
      <c r="E87" s="639"/>
      <c r="F87" s="639"/>
      <c r="G87" s="639"/>
      <c r="H87" s="639"/>
      <c r="I87" s="639"/>
      <c r="J87" s="639"/>
      <c r="K87" s="639"/>
      <c r="M87" s="710"/>
      <c r="N87" s="634"/>
    </row>
    <row r="88" spans="1:14" ht="26.25" customHeight="1">
      <c r="B88" s="6079" t="s">
        <v>1777</v>
      </c>
      <c r="C88" s="6079"/>
      <c r="D88" s="6079"/>
      <c r="E88" s="639"/>
      <c r="F88" s="639"/>
      <c r="G88" s="639"/>
      <c r="H88" s="639"/>
      <c r="I88" s="639"/>
      <c r="J88" s="639"/>
      <c r="K88" s="639"/>
      <c r="M88" s="710"/>
      <c r="N88" s="634"/>
    </row>
    <row r="89" spans="1:14" ht="26.25" customHeight="1">
      <c r="B89" s="715"/>
      <c r="C89" s="639"/>
      <c r="D89" s="639"/>
      <c r="E89" s="639"/>
      <c r="F89" s="639"/>
      <c r="G89" s="639"/>
      <c r="H89" s="639"/>
      <c r="I89" s="639"/>
      <c r="J89" s="639"/>
      <c r="K89" s="639"/>
      <c r="M89" s="710"/>
      <c r="N89" s="634"/>
    </row>
    <row r="90" spans="1:14" ht="26.25" hidden="1" customHeight="1">
      <c r="C90" s="716"/>
      <c r="D90" s="717"/>
      <c r="E90" s="716"/>
      <c r="F90" s="718"/>
      <c r="H90" s="719"/>
      <c r="I90" s="717"/>
      <c r="J90" s="716"/>
      <c r="K90" s="718"/>
      <c r="L90" s="716"/>
      <c r="M90" s="710"/>
      <c r="N90" s="634"/>
    </row>
    <row r="91" spans="1:14" ht="26.25" hidden="1" customHeight="1">
      <c r="B91" s="715"/>
      <c r="C91" s="639"/>
      <c r="D91" s="639"/>
      <c r="E91" s="639"/>
      <c r="F91" s="639"/>
      <c r="G91" s="639"/>
      <c r="H91" s="639"/>
      <c r="I91" s="639"/>
      <c r="J91" s="639"/>
      <c r="K91" s="639"/>
      <c r="M91" s="710"/>
      <c r="N91" s="634"/>
    </row>
    <row r="92" spans="1:14" ht="26.25" hidden="1" customHeight="1">
      <c r="B92" s="715"/>
      <c r="C92" s="639"/>
      <c r="D92" s="639"/>
      <c r="E92" s="639"/>
      <c r="F92" s="639"/>
      <c r="G92" s="639"/>
      <c r="H92" s="639"/>
      <c r="I92" s="639"/>
      <c r="J92" s="639"/>
      <c r="K92" s="639"/>
      <c r="M92" s="710"/>
      <c r="N92" s="634"/>
    </row>
    <row r="93" spans="1:14" ht="26.25" hidden="1" customHeight="1">
      <c r="C93" s="639"/>
      <c r="D93" s="639"/>
      <c r="E93" s="639"/>
      <c r="F93" s="639"/>
      <c r="G93" s="639"/>
      <c r="H93" s="639"/>
      <c r="I93" s="720"/>
      <c r="J93" s="639"/>
      <c r="K93" s="639"/>
      <c r="M93" s="710"/>
      <c r="N93" s="634" t="s">
        <v>94</v>
      </c>
    </row>
    <row r="94" spans="1:14" ht="26.25" hidden="1" customHeight="1">
      <c r="D94" s="721"/>
      <c r="E94" s="639"/>
      <c r="F94" s="639"/>
      <c r="G94" s="639"/>
      <c r="J94" s="639"/>
      <c r="K94" s="621"/>
      <c r="L94" s="639"/>
      <c r="M94" s="710"/>
      <c r="N94" s="634"/>
    </row>
    <row r="95" spans="1:14" ht="20.25" hidden="1" customHeight="1">
      <c r="A95" s="634" t="s">
        <v>94</v>
      </c>
      <c r="D95" s="722"/>
      <c r="E95" s="634"/>
      <c r="F95" s="634"/>
      <c r="G95" s="634"/>
      <c r="J95" s="634"/>
      <c r="K95" s="723"/>
      <c r="L95" s="724"/>
      <c r="M95" s="724"/>
      <c r="N95" s="634"/>
    </row>
    <row r="96" spans="1:14" ht="20.25" hidden="1" customHeight="1">
      <c r="A96" s="634"/>
      <c r="D96" s="722"/>
      <c r="E96" s="634"/>
      <c r="F96" s="634"/>
      <c r="G96" s="634"/>
      <c r="J96" s="634"/>
      <c r="K96" s="723"/>
      <c r="L96" s="724"/>
      <c r="M96" s="724"/>
      <c r="N96" s="634"/>
    </row>
    <row r="97" spans="1:14" ht="20.25" hidden="1" customHeight="1">
      <c r="A97" s="634"/>
      <c r="D97" s="722"/>
      <c r="E97" s="725"/>
      <c r="F97" s="634"/>
      <c r="G97" s="634"/>
      <c r="J97" s="634"/>
      <c r="K97" s="723"/>
      <c r="L97" s="724"/>
      <c r="M97" s="724"/>
      <c r="N97" s="634"/>
    </row>
    <row r="98" spans="1:14" ht="26.25" hidden="1" customHeight="1">
      <c r="A98" s="616" t="s">
        <v>94</v>
      </c>
      <c r="B98" s="711" t="s">
        <v>94</v>
      </c>
      <c r="D98" s="619"/>
      <c r="E98" s="726"/>
      <c r="F98" s="634"/>
      <c r="G98" s="634"/>
      <c r="H98" s="726"/>
      <c r="I98" s="634"/>
      <c r="J98" s="634"/>
      <c r="K98" s="651"/>
      <c r="L98" s="634"/>
      <c r="M98" s="727"/>
      <c r="N98" s="634"/>
    </row>
    <row r="99" spans="1:14" ht="26.25" hidden="1" customHeight="1">
      <c r="B99" s="728" t="s">
        <v>94</v>
      </c>
      <c r="M99" s="634"/>
    </row>
    <row r="100" spans="1:14" ht="26.25" customHeight="1">
      <c r="B100" s="711" t="s">
        <v>94</v>
      </c>
      <c r="C100" s="729"/>
      <c r="D100" s="620" t="s">
        <v>1778</v>
      </c>
      <c r="E100" s="729"/>
      <c r="F100" s="729"/>
      <c r="G100" s="729"/>
      <c r="I100" s="729"/>
      <c r="J100" s="729"/>
      <c r="K100" s="729" t="s">
        <v>94</v>
      </c>
      <c r="M100" s="634"/>
    </row>
    <row r="101" spans="1:14" ht="26.25" customHeight="1">
      <c r="B101" s="730" t="s">
        <v>94</v>
      </c>
      <c r="C101" s="686"/>
      <c r="D101" s="686" t="s">
        <v>94</v>
      </c>
      <c r="E101" s="686"/>
      <c r="F101" s="686"/>
      <c r="G101" s="686"/>
      <c r="H101" s="686" t="s">
        <v>277</v>
      </c>
      <c r="I101" s="686"/>
      <c r="J101" s="686"/>
      <c r="K101" s="686" t="s">
        <v>94</v>
      </c>
      <c r="M101" s="616" t="s">
        <v>94</v>
      </c>
    </row>
    <row r="102" spans="1:14" ht="26.25" customHeight="1">
      <c r="C102" s="639"/>
      <c r="D102" s="639"/>
      <c r="E102" s="639"/>
      <c r="F102" s="639"/>
      <c r="G102" s="686"/>
      <c r="H102" s="686"/>
      <c r="I102" s="686"/>
      <c r="J102" s="686"/>
      <c r="K102" s="686"/>
    </row>
    <row r="103" spans="1:14" ht="26.25" customHeight="1">
      <c r="B103" s="620" t="s">
        <v>1779</v>
      </c>
      <c r="C103" s="639"/>
      <c r="D103" s="639"/>
      <c r="E103" s="639"/>
      <c r="F103" s="639"/>
      <c r="G103" s="686"/>
      <c r="H103" s="686"/>
      <c r="I103" s="686"/>
      <c r="J103" s="686"/>
      <c r="K103" s="686"/>
    </row>
    <row r="104" spans="1:14" ht="26.25" customHeight="1">
      <c r="B104" s="639"/>
      <c r="C104" s="639"/>
      <c r="D104" s="639"/>
      <c r="E104" s="639"/>
      <c r="F104" s="639"/>
      <c r="G104" s="686"/>
      <c r="H104" s="686"/>
      <c r="I104" s="686"/>
      <c r="J104" s="686"/>
      <c r="K104" s="686"/>
    </row>
    <row r="105" spans="1:14" ht="26.25" customHeight="1">
      <c r="B105" s="731" t="s">
        <v>1780</v>
      </c>
      <c r="C105" s="731"/>
      <c r="D105" s="731"/>
      <c r="E105" s="731"/>
      <c r="F105" s="731"/>
      <c r="G105" s="731"/>
      <c r="H105" s="731"/>
      <c r="I105" s="686"/>
      <c r="J105" s="686"/>
      <c r="K105" s="686"/>
    </row>
    <row r="106" spans="1:14" ht="26.25" customHeight="1">
      <c r="B106" s="731"/>
      <c r="C106" s="731"/>
      <c r="D106" s="731"/>
      <c r="E106" s="731"/>
      <c r="F106" s="731"/>
      <c r="G106" s="731"/>
      <c r="H106" s="731"/>
      <c r="I106" s="686"/>
      <c r="J106" s="686"/>
      <c r="K106" s="686"/>
    </row>
    <row r="107" spans="1:14" ht="26.25" customHeight="1">
      <c r="B107" s="731" t="s">
        <v>1781</v>
      </c>
      <c r="C107" s="731"/>
      <c r="D107" s="731"/>
      <c r="E107" s="731"/>
      <c r="F107" s="731"/>
      <c r="G107" s="731"/>
      <c r="H107" s="731"/>
      <c r="I107" s="686"/>
      <c r="J107" s="686"/>
      <c r="K107" s="686"/>
    </row>
    <row r="108" spans="1:14" ht="26.25" customHeight="1">
      <c r="B108" s="731" t="s">
        <v>1782</v>
      </c>
      <c r="C108" s="731"/>
      <c r="D108" s="731"/>
      <c r="E108" s="731"/>
      <c r="F108" s="731"/>
      <c r="G108" s="731"/>
      <c r="H108" s="731"/>
      <c r="I108" s="686"/>
      <c r="J108" s="686"/>
      <c r="K108" s="686"/>
    </row>
    <row r="109" spans="1:14" ht="26.25" customHeight="1">
      <c r="B109" s="731"/>
      <c r="C109" s="731"/>
      <c r="D109" s="731"/>
      <c r="E109" s="731"/>
      <c r="F109" s="731"/>
      <c r="G109" s="731"/>
      <c r="H109" s="731"/>
      <c r="I109" s="686" t="s">
        <v>94</v>
      </c>
      <c r="J109" s="686"/>
      <c r="K109" s="686"/>
    </row>
    <row r="110" spans="1:14" ht="26.25" customHeight="1">
      <c r="B110" s="731" t="s">
        <v>1783</v>
      </c>
      <c r="C110" s="731"/>
      <c r="D110" s="731"/>
      <c r="E110" s="731"/>
      <c r="F110" s="731"/>
      <c r="G110" s="731"/>
      <c r="H110" s="731"/>
      <c r="I110" s="686"/>
      <c r="J110" s="686"/>
      <c r="K110" s="686"/>
    </row>
    <row r="111" spans="1:14" ht="26.25" customHeight="1">
      <c r="B111" s="731"/>
      <c r="C111" s="731"/>
      <c r="D111" s="731"/>
      <c r="E111" s="731"/>
      <c r="F111" s="731"/>
      <c r="G111" s="731"/>
      <c r="H111" s="731"/>
      <c r="I111" s="686"/>
      <c r="J111" s="686"/>
      <c r="K111" s="686"/>
    </row>
    <row r="112" spans="1:14" ht="26.25" customHeight="1">
      <c r="B112" s="731" t="s">
        <v>1784</v>
      </c>
      <c r="C112" s="731"/>
      <c r="D112" s="731"/>
      <c r="E112" s="731"/>
      <c r="F112" s="731"/>
      <c r="G112" s="731"/>
      <c r="H112" s="731"/>
      <c r="I112" s="686"/>
      <c r="J112" s="686"/>
      <c r="K112" s="686"/>
    </row>
    <row r="113" spans="2:13" ht="26.25" customHeight="1">
      <c r="B113" s="731" t="s">
        <v>94</v>
      </c>
      <c r="C113" s="731"/>
      <c r="D113" s="731"/>
      <c r="E113" s="731"/>
      <c r="F113" s="731"/>
      <c r="G113" s="731"/>
      <c r="H113" s="731"/>
      <c r="I113" s="686"/>
      <c r="J113" s="686"/>
      <c r="K113" s="686"/>
    </row>
    <row r="114" spans="2:13" ht="26.25" customHeight="1">
      <c r="B114" s="731"/>
      <c r="C114" s="731"/>
      <c r="D114" s="731"/>
      <c r="E114" s="731"/>
      <c r="F114" s="731"/>
      <c r="G114" s="731"/>
      <c r="H114" s="731"/>
      <c r="I114" s="729"/>
      <c r="J114" s="729"/>
      <c r="K114" s="729"/>
    </row>
    <row r="115" spans="2:13" ht="26.25" customHeight="1">
      <c r="B115" s="731" t="s">
        <v>1785</v>
      </c>
      <c r="C115" s="731"/>
      <c r="D115" s="731"/>
      <c r="E115" s="731"/>
      <c r="F115" s="731"/>
      <c r="G115" s="731"/>
      <c r="H115" s="731"/>
      <c r="I115" s="729"/>
      <c r="J115" s="729"/>
      <c r="K115" s="729"/>
    </row>
    <row r="116" spans="2:13" ht="26.25" customHeight="1">
      <c r="B116" s="731" t="s">
        <v>1786</v>
      </c>
      <c r="C116" s="731"/>
      <c r="D116" s="731"/>
      <c r="E116" s="731"/>
      <c r="F116" s="731"/>
      <c r="G116" s="731"/>
      <c r="H116" s="731"/>
      <c r="I116" s="729"/>
      <c r="J116" s="729"/>
      <c r="K116" s="729"/>
    </row>
    <row r="117" spans="2:13" ht="26.25" customHeight="1">
      <c r="B117" s="731"/>
      <c r="C117" s="731"/>
      <c r="D117" s="731"/>
      <c r="E117" s="731"/>
      <c r="F117" s="731"/>
      <c r="G117" s="731"/>
      <c r="H117" s="731"/>
      <c r="I117" s="729"/>
      <c r="J117" s="729"/>
      <c r="K117" s="729"/>
    </row>
    <row r="118" spans="2:13" ht="26.25" customHeight="1">
      <c r="B118" s="731" t="s">
        <v>1787</v>
      </c>
      <c r="C118" s="731"/>
      <c r="D118" s="731"/>
      <c r="E118" s="731"/>
      <c r="F118" s="731"/>
      <c r="G118" s="731"/>
      <c r="H118" s="731"/>
      <c r="I118" s="729"/>
      <c r="J118" s="729"/>
      <c r="K118" s="729"/>
    </row>
    <row r="119" spans="2:13" ht="26.25" customHeight="1">
      <c r="B119" s="731"/>
      <c r="C119" s="731"/>
      <c r="D119" s="731"/>
      <c r="E119" s="731"/>
      <c r="F119" s="731"/>
      <c r="G119" s="731"/>
      <c r="H119" s="731"/>
      <c r="I119" s="729"/>
      <c r="J119" s="729"/>
      <c r="K119" s="729"/>
    </row>
    <row r="120" spans="2:13" ht="26.25" customHeight="1">
      <c r="B120" s="639" t="s">
        <v>94</v>
      </c>
      <c r="C120" s="729" t="s">
        <v>94</v>
      </c>
      <c r="D120" s="729" t="s">
        <v>94</v>
      </c>
      <c r="E120" s="729"/>
      <c r="F120" s="729"/>
      <c r="G120" s="729"/>
      <c r="H120" s="729"/>
      <c r="I120" s="729"/>
      <c r="J120" s="729"/>
      <c r="K120" s="729"/>
      <c r="L120" s="616" t="s">
        <v>94</v>
      </c>
      <c r="M120" s="616" t="s">
        <v>94</v>
      </c>
    </row>
    <row r="121" spans="2:13" ht="26.25" customHeight="1">
      <c r="B121" s="729" t="s">
        <v>94</v>
      </c>
      <c r="D121" s="732"/>
      <c r="E121" s="733" t="s">
        <v>1788</v>
      </c>
      <c r="F121" s="729"/>
      <c r="G121" s="729" t="s">
        <v>94</v>
      </c>
      <c r="H121" s="729"/>
      <c r="I121" s="729"/>
      <c r="J121" s="729"/>
      <c r="K121" s="729"/>
    </row>
    <row r="122" spans="2:13" ht="26.25" customHeight="1">
      <c r="B122" s="729" t="s">
        <v>94</v>
      </c>
      <c r="C122" s="729"/>
      <c r="D122" s="729"/>
      <c r="E122" s="686" t="s">
        <v>1789</v>
      </c>
      <c r="F122" s="729"/>
      <c r="G122" s="729" t="s">
        <v>94</v>
      </c>
      <c r="H122" s="729"/>
      <c r="I122" s="729"/>
      <c r="J122" s="729"/>
      <c r="K122" s="729"/>
    </row>
    <row r="123" spans="2:13" ht="26.25" customHeight="1">
      <c r="B123" s="729"/>
      <c r="C123" s="616" t="s">
        <v>94</v>
      </c>
      <c r="L123" s="616" t="s">
        <v>94</v>
      </c>
    </row>
    <row r="124" spans="2:13" ht="26.25" customHeight="1">
      <c r="B124" s="729"/>
    </row>
    <row r="125" spans="2:13" ht="26.25" customHeight="1">
      <c r="B125" s="729"/>
    </row>
    <row r="126" spans="2:13" ht="26.25" customHeight="1">
      <c r="B126" s="729"/>
    </row>
    <row r="127" spans="2:13" ht="26.25" customHeight="1">
      <c r="B127" s="734" t="s">
        <v>1790</v>
      </c>
    </row>
    <row r="128" spans="2:13" ht="26.25" customHeight="1">
      <c r="B128" s="686" t="s">
        <v>1791</v>
      </c>
    </row>
    <row r="129" spans="2:7" ht="26.25" customHeight="1">
      <c r="B129" s="616" t="s">
        <v>94</v>
      </c>
      <c r="C129" s="631"/>
      <c r="D129" s="735" t="s">
        <v>94</v>
      </c>
      <c r="E129" s="631"/>
      <c r="F129" s="631"/>
    </row>
    <row r="130" spans="2:7" ht="26.25" customHeight="1">
      <c r="C130" s="736" t="s">
        <v>94</v>
      </c>
      <c r="D130" s="736"/>
      <c r="E130" s="736" t="s">
        <v>94</v>
      </c>
      <c r="F130" s="736"/>
      <c r="G130" s="629"/>
    </row>
    <row r="131" spans="2:7" ht="26.25" customHeight="1">
      <c r="B131" s="616" t="s">
        <v>1792</v>
      </c>
      <c r="C131" s="736"/>
      <c r="D131" s="737">
        <f>+(921973815/2)+10386829829</f>
        <v>10847816736.5</v>
      </c>
      <c r="E131" s="737"/>
      <c r="F131" s="736"/>
      <c r="G131" s="629"/>
    </row>
    <row r="132" spans="2:7" ht="26.25" customHeight="1">
      <c r="B132" s="616" t="s">
        <v>1793</v>
      </c>
      <c r="C132" s="736"/>
      <c r="D132" s="737">
        <f>+(921973815/2)+5717919054</f>
        <v>6178905961.5</v>
      </c>
      <c r="E132" s="737">
        <f>+D132+D131</f>
        <v>17026722698</v>
      </c>
      <c r="F132" s="736"/>
      <c r="G132" s="629"/>
    </row>
    <row r="133" spans="2:7" ht="26.25" customHeight="1">
      <c r="B133" s="738" t="s">
        <v>1794</v>
      </c>
      <c r="C133" s="736"/>
      <c r="D133" s="737"/>
      <c r="E133" s="737"/>
      <c r="F133" s="736"/>
      <c r="G133" s="629"/>
    </row>
    <row r="134" spans="2:7" ht="26.25" customHeight="1">
      <c r="B134" s="616" t="s">
        <v>1795</v>
      </c>
      <c r="C134" s="736"/>
      <c r="D134" s="737" t="s">
        <v>94</v>
      </c>
      <c r="E134" s="737"/>
      <c r="F134" s="736"/>
      <c r="G134" s="629"/>
    </row>
    <row r="135" spans="2:7" ht="26.25" customHeight="1">
      <c r="B135" s="631"/>
      <c r="C135" s="736"/>
      <c r="D135" s="737">
        <f>+(234728359/2)+3561382383</f>
        <v>3678746562.5</v>
      </c>
      <c r="E135" s="737"/>
      <c r="F135" s="736"/>
      <c r="G135" s="629"/>
    </row>
    <row r="136" spans="2:7" ht="26.25" customHeight="1">
      <c r="B136" s="736" t="s">
        <v>1796</v>
      </c>
      <c r="C136" s="736"/>
      <c r="D136" s="737">
        <f>+(234728359/2)+2436898077</f>
        <v>2554262256.5</v>
      </c>
      <c r="E136" s="737">
        <f>+D136+D135</f>
        <v>6233008819</v>
      </c>
      <c r="F136" s="736"/>
      <c r="G136" s="629"/>
    </row>
    <row r="137" spans="2:7" ht="26.25" customHeight="1">
      <c r="B137" s="736" t="s">
        <v>868</v>
      </c>
      <c r="C137" s="736"/>
      <c r="D137" s="737">
        <v>3935526674</v>
      </c>
      <c r="E137" s="737"/>
      <c r="F137" s="736"/>
      <c r="G137" s="629"/>
    </row>
    <row r="138" spans="2:7" ht="26.25" customHeight="1">
      <c r="B138" s="736" t="s">
        <v>869</v>
      </c>
      <c r="C138" s="736"/>
      <c r="D138" s="737">
        <v>0</v>
      </c>
      <c r="E138" s="737" t="s">
        <v>94</v>
      </c>
      <c r="F138" s="736"/>
      <c r="G138" s="629"/>
    </row>
    <row r="139" spans="2:7" ht="26.25" customHeight="1">
      <c r="B139" s="736"/>
      <c r="C139" s="736"/>
      <c r="D139" s="737"/>
      <c r="E139" s="737"/>
      <c r="F139" s="736"/>
      <c r="G139" s="629"/>
    </row>
    <row r="140" spans="2:7" ht="26.25" customHeight="1">
      <c r="B140" s="736" t="s">
        <v>1797</v>
      </c>
      <c r="C140" s="736"/>
      <c r="D140" s="737">
        <v>974004244</v>
      </c>
      <c r="E140" s="737">
        <f>+D140/100000</f>
        <v>9740.0424399999993</v>
      </c>
      <c r="F140" s="736"/>
      <c r="G140" s="629"/>
    </row>
    <row r="141" spans="2:7" ht="26.25" customHeight="1">
      <c r="B141" s="736" t="s">
        <v>868</v>
      </c>
      <c r="C141" s="736"/>
      <c r="D141" s="737" t="s">
        <v>94</v>
      </c>
      <c r="E141" s="737"/>
      <c r="F141" s="736"/>
      <c r="G141" s="629"/>
    </row>
    <row r="142" spans="2:7" ht="26.25" customHeight="1">
      <c r="B142" s="736" t="s">
        <v>869</v>
      </c>
      <c r="C142" s="736"/>
      <c r="D142" s="737">
        <v>716192839</v>
      </c>
      <c r="E142" s="737"/>
      <c r="F142" s="736"/>
      <c r="G142" s="629"/>
    </row>
    <row r="143" spans="2:7" ht="26.25" customHeight="1">
      <c r="B143" s="736">
        <v>601</v>
      </c>
      <c r="C143" s="736"/>
      <c r="D143" s="737">
        <v>-2505775890</v>
      </c>
      <c r="E143" s="737">
        <f>+D142+D143</f>
        <v>-1789583051</v>
      </c>
      <c r="F143" s="736"/>
      <c r="G143" s="739" t="s">
        <v>94</v>
      </c>
    </row>
    <row r="144" spans="2:7" ht="26.25" customHeight="1">
      <c r="B144" s="736">
        <v>600</v>
      </c>
      <c r="C144" s="631"/>
      <c r="D144" s="735" t="s">
        <v>94</v>
      </c>
      <c r="E144" s="631"/>
      <c r="F144" s="694"/>
      <c r="G144" s="629"/>
    </row>
    <row r="145" spans="2:9" ht="26.25" customHeight="1">
      <c r="B145" s="736"/>
      <c r="C145" s="634"/>
      <c r="D145" s="740"/>
      <c r="E145" s="634"/>
      <c r="F145" s="634"/>
      <c r="G145" s="634"/>
    </row>
    <row r="146" spans="2:9" ht="26.25" customHeight="1">
      <c r="B146" s="736" t="s">
        <v>1798</v>
      </c>
      <c r="C146" s="634"/>
      <c r="D146" s="740"/>
      <c r="E146" s="741" t="str">
        <f>+H50</f>
        <v>2012-2013</v>
      </c>
      <c r="F146" s="634"/>
      <c r="G146" s="634"/>
    </row>
    <row r="147" spans="2:9" ht="26.25" customHeight="1">
      <c r="B147" s="736"/>
      <c r="D147" s="631"/>
      <c r="E147" s="742" t="s">
        <v>94</v>
      </c>
      <c r="F147" s="631"/>
      <c r="G147" s="631"/>
      <c r="H147" s="631"/>
    </row>
    <row r="148" spans="2:9" ht="26.25" customHeight="1">
      <c r="B148" s="736" t="s">
        <v>1799</v>
      </c>
      <c r="D148" s="743" t="s">
        <v>1132</v>
      </c>
      <c r="E148" s="744"/>
      <c r="F148" s="744"/>
      <c r="G148" s="619"/>
      <c r="H148" s="745"/>
      <c r="I148" s="746"/>
    </row>
    <row r="149" spans="2:9" ht="26.25" customHeight="1">
      <c r="B149" s="736" t="s">
        <v>1800</v>
      </c>
      <c r="D149" s="747"/>
      <c r="E149" s="747" t="s">
        <v>1801</v>
      </c>
      <c r="F149" s="747"/>
      <c r="G149" s="748" t="s">
        <v>868</v>
      </c>
      <c r="H149" s="747" t="s">
        <v>869</v>
      </c>
      <c r="I149" s="746"/>
    </row>
    <row r="150" spans="2:9" ht="26.25" customHeight="1">
      <c r="B150" s="631"/>
      <c r="D150" s="749"/>
      <c r="E150" s="750" t="s">
        <v>1802</v>
      </c>
      <c r="F150" s="750"/>
      <c r="G150" s="751"/>
      <c r="H150" s="752"/>
      <c r="I150" s="746"/>
    </row>
    <row r="151" spans="2:9" ht="26.25" customHeight="1">
      <c r="B151" s="634"/>
      <c r="D151" s="629" t="s">
        <v>1803</v>
      </c>
      <c r="E151" s="753">
        <f>+E132/100000</f>
        <v>170267.22698000001</v>
      </c>
      <c r="F151" s="746"/>
      <c r="G151" s="754">
        <f>+D131/100000</f>
        <v>108478.167365</v>
      </c>
      <c r="H151" s="755">
        <f>+D132/100000</f>
        <v>61789.059614999998</v>
      </c>
      <c r="I151" s="746"/>
    </row>
    <row r="152" spans="2:9" ht="26.25" customHeight="1">
      <c r="B152" s="634"/>
      <c r="D152" s="629" t="s">
        <v>1804</v>
      </c>
      <c r="E152" s="753">
        <f>+E136/100000</f>
        <v>62330.088190000002</v>
      </c>
      <c r="F152" s="746"/>
      <c r="G152" s="754">
        <f>+D135/100000</f>
        <v>36787.465624999997</v>
      </c>
      <c r="H152" s="755">
        <f>+D136/100000</f>
        <v>25542.622565000001</v>
      </c>
      <c r="I152" s="746"/>
    </row>
    <row r="153" spans="2:9" ht="26.25" customHeight="1">
      <c r="D153" s="756" t="s">
        <v>499</v>
      </c>
      <c r="E153" s="757">
        <f>+E151-E152</f>
        <v>107937.13879</v>
      </c>
      <c r="F153" s="757" t="s">
        <v>94</v>
      </c>
      <c r="G153" s="758">
        <f>+G151-G152</f>
        <v>71690.701740000004</v>
      </c>
      <c r="H153" s="759">
        <f>+H151-H152</f>
        <v>36246.437049999993</v>
      </c>
      <c r="I153" s="753" t="s">
        <v>94</v>
      </c>
    </row>
    <row r="154" spans="2:9" ht="26.25" customHeight="1">
      <c r="B154" s="616" t="s">
        <v>94</v>
      </c>
      <c r="D154" s="760"/>
      <c r="E154" s="746"/>
      <c r="F154" s="746"/>
      <c r="G154" s="686"/>
      <c r="H154" s="761"/>
      <c r="I154" s="746"/>
    </row>
    <row r="155" spans="2:9" ht="26.25" customHeight="1">
      <c r="D155" s="629" t="s">
        <v>1805</v>
      </c>
      <c r="E155" s="753">
        <f>+I10/100000</f>
        <v>5512.7360099999996</v>
      </c>
      <c r="F155" s="746"/>
      <c r="G155" s="754">
        <f>+E155*95%</f>
        <v>5237.0992094999992</v>
      </c>
      <c r="H155" s="755">
        <f>+E155*5%</f>
        <v>275.63680049999999</v>
      </c>
      <c r="I155" s="753" t="s">
        <v>94</v>
      </c>
    </row>
    <row r="156" spans="2:9" ht="26.25" customHeight="1">
      <c r="D156" s="629" t="s">
        <v>1806</v>
      </c>
      <c r="E156" s="753">
        <f>+I12/100000</f>
        <v>0</v>
      </c>
      <c r="F156" s="746"/>
      <c r="G156" s="754">
        <f>+E156/2</f>
        <v>0</v>
      </c>
      <c r="H156" s="755">
        <f>+E156/2</f>
        <v>0</v>
      </c>
      <c r="I156" s="753" t="s">
        <v>94</v>
      </c>
    </row>
    <row r="157" spans="2:9" ht="26.25" customHeight="1">
      <c r="D157" s="629" t="s">
        <v>1807</v>
      </c>
      <c r="E157" s="753" t="e">
        <f>+(I14+I15+#REF!+I27+I17)/100000</f>
        <v>#REF!</v>
      </c>
      <c r="F157" s="746"/>
      <c r="G157" s="754" t="e">
        <f>+(E157-(I15/100000))*45%+(I15/100000)</f>
        <v>#REF!</v>
      </c>
      <c r="H157" s="755" t="e">
        <f>+(E157-(I15/100000))*55%</f>
        <v>#REF!</v>
      </c>
      <c r="I157" s="753" t="s">
        <v>94</v>
      </c>
    </row>
    <row r="158" spans="2:9" ht="26.25" customHeight="1">
      <c r="D158" s="629"/>
      <c r="E158" s="753" t="s">
        <v>94</v>
      </c>
      <c r="F158" s="746"/>
      <c r="G158" s="686"/>
      <c r="H158" s="761"/>
      <c r="I158" s="746"/>
    </row>
    <row r="159" spans="2:9" ht="26.25" customHeight="1">
      <c r="D159" s="756" t="s">
        <v>1132</v>
      </c>
      <c r="E159" s="757" t="e">
        <f>SUM(E153:E157)</f>
        <v>#REF!</v>
      </c>
      <c r="F159" s="762"/>
      <c r="G159" s="758" t="e">
        <f>+G157+G156+G155+G153</f>
        <v>#REF!</v>
      </c>
      <c r="H159" s="759" t="e">
        <f>+H157+H156+H155+H153</f>
        <v>#REF!</v>
      </c>
      <c r="I159" s="746"/>
    </row>
    <row r="160" spans="2:9" ht="26.25" customHeight="1">
      <c r="D160" s="629"/>
      <c r="E160" s="746"/>
      <c r="F160" s="746"/>
      <c r="G160" s="686"/>
      <c r="H160" s="761"/>
      <c r="I160" s="746"/>
    </row>
    <row r="161" spans="4:9" ht="26.25" customHeight="1">
      <c r="D161" s="629" t="s">
        <v>1686</v>
      </c>
      <c r="E161" s="753" t="s">
        <v>94</v>
      </c>
      <c r="F161" s="746"/>
      <c r="G161" s="686"/>
      <c r="H161" s="761"/>
      <c r="I161" s="746"/>
    </row>
    <row r="162" spans="4:9" ht="26.25" customHeight="1">
      <c r="D162" s="629" t="s">
        <v>94</v>
      </c>
      <c r="E162" s="746"/>
      <c r="F162" s="746"/>
      <c r="G162" s="686"/>
      <c r="H162" s="761"/>
      <c r="I162" s="746"/>
    </row>
    <row r="163" spans="4:9" ht="26.25" customHeight="1">
      <c r="D163" s="629" t="s">
        <v>1808</v>
      </c>
      <c r="E163" s="763">
        <f>+M38/100000</f>
        <v>0</v>
      </c>
      <c r="F163" s="746"/>
      <c r="G163" s="754">
        <f>+E163*90%</f>
        <v>0</v>
      </c>
      <c r="H163" s="755">
        <f>+E163*10%</f>
        <v>0</v>
      </c>
      <c r="I163" s="746"/>
    </row>
    <row r="164" spans="4:9" ht="26.25" customHeight="1">
      <c r="D164" s="629" t="s">
        <v>1809</v>
      </c>
      <c r="E164" s="763">
        <f>+(D137+D138)/100000</f>
        <v>39355.266739999999</v>
      </c>
      <c r="F164" s="746"/>
      <c r="G164" s="754">
        <f>+E164</f>
        <v>39355.266739999999</v>
      </c>
      <c r="H164" s="755">
        <f>+E15196%</f>
        <v>0</v>
      </c>
      <c r="I164" s="746"/>
    </row>
    <row r="165" spans="4:9" ht="26.25" customHeight="1">
      <c r="D165" s="629" t="s">
        <v>1810</v>
      </c>
      <c r="E165" s="763">
        <f>+(I34/100000)-E164</f>
        <v>18918.722600000001</v>
      </c>
      <c r="F165" s="746"/>
      <c r="G165" s="754">
        <f>+E165*45%</f>
        <v>8513.4251700000004</v>
      </c>
      <c r="H165" s="755">
        <f>+E165*55%</f>
        <v>10405.297430000001</v>
      </c>
      <c r="I165" s="746"/>
    </row>
    <row r="166" spans="4:9" ht="26.25" customHeight="1">
      <c r="D166" s="629" t="s">
        <v>1811</v>
      </c>
      <c r="E166" s="764">
        <f>+M32/100000</f>
        <v>0</v>
      </c>
      <c r="F166" s="746"/>
      <c r="G166" s="754">
        <f>+E166*45%</f>
        <v>0</v>
      </c>
      <c r="H166" s="755">
        <f>+E166*55%</f>
        <v>0</v>
      </c>
      <c r="I166" s="746"/>
    </row>
    <row r="167" spans="4:9" ht="26.25" customHeight="1">
      <c r="D167" s="629" t="s">
        <v>1269</v>
      </c>
      <c r="E167" s="763">
        <f>+(I24+M33+I25)/100000</f>
        <v>1621.2656400000001</v>
      </c>
      <c r="F167" s="746"/>
      <c r="G167" s="754">
        <f>+E167*45%</f>
        <v>729.56953800000008</v>
      </c>
      <c r="H167" s="755">
        <f>+E167*55%</f>
        <v>891.69610200000011</v>
      </c>
      <c r="I167" s="746"/>
    </row>
    <row r="168" spans="4:9" ht="26.25" customHeight="1">
      <c r="D168" s="629"/>
      <c r="E168" s="765" t="s">
        <v>94</v>
      </c>
      <c r="F168" s="746"/>
      <c r="G168" s="754"/>
      <c r="H168" s="755"/>
      <c r="I168" s="746"/>
    </row>
    <row r="169" spans="4:9" ht="26.25" customHeight="1">
      <c r="D169" s="756" t="s">
        <v>1686</v>
      </c>
      <c r="E169" s="757">
        <f>SUM(E163:E167)</f>
        <v>59895.254979999998</v>
      </c>
      <c r="F169" s="757" t="s">
        <v>94</v>
      </c>
      <c r="G169" s="758">
        <f>SUM(G163:G167)</f>
        <v>48598.261448000005</v>
      </c>
      <c r="H169" s="759">
        <f>SUM(H163:H167)</f>
        <v>11296.993532</v>
      </c>
      <c r="I169" s="746"/>
    </row>
    <row r="170" spans="4:9" ht="26.25" customHeight="1">
      <c r="D170" s="629"/>
      <c r="E170" s="746"/>
      <c r="F170" s="746"/>
      <c r="G170" s="754"/>
      <c r="H170" s="755"/>
      <c r="I170" s="746"/>
    </row>
    <row r="171" spans="4:9" ht="26.25" customHeight="1">
      <c r="D171" s="629" t="s">
        <v>1812</v>
      </c>
      <c r="E171" s="753">
        <f>+M61/100000</f>
        <v>0</v>
      </c>
      <c r="F171" s="746"/>
      <c r="G171" s="754">
        <f>+(((I55+I56+I57)*16%)+((I58+I59+I60+I61)*45%))/100000</f>
        <v>5055.0997496</v>
      </c>
      <c r="H171" s="755">
        <f>+E171-G171</f>
        <v>-5055.0997496</v>
      </c>
      <c r="I171" s="746"/>
    </row>
    <row r="172" spans="4:9" ht="26.25" customHeight="1">
      <c r="D172" s="629"/>
      <c r="E172" s="746"/>
      <c r="F172" s="746"/>
      <c r="G172" s="754"/>
      <c r="H172" s="755"/>
      <c r="I172" s="746"/>
    </row>
    <row r="173" spans="4:9" ht="26.25" customHeight="1" thickBot="1">
      <c r="D173" s="766" t="s">
        <v>1813</v>
      </c>
      <c r="E173" s="767" t="e">
        <f>+E171+E169+E159</f>
        <v>#REF!</v>
      </c>
      <c r="F173" s="768"/>
      <c r="G173" s="769" t="e">
        <f>+G171+G169+G159</f>
        <v>#REF!</v>
      </c>
      <c r="H173" s="770" t="e">
        <f>+H171+H169+H159</f>
        <v>#REF!</v>
      </c>
      <c r="I173" s="746"/>
    </row>
    <row r="174" spans="4:9" ht="26.25" customHeight="1">
      <c r="E174" s="686"/>
      <c r="F174" s="686"/>
      <c r="G174" s="686"/>
      <c r="H174" s="686"/>
      <c r="I174" s="686"/>
    </row>
    <row r="175" spans="4:9" ht="26.25" customHeight="1">
      <c r="E175" s="754" t="s">
        <v>94</v>
      </c>
      <c r="F175" s="686" t="s">
        <v>94</v>
      </c>
      <c r="G175" s="754" t="s">
        <v>94</v>
      </c>
      <c r="H175" s="754" t="s">
        <v>94</v>
      </c>
      <c r="I175" s="686"/>
    </row>
    <row r="176" spans="4:9" ht="26.25" customHeight="1">
      <c r="E176" s="771" t="str">
        <f>+E146</f>
        <v>2012-2013</v>
      </c>
      <c r="F176" s="686"/>
      <c r="G176" s="754" t="s">
        <v>94</v>
      </c>
      <c r="H176" s="686" t="s">
        <v>94</v>
      </c>
      <c r="I176" s="686"/>
    </row>
    <row r="177" spans="4:9" ht="26.25" customHeight="1">
      <c r="D177" s="631"/>
      <c r="E177" s="742"/>
      <c r="F177" s="742"/>
      <c r="G177" s="742"/>
      <c r="H177" s="742"/>
      <c r="I177" s="686"/>
    </row>
    <row r="178" spans="4:9" ht="26.25" customHeight="1">
      <c r="D178" s="772" t="s">
        <v>1651</v>
      </c>
      <c r="E178" s="743" t="s">
        <v>1801</v>
      </c>
      <c r="F178" s="743"/>
      <c r="G178" s="773" t="s">
        <v>868</v>
      </c>
      <c r="H178" s="743" t="s">
        <v>869</v>
      </c>
      <c r="I178" s="746"/>
    </row>
    <row r="179" spans="4:9" ht="26.25" customHeight="1">
      <c r="D179" s="774"/>
      <c r="E179" s="750" t="s">
        <v>1814</v>
      </c>
      <c r="F179" s="750"/>
      <c r="G179" s="751"/>
      <c r="H179" s="750"/>
      <c r="I179" s="746"/>
    </row>
    <row r="180" spans="4:9" ht="26.25" customHeight="1">
      <c r="D180" s="772" t="s">
        <v>1815</v>
      </c>
      <c r="E180" s="775"/>
      <c r="F180" s="775"/>
      <c r="G180" s="686"/>
      <c r="H180" s="775"/>
      <c r="I180" s="746"/>
    </row>
    <row r="181" spans="4:9" ht="26.25" customHeight="1">
      <c r="D181" s="629"/>
      <c r="E181" s="746"/>
      <c r="F181" s="746"/>
      <c r="G181" s="686"/>
      <c r="H181" s="746"/>
      <c r="I181" s="746"/>
    </row>
    <row r="182" spans="4:9" ht="26.25" customHeight="1">
      <c r="D182" s="629" t="s">
        <v>1816</v>
      </c>
      <c r="E182" s="753">
        <f>+E143/100000</f>
        <v>-17895.83051</v>
      </c>
      <c r="F182" s="746"/>
      <c r="G182" s="754">
        <f>+D142/100000</f>
        <v>7161.92839</v>
      </c>
      <c r="H182" s="753">
        <f>+D143/100000</f>
        <v>-25057.758900000001</v>
      </c>
      <c r="I182" s="746"/>
    </row>
    <row r="183" spans="4:9" ht="26.25" customHeight="1">
      <c r="D183" s="629" t="s">
        <v>1817</v>
      </c>
      <c r="E183" s="753" t="e">
        <f>+(E173)-(E205+E197+E182)</f>
        <v>#REF!</v>
      </c>
      <c r="F183" s="746"/>
      <c r="G183" s="754" t="e">
        <f>+(G173)-(G205+G197+G182)</f>
        <v>#REF!</v>
      </c>
      <c r="H183" s="753" t="e">
        <f>+(H173)-(H205+H197+H182)</f>
        <v>#REF!</v>
      </c>
      <c r="I183" s="746"/>
    </row>
    <row r="184" spans="4:9" ht="26.25" customHeight="1">
      <c r="D184" s="756" t="s">
        <v>1818</v>
      </c>
      <c r="E184" s="757" t="e">
        <f>+E183+E182</f>
        <v>#REF!</v>
      </c>
      <c r="F184" s="762"/>
      <c r="G184" s="758" t="e">
        <f>+G183+G182</f>
        <v>#REF!</v>
      </c>
      <c r="H184" s="757" t="e">
        <f>+H183+H182</f>
        <v>#REF!</v>
      </c>
      <c r="I184" s="746"/>
    </row>
    <row r="185" spans="4:9" ht="26.25" customHeight="1">
      <c r="D185" s="760"/>
      <c r="E185" s="746"/>
      <c r="F185" s="746"/>
      <c r="G185" s="686"/>
      <c r="H185" s="746"/>
      <c r="I185" s="746"/>
    </row>
    <row r="186" spans="4:9" ht="26.25" customHeight="1">
      <c r="D186" s="629" t="s">
        <v>1819</v>
      </c>
      <c r="E186" s="746" t="s">
        <v>94</v>
      </c>
      <c r="F186" s="746"/>
      <c r="G186" s="754" t="s">
        <v>94</v>
      </c>
      <c r="H186" s="753" t="s">
        <v>94</v>
      </c>
      <c r="I186" s="746"/>
    </row>
    <row r="187" spans="4:9" ht="26.25" customHeight="1">
      <c r="D187" s="629" t="s">
        <v>1820</v>
      </c>
      <c r="E187" s="746" t="e">
        <f>+#REF!/100000</f>
        <v>#REF!</v>
      </c>
      <c r="F187" s="746"/>
      <c r="G187" s="754" t="e">
        <f>+E187/2</f>
        <v>#REF!</v>
      </c>
      <c r="H187" s="753" t="e">
        <f>+E187/2</f>
        <v>#REF!</v>
      </c>
      <c r="I187" s="746"/>
    </row>
    <row r="188" spans="4:9" ht="26.25" customHeight="1">
      <c r="D188" s="629" t="s">
        <v>1821</v>
      </c>
      <c r="E188" s="753" t="e">
        <f>+#REF!/100000</f>
        <v>#REF!</v>
      </c>
      <c r="F188" s="746"/>
      <c r="G188" s="754">
        <v>0</v>
      </c>
      <c r="H188" s="753" t="e">
        <f>+E188</f>
        <v>#REF!</v>
      </c>
      <c r="I188" s="746"/>
    </row>
    <row r="189" spans="4:9" ht="26.25" customHeight="1">
      <c r="D189" s="629" t="str">
        <f>+D40</f>
        <v>World Bank Loan Under MUTP</v>
      </c>
      <c r="E189" s="753">
        <f>+B40/100000</f>
        <v>8139.8069999999998</v>
      </c>
      <c r="F189" s="746"/>
      <c r="G189" s="754">
        <v>0</v>
      </c>
      <c r="H189" s="753">
        <f>+E189</f>
        <v>8139.8069999999998</v>
      </c>
      <c r="I189" s="746"/>
    </row>
    <row r="190" spans="4:9" ht="26.25" customHeight="1">
      <c r="D190" s="629" t="s">
        <v>1822</v>
      </c>
      <c r="E190" s="753">
        <f>+B42/100000</f>
        <v>3798.5</v>
      </c>
      <c r="F190" s="746"/>
      <c r="G190" s="754">
        <f>+E190</f>
        <v>3798.5</v>
      </c>
      <c r="H190" s="753">
        <v>0</v>
      </c>
      <c r="I190" s="746"/>
    </row>
    <row r="191" spans="4:9" ht="26.25" customHeight="1">
      <c r="D191" s="629" t="s">
        <v>1823</v>
      </c>
      <c r="E191" s="746">
        <v>0</v>
      </c>
      <c r="F191" s="746"/>
      <c r="G191" s="754">
        <v>0</v>
      </c>
      <c r="H191" s="753">
        <v>0</v>
      </c>
      <c r="I191" s="746"/>
    </row>
    <row r="192" spans="4:9" ht="26.25" customHeight="1">
      <c r="D192" s="629" t="s">
        <v>1824</v>
      </c>
      <c r="E192" s="753" t="e">
        <f>+#REF!/100000</f>
        <v>#REF!</v>
      </c>
      <c r="F192" s="746"/>
      <c r="G192" s="754" t="e">
        <f>+E192</f>
        <v>#REF!</v>
      </c>
      <c r="H192" s="753" t="e">
        <f>+G192-E192</f>
        <v>#REF!</v>
      </c>
      <c r="I192" s="746"/>
    </row>
    <row r="193" spans="4:9" ht="26.25" customHeight="1">
      <c r="D193" s="629" t="s">
        <v>1825</v>
      </c>
      <c r="E193" s="746">
        <v>0</v>
      </c>
      <c r="F193" s="746"/>
      <c r="G193" s="754">
        <v>0</v>
      </c>
      <c r="H193" s="753">
        <v>0</v>
      </c>
      <c r="I193" s="746"/>
    </row>
    <row r="194" spans="4:9" ht="26.25" customHeight="1">
      <c r="D194" s="629" t="s">
        <v>1826</v>
      </c>
      <c r="E194" s="746">
        <v>0</v>
      </c>
      <c r="F194" s="746"/>
      <c r="G194" s="754">
        <v>0</v>
      </c>
      <c r="H194" s="753">
        <v>0</v>
      </c>
      <c r="I194" s="746"/>
    </row>
    <row r="195" spans="4:9" ht="26.25" customHeight="1">
      <c r="D195" s="629" t="s">
        <v>1827</v>
      </c>
      <c r="E195" s="746">
        <v>0</v>
      </c>
      <c r="F195" s="746"/>
      <c r="G195" s="754">
        <v>0</v>
      </c>
      <c r="H195" s="753">
        <v>0</v>
      </c>
      <c r="I195" s="746"/>
    </row>
    <row r="196" spans="4:9" ht="26.25" customHeight="1">
      <c r="D196" s="629" t="s">
        <v>1828</v>
      </c>
      <c r="E196" s="753">
        <f>+B39/100000</f>
        <v>159.58338000000001</v>
      </c>
      <c r="F196" s="746"/>
      <c r="G196" s="754">
        <f>+E196</f>
        <v>159.58338000000001</v>
      </c>
      <c r="H196" s="753">
        <f>+G196-E196</f>
        <v>0</v>
      </c>
      <c r="I196" s="746"/>
    </row>
    <row r="197" spans="4:9" ht="26.25" customHeight="1">
      <c r="D197" s="756" t="s">
        <v>1829</v>
      </c>
      <c r="E197" s="757" t="e">
        <f>SUM(E187:E196)</f>
        <v>#REF!</v>
      </c>
      <c r="F197" s="762"/>
      <c r="G197" s="758" t="e">
        <f>SUM(G187:G196)</f>
        <v>#REF!</v>
      </c>
      <c r="H197" s="757" t="e">
        <f>SUM(H187:H196)</f>
        <v>#REF!</v>
      </c>
      <c r="I197" s="746"/>
    </row>
    <row r="198" spans="4:9" ht="26.25" customHeight="1">
      <c r="D198" s="629"/>
      <c r="E198" s="746"/>
      <c r="F198" s="746"/>
      <c r="G198" s="754" t="s">
        <v>94</v>
      </c>
      <c r="H198" s="746"/>
      <c r="I198" s="746"/>
    </row>
    <row r="199" spans="4:9" ht="26.25" customHeight="1">
      <c r="D199" s="629" t="s">
        <v>1314</v>
      </c>
      <c r="E199" s="746"/>
      <c r="F199" s="746"/>
      <c r="G199" s="686"/>
      <c r="H199" s="746"/>
      <c r="I199" s="746"/>
    </row>
    <row r="200" spans="4:9" ht="26.25" customHeight="1">
      <c r="D200" s="629"/>
      <c r="E200" s="746"/>
      <c r="F200" s="746"/>
      <c r="G200" s="686"/>
      <c r="H200" s="746"/>
      <c r="I200" s="746"/>
    </row>
    <row r="201" spans="4:9" ht="26.25" customHeight="1">
      <c r="D201" s="629" t="s">
        <v>1830</v>
      </c>
      <c r="E201" s="776">
        <f>+H68/100000</f>
        <v>0</v>
      </c>
      <c r="F201" s="746"/>
      <c r="G201" s="754">
        <f>+((E201-E140)*45%)+E140</f>
        <v>5357.0233419999995</v>
      </c>
      <c r="H201" s="753">
        <f>+(E201-E140)*55%</f>
        <v>-5357.0233420000004</v>
      </c>
      <c r="I201" s="746"/>
    </row>
    <row r="202" spans="4:9" ht="26.25" customHeight="1">
      <c r="D202" s="629" t="s">
        <v>1831</v>
      </c>
      <c r="E202" s="753">
        <f>+B57/100000</f>
        <v>34389.903440000002</v>
      </c>
      <c r="F202" s="746"/>
      <c r="G202" s="754">
        <f>+E202*100%</f>
        <v>34389.903440000002</v>
      </c>
      <c r="H202" s="753">
        <f>+G202-E202</f>
        <v>0</v>
      </c>
      <c r="I202" s="746"/>
    </row>
    <row r="203" spans="4:9" ht="26.25" customHeight="1">
      <c r="D203" s="629" t="s">
        <v>1832</v>
      </c>
      <c r="E203" s="753">
        <f>+(H59-B57)/100000</f>
        <v>-34389.903440000002</v>
      </c>
      <c r="F203" s="746"/>
      <c r="G203" s="754">
        <f>+E203*45%</f>
        <v>-15475.456548000002</v>
      </c>
      <c r="H203" s="753">
        <f>+E203*55%</f>
        <v>-18914.446892000004</v>
      </c>
      <c r="I203" s="746"/>
    </row>
    <row r="204" spans="4:9" ht="26.25" customHeight="1">
      <c r="D204" s="629"/>
      <c r="E204" s="746"/>
      <c r="F204" s="746"/>
      <c r="G204" s="686"/>
      <c r="H204" s="746"/>
      <c r="I204" s="746"/>
    </row>
    <row r="205" spans="4:9" ht="26.25" customHeight="1">
      <c r="D205" s="756" t="s">
        <v>1314</v>
      </c>
      <c r="E205" s="757">
        <f>+E203+E202+E201</f>
        <v>0</v>
      </c>
      <c r="F205" s="762"/>
      <c r="G205" s="758">
        <f>+G203+G202+G201</f>
        <v>24271.470234</v>
      </c>
      <c r="H205" s="757">
        <f>+H203+H202+H201</f>
        <v>-24271.470234000004</v>
      </c>
      <c r="I205" s="746"/>
    </row>
    <row r="206" spans="4:9" ht="26.25" customHeight="1">
      <c r="D206" s="760"/>
      <c r="E206" s="746"/>
      <c r="F206" s="746"/>
      <c r="G206" s="686"/>
      <c r="H206" s="746"/>
      <c r="I206" s="746"/>
    </row>
    <row r="207" spans="4:9" ht="26.25" customHeight="1" thickBot="1">
      <c r="D207" s="766" t="s">
        <v>1833</v>
      </c>
      <c r="E207" s="767" t="e">
        <f>+E205+E197+E184</f>
        <v>#REF!</v>
      </c>
      <c r="F207" s="768"/>
      <c r="G207" s="769" t="e">
        <f>+G205+G197+G184</f>
        <v>#REF!</v>
      </c>
      <c r="H207" s="770" t="e">
        <f>+H205+H197+H184</f>
        <v>#REF!</v>
      </c>
      <c r="I207" s="746"/>
    </row>
    <row r="208" spans="4:9" ht="26.25" customHeight="1">
      <c r="D208" s="686"/>
      <c r="E208" s="686"/>
      <c r="F208" s="686"/>
      <c r="G208" s="686"/>
      <c r="H208" s="686"/>
      <c r="I208" s="686"/>
    </row>
    <row r="209" spans="5:8" ht="26.25" customHeight="1">
      <c r="E209" s="692" t="s">
        <v>94</v>
      </c>
      <c r="F209" s="616" t="s">
        <v>94</v>
      </c>
      <c r="G209" s="692" t="s">
        <v>94</v>
      </c>
      <c r="H209" s="692" t="s">
        <v>94</v>
      </c>
    </row>
  </sheetData>
  <mergeCells count="3">
    <mergeCell ref="B80:H80"/>
    <mergeCell ref="B82:H82"/>
    <mergeCell ref="B88:D88"/>
  </mergeCells>
  <printOptions horizontalCentered="1"/>
  <pageMargins left="0" right="0" top="0.15748031496062992" bottom="0" header="0.11811023622047245" footer="0.11811023622047245"/>
  <pageSetup paperSize="9" scale="43" fitToHeight="0" orientation="landscape" r:id="rId1"/>
  <headerFooter alignWithMargins="0"/>
  <rowBreaks count="3" manualBreakCount="3">
    <brk id="48" min="1" max="13" man="1"/>
    <brk id="125" max="16383" man="1"/>
    <brk id="146" min="1" max="8" man="1"/>
  </rowBreaks>
</worksheet>
</file>

<file path=xl/worksheets/sheet87.xml><?xml version="1.0" encoding="utf-8"?>
<worksheet xmlns="http://schemas.openxmlformats.org/spreadsheetml/2006/main" xmlns:r="http://schemas.openxmlformats.org/officeDocument/2006/relationships">
  <sheetPr codeName="Sheet66"/>
  <dimension ref="B1:E9"/>
  <sheetViews>
    <sheetView showGridLines="0" view="pageBreakPreview" zoomScale="60" workbookViewId="0">
      <selection activeCell="E8" sqref="E8:E9"/>
    </sheetView>
  </sheetViews>
  <sheetFormatPr defaultRowHeight="15"/>
  <cols>
    <col min="2" max="2" width="19.42578125" customWidth="1"/>
    <col min="3" max="3" width="23.5703125" customWidth="1"/>
    <col min="4" max="4" width="13.7109375" customWidth="1"/>
    <col min="5" max="5" width="17" customWidth="1"/>
  </cols>
  <sheetData>
    <row r="1" spans="2:5">
      <c r="B1" s="6080" t="s">
        <v>1882</v>
      </c>
      <c r="C1" s="6081"/>
      <c r="D1" s="6081"/>
      <c r="E1" s="6082"/>
    </row>
    <row r="3" spans="2:5" ht="15.75">
      <c r="B3" s="5841" t="s">
        <v>81</v>
      </c>
      <c r="C3" s="5503" t="s">
        <v>1883</v>
      </c>
      <c r="D3" s="5503"/>
      <c r="E3" s="5503"/>
    </row>
    <row r="4" spans="2:5" ht="35.25" customHeight="1">
      <c r="B4" s="5841"/>
      <c r="C4" s="1483" t="s">
        <v>1884</v>
      </c>
      <c r="D4" s="1483" t="s">
        <v>1885</v>
      </c>
      <c r="E4" s="1496" t="s">
        <v>1886</v>
      </c>
    </row>
    <row r="5" spans="2:5" ht="63.75" customHeight="1">
      <c r="B5" s="1657" t="s">
        <v>1887</v>
      </c>
      <c r="C5" s="815">
        <v>245.08</v>
      </c>
      <c r="D5" s="815">
        <v>245.08</v>
      </c>
      <c r="E5" s="815">
        <v>252.52</v>
      </c>
    </row>
    <row r="6" spans="2:5" ht="49.5" customHeight="1">
      <c r="B6" s="1657" t="s">
        <v>1888</v>
      </c>
      <c r="C6" s="1658">
        <v>0.09</v>
      </c>
      <c r="D6" s="1658">
        <v>0.09</v>
      </c>
      <c r="E6" s="1658">
        <v>0.09</v>
      </c>
    </row>
    <row r="7" spans="2:5" ht="57" customHeight="1">
      <c r="B7" s="1657" t="s">
        <v>1889</v>
      </c>
      <c r="C7" s="815">
        <v>22.06</v>
      </c>
      <c r="D7" s="815">
        <v>22.06</v>
      </c>
      <c r="E7" s="815">
        <v>22.5</v>
      </c>
    </row>
    <row r="8" spans="2:5" ht="66" customHeight="1">
      <c r="B8" s="1657" t="s">
        <v>1890</v>
      </c>
      <c r="C8" s="815">
        <v>0</v>
      </c>
      <c r="D8" s="815">
        <v>0</v>
      </c>
      <c r="E8" s="815">
        <v>0.23</v>
      </c>
    </row>
    <row r="9" spans="2:5" ht="45.75" customHeight="1">
      <c r="B9" s="1657" t="s">
        <v>1891</v>
      </c>
      <c r="C9" s="815">
        <v>22.06</v>
      </c>
      <c r="D9" s="815">
        <v>22.06</v>
      </c>
      <c r="E9" s="815">
        <v>22.73</v>
      </c>
    </row>
  </sheetData>
  <mergeCells count="3">
    <mergeCell ref="B3:B4"/>
    <mergeCell ref="C3:E3"/>
    <mergeCell ref="B1:E1"/>
  </mergeCells>
  <pageMargins left="0.7" right="0.7" top="0.75" bottom="0.75" header="0.3" footer="0.3"/>
  <pageSetup paperSize="9" scale="95" orientation="portrait" r:id="rId1"/>
</worksheet>
</file>

<file path=xl/worksheets/sheet88.xml><?xml version="1.0" encoding="utf-8"?>
<worksheet xmlns="http://schemas.openxmlformats.org/spreadsheetml/2006/main" xmlns:r="http://schemas.openxmlformats.org/officeDocument/2006/relationships">
  <sheetPr codeName="Sheet67"/>
  <dimension ref="A2:S59"/>
  <sheetViews>
    <sheetView showGridLines="0" zoomScale="80" zoomScaleNormal="80" workbookViewId="0">
      <selection activeCell="L49" sqref="L49"/>
    </sheetView>
  </sheetViews>
  <sheetFormatPr defaultRowHeight="15.75"/>
  <cols>
    <col min="1" max="1" width="8.7109375" style="254" customWidth="1"/>
    <col min="2" max="2" width="38" style="254" customWidth="1"/>
    <col min="3" max="3" width="14.7109375" style="254" customWidth="1"/>
    <col min="4" max="4" width="21" style="254" customWidth="1"/>
    <col min="5" max="5" width="13" style="254" customWidth="1"/>
    <col min="6" max="6" width="33.140625" style="254" customWidth="1"/>
    <col min="7" max="7" width="9.140625" style="254"/>
    <col min="8" max="8" width="18.28515625" style="254" customWidth="1"/>
    <col min="9" max="11" width="9.140625" style="254"/>
    <col min="12" max="12" width="19.28515625" style="254" customWidth="1"/>
    <col min="13" max="13" width="12.85546875" style="254" customWidth="1"/>
    <col min="14" max="14" width="11.7109375" style="254" customWidth="1"/>
    <col min="15" max="16" width="12.5703125" style="254" customWidth="1"/>
    <col min="17" max="17" width="21.7109375" style="254" customWidth="1"/>
    <col min="18" max="256" width="9.140625" style="254"/>
    <col min="257" max="257" width="5" style="254" bestFit="1" customWidth="1"/>
    <col min="258" max="258" width="27.28515625" style="254" bestFit="1" customWidth="1"/>
    <col min="259" max="259" width="11.7109375" style="254" bestFit="1" customWidth="1"/>
    <col min="260" max="261" width="8.7109375" style="254" bestFit="1" customWidth="1"/>
    <col min="262" max="262" width="23" style="254" bestFit="1" customWidth="1"/>
    <col min="263" max="512" width="9.140625" style="254"/>
    <col min="513" max="513" width="5" style="254" bestFit="1" customWidth="1"/>
    <col min="514" max="514" width="27.28515625" style="254" bestFit="1" customWidth="1"/>
    <col min="515" max="515" width="11.7109375" style="254" bestFit="1" customWidth="1"/>
    <col min="516" max="517" width="8.7109375" style="254" bestFit="1" customWidth="1"/>
    <col min="518" max="518" width="23" style="254" bestFit="1" customWidth="1"/>
    <col min="519" max="768" width="9.140625" style="254"/>
    <col min="769" max="769" width="5" style="254" bestFit="1" customWidth="1"/>
    <col min="770" max="770" width="27.28515625" style="254" bestFit="1" customWidth="1"/>
    <col min="771" max="771" width="11.7109375" style="254" bestFit="1" customWidth="1"/>
    <col min="772" max="773" width="8.7109375" style="254" bestFit="1" customWidth="1"/>
    <col min="774" max="774" width="23" style="254" bestFit="1" customWidth="1"/>
    <col min="775" max="1024" width="9.140625" style="254"/>
    <col min="1025" max="1025" width="5" style="254" bestFit="1" customWidth="1"/>
    <col min="1026" max="1026" width="27.28515625" style="254" bestFit="1" customWidth="1"/>
    <col min="1027" max="1027" width="11.7109375" style="254" bestFit="1" customWidth="1"/>
    <col min="1028" max="1029" width="8.7109375" style="254" bestFit="1" customWidth="1"/>
    <col min="1030" max="1030" width="23" style="254" bestFit="1" customWidth="1"/>
    <col min="1031" max="1280" width="9.140625" style="254"/>
    <col min="1281" max="1281" width="5" style="254" bestFit="1" customWidth="1"/>
    <col min="1282" max="1282" width="27.28515625" style="254" bestFit="1" customWidth="1"/>
    <col min="1283" max="1283" width="11.7109375" style="254" bestFit="1" customWidth="1"/>
    <col min="1284" max="1285" width="8.7109375" style="254" bestFit="1" customWidth="1"/>
    <col min="1286" max="1286" width="23" style="254" bestFit="1" customWidth="1"/>
    <col min="1287" max="1536" width="9.140625" style="254"/>
    <col min="1537" max="1537" width="5" style="254" bestFit="1" customWidth="1"/>
    <col min="1538" max="1538" width="27.28515625" style="254" bestFit="1" customWidth="1"/>
    <col min="1539" max="1539" width="11.7109375" style="254" bestFit="1" customWidth="1"/>
    <col min="1540" max="1541" width="8.7109375" style="254" bestFit="1" customWidth="1"/>
    <col min="1542" max="1542" width="23" style="254" bestFit="1" customWidth="1"/>
    <col min="1543" max="1792" width="9.140625" style="254"/>
    <col min="1793" max="1793" width="5" style="254" bestFit="1" customWidth="1"/>
    <col min="1794" max="1794" width="27.28515625" style="254" bestFit="1" customWidth="1"/>
    <col min="1795" max="1795" width="11.7109375" style="254" bestFit="1" customWidth="1"/>
    <col min="1796" max="1797" width="8.7109375" style="254" bestFit="1" customWidth="1"/>
    <col min="1798" max="1798" width="23" style="254" bestFit="1" customWidth="1"/>
    <col min="1799" max="2048" width="9.140625" style="254"/>
    <col min="2049" max="2049" width="5" style="254" bestFit="1" customWidth="1"/>
    <col min="2050" max="2050" width="27.28515625" style="254" bestFit="1" customWidth="1"/>
    <col min="2051" max="2051" width="11.7109375" style="254" bestFit="1" customWidth="1"/>
    <col min="2052" max="2053" width="8.7109375" style="254" bestFit="1" customWidth="1"/>
    <col min="2054" max="2054" width="23" style="254" bestFit="1" customWidth="1"/>
    <col min="2055" max="2304" width="9.140625" style="254"/>
    <col min="2305" max="2305" width="5" style="254" bestFit="1" customWidth="1"/>
    <col min="2306" max="2306" width="27.28515625" style="254" bestFit="1" customWidth="1"/>
    <col min="2307" max="2307" width="11.7109375" style="254" bestFit="1" customWidth="1"/>
    <col min="2308" max="2309" width="8.7109375" style="254" bestFit="1" customWidth="1"/>
    <col min="2310" max="2310" width="23" style="254" bestFit="1" customWidth="1"/>
    <col min="2311" max="2560" width="9.140625" style="254"/>
    <col min="2561" max="2561" width="5" style="254" bestFit="1" customWidth="1"/>
    <col min="2562" max="2562" width="27.28515625" style="254" bestFit="1" customWidth="1"/>
    <col min="2563" max="2563" width="11.7109375" style="254" bestFit="1" customWidth="1"/>
    <col min="2564" max="2565" width="8.7109375" style="254" bestFit="1" customWidth="1"/>
    <col min="2566" max="2566" width="23" style="254" bestFit="1" customWidth="1"/>
    <col min="2567" max="2816" width="9.140625" style="254"/>
    <col min="2817" max="2817" width="5" style="254" bestFit="1" customWidth="1"/>
    <col min="2818" max="2818" width="27.28515625" style="254" bestFit="1" customWidth="1"/>
    <col min="2819" max="2819" width="11.7109375" style="254" bestFit="1" customWidth="1"/>
    <col min="2820" max="2821" width="8.7109375" style="254" bestFit="1" customWidth="1"/>
    <col min="2822" max="2822" width="23" style="254" bestFit="1" customWidth="1"/>
    <col min="2823" max="3072" width="9.140625" style="254"/>
    <col min="3073" max="3073" width="5" style="254" bestFit="1" customWidth="1"/>
    <col min="3074" max="3074" width="27.28515625" style="254" bestFit="1" customWidth="1"/>
    <col min="3075" max="3075" width="11.7109375" style="254" bestFit="1" customWidth="1"/>
    <col min="3076" max="3077" width="8.7109375" style="254" bestFit="1" customWidth="1"/>
    <col min="3078" max="3078" width="23" style="254" bestFit="1" customWidth="1"/>
    <col min="3079" max="3328" width="9.140625" style="254"/>
    <col min="3329" max="3329" width="5" style="254" bestFit="1" customWidth="1"/>
    <col min="3330" max="3330" width="27.28515625" style="254" bestFit="1" customWidth="1"/>
    <col min="3331" max="3331" width="11.7109375" style="254" bestFit="1" customWidth="1"/>
    <col min="3332" max="3333" width="8.7109375" style="254" bestFit="1" customWidth="1"/>
    <col min="3334" max="3334" width="23" style="254" bestFit="1" customWidth="1"/>
    <col min="3335" max="3584" width="9.140625" style="254"/>
    <col min="3585" max="3585" width="5" style="254" bestFit="1" customWidth="1"/>
    <col min="3586" max="3586" width="27.28515625" style="254" bestFit="1" customWidth="1"/>
    <col min="3587" max="3587" width="11.7109375" style="254" bestFit="1" customWidth="1"/>
    <col min="3588" max="3589" width="8.7109375" style="254" bestFit="1" customWidth="1"/>
    <col min="3590" max="3590" width="23" style="254" bestFit="1" customWidth="1"/>
    <col min="3591" max="3840" width="9.140625" style="254"/>
    <col min="3841" max="3841" width="5" style="254" bestFit="1" customWidth="1"/>
    <col min="3842" max="3842" width="27.28515625" style="254" bestFit="1" customWidth="1"/>
    <col min="3843" max="3843" width="11.7109375" style="254" bestFit="1" customWidth="1"/>
    <col min="3844" max="3845" width="8.7109375" style="254" bestFit="1" customWidth="1"/>
    <col min="3846" max="3846" width="23" style="254" bestFit="1" customWidth="1"/>
    <col min="3847" max="4096" width="9.140625" style="254"/>
    <col min="4097" max="4097" width="5" style="254" bestFit="1" customWidth="1"/>
    <col min="4098" max="4098" width="27.28515625" style="254" bestFit="1" customWidth="1"/>
    <col min="4099" max="4099" width="11.7109375" style="254" bestFit="1" customWidth="1"/>
    <col min="4100" max="4101" width="8.7109375" style="254" bestFit="1" customWidth="1"/>
    <col min="4102" max="4102" width="23" style="254" bestFit="1" customWidth="1"/>
    <col min="4103" max="4352" width="9.140625" style="254"/>
    <col min="4353" max="4353" width="5" style="254" bestFit="1" customWidth="1"/>
    <col min="4354" max="4354" width="27.28515625" style="254" bestFit="1" customWidth="1"/>
    <col min="4355" max="4355" width="11.7109375" style="254" bestFit="1" customWidth="1"/>
    <col min="4356" max="4357" width="8.7109375" style="254" bestFit="1" customWidth="1"/>
    <col min="4358" max="4358" width="23" style="254" bestFit="1" customWidth="1"/>
    <col min="4359" max="4608" width="9.140625" style="254"/>
    <col min="4609" max="4609" width="5" style="254" bestFit="1" customWidth="1"/>
    <col min="4610" max="4610" width="27.28515625" style="254" bestFit="1" customWidth="1"/>
    <col min="4611" max="4611" width="11.7109375" style="254" bestFit="1" customWidth="1"/>
    <col min="4612" max="4613" width="8.7109375" style="254" bestFit="1" customWidth="1"/>
    <col min="4614" max="4614" width="23" style="254" bestFit="1" customWidth="1"/>
    <col min="4615" max="4864" width="9.140625" style="254"/>
    <col min="4865" max="4865" width="5" style="254" bestFit="1" customWidth="1"/>
    <col min="4866" max="4866" width="27.28515625" style="254" bestFit="1" customWidth="1"/>
    <col min="4867" max="4867" width="11.7109375" style="254" bestFit="1" customWidth="1"/>
    <col min="4868" max="4869" width="8.7109375" style="254" bestFit="1" customWidth="1"/>
    <col min="4870" max="4870" width="23" style="254" bestFit="1" customWidth="1"/>
    <col min="4871" max="5120" width="9.140625" style="254"/>
    <col min="5121" max="5121" width="5" style="254" bestFit="1" customWidth="1"/>
    <col min="5122" max="5122" width="27.28515625" style="254" bestFit="1" customWidth="1"/>
    <col min="5123" max="5123" width="11.7109375" style="254" bestFit="1" customWidth="1"/>
    <col min="5124" max="5125" width="8.7109375" style="254" bestFit="1" customWidth="1"/>
    <col min="5126" max="5126" width="23" style="254" bestFit="1" customWidth="1"/>
    <col min="5127" max="5376" width="9.140625" style="254"/>
    <col min="5377" max="5377" width="5" style="254" bestFit="1" customWidth="1"/>
    <col min="5378" max="5378" width="27.28515625" style="254" bestFit="1" customWidth="1"/>
    <col min="5379" max="5379" width="11.7109375" style="254" bestFit="1" customWidth="1"/>
    <col min="5380" max="5381" width="8.7109375" style="254" bestFit="1" customWidth="1"/>
    <col min="5382" max="5382" width="23" style="254" bestFit="1" customWidth="1"/>
    <col min="5383" max="5632" width="9.140625" style="254"/>
    <col min="5633" max="5633" width="5" style="254" bestFit="1" customWidth="1"/>
    <col min="5634" max="5634" width="27.28515625" style="254" bestFit="1" customWidth="1"/>
    <col min="5635" max="5635" width="11.7109375" style="254" bestFit="1" customWidth="1"/>
    <col min="5636" max="5637" width="8.7109375" style="254" bestFit="1" customWidth="1"/>
    <col min="5638" max="5638" width="23" style="254" bestFit="1" customWidth="1"/>
    <col min="5639" max="5888" width="9.140625" style="254"/>
    <col min="5889" max="5889" width="5" style="254" bestFit="1" customWidth="1"/>
    <col min="5890" max="5890" width="27.28515625" style="254" bestFit="1" customWidth="1"/>
    <col min="5891" max="5891" width="11.7109375" style="254" bestFit="1" customWidth="1"/>
    <col min="5892" max="5893" width="8.7109375" style="254" bestFit="1" customWidth="1"/>
    <col min="5894" max="5894" width="23" style="254" bestFit="1" customWidth="1"/>
    <col min="5895" max="6144" width="9.140625" style="254"/>
    <col min="6145" max="6145" width="5" style="254" bestFit="1" customWidth="1"/>
    <col min="6146" max="6146" width="27.28515625" style="254" bestFit="1" customWidth="1"/>
    <col min="6147" max="6147" width="11.7109375" style="254" bestFit="1" customWidth="1"/>
    <col min="6148" max="6149" width="8.7109375" style="254" bestFit="1" customWidth="1"/>
    <col min="6150" max="6150" width="23" style="254" bestFit="1" customWidth="1"/>
    <col min="6151" max="6400" width="9.140625" style="254"/>
    <col min="6401" max="6401" width="5" style="254" bestFit="1" customWidth="1"/>
    <col min="6402" max="6402" width="27.28515625" style="254" bestFit="1" customWidth="1"/>
    <col min="6403" max="6403" width="11.7109375" style="254" bestFit="1" customWidth="1"/>
    <col min="6404" max="6405" width="8.7109375" style="254" bestFit="1" customWidth="1"/>
    <col min="6406" max="6406" width="23" style="254" bestFit="1" customWidth="1"/>
    <col min="6407" max="6656" width="9.140625" style="254"/>
    <col min="6657" max="6657" width="5" style="254" bestFit="1" customWidth="1"/>
    <col min="6658" max="6658" width="27.28515625" style="254" bestFit="1" customWidth="1"/>
    <col min="6659" max="6659" width="11.7109375" style="254" bestFit="1" customWidth="1"/>
    <col min="6660" max="6661" width="8.7109375" style="254" bestFit="1" customWidth="1"/>
    <col min="6662" max="6662" width="23" style="254" bestFit="1" customWidth="1"/>
    <col min="6663" max="6912" width="9.140625" style="254"/>
    <col min="6913" max="6913" width="5" style="254" bestFit="1" customWidth="1"/>
    <col min="6914" max="6914" width="27.28515625" style="254" bestFit="1" customWidth="1"/>
    <col min="6915" max="6915" width="11.7109375" style="254" bestFit="1" customWidth="1"/>
    <col min="6916" max="6917" width="8.7109375" style="254" bestFit="1" customWidth="1"/>
    <col min="6918" max="6918" width="23" style="254" bestFit="1" customWidth="1"/>
    <col min="6919" max="7168" width="9.140625" style="254"/>
    <col min="7169" max="7169" width="5" style="254" bestFit="1" customWidth="1"/>
    <col min="7170" max="7170" width="27.28515625" style="254" bestFit="1" customWidth="1"/>
    <col min="7171" max="7171" width="11.7109375" style="254" bestFit="1" customWidth="1"/>
    <col min="7172" max="7173" width="8.7109375" style="254" bestFit="1" customWidth="1"/>
    <col min="7174" max="7174" width="23" style="254" bestFit="1" customWidth="1"/>
    <col min="7175" max="7424" width="9.140625" style="254"/>
    <col min="7425" max="7425" width="5" style="254" bestFit="1" customWidth="1"/>
    <col min="7426" max="7426" width="27.28515625" style="254" bestFit="1" customWidth="1"/>
    <col min="7427" max="7427" width="11.7109375" style="254" bestFit="1" customWidth="1"/>
    <col min="7428" max="7429" width="8.7109375" style="254" bestFit="1" customWidth="1"/>
    <col min="7430" max="7430" width="23" style="254" bestFit="1" customWidth="1"/>
    <col min="7431" max="7680" width="9.140625" style="254"/>
    <col min="7681" max="7681" width="5" style="254" bestFit="1" customWidth="1"/>
    <col min="7682" max="7682" width="27.28515625" style="254" bestFit="1" customWidth="1"/>
    <col min="7683" max="7683" width="11.7109375" style="254" bestFit="1" customWidth="1"/>
    <col min="7684" max="7685" width="8.7109375" style="254" bestFit="1" customWidth="1"/>
    <col min="7686" max="7686" width="23" style="254" bestFit="1" customWidth="1"/>
    <col min="7687" max="7936" width="9.140625" style="254"/>
    <col min="7937" max="7937" width="5" style="254" bestFit="1" customWidth="1"/>
    <col min="7938" max="7938" width="27.28515625" style="254" bestFit="1" customWidth="1"/>
    <col min="7939" max="7939" width="11.7109375" style="254" bestFit="1" customWidth="1"/>
    <col min="7940" max="7941" width="8.7109375" style="254" bestFit="1" customWidth="1"/>
    <col min="7942" max="7942" width="23" style="254" bestFit="1" customWidth="1"/>
    <col min="7943" max="8192" width="9.140625" style="254"/>
    <col min="8193" max="8193" width="5" style="254" bestFit="1" customWidth="1"/>
    <col min="8194" max="8194" width="27.28515625" style="254" bestFit="1" customWidth="1"/>
    <col min="8195" max="8195" width="11.7109375" style="254" bestFit="1" customWidth="1"/>
    <col min="8196" max="8197" width="8.7109375" style="254" bestFit="1" customWidth="1"/>
    <col min="8198" max="8198" width="23" style="254" bestFit="1" customWidth="1"/>
    <col min="8199" max="8448" width="9.140625" style="254"/>
    <col min="8449" max="8449" width="5" style="254" bestFit="1" customWidth="1"/>
    <col min="8450" max="8450" width="27.28515625" style="254" bestFit="1" customWidth="1"/>
    <col min="8451" max="8451" width="11.7109375" style="254" bestFit="1" customWidth="1"/>
    <col min="8452" max="8453" width="8.7109375" style="254" bestFit="1" customWidth="1"/>
    <col min="8454" max="8454" width="23" style="254" bestFit="1" customWidth="1"/>
    <col min="8455" max="8704" width="9.140625" style="254"/>
    <col min="8705" max="8705" width="5" style="254" bestFit="1" customWidth="1"/>
    <col min="8706" max="8706" width="27.28515625" style="254" bestFit="1" customWidth="1"/>
    <col min="8707" max="8707" width="11.7109375" style="254" bestFit="1" customWidth="1"/>
    <col min="8708" max="8709" width="8.7109375" style="254" bestFit="1" customWidth="1"/>
    <col min="8710" max="8710" width="23" style="254" bestFit="1" customWidth="1"/>
    <col min="8711" max="8960" width="9.140625" style="254"/>
    <col min="8961" max="8961" width="5" style="254" bestFit="1" customWidth="1"/>
    <col min="8962" max="8962" width="27.28515625" style="254" bestFit="1" customWidth="1"/>
    <col min="8963" max="8963" width="11.7109375" style="254" bestFit="1" customWidth="1"/>
    <col min="8964" max="8965" width="8.7109375" style="254" bestFit="1" customWidth="1"/>
    <col min="8966" max="8966" width="23" style="254" bestFit="1" customWidth="1"/>
    <col min="8967" max="9216" width="9.140625" style="254"/>
    <col min="9217" max="9217" width="5" style="254" bestFit="1" customWidth="1"/>
    <col min="9218" max="9218" width="27.28515625" style="254" bestFit="1" customWidth="1"/>
    <col min="9219" max="9219" width="11.7109375" style="254" bestFit="1" customWidth="1"/>
    <col min="9220" max="9221" width="8.7109375" style="254" bestFit="1" customWidth="1"/>
    <col min="9222" max="9222" width="23" style="254" bestFit="1" customWidth="1"/>
    <col min="9223" max="9472" width="9.140625" style="254"/>
    <col min="9473" max="9473" width="5" style="254" bestFit="1" customWidth="1"/>
    <col min="9474" max="9474" width="27.28515625" style="254" bestFit="1" customWidth="1"/>
    <col min="9475" max="9475" width="11.7109375" style="254" bestFit="1" customWidth="1"/>
    <col min="9476" max="9477" width="8.7109375" style="254" bestFit="1" customWidth="1"/>
    <col min="9478" max="9478" width="23" style="254" bestFit="1" customWidth="1"/>
    <col min="9479" max="9728" width="9.140625" style="254"/>
    <col min="9729" max="9729" width="5" style="254" bestFit="1" customWidth="1"/>
    <col min="9730" max="9730" width="27.28515625" style="254" bestFit="1" customWidth="1"/>
    <col min="9731" max="9731" width="11.7109375" style="254" bestFit="1" customWidth="1"/>
    <col min="9732" max="9733" width="8.7109375" style="254" bestFit="1" customWidth="1"/>
    <col min="9734" max="9734" width="23" style="254" bestFit="1" customWidth="1"/>
    <col min="9735" max="9984" width="9.140625" style="254"/>
    <col min="9985" max="9985" width="5" style="254" bestFit="1" customWidth="1"/>
    <col min="9986" max="9986" width="27.28515625" style="254" bestFit="1" customWidth="1"/>
    <col min="9987" max="9987" width="11.7109375" style="254" bestFit="1" customWidth="1"/>
    <col min="9988" max="9989" width="8.7109375" style="254" bestFit="1" customWidth="1"/>
    <col min="9990" max="9990" width="23" style="254" bestFit="1" customWidth="1"/>
    <col min="9991" max="10240" width="9.140625" style="254"/>
    <col min="10241" max="10241" width="5" style="254" bestFit="1" customWidth="1"/>
    <col min="10242" max="10242" width="27.28515625" style="254" bestFit="1" customWidth="1"/>
    <col min="10243" max="10243" width="11.7109375" style="254" bestFit="1" customWidth="1"/>
    <col min="10244" max="10245" width="8.7109375" style="254" bestFit="1" customWidth="1"/>
    <col min="10246" max="10246" width="23" style="254" bestFit="1" customWidth="1"/>
    <col min="10247" max="10496" width="9.140625" style="254"/>
    <col min="10497" max="10497" width="5" style="254" bestFit="1" customWidth="1"/>
    <col min="10498" max="10498" width="27.28515625" style="254" bestFit="1" customWidth="1"/>
    <col min="10499" max="10499" width="11.7109375" style="254" bestFit="1" customWidth="1"/>
    <col min="10500" max="10501" width="8.7109375" style="254" bestFit="1" customWidth="1"/>
    <col min="10502" max="10502" width="23" style="254" bestFit="1" customWidth="1"/>
    <col min="10503" max="10752" width="9.140625" style="254"/>
    <col min="10753" max="10753" width="5" style="254" bestFit="1" customWidth="1"/>
    <col min="10754" max="10754" width="27.28515625" style="254" bestFit="1" customWidth="1"/>
    <col min="10755" max="10755" width="11.7109375" style="254" bestFit="1" customWidth="1"/>
    <col min="10756" max="10757" width="8.7109375" style="254" bestFit="1" customWidth="1"/>
    <col min="10758" max="10758" width="23" style="254" bestFit="1" customWidth="1"/>
    <col min="10759" max="11008" width="9.140625" style="254"/>
    <col min="11009" max="11009" width="5" style="254" bestFit="1" customWidth="1"/>
    <col min="11010" max="11010" width="27.28515625" style="254" bestFit="1" customWidth="1"/>
    <col min="11011" max="11011" width="11.7109375" style="254" bestFit="1" customWidth="1"/>
    <col min="11012" max="11013" width="8.7109375" style="254" bestFit="1" customWidth="1"/>
    <col min="11014" max="11014" width="23" style="254" bestFit="1" customWidth="1"/>
    <col min="11015" max="11264" width="9.140625" style="254"/>
    <col min="11265" max="11265" width="5" style="254" bestFit="1" customWidth="1"/>
    <col min="11266" max="11266" width="27.28515625" style="254" bestFit="1" customWidth="1"/>
    <col min="11267" max="11267" width="11.7109375" style="254" bestFit="1" customWidth="1"/>
    <col min="11268" max="11269" width="8.7109375" style="254" bestFit="1" customWidth="1"/>
    <col min="11270" max="11270" width="23" style="254" bestFit="1" customWidth="1"/>
    <col min="11271" max="11520" width="9.140625" style="254"/>
    <col min="11521" max="11521" width="5" style="254" bestFit="1" customWidth="1"/>
    <col min="11522" max="11522" width="27.28515625" style="254" bestFit="1" customWidth="1"/>
    <col min="11523" max="11523" width="11.7109375" style="254" bestFit="1" customWidth="1"/>
    <col min="11524" max="11525" width="8.7109375" style="254" bestFit="1" customWidth="1"/>
    <col min="11526" max="11526" width="23" style="254" bestFit="1" customWidth="1"/>
    <col min="11527" max="11776" width="9.140625" style="254"/>
    <col min="11777" max="11777" width="5" style="254" bestFit="1" customWidth="1"/>
    <col min="11778" max="11778" width="27.28515625" style="254" bestFit="1" customWidth="1"/>
    <col min="11779" max="11779" width="11.7109375" style="254" bestFit="1" customWidth="1"/>
    <col min="11780" max="11781" width="8.7109375" style="254" bestFit="1" customWidth="1"/>
    <col min="11782" max="11782" width="23" style="254" bestFit="1" customWidth="1"/>
    <col min="11783" max="12032" width="9.140625" style="254"/>
    <col min="12033" max="12033" width="5" style="254" bestFit="1" customWidth="1"/>
    <col min="12034" max="12034" width="27.28515625" style="254" bestFit="1" customWidth="1"/>
    <col min="12035" max="12035" width="11.7109375" style="254" bestFit="1" customWidth="1"/>
    <col min="12036" max="12037" width="8.7109375" style="254" bestFit="1" customWidth="1"/>
    <col min="12038" max="12038" width="23" style="254" bestFit="1" customWidth="1"/>
    <col min="12039" max="12288" width="9.140625" style="254"/>
    <col min="12289" max="12289" width="5" style="254" bestFit="1" customWidth="1"/>
    <col min="12290" max="12290" width="27.28515625" style="254" bestFit="1" customWidth="1"/>
    <col min="12291" max="12291" width="11.7109375" style="254" bestFit="1" customWidth="1"/>
    <col min="12292" max="12293" width="8.7109375" style="254" bestFit="1" customWidth="1"/>
    <col min="12294" max="12294" width="23" style="254" bestFit="1" customWidth="1"/>
    <col min="12295" max="12544" width="9.140625" style="254"/>
    <col min="12545" max="12545" width="5" style="254" bestFit="1" customWidth="1"/>
    <col min="12546" max="12546" width="27.28515625" style="254" bestFit="1" customWidth="1"/>
    <col min="12547" max="12547" width="11.7109375" style="254" bestFit="1" customWidth="1"/>
    <col min="12548" max="12549" width="8.7109375" style="254" bestFit="1" customWidth="1"/>
    <col min="12550" max="12550" width="23" style="254" bestFit="1" customWidth="1"/>
    <col min="12551" max="12800" width="9.140625" style="254"/>
    <col min="12801" max="12801" width="5" style="254" bestFit="1" customWidth="1"/>
    <col min="12802" max="12802" width="27.28515625" style="254" bestFit="1" customWidth="1"/>
    <col min="12803" max="12803" width="11.7109375" style="254" bestFit="1" customWidth="1"/>
    <col min="12804" max="12805" width="8.7109375" style="254" bestFit="1" customWidth="1"/>
    <col min="12806" max="12806" width="23" style="254" bestFit="1" customWidth="1"/>
    <col min="12807" max="13056" width="9.140625" style="254"/>
    <col min="13057" max="13057" width="5" style="254" bestFit="1" customWidth="1"/>
    <col min="13058" max="13058" width="27.28515625" style="254" bestFit="1" customWidth="1"/>
    <col min="13059" max="13059" width="11.7109375" style="254" bestFit="1" customWidth="1"/>
    <col min="13060" max="13061" width="8.7109375" style="254" bestFit="1" customWidth="1"/>
    <col min="13062" max="13062" width="23" style="254" bestFit="1" customWidth="1"/>
    <col min="13063" max="13312" width="9.140625" style="254"/>
    <col min="13313" max="13313" width="5" style="254" bestFit="1" customWidth="1"/>
    <col min="13314" max="13314" width="27.28515625" style="254" bestFit="1" customWidth="1"/>
    <col min="13315" max="13315" width="11.7109375" style="254" bestFit="1" customWidth="1"/>
    <col min="13316" max="13317" width="8.7109375" style="254" bestFit="1" customWidth="1"/>
    <col min="13318" max="13318" width="23" style="254" bestFit="1" customWidth="1"/>
    <col min="13319" max="13568" width="9.140625" style="254"/>
    <col min="13569" max="13569" width="5" style="254" bestFit="1" customWidth="1"/>
    <col min="13570" max="13570" width="27.28515625" style="254" bestFit="1" customWidth="1"/>
    <col min="13571" max="13571" width="11.7109375" style="254" bestFit="1" customWidth="1"/>
    <col min="13572" max="13573" width="8.7109375" style="254" bestFit="1" customWidth="1"/>
    <col min="13574" max="13574" width="23" style="254" bestFit="1" customWidth="1"/>
    <col min="13575" max="13824" width="9.140625" style="254"/>
    <col min="13825" max="13825" width="5" style="254" bestFit="1" customWidth="1"/>
    <col min="13826" max="13826" width="27.28515625" style="254" bestFit="1" customWidth="1"/>
    <col min="13827" max="13827" width="11.7109375" style="254" bestFit="1" customWidth="1"/>
    <col min="13828" max="13829" width="8.7109375" style="254" bestFit="1" customWidth="1"/>
    <col min="13830" max="13830" width="23" style="254" bestFit="1" customWidth="1"/>
    <col min="13831" max="14080" width="9.140625" style="254"/>
    <col min="14081" max="14081" width="5" style="254" bestFit="1" customWidth="1"/>
    <col min="14082" max="14082" width="27.28515625" style="254" bestFit="1" customWidth="1"/>
    <col min="14083" max="14083" width="11.7109375" style="254" bestFit="1" customWidth="1"/>
    <col min="14084" max="14085" width="8.7109375" style="254" bestFit="1" customWidth="1"/>
    <col min="14086" max="14086" width="23" style="254" bestFit="1" customWidth="1"/>
    <col min="14087" max="14336" width="9.140625" style="254"/>
    <col min="14337" max="14337" width="5" style="254" bestFit="1" customWidth="1"/>
    <col min="14338" max="14338" width="27.28515625" style="254" bestFit="1" customWidth="1"/>
    <col min="14339" max="14339" width="11.7109375" style="254" bestFit="1" customWidth="1"/>
    <col min="14340" max="14341" width="8.7109375" style="254" bestFit="1" customWidth="1"/>
    <col min="14342" max="14342" width="23" style="254" bestFit="1" customWidth="1"/>
    <col min="14343" max="14592" width="9.140625" style="254"/>
    <col min="14593" max="14593" width="5" style="254" bestFit="1" customWidth="1"/>
    <col min="14594" max="14594" width="27.28515625" style="254" bestFit="1" customWidth="1"/>
    <col min="14595" max="14595" width="11.7109375" style="254" bestFit="1" customWidth="1"/>
    <col min="14596" max="14597" width="8.7109375" style="254" bestFit="1" customWidth="1"/>
    <col min="14598" max="14598" width="23" style="254" bestFit="1" customWidth="1"/>
    <col min="14599" max="14848" width="9.140625" style="254"/>
    <col min="14849" max="14849" width="5" style="254" bestFit="1" customWidth="1"/>
    <col min="14850" max="14850" width="27.28515625" style="254" bestFit="1" customWidth="1"/>
    <col min="14851" max="14851" width="11.7109375" style="254" bestFit="1" customWidth="1"/>
    <col min="14852" max="14853" width="8.7109375" style="254" bestFit="1" customWidth="1"/>
    <col min="14854" max="14854" width="23" style="254" bestFit="1" customWidth="1"/>
    <col min="14855" max="15104" width="9.140625" style="254"/>
    <col min="15105" max="15105" width="5" style="254" bestFit="1" customWidth="1"/>
    <col min="15106" max="15106" width="27.28515625" style="254" bestFit="1" customWidth="1"/>
    <col min="15107" max="15107" width="11.7109375" style="254" bestFit="1" customWidth="1"/>
    <col min="15108" max="15109" width="8.7109375" style="254" bestFit="1" customWidth="1"/>
    <col min="15110" max="15110" width="23" style="254" bestFit="1" customWidth="1"/>
    <col min="15111" max="15360" width="9.140625" style="254"/>
    <col min="15361" max="15361" width="5" style="254" bestFit="1" customWidth="1"/>
    <col min="15362" max="15362" width="27.28515625" style="254" bestFit="1" customWidth="1"/>
    <col min="15363" max="15363" width="11.7109375" style="254" bestFit="1" customWidth="1"/>
    <col min="15364" max="15365" width="8.7109375" style="254" bestFit="1" customWidth="1"/>
    <col min="15366" max="15366" width="23" style="254" bestFit="1" customWidth="1"/>
    <col min="15367" max="15616" width="9.140625" style="254"/>
    <col min="15617" max="15617" width="5" style="254" bestFit="1" customWidth="1"/>
    <col min="15618" max="15618" width="27.28515625" style="254" bestFit="1" customWidth="1"/>
    <col min="15619" max="15619" width="11.7109375" style="254" bestFit="1" customWidth="1"/>
    <col min="15620" max="15621" width="8.7109375" style="254" bestFit="1" customWidth="1"/>
    <col min="15622" max="15622" width="23" style="254" bestFit="1" customWidth="1"/>
    <col min="15623" max="15872" width="9.140625" style="254"/>
    <col min="15873" max="15873" width="5" style="254" bestFit="1" customWidth="1"/>
    <col min="15874" max="15874" width="27.28515625" style="254" bestFit="1" customWidth="1"/>
    <col min="15875" max="15875" width="11.7109375" style="254" bestFit="1" customWidth="1"/>
    <col min="15876" max="15877" width="8.7109375" style="254" bestFit="1" customWidth="1"/>
    <col min="15878" max="15878" width="23" style="254" bestFit="1" customWidth="1"/>
    <col min="15879" max="16128" width="9.140625" style="254"/>
    <col min="16129" max="16129" width="5" style="254" bestFit="1" customWidth="1"/>
    <col min="16130" max="16130" width="27.28515625" style="254" bestFit="1" customWidth="1"/>
    <col min="16131" max="16131" width="11.7109375" style="254" bestFit="1" customWidth="1"/>
    <col min="16132" max="16133" width="8.7109375" style="254" bestFit="1" customWidth="1"/>
    <col min="16134" max="16134" width="23" style="254" bestFit="1" customWidth="1"/>
    <col min="16135" max="16384" width="9.140625" style="254"/>
  </cols>
  <sheetData>
    <row r="2" spans="1:9">
      <c r="B2" s="788" t="s">
        <v>2400</v>
      </c>
      <c r="E2" s="788" t="s">
        <v>2399</v>
      </c>
      <c r="H2" s="1608"/>
      <c r="I2" s="807"/>
    </row>
    <row r="3" spans="1:9">
      <c r="A3" s="1609"/>
      <c r="B3" s="1609"/>
      <c r="C3" s="1609"/>
      <c r="D3" s="1609"/>
      <c r="E3" s="1609"/>
      <c r="F3" s="1609"/>
    </row>
    <row r="4" spans="1:9">
      <c r="A4" s="1610" t="s">
        <v>101</v>
      </c>
      <c r="B4" s="1371" t="s">
        <v>2344</v>
      </c>
      <c r="C4" s="1489" t="s">
        <v>2381</v>
      </c>
      <c r="D4" s="1611" t="s">
        <v>2383</v>
      </c>
      <c r="E4" s="1611"/>
      <c r="F4" s="1612" t="s">
        <v>2401</v>
      </c>
    </row>
    <row r="5" spans="1:9" ht="33" customHeight="1">
      <c r="A5" s="1610"/>
      <c r="B5" s="1371"/>
      <c r="C5" s="1490"/>
      <c r="D5" s="1611" t="s">
        <v>2384</v>
      </c>
      <c r="E5" s="1611" t="s">
        <v>2385</v>
      </c>
      <c r="F5" s="1613" t="s">
        <v>660</v>
      </c>
    </row>
    <row r="6" spans="1:9">
      <c r="A6" s="1614">
        <v>1</v>
      </c>
      <c r="B6" s="782" t="s">
        <v>2396</v>
      </c>
      <c r="C6" s="1615"/>
      <c r="D6" s="1616"/>
      <c r="E6" s="1616"/>
      <c r="F6" s="1617"/>
      <c r="H6" s="1618"/>
    </row>
    <row r="7" spans="1:9" ht="36" customHeight="1">
      <c r="A7" s="1619">
        <f>A6+1</f>
        <v>2</v>
      </c>
      <c r="B7" s="782" t="s">
        <v>2378</v>
      </c>
      <c r="C7" s="1620">
        <v>0.1075</v>
      </c>
      <c r="D7" s="782" t="s">
        <v>873</v>
      </c>
      <c r="E7" s="782" t="s">
        <v>874</v>
      </c>
      <c r="F7" s="1621">
        <v>1281.5</v>
      </c>
      <c r="G7" s="1622"/>
      <c r="H7" s="6084"/>
    </row>
    <row r="8" spans="1:9">
      <c r="A8" s="1619"/>
      <c r="B8" s="782"/>
      <c r="C8" s="1620">
        <v>0.1075</v>
      </c>
      <c r="D8" s="782" t="s">
        <v>877</v>
      </c>
      <c r="E8" s="782" t="s">
        <v>878</v>
      </c>
      <c r="F8" s="1623">
        <v>7495</v>
      </c>
      <c r="G8" s="1622"/>
      <c r="H8" s="6084"/>
    </row>
    <row r="9" spans="1:9">
      <c r="A9" s="1619"/>
      <c r="B9" s="782"/>
      <c r="C9" s="1620">
        <v>0.1075</v>
      </c>
      <c r="D9" s="782" t="s">
        <v>879</v>
      </c>
      <c r="E9" s="782" t="s">
        <v>880</v>
      </c>
      <c r="F9" s="1623">
        <v>7495</v>
      </c>
      <c r="G9" s="1622"/>
      <c r="H9" s="6084"/>
    </row>
    <row r="10" spans="1:9" ht="36" customHeight="1">
      <c r="A10" s="1619">
        <f>A7+1</f>
        <v>3</v>
      </c>
      <c r="B10" s="782" t="s">
        <v>585</v>
      </c>
      <c r="C10" s="1620">
        <v>0.1075</v>
      </c>
      <c r="D10" s="782" t="s">
        <v>908</v>
      </c>
      <c r="E10" s="782" t="s">
        <v>909</v>
      </c>
      <c r="F10" s="1621">
        <v>5880</v>
      </c>
      <c r="G10" s="1622"/>
      <c r="H10" s="6084"/>
    </row>
    <row r="11" spans="1:9">
      <c r="A11" s="1619">
        <f>A10+1</f>
        <v>4</v>
      </c>
      <c r="B11" s="782"/>
      <c r="C11" s="1620">
        <v>0.1075</v>
      </c>
      <c r="D11" s="1614" t="s">
        <v>931</v>
      </c>
      <c r="E11" s="1614" t="s">
        <v>932</v>
      </c>
      <c r="F11" s="1621">
        <v>5875</v>
      </c>
      <c r="G11" s="1622"/>
      <c r="H11" s="6084"/>
    </row>
    <row r="12" spans="1:9">
      <c r="A12" s="1619">
        <f t="shared" ref="A12:A19" si="0">A11+1</f>
        <v>5</v>
      </c>
      <c r="B12" s="1624" t="s">
        <v>2397</v>
      </c>
      <c r="C12" s="828"/>
      <c r="D12" s="1625"/>
      <c r="E12" s="1625"/>
      <c r="F12" s="1626">
        <f>SUM(F7:F11)</f>
        <v>28026.5</v>
      </c>
      <c r="G12" s="1622"/>
      <c r="H12" s="6084"/>
    </row>
    <row r="13" spans="1:9">
      <c r="A13" s="1619">
        <f t="shared" si="0"/>
        <v>6</v>
      </c>
      <c r="B13" s="1615"/>
      <c r="C13" s="782"/>
      <c r="D13" s="1614"/>
      <c r="E13" s="1614"/>
      <c r="F13" s="1621"/>
      <c r="G13" s="1622"/>
      <c r="H13" s="6084"/>
    </row>
    <row r="14" spans="1:9">
      <c r="A14" s="1619">
        <f t="shared" si="0"/>
        <v>7</v>
      </c>
      <c r="B14" s="1615" t="s">
        <v>2398</v>
      </c>
      <c r="C14" s="782"/>
      <c r="D14" s="782"/>
      <c r="E14" s="782"/>
      <c r="F14" s="1621"/>
      <c r="G14" s="1622"/>
      <c r="H14" s="6084"/>
    </row>
    <row r="15" spans="1:9">
      <c r="A15" s="1619">
        <f t="shared" si="0"/>
        <v>8</v>
      </c>
      <c r="B15" s="782" t="s">
        <v>2391</v>
      </c>
      <c r="C15" s="1620">
        <v>0.13500000000000001</v>
      </c>
      <c r="D15" s="782" t="s">
        <v>953</v>
      </c>
      <c r="E15" s="782" t="s">
        <v>954</v>
      </c>
      <c r="F15" s="1623">
        <v>5750</v>
      </c>
      <c r="G15" s="1622"/>
      <c r="H15" s="6084"/>
    </row>
    <row r="16" spans="1:9">
      <c r="A16" s="1619">
        <f t="shared" si="0"/>
        <v>9</v>
      </c>
      <c r="B16" s="1627" t="s">
        <v>2380</v>
      </c>
      <c r="C16" s="1628" t="s">
        <v>956</v>
      </c>
      <c r="D16" s="782" t="s">
        <v>957</v>
      </c>
      <c r="E16" s="782" t="s">
        <v>958</v>
      </c>
      <c r="F16" s="1621">
        <v>159.58004</v>
      </c>
      <c r="G16" s="1622"/>
      <c r="H16" s="6084"/>
    </row>
    <row r="17" spans="1:19">
      <c r="A17" s="1619">
        <f t="shared" si="0"/>
        <v>10</v>
      </c>
      <c r="B17" s="1627" t="s">
        <v>2393</v>
      </c>
      <c r="C17" s="782" t="s">
        <v>960</v>
      </c>
      <c r="D17" s="782" t="s">
        <v>961</v>
      </c>
      <c r="E17" s="782" t="s">
        <v>962</v>
      </c>
      <c r="F17" s="1621">
        <v>3798.5</v>
      </c>
      <c r="G17" s="1622"/>
      <c r="H17" s="6084"/>
    </row>
    <row r="18" spans="1:19">
      <c r="A18" s="1619">
        <f t="shared" si="0"/>
        <v>11</v>
      </c>
      <c r="B18" s="850" t="s">
        <v>2382</v>
      </c>
      <c r="C18" s="782"/>
      <c r="D18" s="782"/>
      <c r="E18" s="782"/>
      <c r="F18" s="1621">
        <f>SUM(F15:F17)</f>
        <v>9708.0800400000007</v>
      </c>
      <c r="G18" s="1622"/>
      <c r="H18" s="6084"/>
      <c r="I18" s="1629"/>
    </row>
    <row r="19" spans="1:19">
      <c r="A19" s="1619">
        <f t="shared" si="0"/>
        <v>12</v>
      </c>
      <c r="B19" s="1630" t="s">
        <v>260</v>
      </c>
      <c r="C19" s="828"/>
      <c r="D19" s="828"/>
      <c r="E19" s="828"/>
      <c r="F19" s="1626">
        <f>F18+F12</f>
        <v>37734.580040000001</v>
      </c>
      <c r="G19" s="1622"/>
      <c r="H19" s="6084"/>
      <c r="I19" s="1608"/>
    </row>
    <row r="20" spans="1:19">
      <c r="H20" s="6084"/>
    </row>
    <row r="21" spans="1:19">
      <c r="B21" s="907" t="s">
        <v>151</v>
      </c>
      <c r="C21" s="6083" t="s">
        <v>2377</v>
      </c>
      <c r="D21" s="6083"/>
      <c r="H21" s="6084"/>
    </row>
    <row r="22" spans="1:19" ht="48.75" customHeight="1">
      <c r="A22" s="5447" t="s">
        <v>1114</v>
      </c>
      <c r="B22" s="6092" t="s">
        <v>2344</v>
      </c>
      <c r="C22" s="6092" t="s">
        <v>2381</v>
      </c>
      <c r="D22" s="5447" t="s">
        <v>2343</v>
      </c>
      <c r="F22" s="264"/>
      <c r="G22" s="264"/>
    </row>
    <row r="23" spans="1:19">
      <c r="A23" s="5447"/>
      <c r="B23" s="6092"/>
      <c r="C23" s="6092"/>
      <c r="D23" s="5447"/>
    </row>
    <row r="24" spans="1:19">
      <c r="A24" s="258">
        <v>1</v>
      </c>
      <c r="B24" s="258" t="s">
        <v>2378</v>
      </c>
      <c r="C24" s="840">
        <f>C7</f>
        <v>0.1075</v>
      </c>
      <c r="D24" s="258">
        <f>F7/100</f>
        <v>12.815</v>
      </c>
      <c r="F24" s="1631"/>
      <c r="J24" s="1632"/>
      <c r="S24" s="1608"/>
    </row>
    <row r="25" spans="1:19">
      <c r="A25" s="258">
        <f>A24+1</f>
        <v>2</v>
      </c>
      <c r="B25" s="1351" t="s">
        <v>2379</v>
      </c>
      <c r="C25" s="840">
        <f>C10</f>
        <v>0.1075</v>
      </c>
      <c r="D25" s="1351">
        <f>(SUM(F10:F11)/100)- (63)</f>
        <v>54.55</v>
      </c>
      <c r="E25" s="1633"/>
      <c r="F25" s="1633"/>
      <c r="H25" s="1503"/>
    </row>
    <row r="26" spans="1:19">
      <c r="A26" s="258">
        <f>A25+1</f>
        <v>3</v>
      </c>
      <c r="B26" s="1352" t="s">
        <v>2380</v>
      </c>
      <c r="C26" s="1484" t="str">
        <f>C16</f>
        <v>14.25%</v>
      </c>
      <c r="D26" s="1634">
        <f>F16/100</f>
        <v>1.5958003999999999</v>
      </c>
      <c r="E26" s="1503"/>
      <c r="F26" s="1504"/>
      <c r="H26" s="1503"/>
    </row>
    <row r="27" spans="1:19">
      <c r="A27" s="258">
        <f>A26+1</f>
        <v>4</v>
      </c>
      <c r="B27" s="1635" t="s">
        <v>2393</v>
      </c>
      <c r="C27" s="840">
        <v>0.12</v>
      </c>
      <c r="D27" s="1635">
        <f>F17/100</f>
        <v>37.984999999999999</v>
      </c>
      <c r="E27" s="1636"/>
      <c r="F27" s="1637"/>
      <c r="H27" s="1503"/>
    </row>
    <row r="28" spans="1:19">
      <c r="A28" s="258">
        <f>A27+1</f>
        <v>5</v>
      </c>
      <c r="B28" s="1638" t="s">
        <v>2382</v>
      </c>
      <c r="C28" s="258"/>
      <c r="D28" s="1639">
        <f>SUM(D24:D27)</f>
        <v>106.9458004</v>
      </c>
      <c r="E28" s="1503"/>
      <c r="F28" s="1640"/>
      <c r="G28" s="1503"/>
      <c r="H28" s="1503"/>
    </row>
    <row r="29" spans="1:19">
      <c r="B29" s="1503"/>
      <c r="C29" s="1503"/>
      <c r="D29" s="1503"/>
      <c r="E29" s="1503"/>
      <c r="F29" s="1640"/>
      <c r="G29" s="1503"/>
      <c r="H29" s="1503"/>
    </row>
    <row r="30" spans="1:19" ht="27.75" customHeight="1" thickBot="1">
      <c r="B30" s="1503"/>
      <c r="C30" s="1503"/>
      <c r="D30" s="1503"/>
      <c r="E30" s="1503"/>
      <c r="F30" s="1640"/>
      <c r="G30" s="1503"/>
      <c r="H30" s="1503"/>
      <c r="L30" s="1641"/>
      <c r="M30" s="1642"/>
      <c r="N30" s="1642"/>
      <c r="O30" s="1642"/>
      <c r="P30" s="1642"/>
      <c r="Q30" s="1643"/>
    </row>
    <row r="31" spans="1:19" ht="17.25" hidden="1" customHeight="1" thickBot="1">
      <c r="B31" s="1503"/>
      <c r="C31" s="1503"/>
      <c r="D31" s="1503"/>
      <c r="E31" s="1503"/>
      <c r="F31" s="1640"/>
      <c r="G31" s="1503"/>
      <c r="H31" s="1503"/>
      <c r="L31" s="1497"/>
      <c r="M31" s="903"/>
      <c r="N31" s="903"/>
      <c r="O31" s="903"/>
      <c r="P31" s="903"/>
      <c r="Q31" s="793"/>
    </row>
    <row r="32" spans="1:19" ht="24.75" customHeight="1" thickBot="1">
      <c r="D32" s="5490" t="s">
        <v>2402</v>
      </c>
      <c r="E32" s="5491"/>
      <c r="F32" s="5492"/>
      <c r="H32" s="1503"/>
      <c r="N32" s="264"/>
    </row>
    <row r="33" spans="1:16">
      <c r="H33" s="1503"/>
      <c r="I33" s="1631"/>
    </row>
    <row r="34" spans="1:16">
      <c r="A34" s="5447" t="s">
        <v>1114</v>
      </c>
      <c r="B34" s="6085" t="s">
        <v>2369</v>
      </c>
      <c r="C34" s="6086"/>
      <c r="D34" s="6086"/>
      <c r="E34" s="6086"/>
      <c r="F34" s="6086"/>
      <c r="G34" s="6087"/>
      <c r="H34" s="1503"/>
    </row>
    <row r="35" spans="1:16" ht="63">
      <c r="A35" s="5447"/>
      <c r="B35" s="1496" t="s">
        <v>81</v>
      </c>
      <c r="C35" s="1496" t="s">
        <v>2139</v>
      </c>
      <c r="D35" s="1496" t="s">
        <v>2140</v>
      </c>
      <c r="E35" s="1496" t="s">
        <v>2141</v>
      </c>
      <c r="F35" s="1496" t="s">
        <v>2142</v>
      </c>
      <c r="G35" s="1483" t="s">
        <v>2143</v>
      </c>
      <c r="H35" s="1503"/>
      <c r="I35" s="612"/>
    </row>
    <row r="36" spans="1:16">
      <c r="A36" s="483">
        <v>1</v>
      </c>
      <c r="B36" s="483" t="s">
        <v>2144</v>
      </c>
      <c r="C36" s="483">
        <v>0</v>
      </c>
      <c r="D36" s="483">
        <v>0</v>
      </c>
      <c r="E36" s="483">
        <v>0</v>
      </c>
      <c r="F36" s="483">
        <v>0</v>
      </c>
      <c r="G36" s="1486">
        <v>0</v>
      </c>
      <c r="H36" s="1503"/>
    </row>
    <row r="37" spans="1:16">
      <c r="A37" s="258">
        <f t="shared" ref="A37:A42" si="1">A36+1</f>
        <v>2</v>
      </c>
      <c r="B37" s="483" t="s">
        <v>2145</v>
      </c>
      <c r="C37" s="483">
        <v>0</v>
      </c>
      <c r="D37" s="483">
        <v>0</v>
      </c>
      <c r="E37" s="483">
        <v>0</v>
      </c>
      <c r="F37" s="483">
        <v>0</v>
      </c>
      <c r="G37" s="1486">
        <v>0</v>
      </c>
      <c r="H37" s="1503"/>
    </row>
    <row r="38" spans="1:16">
      <c r="A38" s="258">
        <f t="shared" si="1"/>
        <v>3</v>
      </c>
      <c r="B38" s="483" t="s">
        <v>2146</v>
      </c>
      <c r="C38" s="483">
        <v>1.6</v>
      </c>
      <c r="D38" s="483">
        <v>0</v>
      </c>
      <c r="E38" s="483">
        <v>0</v>
      </c>
      <c r="F38" s="483">
        <v>1.6</v>
      </c>
      <c r="G38" s="1486">
        <v>0</v>
      </c>
      <c r="H38" s="1503"/>
    </row>
    <row r="39" spans="1:16">
      <c r="A39" s="258">
        <f t="shared" si="1"/>
        <v>4</v>
      </c>
      <c r="B39" s="483" t="s">
        <v>1217</v>
      </c>
      <c r="C39" s="483">
        <v>37.979999999999997</v>
      </c>
      <c r="D39" s="483">
        <v>0</v>
      </c>
      <c r="E39" s="483">
        <v>0</v>
      </c>
      <c r="F39" s="483">
        <v>37.979999999999997</v>
      </c>
      <c r="G39" s="1486">
        <v>0</v>
      </c>
      <c r="H39" s="1503"/>
      <c r="I39" s="1503"/>
      <c r="J39" s="1644"/>
      <c r="K39" s="1644"/>
      <c r="L39" s="1644"/>
      <c r="M39" s="1503"/>
      <c r="N39" s="1503"/>
      <c r="O39" s="1503"/>
      <c r="P39" s="1503"/>
    </row>
    <row r="40" spans="1:16">
      <c r="A40" s="258">
        <f t="shared" si="1"/>
        <v>5</v>
      </c>
      <c r="B40" s="6046" t="s">
        <v>2147</v>
      </c>
      <c r="C40" s="6046">
        <v>63</v>
      </c>
      <c r="D40" s="6046">
        <v>0</v>
      </c>
      <c r="E40" s="6046">
        <v>36</v>
      </c>
      <c r="F40" s="6046">
        <v>27</v>
      </c>
      <c r="G40" s="1486">
        <v>2.31</v>
      </c>
      <c r="H40" s="1503"/>
      <c r="I40" s="1503"/>
      <c r="J40" s="1503"/>
      <c r="K40" s="1503"/>
      <c r="L40" s="1503"/>
      <c r="M40" s="1503"/>
      <c r="N40" s="1503"/>
      <c r="O40" s="1503"/>
      <c r="P40" s="1503"/>
    </row>
    <row r="41" spans="1:16" ht="31.5">
      <c r="A41" s="258">
        <f t="shared" si="1"/>
        <v>6</v>
      </c>
      <c r="B41" s="6046"/>
      <c r="C41" s="6046"/>
      <c r="D41" s="6046"/>
      <c r="E41" s="6046"/>
      <c r="F41" s="6046"/>
      <c r="G41" s="1486" t="s">
        <v>2370</v>
      </c>
      <c r="H41" s="1503"/>
      <c r="I41" s="1503"/>
      <c r="J41" s="1503"/>
      <c r="K41" s="1503"/>
      <c r="L41" s="1503"/>
      <c r="M41" s="1503"/>
      <c r="N41" s="1503"/>
      <c r="O41" s="1503"/>
      <c r="P41" s="1503"/>
    </row>
    <row r="42" spans="1:16">
      <c r="A42" s="258">
        <f t="shared" si="1"/>
        <v>7</v>
      </c>
      <c r="B42" s="483" t="s">
        <v>47</v>
      </c>
      <c r="C42" s="1498">
        <v>102.58</v>
      </c>
      <c r="D42" s="1498">
        <v>0</v>
      </c>
      <c r="E42" s="1498">
        <v>36</v>
      </c>
      <c r="F42" s="1498">
        <v>66.58</v>
      </c>
      <c r="G42" s="484">
        <v>2.31</v>
      </c>
      <c r="H42" s="1503"/>
      <c r="I42" s="1503"/>
      <c r="J42" s="1503"/>
      <c r="K42" s="1503"/>
      <c r="L42" s="1503"/>
      <c r="M42" s="1503"/>
      <c r="N42" s="1503"/>
      <c r="O42" s="1503"/>
      <c r="P42" s="1503"/>
    </row>
    <row r="43" spans="1:16">
      <c r="H43" s="1646"/>
      <c r="I43" s="1503"/>
      <c r="J43" s="1503"/>
      <c r="K43" s="1503"/>
      <c r="L43" s="1503"/>
      <c r="M43" s="1503"/>
      <c r="N43" s="1503"/>
      <c r="O43" s="1503"/>
      <c r="P43" s="1503"/>
    </row>
    <row r="44" spans="1:16">
      <c r="H44" s="1647"/>
      <c r="I44" s="1647"/>
      <c r="J44" s="1648"/>
      <c r="K44" s="1649"/>
      <c r="L44" s="1649"/>
      <c r="M44" s="1503"/>
      <c r="N44" s="1503"/>
      <c r="O44" s="1503"/>
      <c r="P44" s="1503"/>
    </row>
    <row r="45" spans="1:16">
      <c r="H45" s="1505"/>
      <c r="I45" s="1503"/>
      <c r="J45" s="1648"/>
      <c r="K45" s="1648"/>
      <c r="L45" s="1648"/>
      <c r="M45" s="1503"/>
      <c r="N45" s="1503"/>
      <c r="O45" s="1503"/>
      <c r="P45" s="1503"/>
    </row>
    <row r="46" spans="1:16">
      <c r="A46" s="5447" t="s">
        <v>1114</v>
      </c>
      <c r="B46" s="5841" t="s">
        <v>2371</v>
      </c>
      <c r="C46" s="5841"/>
      <c r="D46" s="5841"/>
      <c r="E46" s="5841"/>
      <c r="F46" s="5841"/>
      <c r="G46" s="5841"/>
      <c r="H46" s="1503"/>
      <c r="I46" s="1503"/>
      <c r="J46" s="1503"/>
      <c r="K46" s="1503"/>
      <c r="L46" s="1503"/>
      <c r="M46" s="1503"/>
      <c r="N46" s="1503"/>
      <c r="O46" s="1503"/>
      <c r="P46" s="1503"/>
    </row>
    <row r="47" spans="1:16" ht="63">
      <c r="A47" s="5447"/>
      <c r="B47" s="1496" t="s">
        <v>81</v>
      </c>
      <c r="C47" s="1496" t="s">
        <v>2139</v>
      </c>
      <c r="D47" s="1496" t="s">
        <v>2140</v>
      </c>
      <c r="E47" s="1496" t="s">
        <v>2141</v>
      </c>
      <c r="F47" s="1496" t="s">
        <v>2142</v>
      </c>
      <c r="G47" s="1483" t="s">
        <v>2143</v>
      </c>
      <c r="H47" s="1503"/>
      <c r="I47" s="1503"/>
      <c r="J47" s="1503"/>
      <c r="K47" s="1503"/>
      <c r="L47" s="1503"/>
      <c r="M47" s="1503"/>
      <c r="N47" s="1503"/>
      <c r="O47" s="1503"/>
      <c r="P47" s="1503"/>
    </row>
    <row r="48" spans="1:16">
      <c r="A48" s="483">
        <v>1</v>
      </c>
      <c r="B48" s="483" t="s">
        <v>2144</v>
      </c>
      <c r="C48" s="483">
        <v>0</v>
      </c>
      <c r="D48" s="483">
        <v>0</v>
      </c>
      <c r="E48" s="483">
        <v>0</v>
      </c>
      <c r="F48" s="483">
        <v>0</v>
      </c>
      <c r="G48" s="1486">
        <v>0</v>
      </c>
      <c r="H48" s="1503"/>
      <c r="I48" s="1503"/>
      <c r="J48" s="1503"/>
      <c r="K48" s="1503"/>
      <c r="L48" s="1503"/>
      <c r="M48" s="1503"/>
      <c r="N48" s="1503"/>
      <c r="O48" s="1503"/>
      <c r="P48" s="1503"/>
    </row>
    <row r="49" spans="1:16">
      <c r="A49" s="1484">
        <f>A48+1</f>
        <v>2</v>
      </c>
      <c r="B49" s="483" t="s">
        <v>2145</v>
      </c>
      <c r="C49" s="483">
        <v>0</v>
      </c>
      <c r="D49" s="483">
        <v>0</v>
      </c>
      <c r="E49" s="483">
        <v>0</v>
      </c>
      <c r="F49" s="483">
        <v>0</v>
      </c>
      <c r="G49" s="1486">
        <v>0</v>
      </c>
      <c r="H49" s="1503"/>
      <c r="I49" s="1503"/>
      <c r="J49" s="1503"/>
      <c r="K49" s="1503"/>
      <c r="L49" s="1503"/>
      <c r="M49" s="1503"/>
      <c r="N49" s="1503"/>
      <c r="O49" s="1503"/>
      <c r="P49" s="1503"/>
    </row>
    <row r="50" spans="1:16">
      <c r="A50" s="1484">
        <f>A49+1</f>
        <v>3</v>
      </c>
      <c r="B50" s="483" t="s">
        <v>2146</v>
      </c>
      <c r="C50" s="483">
        <v>1.6</v>
      </c>
      <c r="D50" s="483">
        <v>0</v>
      </c>
      <c r="E50" s="483">
        <v>0.16</v>
      </c>
      <c r="F50" s="483">
        <v>1.44</v>
      </c>
      <c r="G50" s="1486">
        <v>0.23</v>
      </c>
    </row>
    <row r="51" spans="1:16">
      <c r="A51" s="1484">
        <f>A50+1</f>
        <v>4</v>
      </c>
      <c r="B51" s="483" t="s">
        <v>1217</v>
      </c>
      <c r="C51" s="483">
        <v>37.979999999999997</v>
      </c>
      <c r="D51" s="483">
        <v>0</v>
      </c>
      <c r="E51" s="483">
        <v>0</v>
      </c>
      <c r="F51" s="483">
        <v>37.979999999999997</v>
      </c>
      <c r="G51" s="1486">
        <v>2.88</v>
      </c>
    </row>
    <row r="52" spans="1:16">
      <c r="A52" s="5890">
        <f>A51+1</f>
        <v>5</v>
      </c>
      <c r="B52" s="6046" t="s">
        <v>2372</v>
      </c>
      <c r="C52" s="6046">
        <v>27</v>
      </c>
      <c r="D52" s="6046">
        <v>90</v>
      </c>
      <c r="E52" s="6046">
        <v>49.55</v>
      </c>
      <c r="F52" s="6046">
        <v>67.45</v>
      </c>
      <c r="G52" s="6089">
        <v>3.01</v>
      </c>
    </row>
    <row r="53" spans="1:16">
      <c r="A53" s="5891"/>
      <c r="B53" s="6046"/>
      <c r="C53" s="6046"/>
      <c r="D53" s="6046"/>
      <c r="E53" s="6046"/>
      <c r="F53" s="6046"/>
      <c r="G53" s="6090"/>
    </row>
    <row r="54" spans="1:16">
      <c r="A54" s="5892"/>
      <c r="B54" s="6046"/>
      <c r="C54" s="6046"/>
      <c r="D54" s="6046"/>
      <c r="E54" s="6046"/>
      <c r="F54" s="6046"/>
      <c r="G54" s="6091"/>
    </row>
    <row r="55" spans="1:16">
      <c r="A55" s="6083">
        <f>A52+1</f>
        <v>6</v>
      </c>
      <c r="B55" s="6047" t="s">
        <v>47</v>
      </c>
      <c r="C55" s="6047">
        <v>66.58</v>
      </c>
      <c r="D55" s="6047">
        <v>90</v>
      </c>
      <c r="E55" s="6047">
        <v>49.71</v>
      </c>
      <c r="F55" s="6047">
        <v>106.87</v>
      </c>
      <c r="G55" s="6088">
        <v>6.12</v>
      </c>
    </row>
    <row r="56" spans="1:16">
      <c r="A56" s="6083"/>
      <c r="B56" s="6047"/>
      <c r="C56" s="6047"/>
      <c r="D56" s="6047"/>
      <c r="E56" s="6047"/>
      <c r="F56" s="6047"/>
      <c r="G56" s="6088"/>
    </row>
    <row r="57" spans="1:16">
      <c r="A57" s="6083">
        <f>A55+1</f>
        <v>7</v>
      </c>
      <c r="B57" s="6047" t="s">
        <v>2153</v>
      </c>
      <c r="C57" s="6047"/>
      <c r="D57" s="6047"/>
      <c r="E57" s="6047"/>
      <c r="F57" s="6047"/>
      <c r="G57" s="6088">
        <v>8.43</v>
      </c>
    </row>
    <row r="58" spans="1:16">
      <c r="A58" s="6083"/>
      <c r="B58" s="6047"/>
      <c r="C58" s="6047"/>
      <c r="D58" s="6047"/>
      <c r="E58" s="6047"/>
      <c r="F58" s="6047"/>
      <c r="G58" s="6088"/>
    </row>
    <row r="59" spans="1:16">
      <c r="A59" s="1484">
        <f>A57+1</f>
        <v>8</v>
      </c>
      <c r="B59" s="1498" t="s">
        <v>2154</v>
      </c>
      <c r="C59" s="1498"/>
      <c r="D59" s="1498"/>
      <c r="E59" s="1498"/>
      <c r="F59" s="1498"/>
      <c r="G59" s="484">
        <v>13.64</v>
      </c>
    </row>
  </sheetData>
  <mergeCells count="41">
    <mergeCell ref="B22:B23"/>
    <mergeCell ref="C22:C23"/>
    <mergeCell ref="A22:A23"/>
    <mergeCell ref="D22:D23"/>
    <mergeCell ref="C40:C41"/>
    <mergeCell ref="D40:D41"/>
    <mergeCell ref="A34:A35"/>
    <mergeCell ref="B40:B41"/>
    <mergeCell ref="E40:E41"/>
    <mergeCell ref="F40:F41"/>
    <mergeCell ref="C21:D21"/>
    <mergeCell ref="A57:A58"/>
    <mergeCell ref="B34:G34"/>
    <mergeCell ref="D32:F32"/>
    <mergeCell ref="G55:G56"/>
    <mergeCell ref="B57:B58"/>
    <mergeCell ref="C57:C58"/>
    <mergeCell ref="D57:D58"/>
    <mergeCell ref="E57:E58"/>
    <mergeCell ref="F57:F58"/>
    <mergeCell ref="G57:G58"/>
    <mergeCell ref="B55:B56"/>
    <mergeCell ref="G52:G54"/>
    <mergeCell ref="A46:A47"/>
    <mergeCell ref="H7:H9"/>
    <mergeCell ref="H10:H12"/>
    <mergeCell ref="H13:H15"/>
    <mergeCell ref="H16:H18"/>
    <mergeCell ref="H19:H21"/>
    <mergeCell ref="A52:A54"/>
    <mergeCell ref="A55:A56"/>
    <mergeCell ref="C55:C56"/>
    <mergeCell ref="D55:D56"/>
    <mergeCell ref="E55:E56"/>
    <mergeCell ref="F55:F56"/>
    <mergeCell ref="B46:G46"/>
    <mergeCell ref="B52:B54"/>
    <mergeCell ref="C52:C54"/>
    <mergeCell ref="D52:D54"/>
    <mergeCell ref="E52:E54"/>
    <mergeCell ref="F52:F54"/>
  </mergeCells>
  <pageMargins left="0.7" right="0.7" top="0.75" bottom="0.75" header="0.3" footer="0.3"/>
  <pageSetup paperSize="9" orientation="portrait" verticalDpi="0" r:id="rId1"/>
  <legacyDrawing r:id="rId2"/>
</worksheet>
</file>

<file path=xl/worksheets/sheet89.xml><?xml version="1.0" encoding="utf-8"?>
<worksheet xmlns="http://schemas.openxmlformats.org/spreadsheetml/2006/main" xmlns:r="http://schemas.openxmlformats.org/officeDocument/2006/relationships">
  <sheetPr codeName="Sheet68">
    <tabColor theme="6" tint="0.79998168889431442"/>
  </sheetPr>
  <dimension ref="C1:F5"/>
  <sheetViews>
    <sheetView showGridLines="0" view="pageBreakPreview" zoomScale="60" workbookViewId="0">
      <selection activeCell="E8" sqref="E8:E9"/>
    </sheetView>
  </sheetViews>
  <sheetFormatPr defaultRowHeight="15"/>
  <cols>
    <col min="3" max="3" width="31.28515625" customWidth="1"/>
    <col min="4" max="4" width="17.42578125" customWidth="1"/>
    <col min="5" max="5" width="16.42578125" customWidth="1"/>
    <col min="6" max="6" width="17.140625" customWidth="1"/>
  </cols>
  <sheetData>
    <row r="1" spans="3:6" ht="15.75" thickBot="1"/>
    <row r="2" spans="3:6" ht="15.75" thickBot="1">
      <c r="C2" s="1107" t="s">
        <v>2428</v>
      </c>
      <c r="F2" s="1107" t="s">
        <v>151</v>
      </c>
    </row>
    <row r="3" spans="3:6" ht="15.75" thickBot="1"/>
    <row r="4" spans="3:6" ht="48" thickBot="1">
      <c r="C4" s="913" t="s">
        <v>1870</v>
      </c>
      <c r="D4" s="914" t="s">
        <v>2173</v>
      </c>
      <c r="E4" s="915" t="s">
        <v>2188</v>
      </c>
      <c r="F4" s="915" t="s">
        <v>1849</v>
      </c>
    </row>
    <row r="5" spans="3:6" ht="56.25" customHeight="1" thickBot="1">
      <c r="C5" s="916" t="s">
        <v>2189</v>
      </c>
      <c r="D5" s="917">
        <v>5.71</v>
      </c>
      <c r="E5" s="917">
        <v>0</v>
      </c>
      <c r="F5" s="917">
        <v>6.5</v>
      </c>
    </row>
  </sheetData>
  <pageMargins left="0.7" right="0.7" top="0.75" bottom="0.75" header="0.3" footer="0.3"/>
  <pageSetup paperSize="9" scale="79" orientation="portrait" r:id="rId1"/>
</worksheet>
</file>

<file path=xl/worksheets/sheet9.xml><?xml version="1.0" encoding="utf-8"?>
<worksheet xmlns="http://schemas.openxmlformats.org/spreadsheetml/2006/main" xmlns:r="http://schemas.openxmlformats.org/officeDocument/2006/relationships">
  <sheetPr codeName="Sheet9"/>
  <dimension ref="B1:M56"/>
  <sheetViews>
    <sheetView topLeftCell="A33" workbookViewId="0">
      <selection activeCell="Q48" sqref="Q48"/>
    </sheetView>
  </sheetViews>
  <sheetFormatPr defaultRowHeight="15"/>
  <cols>
    <col min="7" max="7" width="13.85546875" customWidth="1"/>
    <col min="9" max="9" width="14.42578125" customWidth="1"/>
    <col min="10" max="10" width="14.28515625" customWidth="1"/>
    <col min="11" max="11" width="12.85546875" customWidth="1"/>
    <col min="12" max="12" width="14.28515625" customWidth="1"/>
  </cols>
  <sheetData>
    <row r="1" spans="2:13" ht="15.75" thickBot="1"/>
    <row r="2" spans="2:13">
      <c r="B2" s="5402" t="s">
        <v>74</v>
      </c>
      <c r="C2" s="5403"/>
      <c r="D2" s="5403"/>
      <c r="E2" s="5403"/>
      <c r="F2" s="5404"/>
    </row>
    <row r="3" spans="2:13" ht="66.75" customHeight="1">
      <c r="B3" s="7" t="s">
        <v>1</v>
      </c>
      <c r="C3" s="7" t="s">
        <v>2</v>
      </c>
      <c r="D3" s="7" t="s">
        <v>62</v>
      </c>
      <c r="E3" s="7"/>
      <c r="F3" s="7" t="s">
        <v>4</v>
      </c>
      <c r="G3" s="7" t="s">
        <v>5</v>
      </c>
      <c r="H3" s="7" t="s">
        <v>6</v>
      </c>
      <c r="I3" s="7" t="s">
        <v>7</v>
      </c>
      <c r="J3" s="7" t="s">
        <v>8</v>
      </c>
      <c r="K3" s="7" t="s">
        <v>9</v>
      </c>
      <c r="L3" s="7" t="s">
        <v>75</v>
      </c>
      <c r="M3" s="7" t="s">
        <v>11</v>
      </c>
    </row>
    <row r="4" spans="2:13">
      <c r="B4" s="1"/>
      <c r="C4" s="1"/>
      <c r="D4" s="1" t="s">
        <v>12</v>
      </c>
      <c r="E4" s="1" t="s">
        <v>13</v>
      </c>
      <c r="F4" s="1"/>
      <c r="G4" s="1"/>
      <c r="H4" s="1"/>
      <c r="I4" s="1"/>
      <c r="J4" s="1"/>
      <c r="K4" s="1"/>
      <c r="L4" s="1"/>
      <c r="M4" s="1"/>
    </row>
    <row r="5" spans="2:13">
      <c r="B5" s="1" t="s">
        <v>14</v>
      </c>
      <c r="C5" s="1" t="s">
        <v>15</v>
      </c>
      <c r="D5" s="1">
        <v>583</v>
      </c>
      <c r="E5" s="1">
        <v>0</v>
      </c>
      <c r="F5" s="1">
        <v>55544</v>
      </c>
      <c r="G5" s="1">
        <v>24444.36</v>
      </c>
      <c r="H5" s="1">
        <v>1744.5</v>
      </c>
      <c r="I5" s="1">
        <v>6680.28</v>
      </c>
      <c r="J5" s="1">
        <v>32869.14</v>
      </c>
      <c r="K5" s="1">
        <v>0.59176760766239378</v>
      </c>
      <c r="L5" s="1"/>
      <c r="M5" s="1">
        <v>0</v>
      </c>
    </row>
    <row r="6" spans="2:13">
      <c r="B6" s="1" t="s">
        <v>16</v>
      </c>
      <c r="C6" s="1" t="s">
        <v>17</v>
      </c>
      <c r="D6" s="1">
        <v>234525</v>
      </c>
      <c r="E6" s="1">
        <v>13687</v>
      </c>
      <c r="F6" s="1">
        <v>58521456</v>
      </c>
      <c r="G6" s="1">
        <v>120572986.23</v>
      </c>
      <c r="H6" s="5399">
        <v>62434700.100000001</v>
      </c>
      <c r="I6" s="1">
        <v>32207061.150000002</v>
      </c>
      <c r="J6" s="5399">
        <v>842185083.72000003</v>
      </c>
      <c r="K6" s="1">
        <v>5.349444171155544</v>
      </c>
      <c r="L6" s="1"/>
      <c r="M6" s="1">
        <v>0</v>
      </c>
    </row>
    <row r="7" spans="2:13">
      <c r="B7" s="1"/>
      <c r="C7" s="1" t="s">
        <v>18</v>
      </c>
      <c r="D7" s="1">
        <v>354517</v>
      </c>
      <c r="E7" s="1">
        <v>19205</v>
      </c>
      <c r="F7" s="1">
        <v>52820764</v>
      </c>
      <c r="G7" s="1">
        <v>201263202.36000001</v>
      </c>
      <c r="H7" s="5400"/>
      <c r="I7" s="1">
        <v>54437885.480000004</v>
      </c>
      <c r="J7" s="5400"/>
      <c r="K7" s="1"/>
      <c r="L7" s="1"/>
      <c r="M7" s="1">
        <v>0</v>
      </c>
    </row>
    <row r="8" spans="2:13">
      <c r="B8" s="1"/>
      <c r="C8" s="1" t="s">
        <v>19</v>
      </c>
      <c r="D8" s="1">
        <v>58501</v>
      </c>
      <c r="E8" s="1">
        <v>17262</v>
      </c>
      <c r="F8" s="1">
        <v>15839552</v>
      </c>
      <c r="G8" s="1">
        <v>84900880.120000005</v>
      </c>
      <c r="H8" s="5400"/>
      <c r="I8" s="1">
        <v>22830108.48</v>
      </c>
      <c r="J8" s="5400"/>
      <c r="K8" s="1"/>
      <c r="L8" s="1"/>
      <c r="M8" s="1">
        <v>0</v>
      </c>
    </row>
    <row r="9" spans="2:13">
      <c r="B9" s="1"/>
      <c r="C9" s="1" t="s">
        <v>20</v>
      </c>
      <c r="D9" s="1">
        <v>19321</v>
      </c>
      <c r="E9" s="1">
        <v>32941</v>
      </c>
      <c r="F9" s="1">
        <v>30252357</v>
      </c>
      <c r="G9" s="1">
        <v>207532432.80000001</v>
      </c>
      <c r="H9" s="5401"/>
      <c r="I9" s="1">
        <v>56005827</v>
      </c>
      <c r="J9" s="5401"/>
      <c r="K9" s="1"/>
      <c r="L9" s="1"/>
      <c r="M9" s="1">
        <v>0</v>
      </c>
    </row>
    <row r="10" spans="2:13">
      <c r="B10" s="1" t="s">
        <v>21</v>
      </c>
      <c r="C10" s="1" t="s">
        <v>22</v>
      </c>
      <c r="D10" s="1">
        <v>177119</v>
      </c>
      <c r="E10" s="1">
        <v>14044</v>
      </c>
      <c r="F10" s="1">
        <v>-16549</v>
      </c>
      <c r="G10" s="1">
        <v>-66196</v>
      </c>
      <c r="H10" s="5399">
        <v>63031864.280000001</v>
      </c>
      <c r="I10" s="1"/>
      <c r="J10" s="5399">
        <v>722864572.9000001</v>
      </c>
      <c r="K10" s="1">
        <v>9.1736577671141504</v>
      </c>
      <c r="L10" s="1"/>
      <c r="M10" s="1"/>
    </row>
    <row r="11" spans="2:13">
      <c r="B11" s="1"/>
      <c r="C11" s="1" t="s">
        <v>19</v>
      </c>
      <c r="D11" s="1">
        <v>23201</v>
      </c>
      <c r="E11" s="1">
        <v>5234</v>
      </c>
      <c r="F11" s="1">
        <v>-5216</v>
      </c>
      <c r="G11" s="1">
        <v>-31296</v>
      </c>
      <c r="H11" s="5400"/>
      <c r="I11" s="1"/>
      <c r="J11" s="5400"/>
      <c r="K11" s="1"/>
      <c r="L11" s="1"/>
      <c r="M11" s="1"/>
    </row>
    <row r="12" spans="2:13">
      <c r="B12" s="1"/>
      <c r="C12" s="1" t="s">
        <v>23</v>
      </c>
      <c r="D12" s="1">
        <v>15051</v>
      </c>
      <c r="E12" s="1">
        <v>9699</v>
      </c>
      <c r="F12" s="1">
        <v>-7390</v>
      </c>
      <c r="G12" s="1">
        <v>-50991</v>
      </c>
      <c r="H12" s="5400"/>
      <c r="I12" s="1"/>
      <c r="J12" s="5400"/>
      <c r="K12" s="1"/>
      <c r="L12" s="1"/>
      <c r="M12" s="1"/>
    </row>
    <row r="13" spans="2:13">
      <c r="B13" s="1"/>
      <c r="C13" s="1" t="s">
        <v>24</v>
      </c>
      <c r="D13" s="1">
        <v>3307</v>
      </c>
      <c r="E13" s="1">
        <v>14120</v>
      </c>
      <c r="F13" s="1">
        <v>-12984</v>
      </c>
      <c r="G13" s="1">
        <v>-98678.399999999994</v>
      </c>
      <c r="H13" s="5400"/>
      <c r="I13" s="1"/>
      <c r="J13" s="5400"/>
      <c r="K13" s="1"/>
      <c r="L13" s="1"/>
      <c r="M13" s="1"/>
    </row>
    <row r="14" spans="2:13">
      <c r="B14" s="1"/>
      <c r="C14" s="1" t="s">
        <v>25</v>
      </c>
      <c r="D14" s="1">
        <v>200320</v>
      </c>
      <c r="E14" s="1">
        <v>19278</v>
      </c>
      <c r="F14" s="1">
        <v>46361683</v>
      </c>
      <c r="G14" s="1">
        <v>254989256.5</v>
      </c>
      <c r="H14" s="5400"/>
      <c r="I14" s="1">
        <v>68615290.840000004</v>
      </c>
      <c r="J14" s="5400"/>
      <c r="K14" s="1"/>
      <c r="L14" s="1"/>
      <c r="M14" s="1">
        <v>0</v>
      </c>
    </row>
    <row r="15" spans="2:13">
      <c r="B15" s="1"/>
      <c r="C15" s="1" t="s">
        <v>26</v>
      </c>
      <c r="D15" s="1">
        <v>18358</v>
      </c>
      <c r="E15" s="1">
        <v>23819</v>
      </c>
      <c r="F15" s="1">
        <v>32478313</v>
      </c>
      <c r="G15" s="1">
        <v>265023034.08000001</v>
      </c>
      <c r="H15" s="5401"/>
      <c r="I15" s="1">
        <v>71452288.600000009</v>
      </c>
      <c r="J15" s="5401"/>
      <c r="K15" s="1"/>
      <c r="L15" s="1"/>
      <c r="M15" s="1">
        <v>0</v>
      </c>
    </row>
    <row r="16" spans="2:13">
      <c r="B16" s="1" t="s">
        <v>27</v>
      </c>
      <c r="C16" s="1" t="s">
        <v>28</v>
      </c>
      <c r="D16" s="1">
        <v>61</v>
      </c>
      <c r="E16" s="1">
        <v>5945</v>
      </c>
      <c r="F16" s="1">
        <v>20830797</v>
      </c>
      <c r="G16" s="1">
        <v>166646376</v>
      </c>
      <c r="H16" s="1">
        <v>21739292.600000001</v>
      </c>
      <c r="I16" s="1">
        <v>44786213.549999997</v>
      </c>
      <c r="J16" s="1">
        <v>233171882.14999998</v>
      </c>
      <c r="K16" s="1">
        <v>11.193613098433055</v>
      </c>
      <c r="L16" s="1"/>
      <c r="M16" s="1">
        <v>0</v>
      </c>
    </row>
    <row r="17" spans="2:13">
      <c r="B17" s="1" t="s">
        <v>29</v>
      </c>
      <c r="C17" s="1" t="s">
        <v>28</v>
      </c>
      <c r="D17" s="1">
        <v>5</v>
      </c>
      <c r="E17" s="1">
        <v>2638</v>
      </c>
      <c r="F17" s="1">
        <v>40794559</v>
      </c>
      <c r="G17" s="1">
        <v>330027982.31</v>
      </c>
      <c r="H17" s="1">
        <v>36930804.829999998</v>
      </c>
      <c r="I17" s="1">
        <v>88932138.620000005</v>
      </c>
      <c r="J17" s="1">
        <v>455890925.75999999</v>
      </c>
      <c r="K17" s="1">
        <v>11.17528751223907</v>
      </c>
      <c r="L17" s="1"/>
      <c r="M17" s="1">
        <v>0</v>
      </c>
    </row>
    <row r="18" spans="2:13">
      <c r="B18" s="1" t="s">
        <v>30</v>
      </c>
      <c r="C18" s="1" t="s">
        <v>22</v>
      </c>
      <c r="D18" s="1">
        <v>2536</v>
      </c>
      <c r="E18" s="1">
        <v>2920</v>
      </c>
      <c r="F18" s="1">
        <v>-317</v>
      </c>
      <c r="G18" s="1">
        <v>-1172.9000000000001</v>
      </c>
      <c r="H18" s="5399">
        <v>3036978.3</v>
      </c>
      <c r="I18" s="1"/>
      <c r="J18" s="5399">
        <v>37194847.780000001</v>
      </c>
      <c r="K18" s="1">
        <v>8.7726842518882755</v>
      </c>
      <c r="L18" s="1"/>
      <c r="M18" s="1"/>
    </row>
    <row r="19" spans="2:13">
      <c r="B19" s="1"/>
      <c r="C19" s="1" t="s">
        <v>19</v>
      </c>
      <c r="D19" s="1">
        <v>206</v>
      </c>
      <c r="E19" s="1">
        <v>746</v>
      </c>
      <c r="F19" s="1">
        <v>-199</v>
      </c>
      <c r="G19" s="1">
        <v>-1094.5</v>
      </c>
      <c r="H19" s="5400"/>
      <c r="I19" s="1"/>
      <c r="J19" s="5400"/>
      <c r="K19" s="1"/>
      <c r="L19" s="1"/>
      <c r="M19" s="1"/>
    </row>
    <row r="20" spans="2:13">
      <c r="B20" s="1"/>
      <c r="C20" s="1" t="s">
        <v>23</v>
      </c>
      <c r="D20" s="1">
        <v>119</v>
      </c>
      <c r="E20" s="1">
        <v>1125</v>
      </c>
      <c r="F20" s="1">
        <v>-716</v>
      </c>
      <c r="G20" s="1">
        <v>-4260.2</v>
      </c>
      <c r="H20" s="5400"/>
      <c r="I20" s="1"/>
      <c r="J20" s="5400"/>
      <c r="K20" s="1"/>
      <c r="L20" s="1"/>
      <c r="M20" s="1"/>
    </row>
    <row r="21" spans="2:13">
      <c r="B21" s="1"/>
      <c r="C21" s="1" t="s">
        <v>24</v>
      </c>
      <c r="D21" s="1">
        <v>34</v>
      </c>
      <c r="E21" s="1">
        <v>1206</v>
      </c>
      <c r="F21" s="1">
        <v>-3805</v>
      </c>
      <c r="G21" s="1">
        <v>-24352</v>
      </c>
      <c r="H21" s="5400"/>
      <c r="I21" s="1"/>
      <c r="J21" s="5400"/>
      <c r="K21" s="1"/>
      <c r="L21" s="1"/>
      <c r="M21" s="1"/>
    </row>
    <row r="22" spans="2:13">
      <c r="B22" s="1"/>
      <c r="C22" s="1" t="s">
        <v>25</v>
      </c>
      <c r="D22" s="1">
        <v>2742</v>
      </c>
      <c r="E22" s="1">
        <v>3666</v>
      </c>
      <c r="F22" s="1">
        <v>1914064</v>
      </c>
      <c r="G22" s="1">
        <v>9972273.4399999995</v>
      </c>
      <c r="H22" s="5400"/>
      <c r="I22" s="1">
        <v>2679689.5999999996</v>
      </c>
      <c r="J22" s="5400"/>
      <c r="K22" s="1"/>
      <c r="L22" s="1"/>
      <c r="M22" s="1">
        <v>0</v>
      </c>
    </row>
    <row r="23" spans="2:13">
      <c r="B23" s="1"/>
      <c r="C23" s="1" t="s">
        <v>26</v>
      </c>
      <c r="D23" s="1">
        <v>153</v>
      </c>
      <c r="E23" s="1">
        <v>2331</v>
      </c>
      <c r="F23" s="1">
        <v>2330821</v>
      </c>
      <c r="G23" s="1">
        <v>16968376.879999999</v>
      </c>
      <c r="H23" s="5401"/>
      <c r="I23" s="1">
        <v>4568409.16</v>
      </c>
      <c r="J23" s="5401"/>
      <c r="K23" s="1"/>
      <c r="L23" s="1"/>
      <c r="M23" s="1">
        <v>0</v>
      </c>
    </row>
    <row r="24" spans="2:13">
      <c r="B24" s="1" t="s">
        <v>31</v>
      </c>
      <c r="C24" s="1" t="s">
        <v>28</v>
      </c>
      <c r="D24" s="1">
        <v>9</v>
      </c>
      <c r="E24" s="1">
        <v>1219</v>
      </c>
      <c r="F24" s="1">
        <v>4360179</v>
      </c>
      <c r="G24" s="1">
        <v>28428367.079999998</v>
      </c>
      <c r="H24" s="1">
        <v>5293457.13</v>
      </c>
      <c r="I24" s="1">
        <v>7630313.25</v>
      </c>
      <c r="J24" s="1">
        <v>41352137.460000001</v>
      </c>
      <c r="K24" s="1">
        <v>9.4840458293111372</v>
      </c>
      <c r="L24" s="1"/>
      <c r="M24" s="1">
        <v>0</v>
      </c>
    </row>
    <row r="25" spans="2:13">
      <c r="B25" s="1" t="s">
        <v>32</v>
      </c>
      <c r="C25" s="1" t="s">
        <v>28</v>
      </c>
      <c r="D25" s="1">
        <v>2</v>
      </c>
      <c r="E25" s="1">
        <v>126</v>
      </c>
      <c r="F25" s="1">
        <v>4121535</v>
      </c>
      <c r="G25" s="1">
        <v>26336608.649999999</v>
      </c>
      <c r="H25" s="1">
        <v>2736497.2</v>
      </c>
      <c r="I25" s="1">
        <v>7089040.2000000002</v>
      </c>
      <c r="J25" s="1">
        <v>36162146.049999997</v>
      </c>
      <c r="K25" s="1">
        <v>8.7739509794287809</v>
      </c>
      <c r="L25" s="1"/>
      <c r="M25" s="1">
        <v>0</v>
      </c>
    </row>
    <row r="26" spans="2:13">
      <c r="B26" s="1" t="s">
        <v>33</v>
      </c>
      <c r="C26" s="1" t="s">
        <v>28</v>
      </c>
      <c r="D26" s="1">
        <v>886</v>
      </c>
      <c r="E26" s="1">
        <v>152</v>
      </c>
      <c r="F26" s="1">
        <v>140235</v>
      </c>
      <c r="G26" s="1">
        <v>1649194.15</v>
      </c>
      <c r="H26" s="1">
        <v>316546.65000000002</v>
      </c>
      <c r="I26" s="1">
        <v>456079.64</v>
      </c>
      <c r="J26" s="1">
        <v>2421820.44</v>
      </c>
      <c r="K26" s="1">
        <v>17.269728954968446</v>
      </c>
      <c r="L26" s="1"/>
      <c r="M26" s="1">
        <v>0</v>
      </c>
    </row>
    <row r="27" spans="2:13">
      <c r="B27" s="1" t="s">
        <v>34</v>
      </c>
      <c r="C27" s="1" t="s">
        <v>28</v>
      </c>
      <c r="D27" s="1"/>
      <c r="E27" s="1"/>
      <c r="F27" s="1">
        <v>2129842.79</v>
      </c>
      <c r="G27" s="1">
        <v>12054910.191400001</v>
      </c>
      <c r="H27" s="1">
        <v>1796715.48</v>
      </c>
      <c r="I27" s="1">
        <v>3237361.0408000001</v>
      </c>
      <c r="J27" s="1">
        <v>17088986.712200001</v>
      </c>
      <c r="K27" s="1">
        <v>8.0235906576935658</v>
      </c>
      <c r="L27" s="1"/>
      <c r="M27" s="1">
        <v>0</v>
      </c>
    </row>
    <row r="28" spans="2:13">
      <c r="B28" s="1" t="s">
        <v>35</v>
      </c>
      <c r="C28" s="1" t="s">
        <v>28</v>
      </c>
      <c r="D28" s="1">
        <v>556</v>
      </c>
      <c r="E28" s="1">
        <v>125</v>
      </c>
      <c r="F28" s="1">
        <v>350495</v>
      </c>
      <c r="G28" s="1">
        <v>1983801.7</v>
      </c>
      <c r="H28" s="1">
        <v>215404.88</v>
      </c>
      <c r="I28" s="1">
        <v>532752.4</v>
      </c>
      <c r="J28" s="1">
        <v>2731958.98</v>
      </c>
      <c r="K28" s="1">
        <v>7.7945733320018826</v>
      </c>
      <c r="L28" s="1"/>
      <c r="M28" s="1">
        <v>0</v>
      </c>
    </row>
    <row r="29" spans="2:13">
      <c r="B29" s="1" t="s">
        <v>36</v>
      </c>
      <c r="C29" s="1" t="s">
        <v>28</v>
      </c>
      <c r="D29" s="1">
        <v>1</v>
      </c>
      <c r="E29" s="1">
        <v>3</v>
      </c>
      <c r="F29" s="1">
        <v>5167</v>
      </c>
      <c r="G29" s="1">
        <v>16689.41</v>
      </c>
      <c r="H29" s="1">
        <v>800</v>
      </c>
      <c r="I29" s="1">
        <v>4495.29</v>
      </c>
      <c r="J29" s="1">
        <v>21984.7</v>
      </c>
      <c r="K29" s="1">
        <v>4.2548287207276951</v>
      </c>
      <c r="L29" s="1"/>
      <c r="M29" s="1">
        <v>0</v>
      </c>
    </row>
    <row r="30" spans="2:13">
      <c r="B30" s="1" t="s">
        <v>37</v>
      </c>
      <c r="C30" s="1" t="s">
        <v>28</v>
      </c>
      <c r="D30" s="1">
        <v>130</v>
      </c>
      <c r="E30" s="1">
        <v>1457</v>
      </c>
      <c r="F30" s="1">
        <v>3055934</v>
      </c>
      <c r="G30" s="1">
        <v>28695220.260000002</v>
      </c>
      <c r="H30" s="1">
        <v>1809300.87</v>
      </c>
      <c r="I30" s="1">
        <v>7731513.0199999996</v>
      </c>
      <c r="J30" s="1">
        <v>38236034.150000006</v>
      </c>
      <c r="K30" s="1">
        <v>12.512061500673774</v>
      </c>
      <c r="L30" s="1"/>
      <c r="M30" s="1">
        <v>0</v>
      </c>
    </row>
    <row r="31" spans="2:13">
      <c r="B31" s="1" t="s">
        <v>38</v>
      </c>
      <c r="C31" s="1" t="s">
        <v>28</v>
      </c>
      <c r="D31" s="1">
        <v>7</v>
      </c>
      <c r="E31" s="1">
        <v>15</v>
      </c>
      <c r="F31" s="1">
        <v>76247</v>
      </c>
      <c r="G31" s="1">
        <v>236365.7</v>
      </c>
      <c r="H31" s="1">
        <v>3395</v>
      </c>
      <c r="I31" s="1">
        <v>63285.009999999995</v>
      </c>
      <c r="J31" s="1">
        <v>303045.71000000002</v>
      </c>
      <c r="K31" s="1">
        <v>3.9745263420200141</v>
      </c>
      <c r="L31" s="1"/>
      <c r="M31" s="1">
        <v>0</v>
      </c>
    </row>
    <row r="32" spans="2:13">
      <c r="B32" s="1" t="s">
        <v>39</v>
      </c>
      <c r="C32" s="1" t="s">
        <v>28</v>
      </c>
      <c r="D32" s="1">
        <v>1417</v>
      </c>
      <c r="E32" s="1">
        <v>537</v>
      </c>
      <c r="F32" s="1">
        <v>1456806</v>
      </c>
      <c r="G32" s="1">
        <v>9906280.7999999989</v>
      </c>
      <c r="H32" s="1">
        <v>474308.37</v>
      </c>
      <c r="I32" s="1">
        <v>2665954.98</v>
      </c>
      <c r="J32" s="1">
        <v>13046544.149999999</v>
      </c>
      <c r="K32" s="1">
        <v>8.9555810107866094</v>
      </c>
      <c r="L32" s="1"/>
      <c r="M32" s="1">
        <v>0</v>
      </c>
    </row>
    <row r="33" spans="2:13">
      <c r="B33" s="1" t="s">
        <v>40</v>
      </c>
      <c r="C33" s="1" t="s">
        <v>28</v>
      </c>
      <c r="D33" s="1">
        <v>3</v>
      </c>
      <c r="E33" s="1">
        <v>367</v>
      </c>
      <c r="F33" s="1">
        <v>4555595</v>
      </c>
      <c r="G33" s="1">
        <v>30978046</v>
      </c>
      <c r="H33" s="1">
        <v>3728670.07</v>
      </c>
      <c r="I33" s="1">
        <v>8336738.8500000006</v>
      </c>
      <c r="J33" s="1">
        <v>43043454.920000002</v>
      </c>
      <c r="K33" s="1">
        <v>9.4484814650995101</v>
      </c>
      <c r="L33" s="1"/>
      <c r="M33" s="1">
        <v>0</v>
      </c>
    </row>
    <row r="34" spans="2:13">
      <c r="B34" s="1" t="s">
        <v>41</v>
      </c>
      <c r="C34" s="1" t="s">
        <v>28</v>
      </c>
      <c r="D34" s="1">
        <v>0</v>
      </c>
      <c r="E34" s="1">
        <v>39</v>
      </c>
      <c r="F34" s="1">
        <v>14932420</v>
      </c>
      <c r="G34" s="1">
        <v>88101278</v>
      </c>
      <c r="H34" s="1">
        <v>9337206.5</v>
      </c>
      <c r="I34" s="1">
        <v>23742547.800000001</v>
      </c>
      <c r="J34" s="1">
        <v>121181032.3</v>
      </c>
      <c r="K34" s="1">
        <v>8.1152976074875998</v>
      </c>
      <c r="L34" s="1"/>
      <c r="M34" s="1">
        <v>0</v>
      </c>
    </row>
    <row r="35" spans="2:13">
      <c r="B35" s="1" t="s">
        <v>42</v>
      </c>
      <c r="C35" s="1" t="s">
        <v>28</v>
      </c>
      <c r="D35" s="1">
        <v>2</v>
      </c>
      <c r="E35" s="1">
        <v>102</v>
      </c>
      <c r="F35" s="1">
        <v>30062129</v>
      </c>
      <c r="G35" s="1">
        <v>190894519.14999998</v>
      </c>
      <c r="H35" s="1">
        <v>17736895.41</v>
      </c>
      <c r="I35" s="1">
        <v>51406240.589999996</v>
      </c>
      <c r="J35" s="1">
        <v>260037655.14999998</v>
      </c>
      <c r="K35" s="1">
        <v>8.6500079601813962</v>
      </c>
      <c r="L35" s="1"/>
      <c r="M35" s="1">
        <v>0</v>
      </c>
    </row>
    <row r="36" spans="2:13">
      <c r="B36" s="1" t="s">
        <v>43</v>
      </c>
      <c r="C36" s="1" t="s">
        <v>28</v>
      </c>
      <c r="D36" s="1">
        <v>0</v>
      </c>
      <c r="E36" s="1">
        <v>10</v>
      </c>
      <c r="F36" s="1">
        <v>2891449</v>
      </c>
      <c r="G36" s="1">
        <v>9830926.5999999996</v>
      </c>
      <c r="H36" s="1">
        <v>1535620</v>
      </c>
      <c r="I36" s="1">
        <v>2631218.5900000003</v>
      </c>
      <c r="J36" s="1">
        <v>13997765.189999999</v>
      </c>
      <c r="K36" s="1">
        <v>4.841090121250625</v>
      </c>
      <c r="L36" s="1"/>
      <c r="M36" s="1">
        <v>0</v>
      </c>
    </row>
    <row r="37" spans="2:13">
      <c r="B37" s="1" t="s">
        <v>44</v>
      </c>
      <c r="C37" s="1" t="s">
        <v>28</v>
      </c>
      <c r="D37" s="1">
        <v>0</v>
      </c>
      <c r="E37" s="1">
        <v>4</v>
      </c>
      <c r="F37" s="1">
        <v>295476</v>
      </c>
      <c r="G37" s="1">
        <v>2555867.4</v>
      </c>
      <c r="H37" s="1">
        <v>1000</v>
      </c>
      <c r="I37" s="1">
        <v>688459.08000000007</v>
      </c>
      <c r="J37" s="1">
        <v>3245326.48</v>
      </c>
      <c r="K37" s="1">
        <v>10.983384369627313</v>
      </c>
      <c r="L37" s="1"/>
      <c r="M37" s="1">
        <v>0</v>
      </c>
    </row>
    <row r="38" spans="2:13">
      <c r="B38" s="1" t="s">
        <v>45</v>
      </c>
      <c r="C38" s="1" t="s">
        <v>28</v>
      </c>
      <c r="D38" s="1">
        <v>0</v>
      </c>
      <c r="E38" s="1">
        <v>9</v>
      </c>
      <c r="F38" s="1">
        <v>4093720</v>
      </c>
      <c r="G38" s="1">
        <v>22924832</v>
      </c>
      <c r="H38" s="1">
        <v>1739932</v>
      </c>
      <c r="I38" s="1">
        <v>6181517.2000000002</v>
      </c>
      <c r="J38" s="1">
        <v>30846281.199999999</v>
      </c>
      <c r="K38" s="1">
        <v>7.5350246719365268</v>
      </c>
      <c r="L38" s="1"/>
      <c r="M38" s="1">
        <v>0</v>
      </c>
    </row>
    <row r="39" spans="2:13">
      <c r="B39" s="1" t="s">
        <v>46</v>
      </c>
      <c r="C39" s="1"/>
      <c r="D39" s="1"/>
      <c r="E39" s="1"/>
      <c r="F39" s="1"/>
      <c r="G39" s="1">
        <v>443604.64</v>
      </c>
      <c r="H39" s="1">
        <v>464555.58</v>
      </c>
      <c r="I39" s="1">
        <v>0</v>
      </c>
      <c r="J39" s="1">
        <v>908160.22</v>
      </c>
      <c r="K39" s="1"/>
      <c r="L39" s="1"/>
      <c r="M39" s="1"/>
    </row>
    <row r="40" spans="2:13">
      <c r="B40" s="1" t="s">
        <v>47</v>
      </c>
      <c r="C40" s="1"/>
      <c r="D40" s="1">
        <v>892099</v>
      </c>
      <c r="E40" s="1">
        <v>144937</v>
      </c>
      <c r="F40" s="1">
        <v>374679963.79000002</v>
      </c>
      <c r="G40" s="1">
        <v>2112679715.8114007</v>
      </c>
      <c r="H40" s="1">
        <v>234365689.75</v>
      </c>
      <c r="I40" s="1">
        <v>568919109.70080018</v>
      </c>
      <c r="J40" s="1">
        <v>2915964515.2622008</v>
      </c>
      <c r="K40" s="1">
        <v>7.7825472324870182</v>
      </c>
      <c r="L40" s="1">
        <v>0</v>
      </c>
      <c r="M40" s="1">
        <v>0</v>
      </c>
    </row>
    <row r="41" spans="2:13">
      <c r="B41" s="1"/>
      <c r="C41" s="1"/>
      <c r="D41" s="1"/>
      <c r="E41" s="1"/>
      <c r="F41" s="1"/>
      <c r="G41" s="1"/>
      <c r="H41" s="1"/>
      <c r="I41" s="1" t="s">
        <v>48</v>
      </c>
      <c r="J41" s="1">
        <v>15503214.369999999</v>
      </c>
      <c r="K41" s="1"/>
      <c r="L41" s="1"/>
      <c r="M41" s="1"/>
    </row>
    <row r="42" spans="2:13">
      <c r="B42" s="1"/>
      <c r="C42" s="1"/>
      <c r="D42" s="1"/>
      <c r="E42" s="1"/>
      <c r="F42" s="1"/>
      <c r="G42" s="1"/>
      <c r="H42" s="1"/>
      <c r="I42" s="1" t="s">
        <v>49</v>
      </c>
      <c r="J42" s="1">
        <v>536574088.95999998</v>
      </c>
      <c r="K42" s="1"/>
      <c r="L42" s="1">
        <v>-536574088.95999998</v>
      </c>
      <c r="M42" s="1"/>
    </row>
    <row r="43" spans="2:13">
      <c r="B43" s="1"/>
      <c r="C43" s="1"/>
      <c r="D43" s="1"/>
      <c r="E43" s="1"/>
      <c r="F43" s="1"/>
      <c r="G43" s="1"/>
      <c r="H43" s="1"/>
      <c r="I43" s="1" t="s">
        <v>50</v>
      </c>
      <c r="J43" s="1">
        <v>-37222.17</v>
      </c>
      <c r="K43" s="1"/>
      <c r="L43" s="1"/>
      <c r="M43" s="1"/>
    </row>
    <row r="44" spans="2:13">
      <c r="B44" s="1"/>
      <c r="C44" s="1"/>
      <c r="D44" s="1"/>
      <c r="E44" s="1"/>
      <c r="F44" s="1"/>
      <c r="G44" s="1"/>
      <c r="H44" s="1"/>
      <c r="I44" s="1" t="s">
        <v>51</v>
      </c>
      <c r="J44" s="1">
        <v>11998713.43</v>
      </c>
      <c r="K44" s="1"/>
      <c r="L44" s="1"/>
      <c r="M44" s="1"/>
    </row>
    <row r="45" spans="2:13">
      <c r="B45" s="1"/>
      <c r="C45" s="1"/>
      <c r="D45" s="1"/>
      <c r="E45" s="1"/>
      <c r="F45" s="1"/>
      <c r="G45" s="1"/>
      <c r="H45" s="1"/>
      <c r="I45" s="1" t="s">
        <v>52</v>
      </c>
      <c r="J45" s="1">
        <v>11411460.09</v>
      </c>
      <c r="K45" s="1"/>
      <c r="L45" s="1"/>
      <c r="M45" s="1"/>
    </row>
    <row r="46" spans="2:13">
      <c r="B46" s="1"/>
      <c r="C46" s="1"/>
      <c r="D46" s="1"/>
      <c r="E46" s="1"/>
      <c r="F46" s="1"/>
      <c r="G46" s="1"/>
      <c r="H46" s="1"/>
      <c r="I46" s="1" t="s">
        <v>47</v>
      </c>
      <c r="J46" s="1">
        <v>3491414769.9422007</v>
      </c>
      <c r="K46" s="1"/>
      <c r="L46" s="1"/>
      <c r="M46" s="1"/>
    </row>
    <row r="47" spans="2:13">
      <c r="B47" s="1"/>
      <c r="C47" s="1"/>
      <c r="D47" s="1"/>
      <c r="E47" s="1"/>
      <c r="F47" s="1"/>
      <c r="G47" s="1"/>
      <c r="H47" s="1"/>
      <c r="I47" s="1" t="s">
        <v>53</v>
      </c>
      <c r="J47" s="1">
        <v>-9421073.8399999999</v>
      </c>
      <c r="K47" s="1"/>
      <c r="L47" s="1"/>
      <c r="M47" s="1"/>
    </row>
    <row r="48" spans="2:13">
      <c r="B48" s="1"/>
      <c r="C48" s="1"/>
      <c r="D48" s="1"/>
      <c r="E48" s="1"/>
      <c r="F48" s="1"/>
      <c r="G48" s="1"/>
      <c r="H48" s="1"/>
      <c r="I48" s="1" t="s">
        <v>54</v>
      </c>
      <c r="J48" s="1">
        <v>-62860837.100000001</v>
      </c>
      <c r="K48" s="1"/>
      <c r="L48" s="1"/>
      <c r="M48" s="1"/>
    </row>
    <row r="49" spans="2:13">
      <c r="B49" s="1"/>
      <c r="C49" s="1"/>
      <c r="D49" s="1"/>
      <c r="E49" s="1"/>
      <c r="F49" s="1"/>
      <c r="G49" s="1"/>
      <c r="H49" s="1"/>
      <c r="I49" s="1" t="s">
        <v>55</v>
      </c>
      <c r="J49" s="1">
        <v>-300487.98</v>
      </c>
      <c r="K49" s="1"/>
      <c r="L49" s="1"/>
      <c r="M49" s="1"/>
    </row>
    <row r="50" spans="2:13">
      <c r="B50" s="1"/>
      <c r="C50" s="1"/>
      <c r="D50" s="1"/>
      <c r="E50" s="1"/>
      <c r="F50" s="1"/>
      <c r="G50" s="1"/>
      <c r="H50" s="1"/>
      <c r="I50" s="1" t="s">
        <v>56</v>
      </c>
      <c r="J50" s="1">
        <v>0</v>
      </c>
      <c r="K50" s="1"/>
      <c r="L50" s="1"/>
      <c r="M50" s="1"/>
    </row>
    <row r="51" spans="2:13">
      <c r="B51" s="1"/>
      <c r="C51" s="1"/>
      <c r="D51" s="1"/>
      <c r="E51" s="1"/>
      <c r="F51" s="1"/>
      <c r="G51" s="1"/>
      <c r="H51" s="1"/>
      <c r="I51" s="1" t="s">
        <v>57</v>
      </c>
      <c r="J51" s="1">
        <v>3418832371.0222006</v>
      </c>
      <c r="K51" s="1"/>
      <c r="L51" s="1"/>
      <c r="M51" s="1"/>
    </row>
    <row r="52" spans="2:13">
      <c r="B52" s="1"/>
      <c r="C52" s="1"/>
      <c r="D52" s="1"/>
      <c r="E52" s="1"/>
      <c r="F52" s="1"/>
      <c r="G52" s="1"/>
      <c r="H52" s="1"/>
      <c r="I52" s="1" t="s">
        <v>58</v>
      </c>
      <c r="J52" s="1">
        <v>9.3183919807867355</v>
      </c>
      <c r="K52" s="1"/>
      <c r="L52" s="1"/>
      <c r="M52" s="1"/>
    </row>
    <row r="53" spans="2:13">
      <c r="B53" s="1"/>
      <c r="C53" s="1"/>
      <c r="D53" s="1"/>
      <c r="E53" s="1"/>
      <c r="F53" s="1"/>
      <c r="G53" s="1"/>
      <c r="H53" s="1"/>
      <c r="I53" s="1" t="s">
        <v>59</v>
      </c>
      <c r="J53" s="1">
        <v>49684415.960000001</v>
      </c>
      <c r="K53" s="1"/>
      <c r="L53" s="1"/>
      <c r="M53" s="1"/>
    </row>
    <row r="54" spans="2:13">
      <c r="B54" s="1"/>
      <c r="C54" s="1"/>
      <c r="D54" s="1"/>
      <c r="E54" s="1"/>
      <c r="F54" s="1"/>
      <c r="G54" s="1"/>
      <c r="H54" s="1"/>
      <c r="I54" s="1" t="s">
        <v>60</v>
      </c>
      <c r="J54" s="1">
        <v>3541099185.9022007</v>
      </c>
      <c r="K54" s="1"/>
      <c r="L54" s="1"/>
      <c r="M54" s="1"/>
    </row>
    <row r="55" spans="2:13">
      <c r="B55" s="1"/>
      <c r="C55" s="1"/>
      <c r="D55" s="1"/>
      <c r="E55" s="1"/>
      <c r="F55" s="1"/>
      <c r="G55" s="1"/>
      <c r="H55" s="1"/>
      <c r="I55" s="1" t="s">
        <v>58</v>
      </c>
      <c r="J55" s="1"/>
      <c r="K55" s="1"/>
      <c r="L55" s="1"/>
      <c r="M55" s="1"/>
    </row>
    <row r="56" spans="2:13">
      <c r="B56" s="1"/>
      <c r="C56" s="1"/>
      <c r="D56" s="1"/>
      <c r="E56" s="1"/>
      <c r="F56" s="1"/>
      <c r="G56" s="1"/>
      <c r="H56" s="1"/>
      <c r="I56" s="1"/>
      <c r="J56" s="1">
        <v>9.4509969257040645</v>
      </c>
      <c r="K56" s="1"/>
      <c r="L56" s="1"/>
      <c r="M56" s="1"/>
    </row>
  </sheetData>
  <mergeCells count="7">
    <mergeCell ref="H18:H23"/>
    <mergeCell ref="J18:J23"/>
    <mergeCell ref="B2:F2"/>
    <mergeCell ref="H6:H9"/>
    <mergeCell ref="J6:J9"/>
    <mergeCell ref="H10:H15"/>
    <mergeCell ref="J10:J15"/>
  </mergeCells>
  <pageMargins left="0.7" right="0.7" top="0.75" bottom="0.75" header="0.3" footer="0.3"/>
</worksheet>
</file>

<file path=xl/worksheets/sheet90.xml><?xml version="1.0" encoding="utf-8"?>
<worksheet xmlns="http://schemas.openxmlformats.org/spreadsheetml/2006/main" xmlns:r="http://schemas.openxmlformats.org/officeDocument/2006/relationships">
  <sheetPr codeName="Sheet69">
    <pageSetUpPr fitToPage="1"/>
  </sheetPr>
  <dimension ref="A1:O113"/>
  <sheetViews>
    <sheetView showGridLines="0" topLeftCell="A15" zoomScaleSheetLayoutView="67" workbookViewId="0">
      <selection activeCell="E8" sqref="E8:E9"/>
    </sheetView>
  </sheetViews>
  <sheetFormatPr defaultRowHeight="15"/>
  <cols>
    <col min="1" max="1" width="4.140625" style="1109" customWidth="1"/>
    <col min="2" max="2" width="45.140625" style="1109" customWidth="1"/>
    <col min="3" max="3" width="11.5703125" style="1109" customWidth="1"/>
    <col min="4" max="4" width="0" style="1109" hidden="1" customWidth="1"/>
    <col min="5" max="5" width="11.140625" style="1109" customWidth="1"/>
    <col min="6" max="7" width="6.28515625" style="1109" customWidth="1"/>
    <col min="8" max="8" width="6" style="1109" customWidth="1"/>
    <col min="9" max="9" width="8.7109375" style="1109" customWidth="1"/>
    <col min="10" max="10" width="9.140625" style="1109"/>
    <col min="11" max="11" width="9" style="1109" bestFit="1" customWidth="1"/>
    <col min="12" max="12" width="9.85546875" style="1109" customWidth="1"/>
    <col min="13" max="13" width="10.5703125" style="1109" customWidth="1"/>
    <col min="14" max="14" width="5.5703125" style="1109" customWidth="1"/>
    <col min="15" max="256" width="9.140625" style="1109"/>
    <col min="257" max="257" width="4.140625" style="1109" customWidth="1"/>
    <col min="258" max="258" width="45.140625" style="1109" customWidth="1"/>
    <col min="259" max="259" width="11.5703125" style="1109" customWidth="1"/>
    <col min="260" max="260" width="0" style="1109" hidden="1" customWidth="1"/>
    <col min="261" max="261" width="11.140625" style="1109" customWidth="1"/>
    <col min="262" max="263" width="6.28515625" style="1109" customWidth="1"/>
    <col min="264" max="264" width="6" style="1109" customWidth="1"/>
    <col min="265" max="265" width="8.7109375" style="1109" customWidth="1"/>
    <col min="266" max="266" width="9.140625" style="1109"/>
    <col min="267" max="267" width="9" style="1109" bestFit="1" customWidth="1"/>
    <col min="268" max="268" width="9.85546875" style="1109" customWidth="1"/>
    <col min="269" max="269" width="10.5703125" style="1109" customWidth="1"/>
    <col min="270" max="270" width="5.5703125" style="1109" customWidth="1"/>
    <col min="271" max="512" width="9.140625" style="1109"/>
    <col min="513" max="513" width="4.140625" style="1109" customWidth="1"/>
    <col min="514" max="514" width="45.140625" style="1109" customWidth="1"/>
    <col min="515" max="515" width="11.5703125" style="1109" customWidth="1"/>
    <col min="516" max="516" width="0" style="1109" hidden="1" customWidth="1"/>
    <col min="517" max="517" width="11.140625" style="1109" customWidth="1"/>
    <col min="518" max="519" width="6.28515625" style="1109" customWidth="1"/>
    <col min="520" max="520" width="6" style="1109" customWidth="1"/>
    <col min="521" max="521" width="8.7109375" style="1109" customWidth="1"/>
    <col min="522" max="522" width="9.140625" style="1109"/>
    <col min="523" max="523" width="9" style="1109" bestFit="1" customWidth="1"/>
    <col min="524" max="524" width="9.85546875" style="1109" customWidth="1"/>
    <col min="525" max="525" width="10.5703125" style="1109" customWidth="1"/>
    <col min="526" max="526" width="5.5703125" style="1109" customWidth="1"/>
    <col min="527" max="768" width="9.140625" style="1109"/>
    <col min="769" max="769" width="4.140625" style="1109" customWidth="1"/>
    <col min="770" max="770" width="45.140625" style="1109" customWidth="1"/>
    <col min="771" max="771" width="11.5703125" style="1109" customWidth="1"/>
    <col min="772" max="772" width="0" style="1109" hidden="1" customWidth="1"/>
    <col min="773" max="773" width="11.140625" style="1109" customWidth="1"/>
    <col min="774" max="775" width="6.28515625" style="1109" customWidth="1"/>
    <col min="776" max="776" width="6" style="1109" customWidth="1"/>
    <col min="777" max="777" width="8.7109375" style="1109" customWidth="1"/>
    <col min="778" max="778" width="9.140625" style="1109"/>
    <col min="779" max="779" width="9" style="1109" bestFit="1" customWidth="1"/>
    <col min="780" max="780" width="9.85546875" style="1109" customWidth="1"/>
    <col min="781" max="781" width="10.5703125" style="1109" customWidth="1"/>
    <col min="782" max="782" width="5.5703125" style="1109" customWidth="1"/>
    <col min="783" max="1024" width="9.140625" style="1109"/>
    <col min="1025" max="1025" width="4.140625" style="1109" customWidth="1"/>
    <col min="1026" max="1026" width="45.140625" style="1109" customWidth="1"/>
    <col min="1027" max="1027" width="11.5703125" style="1109" customWidth="1"/>
    <col min="1028" max="1028" width="0" style="1109" hidden="1" customWidth="1"/>
    <col min="1029" max="1029" width="11.140625" style="1109" customWidth="1"/>
    <col min="1030" max="1031" width="6.28515625" style="1109" customWidth="1"/>
    <col min="1032" max="1032" width="6" style="1109" customWidth="1"/>
    <col min="1033" max="1033" width="8.7109375" style="1109" customWidth="1"/>
    <col min="1034" max="1034" width="9.140625" style="1109"/>
    <col min="1035" max="1035" width="9" style="1109" bestFit="1" customWidth="1"/>
    <col min="1036" max="1036" width="9.85546875" style="1109" customWidth="1"/>
    <col min="1037" max="1037" width="10.5703125" style="1109" customWidth="1"/>
    <col min="1038" max="1038" width="5.5703125" style="1109" customWidth="1"/>
    <col min="1039" max="1280" width="9.140625" style="1109"/>
    <col min="1281" max="1281" width="4.140625" style="1109" customWidth="1"/>
    <col min="1282" max="1282" width="45.140625" style="1109" customWidth="1"/>
    <col min="1283" max="1283" width="11.5703125" style="1109" customWidth="1"/>
    <col min="1284" max="1284" width="0" style="1109" hidden="1" customWidth="1"/>
    <col min="1285" max="1285" width="11.140625" style="1109" customWidth="1"/>
    <col min="1286" max="1287" width="6.28515625" style="1109" customWidth="1"/>
    <col min="1288" max="1288" width="6" style="1109" customWidth="1"/>
    <col min="1289" max="1289" width="8.7109375" style="1109" customWidth="1"/>
    <col min="1290" max="1290" width="9.140625" style="1109"/>
    <col min="1291" max="1291" width="9" style="1109" bestFit="1" customWidth="1"/>
    <col min="1292" max="1292" width="9.85546875" style="1109" customWidth="1"/>
    <col min="1293" max="1293" width="10.5703125" style="1109" customWidth="1"/>
    <col min="1294" max="1294" width="5.5703125" style="1109" customWidth="1"/>
    <col min="1295" max="1536" width="9.140625" style="1109"/>
    <col min="1537" max="1537" width="4.140625" style="1109" customWidth="1"/>
    <col min="1538" max="1538" width="45.140625" style="1109" customWidth="1"/>
    <col min="1539" max="1539" width="11.5703125" style="1109" customWidth="1"/>
    <col min="1540" max="1540" width="0" style="1109" hidden="1" customWidth="1"/>
    <col min="1541" max="1541" width="11.140625" style="1109" customWidth="1"/>
    <col min="1542" max="1543" width="6.28515625" style="1109" customWidth="1"/>
    <col min="1544" max="1544" width="6" style="1109" customWidth="1"/>
    <col min="1545" max="1545" width="8.7109375" style="1109" customWidth="1"/>
    <col min="1546" max="1546" width="9.140625" style="1109"/>
    <col min="1547" max="1547" width="9" style="1109" bestFit="1" customWidth="1"/>
    <col min="1548" max="1548" width="9.85546875" style="1109" customWidth="1"/>
    <col min="1549" max="1549" width="10.5703125" style="1109" customWidth="1"/>
    <col min="1550" max="1550" width="5.5703125" style="1109" customWidth="1"/>
    <col min="1551" max="1792" width="9.140625" style="1109"/>
    <col min="1793" max="1793" width="4.140625" style="1109" customWidth="1"/>
    <col min="1794" max="1794" width="45.140625" style="1109" customWidth="1"/>
    <col min="1795" max="1795" width="11.5703125" style="1109" customWidth="1"/>
    <col min="1796" max="1796" width="0" style="1109" hidden="1" customWidth="1"/>
    <col min="1797" max="1797" width="11.140625" style="1109" customWidth="1"/>
    <col min="1798" max="1799" width="6.28515625" style="1109" customWidth="1"/>
    <col min="1800" max="1800" width="6" style="1109" customWidth="1"/>
    <col min="1801" max="1801" width="8.7109375" style="1109" customWidth="1"/>
    <col min="1802" max="1802" width="9.140625" style="1109"/>
    <col min="1803" max="1803" width="9" style="1109" bestFit="1" customWidth="1"/>
    <col min="1804" max="1804" width="9.85546875" style="1109" customWidth="1"/>
    <col min="1805" max="1805" width="10.5703125" style="1109" customWidth="1"/>
    <col min="1806" max="1806" width="5.5703125" style="1109" customWidth="1"/>
    <col min="1807" max="2048" width="9.140625" style="1109"/>
    <col min="2049" max="2049" width="4.140625" style="1109" customWidth="1"/>
    <col min="2050" max="2050" width="45.140625" style="1109" customWidth="1"/>
    <col min="2051" max="2051" width="11.5703125" style="1109" customWidth="1"/>
    <col min="2052" max="2052" width="0" style="1109" hidden="1" customWidth="1"/>
    <col min="2053" max="2053" width="11.140625" style="1109" customWidth="1"/>
    <col min="2054" max="2055" width="6.28515625" style="1109" customWidth="1"/>
    <col min="2056" max="2056" width="6" style="1109" customWidth="1"/>
    <col min="2057" max="2057" width="8.7109375" style="1109" customWidth="1"/>
    <col min="2058" max="2058" width="9.140625" style="1109"/>
    <col min="2059" max="2059" width="9" style="1109" bestFit="1" customWidth="1"/>
    <col min="2060" max="2060" width="9.85546875" style="1109" customWidth="1"/>
    <col min="2061" max="2061" width="10.5703125" style="1109" customWidth="1"/>
    <col min="2062" max="2062" width="5.5703125" style="1109" customWidth="1"/>
    <col min="2063" max="2304" width="9.140625" style="1109"/>
    <col min="2305" max="2305" width="4.140625" style="1109" customWidth="1"/>
    <col min="2306" max="2306" width="45.140625" style="1109" customWidth="1"/>
    <col min="2307" max="2307" width="11.5703125" style="1109" customWidth="1"/>
    <col min="2308" max="2308" width="0" style="1109" hidden="1" customWidth="1"/>
    <col min="2309" max="2309" width="11.140625" style="1109" customWidth="1"/>
    <col min="2310" max="2311" width="6.28515625" style="1109" customWidth="1"/>
    <col min="2312" max="2312" width="6" style="1109" customWidth="1"/>
    <col min="2313" max="2313" width="8.7109375" style="1109" customWidth="1"/>
    <col min="2314" max="2314" width="9.140625" style="1109"/>
    <col min="2315" max="2315" width="9" style="1109" bestFit="1" customWidth="1"/>
    <col min="2316" max="2316" width="9.85546875" style="1109" customWidth="1"/>
    <col min="2317" max="2317" width="10.5703125" style="1109" customWidth="1"/>
    <col min="2318" max="2318" width="5.5703125" style="1109" customWidth="1"/>
    <col min="2319" max="2560" width="9.140625" style="1109"/>
    <col min="2561" max="2561" width="4.140625" style="1109" customWidth="1"/>
    <col min="2562" max="2562" width="45.140625" style="1109" customWidth="1"/>
    <col min="2563" max="2563" width="11.5703125" style="1109" customWidth="1"/>
    <col min="2564" max="2564" width="0" style="1109" hidden="1" customWidth="1"/>
    <col min="2565" max="2565" width="11.140625" style="1109" customWidth="1"/>
    <col min="2566" max="2567" width="6.28515625" style="1109" customWidth="1"/>
    <col min="2568" max="2568" width="6" style="1109" customWidth="1"/>
    <col min="2569" max="2569" width="8.7109375" style="1109" customWidth="1"/>
    <col min="2570" max="2570" width="9.140625" style="1109"/>
    <col min="2571" max="2571" width="9" style="1109" bestFit="1" customWidth="1"/>
    <col min="2572" max="2572" width="9.85546875" style="1109" customWidth="1"/>
    <col min="2573" max="2573" width="10.5703125" style="1109" customWidth="1"/>
    <col min="2574" max="2574" width="5.5703125" style="1109" customWidth="1"/>
    <col min="2575" max="2816" width="9.140625" style="1109"/>
    <col min="2817" max="2817" width="4.140625" style="1109" customWidth="1"/>
    <col min="2818" max="2818" width="45.140625" style="1109" customWidth="1"/>
    <col min="2819" max="2819" width="11.5703125" style="1109" customWidth="1"/>
    <col min="2820" max="2820" width="0" style="1109" hidden="1" customWidth="1"/>
    <col min="2821" max="2821" width="11.140625" style="1109" customWidth="1"/>
    <col min="2822" max="2823" width="6.28515625" style="1109" customWidth="1"/>
    <col min="2824" max="2824" width="6" style="1109" customWidth="1"/>
    <col min="2825" max="2825" width="8.7109375" style="1109" customWidth="1"/>
    <col min="2826" max="2826" width="9.140625" style="1109"/>
    <col min="2827" max="2827" width="9" style="1109" bestFit="1" customWidth="1"/>
    <col min="2828" max="2828" width="9.85546875" style="1109" customWidth="1"/>
    <col min="2829" max="2829" width="10.5703125" style="1109" customWidth="1"/>
    <col min="2830" max="2830" width="5.5703125" style="1109" customWidth="1"/>
    <col min="2831" max="3072" width="9.140625" style="1109"/>
    <col min="3073" max="3073" width="4.140625" style="1109" customWidth="1"/>
    <col min="3074" max="3074" width="45.140625" style="1109" customWidth="1"/>
    <col min="3075" max="3075" width="11.5703125" style="1109" customWidth="1"/>
    <col min="3076" max="3076" width="0" style="1109" hidden="1" customWidth="1"/>
    <col min="3077" max="3077" width="11.140625" style="1109" customWidth="1"/>
    <col min="3078" max="3079" width="6.28515625" style="1109" customWidth="1"/>
    <col min="3080" max="3080" width="6" style="1109" customWidth="1"/>
    <col min="3081" max="3081" width="8.7109375" style="1109" customWidth="1"/>
    <col min="3082" max="3082" width="9.140625" style="1109"/>
    <col min="3083" max="3083" width="9" style="1109" bestFit="1" customWidth="1"/>
    <col min="3084" max="3084" width="9.85546875" style="1109" customWidth="1"/>
    <col min="3085" max="3085" width="10.5703125" style="1109" customWidth="1"/>
    <col min="3086" max="3086" width="5.5703125" style="1109" customWidth="1"/>
    <col min="3087" max="3328" width="9.140625" style="1109"/>
    <col min="3329" max="3329" width="4.140625" style="1109" customWidth="1"/>
    <col min="3330" max="3330" width="45.140625" style="1109" customWidth="1"/>
    <col min="3331" max="3331" width="11.5703125" style="1109" customWidth="1"/>
    <col min="3332" max="3332" width="0" style="1109" hidden="1" customWidth="1"/>
    <col min="3333" max="3333" width="11.140625" style="1109" customWidth="1"/>
    <col min="3334" max="3335" width="6.28515625" style="1109" customWidth="1"/>
    <col min="3336" max="3336" width="6" style="1109" customWidth="1"/>
    <col min="3337" max="3337" width="8.7109375" style="1109" customWidth="1"/>
    <col min="3338" max="3338" width="9.140625" style="1109"/>
    <col min="3339" max="3339" width="9" style="1109" bestFit="1" customWidth="1"/>
    <col min="3340" max="3340" width="9.85546875" style="1109" customWidth="1"/>
    <col min="3341" max="3341" width="10.5703125" style="1109" customWidth="1"/>
    <col min="3342" max="3342" width="5.5703125" style="1109" customWidth="1"/>
    <col min="3343" max="3584" width="9.140625" style="1109"/>
    <col min="3585" max="3585" width="4.140625" style="1109" customWidth="1"/>
    <col min="3586" max="3586" width="45.140625" style="1109" customWidth="1"/>
    <col min="3587" max="3587" width="11.5703125" style="1109" customWidth="1"/>
    <col min="3588" max="3588" width="0" style="1109" hidden="1" customWidth="1"/>
    <col min="3589" max="3589" width="11.140625" style="1109" customWidth="1"/>
    <col min="3590" max="3591" width="6.28515625" style="1109" customWidth="1"/>
    <col min="3592" max="3592" width="6" style="1109" customWidth="1"/>
    <col min="3593" max="3593" width="8.7109375" style="1109" customWidth="1"/>
    <col min="3594" max="3594" width="9.140625" style="1109"/>
    <col min="3595" max="3595" width="9" style="1109" bestFit="1" customWidth="1"/>
    <col min="3596" max="3596" width="9.85546875" style="1109" customWidth="1"/>
    <col min="3597" max="3597" width="10.5703125" style="1109" customWidth="1"/>
    <col min="3598" max="3598" width="5.5703125" style="1109" customWidth="1"/>
    <col min="3599" max="3840" width="9.140625" style="1109"/>
    <col min="3841" max="3841" width="4.140625" style="1109" customWidth="1"/>
    <col min="3842" max="3842" width="45.140625" style="1109" customWidth="1"/>
    <col min="3843" max="3843" width="11.5703125" style="1109" customWidth="1"/>
    <col min="3844" max="3844" width="0" style="1109" hidden="1" customWidth="1"/>
    <col min="3845" max="3845" width="11.140625" style="1109" customWidth="1"/>
    <col min="3846" max="3847" width="6.28515625" style="1109" customWidth="1"/>
    <col min="3848" max="3848" width="6" style="1109" customWidth="1"/>
    <col min="3849" max="3849" width="8.7109375" style="1109" customWidth="1"/>
    <col min="3850" max="3850" width="9.140625" style="1109"/>
    <col min="3851" max="3851" width="9" style="1109" bestFit="1" customWidth="1"/>
    <col min="3852" max="3852" width="9.85546875" style="1109" customWidth="1"/>
    <col min="3853" max="3853" width="10.5703125" style="1109" customWidth="1"/>
    <col min="3854" max="3854" width="5.5703125" style="1109" customWidth="1"/>
    <col min="3855" max="4096" width="9.140625" style="1109"/>
    <col min="4097" max="4097" width="4.140625" style="1109" customWidth="1"/>
    <col min="4098" max="4098" width="45.140625" style="1109" customWidth="1"/>
    <col min="4099" max="4099" width="11.5703125" style="1109" customWidth="1"/>
    <col min="4100" max="4100" width="0" style="1109" hidden="1" customWidth="1"/>
    <col min="4101" max="4101" width="11.140625" style="1109" customWidth="1"/>
    <col min="4102" max="4103" width="6.28515625" style="1109" customWidth="1"/>
    <col min="4104" max="4104" width="6" style="1109" customWidth="1"/>
    <col min="4105" max="4105" width="8.7109375" style="1109" customWidth="1"/>
    <col min="4106" max="4106" width="9.140625" style="1109"/>
    <col min="4107" max="4107" width="9" style="1109" bestFit="1" customWidth="1"/>
    <col min="4108" max="4108" width="9.85546875" style="1109" customWidth="1"/>
    <col min="4109" max="4109" width="10.5703125" style="1109" customWidth="1"/>
    <col min="4110" max="4110" width="5.5703125" style="1109" customWidth="1"/>
    <col min="4111" max="4352" width="9.140625" style="1109"/>
    <col min="4353" max="4353" width="4.140625" style="1109" customWidth="1"/>
    <col min="4354" max="4354" width="45.140625" style="1109" customWidth="1"/>
    <col min="4355" max="4355" width="11.5703125" style="1109" customWidth="1"/>
    <col min="4356" max="4356" width="0" style="1109" hidden="1" customWidth="1"/>
    <col min="4357" max="4357" width="11.140625" style="1109" customWidth="1"/>
    <col min="4358" max="4359" width="6.28515625" style="1109" customWidth="1"/>
    <col min="4360" max="4360" width="6" style="1109" customWidth="1"/>
    <col min="4361" max="4361" width="8.7109375" style="1109" customWidth="1"/>
    <col min="4362" max="4362" width="9.140625" style="1109"/>
    <col min="4363" max="4363" width="9" style="1109" bestFit="1" customWidth="1"/>
    <col min="4364" max="4364" width="9.85546875" style="1109" customWidth="1"/>
    <col min="4365" max="4365" width="10.5703125" style="1109" customWidth="1"/>
    <col min="4366" max="4366" width="5.5703125" style="1109" customWidth="1"/>
    <col min="4367" max="4608" width="9.140625" style="1109"/>
    <col min="4609" max="4609" width="4.140625" style="1109" customWidth="1"/>
    <col min="4610" max="4610" width="45.140625" style="1109" customWidth="1"/>
    <col min="4611" max="4611" width="11.5703125" style="1109" customWidth="1"/>
    <col min="4612" max="4612" width="0" style="1109" hidden="1" customWidth="1"/>
    <col min="4613" max="4613" width="11.140625" style="1109" customWidth="1"/>
    <col min="4614" max="4615" width="6.28515625" style="1109" customWidth="1"/>
    <col min="4616" max="4616" width="6" style="1109" customWidth="1"/>
    <col min="4617" max="4617" width="8.7109375" style="1109" customWidth="1"/>
    <col min="4618" max="4618" width="9.140625" style="1109"/>
    <col min="4619" max="4619" width="9" style="1109" bestFit="1" customWidth="1"/>
    <col min="4620" max="4620" width="9.85546875" style="1109" customWidth="1"/>
    <col min="4621" max="4621" width="10.5703125" style="1109" customWidth="1"/>
    <col min="4622" max="4622" width="5.5703125" style="1109" customWidth="1"/>
    <col min="4623" max="4864" width="9.140625" style="1109"/>
    <col min="4865" max="4865" width="4.140625" style="1109" customWidth="1"/>
    <col min="4866" max="4866" width="45.140625" style="1109" customWidth="1"/>
    <col min="4867" max="4867" width="11.5703125" style="1109" customWidth="1"/>
    <col min="4868" max="4868" width="0" style="1109" hidden="1" customWidth="1"/>
    <col min="4869" max="4869" width="11.140625" style="1109" customWidth="1"/>
    <col min="4870" max="4871" width="6.28515625" style="1109" customWidth="1"/>
    <col min="4872" max="4872" width="6" style="1109" customWidth="1"/>
    <col min="4873" max="4873" width="8.7109375" style="1109" customWidth="1"/>
    <col min="4874" max="4874" width="9.140625" style="1109"/>
    <col min="4875" max="4875" width="9" style="1109" bestFit="1" customWidth="1"/>
    <col min="4876" max="4876" width="9.85546875" style="1109" customWidth="1"/>
    <col min="4877" max="4877" width="10.5703125" style="1109" customWidth="1"/>
    <col min="4878" max="4878" width="5.5703125" style="1109" customWidth="1"/>
    <col min="4879" max="5120" width="9.140625" style="1109"/>
    <col min="5121" max="5121" width="4.140625" style="1109" customWidth="1"/>
    <col min="5122" max="5122" width="45.140625" style="1109" customWidth="1"/>
    <col min="5123" max="5123" width="11.5703125" style="1109" customWidth="1"/>
    <col min="5124" max="5124" width="0" style="1109" hidden="1" customWidth="1"/>
    <col min="5125" max="5125" width="11.140625" style="1109" customWidth="1"/>
    <col min="5126" max="5127" width="6.28515625" style="1109" customWidth="1"/>
    <col min="5128" max="5128" width="6" style="1109" customWidth="1"/>
    <col min="5129" max="5129" width="8.7109375" style="1109" customWidth="1"/>
    <col min="5130" max="5130" width="9.140625" style="1109"/>
    <col min="5131" max="5131" width="9" style="1109" bestFit="1" customWidth="1"/>
    <col min="5132" max="5132" width="9.85546875" style="1109" customWidth="1"/>
    <col min="5133" max="5133" width="10.5703125" style="1109" customWidth="1"/>
    <col min="5134" max="5134" width="5.5703125" style="1109" customWidth="1"/>
    <col min="5135" max="5376" width="9.140625" style="1109"/>
    <col min="5377" max="5377" width="4.140625" style="1109" customWidth="1"/>
    <col min="5378" max="5378" width="45.140625" style="1109" customWidth="1"/>
    <col min="5379" max="5379" width="11.5703125" style="1109" customWidth="1"/>
    <col min="5380" max="5380" width="0" style="1109" hidden="1" customWidth="1"/>
    <col min="5381" max="5381" width="11.140625" style="1109" customWidth="1"/>
    <col min="5382" max="5383" width="6.28515625" style="1109" customWidth="1"/>
    <col min="5384" max="5384" width="6" style="1109" customWidth="1"/>
    <col min="5385" max="5385" width="8.7109375" style="1109" customWidth="1"/>
    <col min="5386" max="5386" width="9.140625" style="1109"/>
    <col min="5387" max="5387" width="9" style="1109" bestFit="1" customWidth="1"/>
    <col min="5388" max="5388" width="9.85546875" style="1109" customWidth="1"/>
    <col min="5389" max="5389" width="10.5703125" style="1109" customWidth="1"/>
    <col min="5390" max="5390" width="5.5703125" style="1109" customWidth="1"/>
    <col min="5391" max="5632" width="9.140625" style="1109"/>
    <col min="5633" max="5633" width="4.140625" style="1109" customWidth="1"/>
    <col min="5634" max="5634" width="45.140625" style="1109" customWidth="1"/>
    <col min="5635" max="5635" width="11.5703125" style="1109" customWidth="1"/>
    <col min="5636" max="5636" width="0" style="1109" hidden="1" customWidth="1"/>
    <col min="5637" max="5637" width="11.140625" style="1109" customWidth="1"/>
    <col min="5638" max="5639" width="6.28515625" style="1109" customWidth="1"/>
    <col min="5640" max="5640" width="6" style="1109" customWidth="1"/>
    <col min="5641" max="5641" width="8.7109375" style="1109" customWidth="1"/>
    <col min="5642" max="5642" width="9.140625" style="1109"/>
    <col min="5643" max="5643" width="9" style="1109" bestFit="1" customWidth="1"/>
    <col min="5644" max="5644" width="9.85546875" style="1109" customWidth="1"/>
    <col min="5645" max="5645" width="10.5703125" style="1109" customWidth="1"/>
    <col min="5646" max="5646" width="5.5703125" style="1109" customWidth="1"/>
    <col min="5647" max="5888" width="9.140625" style="1109"/>
    <col min="5889" max="5889" width="4.140625" style="1109" customWidth="1"/>
    <col min="5890" max="5890" width="45.140625" style="1109" customWidth="1"/>
    <col min="5891" max="5891" width="11.5703125" style="1109" customWidth="1"/>
    <col min="5892" max="5892" width="0" style="1109" hidden="1" customWidth="1"/>
    <col min="5893" max="5893" width="11.140625" style="1109" customWidth="1"/>
    <col min="5894" max="5895" width="6.28515625" style="1109" customWidth="1"/>
    <col min="5896" max="5896" width="6" style="1109" customWidth="1"/>
    <col min="5897" max="5897" width="8.7109375" style="1109" customWidth="1"/>
    <col min="5898" max="5898" width="9.140625" style="1109"/>
    <col min="5899" max="5899" width="9" style="1109" bestFit="1" customWidth="1"/>
    <col min="5900" max="5900" width="9.85546875" style="1109" customWidth="1"/>
    <col min="5901" max="5901" width="10.5703125" style="1109" customWidth="1"/>
    <col min="5902" max="5902" width="5.5703125" style="1109" customWidth="1"/>
    <col min="5903" max="6144" width="9.140625" style="1109"/>
    <col min="6145" max="6145" width="4.140625" style="1109" customWidth="1"/>
    <col min="6146" max="6146" width="45.140625" style="1109" customWidth="1"/>
    <col min="6147" max="6147" width="11.5703125" style="1109" customWidth="1"/>
    <col min="6148" max="6148" width="0" style="1109" hidden="1" customWidth="1"/>
    <col min="6149" max="6149" width="11.140625" style="1109" customWidth="1"/>
    <col min="6150" max="6151" width="6.28515625" style="1109" customWidth="1"/>
    <col min="6152" max="6152" width="6" style="1109" customWidth="1"/>
    <col min="6153" max="6153" width="8.7109375" style="1109" customWidth="1"/>
    <col min="6154" max="6154" width="9.140625" style="1109"/>
    <col min="6155" max="6155" width="9" style="1109" bestFit="1" customWidth="1"/>
    <col min="6156" max="6156" width="9.85546875" style="1109" customWidth="1"/>
    <col min="6157" max="6157" width="10.5703125" style="1109" customWidth="1"/>
    <col min="6158" max="6158" width="5.5703125" style="1109" customWidth="1"/>
    <col min="6159" max="6400" width="9.140625" style="1109"/>
    <col min="6401" max="6401" width="4.140625" style="1109" customWidth="1"/>
    <col min="6402" max="6402" width="45.140625" style="1109" customWidth="1"/>
    <col min="6403" max="6403" width="11.5703125" style="1109" customWidth="1"/>
    <col min="6404" max="6404" width="0" style="1109" hidden="1" customWidth="1"/>
    <col min="6405" max="6405" width="11.140625" style="1109" customWidth="1"/>
    <col min="6406" max="6407" width="6.28515625" style="1109" customWidth="1"/>
    <col min="6408" max="6408" width="6" style="1109" customWidth="1"/>
    <col min="6409" max="6409" width="8.7109375" style="1109" customWidth="1"/>
    <col min="6410" max="6410" width="9.140625" style="1109"/>
    <col min="6411" max="6411" width="9" style="1109" bestFit="1" customWidth="1"/>
    <col min="6412" max="6412" width="9.85546875" style="1109" customWidth="1"/>
    <col min="6413" max="6413" width="10.5703125" style="1109" customWidth="1"/>
    <col min="6414" max="6414" width="5.5703125" style="1109" customWidth="1"/>
    <col min="6415" max="6656" width="9.140625" style="1109"/>
    <col min="6657" max="6657" width="4.140625" style="1109" customWidth="1"/>
    <col min="6658" max="6658" width="45.140625" style="1109" customWidth="1"/>
    <col min="6659" max="6659" width="11.5703125" style="1109" customWidth="1"/>
    <col min="6660" max="6660" width="0" style="1109" hidden="1" customWidth="1"/>
    <col min="6661" max="6661" width="11.140625" style="1109" customWidth="1"/>
    <col min="6662" max="6663" width="6.28515625" style="1109" customWidth="1"/>
    <col min="6664" max="6664" width="6" style="1109" customWidth="1"/>
    <col min="6665" max="6665" width="8.7109375" style="1109" customWidth="1"/>
    <col min="6666" max="6666" width="9.140625" style="1109"/>
    <col min="6667" max="6667" width="9" style="1109" bestFit="1" customWidth="1"/>
    <col min="6668" max="6668" width="9.85546875" style="1109" customWidth="1"/>
    <col min="6669" max="6669" width="10.5703125" style="1109" customWidth="1"/>
    <col min="6670" max="6670" width="5.5703125" style="1109" customWidth="1"/>
    <col min="6671" max="6912" width="9.140625" style="1109"/>
    <col min="6913" max="6913" width="4.140625" style="1109" customWidth="1"/>
    <col min="6914" max="6914" width="45.140625" style="1109" customWidth="1"/>
    <col min="6915" max="6915" width="11.5703125" style="1109" customWidth="1"/>
    <col min="6916" max="6916" width="0" style="1109" hidden="1" customWidth="1"/>
    <col min="6917" max="6917" width="11.140625" style="1109" customWidth="1"/>
    <col min="6918" max="6919" width="6.28515625" style="1109" customWidth="1"/>
    <col min="6920" max="6920" width="6" style="1109" customWidth="1"/>
    <col min="6921" max="6921" width="8.7109375" style="1109" customWidth="1"/>
    <col min="6922" max="6922" width="9.140625" style="1109"/>
    <col min="6923" max="6923" width="9" style="1109" bestFit="1" customWidth="1"/>
    <col min="6924" max="6924" width="9.85546875" style="1109" customWidth="1"/>
    <col min="6925" max="6925" width="10.5703125" style="1109" customWidth="1"/>
    <col min="6926" max="6926" width="5.5703125" style="1109" customWidth="1"/>
    <col min="6927" max="7168" width="9.140625" style="1109"/>
    <col min="7169" max="7169" width="4.140625" style="1109" customWidth="1"/>
    <col min="7170" max="7170" width="45.140625" style="1109" customWidth="1"/>
    <col min="7171" max="7171" width="11.5703125" style="1109" customWidth="1"/>
    <col min="7172" max="7172" width="0" style="1109" hidden="1" customWidth="1"/>
    <col min="7173" max="7173" width="11.140625" style="1109" customWidth="1"/>
    <col min="7174" max="7175" width="6.28515625" style="1109" customWidth="1"/>
    <col min="7176" max="7176" width="6" style="1109" customWidth="1"/>
    <col min="7177" max="7177" width="8.7109375" style="1109" customWidth="1"/>
    <col min="7178" max="7178" width="9.140625" style="1109"/>
    <col min="7179" max="7179" width="9" style="1109" bestFit="1" customWidth="1"/>
    <col min="7180" max="7180" width="9.85546875" style="1109" customWidth="1"/>
    <col min="7181" max="7181" width="10.5703125" style="1109" customWidth="1"/>
    <col min="7182" max="7182" width="5.5703125" style="1109" customWidth="1"/>
    <col min="7183" max="7424" width="9.140625" style="1109"/>
    <col min="7425" max="7425" width="4.140625" style="1109" customWidth="1"/>
    <col min="7426" max="7426" width="45.140625" style="1109" customWidth="1"/>
    <col min="7427" max="7427" width="11.5703125" style="1109" customWidth="1"/>
    <col min="7428" max="7428" width="0" style="1109" hidden="1" customWidth="1"/>
    <col min="7429" max="7429" width="11.140625" style="1109" customWidth="1"/>
    <col min="7430" max="7431" width="6.28515625" style="1109" customWidth="1"/>
    <col min="7432" max="7432" width="6" style="1109" customWidth="1"/>
    <col min="7433" max="7433" width="8.7109375" style="1109" customWidth="1"/>
    <col min="7434" max="7434" width="9.140625" style="1109"/>
    <col min="7435" max="7435" width="9" style="1109" bestFit="1" customWidth="1"/>
    <col min="7436" max="7436" width="9.85546875" style="1109" customWidth="1"/>
    <col min="7437" max="7437" width="10.5703125" style="1109" customWidth="1"/>
    <col min="7438" max="7438" width="5.5703125" style="1109" customWidth="1"/>
    <col min="7439" max="7680" width="9.140625" style="1109"/>
    <col min="7681" max="7681" width="4.140625" style="1109" customWidth="1"/>
    <col min="7682" max="7682" width="45.140625" style="1109" customWidth="1"/>
    <col min="7683" max="7683" width="11.5703125" style="1109" customWidth="1"/>
    <col min="7684" max="7684" width="0" style="1109" hidden="1" customWidth="1"/>
    <col min="7685" max="7685" width="11.140625" style="1109" customWidth="1"/>
    <col min="7686" max="7687" width="6.28515625" style="1109" customWidth="1"/>
    <col min="7688" max="7688" width="6" style="1109" customWidth="1"/>
    <col min="7689" max="7689" width="8.7109375" style="1109" customWidth="1"/>
    <col min="7690" max="7690" width="9.140625" style="1109"/>
    <col min="7691" max="7691" width="9" style="1109" bestFit="1" customWidth="1"/>
    <col min="7692" max="7692" width="9.85546875" style="1109" customWidth="1"/>
    <col min="7693" max="7693" width="10.5703125" style="1109" customWidth="1"/>
    <col min="7694" max="7694" width="5.5703125" style="1109" customWidth="1"/>
    <col min="7695" max="7936" width="9.140625" style="1109"/>
    <col min="7937" max="7937" width="4.140625" style="1109" customWidth="1"/>
    <col min="7938" max="7938" width="45.140625" style="1109" customWidth="1"/>
    <col min="7939" max="7939" width="11.5703125" style="1109" customWidth="1"/>
    <col min="7940" max="7940" width="0" style="1109" hidden="1" customWidth="1"/>
    <col min="7941" max="7941" width="11.140625" style="1109" customWidth="1"/>
    <col min="7942" max="7943" width="6.28515625" style="1109" customWidth="1"/>
    <col min="7944" max="7944" width="6" style="1109" customWidth="1"/>
    <col min="7945" max="7945" width="8.7109375" style="1109" customWidth="1"/>
    <col min="7946" max="7946" width="9.140625" style="1109"/>
    <col min="7947" max="7947" width="9" style="1109" bestFit="1" customWidth="1"/>
    <col min="7948" max="7948" width="9.85546875" style="1109" customWidth="1"/>
    <col min="7949" max="7949" width="10.5703125" style="1109" customWidth="1"/>
    <col min="7950" max="7950" width="5.5703125" style="1109" customWidth="1"/>
    <col min="7951" max="8192" width="9.140625" style="1109"/>
    <col min="8193" max="8193" width="4.140625" style="1109" customWidth="1"/>
    <col min="8194" max="8194" width="45.140625" style="1109" customWidth="1"/>
    <col min="8195" max="8195" width="11.5703125" style="1109" customWidth="1"/>
    <col min="8196" max="8196" width="0" style="1109" hidden="1" customWidth="1"/>
    <col min="8197" max="8197" width="11.140625" style="1109" customWidth="1"/>
    <col min="8198" max="8199" width="6.28515625" style="1109" customWidth="1"/>
    <col min="8200" max="8200" width="6" style="1109" customWidth="1"/>
    <col min="8201" max="8201" width="8.7109375" style="1109" customWidth="1"/>
    <col min="8202" max="8202" width="9.140625" style="1109"/>
    <col min="8203" max="8203" width="9" style="1109" bestFit="1" customWidth="1"/>
    <col min="8204" max="8204" width="9.85546875" style="1109" customWidth="1"/>
    <col min="8205" max="8205" width="10.5703125" style="1109" customWidth="1"/>
    <col min="8206" max="8206" width="5.5703125" style="1109" customWidth="1"/>
    <col min="8207" max="8448" width="9.140625" style="1109"/>
    <col min="8449" max="8449" width="4.140625" style="1109" customWidth="1"/>
    <col min="8450" max="8450" width="45.140625" style="1109" customWidth="1"/>
    <col min="8451" max="8451" width="11.5703125" style="1109" customWidth="1"/>
    <col min="8452" max="8452" width="0" style="1109" hidden="1" customWidth="1"/>
    <col min="8453" max="8453" width="11.140625" style="1109" customWidth="1"/>
    <col min="8454" max="8455" width="6.28515625" style="1109" customWidth="1"/>
    <col min="8456" max="8456" width="6" style="1109" customWidth="1"/>
    <col min="8457" max="8457" width="8.7109375" style="1109" customWidth="1"/>
    <col min="8458" max="8458" width="9.140625" style="1109"/>
    <col min="8459" max="8459" width="9" style="1109" bestFit="1" customWidth="1"/>
    <col min="8460" max="8460" width="9.85546875" style="1109" customWidth="1"/>
    <col min="8461" max="8461" width="10.5703125" style="1109" customWidth="1"/>
    <col min="8462" max="8462" width="5.5703125" style="1109" customWidth="1"/>
    <col min="8463" max="8704" width="9.140625" style="1109"/>
    <col min="8705" max="8705" width="4.140625" style="1109" customWidth="1"/>
    <col min="8706" max="8706" width="45.140625" style="1109" customWidth="1"/>
    <col min="8707" max="8707" width="11.5703125" style="1109" customWidth="1"/>
    <col min="8708" max="8708" width="0" style="1109" hidden="1" customWidth="1"/>
    <col min="8709" max="8709" width="11.140625" style="1109" customWidth="1"/>
    <col min="8710" max="8711" width="6.28515625" style="1109" customWidth="1"/>
    <col min="8712" max="8712" width="6" style="1109" customWidth="1"/>
    <col min="8713" max="8713" width="8.7109375" style="1109" customWidth="1"/>
    <col min="8714" max="8714" width="9.140625" style="1109"/>
    <col min="8715" max="8715" width="9" style="1109" bestFit="1" customWidth="1"/>
    <col min="8716" max="8716" width="9.85546875" style="1109" customWidth="1"/>
    <col min="8717" max="8717" width="10.5703125" style="1109" customWidth="1"/>
    <col min="8718" max="8718" width="5.5703125" style="1109" customWidth="1"/>
    <col min="8719" max="8960" width="9.140625" style="1109"/>
    <col min="8961" max="8961" width="4.140625" style="1109" customWidth="1"/>
    <col min="8962" max="8962" width="45.140625" style="1109" customWidth="1"/>
    <col min="8963" max="8963" width="11.5703125" style="1109" customWidth="1"/>
    <col min="8964" max="8964" width="0" style="1109" hidden="1" customWidth="1"/>
    <col min="8965" max="8965" width="11.140625" style="1109" customWidth="1"/>
    <col min="8966" max="8967" width="6.28515625" style="1109" customWidth="1"/>
    <col min="8968" max="8968" width="6" style="1109" customWidth="1"/>
    <col min="8969" max="8969" width="8.7109375" style="1109" customWidth="1"/>
    <col min="8970" max="8970" width="9.140625" style="1109"/>
    <col min="8971" max="8971" width="9" style="1109" bestFit="1" customWidth="1"/>
    <col min="8972" max="8972" width="9.85546875" style="1109" customWidth="1"/>
    <col min="8973" max="8973" width="10.5703125" style="1109" customWidth="1"/>
    <col min="8974" max="8974" width="5.5703125" style="1109" customWidth="1"/>
    <col min="8975" max="9216" width="9.140625" style="1109"/>
    <col min="9217" max="9217" width="4.140625" style="1109" customWidth="1"/>
    <col min="9218" max="9218" width="45.140625" style="1109" customWidth="1"/>
    <col min="9219" max="9219" width="11.5703125" style="1109" customWidth="1"/>
    <col min="9220" max="9220" width="0" style="1109" hidden="1" customWidth="1"/>
    <col min="9221" max="9221" width="11.140625" style="1109" customWidth="1"/>
    <col min="9222" max="9223" width="6.28515625" style="1109" customWidth="1"/>
    <col min="9224" max="9224" width="6" style="1109" customWidth="1"/>
    <col min="9225" max="9225" width="8.7109375" style="1109" customWidth="1"/>
    <col min="9226" max="9226" width="9.140625" style="1109"/>
    <col min="9227" max="9227" width="9" style="1109" bestFit="1" customWidth="1"/>
    <col min="9228" max="9228" width="9.85546875" style="1109" customWidth="1"/>
    <col min="9229" max="9229" width="10.5703125" style="1109" customWidth="1"/>
    <col min="9230" max="9230" width="5.5703125" style="1109" customWidth="1"/>
    <col min="9231" max="9472" width="9.140625" style="1109"/>
    <col min="9473" max="9473" width="4.140625" style="1109" customWidth="1"/>
    <col min="9474" max="9474" width="45.140625" style="1109" customWidth="1"/>
    <col min="9475" max="9475" width="11.5703125" style="1109" customWidth="1"/>
    <col min="9476" max="9476" width="0" style="1109" hidden="1" customWidth="1"/>
    <col min="9477" max="9477" width="11.140625" style="1109" customWidth="1"/>
    <col min="9478" max="9479" width="6.28515625" style="1109" customWidth="1"/>
    <col min="9480" max="9480" width="6" style="1109" customWidth="1"/>
    <col min="9481" max="9481" width="8.7109375" style="1109" customWidth="1"/>
    <col min="9482" max="9482" width="9.140625" style="1109"/>
    <col min="9483" max="9483" width="9" style="1109" bestFit="1" customWidth="1"/>
    <col min="9484" max="9484" width="9.85546875" style="1109" customWidth="1"/>
    <col min="9485" max="9485" width="10.5703125" style="1109" customWidth="1"/>
    <col min="9486" max="9486" width="5.5703125" style="1109" customWidth="1"/>
    <col min="9487" max="9728" width="9.140625" style="1109"/>
    <col min="9729" max="9729" width="4.140625" style="1109" customWidth="1"/>
    <col min="9730" max="9730" width="45.140625" style="1109" customWidth="1"/>
    <col min="9731" max="9731" width="11.5703125" style="1109" customWidth="1"/>
    <col min="9732" max="9732" width="0" style="1109" hidden="1" customWidth="1"/>
    <col min="9733" max="9733" width="11.140625" style="1109" customWidth="1"/>
    <col min="9734" max="9735" width="6.28515625" style="1109" customWidth="1"/>
    <col min="9736" max="9736" width="6" style="1109" customWidth="1"/>
    <col min="9737" max="9737" width="8.7109375" style="1109" customWidth="1"/>
    <col min="9738" max="9738" width="9.140625" style="1109"/>
    <col min="9739" max="9739" width="9" style="1109" bestFit="1" customWidth="1"/>
    <col min="9740" max="9740" width="9.85546875" style="1109" customWidth="1"/>
    <col min="9741" max="9741" width="10.5703125" style="1109" customWidth="1"/>
    <col min="9742" max="9742" width="5.5703125" style="1109" customWidth="1"/>
    <col min="9743" max="9984" width="9.140625" style="1109"/>
    <col min="9985" max="9985" width="4.140625" style="1109" customWidth="1"/>
    <col min="9986" max="9986" width="45.140625" style="1109" customWidth="1"/>
    <col min="9987" max="9987" width="11.5703125" style="1109" customWidth="1"/>
    <col min="9988" max="9988" width="0" style="1109" hidden="1" customWidth="1"/>
    <col min="9989" max="9989" width="11.140625" style="1109" customWidth="1"/>
    <col min="9990" max="9991" width="6.28515625" style="1109" customWidth="1"/>
    <col min="9992" max="9992" width="6" style="1109" customWidth="1"/>
    <col min="9993" max="9993" width="8.7109375" style="1109" customWidth="1"/>
    <col min="9994" max="9994" width="9.140625" style="1109"/>
    <col min="9995" max="9995" width="9" style="1109" bestFit="1" customWidth="1"/>
    <col min="9996" max="9996" width="9.85546875" style="1109" customWidth="1"/>
    <col min="9997" max="9997" width="10.5703125" style="1109" customWidth="1"/>
    <col min="9998" max="9998" width="5.5703125" style="1109" customWidth="1"/>
    <col min="9999" max="10240" width="9.140625" style="1109"/>
    <col min="10241" max="10241" width="4.140625" style="1109" customWidth="1"/>
    <col min="10242" max="10242" width="45.140625" style="1109" customWidth="1"/>
    <col min="10243" max="10243" width="11.5703125" style="1109" customWidth="1"/>
    <col min="10244" max="10244" width="0" style="1109" hidden="1" customWidth="1"/>
    <col min="10245" max="10245" width="11.140625" style="1109" customWidth="1"/>
    <col min="10246" max="10247" width="6.28515625" style="1109" customWidth="1"/>
    <col min="10248" max="10248" width="6" style="1109" customWidth="1"/>
    <col min="10249" max="10249" width="8.7109375" style="1109" customWidth="1"/>
    <col min="10250" max="10250" width="9.140625" style="1109"/>
    <col min="10251" max="10251" width="9" style="1109" bestFit="1" customWidth="1"/>
    <col min="10252" max="10252" width="9.85546875" style="1109" customWidth="1"/>
    <col min="10253" max="10253" width="10.5703125" style="1109" customWidth="1"/>
    <col min="10254" max="10254" width="5.5703125" style="1109" customWidth="1"/>
    <col min="10255" max="10496" width="9.140625" style="1109"/>
    <col min="10497" max="10497" width="4.140625" style="1109" customWidth="1"/>
    <col min="10498" max="10498" width="45.140625" style="1109" customWidth="1"/>
    <col min="10499" max="10499" width="11.5703125" style="1109" customWidth="1"/>
    <col min="10500" max="10500" width="0" style="1109" hidden="1" customWidth="1"/>
    <col min="10501" max="10501" width="11.140625" style="1109" customWidth="1"/>
    <col min="10502" max="10503" width="6.28515625" style="1109" customWidth="1"/>
    <col min="10504" max="10504" width="6" style="1109" customWidth="1"/>
    <col min="10505" max="10505" width="8.7109375" style="1109" customWidth="1"/>
    <col min="10506" max="10506" width="9.140625" style="1109"/>
    <col min="10507" max="10507" width="9" style="1109" bestFit="1" customWidth="1"/>
    <col min="10508" max="10508" width="9.85546875" style="1109" customWidth="1"/>
    <col min="10509" max="10509" width="10.5703125" style="1109" customWidth="1"/>
    <col min="10510" max="10510" width="5.5703125" style="1109" customWidth="1"/>
    <col min="10511" max="10752" width="9.140625" style="1109"/>
    <col min="10753" max="10753" width="4.140625" style="1109" customWidth="1"/>
    <col min="10754" max="10754" width="45.140625" style="1109" customWidth="1"/>
    <col min="10755" max="10755" width="11.5703125" style="1109" customWidth="1"/>
    <col min="10756" max="10756" width="0" style="1109" hidden="1" customWidth="1"/>
    <col min="10757" max="10757" width="11.140625" style="1109" customWidth="1"/>
    <col min="10758" max="10759" width="6.28515625" style="1109" customWidth="1"/>
    <col min="10760" max="10760" width="6" style="1109" customWidth="1"/>
    <col min="10761" max="10761" width="8.7109375" style="1109" customWidth="1"/>
    <col min="10762" max="10762" width="9.140625" style="1109"/>
    <col min="10763" max="10763" width="9" style="1109" bestFit="1" customWidth="1"/>
    <col min="10764" max="10764" width="9.85546875" style="1109" customWidth="1"/>
    <col min="10765" max="10765" width="10.5703125" style="1109" customWidth="1"/>
    <col min="10766" max="10766" width="5.5703125" style="1109" customWidth="1"/>
    <col min="10767" max="11008" width="9.140625" style="1109"/>
    <col min="11009" max="11009" width="4.140625" style="1109" customWidth="1"/>
    <col min="11010" max="11010" width="45.140625" style="1109" customWidth="1"/>
    <col min="11011" max="11011" width="11.5703125" style="1109" customWidth="1"/>
    <col min="11012" max="11012" width="0" style="1109" hidden="1" customWidth="1"/>
    <col min="11013" max="11013" width="11.140625" style="1109" customWidth="1"/>
    <col min="11014" max="11015" width="6.28515625" style="1109" customWidth="1"/>
    <col min="11016" max="11016" width="6" style="1109" customWidth="1"/>
    <col min="11017" max="11017" width="8.7109375" style="1109" customWidth="1"/>
    <col min="11018" max="11018" width="9.140625" style="1109"/>
    <col min="11019" max="11019" width="9" style="1109" bestFit="1" customWidth="1"/>
    <col min="11020" max="11020" width="9.85546875" style="1109" customWidth="1"/>
    <col min="11021" max="11021" width="10.5703125" style="1109" customWidth="1"/>
    <col min="11022" max="11022" width="5.5703125" style="1109" customWidth="1"/>
    <col min="11023" max="11264" width="9.140625" style="1109"/>
    <col min="11265" max="11265" width="4.140625" style="1109" customWidth="1"/>
    <col min="11266" max="11266" width="45.140625" style="1109" customWidth="1"/>
    <col min="11267" max="11267" width="11.5703125" style="1109" customWidth="1"/>
    <col min="11268" max="11268" width="0" style="1109" hidden="1" customWidth="1"/>
    <col min="11269" max="11269" width="11.140625" style="1109" customWidth="1"/>
    <col min="11270" max="11271" width="6.28515625" style="1109" customWidth="1"/>
    <col min="11272" max="11272" width="6" style="1109" customWidth="1"/>
    <col min="11273" max="11273" width="8.7109375" style="1109" customWidth="1"/>
    <col min="11274" max="11274" width="9.140625" style="1109"/>
    <col min="11275" max="11275" width="9" style="1109" bestFit="1" customWidth="1"/>
    <col min="11276" max="11276" width="9.85546875" style="1109" customWidth="1"/>
    <col min="11277" max="11277" width="10.5703125" style="1109" customWidth="1"/>
    <col min="11278" max="11278" width="5.5703125" style="1109" customWidth="1"/>
    <col min="11279" max="11520" width="9.140625" style="1109"/>
    <col min="11521" max="11521" width="4.140625" style="1109" customWidth="1"/>
    <col min="11522" max="11522" width="45.140625" style="1109" customWidth="1"/>
    <col min="11523" max="11523" width="11.5703125" style="1109" customWidth="1"/>
    <col min="11524" max="11524" width="0" style="1109" hidden="1" customWidth="1"/>
    <col min="11525" max="11525" width="11.140625" style="1109" customWidth="1"/>
    <col min="11526" max="11527" width="6.28515625" style="1109" customWidth="1"/>
    <col min="11528" max="11528" width="6" style="1109" customWidth="1"/>
    <col min="11529" max="11529" width="8.7109375" style="1109" customWidth="1"/>
    <col min="11530" max="11530" width="9.140625" style="1109"/>
    <col min="11531" max="11531" width="9" style="1109" bestFit="1" customWidth="1"/>
    <col min="11532" max="11532" width="9.85546875" style="1109" customWidth="1"/>
    <col min="11533" max="11533" width="10.5703125" style="1109" customWidth="1"/>
    <col min="11534" max="11534" width="5.5703125" style="1109" customWidth="1"/>
    <col min="11535" max="11776" width="9.140625" style="1109"/>
    <col min="11777" max="11777" width="4.140625" style="1109" customWidth="1"/>
    <col min="11778" max="11778" width="45.140625" style="1109" customWidth="1"/>
    <col min="11779" max="11779" width="11.5703125" style="1109" customWidth="1"/>
    <col min="11780" max="11780" width="0" style="1109" hidden="1" customWidth="1"/>
    <col min="11781" max="11781" width="11.140625" style="1109" customWidth="1"/>
    <col min="11782" max="11783" width="6.28515625" style="1109" customWidth="1"/>
    <col min="11784" max="11784" width="6" style="1109" customWidth="1"/>
    <col min="11785" max="11785" width="8.7109375" style="1109" customWidth="1"/>
    <col min="11786" max="11786" width="9.140625" style="1109"/>
    <col min="11787" max="11787" width="9" style="1109" bestFit="1" customWidth="1"/>
    <col min="11788" max="11788" width="9.85546875" style="1109" customWidth="1"/>
    <col min="11789" max="11789" width="10.5703125" style="1109" customWidth="1"/>
    <col min="11790" max="11790" width="5.5703125" style="1109" customWidth="1"/>
    <col min="11791" max="12032" width="9.140625" style="1109"/>
    <col min="12033" max="12033" width="4.140625" style="1109" customWidth="1"/>
    <col min="12034" max="12034" width="45.140625" style="1109" customWidth="1"/>
    <col min="12035" max="12035" width="11.5703125" style="1109" customWidth="1"/>
    <col min="12036" max="12036" width="0" style="1109" hidden="1" customWidth="1"/>
    <col min="12037" max="12037" width="11.140625" style="1109" customWidth="1"/>
    <col min="12038" max="12039" width="6.28515625" style="1109" customWidth="1"/>
    <col min="12040" max="12040" width="6" style="1109" customWidth="1"/>
    <col min="12041" max="12041" width="8.7109375" style="1109" customWidth="1"/>
    <col min="12042" max="12042" width="9.140625" style="1109"/>
    <col min="12043" max="12043" width="9" style="1109" bestFit="1" customWidth="1"/>
    <col min="12044" max="12044" width="9.85546875" style="1109" customWidth="1"/>
    <col min="12045" max="12045" width="10.5703125" style="1109" customWidth="1"/>
    <col min="12046" max="12046" width="5.5703125" style="1109" customWidth="1"/>
    <col min="12047" max="12288" width="9.140625" style="1109"/>
    <col min="12289" max="12289" width="4.140625" style="1109" customWidth="1"/>
    <col min="12290" max="12290" width="45.140625" style="1109" customWidth="1"/>
    <col min="12291" max="12291" width="11.5703125" style="1109" customWidth="1"/>
    <col min="12292" max="12292" width="0" style="1109" hidden="1" customWidth="1"/>
    <col min="12293" max="12293" width="11.140625" style="1109" customWidth="1"/>
    <col min="12294" max="12295" width="6.28515625" style="1109" customWidth="1"/>
    <col min="12296" max="12296" width="6" style="1109" customWidth="1"/>
    <col min="12297" max="12297" width="8.7109375" style="1109" customWidth="1"/>
    <col min="12298" max="12298" width="9.140625" style="1109"/>
    <col min="12299" max="12299" width="9" style="1109" bestFit="1" customWidth="1"/>
    <col min="12300" max="12300" width="9.85546875" style="1109" customWidth="1"/>
    <col min="12301" max="12301" width="10.5703125" style="1109" customWidth="1"/>
    <col min="12302" max="12302" width="5.5703125" style="1109" customWidth="1"/>
    <col min="12303" max="12544" width="9.140625" style="1109"/>
    <col min="12545" max="12545" width="4.140625" style="1109" customWidth="1"/>
    <col min="12546" max="12546" width="45.140625" style="1109" customWidth="1"/>
    <col min="12547" max="12547" width="11.5703125" style="1109" customWidth="1"/>
    <col min="12548" max="12548" width="0" style="1109" hidden="1" customWidth="1"/>
    <col min="12549" max="12549" width="11.140625" style="1109" customWidth="1"/>
    <col min="12550" max="12551" width="6.28515625" style="1109" customWidth="1"/>
    <col min="12552" max="12552" width="6" style="1109" customWidth="1"/>
    <col min="12553" max="12553" width="8.7109375" style="1109" customWidth="1"/>
    <col min="12554" max="12554" width="9.140625" style="1109"/>
    <col min="12555" max="12555" width="9" style="1109" bestFit="1" customWidth="1"/>
    <col min="12556" max="12556" width="9.85546875" style="1109" customWidth="1"/>
    <col min="12557" max="12557" width="10.5703125" style="1109" customWidth="1"/>
    <col min="12558" max="12558" width="5.5703125" style="1109" customWidth="1"/>
    <col min="12559" max="12800" width="9.140625" style="1109"/>
    <col min="12801" max="12801" width="4.140625" style="1109" customWidth="1"/>
    <col min="12802" max="12802" width="45.140625" style="1109" customWidth="1"/>
    <col min="12803" max="12803" width="11.5703125" style="1109" customWidth="1"/>
    <col min="12804" max="12804" width="0" style="1109" hidden="1" customWidth="1"/>
    <col min="12805" max="12805" width="11.140625" style="1109" customWidth="1"/>
    <col min="12806" max="12807" width="6.28515625" style="1109" customWidth="1"/>
    <col min="12808" max="12808" width="6" style="1109" customWidth="1"/>
    <col min="12809" max="12809" width="8.7109375" style="1109" customWidth="1"/>
    <col min="12810" max="12810" width="9.140625" style="1109"/>
    <col min="12811" max="12811" width="9" style="1109" bestFit="1" customWidth="1"/>
    <col min="12812" max="12812" width="9.85546875" style="1109" customWidth="1"/>
    <col min="12813" max="12813" width="10.5703125" style="1109" customWidth="1"/>
    <col min="12814" max="12814" width="5.5703125" style="1109" customWidth="1"/>
    <col min="12815" max="13056" width="9.140625" style="1109"/>
    <col min="13057" max="13057" width="4.140625" style="1109" customWidth="1"/>
    <col min="13058" max="13058" width="45.140625" style="1109" customWidth="1"/>
    <col min="13059" max="13059" width="11.5703125" style="1109" customWidth="1"/>
    <col min="13060" max="13060" width="0" style="1109" hidden="1" customWidth="1"/>
    <col min="13061" max="13061" width="11.140625" style="1109" customWidth="1"/>
    <col min="13062" max="13063" width="6.28515625" style="1109" customWidth="1"/>
    <col min="13064" max="13064" width="6" style="1109" customWidth="1"/>
    <col min="13065" max="13065" width="8.7109375" style="1109" customWidth="1"/>
    <col min="13066" max="13066" width="9.140625" style="1109"/>
    <col min="13067" max="13067" width="9" style="1109" bestFit="1" customWidth="1"/>
    <col min="13068" max="13068" width="9.85546875" style="1109" customWidth="1"/>
    <col min="13069" max="13069" width="10.5703125" style="1109" customWidth="1"/>
    <col min="13070" max="13070" width="5.5703125" style="1109" customWidth="1"/>
    <col min="13071" max="13312" width="9.140625" style="1109"/>
    <col min="13313" max="13313" width="4.140625" style="1109" customWidth="1"/>
    <col min="13314" max="13314" width="45.140625" style="1109" customWidth="1"/>
    <col min="13315" max="13315" width="11.5703125" style="1109" customWidth="1"/>
    <col min="13316" max="13316" width="0" style="1109" hidden="1" customWidth="1"/>
    <col min="13317" max="13317" width="11.140625" style="1109" customWidth="1"/>
    <col min="13318" max="13319" width="6.28515625" style="1109" customWidth="1"/>
    <col min="13320" max="13320" width="6" style="1109" customWidth="1"/>
    <col min="13321" max="13321" width="8.7109375" style="1109" customWidth="1"/>
    <col min="13322" max="13322" width="9.140625" style="1109"/>
    <col min="13323" max="13323" width="9" style="1109" bestFit="1" customWidth="1"/>
    <col min="13324" max="13324" width="9.85546875" style="1109" customWidth="1"/>
    <col min="13325" max="13325" width="10.5703125" style="1109" customWidth="1"/>
    <col min="13326" max="13326" width="5.5703125" style="1109" customWidth="1"/>
    <col min="13327" max="13568" width="9.140625" style="1109"/>
    <col min="13569" max="13569" width="4.140625" style="1109" customWidth="1"/>
    <col min="13570" max="13570" width="45.140625" style="1109" customWidth="1"/>
    <col min="13571" max="13571" width="11.5703125" style="1109" customWidth="1"/>
    <col min="13572" max="13572" width="0" style="1109" hidden="1" customWidth="1"/>
    <col min="13573" max="13573" width="11.140625" style="1109" customWidth="1"/>
    <col min="13574" max="13575" width="6.28515625" style="1109" customWidth="1"/>
    <col min="13576" max="13576" width="6" style="1109" customWidth="1"/>
    <col min="13577" max="13577" width="8.7109375" style="1109" customWidth="1"/>
    <col min="13578" max="13578" width="9.140625" style="1109"/>
    <col min="13579" max="13579" width="9" style="1109" bestFit="1" customWidth="1"/>
    <col min="13580" max="13580" width="9.85546875" style="1109" customWidth="1"/>
    <col min="13581" max="13581" width="10.5703125" style="1109" customWidth="1"/>
    <col min="13582" max="13582" width="5.5703125" style="1109" customWidth="1"/>
    <col min="13583" max="13824" width="9.140625" style="1109"/>
    <col min="13825" max="13825" width="4.140625" style="1109" customWidth="1"/>
    <col min="13826" max="13826" width="45.140625" style="1109" customWidth="1"/>
    <col min="13827" max="13827" width="11.5703125" style="1109" customWidth="1"/>
    <col min="13828" max="13828" width="0" style="1109" hidden="1" customWidth="1"/>
    <col min="13829" max="13829" width="11.140625" style="1109" customWidth="1"/>
    <col min="13830" max="13831" width="6.28515625" style="1109" customWidth="1"/>
    <col min="13832" max="13832" width="6" style="1109" customWidth="1"/>
    <col min="13833" max="13833" width="8.7109375" style="1109" customWidth="1"/>
    <col min="13834" max="13834" width="9.140625" style="1109"/>
    <col min="13835" max="13835" width="9" style="1109" bestFit="1" customWidth="1"/>
    <col min="13836" max="13836" width="9.85546875" style="1109" customWidth="1"/>
    <col min="13837" max="13837" width="10.5703125" style="1109" customWidth="1"/>
    <col min="13838" max="13838" width="5.5703125" style="1109" customWidth="1"/>
    <col min="13839" max="14080" width="9.140625" style="1109"/>
    <col min="14081" max="14081" width="4.140625" style="1109" customWidth="1"/>
    <col min="14082" max="14082" width="45.140625" style="1109" customWidth="1"/>
    <col min="14083" max="14083" width="11.5703125" style="1109" customWidth="1"/>
    <col min="14084" max="14084" width="0" style="1109" hidden="1" customWidth="1"/>
    <col min="14085" max="14085" width="11.140625" style="1109" customWidth="1"/>
    <col min="14086" max="14087" width="6.28515625" style="1109" customWidth="1"/>
    <col min="14088" max="14088" width="6" style="1109" customWidth="1"/>
    <col min="14089" max="14089" width="8.7109375" style="1109" customWidth="1"/>
    <col min="14090" max="14090" width="9.140625" style="1109"/>
    <col min="14091" max="14091" width="9" style="1109" bestFit="1" customWidth="1"/>
    <col min="14092" max="14092" width="9.85546875" style="1109" customWidth="1"/>
    <col min="14093" max="14093" width="10.5703125" style="1109" customWidth="1"/>
    <col min="14094" max="14094" width="5.5703125" style="1109" customWidth="1"/>
    <col min="14095" max="14336" width="9.140625" style="1109"/>
    <col min="14337" max="14337" width="4.140625" style="1109" customWidth="1"/>
    <col min="14338" max="14338" width="45.140625" style="1109" customWidth="1"/>
    <col min="14339" max="14339" width="11.5703125" style="1109" customWidth="1"/>
    <col min="14340" max="14340" width="0" style="1109" hidden="1" customWidth="1"/>
    <col min="14341" max="14341" width="11.140625" style="1109" customWidth="1"/>
    <col min="14342" max="14343" width="6.28515625" style="1109" customWidth="1"/>
    <col min="14344" max="14344" width="6" style="1109" customWidth="1"/>
    <col min="14345" max="14345" width="8.7109375" style="1109" customWidth="1"/>
    <col min="14346" max="14346" width="9.140625" style="1109"/>
    <col min="14347" max="14347" width="9" style="1109" bestFit="1" customWidth="1"/>
    <col min="14348" max="14348" width="9.85546875" style="1109" customWidth="1"/>
    <col min="14349" max="14349" width="10.5703125" style="1109" customWidth="1"/>
    <col min="14350" max="14350" width="5.5703125" style="1109" customWidth="1"/>
    <col min="14351" max="14592" width="9.140625" style="1109"/>
    <col min="14593" max="14593" width="4.140625" style="1109" customWidth="1"/>
    <col min="14594" max="14594" width="45.140625" style="1109" customWidth="1"/>
    <col min="14595" max="14595" width="11.5703125" style="1109" customWidth="1"/>
    <col min="14596" max="14596" width="0" style="1109" hidden="1" customWidth="1"/>
    <col min="14597" max="14597" width="11.140625" style="1109" customWidth="1"/>
    <col min="14598" max="14599" width="6.28515625" style="1109" customWidth="1"/>
    <col min="14600" max="14600" width="6" style="1109" customWidth="1"/>
    <col min="14601" max="14601" width="8.7109375" style="1109" customWidth="1"/>
    <col min="14602" max="14602" width="9.140625" style="1109"/>
    <col min="14603" max="14603" width="9" style="1109" bestFit="1" customWidth="1"/>
    <col min="14604" max="14604" width="9.85546875" style="1109" customWidth="1"/>
    <col min="14605" max="14605" width="10.5703125" style="1109" customWidth="1"/>
    <col min="14606" max="14606" width="5.5703125" style="1109" customWidth="1"/>
    <col min="14607" max="14848" width="9.140625" style="1109"/>
    <col min="14849" max="14849" width="4.140625" style="1109" customWidth="1"/>
    <col min="14850" max="14850" width="45.140625" style="1109" customWidth="1"/>
    <col min="14851" max="14851" width="11.5703125" style="1109" customWidth="1"/>
    <col min="14852" max="14852" width="0" style="1109" hidden="1" customWidth="1"/>
    <col min="14853" max="14853" width="11.140625" style="1109" customWidth="1"/>
    <col min="14854" max="14855" width="6.28515625" style="1109" customWidth="1"/>
    <col min="14856" max="14856" width="6" style="1109" customWidth="1"/>
    <col min="14857" max="14857" width="8.7109375" style="1109" customWidth="1"/>
    <col min="14858" max="14858" width="9.140625" style="1109"/>
    <col min="14859" max="14859" width="9" style="1109" bestFit="1" customWidth="1"/>
    <col min="14860" max="14860" width="9.85546875" style="1109" customWidth="1"/>
    <col min="14861" max="14861" width="10.5703125" style="1109" customWidth="1"/>
    <col min="14862" max="14862" width="5.5703125" style="1109" customWidth="1"/>
    <col min="14863" max="15104" width="9.140625" style="1109"/>
    <col min="15105" max="15105" width="4.140625" style="1109" customWidth="1"/>
    <col min="15106" max="15106" width="45.140625" style="1109" customWidth="1"/>
    <col min="15107" max="15107" width="11.5703125" style="1109" customWidth="1"/>
    <col min="15108" max="15108" width="0" style="1109" hidden="1" customWidth="1"/>
    <col min="15109" max="15109" width="11.140625" style="1109" customWidth="1"/>
    <col min="15110" max="15111" width="6.28515625" style="1109" customWidth="1"/>
    <col min="15112" max="15112" width="6" style="1109" customWidth="1"/>
    <col min="15113" max="15113" width="8.7109375" style="1109" customWidth="1"/>
    <col min="15114" max="15114" width="9.140625" style="1109"/>
    <col min="15115" max="15115" width="9" style="1109" bestFit="1" customWidth="1"/>
    <col min="15116" max="15116" width="9.85546875" style="1109" customWidth="1"/>
    <col min="15117" max="15117" width="10.5703125" style="1109" customWidth="1"/>
    <col min="15118" max="15118" width="5.5703125" style="1109" customWidth="1"/>
    <col min="15119" max="15360" width="9.140625" style="1109"/>
    <col min="15361" max="15361" width="4.140625" style="1109" customWidth="1"/>
    <col min="15362" max="15362" width="45.140625" style="1109" customWidth="1"/>
    <col min="15363" max="15363" width="11.5703125" style="1109" customWidth="1"/>
    <col min="15364" max="15364" width="0" style="1109" hidden="1" customWidth="1"/>
    <col min="15365" max="15365" width="11.140625" style="1109" customWidth="1"/>
    <col min="15366" max="15367" width="6.28515625" style="1109" customWidth="1"/>
    <col min="15368" max="15368" width="6" style="1109" customWidth="1"/>
    <col min="15369" max="15369" width="8.7109375" style="1109" customWidth="1"/>
    <col min="15370" max="15370" width="9.140625" style="1109"/>
    <col min="15371" max="15371" width="9" style="1109" bestFit="1" customWidth="1"/>
    <col min="15372" max="15372" width="9.85546875" style="1109" customWidth="1"/>
    <col min="15373" max="15373" width="10.5703125" style="1109" customWidth="1"/>
    <col min="15374" max="15374" width="5.5703125" style="1109" customWidth="1"/>
    <col min="15375" max="15616" width="9.140625" style="1109"/>
    <col min="15617" max="15617" width="4.140625" style="1109" customWidth="1"/>
    <col min="15618" max="15618" width="45.140625" style="1109" customWidth="1"/>
    <col min="15619" max="15619" width="11.5703125" style="1109" customWidth="1"/>
    <col min="15620" max="15620" width="0" style="1109" hidden="1" customWidth="1"/>
    <col min="15621" max="15621" width="11.140625" style="1109" customWidth="1"/>
    <col min="15622" max="15623" width="6.28515625" style="1109" customWidth="1"/>
    <col min="15624" max="15624" width="6" style="1109" customWidth="1"/>
    <col min="15625" max="15625" width="8.7109375" style="1109" customWidth="1"/>
    <col min="15626" max="15626" width="9.140625" style="1109"/>
    <col min="15627" max="15627" width="9" style="1109" bestFit="1" customWidth="1"/>
    <col min="15628" max="15628" width="9.85546875" style="1109" customWidth="1"/>
    <col min="15629" max="15629" width="10.5703125" style="1109" customWidth="1"/>
    <col min="15630" max="15630" width="5.5703125" style="1109" customWidth="1"/>
    <col min="15631" max="15872" width="9.140625" style="1109"/>
    <col min="15873" max="15873" width="4.140625" style="1109" customWidth="1"/>
    <col min="15874" max="15874" width="45.140625" style="1109" customWidth="1"/>
    <col min="15875" max="15875" width="11.5703125" style="1109" customWidth="1"/>
    <col min="15876" max="15876" width="0" style="1109" hidden="1" customWidth="1"/>
    <col min="15877" max="15877" width="11.140625" style="1109" customWidth="1"/>
    <col min="15878" max="15879" width="6.28515625" style="1109" customWidth="1"/>
    <col min="15880" max="15880" width="6" style="1109" customWidth="1"/>
    <col min="15881" max="15881" width="8.7109375" style="1109" customWidth="1"/>
    <col min="15882" max="15882" width="9.140625" style="1109"/>
    <col min="15883" max="15883" width="9" style="1109" bestFit="1" customWidth="1"/>
    <col min="15884" max="15884" width="9.85546875" style="1109" customWidth="1"/>
    <col min="15885" max="15885" width="10.5703125" style="1109" customWidth="1"/>
    <col min="15886" max="15886" width="5.5703125" style="1109" customWidth="1"/>
    <col min="15887" max="16128" width="9.140625" style="1109"/>
    <col min="16129" max="16129" width="4.140625" style="1109" customWidth="1"/>
    <col min="16130" max="16130" width="45.140625" style="1109" customWidth="1"/>
    <col min="16131" max="16131" width="11.5703125" style="1109" customWidth="1"/>
    <col min="16132" max="16132" width="0" style="1109" hidden="1" customWidth="1"/>
    <col min="16133" max="16133" width="11.140625" style="1109" customWidth="1"/>
    <col min="16134" max="16135" width="6.28515625" style="1109" customWidth="1"/>
    <col min="16136" max="16136" width="6" style="1109" customWidth="1"/>
    <col min="16137" max="16137" width="8.7109375" style="1109" customWidth="1"/>
    <col min="16138" max="16138" width="9.140625" style="1109"/>
    <col min="16139" max="16139" width="9" style="1109" bestFit="1" customWidth="1"/>
    <col min="16140" max="16140" width="9.85546875" style="1109" customWidth="1"/>
    <col min="16141" max="16141" width="10.5703125" style="1109" customWidth="1"/>
    <col min="16142" max="16142" width="5.5703125" style="1109" customWidth="1"/>
    <col min="16143" max="16384" width="9.140625" style="1109"/>
  </cols>
  <sheetData>
    <row r="1" spans="1:13" hidden="1"/>
    <row r="2" spans="1:13" hidden="1"/>
    <row r="3" spans="1:13" hidden="1"/>
    <row r="4" spans="1:13" hidden="1"/>
    <row r="5" spans="1:13" hidden="1"/>
    <row r="6" spans="1:13" hidden="1">
      <c r="M6" s="1162"/>
    </row>
    <row r="7" spans="1:13">
      <c r="B7" s="1108" t="s">
        <v>653</v>
      </c>
    </row>
    <row r="8" spans="1:13">
      <c r="B8" s="1108"/>
      <c r="G8" s="1108" t="s">
        <v>435</v>
      </c>
    </row>
    <row r="9" spans="1:13">
      <c r="A9" s="113"/>
      <c r="B9" s="111"/>
      <c r="C9" s="111" t="s">
        <v>94</v>
      </c>
      <c r="D9" s="111"/>
      <c r="E9" s="111" t="s">
        <v>654</v>
      </c>
      <c r="F9" s="2561"/>
      <c r="G9" s="2561"/>
      <c r="H9" s="2561"/>
      <c r="I9" s="2561"/>
      <c r="J9" s="2562"/>
      <c r="K9" s="2563"/>
      <c r="L9" s="2563"/>
      <c r="M9" s="2564"/>
    </row>
    <row r="10" spans="1:13">
      <c r="A10" s="2617" t="s">
        <v>450</v>
      </c>
      <c r="B10" s="6093" t="s">
        <v>81</v>
      </c>
      <c r="C10" s="2614" t="s">
        <v>655</v>
      </c>
      <c r="D10" s="2614" t="s">
        <v>656</v>
      </c>
      <c r="E10" s="2624" t="s">
        <v>314</v>
      </c>
      <c r="F10" s="2618" t="s">
        <v>341</v>
      </c>
      <c r="G10" s="2624" t="s">
        <v>657</v>
      </c>
      <c r="H10" s="2619" t="s">
        <v>492</v>
      </c>
      <c r="I10" s="2624" t="s">
        <v>658</v>
      </c>
      <c r="J10" s="2624" t="s">
        <v>658</v>
      </c>
      <c r="K10" s="2624" t="s">
        <v>658</v>
      </c>
      <c r="L10" s="2624" t="s">
        <v>658</v>
      </c>
      <c r="M10" s="2625"/>
    </row>
    <row r="11" spans="1:13">
      <c r="A11" s="2620" t="s">
        <v>452</v>
      </c>
      <c r="B11" s="6094"/>
      <c r="C11" s="2615" t="s">
        <v>452</v>
      </c>
      <c r="D11" s="2615" t="s">
        <v>659</v>
      </c>
      <c r="E11" s="2616" t="s">
        <v>380</v>
      </c>
      <c r="F11" s="2626"/>
      <c r="G11" s="2626"/>
      <c r="H11" s="2627" t="s">
        <v>263</v>
      </c>
      <c r="I11" s="2626" t="s">
        <v>660</v>
      </c>
      <c r="J11" s="2626" t="s">
        <v>660</v>
      </c>
      <c r="K11" s="2626" t="s">
        <v>660</v>
      </c>
      <c r="L11" s="2626" t="s">
        <v>660</v>
      </c>
      <c r="M11" s="2628" t="s">
        <v>260</v>
      </c>
    </row>
    <row r="12" spans="1:13">
      <c r="A12" s="2621"/>
      <c r="B12" s="6095"/>
      <c r="C12" s="2622"/>
      <c r="D12" s="2622"/>
      <c r="E12" s="2623"/>
      <c r="F12" s="2629"/>
      <c r="G12" s="2629"/>
      <c r="H12" s="2630"/>
      <c r="I12" s="2629" t="s">
        <v>661</v>
      </c>
      <c r="J12" s="2629" t="s">
        <v>662</v>
      </c>
      <c r="K12" s="2629" t="s">
        <v>663</v>
      </c>
      <c r="L12" s="2629" t="s">
        <v>267</v>
      </c>
      <c r="M12" s="2631"/>
    </row>
    <row r="13" spans="1:13" ht="30">
      <c r="A13" s="2565">
        <v>1</v>
      </c>
      <c r="B13" s="2566" t="s">
        <v>664</v>
      </c>
      <c r="C13" s="2567">
        <v>8</v>
      </c>
      <c r="D13" s="2568">
        <v>2323.67</v>
      </c>
      <c r="E13" s="2569">
        <v>2189.2199999999998</v>
      </c>
      <c r="F13" s="1699" t="s">
        <v>94</v>
      </c>
      <c r="G13" s="1699" t="s">
        <v>94</v>
      </c>
      <c r="H13" s="1703" t="s">
        <v>94</v>
      </c>
      <c r="I13" s="2570">
        <f>[42]CostOfPowerPurchase!O47</f>
        <v>689.15000000000009</v>
      </c>
      <c r="J13" s="2570">
        <f>[42]CostOfPowerPurchase!P47</f>
        <v>698.28</v>
      </c>
      <c r="K13" s="2570">
        <f>[42]CostOfPowerPurchase!Q47</f>
        <v>646.39</v>
      </c>
      <c r="L13" s="2570">
        <f>[42]CostOfPowerPurchase!R47</f>
        <v>592.66000000000008</v>
      </c>
      <c r="M13" s="2571">
        <f>I13+J13+K13+L13</f>
        <v>2626.4800000000005</v>
      </c>
    </row>
    <row r="14" spans="1:13">
      <c r="A14" s="2565">
        <v>2</v>
      </c>
      <c r="B14" s="2566" t="s">
        <v>199</v>
      </c>
      <c r="C14" s="2567" t="s">
        <v>665</v>
      </c>
      <c r="D14" s="2568">
        <v>242.72</v>
      </c>
      <c r="E14" s="2569">
        <f>E15+E16+E17</f>
        <v>341.68000000000006</v>
      </c>
      <c r="F14" s="1700"/>
      <c r="G14" s="1700"/>
      <c r="H14" s="2572"/>
      <c r="I14" s="2573">
        <f>I15+I16+I17</f>
        <v>65.790000000000006</v>
      </c>
      <c r="J14" s="2573">
        <f>J15+J16+J17</f>
        <v>103.89</v>
      </c>
      <c r="K14" s="2573">
        <f>K15+K16+K17</f>
        <v>113.46000000000001</v>
      </c>
      <c r="L14" s="2573">
        <f>L15+L16+L17</f>
        <v>107.61</v>
      </c>
      <c r="M14" s="2573">
        <f t="shared" ref="M14:M47" si="0">I14+J14+K14+L14</f>
        <v>390.75</v>
      </c>
    </row>
    <row r="15" spans="1:13">
      <c r="A15" s="2565">
        <f>+A14+0.1</f>
        <v>2.1</v>
      </c>
      <c r="B15" s="2566" t="s">
        <v>179</v>
      </c>
      <c r="C15" s="2567" t="s">
        <v>94</v>
      </c>
      <c r="D15" s="2568">
        <v>142.94</v>
      </c>
      <c r="E15" s="2569">
        <v>220.75</v>
      </c>
      <c r="F15" s="1696"/>
      <c r="G15" s="1696"/>
      <c r="H15" s="1703"/>
      <c r="I15" s="2570">
        <v>43.36</v>
      </c>
      <c r="J15" s="2570">
        <v>71.13</v>
      </c>
      <c r="K15" s="2570">
        <v>86.51</v>
      </c>
      <c r="L15" s="2570">
        <f>'[42]O&amp;M'!J115</f>
        <v>51.629999999999995</v>
      </c>
      <c r="M15" s="2573">
        <f t="shared" si="0"/>
        <v>252.63</v>
      </c>
    </row>
    <row r="16" spans="1:13">
      <c r="A16" s="2565">
        <f>+A15+0.1</f>
        <v>2.2000000000000002</v>
      </c>
      <c r="B16" s="2566" t="s">
        <v>181</v>
      </c>
      <c r="C16" s="2567" t="s">
        <v>94</v>
      </c>
      <c r="D16" s="2568">
        <v>72.510000000000005</v>
      </c>
      <c r="E16" s="2569">
        <v>85.09</v>
      </c>
      <c r="F16" s="1700"/>
      <c r="G16" s="1700"/>
      <c r="H16" s="2572"/>
      <c r="I16" s="2573">
        <v>14.82</v>
      </c>
      <c r="J16" s="2573">
        <v>20.86</v>
      </c>
      <c r="K16" s="2573">
        <v>17.53</v>
      </c>
      <c r="L16" s="2573">
        <f>'[42]O&amp;M'!J45</f>
        <v>42.210000000000008</v>
      </c>
      <c r="M16" s="2573">
        <f t="shared" si="0"/>
        <v>95.420000000000016</v>
      </c>
    </row>
    <row r="17" spans="1:13">
      <c r="A17" s="2565">
        <f>+A16+0.1</f>
        <v>2.3000000000000003</v>
      </c>
      <c r="B17" s="2566" t="s">
        <v>183</v>
      </c>
      <c r="C17" s="2567" t="s">
        <v>94</v>
      </c>
      <c r="D17" s="2568">
        <v>27.28</v>
      </c>
      <c r="E17" s="2569">
        <v>35.840000000000003</v>
      </c>
      <c r="F17" s="1696"/>
      <c r="G17" s="1696"/>
      <c r="H17" s="1703"/>
      <c r="I17" s="2570">
        <v>7.61</v>
      </c>
      <c r="J17" s="2570">
        <v>11.9</v>
      </c>
      <c r="K17" s="2570">
        <v>9.42</v>
      </c>
      <c r="L17" s="2570">
        <f>'[42]O&amp;M'!J73</f>
        <v>13.77</v>
      </c>
      <c r="M17" s="2573">
        <f t="shared" si="0"/>
        <v>42.7</v>
      </c>
    </row>
    <row r="18" spans="1:13" ht="30">
      <c r="A18" s="2565">
        <v>3</v>
      </c>
      <c r="B18" s="2566" t="s">
        <v>200</v>
      </c>
      <c r="C18" s="2567" t="s">
        <v>94</v>
      </c>
      <c r="D18" s="2568">
        <v>42.78</v>
      </c>
      <c r="E18" s="2569">
        <v>60.46</v>
      </c>
      <c r="F18" s="1700"/>
      <c r="G18" s="1700"/>
      <c r="H18" s="2572"/>
      <c r="I18" s="1700">
        <v>0</v>
      </c>
      <c r="J18" s="1700">
        <v>0</v>
      </c>
      <c r="K18" s="1700">
        <v>94.73</v>
      </c>
      <c r="L18" s="1700">
        <v>-3.57</v>
      </c>
      <c r="M18" s="2573">
        <f t="shared" si="0"/>
        <v>91.160000000000011</v>
      </c>
    </row>
    <row r="19" spans="1:13" ht="30">
      <c r="A19" s="2565">
        <v>4</v>
      </c>
      <c r="B19" s="2566" t="s">
        <v>201</v>
      </c>
      <c r="C19" s="2567">
        <v>10</v>
      </c>
      <c r="D19" s="2568">
        <v>14.83</v>
      </c>
      <c r="E19" s="2569">
        <v>11.01</v>
      </c>
      <c r="F19" s="1696"/>
      <c r="G19" s="1696"/>
      <c r="H19" s="1703"/>
      <c r="I19" s="2570">
        <v>1.38</v>
      </c>
      <c r="J19" s="2570">
        <v>0.93</v>
      </c>
      <c r="K19" s="2570">
        <v>0.46</v>
      </c>
      <c r="L19" s="2570">
        <v>5.66</v>
      </c>
      <c r="M19" s="2573">
        <f t="shared" si="0"/>
        <v>8.43</v>
      </c>
    </row>
    <row r="20" spans="1:13">
      <c r="A20" s="2565">
        <v>5</v>
      </c>
      <c r="B20" s="2566" t="s">
        <v>666</v>
      </c>
      <c r="C20" s="2567" t="s">
        <v>94</v>
      </c>
      <c r="D20" s="2568">
        <v>3.94</v>
      </c>
      <c r="E20" s="2569">
        <v>0</v>
      </c>
      <c r="F20" s="1700"/>
      <c r="G20" s="1700"/>
      <c r="H20" s="2572"/>
      <c r="I20" s="1700">
        <v>0</v>
      </c>
      <c r="J20" s="1700">
        <v>0</v>
      </c>
      <c r="K20" s="1700">
        <v>0</v>
      </c>
      <c r="L20" s="1700">
        <v>0</v>
      </c>
      <c r="M20" s="2573">
        <f t="shared" si="0"/>
        <v>0</v>
      </c>
    </row>
    <row r="21" spans="1:13">
      <c r="A21" s="2565">
        <v>5.0999999999999996</v>
      </c>
      <c r="B21" s="2566" t="s">
        <v>667</v>
      </c>
      <c r="C21" s="2567">
        <v>11</v>
      </c>
      <c r="D21" s="2568">
        <v>0</v>
      </c>
      <c r="E21" s="2569">
        <v>22.55</v>
      </c>
      <c r="F21" s="1696"/>
      <c r="G21" s="1696"/>
      <c r="H21" s="1703"/>
      <c r="I21" s="1696">
        <v>8.42</v>
      </c>
      <c r="J21" s="1696">
        <v>9.27</v>
      </c>
      <c r="K21" s="2570">
        <v>3.67</v>
      </c>
      <c r="L21" s="2570">
        <v>2.79</v>
      </c>
      <c r="M21" s="2573">
        <f t="shared" si="0"/>
        <v>24.15</v>
      </c>
    </row>
    <row r="22" spans="1:13">
      <c r="A22" s="2565">
        <v>5.2</v>
      </c>
      <c r="B22" s="2566" t="s">
        <v>204</v>
      </c>
      <c r="C22" s="2567"/>
      <c r="D22" s="2568">
        <v>14.13</v>
      </c>
      <c r="E22" s="2569">
        <v>14.29</v>
      </c>
      <c r="F22" s="1700"/>
      <c r="G22" s="1700"/>
      <c r="H22" s="2572"/>
      <c r="I22" s="1700">
        <v>0</v>
      </c>
      <c r="J22" s="1700">
        <v>0</v>
      </c>
      <c r="K22" s="1700">
        <v>0</v>
      </c>
      <c r="L22" s="1700">
        <v>23.18</v>
      </c>
      <c r="M22" s="2573">
        <f t="shared" si="0"/>
        <v>23.18</v>
      </c>
    </row>
    <row r="23" spans="1:13">
      <c r="A23" s="2565">
        <v>6</v>
      </c>
      <c r="B23" s="2566" t="s">
        <v>205</v>
      </c>
      <c r="C23" s="2567" t="s">
        <v>94</v>
      </c>
      <c r="D23" s="2568">
        <v>0.04</v>
      </c>
      <c r="E23" s="2569">
        <v>0</v>
      </c>
      <c r="F23" s="1696"/>
      <c r="G23" s="1696"/>
      <c r="H23" s="1703"/>
      <c r="I23" s="1696">
        <v>0</v>
      </c>
      <c r="J23" s="1696">
        <v>0</v>
      </c>
      <c r="K23" s="1696">
        <v>0</v>
      </c>
      <c r="L23" s="1696">
        <v>5.69</v>
      </c>
      <c r="M23" s="2573">
        <f t="shared" si="0"/>
        <v>5.69</v>
      </c>
    </row>
    <row r="24" spans="1:13">
      <c r="A24" s="2565">
        <v>7</v>
      </c>
      <c r="B24" s="2566" t="s">
        <v>668</v>
      </c>
      <c r="C24" s="2567" t="s">
        <v>94</v>
      </c>
      <c r="D24" s="2568">
        <v>0</v>
      </c>
      <c r="E24" s="2569">
        <v>54.5</v>
      </c>
      <c r="F24" s="1700"/>
      <c r="G24" s="1700"/>
      <c r="H24" s="2572"/>
      <c r="I24" s="1700">
        <v>16.16</v>
      </c>
      <c r="J24" s="2573">
        <v>21.4</v>
      </c>
      <c r="K24" s="1700">
        <v>21.85</v>
      </c>
      <c r="L24" s="1700">
        <v>18.97</v>
      </c>
      <c r="M24" s="2573">
        <f t="shared" si="0"/>
        <v>78.38</v>
      </c>
    </row>
    <row r="25" spans="1:13">
      <c r="A25" s="2565">
        <v>8</v>
      </c>
      <c r="B25" s="2566" t="s">
        <v>207</v>
      </c>
      <c r="C25" s="2567">
        <v>12</v>
      </c>
      <c r="D25" s="2568">
        <v>0</v>
      </c>
      <c r="E25" s="2569">
        <v>0</v>
      </c>
      <c r="F25" s="1696"/>
      <c r="G25" s="1696"/>
      <c r="H25" s="1703"/>
      <c r="I25" s="1696">
        <v>0</v>
      </c>
      <c r="J25" s="1696">
        <v>0</v>
      </c>
      <c r="K25" s="1696">
        <v>0</v>
      </c>
      <c r="L25" s="1696">
        <v>0</v>
      </c>
      <c r="M25" s="2573">
        <f t="shared" si="0"/>
        <v>0</v>
      </c>
    </row>
    <row r="26" spans="1:13">
      <c r="A26" s="2565">
        <v>9</v>
      </c>
      <c r="B26" s="2566" t="s">
        <v>669</v>
      </c>
      <c r="C26" s="2567" t="s">
        <v>94</v>
      </c>
      <c r="D26" s="2568">
        <v>108.78</v>
      </c>
      <c r="E26" s="2569">
        <v>107.85</v>
      </c>
      <c r="F26" s="1700"/>
      <c r="G26" s="1700"/>
      <c r="H26" s="2572"/>
      <c r="I26" s="2573">
        <v>26.97</v>
      </c>
      <c r="J26" s="2573">
        <v>26.96</v>
      </c>
      <c r="K26" s="2573">
        <v>26.96</v>
      </c>
      <c r="L26" s="2573">
        <v>26.96</v>
      </c>
      <c r="M26" s="2573">
        <f t="shared" si="0"/>
        <v>107.85</v>
      </c>
    </row>
    <row r="27" spans="1:13">
      <c r="A27" s="2565">
        <v>10</v>
      </c>
      <c r="B27" s="2566" t="s">
        <v>670</v>
      </c>
      <c r="C27" s="2567" t="s">
        <v>94</v>
      </c>
      <c r="D27" s="2568">
        <v>109.61</v>
      </c>
      <c r="E27" s="2569">
        <v>127.64</v>
      </c>
      <c r="F27" s="1702"/>
      <c r="G27" s="1696"/>
      <c r="H27" s="1703"/>
      <c r="I27" s="2574">
        <v>38.46</v>
      </c>
      <c r="J27" s="2574">
        <v>51.54</v>
      </c>
      <c r="K27" s="2574">
        <v>51.54</v>
      </c>
      <c r="L27" s="2574">
        <v>51.67</v>
      </c>
      <c r="M27" s="2573">
        <f t="shared" si="0"/>
        <v>193.20999999999998</v>
      </c>
    </row>
    <row r="28" spans="1:13">
      <c r="A28" s="2565">
        <v>11</v>
      </c>
      <c r="B28" s="2566" t="s">
        <v>622</v>
      </c>
      <c r="C28" s="2567" t="s">
        <v>94</v>
      </c>
      <c r="D28" s="2568">
        <v>0.74</v>
      </c>
      <c r="E28" s="2569">
        <v>0.96</v>
      </c>
      <c r="F28" s="1700"/>
      <c r="G28" s="1700"/>
      <c r="H28" s="2572"/>
      <c r="I28" s="2575">
        <v>0.23</v>
      </c>
      <c r="J28" s="2575">
        <v>0.15</v>
      </c>
      <c r="K28" s="2575">
        <v>0.22</v>
      </c>
      <c r="L28" s="2575">
        <v>0.15</v>
      </c>
      <c r="M28" s="2573">
        <f t="shared" si="0"/>
        <v>0.75</v>
      </c>
    </row>
    <row r="29" spans="1:13">
      <c r="A29" s="2565">
        <v>11</v>
      </c>
      <c r="B29" s="2566" t="s">
        <v>208</v>
      </c>
      <c r="C29" s="2567" t="s">
        <v>94</v>
      </c>
      <c r="D29" s="2568">
        <v>3.11</v>
      </c>
      <c r="E29" s="2569">
        <v>4.34</v>
      </c>
      <c r="F29" s="1696"/>
      <c r="G29" s="1696"/>
      <c r="H29" s="1703"/>
      <c r="I29" s="2574">
        <v>0</v>
      </c>
      <c r="J29" s="2574">
        <v>0</v>
      </c>
      <c r="K29" s="2574">
        <v>0</v>
      </c>
      <c r="L29" s="2574">
        <v>4.62</v>
      </c>
      <c r="M29" s="2573">
        <f t="shared" si="0"/>
        <v>4.62</v>
      </c>
    </row>
    <row r="30" spans="1:13" ht="30">
      <c r="A30" s="2565">
        <v>12</v>
      </c>
      <c r="B30" s="2566" t="s">
        <v>671</v>
      </c>
      <c r="C30" s="2567" t="s">
        <v>94</v>
      </c>
      <c r="D30" s="2568">
        <v>0</v>
      </c>
      <c r="E30" s="2569">
        <v>0</v>
      </c>
      <c r="F30" s="1700"/>
      <c r="G30" s="1700"/>
      <c r="H30" s="2572"/>
      <c r="I30" s="2575">
        <v>0</v>
      </c>
      <c r="J30" s="2575">
        <v>0</v>
      </c>
      <c r="K30" s="2576">
        <v>0</v>
      </c>
      <c r="L30" s="2575">
        <v>0</v>
      </c>
      <c r="M30" s="2573">
        <f t="shared" si="0"/>
        <v>0</v>
      </c>
    </row>
    <row r="31" spans="1:13">
      <c r="A31" s="2565">
        <v>13</v>
      </c>
      <c r="B31" s="2566" t="s">
        <v>672</v>
      </c>
      <c r="C31" s="2567"/>
      <c r="D31" s="2568">
        <v>0</v>
      </c>
      <c r="E31" s="2569">
        <v>0</v>
      </c>
      <c r="F31" s="1696"/>
      <c r="G31" s="1696"/>
      <c r="H31" s="1703"/>
      <c r="I31" s="1696">
        <v>0</v>
      </c>
      <c r="J31" s="1696">
        <v>0</v>
      </c>
      <c r="K31" s="1696">
        <v>0</v>
      </c>
      <c r="L31" s="1696">
        <v>0</v>
      </c>
      <c r="M31" s="2573">
        <f t="shared" si="0"/>
        <v>0</v>
      </c>
    </row>
    <row r="32" spans="1:13">
      <c r="A32" s="2565">
        <v>14</v>
      </c>
      <c r="B32" s="2566" t="s">
        <v>673</v>
      </c>
      <c r="C32" s="2567"/>
      <c r="D32" s="2568">
        <v>0</v>
      </c>
      <c r="E32" s="2569">
        <v>0</v>
      </c>
      <c r="F32" s="1700"/>
      <c r="G32" s="1700"/>
      <c r="H32" s="2572"/>
      <c r="I32" s="1700">
        <v>0</v>
      </c>
      <c r="J32" s="1700">
        <v>0</v>
      </c>
      <c r="K32" s="1700">
        <v>0</v>
      </c>
      <c r="L32" s="1700">
        <v>0</v>
      </c>
      <c r="M32" s="2573">
        <f t="shared" si="0"/>
        <v>0</v>
      </c>
    </row>
    <row r="33" spans="1:13">
      <c r="A33" s="2565">
        <v>15</v>
      </c>
      <c r="B33" s="2566" t="s">
        <v>674</v>
      </c>
      <c r="C33" s="2567"/>
      <c r="D33" s="2568">
        <v>0</v>
      </c>
      <c r="E33" s="2569">
        <v>0</v>
      </c>
      <c r="F33" s="1696"/>
      <c r="G33" s="1696" t="s">
        <v>94</v>
      </c>
      <c r="H33" s="1703"/>
      <c r="I33" s="1696">
        <v>0</v>
      </c>
      <c r="J33" s="1696">
        <v>0</v>
      </c>
      <c r="K33" s="1696">
        <v>0</v>
      </c>
      <c r="L33" s="1696">
        <v>0</v>
      </c>
      <c r="M33" s="2573">
        <f t="shared" si="0"/>
        <v>0</v>
      </c>
    </row>
    <row r="34" spans="1:13">
      <c r="A34" s="2565">
        <v>15</v>
      </c>
      <c r="B34" s="2566" t="s">
        <v>209</v>
      </c>
      <c r="C34" s="2577"/>
      <c r="D34" s="2578">
        <f t="shared" ref="D34:I34" si="1">SUM(D13:D33)-D14</f>
        <v>2864.360000000001</v>
      </c>
      <c r="E34" s="2579">
        <v>2934.5</v>
      </c>
      <c r="F34" s="2579">
        <f t="shared" si="1"/>
        <v>0</v>
      </c>
      <c r="G34" s="2579">
        <f t="shared" si="1"/>
        <v>0</v>
      </c>
      <c r="H34" s="2579">
        <f t="shared" si="1"/>
        <v>0</v>
      </c>
      <c r="I34" s="2579">
        <f t="shared" si="1"/>
        <v>846.56000000000017</v>
      </c>
      <c r="J34" s="2579">
        <f>SUM(J13:J33)-J14</f>
        <v>912.41999999999985</v>
      </c>
      <c r="K34" s="2579">
        <f>SUM(K13:K33)-K14</f>
        <v>959.28</v>
      </c>
      <c r="L34" s="2579">
        <f>SUM(L13:L33)-L14</f>
        <v>836.39</v>
      </c>
      <c r="M34" s="2573">
        <f>I34+J34+K34+L34</f>
        <v>3554.65</v>
      </c>
    </row>
    <row r="35" spans="1:13">
      <c r="A35" s="2565">
        <v>16</v>
      </c>
      <c r="B35" s="2566" t="s">
        <v>252</v>
      </c>
      <c r="C35" s="2577" t="s">
        <v>94</v>
      </c>
      <c r="D35" s="2580">
        <v>100.53</v>
      </c>
      <c r="E35" s="2579">
        <v>122.02</v>
      </c>
      <c r="F35" s="1696"/>
      <c r="G35" s="1696"/>
      <c r="H35" s="1703"/>
      <c r="I35" s="1696">
        <v>0</v>
      </c>
      <c r="J35" s="1696">
        <v>0</v>
      </c>
      <c r="K35" s="1696">
        <v>0</v>
      </c>
      <c r="L35" s="1696">
        <v>125.82</v>
      </c>
      <c r="M35" s="2573">
        <f>L35</f>
        <v>125.82</v>
      </c>
    </row>
    <row r="36" spans="1:13" ht="15.75" thickBot="1">
      <c r="A36" s="2581">
        <v>17</v>
      </c>
      <c r="B36" s="2582" t="s">
        <v>210</v>
      </c>
      <c r="C36" s="2583" t="s">
        <v>94</v>
      </c>
      <c r="D36" s="2584">
        <v>4.91</v>
      </c>
      <c r="E36" s="2585">
        <v>5.28</v>
      </c>
      <c r="F36" s="1702"/>
      <c r="G36" s="1702"/>
      <c r="H36" s="2586"/>
      <c r="I36" s="1702">
        <v>0</v>
      </c>
      <c r="J36" s="1702">
        <v>0</v>
      </c>
      <c r="K36" s="1702">
        <v>0</v>
      </c>
      <c r="L36" s="1702">
        <v>5.28</v>
      </c>
      <c r="M36" s="2573">
        <f t="shared" si="0"/>
        <v>5.28</v>
      </c>
    </row>
    <row r="37" spans="1:13" ht="15.75" thickBot="1">
      <c r="A37" s="2587">
        <v>15</v>
      </c>
      <c r="B37" s="2588" t="s">
        <v>211</v>
      </c>
      <c r="C37" s="2589"/>
      <c r="D37" s="2590">
        <f t="shared" ref="D37:I37" si="2">SUM(D34:D36)</f>
        <v>2969.8000000000011</v>
      </c>
      <c r="E37" s="2591">
        <v>3061.8</v>
      </c>
      <c r="F37" s="2591">
        <f t="shared" si="2"/>
        <v>0</v>
      </c>
      <c r="G37" s="2591">
        <f t="shared" si="2"/>
        <v>0</v>
      </c>
      <c r="H37" s="2591">
        <f t="shared" si="2"/>
        <v>0</v>
      </c>
      <c r="I37" s="2591">
        <f t="shared" si="2"/>
        <v>846.56000000000017</v>
      </c>
      <c r="J37" s="2591">
        <f>SUM(J34:J36)</f>
        <v>912.41999999999985</v>
      </c>
      <c r="K37" s="2591">
        <f>SUM(K34:K36)</f>
        <v>959.28</v>
      </c>
      <c r="L37" s="2591">
        <f>SUM(L34:L36)</f>
        <v>967.49</v>
      </c>
      <c r="M37" s="2591">
        <f>SUM(M34:M36)</f>
        <v>3685.7500000000005</v>
      </c>
    </row>
    <row r="38" spans="1:13" ht="15.75" thickBot="1">
      <c r="A38" s="2592"/>
      <c r="B38" s="2566" t="s">
        <v>675</v>
      </c>
      <c r="C38" s="2593"/>
      <c r="D38" s="2594">
        <v>72.62</v>
      </c>
      <c r="E38" s="2595">
        <v>0</v>
      </c>
      <c r="F38" s="1699"/>
      <c r="G38" s="1699"/>
      <c r="H38" s="2596"/>
      <c r="I38" s="1699">
        <v>0</v>
      </c>
      <c r="J38" s="1699">
        <v>0</v>
      </c>
      <c r="K38" s="1699">
        <v>0</v>
      </c>
      <c r="L38" s="1699">
        <v>0</v>
      </c>
      <c r="M38" s="2573">
        <f t="shared" si="0"/>
        <v>0</v>
      </c>
    </row>
    <row r="39" spans="1:13">
      <c r="A39" s="2592"/>
      <c r="B39" s="2566" t="s">
        <v>676</v>
      </c>
      <c r="C39" s="2577"/>
      <c r="D39" s="2597">
        <v>276.38</v>
      </c>
      <c r="E39" s="2598">
        <v>0</v>
      </c>
      <c r="F39" s="1696"/>
      <c r="G39" s="1696"/>
      <c r="H39" s="1703"/>
      <c r="I39" s="1696">
        <v>0</v>
      </c>
      <c r="J39" s="1696">
        <v>0</v>
      </c>
      <c r="K39" s="1696">
        <v>0</v>
      </c>
      <c r="L39" s="1696">
        <v>0</v>
      </c>
      <c r="M39" s="2573">
        <f t="shared" si="0"/>
        <v>0</v>
      </c>
    </row>
    <row r="40" spans="1:13">
      <c r="A40" s="2592"/>
      <c r="B40" s="2566" t="s">
        <v>677</v>
      </c>
      <c r="C40" s="2599"/>
      <c r="D40" s="2579">
        <v>-38.76</v>
      </c>
      <c r="E40" s="2579">
        <v>0</v>
      </c>
      <c r="F40" s="1700"/>
      <c r="G40" s="1700"/>
      <c r="H40" s="2572"/>
      <c r="I40" s="1700">
        <v>0</v>
      </c>
      <c r="J40" s="1700">
        <v>0</v>
      </c>
      <c r="K40" s="1700">
        <v>0</v>
      </c>
      <c r="L40" s="1700">
        <v>0</v>
      </c>
      <c r="M40" s="2573">
        <f t="shared" si="0"/>
        <v>0</v>
      </c>
    </row>
    <row r="41" spans="1:13">
      <c r="A41" s="2600"/>
      <c r="B41" s="2566" t="s">
        <v>47</v>
      </c>
      <c r="C41" s="2577"/>
      <c r="D41" s="2568">
        <f>SUM(D37:D40)</f>
        <v>3280.0400000000009</v>
      </c>
      <c r="E41" s="2569">
        <v>0</v>
      </c>
      <c r="F41" s="1699"/>
      <c r="G41" s="1699"/>
      <c r="H41" s="2596"/>
      <c r="I41" s="1699">
        <v>0</v>
      </c>
      <c r="J41" s="1699">
        <v>0</v>
      </c>
      <c r="K41" s="1699">
        <v>0</v>
      </c>
      <c r="L41" s="1699">
        <v>0</v>
      </c>
      <c r="M41" s="2573">
        <f t="shared" si="0"/>
        <v>0</v>
      </c>
    </row>
    <row r="42" spans="1:13">
      <c r="A42" s="2565">
        <v>16</v>
      </c>
      <c r="B42" s="2566" t="s">
        <v>212</v>
      </c>
      <c r="C42" s="2577" t="s">
        <v>94</v>
      </c>
      <c r="D42" s="2580">
        <v>55.53</v>
      </c>
      <c r="E42" s="2579">
        <v>48.09</v>
      </c>
      <c r="F42" s="1700"/>
      <c r="G42" s="1700"/>
      <c r="H42" s="2572"/>
      <c r="I42" s="1700">
        <v>13.45</v>
      </c>
      <c r="J42" s="1700">
        <v>12.92</v>
      </c>
      <c r="K42" s="2573">
        <v>14.5</v>
      </c>
      <c r="L42" s="2573">
        <v>19.62</v>
      </c>
      <c r="M42" s="2573">
        <f>I42+J42+K42+L42</f>
        <v>60.489999999999995</v>
      </c>
    </row>
    <row r="43" spans="1:13">
      <c r="A43" s="2565">
        <v>17</v>
      </c>
      <c r="B43" s="2566" t="s">
        <v>678</v>
      </c>
      <c r="C43" s="2583"/>
      <c r="D43" s="2584"/>
      <c r="E43" s="2579"/>
      <c r="F43" s="1696"/>
      <c r="G43" s="1696"/>
      <c r="H43" s="1703"/>
      <c r="I43" s="1696" t="s">
        <v>94</v>
      </c>
      <c r="J43" s="1696" t="s">
        <v>94</v>
      </c>
      <c r="K43" s="1696" t="s">
        <v>94</v>
      </c>
      <c r="L43" s="1696" t="s">
        <v>94</v>
      </c>
      <c r="M43" s="2573"/>
    </row>
    <row r="44" spans="1:13">
      <c r="A44" s="2565">
        <v>18</v>
      </c>
      <c r="B44" s="2566" t="s">
        <v>679</v>
      </c>
      <c r="C44" s="2583"/>
      <c r="D44" s="2584"/>
      <c r="E44" s="2579">
        <v>0</v>
      </c>
      <c r="F44" s="1700"/>
      <c r="G44" s="1700"/>
      <c r="H44" s="2572"/>
      <c r="I44" s="1700"/>
      <c r="J44" s="1700"/>
      <c r="K44" s="1700"/>
      <c r="L44" s="1700"/>
      <c r="M44" s="2573">
        <f t="shared" si="0"/>
        <v>0</v>
      </c>
    </row>
    <row r="45" spans="1:13">
      <c r="A45" s="2565">
        <v>19</v>
      </c>
      <c r="B45" s="2566" t="s">
        <v>680</v>
      </c>
      <c r="C45" s="2583"/>
      <c r="D45" s="2584"/>
      <c r="E45" s="2579"/>
      <c r="F45" s="1696"/>
      <c r="G45" s="1696"/>
      <c r="H45" s="1703"/>
      <c r="I45" s="1696" t="s">
        <v>94</v>
      </c>
      <c r="J45" s="1696" t="s">
        <v>94</v>
      </c>
      <c r="K45" s="1696" t="s">
        <v>94</v>
      </c>
      <c r="L45" s="1696" t="s">
        <v>94</v>
      </c>
      <c r="M45" s="2573"/>
    </row>
    <row r="46" spans="1:13" ht="30">
      <c r="A46" s="2565">
        <v>20</v>
      </c>
      <c r="B46" s="2566" t="s">
        <v>681</v>
      </c>
      <c r="C46" s="2583"/>
      <c r="D46" s="2584"/>
      <c r="E46" s="2579"/>
      <c r="F46" s="1700"/>
      <c r="G46" s="1700"/>
      <c r="H46" s="2572"/>
      <c r="I46" s="1700"/>
      <c r="J46" s="1700"/>
      <c r="K46" s="1700"/>
      <c r="L46" s="1700"/>
      <c r="M46" s="2579"/>
    </row>
    <row r="47" spans="1:13">
      <c r="A47" s="110"/>
      <c r="B47" s="2601"/>
      <c r="C47" s="2602"/>
      <c r="D47" s="2603"/>
      <c r="E47" s="2585">
        <v>0</v>
      </c>
      <c r="F47" s="1696"/>
      <c r="G47" s="1696"/>
      <c r="H47" s="1703"/>
      <c r="I47" s="1696"/>
      <c r="J47" s="1696"/>
      <c r="K47" s="1696"/>
      <c r="L47" s="1696"/>
      <c r="M47" s="2573">
        <f t="shared" si="0"/>
        <v>0</v>
      </c>
    </row>
    <row r="48" spans="1:13">
      <c r="A48" s="2604">
        <v>21</v>
      </c>
      <c r="B48" s="2605" t="s">
        <v>682</v>
      </c>
      <c r="C48" s="2606"/>
      <c r="D48" s="2578">
        <f>D41-D42</f>
        <v>3224.5100000000007</v>
      </c>
      <c r="E48" s="2579">
        <v>3013.71</v>
      </c>
      <c r="F48" s="1700"/>
      <c r="G48" s="1700"/>
      <c r="H48" s="2572"/>
      <c r="I48" s="2579">
        <f>I37-I42</f>
        <v>833.11000000000013</v>
      </c>
      <c r="J48" s="2579">
        <f>J37-J42</f>
        <v>899.49999999999989</v>
      </c>
      <c r="K48" s="2579">
        <f>K37-K42</f>
        <v>944.78</v>
      </c>
      <c r="L48" s="2579">
        <f>L37-L42</f>
        <v>947.87</v>
      </c>
      <c r="M48" s="2579">
        <f>M37-M42</f>
        <v>3625.2600000000007</v>
      </c>
    </row>
    <row r="49" spans="1:15">
      <c r="A49" s="110"/>
      <c r="B49" s="111"/>
      <c r="C49" s="112"/>
      <c r="D49" s="113"/>
      <c r="E49" s="113"/>
      <c r="F49" s="2607"/>
      <c r="G49" s="2607"/>
      <c r="H49" s="1702"/>
      <c r="I49" s="1696" t="s">
        <v>277</v>
      </c>
      <c r="J49" s="1696" t="s">
        <v>277</v>
      </c>
      <c r="K49" s="1696" t="s">
        <v>277</v>
      </c>
      <c r="L49" s="1696" t="s">
        <v>277</v>
      </c>
      <c r="M49" s="2573"/>
    </row>
    <row r="50" spans="1:15">
      <c r="A50" s="2608">
        <v>22</v>
      </c>
      <c r="B50" s="2609" t="s">
        <v>683</v>
      </c>
      <c r="C50" s="2610"/>
      <c r="D50" s="2611"/>
      <c r="E50" s="2611">
        <v>2561.89</v>
      </c>
      <c r="F50" s="2611"/>
      <c r="G50" s="2611"/>
      <c r="H50" s="1700"/>
      <c r="I50" s="2573">
        <v>795.43</v>
      </c>
      <c r="J50" s="1700">
        <v>1057.6400000000001</v>
      </c>
      <c r="K50" s="2573">
        <v>1018</v>
      </c>
      <c r="L50" s="1700">
        <v>765.86</v>
      </c>
      <c r="M50" s="2612">
        <f>I50+J50+K50+L50</f>
        <v>3636.9300000000003</v>
      </c>
      <c r="N50" s="2001"/>
      <c r="O50" s="1153"/>
    </row>
    <row r="51" spans="1:15">
      <c r="A51" s="1696"/>
      <c r="B51" s="1162"/>
      <c r="C51" s="2613"/>
      <c r="D51" s="1697"/>
      <c r="E51" s="1697">
        <v>0</v>
      </c>
      <c r="F51" s="1697"/>
      <c r="G51" s="1697"/>
      <c r="H51" s="1696"/>
      <c r="I51" s="1696" t="s">
        <v>94</v>
      </c>
      <c r="J51" s="1696" t="s">
        <v>94</v>
      </c>
      <c r="K51" s="1696" t="s">
        <v>94</v>
      </c>
      <c r="L51" s="1696" t="s">
        <v>94</v>
      </c>
      <c r="M51" s="2573">
        <f>M49-M47</f>
        <v>0</v>
      </c>
    </row>
    <row r="52" spans="1:15">
      <c r="A52" s="1700">
        <v>23</v>
      </c>
      <c r="B52" s="51" t="s">
        <v>684</v>
      </c>
      <c r="C52" s="2610"/>
      <c r="D52" s="2611"/>
      <c r="E52" s="2612">
        <v>-451.82000000000016</v>
      </c>
      <c r="F52" s="2611"/>
      <c r="G52" s="2611" t="s">
        <v>94</v>
      </c>
      <c r="H52" s="1700"/>
      <c r="I52" s="2612">
        <f>I50-I48</f>
        <v>-37.680000000000177</v>
      </c>
      <c r="J52" s="2612">
        <f>J50-J48</f>
        <v>158.14000000000021</v>
      </c>
      <c r="K52" s="2573">
        <f>K50-K48</f>
        <v>73.220000000000027</v>
      </c>
      <c r="L52" s="2573">
        <f>L50-L48</f>
        <v>-182.01</v>
      </c>
      <c r="M52" s="2573">
        <f>M50-M48</f>
        <v>11.669999999999618</v>
      </c>
    </row>
    <row r="53" spans="1:15">
      <c r="I53" s="1109" t="s">
        <v>94</v>
      </c>
      <c r="J53" s="1109" t="s">
        <v>94</v>
      </c>
      <c r="L53" s="1153"/>
    </row>
    <row r="54" spans="1:15">
      <c r="B54" s="1708" t="s">
        <v>295</v>
      </c>
      <c r="L54" s="1109" t="s">
        <v>94</v>
      </c>
    </row>
    <row r="55" spans="1:15">
      <c r="B55" s="1708" t="s">
        <v>296</v>
      </c>
    </row>
    <row r="60" spans="1:15">
      <c r="B60" s="1109" t="s">
        <v>94</v>
      </c>
    </row>
    <row r="61" spans="1:15">
      <c r="B61" s="1109" t="s">
        <v>94</v>
      </c>
    </row>
    <row r="73" spans="1:9">
      <c r="I73" s="1109" t="s">
        <v>94</v>
      </c>
    </row>
    <row r="74" spans="1:9">
      <c r="A74" s="1109" t="s">
        <v>685</v>
      </c>
    </row>
    <row r="75" spans="1:9">
      <c r="A75" s="1109" t="s">
        <v>94</v>
      </c>
    </row>
    <row r="77" spans="1:9">
      <c r="A77" s="1109" t="s">
        <v>94</v>
      </c>
    </row>
    <row r="78" spans="1:9">
      <c r="A78" s="1109" t="s">
        <v>94</v>
      </c>
    </row>
    <row r="79" spans="1:9">
      <c r="A79" s="1109" t="s">
        <v>94</v>
      </c>
    </row>
    <row r="80" spans="1:9">
      <c r="A80" s="1109" t="s">
        <v>94</v>
      </c>
    </row>
    <row r="81" spans="1:1">
      <c r="A81" s="1109" t="s">
        <v>94</v>
      </c>
    </row>
    <row r="82" spans="1:1">
      <c r="A82" s="1109" t="s">
        <v>94</v>
      </c>
    </row>
    <row r="83" spans="1:1">
      <c r="A83" s="1109" t="s">
        <v>94</v>
      </c>
    </row>
    <row r="84" spans="1:1">
      <c r="A84" s="1109" t="s">
        <v>94</v>
      </c>
    </row>
    <row r="85" spans="1:1">
      <c r="A85" s="1109" t="s">
        <v>94</v>
      </c>
    </row>
    <row r="86" spans="1:1">
      <c r="A86" s="1109" t="s">
        <v>686</v>
      </c>
    </row>
    <row r="87" spans="1:1">
      <c r="A87" s="1109" t="s">
        <v>94</v>
      </c>
    </row>
    <row r="88" spans="1:1">
      <c r="A88" s="1109" t="s">
        <v>94</v>
      </c>
    </row>
    <row r="89" spans="1:1">
      <c r="A89" s="1109" t="s">
        <v>94</v>
      </c>
    </row>
    <row r="90" spans="1:1">
      <c r="A90" s="1109" t="s">
        <v>94</v>
      </c>
    </row>
    <row r="91" spans="1:1">
      <c r="A91" s="1109" t="s">
        <v>94</v>
      </c>
    </row>
    <row r="92" spans="1:1">
      <c r="A92" s="1109" t="s">
        <v>94</v>
      </c>
    </row>
    <row r="93" spans="1:1">
      <c r="A93" s="1109" t="s">
        <v>94</v>
      </c>
    </row>
    <row r="94" spans="1:1">
      <c r="A94" s="1109" t="s">
        <v>94</v>
      </c>
    </row>
    <row r="95" spans="1:1">
      <c r="A95" s="1109" t="s">
        <v>94</v>
      </c>
    </row>
    <row r="96" spans="1:1">
      <c r="A96" s="1109" t="s">
        <v>94</v>
      </c>
    </row>
    <row r="97" spans="1:1">
      <c r="A97" s="1109" t="s">
        <v>94</v>
      </c>
    </row>
    <row r="98" spans="1:1">
      <c r="A98" s="1109" t="s">
        <v>94</v>
      </c>
    </row>
    <row r="99" spans="1:1">
      <c r="A99" s="1109" t="s">
        <v>94</v>
      </c>
    </row>
    <row r="100" spans="1:1">
      <c r="A100" s="1109" t="s">
        <v>94</v>
      </c>
    </row>
    <row r="101" spans="1:1">
      <c r="A101" s="1109" t="s">
        <v>94</v>
      </c>
    </row>
    <row r="102" spans="1:1">
      <c r="A102" s="1109" t="s">
        <v>94</v>
      </c>
    </row>
    <row r="103" spans="1:1">
      <c r="A103" s="1109" t="s">
        <v>94</v>
      </c>
    </row>
    <row r="104" spans="1:1">
      <c r="A104" s="1109" t="s">
        <v>94</v>
      </c>
    </row>
    <row r="105" spans="1:1">
      <c r="A105" s="1109" t="s">
        <v>94</v>
      </c>
    </row>
    <row r="106" spans="1:1">
      <c r="A106" s="1109" t="s">
        <v>94</v>
      </c>
    </row>
    <row r="107" spans="1:1">
      <c r="A107" s="1109" t="s">
        <v>94</v>
      </c>
    </row>
    <row r="108" spans="1:1">
      <c r="A108" s="1109" t="s">
        <v>94</v>
      </c>
    </row>
    <row r="109" spans="1:1">
      <c r="A109" s="1109" t="s">
        <v>94</v>
      </c>
    </row>
    <row r="110" spans="1:1">
      <c r="A110" s="1109" t="s">
        <v>94</v>
      </c>
    </row>
    <row r="111" spans="1:1">
      <c r="A111" s="1109" t="s">
        <v>94</v>
      </c>
    </row>
    <row r="112" spans="1:1">
      <c r="A112" s="1109" t="s">
        <v>94</v>
      </c>
    </row>
    <row r="113" spans="1:1">
      <c r="A113" s="1109" t="s">
        <v>94</v>
      </c>
    </row>
  </sheetData>
  <sheetProtection selectLockedCells="1" selectUnlockedCells="1"/>
  <mergeCells count="1">
    <mergeCell ref="B10:B12"/>
  </mergeCells>
  <pageMargins left="0.27013888888888898" right="0.3" top="1" bottom="1" header="0.51180555555555596" footer="0.51180555555555596"/>
  <pageSetup paperSize="9" scale="69" firstPageNumber="0" orientation="portrait" horizontalDpi="300" verticalDpi="300" r:id="rId1"/>
  <headerFooter alignWithMargins="0"/>
  <legacyDrawing r:id="rId2"/>
</worksheet>
</file>

<file path=xl/worksheets/sheet91.xml><?xml version="1.0" encoding="utf-8"?>
<worksheet xmlns="http://schemas.openxmlformats.org/spreadsheetml/2006/main" xmlns:r="http://schemas.openxmlformats.org/officeDocument/2006/relationships">
  <sheetPr codeName="Sheet70"/>
  <dimension ref="B1:F15"/>
  <sheetViews>
    <sheetView showGridLines="0" view="pageBreakPreview" zoomScale="60" workbookViewId="0">
      <selection activeCell="E8" sqref="E8:E9"/>
    </sheetView>
  </sheetViews>
  <sheetFormatPr defaultRowHeight="15"/>
  <cols>
    <col min="2" max="2" width="15.42578125" customWidth="1"/>
    <col min="3" max="3" width="22" customWidth="1"/>
    <col min="4" max="4" width="18.42578125" customWidth="1"/>
    <col min="5" max="5" width="18" customWidth="1"/>
    <col min="6" max="6" width="12.140625" customWidth="1"/>
  </cols>
  <sheetData>
    <row r="1" spans="2:6" ht="15.75" thickBot="1">
      <c r="C1" s="1107" t="s">
        <v>1845</v>
      </c>
      <c r="D1" s="1107" t="s">
        <v>842</v>
      </c>
    </row>
    <row r="2" spans="2:6">
      <c r="F2" s="1675" t="s">
        <v>151</v>
      </c>
    </row>
    <row r="3" spans="2:6">
      <c r="B3" s="6096" t="s">
        <v>2160</v>
      </c>
      <c r="C3" s="6096" t="s">
        <v>81</v>
      </c>
      <c r="D3" s="6097" t="s">
        <v>1871</v>
      </c>
      <c r="E3" s="6097"/>
      <c r="F3" s="6097"/>
    </row>
    <row r="4" spans="2:6" ht="41.25" customHeight="1">
      <c r="B4" s="6096"/>
      <c r="C4" s="6096"/>
      <c r="D4" s="8" t="s">
        <v>2161</v>
      </c>
      <c r="E4" s="8" t="s">
        <v>2137</v>
      </c>
      <c r="F4" s="8" t="s">
        <v>1849</v>
      </c>
    </row>
    <row r="5" spans="2:6" ht="53.25" customHeight="1">
      <c r="B5" s="896">
        <v>1</v>
      </c>
      <c r="C5" s="910" t="s">
        <v>222</v>
      </c>
      <c r="D5" s="1677">
        <v>848.79</v>
      </c>
      <c r="E5" s="1500">
        <v>843.89</v>
      </c>
      <c r="F5" s="1677">
        <v>812.31</v>
      </c>
    </row>
    <row r="6" spans="2:6" ht="40.5" customHeight="1">
      <c r="B6" s="1676">
        <v>2</v>
      </c>
      <c r="C6" s="908" t="s">
        <v>223</v>
      </c>
      <c r="D6" s="1677">
        <v>301.43</v>
      </c>
      <c r="E6" s="1500">
        <v>301.43</v>
      </c>
      <c r="F6" s="1677">
        <v>99.95</v>
      </c>
    </row>
    <row r="7" spans="2:6" ht="39.75" customHeight="1">
      <c r="B7" s="1676">
        <f>B6+1</f>
        <v>3</v>
      </c>
      <c r="C7" s="908" t="s">
        <v>224</v>
      </c>
      <c r="D7" s="1677">
        <v>12</v>
      </c>
      <c r="E7" s="1500">
        <v>12</v>
      </c>
      <c r="F7" s="1677">
        <v>8.24</v>
      </c>
    </row>
    <row r="8" spans="2:6" ht="57.75" customHeight="1">
      <c r="B8" s="1676">
        <f t="shared" ref="B8:B15" si="0">B7+1</f>
        <v>4</v>
      </c>
      <c r="C8" s="908" t="s">
        <v>225</v>
      </c>
      <c r="D8" s="1677">
        <v>289.43</v>
      </c>
      <c r="E8" s="1500">
        <v>289.43</v>
      </c>
      <c r="F8" s="1677">
        <v>91.71</v>
      </c>
    </row>
    <row r="9" spans="2:6" ht="51" customHeight="1">
      <c r="B9" s="1676">
        <f t="shared" si="0"/>
        <v>5</v>
      </c>
      <c r="C9" s="908" t="s">
        <v>226</v>
      </c>
      <c r="D9" s="1677">
        <v>86.83</v>
      </c>
      <c r="E9" s="1500">
        <v>86.83</v>
      </c>
      <c r="F9" s="1677">
        <v>27.51</v>
      </c>
    </row>
    <row r="10" spans="2:6" ht="66" customHeight="1">
      <c r="B10" s="1676">
        <f t="shared" si="0"/>
        <v>6</v>
      </c>
      <c r="C10" s="908" t="s">
        <v>227</v>
      </c>
      <c r="D10" s="1677">
        <v>2.57</v>
      </c>
      <c r="E10" s="1500">
        <v>2.57</v>
      </c>
      <c r="F10" s="1677">
        <v>15.11</v>
      </c>
    </row>
    <row r="11" spans="2:6" ht="48.75" customHeight="1">
      <c r="B11" s="1676">
        <f t="shared" si="0"/>
        <v>7</v>
      </c>
      <c r="C11" s="908" t="s">
        <v>228</v>
      </c>
      <c r="D11" s="1677">
        <v>933.05</v>
      </c>
      <c r="E11" s="1500">
        <v>928.15</v>
      </c>
      <c r="F11" s="1677">
        <v>816.04</v>
      </c>
    </row>
    <row r="12" spans="2:6" ht="38.25" customHeight="1">
      <c r="B12" s="1676">
        <f t="shared" si="0"/>
        <v>8</v>
      </c>
      <c r="C12" s="908" t="s">
        <v>229</v>
      </c>
      <c r="D12" s="1677">
        <v>0</v>
      </c>
      <c r="E12" s="1500">
        <v>0</v>
      </c>
      <c r="F12" s="1677">
        <v>0</v>
      </c>
    </row>
    <row r="13" spans="2:6" ht="82.5" customHeight="1">
      <c r="B13" s="1676">
        <f t="shared" si="0"/>
        <v>9</v>
      </c>
      <c r="C13" s="908" t="s">
        <v>2162</v>
      </c>
      <c r="D13" s="1677">
        <v>133.77000000000001</v>
      </c>
      <c r="E13" s="1500">
        <v>133</v>
      </c>
      <c r="F13" s="1677">
        <v>126.65</v>
      </c>
    </row>
    <row r="14" spans="2:6" ht="66.75" customHeight="1">
      <c r="B14" s="1676">
        <f t="shared" si="0"/>
        <v>10</v>
      </c>
      <c r="C14" s="908" t="s">
        <v>2163</v>
      </c>
      <c r="D14" s="1677">
        <v>6.64</v>
      </c>
      <c r="E14" s="1500">
        <v>6.64</v>
      </c>
      <c r="F14" s="1677">
        <v>2.17</v>
      </c>
    </row>
    <row r="15" spans="2:6" ht="48.75" customHeight="1">
      <c r="B15" s="1676">
        <f t="shared" si="0"/>
        <v>11</v>
      </c>
      <c r="C15" s="908" t="s">
        <v>230</v>
      </c>
      <c r="D15" s="1677">
        <v>140.41</v>
      </c>
      <c r="E15" s="1500">
        <v>139.63999999999999</v>
      </c>
      <c r="F15" s="1677">
        <v>128.82</v>
      </c>
    </row>
  </sheetData>
  <mergeCells count="3">
    <mergeCell ref="B3:B4"/>
    <mergeCell ref="C3:C4"/>
    <mergeCell ref="D3:F3"/>
  </mergeCells>
  <pageMargins left="0.7" right="0.7" top="0.75" bottom="0.75" header="0.3" footer="0.3"/>
  <pageSetup paperSize="9" scale="83" orientation="portrait" r:id="rId1"/>
</worksheet>
</file>

<file path=xl/worksheets/sheet92.xml><?xml version="1.0" encoding="utf-8"?>
<worksheet xmlns="http://schemas.openxmlformats.org/spreadsheetml/2006/main" xmlns:r="http://schemas.openxmlformats.org/officeDocument/2006/relationships">
  <sheetPr codeName="Sheet71">
    <pageSetUpPr fitToPage="1"/>
  </sheetPr>
  <dimension ref="B1:M156"/>
  <sheetViews>
    <sheetView showGridLines="0" view="pageBreakPreview" topLeftCell="B1" zoomScale="60" workbookViewId="0">
      <selection activeCell="E8" sqref="E8:E9"/>
    </sheetView>
  </sheetViews>
  <sheetFormatPr defaultRowHeight="15"/>
  <cols>
    <col min="1" max="1" width="9.140625" style="1109"/>
    <col min="2" max="2" width="6.42578125" style="1109" customWidth="1"/>
    <col min="3" max="3" width="35" style="1109" customWidth="1"/>
    <col min="4" max="4" width="8" style="1697" customWidth="1"/>
    <col min="5" max="5" width="17.5703125" style="1109" customWidth="1"/>
    <col min="6" max="6" width="4.85546875" style="1109" customWidth="1"/>
    <col min="7" max="7" width="6.5703125" style="1109" customWidth="1"/>
    <col min="8" max="8" width="6.140625" style="1109" customWidth="1"/>
    <col min="9" max="9" width="9.7109375" style="1109" customWidth="1"/>
    <col min="10" max="10" width="7.7109375" style="1109" customWidth="1"/>
    <col min="11" max="11" width="7.85546875" style="1109" customWidth="1"/>
    <col min="12" max="12" width="16.85546875" style="1109" customWidth="1"/>
    <col min="13" max="257" width="9.140625" style="1109"/>
    <col min="258" max="258" width="6.42578125" style="1109" customWidth="1"/>
    <col min="259" max="259" width="35" style="1109" customWidth="1"/>
    <col min="260" max="260" width="8" style="1109" customWidth="1"/>
    <col min="261" max="261" width="17.5703125" style="1109" customWidth="1"/>
    <col min="262" max="262" width="4.85546875" style="1109" customWidth="1"/>
    <col min="263" max="263" width="6.5703125" style="1109" customWidth="1"/>
    <col min="264" max="264" width="6.140625" style="1109" customWidth="1"/>
    <col min="265" max="265" width="7.28515625" style="1109" customWidth="1"/>
    <col min="266" max="266" width="7.7109375" style="1109" customWidth="1"/>
    <col min="267" max="267" width="7.85546875" style="1109" customWidth="1"/>
    <col min="268" max="268" width="16.85546875" style="1109" customWidth="1"/>
    <col min="269" max="513" width="9.140625" style="1109"/>
    <col min="514" max="514" width="6.42578125" style="1109" customWidth="1"/>
    <col min="515" max="515" width="35" style="1109" customWidth="1"/>
    <col min="516" max="516" width="8" style="1109" customWidth="1"/>
    <col min="517" max="517" width="17.5703125" style="1109" customWidth="1"/>
    <col min="518" max="518" width="4.85546875" style="1109" customWidth="1"/>
    <col min="519" max="519" width="6.5703125" style="1109" customWidth="1"/>
    <col min="520" max="520" width="6.140625" style="1109" customWidth="1"/>
    <col min="521" max="521" width="7.28515625" style="1109" customWidth="1"/>
    <col min="522" max="522" width="7.7109375" style="1109" customWidth="1"/>
    <col min="523" max="523" width="7.85546875" style="1109" customWidth="1"/>
    <col min="524" max="524" width="16.85546875" style="1109" customWidth="1"/>
    <col min="525" max="769" width="9.140625" style="1109"/>
    <col min="770" max="770" width="6.42578125" style="1109" customWidth="1"/>
    <col min="771" max="771" width="35" style="1109" customWidth="1"/>
    <col min="772" max="772" width="8" style="1109" customWidth="1"/>
    <col min="773" max="773" width="17.5703125" style="1109" customWidth="1"/>
    <col min="774" max="774" width="4.85546875" style="1109" customWidth="1"/>
    <col min="775" max="775" width="6.5703125" style="1109" customWidth="1"/>
    <col min="776" max="776" width="6.140625" style="1109" customWidth="1"/>
    <col min="777" max="777" width="7.28515625" style="1109" customWidth="1"/>
    <col min="778" max="778" width="7.7109375" style="1109" customWidth="1"/>
    <col min="779" max="779" width="7.85546875" style="1109" customWidth="1"/>
    <col min="780" max="780" width="16.85546875" style="1109" customWidth="1"/>
    <col min="781" max="1025" width="9.140625" style="1109"/>
    <col min="1026" max="1026" width="6.42578125" style="1109" customWidth="1"/>
    <col min="1027" max="1027" width="35" style="1109" customWidth="1"/>
    <col min="1028" max="1028" width="8" style="1109" customWidth="1"/>
    <col min="1029" max="1029" width="17.5703125" style="1109" customWidth="1"/>
    <col min="1030" max="1030" width="4.85546875" style="1109" customWidth="1"/>
    <col min="1031" max="1031" width="6.5703125" style="1109" customWidth="1"/>
    <col min="1032" max="1032" width="6.140625" style="1109" customWidth="1"/>
    <col min="1033" max="1033" width="7.28515625" style="1109" customWidth="1"/>
    <col min="1034" max="1034" width="7.7109375" style="1109" customWidth="1"/>
    <col min="1035" max="1035" width="7.85546875" style="1109" customWidth="1"/>
    <col min="1036" max="1036" width="16.85546875" style="1109" customWidth="1"/>
    <col min="1037" max="1281" width="9.140625" style="1109"/>
    <col min="1282" max="1282" width="6.42578125" style="1109" customWidth="1"/>
    <col min="1283" max="1283" width="35" style="1109" customWidth="1"/>
    <col min="1284" max="1284" width="8" style="1109" customWidth="1"/>
    <col min="1285" max="1285" width="17.5703125" style="1109" customWidth="1"/>
    <col min="1286" max="1286" width="4.85546875" style="1109" customWidth="1"/>
    <col min="1287" max="1287" width="6.5703125" style="1109" customWidth="1"/>
    <col min="1288" max="1288" width="6.140625" style="1109" customWidth="1"/>
    <col min="1289" max="1289" width="7.28515625" style="1109" customWidth="1"/>
    <col min="1290" max="1290" width="7.7109375" style="1109" customWidth="1"/>
    <col min="1291" max="1291" width="7.85546875" style="1109" customWidth="1"/>
    <col min="1292" max="1292" width="16.85546875" style="1109" customWidth="1"/>
    <col min="1293" max="1537" width="9.140625" style="1109"/>
    <col min="1538" max="1538" width="6.42578125" style="1109" customWidth="1"/>
    <col min="1539" max="1539" width="35" style="1109" customWidth="1"/>
    <col min="1540" max="1540" width="8" style="1109" customWidth="1"/>
    <col min="1541" max="1541" width="17.5703125" style="1109" customWidth="1"/>
    <col min="1542" max="1542" width="4.85546875" style="1109" customWidth="1"/>
    <col min="1543" max="1543" width="6.5703125" style="1109" customWidth="1"/>
    <col min="1544" max="1544" width="6.140625" style="1109" customWidth="1"/>
    <col min="1545" max="1545" width="7.28515625" style="1109" customWidth="1"/>
    <col min="1546" max="1546" width="7.7109375" style="1109" customWidth="1"/>
    <col min="1547" max="1547" width="7.85546875" style="1109" customWidth="1"/>
    <col min="1548" max="1548" width="16.85546875" style="1109" customWidth="1"/>
    <col min="1549" max="1793" width="9.140625" style="1109"/>
    <col min="1794" max="1794" width="6.42578125" style="1109" customWidth="1"/>
    <col min="1795" max="1795" width="35" style="1109" customWidth="1"/>
    <col min="1796" max="1796" width="8" style="1109" customWidth="1"/>
    <col min="1797" max="1797" width="17.5703125" style="1109" customWidth="1"/>
    <col min="1798" max="1798" width="4.85546875" style="1109" customWidth="1"/>
    <col min="1799" max="1799" width="6.5703125" style="1109" customWidth="1"/>
    <col min="1800" max="1800" width="6.140625" style="1109" customWidth="1"/>
    <col min="1801" max="1801" width="7.28515625" style="1109" customWidth="1"/>
    <col min="1802" max="1802" width="7.7109375" style="1109" customWidth="1"/>
    <col min="1803" max="1803" width="7.85546875" style="1109" customWidth="1"/>
    <col min="1804" max="1804" width="16.85546875" style="1109" customWidth="1"/>
    <col min="1805" max="2049" width="9.140625" style="1109"/>
    <col min="2050" max="2050" width="6.42578125" style="1109" customWidth="1"/>
    <col min="2051" max="2051" width="35" style="1109" customWidth="1"/>
    <col min="2052" max="2052" width="8" style="1109" customWidth="1"/>
    <col min="2053" max="2053" width="17.5703125" style="1109" customWidth="1"/>
    <col min="2054" max="2054" width="4.85546875" style="1109" customWidth="1"/>
    <col min="2055" max="2055" width="6.5703125" style="1109" customWidth="1"/>
    <col min="2056" max="2056" width="6.140625" style="1109" customWidth="1"/>
    <col min="2057" max="2057" width="7.28515625" style="1109" customWidth="1"/>
    <col min="2058" max="2058" width="7.7109375" style="1109" customWidth="1"/>
    <col min="2059" max="2059" width="7.85546875" style="1109" customWidth="1"/>
    <col min="2060" max="2060" width="16.85546875" style="1109" customWidth="1"/>
    <col min="2061" max="2305" width="9.140625" style="1109"/>
    <col min="2306" max="2306" width="6.42578125" style="1109" customWidth="1"/>
    <col min="2307" max="2307" width="35" style="1109" customWidth="1"/>
    <col min="2308" max="2308" width="8" style="1109" customWidth="1"/>
    <col min="2309" max="2309" width="17.5703125" style="1109" customWidth="1"/>
    <col min="2310" max="2310" width="4.85546875" style="1109" customWidth="1"/>
    <col min="2311" max="2311" width="6.5703125" style="1109" customWidth="1"/>
    <col min="2312" max="2312" width="6.140625" style="1109" customWidth="1"/>
    <col min="2313" max="2313" width="7.28515625" style="1109" customWidth="1"/>
    <col min="2314" max="2314" width="7.7109375" style="1109" customWidth="1"/>
    <col min="2315" max="2315" width="7.85546875" style="1109" customWidth="1"/>
    <col min="2316" max="2316" width="16.85546875" style="1109" customWidth="1"/>
    <col min="2317" max="2561" width="9.140625" style="1109"/>
    <col min="2562" max="2562" width="6.42578125" style="1109" customWidth="1"/>
    <col min="2563" max="2563" width="35" style="1109" customWidth="1"/>
    <col min="2564" max="2564" width="8" style="1109" customWidth="1"/>
    <col min="2565" max="2565" width="17.5703125" style="1109" customWidth="1"/>
    <col min="2566" max="2566" width="4.85546875" style="1109" customWidth="1"/>
    <col min="2567" max="2567" width="6.5703125" style="1109" customWidth="1"/>
    <col min="2568" max="2568" width="6.140625" style="1109" customWidth="1"/>
    <col min="2569" max="2569" width="7.28515625" style="1109" customWidth="1"/>
    <col min="2570" max="2570" width="7.7109375" style="1109" customWidth="1"/>
    <col min="2571" max="2571" width="7.85546875" style="1109" customWidth="1"/>
    <col min="2572" max="2572" width="16.85546875" style="1109" customWidth="1"/>
    <col min="2573" max="2817" width="9.140625" style="1109"/>
    <col min="2818" max="2818" width="6.42578125" style="1109" customWidth="1"/>
    <col min="2819" max="2819" width="35" style="1109" customWidth="1"/>
    <col min="2820" max="2820" width="8" style="1109" customWidth="1"/>
    <col min="2821" max="2821" width="17.5703125" style="1109" customWidth="1"/>
    <col min="2822" max="2822" width="4.85546875" style="1109" customWidth="1"/>
    <col min="2823" max="2823" width="6.5703125" style="1109" customWidth="1"/>
    <col min="2824" max="2824" width="6.140625" style="1109" customWidth="1"/>
    <col min="2825" max="2825" width="7.28515625" style="1109" customWidth="1"/>
    <col min="2826" max="2826" width="7.7109375" style="1109" customWidth="1"/>
    <col min="2827" max="2827" width="7.85546875" style="1109" customWidth="1"/>
    <col min="2828" max="2828" width="16.85546875" style="1109" customWidth="1"/>
    <col min="2829" max="3073" width="9.140625" style="1109"/>
    <col min="3074" max="3074" width="6.42578125" style="1109" customWidth="1"/>
    <col min="3075" max="3075" width="35" style="1109" customWidth="1"/>
    <col min="3076" max="3076" width="8" style="1109" customWidth="1"/>
    <col min="3077" max="3077" width="17.5703125" style="1109" customWidth="1"/>
    <col min="3078" max="3078" width="4.85546875" style="1109" customWidth="1"/>
    <col min="3079" max="3079" width="6.5703125" style="1109" customWidth="1"/>
    <col min="3080" max="3080" width="6.140625" style="1109" customWidth="1"/>
    <col min="3081" max="3081" width="7.28515625" style="1109" customWidth="1"/>
    <col min="3082" max="3082" width="7.7109375" style="1109" customWidth="1"/>
    <col min="3083" max="3083" width="7.85546875" style="1109" customWidth="1"/>
    <col min="3084" max="3084" width="16.85546875" style="1109" customWidth="1"/>
    <col min="3085" max="3329" width="9.140625" style="1109"/>
    <col min="3330" max="3330" width="6.42578125" style="1109" customWidth="1"/>
    <col min="3331" max="3331" width="35" style="1109" customWidth="1"/>
    <col min="3332" max="3332" width="8" style="1109" customWidth="1"/>
    <col min="3333" max="3333" width="17.5703125" style="1109" customWidth="1"/>
    <col min="3334" max="3334" width="4.85546875" style="1109" customWidth="1"/>
    <col min="3335" max="3335" width="6.5703125" style="1109" customWidth="1"/>
    <col min="3336" max="3336" width="6.140625" style="1109" customWidth="1"/>
    <col min="3337" max="3337" width="7.28515625" style="1109" customWidth="1"/>
    <col min="3338" max="3338" width="7.7109375" style="1109" customWidth="1"/>
    <col min="3339" max="3339" width="7.85546875" style="1109" customWidth="1"/>
    <col min="3340" max="3340" width="16.85546875" style="1109" customWidth="1"/>
    <col min="3341" max="3585" width="9.140625" style="1109"/>
    <col min="3586" max="3586" width="6.42578125" style="1109" customWidth="1"/>
    <col min="3587" max="3587" width="35" style="1109" customWidth="1"/>
    <col min="3588" max="3588" width="8" style="1109" customWidth="1"/>
    <col min="3589" max="3589" width="17.5703125" style="1109" customWidth="1"/>
    <col min="3590" max="3590" width="4.85546875" style="1109" customWidth="1"/>
    <col min="3591" max="3591" width="6.5703125" style="1109" customWidth="1"/>
    <col min="3592" max="3592" width="6.140625" style="1109" customWidth="1"/>
    <col min="3593" max="3593" width="7.28515625" style="1109" customWidth="1"/>
    <col min="3594" max="3594" width="7.7109375" style="1109" customWidth="1"/>
    <col min="3595" max="3595" width="7.85546875" style="1109" customWidth="1"/>
    <col min="3596" max="3596" width="16.85546875" style="1109" customWidth="1"/>
    <col min="3597" max="3841" width="9.140625" style="1109"/>
    <col min="3842" max="3842" width="6.42578125" style="1109" customWidth="1"/>
    <col min="3843" max="3843" width="35" style="1109" customWidth="1"/>
    <col min="3844" max="3844" width="8" style="1109" customWidth="1"/>
    <col min="3845" max="3845" width="17.5703125" style="1109" customWidth="1"/>
    <col min="3846" max="3846" width="4.85546875" style="1109" customWidth="1"/>
    <col min="3847" max="3847" width="6.5703125" style="1109" customWidth="1"/>
    <col min="3848" max="3848" width="6.140625" style="1109" customWidth="1"/>
    <col min="3849" max="3849" width="7.28515625" style="1109" customWidth="1"/>
    <col min="3850" max="3850" width="7.7109375" style="1109" customWidth="1"/>
    <col min="3851" max="3851" width="7.85546875" style="1109" customWidth="1"/>
    <col min="3852" max="3852" width="16.85546875" style="1109" customWidth="1"/>
    <col min="3853" max="4097" width="9.140625" style="1109"/>
    <col min="4098" max="4098" width="6.42578125" style="1109" customWidth="1"/>
    <col min="4099" max="4099" width="35" style="1109" customWidth="1"/>
    <col min="4100" max="4100" width="8" style="1109" customWidth="1"/>
    <col min="4101" max="4101" width="17.5703125" style="1109" customWidth="1"/>
    <col min="4102" max="4102" width="4.85546875" style="1109" customWidth="1"/>
    <col min="4103" max="4103" width="6.5703125" style="1109" customWidth="1"/>
    <col min="4104" max="4104" width="6.140625" style="1109" customWidth="1"/>
    <col min="4105" max="4105" width="7.28515625" style="1109" customWidth="1"/>
    <col min="4106" max="4106" width="7.7109375" style="1109" customWidth="1"/>
    <col min="4107" max="4107" width="7.85546875" style="1109" customWidth="1"/>
    <col min="4108" max="4108" width="16.85546875" style="1109" customWidth="1"/>
    <col min="4109" max="4353" width="9.140625" style="1109"/>
    <col min="4354" max="4354" width="6.42578125" style="1109" customWidth="1"/>
    <col min="4355" max="4355" width="35" style="1109" customWidth="1"/>
    <col min="4356" max="4356" width="8" style="1109" customWidth="1"/>
    <col min="4357" max="4357" width="17.5703125" style="1109" customWidth="1"/>
    <col min="4358" max="4358" width="4.85546875" style="1109" customWidth="1"/>
    <col min="4359" max="4359" width="6.5703125" style="1109" customWidth="1"/>
    <col min="4360" max="4360" width="6.140625" style="1109" customWidth="1"/>
    <col min="4361" max="4361" width="7.28515625" style="1109" customWidth="1"/>
    <col min="4362" max="4362" width="7.7109375" style="1109" customWidth="1"/>
    <col min="4363" max="4363" width="7.85546875" style="1109" customWidth="1"/>
    <col min="4364" max="4364" width="16.85546875" style="1109" customWidth="1"/>
    <col min="4365" max="4609" width="9.140625" style="1109"/>
    <col min="4610" max="4610" width="6.42578125" style="1109" customWidth="1"/>
    <col min="4611" max="4611" width="35" style="1109" customWidth="1"/>
    <col min="4612" max="4612" width="8" style="1109" customWidth="1"/>
    <col min="4613" max="4613" width="17.5703125" style="1109" customWidth="1"/>
    <col min="4614" max="4614" width="4.85546875" style="1109" customWidth="1"/>
    <col min="4615" max="4615" width="6.5703125" style="1109" customWidth="1"/>
    <col min="4616" max="4616" width="6.140625" style="1109" customWidth="1"/>
    <col min="4617" max="4617" width="7.28515625" style="1109" customWidth="1"/>
    <col min="4618" max="4618" width="7.7109375" style="1109" customWidth="1"/>
    <col min="4619" max="4619" width="7.85546875" style="1109" customWidth="1"/>
    <col min="4620" max="4620" width="16.85546875" style="1109" customWidth="1"/>
    <col min="4621" max="4865" width="9.140625" style="1109"/>
    <col min="4866" max="4866" width="6.42578125" style="1109" customWidth="1"/>
    <col min="4867" max="4867" width="35" style="1109" customWidth="1"/>
    <col min="4868" max="4868" width="8" style="1109" customWidth="1"/>
    <col min="4869" max="4869" width="17.5703125" style="1109" customWidth="1"/>
    <col min="4870" max="4870" width="4.85546875" style="1109" customWidth="1"/>
    <col min="4871" max="4871" width="6.5703125" style="1109" customWidth="1"/>
    <col min="4872" max="4872" width="6.140625" style="1109" customWidth="1"/>
    <col min="4873" max="4873" width="7.28515625" style="1109" customWidth="1"/>
    <col min="4874" max="4874" width="7.7109375" style="1109" customWidth="1"/>
    <col min="4875" max="4875" width="7.85546875" style="1109" customWidth="1"/>
    <col min="4876" max="4876" width="16.85546875" style="1109" customWidth="1"/>
    <col min="4877" max="5121" width="9.140625" style="1109"/>
    <col min="5122" max="5122" width="6.42578125" style="1109" customWidth="1"/>
    <col min="5123" max="5123" width="35" style="1109" customWidth="1"/>
    <col min="5124" max="5124" width="8" style="1109" customWidth="1"/>
    <col min="5125" max="5125" width="17.5703125" style="1109" customWidth="1"/>
    <col min="5126" max="5126" width="4.85546875" style="1109" customWidth="1"/>
    <col min="5127" max="5127" width="6.5703125" style="1109" customWidth="1"/>
    <col min="5128" max="5128" width="6.140625" style="1109" customWidth="1"/>
    <col min="5129" max="5129" width="7.28515625" style="1109" customWidth="1"/>
    <col min="5130" max="5130" width="7.7109375" style="1109" customWidth="1"/>
    <col min="5131" max="5131" width="7.85546875" style="1109" customWidth="1"/>
    <col min="5132" max="5132" width="16.85546875" style="1109" customWidth="1"/>
    <col min="5133" max="5377" width="9.140625" style="1109"/>
    <col min="5378" max="5378" width="6.42578125" style="1109" customWidth="1"/>
    <col min="5379" max="5379" width="35" style="1109" customWidth="1"/>
    <col min="5380" max="5380" width="8" style="1109" customWidth="1"/>
    <col min="5381" max="5381" width="17.5703125" style="1109" customWidth="1"/>
    <col min="5382" max="5382" width="4.85546875" style="1109" customWidth="1"/>
    <col min="5383" max="5383" width="6.5703125" style="1109" customWidth="1"/>
    <col min="5384" max="5384" width="6.140625" style="1109" customWidth="1"/>
    <col min="5385" max="5385" width="7.28515625" style="1109" customWidth="1"/>
    <col min="5386" max="5386" width="7.7109375" style="1109" customWidth="1"/>
    <col min="5387" max="5387" width="7.85546875" style="1109" customWidth="1"/>
    <col min="5388" max="5388" width="16.85546875" style="1109" customWidth="1"/>
    <col min="5389" max="5633" width="9.140625" style="1109"/>
    <col min="5634" max="5634" width="6.42578125" style="1109" customWidth="1"/>
    <col min="5635" max="5635" width="35" style="1109" customWidth="1"/>
    <col min="5636" max="5636" width="8" style="1109" customWidth="1"/>
    <col min="5637" max="5637" width="17.5703125" style="1109" customWidth="1"/>
    <col min="5638" max="5638" width="4.85546875" style="1109" customWidth="1"/>
    <col min="5639" max="5639" width="6.5703125" style="1109" customWidth="1"/>
    <col min="5640" max="5640" width="6.140625" style="1109" customWidth="1"/>
    <col min="5641" max="5641" width="7.28515625" style="1109" customWidth="1"/>
    <col min="5642" max="5642" width="7.7109375" style="1109" customWidth="1"/>
    <col min="5643" max="5643" width="7.85546875" style="1109" customWidth="1"/>
    <col min="5644" max="5644" width="16.85546875" style="1109" customWidth="1"/>
    <col min="5645" max="5889" width="9.140625" style="1109"/>
    <col min="5890" max="5890" width="6.42578125" style="1109" customWidth="1"/>
    <col min="5891" max="5891" width="35" style="1109" customWidth="1"/>
    <col min="5892" max="5892" width="8" style="1109" customWidth="1"/>
    <col min="5893" max="5893" width="17.5703125" style="1109" customWidth="1"/>
    <col min="5894" max="5894" width="4.85546875" style="1109" customWidth="1"/>
    <col min="5895" max="5895" width="6.5703125" style="1109" customWidth="1"/>
    <col min="5896" max="5896" width="6.140625" style="1109" customWidth="1"/>
    <col min="5897" max="5897" width="7.28515625" style="1109" customWidth="1"/>
    <col min="5898" max="5898" width="7.7109375" style="1109" customWidth="1"/>
    <col min="5899" max="5899" width="7.85546875" style="1109" customWidth="1"/>
    <col min="5900" max="5900" width="16.85546875" style="1109" customWidth="1"/>
    <col min="5901" max="6145" width="9.140625" style="1109"/>
    <col min="6146" max="6146" width="6.42578125" style="1109" customWidth="1"/>
    <col min="6147" max="6147" width="35" style="1109" customWidth="1"/>
    <col min="6148" max="6148" width="8" style="1109" customWidth="1"/>
    <col min="6149" max="6149" width="17.5703125" style="1109" customWidth="1"/>
    <col min="6150" max="6150" width="4.85546875" style="1109" customWidth="1"/>
    <col min="6151" max="6151" width="6.5703125" style="1109" customWidth="1"/>
    <col min="6152" max="6152" width="6.140625" style="1109" customWidth="1"/>
    <col min="6153" max="6153" width="7.28515625" style="1109" customWidth="1"/>
    <col min="6154" max="6154" width="7.7109375" style="1109" customWidth="1"/>
    <col min="6155" max="6155" width="7.85546875" style="1109" customWidth="1"/>
    <col min="6156" max="6156" width="16.85546875" style="1109" customWidth="1"/>
    <col min="6157" max="6401" width="9.140625" style="1109"/>
    <col min="6402" max="6402" width="6.42578125" style="1109" customWidth="1"/>
    <col min="6403" max="6403" width="35" style="1109" customWidth="1"/>
    <col min="6404" max="6404" width="8" style="1109" customWidth="1"/>
    <col min="6405" max="6405" width="17.5703125" style="1109" customWidth="1"/>
    <col min="6406" max="6406" width="4.85546875" style="1109" customWidth="1"/>
    <col min="6407" max="6407" width="6.5703125" style="1109" customWidth="1"/>
    <col min="6408" max="6408" width="6.140625" style="1109" customWidth="1"/>
    <col min="6409" max="6409" width="7.28515625" style="1109" customWidth="1"/>
    <col min="6410" max="6410" width="7.7109375" style="1109" customWidth="1"/>
    <col min="6411" max="6411" width="7.85546875" style="1109" customWidth="1"/>
    <col min="6412" max="6412" width="16.85546875" style="1109" customWidth="1"/>
    <col min="6413" max="6657" width="9.140625" style="1109"/>
    <col min="6658" max="6658" width="6.42578125" style="1109" customWidth="1"/>
    <col min="6659" max="6659" width="35" style="1109" customWidth="1"/>
    <col min="6660" max="6660" width="8" style="1109" customWidth="1"/>
    <col min="6661" max="6661" width="17.5703125" style="1109" customWidth="1"/>
    <col min="6662" max="6662" width="4.85546875" style="1109" customWidth="1"/>
    <col min="6663" max="6663" width="6.5703125" style="1109" customWidth="1"/>
    <col min="6664" max="6664" width="6.140625" style="1109" customWidth="1"/>
    <col min="6665" max="6665" width="7.28515625" style="1109" customWidth="1"/>
    <col min="6666" max="6666" width="7.7109375" style="1109" customWidth="1"/>
    <col min="6667" max="6667" width="7.85546875" style="1109" customWidth="1"/>
    <col min="6668" max="6668" width="16.85546875" style="1109" customWidth="1"/>
    <col min="6669" max="6913" width="9.140625" style="1109"/>
    <col min="6914" max="6914" width="6.42578125" style="1109" customWidth="1"/>
    <col min="6915" max="6915" width="35" style="1109" customWidth="1"/>
    <col min="6916" max="6916" width="8" style="1109" customWidth="1"/>
    <col min="6917" max="6917" width="17.5703125" style="1109" customWidth="1"/>
    <col min="6918" max="6918" width="4.85546875" style="1109" customWidth="1"/>
    <col min="6919" max="6919" width="6.5703125" style="1109" customWidth="1"/>
    <col min="6920" max="6920" width="6.140625" style="1109" customWidth="1"/>
    <col min="6921" max="6921" width="7.28515625" style="1109" customWidth="1"/>
    <col min="6922" max="6922" width="7.7109375" style="1109" customWidth="1"/>
    <col min="6923" max="6923" width="7.85546875" style="1109" customWidth="1"/>
    <col min="6924" max="6924" width="16.85546875" style="1109" customWidth="1"/>
    <col min="6925" max="7169" width="9.140625" style="1109"/>
    <col min="7170" max="7170" width="6.42578125" style="1109" customWidth="1"/>
    <col min="7171" max="7171" width="35" style="1109" customWidth="1"/>
    <col min="7172" max="7172" width="8" style="1109" customWidth="1"/>
    <col min="7173" max="7173" width="17.5703125" style="1109" customWidth="1"/>
    <col min="7174" max="7174" width="4.85546875" style="1109" customWidth="1"/>
    <col min="7175" max="7175" width="6.5703125" style="1109" customWidth="1"/>
    <col min="7176" max="7176" width="6.140625" style="1109" customWidth="1"/>
    <col min="7177" max="7177" width="7.28515625" style="1109" customWidth="1"/>
    <col min="7178" max="7178" width="7.7109375" style="1109" customWidth="1"/>
    <col min="7179" max="7179" width="7.85546875" style="1109" customWidth="1"/>
    <col min="7180" max="7180" width="16.85546875" style="1109" customWidth="1"/>
    <col min="7181" max="7425" width="9.140625" style="1109"/>
    <col min="7426" max="7426" width="6.42578125" style="1109" customWidth="1"/>
    <col min="7427" max="7427" width="35" style="1109" customWidth="1"/>
    <col min="7428" max="7428" width="8" style="1109" customWidth="1"/>
    <col min="7429" max="7429" width="17.5703125" style="1109" customWidth="1"/>
    <col min="7430" max="7430" width="4.85546875" style="1109" customWidth="1"/>
    <col min="7431" max="7431" width="6.5703125" style="1109" customWidth="1"/>
    <col min="7432" max="7432" width="6.140625" style="1109" customWidth="1"/>
    <col min="7433" max="7433" width="7.28515625" style="1109" customWidth="1"/>
    <col min="7434" max="7434" width="7.7109375" style="1109" customWidth="1"/>
    <col min="7435" max="7435" width="7.85546875" style="1109" customWidth="1"/>
    <col min="7436" max="7436" width="16.85546875" style="1109" customWidth="1"/>
    <col min="7437" max="7681" width="9.140625" style="1109"/>
    <col min="7682" max="7682" width="6.42578125" style="1109" customWidth="1"/>
    <col min="7683" max="7683" width="35" style="1109" customWidth="1"/>
    <col min="7684" max="7684" width="8" style="1109" customWidth="1"/>
    <col min="7685" max="7685" width="17.5703125" style="1109" customWidth="1"/>
    <col min="7686" max="7686" width="4.85546875" style="1109" customWidth="1"/>
    <col min="7687" max="7687" width="6.5703125" style="1109" customWidth="1"/>
    <col min="7688" max="7688" width="6.140625" style="1109" customWidth="1"/>
    <col min="7689" max="7689" width="7.28515625" style="1109" customWidth="1"/>
    <col min="7690" max="7690" width="7.7109375" style="1109" customWidth="1"/>
    <col min="7691" max="7691" width="7.85546875" style="1109" customWidth="1"/>
    <col min="7692" max="7692" width="16.85546875" style="1109" customWidth="1"/>
    <col min="7693" max="7937" width="9.140625" style="1109"/>
    <col min="7938" max="7938" width="6.42578125" style="1109" customWidth="1"/>
    <col min="7939" max="7939" width="35" style="1109" customWidth="1"/>
    <col min="7940" max="7940" width="8" style="1109" customWidth="1"/>
    <col min="7941" max="7941" width="17.5703125" style="1109" customWidth="1"/>
    <col min="7942" max="7942" width="4.85546875" style="1109" customWidth="1"/>
    <col min="7943" max="7943" width="6.5703125" style="1109" customWidth="1"/>
    <col min="7944" max="7944" width="6.140625" style="1109" customWidth="1"/>
    <col min="7945" max="7945" width="7.28515625" style="1109" customWidth="1"/>
    <col min="7946" max="7946" width="7.7109375" style="1109" customWidth="1"/>
    <col min="7947" max="7947" width="7.85546875" style="1109" customWidth="1"/>
    <col min="7948" max="7948" width="16.85546875" style="1109" customWidth="1"/>
    <col min="7949" max="8193" width="9.140625" style="1109"/>
    <col min="8194" max="8194" width="6.42578125" style="1109" customWidth="1"/>
    <col min="8195" max="8195" width="35" style="1109" customWidth="1"/>
    <col min="8196" max="8196" width="8" style="1109" customWidth="1"/>
    <col min="8197" max="8197" width="17.5703125" style="1109" customWidth="1"/>
    <col min="8198" max="8198" width="4.85546875" style="1109" customWidth="1"/>
    <col min="8199" max="8199" width="6.5703125" style="1109" customWidth="1"/>
    <col min="8200" max="8200" width="6.140625" style="1109" customWidth="1"/>
    <col min="8201" max="8201" width="7.28515625" style="1109" customWidth="1"/>
    <col min="8202" max="8202" width="7.7109375" style="1109" customWidth="1"/>
    <col min="8203" max="8203" width="7.85546875" style="1109" customWidth="1"/>
    <col min="8204" max="8204" width="16.85546875" style="1109" customWidth="1"/>
    <col min="8205" max="8449" width="9.140625" style="1109"/>
    <col min="8450" max="8450" width="6.42578125" style="1109" customWidth="1"/>
    <col min="8451" max="8451" width="35" style="1109" customWidth="1"/>
    <col min="8452" max="8452" width="8" style="1109" customWidth="1"/>
    <col min="8453" max="8453" width="17.5703125" style="1109" customWidth="1"/>
    <col min="8454" max="8454" width="4.85546875" style="1109" customWidth="1"/>
    <col min="8455" max="8455" width="6.5703125" style="1109" customWidth="1"/>
    <col min="8456" max="8456" width="6.140625" style="1109" customWidth="1"/>
    <col min="8457" max="8457" width="7.28515625" style="1109" customWidth="1"/>
    <col min="8458" max="8458" width="7.7109375" style="1109" customWidth="1"/>
    <col min="8459" max="8459" width="7.85546875" style="1109" customWidth="1"/>
    <col min="8460" max="8460" width="16.85546875" style="1109" customWidth="1"/>
    <col min="8461" max="8705" width="9.140625" style="1109"/>
    <col min="8706" max="8706" width="6.42578125" style="1109" customWidth="1"/>
    <col min="8707" max="8707" width="35" style="1109" customWidth="1"/>
    <col min="8708" max="8708" width="8" style="1109" customWidth="1"/>
    <col min="8709" max="8709" width="17.5703125" style="1109" customWidth="1"/>
    <col min="8710" max="8710" width="4.85546875" style="1109" customWidth="1"/>
    <col min="8711" max="8711" width="6.5703125" style="1109" customWidth="1"/>
    <col min="8712" max="8712" width="6.140625" style="1109" customWidth="1"/>
    <col min="8713" max="8713" width="7.28515625" style="1109" customWidth="1"/>
    <col min="8714" max="8714" width="7.7109375" style="1109" customWidth="1"/>
    <col min="8715" max="8715" width="7.85546875" style="1109" customWidth="1"/>
    <col min="8716" max="8716" width="16.85546875" style="1109" customWidth="1"/>
    <col min="8717" max="8961" width="9.140625" style="1109"/>
    <col min="8962" max="8962" width="6.42578125" style="1109" customWidth="1"/>
    <col min="8963" max="8963" width="35" style="1109" customWidth="1"/>
    <col min="8964" max="8964" width="8" style="1109" customWidth="1"/>
    <col min="8965" max="8965" width="17.5703125" style="1109" customWidth="1"/>
    <col min="8966" max="8966" width="4.85546875" style="1109" customWidth="1"/>
    <col min="8967" max="8967" width="6.5703125" style="1109" customWidth="1"/>
    <col min="8968" max="8968" width="6.140625" style="1109" customWidth="1"/>
    <col min="8969" max="8969" width="7.28515625" style="1109" customWidth="1"/>
    <col min="8970" max="8970" width="7.7109375" style="1109" customWidth="1"/>
    <col min="8971" max="8971" width="7.85546875" style="1109" customWidth="1"/>
    <col min="8972" max="8972" width="16.85546875" style="1109" customWidth="1"/>
    <col min="8973" max="9217" width="9.140625" style="1109"/>
    <col min="9218" max="9218" width="6.42578125" style="1109" customWidth="1"/>
    <col min="9219" max="9219" width="35" style="1109" customWidth="1"/>
    <col min="9220" max="9220" width="8" style="1109" customWidth="1"/>
    <col min="9221" max="9221" width="17.5703125" style="1109" customWidth="1"/>
    <col min="9222" max="9222" width="4.85546875" style="1109" customWidth="1"/>
    <col min="9223" max="9223" width="6.5703125" style="1109" customWidth="1"/>
    <col min="9224" max="9224" width="6.140625" style="1109" customWidth="1"/>
    <col min="9225" max="9225" width="7.28515625" style="1109" customWidth="1"/>
    <col min="9226" max="9226" width="7.7109375" style="1109" customWidth="1"/>
    <col min="9227" max="9227" width="7.85546875" style="1109" customWidth="1"/>
    <col min="9228" max="9228" width="16.85546875" style="1109" customWidth="1"/>
    <col min="9229" max="9473" width="9.140625" style="1109"/>
    <col min="9474" max="9474" width="6.42578125" style="1109" customWidth="1"/>
    <col min="9475" max="9475" width="35" style="1109" customWidth="1"/>
    <col min="9476" max="9476" width="8" style="1109" customWidth="1"/>
    <col min="9477" max="9477" width="17.5703125" style="1109" customWidth="1"/>
    <col min="9478" max="9478" width="4.85546875" style="1109" customWidth="1"/>
    <col min="9479" max="9479" width="6.5703125" style="1109" customWidth="1"/>
    <col min="9480" max="9480" width="6.140625" style="1109" customWidth="1"/>
    <col min="9481" max="9481" width="7.28515625" style="1109" customWidth="1"/>
    <col min="9482" max="9482" width="7.7109375" style="1109" customWidth="1"/>
    <col min="9483" max="9483" width="7.85546875" style="1109" customWidth="1"/>
    <col min="9484" max="9484" width="16.85546875" style="1109" customWidth="1"/>
    <col min="9485" max="9729" width="9.140625" style="1109"/>
    <col min="9730" max="9730" width="6.42578125" style="1109" customWidth="1"/>
    <col min="9731" max="9731" width="35" style="1109" customWidth="1"/>
    <col min="9732" max="9732" width="8" style="1109" customWidth="1"/>
    <col min="9733" max="9733" width="17.5703125" style="1109" customWidth="1"/>
    <col min="9734" max="9734" width="4.85546875" style="1109" customWidth="1"/>
    <col min="9735" max="9735" width="6.5703125" style="1109" customWidth="1"/>
    <col min="9736" max="9736" width="6.140625" style="1109" customWidth="1"/>
    <col min="9737" max="9737" width="7.28515625" style="1109" customWidth="1"/>
    <col min="9738" max="9738" width="7.7109375" style="1109" customWidth="1"/>
    <col min="9739" max="9739" width="7.85546875" style="1109" customWidth="1"/>
    <col min="9740" max="9740" width="16.85546875" style="1109" customWidth="1"/>
    <col min="9741" max="9985" width="9.140625" style="1109"/>
    <col min="9986" max="9986" width="6.42578125" style="1109" customWidth="1"/>
    <col min="9987" max="9987" width="35" style="1109" customWidth="1"/>
    <col min="9988" max="9988" width="8" style="1109" customWidth="1"/>
    <col min="9989" max="9989" width="17.5703125" style="1109" customWidth="1"/>
    <col min="9990" max="9990" width="4.85546875" style="1109" customWidth="1"/>
    <col min="9991" max="9991" width="6.5703125" style="1109" customWidth="1"/>
    <col min="9992" max="9992" width="6.140625" style="1109" customWidth="1"/>
    <col min="9993" max="9993" width="7.28515625" style="1109" customWidth="1"/>
    <col min="9994" max="9994" width="7.7109375" style="1109" customWidth="1"/>
    <col min="9995" max="9995" width="7.85546875" style="1109" customWidth="1"/>
    <col min="9996" max="9996" width="16.85546875" style="1109" customWidth="1"/>
    <col min="9997" max="10241" width="9.140625" style="1109"/>
    <col min="10242" max="10242" width="6.42578125" style="1109" customWidth="1"/>
    <col min="10243" max="10243" width="35" style="1109" customWidth="1"/>
    <col min="10244" max="10244" width="8" style="1109" customWidth="1"/>
    <col min="10245" max="10245" width="17.5703125" style="1109" customWidth="1"/>
    <col min="10246" max="10246" width="4.85546875" style="1109" customWidth="1"/>
    <col min="10247" max="10247" width="6.5703125" style="1109" customWidth="1"/>
    <col min="10248" max="10248" width="6.140625" style="1109" customWidth="1"/>
    <col min="10249" max="10249" width="7.28515625" style="1109" customWidth="1"/>
    <col min="10250" max="10250" width="7.7109375" style="1109" customWidth="1"/>
    <col min="10251" max="10251" width="7.85546875" style="1109" customWidth="1"/>
    <col min="10252" max="10252" width="16.85546875" style="1109" customWidth="1"/>
    <col min="10253" max="10497" width="9.140625" style="1109"/>
    <col min="10498" max="10498" width="6.42578125" style="1109" customWidth="1"/>
    <col min="10499" max="10499" width="35" style="1109" customWidth="1"/>
    <col min="10500" max="10500" width="8" style="1109" customWidth="1"/>
    <col min="10501" max="10501" width="17.5703125" style="1109" customWidth="1"/>
    <col min="10502" max="10502" width="4.85546875" style="1109" customWidth="1"/>
    <col min="10503" max="10503" width="6.5703125" style="1109" customWidth="1"/>
    <col min="10504" max="10504" width="6.140625" style="1109" customWidth="1"/>
    <col min="10505" max="10505" width="7.28515625" style="1109" customWidth="1"/>
    <col min="10506" max="10506" width="7.7109375" style="1109" customWidth="1"/>
    <col min="10507" max="10507" width="7.85546875" style="1109" customWidth="1"/>
    <col min="10508" max="10508" width="16.85546875" style="1109" customWidth="1"/>
    <col min="10509" max="10753" width="9.140625" style="1109"/>
    <col min="10754" max="10754" width="6.42578125" style="1109" customWidth="1"/>
    <col min="10755" max="10755" width="35" style="1109" customWidth="1"/>
    <col min="10756" max="10756" width="8" style="1109" customWidth="1"/>
    <col min="10757" max="10757" width="17.5703125" style="1109" customWidth="1"/>
    <col min="10758" max="10758" width="4.85546875" style="1109" customWidth="1"/>
    <col min="10759" max="10759" width="6.5703125" style="1109" customWidth="1"/>
    <col min="10760" max="10760" width="6.140625" style="1109" customWidth="1"/>
    <col min="10761" max="10761" width="7.28515625" style="1109" customWidth="1"/>
    <col min="10762" max="10762" width="7.7109375" style="1109" customWidth="1"/>
    <col min="10763" max="10763" width="7.85546875" style="1109" customWidth="1"/>
    <col min="10764" max="10764" width="16.85546875" style="1109" customWidth="1"/>
    <col min="10765" max="11009" width="9.140625" style="1109"/>
    <col min="11010" max="11010" width="6.42578125" style="1109" customWidth="1"/>
    <col min="11011" max="11011" width="35" style="1109" customWidth="1"/>
    <col min="11012" max="11012" width="8" style="1109" customWidth="1"/>
    <col min="11013" max="11013" width="17.5703125" style="1109" customWidth="1"/>
    <col min="11014" max="11014" width="4.85546875" style="1109" customWidth="1"/>
    <col min="11015" max="11015" width="6.5703125" style="1109" customWidth="1"/>
    <col min="11016" max="11016" width="6.140625" style="1109" customWidth="1"/>
    <col min="11017" max="11017" width="7.28515625" style="1109" customWidth="1"/>
    <col min="11018" max="11018" width="7.7109375" style="1109" customWidth="1"/>
    <col min="11019" max="11019" width="7.85546875" style="1109" customWidth="1"/>
    <col min="11020" max="11020" width="16.85546875" style="1109" customWidth="1"/>
    <col min="11021" max="11265" width="9.140625" style="1109"/>
    <col min="11266" max="11266" width="6.42578125" style="1109" customWidth="1"/>
    <col min="11267" max="11267" width="35" style="1109" customWidth="1"/>
    <col min="11268" max="11268" width="8" style="1109" customWidth="1"/>
    <col min="11269" max="11269" width="17.5703125" style="1109" customWidth="1"/>
    <col min="11270" max="11270" width="4.85546875" style="1109" customWidth="1"/>
    <col min="11271" max="11271" width="6.5703125" style="1109" customWidth="1"/>
    <col min="11272" max="11272" width="6.140625" style="1109" customWidth="1"/>
    <col min="11273" max="11273" width="7.28515625" style="1109" customWidth="1"/>
    <col min="11274" max="11274" width="7.7109375" style="1109" customWidth="1"/>
    <col min="11275" max="11275" width="7.85546875" style="1109" customWidth="1"/>
    <col min="11276" max="11276" width="16.85546875" style="1109" customWidth="1"/>
    <col min="11277" max="11521" width="9.140625" style="1109"/>
    <col min="11522" max="11522" width="6.42578125" style="1109" customWidth="1"/>
    <col min="11523" max="11523" width="35" style="1109" customWidth="1"/>
    <col min="11524" max="11524" width="8" style="1109" customWidth="1"/>
    <col min="11525" max="11525" width="17.5703125" style="1109" customWidth="1"/>
    <col min="11526" max="11526" width="4.85546875" style="1109" customWidth="1"/>
    <col min="11527" max="11527" width="6.5703125" style="1109" customWidth="1"/>
    <col min="11528" max="11528" width="6.140625" style="1109" customWidth="1"/>
    <col min="11529" max="11529" width="7.28515625" style="1109" customWidth="1"/>
    <col min="11530" max="11530" width="7.7109375" style="1109" customWidth="1"/>
    <col min="11531" max="11531" width="7.85546875" style="1109" customWidth="1"/>
    <col min="11532" max="11532" width="16.85546875" style="1109" customWidth="1"/>
    <col min="11533" max="11777" width="9.140625" style="1109"/>
    <col min="11778" max="11778" width="6.42578125" style="1109" customWidth="1"/>
    <col min="11779" max="11779" width="35" style="1109" customWidth="1"/>
    <col min="11780" max="11780" width="8" style="1109" customWidth="1"/>
    <col min="11781" max="11781" width="17.5703125" style="1109" customWidth="1"/>
    <col min="11782" max="11782" width="4.85546875" style="1109" customWidth="1"/>
    <col min="11783" max="11783" width="6.5703125" style="1109" customWidth="1"/>
    <col min="11784" max="11784" width="6.140625" style="1109" customWidth="1"/>
    <col min="11785" max="11785" width="7.28515625" style="1109" customWidth="1"/>
    <col min="11786" max="11786" width="7.7109375" style="1109" customWidth="1"/>
    <col min="11787" max="11787" width="7.85546875" style="1109" customWidth="1"/>
    <col min="11788" max="11788" width="16.85546875" style="1109" customWidth="1"/>
    <col min="11789" max="12033" width="9.140625" style="1109"/>
    <col min="12034" max="12034" width="6.42578125" style="1109" customWidth="1"/>
    <col min="12035" max="12035" width="35" style="1109" customWidth="1"/>
    <col min="12036" max="12036" width="8" style="1109" customWidth="1"/>
    <col min="12037" max="12037" width="17.5703125" style="1109" customWidth="1"/>
    <col min="12038" max="12038" width="4.85546875" style="1109" customWidth="1"/>
    <col min="12039" max="12039" width="6.5703125" style="1109" customWidth="1"/>
    <col min="12040" max="12040" width="6.140625" style="1109" customWidth="1"/>
    <col min="12041" max="12041" width="7.28515625" style="1109" customWidth="1"/>
    <col min="12042" max="12042" width="7.7109375" style="1109" customWidth="1"/>
    <col min="12043" max="12043" width="7.85546875" style="1109" customWidth="1"/>
    <col min="12044" max="12044" width="16.85546875" style="1109" customWidth="1"/>
    <col min="12045" max="12289" width="9.140625" style="1109"/>
    <col min="12290" max="12290" width="6.42578125" style="1109" customWidth="1"/>
    <col min="12291" max="12291" width="35" style="1109" customWidth="1"/>
    <col min="12292" max="12292" width="8" style="1109" customWidth="1"/>
    <col min="12293" max="12293" width="17.5703125" style="1109" customWidth="1"/>
    <col min="12294" max="12294" width="4.85546875" style="1109" customWidth="1"/>
    <col min="12295" max="12295" width="6.5703125" style="1109" customWidth="1"/>
    <col min="12296" max="12296" width="6.140625" style="1109" customWidth="1"/>
    <col min="12297" max="12297" width="7.28515625" style="1109" customWidth="1"/>
    <col min="12298" max="12298" width="7.7109375" style="1109" customWidth="1"/>
    <col min="12299" max="12299" width="7.85546875" style="1109" customWidth="1"/>
    <col min="12300" max="12300" width="16.85546875" style="1109" customWidth="1"/>
    <col min="12301" max="12545" width="9.140625" style="1109"/>
    <col min="12546" max="12546" width="6.42578125" style="1109" customWidth="1"/>
    <col min="12547" max="12547" width="35" style="1109" customWidth="1"/>
    <col min="12548" max="12548" width="8" style="1109" customWidth="1"/>
    <col min="12549" max="12549" width="17.5703125" style="1109" customWidth="1"/>
    <col min="12550" max="12550" width="4.85546875" style="1109" customWidth="1"/>
    <col min="12551" max="12551" width="6.5703125" style="1109" customWidth="1"/>
    <col min="12552" max="12552" width="6.140625" style="1109" customWidth="1"/>
    <col min="12553" max="12553" width="7.28515625" style="1109" customWidth="1"/>
    <col min="12554" max="12554" width="7.7109375" style="1109" customWidth="1"/>
    <col min="12555" max="12555" width="7.85546875" style="1109" customWidth="1"/>
    <col min="12556" max="12556" width="16.85546875" style="1109" customWidth="1"/>
    <col min="12557" max="12801" width="9.140625" style="1109"/>
    <col min="12802" max="12802" width="6.42578125" style="1109" customWidth="1"/>
    <col min="12803" max="12803" width="35" style="1109" customWidth="1"/>
    <col min="12804" max="12804" width="8" style="1109" customWidth="1"/>
    <col min="12805" max="12805" width="17.5703125" style="1109" customWidth="1"/>
    <col min="12806" max="12806" width="4.85546875" style="1109" customWidth="1"/>
    <col min="12807" max="12807" width="6.5703125" style="1109" customWidth="1"/>
    <col min="12808" max="12808" width="6.140625" style="1109" customWidth="1"/>
    <col min="12809" max="12809" width="7.28515625" style="1109" customWidth="1"/>
    <col min="12810" max="12810" width="7.7109375" style="1109" customWidth="1"/>
    <col min="12811" max="12811" width="7.85546875" style="1109" customWidth="1"/>
    <col min="12812" max="12812" width="16.85546875" style="1109" customWidth="1"/>
    <col min="12813" max="13057" width="9.140625" style="1109"/>
    <col min="13058" max="13058" width="6.42578125" style="1109" customWidth="1"/>
    <col min="13059" max="13059" width="35" style="1109" customWidth="1"/>
    <col min="13060" max="13060" width="8" style="1109" customWidth="1"/>
    <col min="13061" max="13061" width="17.5703125" style="1109" customWidth="1"/>
    <col min="13062" max="13062" width="4.85546875" style="1109" customWidth="1"/>
    <col min="13063" max="13063" width="6.5703125" style="1109" customWidth="1"/>
    <col min="13064" max="13064" width="6.140625" style="1109" customWidth="1"/>
    <col min="13065" max="13065" width="7.28515625" style="1109" customWidth="1"/>
    <col min="13066" max="13066" width="7.7109375" style="1109" customWidth="1"/>
    <col min="13067" max="13067" width="7.85546875" style="1109" customWidth="1"/>
    <col min="13068" max="13068" width="16.85546875" style="1109" customWidth="1"/>
    <col min="13069" max="13313" width="9.140625" style="1109"/>
    <col min="13314" max="13314" width="6.42578125" style="1109" customWidth="1"/>
    <col min="13315" max="13315" width="35" style="1109" customWidth="1"/>
    <col min="13316" max="13316" width="8" style="1109" customWidth="1"/>
    <col min="13317" max="13317" width="17.5703125" style="1109" customWidth="1"/>
    <col min="13318" max="13318" width="4.85546875" style="1109" customWidth="1"/>
    <col min="13319" max="13319" width="6.5703125" style="1109" customWidth="1"/>
    <col min="13320" max="13320" width="6.140625" style="1109" customWidth="1"/>
    <col min="13321" max="13321" width="7.28515625" style="1109" customWidth="1"/>
    <col min="13322" max="13322" width="7.7109375" style="1109" customWidth="1"/>
    <col min="13323" max="13323" width="7.85546875" style="1109" customWidth="1"/>
    <col min="13324" max="13324" width="16.85546875" style="1109" customWidth="1"/>
    <col min="13325" max="13569" width="9.140625" style="1109"/>
    <col min="13570" max="13570" width="6.42578125" style="1109" customWidth="1"/>
    <col min="13571" max="13571" width="35" style="1109" customWidth="1"/>
    <col min="13572" max="13572" width="8" style="1109" customWidth="1"/>
    <col min="13573" max="13573" width="17.5703125" style="1109" customWidth="1"/>
    <col min="13574" max="13574" width="4.85546875" style="1109" customWidth="1"/>
    <col min="13575" max="13575" width="6.5703125" style="1109" customWidth="1"/>
    <col min="13576" max="13576" width="6.140625" style="1109" customWidth="1"/>
    <col min="13577" max="13577" width="7.28515625" style="1109" customWidth="1"/>
    <col min="13578" max="13578" width="7.7109375" style="1109" customWidth="1"/>
    <col min="13579" max="13579" width="7.85546875" style="1109" customWidth="1"/>
    <col min="13580" max="13580" width="16.85546875" style="1109" customWidth="1"/>
    <col min="13581" max="13825" width="9.140625" style="1109"/>
    <col min="13826" max="13826" width="6.42578125" style="1109" customWidth="1"/>
    <col min="13827" max="13827" width="35" style="1109" customWidth="1"/>
    <col min="13828" max="13828" width="8" style="1109" customWidth="1"/>
    <col min="13829" max="13829" width="17.5703125" style="1109" customWidth="1"/>
    <col min="13830" max="13830" width="4.85546875" style="1109" customWidth="1"/>
    <col min="13831" max="13831" width="6.5703125" style="1109" customWidth="1"/>
    <col min="13832" max="13832" width="6.140625" style="1109" customWidth="1"/>
    <col min="13833" max="13833" width="7.28515625" style="1109" customWidth="1"/>
    <col min="13834" max="13834" width="7.7109375" style="1109" customWidth="1"/>
    <col min="13835" max="13835" width="7.85546875" style="1109" customWidth="1"/>
    <col min="13836" max="13836" width="16.85546875" style="1109" customWidth="1"/>
    <col min="13837" max="14081" width="9.140625" style="1109"/>
    <col min="14082" max="14082" width="6.42578125" style="1109" customWidth="1"/>
    <col min="14083" max="14083" width="35" style="1109" customWidth="1"/>
    <col min="14084" max="14084" width="8" style="1109" customWidth="1"/>
    <col min="14085" max="14085" width="17.5703125" style="1109" customWidth="1"/>
    <col min="14086" max="14086" width="4.85546875" style="1109" customWidth="1"/>
    <col min="14087" max="14087" width="6.5703125" style="1109" customWidth="1"/>
    <col min="14088" max="14088" width="6.140625" style="1109" customWidth="1"/>
    <col min="14089" max="14089" width="7.28515625" style="1109" customWidth="1"/>
    <col min="14090" max="14090" width="7.7109375" style="1109" customWidth="1"/>
    <col min="14091" max="14091" width="7.85546875" style="1109" customWidth="1"/>
    <col min="14092" max="14092" width="16.85546875" style="1109" customWidth="1"/>
    <col min="14093" max="14337" width="9.140625" style="1109"/>
    <col min="14338" max="14338" width="6.42578125" style="1109" customWidth="1"/>
    <col min="14339" max="14339" width="35" style="1109" customWidth="1"/>
    <col min="14340" max="14340" width="8" style="1109" customWidth="1"/>
    <col min="14341" max="14341" width="17.5703125" style="1109" customWidth="1"/>
    <col min="14342" max="14342" width="4.85546875" style="1109" customWidth="1"/>
    <col min="14343" max="14343" width="6.5703125" style="1109" customWidth="1"/>
    <col min="14344" max="14344" width="6.140625" style="1109" customWidth="1"/>
    <col min="14345" max="14345" width="7.28515625" style="1109" customWidth="1"/>
    <col min="14346" max="14346" width="7.7109375" style="1109" customWidth="1"/>
    <col min="14347" max="14347" width="7.85546875" style="1109" customWidth="1"/>
    <col min="14348" max="14348" width="16.85546875" style="1109" customWidth="1"/>
    <col min="14349" max="14593" width="9.140625" style="1109"/>
    <col min="14594" max="14594" width="6.42578125" style="1109" customWidth="1"/>
    <col min="14595" max="14595" width="35" style="1109" customWidth="1"/>
    <col min="14596" max="14596" width="8" style="1109" customWidth="1"/>
    <col min="14597" max="14597" width="17.5703125" style="1109" customWidth="1"/>
    <col min="14598" max="14598" width="4.85546875" style="1109" customWidth="1"/>
    <col min="14599" max="14599" width="6.5703125" style="1109" customWidth="1"/>
    <col min="14600" max="14600" width="6.140625" style="1109" customWidth="1"/>
    <col min="14601" max="14601" width="7.28515625" style="1109" customWidth="1"/>
    <col min="14602" max="14602" width="7.7109375" style="1109" customWidth="1"/>
    <col min="14603" max="14603" width="7.85546875" style="1109" customWidth="1"/>
    <col min="14604" max="14604" width="16.85546875" style="1109" customWidth="1"/>
    <col min="14605" max="14849" width="9.140625" style="1109"/>
    <col min="14850" max="14850" width="6.42578125" style="1109" customWidth="1"/>
    <col min="14851" max="14851" width="35" style="1109" customWidth="1"/>
    <col min="14852" max="14852" width="8" style="1109" customWidth="1"/>
    <col min="14853" max="14853" width="17.5703125" style="1109" customWidth="1"/>
    <col min="14854" max="14854" width="4.85546875" style="1109" customWidth="1"/>
    <col min="14855" max="14855" width="6.5703125" style="1109" customWidth="1"/>
    <col min="14856" max="14856" width="6.140625" style="1109" customWidth="1"/>
    <col min="14857" max="14857" width="7.28515625" style="1109" customWidth="1"/>
    <col min="14858" max="14858" width="7.7109375" style="1109" customWidth="1"/>
    <col min="14859" max="14859" width="7.85546875" style="1109" customWidth="1"/>
    <col min="14860" max="14860" width="16.85546875" style="1109" customWidth="1"/>
    <col min="14861" max="15105" width="9.140625" style="1109"/>
    <col min="15106" max="15106" width="6.42578125" style="1109" customWidth="1"/>
    <col min="15107" max="15107" width="35" style="1109" customWidth="1"/>
    <col min="15108" max="15108" width="8" style="1109" customWidth="1"/>
    <col min="15109" max="15109" width="17.5703125" style="1109" customWidth="1"/>
    <col min="15110" max="15110" width="4.85546875" style="1109" customWidth="1"/>
    <col min="15111" max="15111" width="6.5703125" style="1109" customWidth="1"/>
    <col min="15112" max="15112" width="6.140625" style="1109" customWidth="1"/>
    <col min="15113" max="15113" width="7.28515625" style="1109" customWidth="1"/>
    <col min="15114" max="15114" width="7.7109375" style="1109" customWidth="1"/>
    <col min="15115" max="15115" width="7.85546875" style="1109" customWidth="1"/>
    <col min="15116" max="15116" width="16.85546875" style="1109" customWidth="1"/>
    <col min="15117" max="15361" width="9.140625" style="1109"/>
    <col min="15362" max="15362" width="6.42578125" style="1109" customWidth="1"/>
    <col min="15363" max="15363" width="35" style="1109" customWidth="1"/>
    <col min="15364" max="15364" width="8" style="1109" customWidth="1"/>
    <col min="15365" max="15365" width="17.5703125" style="1109" customWidth="1"/>
    <col min="15366" max="15366" width="4.85546875" style="1109" customWidth="1"/>
    <col min="15367" max="15367" width="6.5703125" style="1109" customWidth="1"/>
    <col min="15368" max="15368" width="6.140625" style="1109" customWidth="1"/>
    <col min="15369" max="15369" width="7.28515625" style="1109" customWidth="1"/>
    <col min="15370" max="15370" width="7.7109375" style="1109" customWidth="1"/>
    <col min="15371" max="15371" width="7.85546875" style="1109" customWidth="1"/>
    <col min="15372" max="15372" width="16.85546875" style="1109" customWidth="1"/>
    <col min="15373" max="15617" width="9.140625" style="1109"/>
    <col min="15618" max="15618" width="6.42578125" style="1109" customWidth="1"/>
    <col min="15619" max="15619" width="35" style="1109" customWidth="1"/>
    <col min="15620" max="15620" width="8" style="1109" customWidth="1"/>
    <col min="15621" max="15621" width="17.5703125" style="1109" customWidth="1"/>
    <col min="15622" max="15622" width="4.85546875" style="1109" customWidth="1"/>
    <col min="15623" max="15623" width="6.5703125" style="1109" customWidth="1"/>
    <col min="15624" max="15624" width="6.140625" style="1109" customWidth="1"/>
    <col min="15625" max="15625" width="7.28515625" style="1109" customWidth="1"/>
    <col min="15626" max="15626" width="7.7109375" style="1109" customWidth="1"/>
    <col min="15627" max="15627" width="7.85546875" style="1109" customWidth="1"/>
    <col min="15628" max="15628" width="16.85546875" style="1109" customWidth="1"/>
    <col min="15629" max="15873" width="9.140625" style="1109"/>
    <col min="15874" max="15874" width="6.42578125" style="1109" customWidth="1"/>
    <col min="15875" max="15875" width="35" style="1109" customWidth="1"/>
    <col min="15876" max="15876" width="8" style="1109" customWidth="1"/>
    <col min="15877" max="15877" width="17.5703125" style="1109" customWidth="1"/>
    <col min="15878" max="15878" width="4.85546875" style="1109" customWidth="1"/>
    <col min="15879" max="15879" width="6.5703125" style="1109" customWidth="1"/>
    <col min="15880" max="15880" width="6.140625" style="1109" customWidth="1"/>
    <col min="15881" max="15881" width="7.28515625" style="1109" customWidth="1"/>
    <col min="15882" max="15882" width="7.7109375" style="1109" customWidth="1"/>
    <col min="15883" max="15883" width="7.85546875" style="1109" customWidth="1"/>
    <col min="15884" max="15884" width="16.85546875" style="1109" customWidth="1"/>
    <col min="15885" max="16129" width="9.140625" style="1109"/>
    <col min="16130" max="16130" width="6.42578125" style="1109" customWidth="1"/>
    <col min="16131" max="16131" width="35" style="1109" customWidth="1"/>
    <col min="16132" max="16132" width="8" style="1109" customWidth="1"/>
    <col min="16133" max="16133" width="17.5703125" style="1109" customWidth="1"/>
    <col min="16134" max="16134" width="4.85546875" style="1109" customWidth="1"/>
    <col min="16135" max="16135" width="6.5703125" style="1109" customWidth="1"/>
    <col min="16136" max="16136" width="6.140625" style="1109" customWidth="1"/>
    <col min="16137" max="16137" width="7.28515625" style="1109" customWidth="1"/>
    <col min="16138" max="16138" width="7.7109375" style="1109" customWidth="1"/>
    <col min="16139" max="16139" width="7.85546875" style="1109" customWidth="1"/>
    <col min="16140" max="16140" width="16.85546875" style="1109" customWidth="1"/>
    <col min="16141" max="16384" width="9.140625" style="1109"/>
  </cols>
  <sheetData>
    <row r="1" spans="2:13">
      <c r="D1" s="1162"/>
    </row>
    <row r="2" spans="2:13">
      <c r="D2" s="1162"/>
    </row>
    <row r="3" spans="2:13">
      <c r="D3" s="1162"/>
    </row>
    <row r="4" spans="2:13">
      <c r="B4" s="1162" t="s">
        <v>94</v>
      </c>
      <c r="C4" s="1682" t="s">
        <v>500</v>
      </c>
      <c r="D4" s="1162"/>
      <c r="E4" s="1162"/>
      <c r="F4" s="1162"/>
    </row>
    <row r="5" spans="2:13">
      <c r="B5" s="1162"/>
      <c r="C5" s="1162"/>
      <c r="D5" s="1162"/>
      <c r="E5" s="1162"/>
      <c r="F5" s="1162"/>
      <c r="G5" s="1162"/>
      <c r="H5" s="1162"/>
      <c r="I5" s="1162"/>
      <c r="J5" s="1162"/>
      <c r="K5" s="1162"/>
      <c r="L5" s="1162"/>
    </row>
    <row r="6" spans="2:13">
      <c r="B6" s="6108" t="s">
        <v>220</v>
      </c>
      <c r="C6" s="6105" t="s">
        <v>501</v>
      </c>
      <c r="D6" s="6099" t="s">
        <v>502</v>
      </c>
      <c r="E6" s="6100"/>
      <c r="F6" s="6099"/>
      <c r="G6" s="6099"/>
      <c r="H6" s="6099"/>
      <c r="I6" s="6099"/>
      <c r="J6" s="6099"/>
      <c r="K6" s="6099"/>
      <c r="L6" s="6101"/>
    </row>
    <row r="7" spans="2:13">
      <c r="B7" s="6109"/>
      <c r="C7" s="6106"/>
      <c r="D7" s="1705" t="s">
        <v>503</v>
      </c>
      <c r="E7" s="1706" t="s">
        <v>314</v>
      </c>
      <c r="F7" s="1683" t="s">
        <v>489</v>
      </c>
      <c r="G7" s="6102" t="s">
        <v>504</v>
      </c>
      <c r="H7" s="6102"/>
      <c r="I7" s="6102"/>
      <c r="J7" s="6102"/>
      <c r="K7" s="6102"/>
      <c r="L7" s="6103"/>
    </row>
    <row r="8" spans="2:13">
      <c r="B8" s="6109"/>
      <c r="C8" s="6106"/>
      <c r="D8" s="1707"/>
      <c r="E8" s="1684" t="s">
        <v>380</v>
      </c>
      <c r="F8" s="1685" t="s">
        <v>341</v>
      </c>
      <c r="G8" s="1686" t="s">
        <v>342</v>
      </c>
      <c r="H8" s="1686" t="s">
        <v>456</v>
      </c>
      <c r="I8" s="1686"/>
      <c r="J8" s="1686"/>
      <c r="K8" s="1686"/>
      <c r="L8" s="1687" t="s">
        <v>505</v>
      </c>
    </row>
    <row r="9" spans="2:13">
      <c r="B9" s="6109"/>
      <c r="C9" s="6106"/>
      <c r="D9" s="1707"/>
      <c r="E9" s="1688"/>
      <c r="F9" s="1689"/>
      <c r="G9" s="1686"/>
      <c r="H9" s="1686" t="s">
        <v>263</v>
      </c>
      <c r="I9" s="1689" t="s">
        <v>264</v>
      </c>
      <c r="J9" s="1689" t="s">
        <v>265</v>
      </c>
      <c r="K9" s="1689" t="s">
        <v>266</v>
      </c>
      <c r="L9" s="1687" t="s">
        <v>259</v>
      </c>
    </row>
    <row r="10" spans="2:13">
      <c r="B10" s="6110"/>
      <c r="C10" s="6107"/>
      <c r="D10" s="1689" t="s">
        <v>94</v>
      </c>
      <c r="E10" s="1689"/>
      <c r="F10" s="1689" t="s">
        <v>94</v>
      </c>
      <c r="G10" s="1686" t="s">
        <v>94</v>
      </c>
      <c r="H10" s="1686" t="s">
        <v>94</v>
      </c>
      <c r="I10" s="1686"/>
      <c r="J10" s="1686"/>
      <c r="K10" s="1686"/>
      <c r="L10" s="1690" t="s">
        <v>494</v>
      </c>
    </row>
    <row r="11" spans="2:13">
      <c r="B11" s="1691"/>
      <c r="C11" s="1692"/>
      <c r="D11" s="1693"/>
      <c r="E11" s="1693" t="s">
        <v>94</v>
      </c>
      <c r="F11" s="1693" t="s">
        <v>94</v>
      </c>
      <c r="G11" s="1693"/>
      <c r="H11" s="1694"/>
      <c r="I11" s="1694"/>
      <c r="J11" s="1694"/>
      <c r="K11" s="1694"/>
      <c r="L11" s="1695"/>
    </row>
    <row r="12" spans="2:13">
      <c r="B12" s="6104">
        <v>1</v>
      </c>
      <c r="C12" s="1162" t="s">
        <v>506</v>
      </c>
      <c r="D12" s="1696"/>
      <c r="E12" s="1794">
        <v>753.06</v>
      </c>
      <c r="F12" s="1795" t="s">
        <v>94</v>
      </c>
      <c r="G12" s="1795"/>
      <c r="H12" s="1796"/>
      <c r="I12" s="1794">
        <f>E25</f>
        <v>780.66999999999985</v>
      </c>
      <c r="J12" s="1794">
        <v>782.87</v>
      </c>
      <c r="K12" s="1794">
        <v>787.8</v>
      </c>
      <c r="L12" s="1794">
        <v>791.49</v>
      </c>
    </row>
    <row r="13" spans="2:13">
      <c r="B13" s="6098"/>
      <c r="C13" s="1162" t="s">
        <v>507</v>
      </c>
      <c r="D13" s="1696"/>
      <c r="E13" s="1795"/>
      <c r="F13" s="1795" t="s">
        <v>94</v>
      </c>
      <c r="G13" s="1795"/>
      <c r="H13" s="1796"/>
      <c r="I13" s="1795"/>
      <c r="J13" s="1795"/>
      <c r="K13" s="1795"/>
      <c r="L13" s="1795"/>
    </row>
    <row r="14" spans="2:13">
      <c r="B14" s="6098"/>
      <c r="C14" s="1698"/>
      <c r="D14" s="1699"/>
      <c r="E14" s="1797"/>
      <c r="F14" s="1797" t="s">
        <v>94</v>
      </c>
      <c r="G14" s="1797"/>
      <c r="H14" s="1798"/>
      <c r="I14" s="1797"/>
      <c r="J14" s="1797"/>
      <c r="K14" s="1797"/>
      <c r="L14" s="1797"/>
    </row>
    <row r="15" spans="2:13" ht="15" hidden="1" customHeight="1">
      <c r="B15" s="6098">
        <v>2</v>
      </c>
      <c r="C15" s="1162"/>
      <c r="D15" s="1696"/>
      <c r="E15" s="1795"/>
      <c r="F15" s="1795" t="s">
        <v>94</v>
      </c>
      <c r="G15" s="1795"/>
      <c r="H15" s="1796"/>
      <c r="I15" s="1795"/>
      <c r="J15" s="1795"/>
      <c r="K15" s="1795"/>
      <c r="L15" s="1795"/>
    </row>
    <row r="16" spans="2:13">
      <c r="B16" s="6098"/>
      <c r="C16" s="51" t="s">
        <v>508</v>
      </c>
      <c r="D16" s="1700"/>
      <c r="E16" s="1799">
        <v>31.68</v>
      </c>
      <c r="F16" s="1800" t="s">
        <v>94</v>
      </c>
      <c r="G16" s="1800"/>
      <c r="H16" s="1801"/>
      <c r="I16" s="1799">
        <v>2.2000000000000002</v>
      </c>
      <c r="J16" s="1799">
        <v>4.93</v>
      </c>
      <c r="K16" s="1799">
        <v>3.69</v>
      </c>
      <c r="L16" s="1799">
        <v>24.54</v>
      </c>
      <c r="M16" s="1153"/>
    </row>
    <row r="17" spans="2:12">
      <c r="B17" s="6098"/>
      <c r="C17" s="1162"/>
      <c r="D17" s="1696"/>
      <c r="E17" s="1795"/>
      <c r="F17" s="1795"/>
      <c r="G17" s="1795"/>
      <c r="H17" s="1796"/>
      <c r="I17" s="1795"/>
      <c r="J17" s="1795"/>
      <c r="K17" s="1795"/>
      <c r="L17" s="1795"/>
    </row>
    <row r="18" spans="2:12">
      <c r="B18" s="6098">
        <v>3</v>
      </c>
      <c r="C18" s="1701"/>
      <c r="D18" s="1702"/>
      <c r="E18" s="1802"/>
      <c r="F18" s="1802"/>
      <c r="G18" s="1802"/>
      <c r="H18" s="1803"/>
      <c r="I18" s="1802"/>
      <c r="J18" s="1802"/>
      <c r="K18" s="1802"/>
      <c r="L18" s="1802"/>
    </row>
    <row r="19" spans="2:12">
      <c r="B19" s="6098"/>
      <c r="C19" s="1703" t="s">
        <v>509</v>
      </c>
      <c r="D19" s="1162"/>
      <c r="E19" s="1804">
        <v>784.7399999999999</v>
      </c>
      <c r="F19" s="1796" t="s">
        <v>94</v>
      </c>
      <c r="G19" s="1796"/>
      <c r="H19" s="1796"/>
      <c r="I19" s="1804">
        <f>+I12+I16</f>
        <v>782.86999999999989</v>
      </c>
      <c r="J19" s="1804">
        <v>787.8</v>
      </c>
      <c r="K19" s="1804">
        <f>+K12+K16</f>
        <v>791.49</v>
      </c>
      <c r="L19" s="1794">
        <f>+L12+L16</f>
        <v>816.03</v>
      </c>
    </row>
    <row r="20" spans="2:12">
      <c r="B20" s="6098"/>
      <c r="C20" s="1698" t="s">
        <v>510</v>
      </c>
      <c r="D20" s="1699"/>
      <c r="E20" s="1797"/>
      <c r="F20" s="1797"/>
      <c r="G20" s="1797"/>
      <c r="H20" s="1798"/>
      <c r="I20" s="1797"/>
      <c r="J20" s="1798"/>
      <c r="K20" s="1798"/>
      <c r="L20" s="1797"/>
    </row>
    <row r="21" spans="2:12" ht="15" customHeight="1">
      <c r="B21" s="6098">
        <v>4</v>
      </c>
      <c r="C21" s="1162"/>
      <c r="D21" s="1696"/>
      <c r="E21" s="1795"/>
      <c r="F21" s="1795"/>
      <c r="G21" s="1795"/>
      <c r="H21" s="1795"/>
      <c r="I21" s="1795"/>
      <c r="J21" s="1795"/>
      <c r="K21" s="1795"/>
      <c r="L21" s="1795"/>
    </row>
    <row r="22" spans="2:12">
      <c r="B22" s="6098"/>
      <c r="C22" s="1162" t="s">
        <v>511</v>
      </c>
      <c r="D22" s="1696"/>
      <c r="E22" s="1795">
        <v>-4.07</v>
      </c>
      <c r="F22" s="1795"/>
      <c r="G22" s="1795"/>
      <c r="H22" s="1795"/>
      <c r="I22" s="1805">
        <v>0</v>
      </c>
      <c r="J22" s="1795">
        <v>0</v>
      </c>
      <c r="K22" s="1795">
        <v>0</v>
      </c>
      <c r="L22" s="1795">
        <v>0</v>
      </c>
    </row>
    <row r="23" spans="2:12">
      <c r="B23" s="6098"/>
      <c r="C23" s="1162"/>
      <c r="D23" s="1696"/>
      <c r="E23" s="1795"/>
      <c r="F23" s="1795"/>
      <c r="G23" s="1795"/>
      <c r="H23" s="1795"/>
      <c r="I23" s="1795"/>
      <c r="J23" s="1795"/>
      <c r="K23" s="1795"/>
      <c r="L23" s="1795"/>
    </row>
    <row r="24" spans="2:12">
      <c r="B24" s="6098"/>
      <c r="C24" s="1162"/>
      <c r="D24" s="1696"/>
      <c r="E24" s="1795"/>
      <c r="F24" s="1795"/>
      <c r="G24" s="1795"/>
      <c r="H24" s="1795"/>
      <c r="I24" s="1795"/>
      <c r="J24" s="1795"/>
      <c r="K24" s="1795"/>
      <c r="L24" s="1795"/>
    </row>
    <row r="25" spans="2:12">
      <c r="B25" s="1704">
        <v>5</v>
      </c>
      <c r="C25" s="51" t="s">
        <v>512</v>
      </c>
      <c r="D25" s="1700"/>
      <c r="E25" s="1799">
        <f>E19+E22</f>
        <v>780.66999999999985</v>
      </c>
      <c r="F25" s="1800"/>
      <c r="G25" s="1800"/>
      <c r="H25" s="1800"/>
      <c r="I25" s="1799">
        <v>782.87</v>
      </c>
      <c r="J25" s="1799">
        <v>787.8</v>
      </c>
      <c r="K25" s="1799">
        <v>791.49</v>
      </c>
      <c r="L25" s="1799">
        <v>816.03</v>
      </c>
    </row>
    <row r="26" spans="2:12">
      <c r="C26" s="1162"/>
      <c r="D26" s="1162"/>
    </row>
    <row r="27" spans="2:12">
      <c r="C27" s="1708"/>
      <c r="D27" s="1162"/>
    </row>
    <row r="28" spans="2:12">
      <c r="C28" s="1708"/>
      <c r="D28" s="1162"/>
    </row>
    <row r="29" spans="2:12">
      <c r="C29" s="1162"/>
      <c r="D29" s="1162"/>
    </row>
    <row r="30" spans="2:12">
      <c r="C30" s="1162"/>
      <c r="D30" s="1162"/>
    </row>
    <row r="31" spans="2:12">
      <c r="C31" s="1162"/>
      <c r="D31" s="1162"/>
    </row>
    <row r="32" spans="2:12">
      <c r="C32" s="1162"/>
      <c r="D32" s="1162"/>
    </row>
    <row r="33" spans="3:4">
      <c r="C33" s="1162"/>
      <c r="D33" s="1162"/>
    </row>
    <row r="34" spans="3:4">
      <c r="C34" s="1162"/>
      <c r="D34" s="1162"/>
    </row>
    <row r="35" spans="3:4">
      <c r="C35" s="1162"/>
      <c r="D35" s="1162"/>
    </row>
    <row r="36" spans="3:4">
      <c r="C36" s="1162"/>
      <c r="D36" s="1162"/>
    </row>
    <row r="37" spans="3:4">
      <c r="C37" s="1162"/>
      <c r="D37" s="1162"/>
    </row>
    <row r="38" spans="3:4">
      <c r="C38" s="1162"/>
      <c r="D38" s="1162"/>
    </row>
    <row r="39" spans="3:4">
      <c r="C39" s="1162"/>
      <c r="D39" s="1162"/>
    </row>
    <row r="40" spans="3:4">
      <c r="C40" s="1162"/>
      <c r="D40" s="1162"/>
    </row>
    <row r="41" spans="3:4">
      <c r="C41" s="1162"/>
      <c r="D41" s="1162"/>
    </row>
    <row r="42" spans="3:4">
      <c r="C42" s="1162"/>
      <c r="D42" s="1162"/>
    </row>
    <row r="43" spans="3:4">
      <c r="C43" s="1162"/>
      <c r="D43" s="1162"/>
    </row>
    <row r="44" spans="3:4">
      <c r="C44" s="1162"/>
      <c r="D44" s="1162"/>
    </row>
    <row r="45" spans="3:4">
      <c r="C45" s="1162"/>
      <c r="D45" s="1162"/>
    </row>
    <row r="46" spans="3:4">
      <c r="C46" s="1162"/>
      <c r="D46" s="1162"/>
    </row>
    <row r="47" spans="3:4">
      <c r="C47" s="1162"/>
      <c r="D47" s="1162"/>
    </row>
    <row r="48" spans="3:4">
      <c r="C48" s="1162"/>
      <c r="D48" s="1162"/>
    </row>
    <row r="49" spans="3:4">
      <c r="C49" s="1162"/>
      <c r="D49" s="1162"/>
    </row>
    <row r="50" spans="3:4">
      <c r="C50" s="1162"/>
      <c r="D50" s="1162"/>
    </row>
    <row r="51" spans="3:4">
      <c r="C51" s="1162"/>
      <c r="D51" s="1162"/>
    </row>
    <row r="52" spans="3:4">
      <c r="C52" s="1162"/>
      <c r="D52" s="1162"/>
    </row>
    <row r="53" spans="3:4">
      <c r="C53" s="1162"/>
      <c r="D53" s="1162"/>
    </row>
    <row r="54" spans="3:4">
      <c r="C54" s="1162"/>
      <c r="D54" s="1162"/>
    </row>
    <row r="55" spans="3:4">
      <c r="C55" s="1162"/>
      <c r="D55" s="1162"/>
    </row>
    <row r="56" spans="3:4">
      <c r="C56" s="1162"/>
      <c r="D56" s="1162"/>
    </row>
    <row r="57" spans="3:4">
      <c r="C57" s="1162"/>
      <c r="D57" s="1162"/>
    </row>
    <row r="58" spans="3:4">
      <c r="C58" s="1162"/>
      <c r="D58" s="1162"/>
    </row>
    <row r="59" spans="3:4">
      <c r="C59" s="1162"/>
      <c r="D59" s="1162"/>
    </row>
    <row r="60" spans="3:4">
      <c r="C60" s="1162"/>
      <c r="D60" s="1162"/>
    </row>
    <row r="61" spans="3:4">
      <c r="C61" s="1162"/>
      <c r="D61" s="1162"/>
    </row>
    <row r="62" spans="3:4">
      <c r="C62" s="1162"/>
      <c r="D62" s="1162"/>
    </row>
    <row r="63" spans="3:4">
      <c r="C63" s="1162"/>
      <c r="D63" s="1162"/>
    </row>
    <row r="64" spans="3:4">
      <c r="C64" s="1162"/>
      <c r="D64" s="1162"/>
    </row>
    <row r="65" spans="3:4">
      <c r="C65" s="1162"/>
      <c r="D65" s="1162"/>
    </row>
    <row r="66" spans="3:4">
      <c r="C66" s="1162"/>
      <c r="D66" s="1162"/>
    </row>
    <row r="67" spans="3:4">
      <c r="C67" s="1162"/>
      <c r="D67" s="1162"/>
    </row>
    <row r="68" spans="3:4">
      <c r="C68" s="1162"/>
      <c r="D68" s="1162"/>
    </row>
    <row r="69" spans="3:4">
      <c r="C69" s="1162"/>
      <c r="D69" s="1162"/>
    </row>
    <row r="70" spans="3:4">
      <c r="C70" s="1162"/>
      <c r="D70" s="1162"/>
    </row>
    <row r="71" spans="3:4">
      <c r="C71" s="1162"/>
      <c r="D71" s="1162"/>
    </row>
    <row r="72" spans="3:4">
      <c r="C72" s="1162"/>
      <c r="D72" s="1162"/>
    </row>
    <row r="73" spans="3:4">
      <c r="C73" s="1162"/>
      <c r="D73" s="1162"/>
    </row>
    <row r="74" spans="3:4">
      <c r="C74" s="1162"/>
      <c r="D74" s="1162"/>
    </row>
    <row r="75" spans="3:4">
      <c r="C75" s="1162"/>
      <c r="D75" s="1162"/>
    </row>
    <row r="76" spans="3:4">
      <c r="C76" s="1162"/>
      <c r="D76" s="1162"/>
    </row>
    <row r="77" spans="3:4">
      <c r="C77" s="1162"/>
      <c r="D77" s="1162"/>
    </row>
    <row r="78" spans="3:4">
      <c r="C78" s="1162"/>
      <c r="D78" s="1162"/>
    </row>
    <row r="79" spans="3:4">
      <c r="C79" s="1162"/>
      <c r="D79" s="1162"/>
    </row>
    <row r="80" spans="3:4">
      <c r="C80" s="1162"/>
      <c r="D80" s="1162"/>
    </row>
    <row r="81" spans="3:4">
      <c r="C81" s="1162"/>
      <c r="D81" s="1162"/>
    </row>
    <row r="82" spans="3:4">
      <c r="C82" s="1162"/>
      <c r="D82" s="1162"/>
    </row>
    <row r="83" spans="3:4">
      <c r="C83" s="1162"/>
      <c r="D83" s="1162"/>
    </row>
    <row r="84" spans="3:4">
      <c r="C84" s="1162"/>
      <c r="D84" s="1162"/>
    </row>
    <row r="85" spans="3:4">
      <c r="C85" s="1162"/>
      <c r="D85" s="1162"/>
    </row>
    <row r="86" spans="3:4">
      <c r="C86" s="1162"/>
      <c r="D86" s="1162"/>
    </row>
    <row r="87" spans="3:4">
      <c r="C87" s="1162"/>
      <c r="D87" s="1162"/>
    </row>
    <row r="88" spans="3:4">
      <c r="C88" s="1162"/>
      <c r="D88" s="1162"/>
    </row>
    <row r="89" spans="3:4">
      <c r="C89" s="1162"/>
      <c r="D89" s="1162"/>
    </row>
    <row r="90" spans="3:4">
      <c r="C90" s="1162"/>
      <c r="D90" s="1162"/>
    </row>
    <row r="91" spans="3:4">
      <c r="C91" s="1162"/>
      <c r="D91" s="1162"/>
    </row>
    <row r="92" spans="3:4">
      <c r="C92" s="1162"/>
      <c r="D92" s="1162"/>
    </row>
    <row r="93" spans="3:4">
      <c r="C93" s="1162"/>
      <c r="D93" s="1162"/>
    </row>
    <row r="94" spans="3:4">
      <c r="C94" s="1162"/>
      <c r="D94" s="1162"/>
    </row>
    <row r="95" spans="3:4">
      <c r="C95" s="1162"/>
      <c r="D95" s="1162"/>
    </row>
    <row r="96" spans="3:4">
      <c r="C96" s="1162"/>
      <c r="D96" s="1162"/>
    </row>
    <row r="97" spans="3:4">
      <c r="C97" s="1162"/>
      <c r="D97" s="1162"/>
    </row>
    <row r="98" spans="3:4">
      <c r="C98" s="1162"/>
      <c r="D98" s="1162"/>
    </row>
    <row r="99" spans="3:4">
      <c r="C99" s="1162"/>
      <c r="D99" s="1162"/>
    </row>
    <row r="100" spans="3:4">
      <c r="C100" s="1162"/>
      <c r="D100" s="1162"/>
    </row>
    <row r="101" spans="3:4">
      <c r="C101" s="1162"/>
      <c r="D101" s="1162"/>
    </row>
    <row r="102" spans="3:4">
      <c r="C102" s="1162"/>
      <c r="D102" s="1162"/>
    </row>
    <row r="103" spans="3:4">
      <c r="C103" s="1162"/>
      <c r="D103" s="1162"/>
    </row>
    <row r="104" spans="3:4">
      <c r="C104" s="1162"/>
      <c r="D104" s="1162"/>
    </row>
    <row r="105" spans="3:4">
      <c r="C105" s="1162"/>
      <c r="D105" s="1162"/>
    </row>
    <row r="106" spans="3:4">
      <c r="C106" s="1162"/>
      <c r="D106" s="1162"/>
    </row>
    <row r="107" spans="3:4">
      <c r="C107" s="1162"/>
      <c r="D107" s="1162"/>
    </row>
    <row r="108" spans="3:4">
      <c r="C108" s="1162"/>
      <c r="D108" s="1162"/>
    </row>
    <row r="109" spans="3:4">
      <c r="C109" s="1162"/>
      <c r="D109" s="1162"/>
    </row>
    <row r="110" spans="3:4">
      <c r="C110" s="1162"/>
      <c r="D110" s="1162"/>
    </row>
    <row r="111" spans="3:4">
      <c r="C111" s="1162"/>
      <c r="D111" s="1162"/>
    </row>
    <row r="112" spans="3:4">
      <c r="C112" s="1162"/>
      <c r="D112" s="1162"/>
    </row>
    <row r="113" spans="3:4">
      <c r="C113" s="1162"/>
      <c r="D113" s="1162"/>
    </row>
    <row r="114" spans="3:4">
      <c r="C114" s="1162"/>
      <c r="D114" s="1162"/>
    </row>
    <row r="115" spans="3:4">
      <c r="C115" s="1162"/>
      <c r="D115" s="1162"/>
    </row>
    <row r="116" spans="3:4">
      <c r="C116" s="1162"/>
      <c r="D116" s="1162"/>
    </row>
    <row r="117" spans="3:4">
      <c r="C117" s="1162"/>
      <c r="D117" s="1162"/>
    </row>
    <row r="118" spans="3:4">
      <c r="C118" s="1162"/>
      <c r="D118" s="1162"/>
    </row>
    <row r="119" spans="3:4">
      <c r="C119" s="1162"/>
      <c r="D119" s="1162"/>
    </row>
    <row r="120" spans="3:4">
      <c r="C120" s="1162"/>
      <c r="D120" s="1162"/>
    </row>
    <row r="121" spans="3:4">
      <c r="C121" s="1162"/>
      <c r="D121" s="1162"/>
    </row>
    <row r="122" spans="3:4">
      <c r="C122" s="1162"/>
      <c r="D122" s="1162"/>
    </row>
    <row r="123" spans="3:4">
      <c r="C123" s="1162"/>
      <c r="D123" s="1162"/>
    </row>
    <row r="124" spans="3:4">
      <c r="C124" s="1162"/>
      <c r="D124" s="1162"/>
    </row>
    <row r="125" spans="3:4">
      <c r="C125" s="1162"/>
      <c r="D125" s="1162"/>
    </row>
    <row r="126" spans="3:4">
      <c r="C126" s="1162"/>
      <c r="D126" s="1162"/>
    </row>
    <row r="127" spans="3:4">
      <c r="C127" s="1162"/>
      <c r="D127" s="1162"/>
    </row>
    <row r="128" spans="3:4">
      <c r="C128" s="1162"/>
      <c r="D128" s="1162"/>
    </row>
    <row r="129" spans="3:4">
      <c r="C129" s="1162"/>
      <c r="D129" s="1162"/>
    </row>
    <row r="130" spans="3:4">
      <c r="C130" s="1162"/>
      <c r="D130" s="1162"/>
    </row>
    <row r="131" spans="3:4">
      <c r="C131" s="1162"/>
      <c r="D131" s="1162"/>
    </row>
    <row r="132" spans="3:4">
      <c r="C132" s="1162"/>
      <c r="D132" s="1162"/>
    </row>
    <row r="133" spans="3:4">
      <c r="C133" s="1162"/>
      <c r="D133" s="1162"/>
    </row>
    <row r="134" spans="3:4">
      <c r="C134" s="1162"/>
      <c r="D134" s="1162"/>
    </row>
    <row r="135" spans="3:4">
      <c r="C135" s="1162"/>
      <c r="D135" s="1162"/>
    </row>
    <row r="136" spans="3:4">
      <c r="C136" s="1162"/>
      <c r="D136" s="1162"/>
    </row>
    <row r="137" spans="3:4">
      <c r="C137" s="1162"/>
      <c r="D137" s="1162"/>
    </row>
    <row r="138" spans="3:4">
      <c r="C138" s="1162"/>
      <c r="D138" s="1162"/>
    </row>
    <row r="139" spans="3:4">
      <c r="C139" s="1162"/>
      <c r="D139" s="1162"/>
    </row>
    <row r="140" spans="3:4">
      <c r="C140" s="1162"/>
      <c r="D140" s="1162"/>
    </row>
    <row r="141" spans="3:4">
      <c r="C141" s="1162"/>
      <c r="D141" s="1162"/>
    </row>
    <row r="142" spans="3:4">
      <c r="C142" s="1162"/>
      <c r="D142" s="1162"/>
    </row>
    <row r="143" spans="3:4">
      <c r="C143" s="1162"/>
      <c r="D143" s="1162"/>
    </row>
    <row r="144" spans="3:4">
      <c r="C144" s="1162"/>
      <c r="D144" s="1162"/>
    </row>
    <row r="145" spans="3:4">
      <c r="C145" s="1162"/>
      <c r="D145" s="1162"/>
    </row>
    <row r="146" spans="3:4">
      <c r="C146" s="1162"/>
      <c r="D146" s="1162"/>
    </row>
    <row r="147" spans="3:4">
      <c r="C147" s="1162"/>
      <c r="D147" s="1162"/>
    </row>
    <row r="148" spans="3:4">
      <c r="C148" s="1162"/>
      <c r="D148" s="1162"/>
    </row>
    <row r="149" spans="3:4">
      <c r="C149" s="1162"/>
      <c r="D149" s="1162"/>
    </row>
    <row r="150" spans="3:4">
      <c r="C150" s="1162"/>
      <c r="D150" s="1162"/>
    </row>
    <row r="151" spans="3:4">
      <c r="C151" s="1162"/>
      <c r="D151" s="1162"/>
    </row>
    <row r="152" spans="3:4">
      <c r="C152" s="1162"/>
      <c r="D152" s="1162"/>
    </row>
    <row r="153" spans="3:4">
      <c r="C153" s="1162"/>
      <c r="D153" s="1162"/>
    </row>
    <row r="154" spans="3:4">
      <c r="C154" s="1162"/>
      <c r="D154" s="1162"/>
    </row>
    <row r="155" spans="3:4">
      <c r="C155" s="1162"/>
      <c r="D155" s="1162"/>
    </row>
    <row r="156" spans="3:4">
      <c r="C156" s="1162"/>
      <c r="D156" s="1162"/>
    </row>
  </sheetData>
  <sheetProtection selectLockedCells="1" selectUnlockedCells="1"/>
  <mergeCells count="8">
    <mergeCell ref="B21:B24"/>
    <mergeCell ref="D6:L6"/>
    <mergeCell ref="G7:L7"/>
    <mergeCell ref="B15:B17"/>
    <mergeCell ref="B12:B14"/>
    <mergeCell ref="B18:B20"/>
    <mergeCell ref="C6:C10"/>
    <mergeCell ref="B6:B10"/>
  </mergeCells>
  <pageMargins left="0.75" right="0.75" top="1" bottom="1" header="0.51180555555555551" footer="0.51180555555555551"/>
  <pageSetup paperSize="9" scale="89" firstPageNumber="0" orientation="landscape" horizontalDpi="300" verticalDpi="300" r:id="rId1"/>
  <headerFooter alignWithMargins="0"/>
</worksheet>
</file>

<file path=xl/worksheets/sheet93.xml><?xml version="1.0" encoding="utf-8"?>
<worksheet xmlns="http://schemas.openxmlformats.org/spreadsheetml/2006/main" xmlns:r="http://schemas.openxmlformats.org/officeDocument/2006/relationships">
  <sheetPr codeName="Sheet72"/>
  <dimension ref="B1:G12"/>
  <sheetViews>
    <sheetView showGridLines="0" view="pageBreakPreview" zoomScale="60" workbookViewId="0">
      <selection activeCell="F6" sqref="F6"/>
    </sheetView>
  </sheetViews>
  <sheetFormatPr defaultRowHeight="15"/>
  <cols>
    <col min="3" max="3" width="18.5703125" customWidth="1"/>
    <col min="4" max="4" width="11" customWidth="1"/>
  </cols>
  <sheetData>
    <row r="1" spans="2:7" ht="15.75" thickBot="1"/>
    <row r="2" spans="2:7" ht="15.75" thickBot="1">
      <c r="C2" s="1107" t="s">
        <v>194</v>
      </c>
    </row>
    <row r="4" spans="2:7">
      <c r="B4" s="6096" t="s">
        <v>1858</v>
      </c>
      <c r="C4" s="6096" t="s">
        <v>81</v>
      </c>
      <c r="D4" s="6097" t="s">
        <v>2164</v>
      </c>
      <c r="E4" s="6097"/>
      <c r="F4" s="6097"/>
      <c r="G4" s="6097"/>
    </row>
    <row r="5" spans="2:7" ht="60">
      <c r="B5" s="6096"/>
      <c r="C5" s="6096"/>
      <c r="D5" s="8" t="s">
        <v>2165</v>
      </c>
      <c r="E5" s="8" t="s">
        <v>2166</v>
      </c>
      <c r="F5" s="8" t="s">
        <v>1849</v>
      </c>
      <c r="G5" s="8" t="s">
        <v>231</v>
      </c>
    </row>
    <row r="6" spans="2:7" ht="46.5" customHeight="1">
      <c r="B6" s="1677">
        <v>1</v>
      </c>
      <c r="C6" s="908" t="s">
        <v>2167</v>
      </c>
      <c r="D6" s="1677">
        <v>69.75</v>
      </c>
      <c r="E6" s="1677">
        <v>69.75</v>
      </c>
      <c r="F6" s="1677">
        <v>74.97</v>
      </c>
      <c r="G6" s="1677">
        <v>5.22</v>
      </c>
    </row>
    <row r="7" spans="2:7" ht="33.75" customHeight="1">
      <c r="B7" s="1677">
        <v>2</v>
      </c>
      <c r="C7" s="908" t="s">
        <v>2168</v>
      </c>
      <c r="D7" s="1677">
        <v>11.14</v>
      </c>
      <c r="E7" s="1677">
        <v>11.14</v>
      </c>
      <c r="F7" s="1677">
        <v>14.3</v>
      </c>
      <c r="G7" s="1677">
        <v>3.16</v>
      </c>
    </row>
    <row r="8" spans="2:7" ht="25.5" customHeight="1">
      <c r="B8" s="1677">
        <v>3</v>
      </c>
      <c r="C8" s="908" t="s">
        <v>2169</v>
      </c>
      <c r="D8" s="1677">
        <v>0.37</v>
      </c>
      <c r="E8" s="1677">
        <v>0.37</v>
      </c>
      <c r="F8" s="1677">
        <v>0.39</v>
      </c>
      <c r="G8" s="1677">
        <v>0.02</v>
      </c>
    </row>
    <row r="9" spans="2:7">
      <c r="B9" s="1677">
        <v>4</v>
      </c>
      <c r="C9" s="908" t="s">
        <v>2170</v>
      </c>
      <c r="D9" s="1677">
        <v>0</v>
      </c>
      <c r="E9" s="1677">
        <v>0</v>
      </c>
      <c r="F9" s="1677">
        <v>0</v>
      </c>
      <c r="G9" s="1677">
        <v>0</v>
      </c>
    </row>
    <row r="10" spans="2:7" ht="29.25" customHeight="1">
      <c r="B10" s="1677">
        <v>5</v>
      </c>
      <c r="C10" s="908" t="s">
        <v>232</v>
      </c>
      <c r="D10" s="1677">
        <v>0</v>
      </c>
      <c r="E10" s="1677">
        <v>0</v>
      </c>
      <c r="F10" s="1677">
        <v>0</v>
      </c>
      <c r="G10" s="1677">
        <v>0</v>
      </c>
    </row>
    <row r="11" spans="2:7" ht="42.75" customHeight="1">
      <c r="B11" s="1677">
        <v>5</v>
      </c>
      <c r="C11" s="908" t="s">
        <v>2171</v>
      </c>
      <c r="D11" s="1677">
        <v>0</v>
      </c>
      <c r="E11" s="1677">
        <v>0</v>
      </c>
      <c r="F11" s="1677">
        <v>0.55000000000000004</v>
      </c>
      <c r="G11" s="1677">
        <v>0.55000000000000004</v>
      </c>
    </row>
    <row r="12" spans="2:7">
      <c r="B12" s="908"/>
      <c r="C12" s="1719" t="s">
        <v>2172</v>
      </c>
      <c r="D12" s="1718">
        <v>81.260000000000005</v>
      </c>
      <c r="E12" s="1718">
        <v>81.260000000000005</v>
      </c>
      <c r="F12" s="1718">
        <v>90.21</v>
      </c>
      <c r="G12" s="1718">
        <v>8.9499999999999993</v>
      </c>
    </row>
  </sheetData>
  <mergeCells count="3">
    <mergeCell ref="B4:B5"/>
    <mergeCell ref="C4:C5"/>
    <mergeCell ref="D4:G4"/>
  </mergeCell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sheetPr codeName="Sheet73"/>
  <dimension ref="B1:E15"/>
  <sheetViews>
    <sheetView showGridLines="0" view="pageBreakPreview" zoomScale="60" zoomScaleNormal="80" workbookViewId="0">
      <selection activeCell="O23" sqref="O23"/>
    </sheetView>
  </sheetViews>
  <sheetFormatPr defaultRowHeight="15"/>
  <cols>
    <col min="1" max="1" width="9.140625" style="1013"/>
    <col min="2" max="2" width="12.7109375" style="1013" customWidth="1"/>
    <col min="3" max="3" width="41.5703125" style="1013" customWidth="1"/>
    <col min="4" max="4" width="19.5703125" style="1013" customWidth="1"/>
    <col min="5" max="5" width="16.42578125" style="1013" customWidth="1"/>
    <col min="6" max="6" width="9.140625" style="1013"/>
    <col min="7" max="7" width="14.28515625" style="1013" customWidth="1"/>
    <col min="8" max="16384" width="9.140625" style="1013"/>
  </cols>
  <sheetData>
    <row r="1" spans="2:5">
      <c r="C1" s="6111" t="s">
        <v>2429</v>
      </c>
      <c r="D1" s="6111"/>
    </row>
    <row r="2" spans="2:5">
      <c r="B2" s="1015" t="s">
        <v>82</v>
      </c>
      <c r="E2" s="1015" t="s">
        <v>151</v>
      </c>
    </row>
    <row r="3" spans="2:5" ht="51.75" customHeight="1">
      <c r="B3" s="1892" t="s">
        <v>1114</v>
      </c>
      <c r="C3" s="1892" t="s">
        <v>81</v>
      </c>
      <c r="D3" s="1892" t="s">
        <v>1119</v>
      </c>
      <c r="E3" s="1892" t="s">
        <v>98</v>
      </c>
    </row>
    <row r="4" spans="2:5" ht="37.5" customHeight="1">
      <c r="B4" s="2636">
        <v>1</v>
      </c>
      <c r="C4" s="2650" t="s">
        <v>1115</v>
      </c>
      <c r="D4" s="2636">
        <v>0</v>
      </c>
      <c r="E4" s="2636">
        <v>0</v>
      </c>
    </row>
    <row r="5" spans="2:5" ht="27" customHeight="1">
      <c r="B5" s="2636">
        <v>2</v>
      </c>
      <c r="C5" s="2650" t="s">
        <v>632</v>
      </c>
      <c r="D5" s="2636"/>
      <c r="E5" s="2636"/>
    </row>
    <row r="6" spans="2:5" ht="27" customHeight="1">
      <c r="B6" s="2636"/>
      <c r="C6" s="1015" t="s">
        <v>1122</v>
      </c>
      <c r="D6" s="5930">
        <v>33.630000000000003</v>
      </c>
      <c r="E6" s="1784">
        <v>14.82</v>
      </c>
    </row>
    <row r="7" spans="2:5" ht="41.25" customHeight="1">
      <c r="B7" s="2636" t="s">
        <v>233</v>
      </c>
      <c r="C7" s="1015" t="s">
        <v>1121</v>
      </c>
      <c r="D7" s="5932"/>
      <c r="E7" s="1784">
        <v>15.83</v>
      </c>
    </row>
    <row r="8" spans="2:5" ht="22.5" customHeight="1">
      <c r="B8" s="2636" t="s">
        <v>234</v>
      </c>
      <c r="C8" s="1014" t="s">
        <v>634</v>
      </c>
      <c r="D8" s="2636">
        <v>0.04</v>
      </c>
      <c r="E8" s="2636">
        <v>0.04</v>
      </c>
    </row>
    <row r="9" spans="2:5" ht="35.25" customHeight="1">
      <c r="B9" s="2636" t="s">
        <v>1116</v>
      </c>
      <c r="C9" s="2650" t="s">
        <v>1117</v>
      </c>
      <c r="D9" s="2636">
        <v>0.71</v>
      </c>
      <c r="E9" s="2636">
        <v>0.53</v>
      </c>
    </row>
    <row r="10" spans="2:5" ht="25.5" customHeight="1">
      <c r="B10" s="2636"/>
      <c r="C10" s="1015" t="s">
        <v>1120</v>
      </c>
      <c r="D10" s="2636"/>
      <c r="E10" s="1784">
        <v>0.66</v>
      </c>
    </row>
    <row r="11" spans="2:5" ht="17.25" customHeight="1">
      <c r="B11" s="2636"/>
      <c r="C11" s="1015" t="s">
        <v>637</v>
      </c>
      <c r="D11" s="2636"/>
      <c r="E11" s="1784">
        <v>17.23</v>
      </c>
    </row>
    <row r="12" spans="2:5" ht="21.75" customHeight="1">
      <c r="B12" s="2636">
        <v>3</v>
      </c>
      <c r="C12" s="1015" t="s">
        <v>327</v>
      </c>
      <c r="D12" s="2636">
        <v>17.100000000000001</v>
      </c>
      <c r="E12" s="1784">
        <v>3.2</v>
      </c>
    </row>
    <row r="13" spans="2:5" ht="35.25" customHeight="1">
      <c r="B13" s="2636">
        <v>4</v>
      </c>
      <c r="C13" s="2650" t="s">
        <v>640</v>
      </c>
      <c r="D13" s="2636">
        <v>3.62</v>
      </c>
      <c r="E13" s="2636">
        <v>7.1</v>
      </c>
    </row>
    <row r="14" spans="2:5" ht="25.5" customHeight="1">
      <c r="B14" s="2636">
        <v>5</v>
      </c>
      <c r="C14" s="2650" t="s">
        <v>1118</v>
      </c>
      <c r="D14" s="2636">
        <v>7.41</v>
      </c>
      <c r="E14" s="2636">
        <v>1.08</v>
      </c>
    </row>
    <row r="15" spans="2:5">
      <c r="B15" s="2073"/>
      <c r="C15" s="1871" t="s">
        <v>47</v>
      </c>
      <c r="D15" s="1916">
        <v>62.51</v>
      </c>
      <c r="E15" s="1916">
        <v>60.49</v>
      </c>
    </row>
  </sheetData>
  <mergeCells count="2">
    <mergeCell ref="D6:D7"/>
    <mergeCell ref="C1:D1"/>
  </mergeCells>
  <pageMargins left="0.7" right="0.7" top="0.75" bottom="0.75" header="0.3" footer="0.3"/>
  <pageSetup paperSize="9" scale="71" orientation="portrait" r:id="rId1"/>
</worksheet>
</file>

<file path=xl/worksheets/sheet95.xml><?xml version="1.0" encoding="utf-8"?>
<worksheet xmlns="http://schemas.openxmlformats.org/spreadsheetml/2006/main" xmlns:r="http://schemas.openxmlformats.org/officeDocument/2006/relationships">
  <sheetPr codeName="Sheet74"/>
  <dimension ref="C1:G15"/>
  <sheetViews>
    <sheetView showGridLines="0" view="pageBreakPreview" zoomScale="60" workbookViewId="0">
      <selection activeCell="B42" sqref="B42"/>
    </sheetView>
  </sheetViews>
  <sheetFormatPr defaultRowHeight="15"/>
  <cols>
    <col min="4" max="4" width="29.7109375" customWidth="1"/>
    <col min="5" max="5" width="10.85546875" customWidth="1"/>
    <col min="6" max="6" width="11.140625" customWidth="1"/>
    <col min="7" max="7" width="12.28515625" customWidth="1"/>
  </cols>
  <sheetData>
    <row r="1" spans="3:7" ht="15.75" thickBot="1"/>
    <row r="2" spans="3:7" ht="15.75" thickBot="1">
      <c r="D2" s="1107" t="s">
        <v>1124</v>
      </c>
      <c r="E2" s="1107" t="s">
        <v>1845</v>
      </c>
    </row>
    <row r="3" spans="3:7">
      <c r="G3" s="1675" t="s">
        <v>151</v>
      </c>
    </row>
    <row r="4" spans="3:7" ht="60">
      <c r="C4" s="1715" t="s">
        <v>1114</v>
      </c>
      <c r="D4" s="1715" t="s">
        <v>81</v>
      </c>
      <c r="E4" s="1715" t="s">
        <v>2173</v>
      </c>
      <c r="F4" s="1715" t="s">
        <v>2174</v>
      </c>
      <c r="G4" s="1715" t="s">
        <v>2175</v>
      </c>
    </row>
    <row r="5" spans="3:7" ht="34.5" customHeight="1">
      <c r="C5" s="1677">
        <v>1</v>
      </c>
      <c r="D5" s="910" t="s">
        <v>1115</v>
      </c>
      <c r="E5" s="1677">
        <v>0</v>
      </c>
      <c r="F5" s="1677">
        <v>0</v>
      </c>
      <c r="G5" s="1677">
        <v>0</v>
      </c>
    </row>
    <row r="6" spans="3:7" ht="24" customHeight="1">
      <c r="C6" s="1677">
        <v>2</v>
      </c>
      <c r="D6" s="910" t="s">
        <v>632</v>
      </c>
      <c r="E6" s="1677"/>
      <c r="F6" s="1677"/>
      <c r="G6" s="1677"/>
    </row>
    <row r="7" spans="3:7" ht="76.5" customHeight="1">
      <c r="C7" s="1677" t="s">
        <v>233</v>
      </c>
      <c r="D7" s="1501" t="s">
        <v>2176</v>
      </c>
      <c r="E7" s="1677">
        <v>36.99</v>
      </c>
      <c r="F7" s="1677">
        <v>36.99</v>
      </c>
      <c r="G7" s="1677">
        <v>33.43</v>
      </c>
    </row>
    <row r="8" spans="3:7" ht="45.75" customHeight="1">
      <c r="C8" s="1677" t="s">
        <v>234</v>
      </c>
      <c r="D8" s="1501" t="s">
        <v>634</v>
      </c>
      <c r="E8" s="1677">
        <v>0.04</v>
      </c>
      <c r="F8" s="1677">
        <v>0.04</v>
      </c>
      <c r="G8" s="1677">
        <v>0.04</v>
      </c>
    </row>
    <row r="9" spans="3:7" ht="78" customHeight="1">
      <c r="C9" s="1677" t="s">
        <v>1116</v>
      </c>
      <c r="D9" s="910" t="s">
        <v>1117</v>
      </c>
      <c r="E9" s="1677">
        <v>0.78</v>
      </c>
      <c r="F9" s="1677">
        <v>0.78</v>
      </c>
      <c r="G9" s="1677">
        <v>0.87</v>
      </c>
    </row>
    <row r="10" spans="3:7" ht="52.5" customHeight="1">
      <c r="C10" s="1677">
        <v>3</v>
      </c>
      <c r="D10" s="910" t="s">
        <v>2178</v>
      </c>
      <c r="E10" s="6112">
        <v>18.809999999999999</v>
      </c>
      <c r="F10" s="6112">
        <v>18.809999999999999</v>
      </c>
      <c r="G10" s="1677">
        <v>0.83</v>
      </c>
    </row>
    <row r="11" spans="3:7" ht="29.25" customHeight="1">
      <c r="C11" s="1677"/>
      <c r="D11" s="910" t="s">
        <v>2177</v>
      </c>
      <c r="E11" s="6112"/>
      <c r="F11" s="6112"/>
      <c r="G11" s="1677">
        <v>15.88</v>
      </c>
    </row>
    <row r="12" spans="3:7" ht="26.25" customHeight="1">
      <c r="C12" s="1677"/>
      <c r="D12" s="910" t="s">
        <v>2179</v>
      </c>
      <c r="E12" s="6112"/>
      <c r="F12" s="6112"/>
      <c r="G12" s="1677">
        <v>3.45</v>
      </c>
    </row>
    <row r="13" spans="3:7" ht="48" customHeight="1">
      <c r="C13" s="1677">
        <v>4</v>
      </c>
      <c r="D13" s="910" t="s">
        <v>640</v>
      </c>
      <c r="E13" s="1677">
        <v>3.98</v>
      </c>
      <c r="F13" s="1677">
        <v>3.98</v>
      </c>
      <c r="G13" s="1677">
        <v>7.98</v>
      </c>
    </row>
    <row r="14" spans="3:7" ht="32.25" customHeight="1">
      <c r="C14" s="1677">
        <v>5</v>
      </c>
      <c r="D14" s="910" t="s">
        <v>1118</v>
      </c>
      <c r="E14" s="1677">
        <v>1.36</v>
      </c>
      <c r="F14" s="1677">
        <v>7.89</v>
      </c>
      <c r="G14" s="1677">
        <v>1.51</v>
      </c>
    </row>
    <row r="15" spans="3:7">
      <c r="C15" s="1716"/>
      <c r="D15" s="1717" t="s">
        <v>47</v>
      </c>
      <c r="E15" s="1718">
        <v>61.97</v>
      </c>
      <c r="F15" s="1718">
        <v>68.5</v>
      </c>
      <c r="G15" s="1718">
        <f>SUM(G5:G14)</f>
        <v>63.99</v>
      </c>
    </row>
  </sheetData>
  <mergeCells count="2">
    <mergeCell ref="E10:E12"/>
    <mergeCell ref="F10:F12"/>
  </mergeCells>
  <pageMargins left="0.7" right="0.7" top="0.75" bottom="0.75" header="0.3" footer="0.3"/>
  <pageSetup paperSize="9" scale="79" orientation="portrait" r:id="rId1"/>
</worksheet>
</file>

<file path=xl/worksheets/sheet96.xml><?xml version="1.0" encoding="utf-8"?>
<worksheet xmlns="http://schemas.openxmlformats.org/spreadsheetml/2006/main" xmlns:r="http://schemas.openxmlformats.org/officeDocument/2006/relationships">
  <sheetPr codeName="Sheet75"/>
  <dimension ref="C1:H14"/>
  <sheetViews>
    <sheetView showGridLines="0" view="pageBreakPreview" zoomScale="60" workbookViewId="0">
      <selection activeCell="E8" sqref="E8:E9"/>
    </sheetView>
  </sheetViews>
  <sheetFormatPr defaultRowHeight="15"/>
  <cols>
    <col min="3" max="3" width="16.140625" customWidth="1"/>
    <col min="4" max="4" width="22" customWidth="1"/>
    <col min="5" max="5" width="0.140625" customWidth="1"/>
    <col min="6" max="6" width="24.28515625" customWidth="1"/>
    <col min="7" max="7" width="15.28515625" customWidth="1"/>
    <col min="8" max="8" width="16.140625" customWidth="1"/>
  </cols>
  <sheetData>
    <row r="1" spans="3:8" ht="15.75" thickBot="1"/>
    <row r="2" spans="3:8" ht="15.75" thickBot="1">
      <c r="C2" s="1107" t="s">
        <v>1845</v>
      </c>
      <c r="E2" s="1709" t="s">
        <v>2062</v>
      </c>
      <c r="F2" s="1501"/>
      <c r="H2" s="1107" t="s">
        <v>151</v>
      </c>
    </row>
    <row r="4" spans="3:8" ht="45.75" customHeight="1">
      <c r="C4" s="6114" t="s">
        <v>1858</v>
      </c>
      <c r="D4" s="6114" t="s">
        <v>81</v>
      </c>
      <c r="E4" s="6114" t="s">
        <v>2180</v>
      </c>
      <c r="F4" s="6115" t="s">
        <v>2173</v>
      </c>
      <c r="G4" s="6115" t="s">
        <v>2181</v>
      </c>
      <c r="H4" s="6113" t="s">
        <v>2182</v>
      </c>
    </row>
    <row r="5" spans="3:8">
      <c r="C5" s="6114"/>
      <c r="D5" s="6114"/>
      <c r="E5" s="6114"/>
      <c r="F5" s="6115"/>
      <c r="G5" s="6115"/>
      <c r="H5" s="6113"/>
    </row>
    <row r="6" spans="3:8" ht="44.25" customHeight="1">
      <c r="C6" s="1710">
        <v>1</v>
      </c>
      <c r="D6" s="1711" t="s">
        <v>2183</v>
      </c>
      <c r="E6" s="1712"/>
      <c r="F6" s="1713"/>
      <c r="G6" s="1500"/>
      <c r="H6" s="1710">
        <v>99.95</v>
      </c>
    </row>
    <row r="7" spans="3:8">
      <c r="C7" s="1710">
        <v>2</v>
      </c>
      <c r="D7" s="1711" t="s">
        <v>717</v>
      </c>
      <c r="E7" s="1"/>
      <c r="F7" s="1713"/>
      <c r="G7" s="1500"/>
      <c r="H7" s="1710">
        <v>0</v>
      </c>
    </row>
    <row r="8" spans="3:8" ht="67.5" customHeight="1">
      <c r="C8" s="1710">
        <v>3</v>
      </c>
      <c r="D8" s="1711" t="s">
        <v>2184</v>
      </c>
      <c r="E8" s="1712"/>
      <c r="F8" s="1713"/>
      <c r="G8" s="1500"/>
      <c r="H8" s="1710">
        <v>8.24</v>
      </c>
    </row>
    <row r="9" spans="3:8" ht="43.5" customHeight="1">
      <c r="C9" s="1710">
        <v>3</v>
      </c>
      <c r="D9" s="1711" t="s">
        <v>2185</v>
      </c>
      <c r="E9" s="1712"/>
      <c r="F9" s="1713"/>
      <c r="G9" s="1500"/>
      <c r="H9" s="1710">
        <v>0</v>
      </c>
    </row>
    <row r="10" spans="3:8">
      <c r="C10" s="1710">
        <v>4</v>
      </c>
      <c r="D10" s="1711" t="s">
        <v>2186</v>
      </c>
      <c r="E10" s="1712"/>
      <c r="F10" s="1713"/>
      <c r="G10" s="1500"/>
      <c r="H10" s="1710">
        <v>91.71</v>
      </c>
    </row>
    <row r="11" spans="3:8" ht="61.5" customHeight="1">
      <c r="C11" s="1710">
        <v>1</v>
      </c>
      <c r="D11" s="1711" t="s">
        <v>1982</v>
      </c>
      <c r="E11" s="1712"/>
      <c r="F11" s="1713">
        <v>87.99</v>
      </c>
      <c r="G11" s="1500"/>
      <c r="H11" s="1710">
        <v>87.99</v>
      </c>
    </row>
    <row r="12" spans="3:8" ht="44.25" customHeight="1">
      <c r="C12" s="1710">
        <v>2</v>
      </c>
      <c r="D12" s="1711" t="s">
        <v>2187</v>
      </c>
      <c r="E12" s="1714">
        <v>0.06</v>
      </c>
      <c r="F12" s="1713">
        <v>5.28</v>
      </c>
      <c r="G12" s="1500"/>
      <c r="H12" s="1710">
        <v>5.28</v>
      </c>
    </row>
    <row r="13" spans="3:8" ht="42" customHeight="1">
      <c r="C13" s="1710" t="s">
        <v>1259</v>
      </c>
      <c r="D13" s="1711" t="s">
        <v>1983</v>
      </c>
      <c r="E13" s="1712"/>
      <c r="F13" s="1713">
        <v>0</v>
      </c>
      <c r="G13" s="1500"/>
      <c r="H13" s="1710">
        <v>0</v>
      </c>
    </row>
    <row r="14" spans="3:8" ht="54" customHeight="1">
      <c r="C14" s="1710" t="s">
        <v>1730</v>
      </c>
      <c r="D14" s="1711" t="s">
        <v>1984</v>
      </c>
      <c r="E14" s="1712"/>
      <c r="F14" s="1713">
        <v>5.28</v>
      </c>
      <c r="G14" s="1710">
        <v>5.28</v>
      </c>
      <c r="H14" s="1710">
        <v>5.28</v>
      </c>
    </row>
  </sheetData>
  <mergeCells count="6">
    <mergeCell ref="H4:H5"/>
    <mergeCell ref="C4:C5"/>
    <mergeCell ref="D4:D5"/>
    <mergeCell ref="E4:E5"/>
    <mergeCell ref="G4:G5"/>
    <mergeCell ref="F4:F5"/>
  </mergeCells>
  <pageMargins left="0.7" right="0.7" top="0.75" bottom="0.75" header="0.3" footer="0.3"/>
  <pageSetup paperSize="9" scale="66" orientation="portrait" r:id="rId1"/>
</worksheet>
</file>

<file path=xl/worksheets/sheet97.xml><?xml version="1.0" encoding="utf-8"?>
<worksheet xmlns="http://schemas.openxmlformats.org/spreadsheetml/2006/main" xmlns:r="http://schemas.openxmlformats.org/officeDocument/2006/relationships">
  <sheetPr codeName="Sheet76"/>
  <dimension ref="B3:Q50"/>
  <sheetViews>
    <sheetView showGridLines="0" zoomScale="80" zoomScaleNormal="80" workbookViewId="0">
      <selection activeCell="E8" sqref="E8:E9"/>
    </sheetView>
  </sheetViews>
  <sheetFormatPr defaultRowHeight="15"/>
  <cols>
    <col min="2" max="2" width="17.42578125" customWidth="1"/>
    <col min="4" max="4" width="15.28515625" customWidth="1"/>
    <col min="5" max="5" width="15.42578125" customWidth="1"/>
    <col min="6" max="6" width="14.85546875" customWidth="1"/>
    <col min="7" max="7" width="16.28515625" customWidth="1"/>
    <col min="8" max="10" width="19.28515625" customWidth="1"/>
    <col min="11" max="13" width="16.7109375" customWidth="1"/>
    <col min="14" max="14" width="16.28515625" customWidth="1"/>
  </cols>
  <sheetData>
    <row r="3" spans="2:17">
      <c r="B3" s="6076" t="s">
        <v>1</v>
      </c>
      <c r="C3" s="6076" t="s">
        <v>2</v>
      </c>
      <c r="D3" s="6118" t="s">
        <v>82</v>
      </c>
      <c r="E3" s="6118"/>
      <c r="F3" s="6118"/>
      <c r="G3" s="6118"/>
      <c r="H3" s="6125" t="s">
        <v>1845</v>
      </c>
      <c r="I3" s="6126"/>
      <c r="J3" s="6126"/>
      <c r="K3" s="6127"/>
      <c r="L3" s="3353"/>
      <c r="M3" s="3350"/>
      <c r="N3" s="3350"/>
    </row>
    <row r="4" spans="2:17">
      <c r="B4" s="6076"/>
      <c r="C4" s="6076"/>
      <c r="D4" s="6118" t="s">
        <v>1936</v>
      </c>
      <c r="E4" s="6118"/>
      <c r="F4" s="6118" t="s">
        <v>96</v>
      </c>
      <c r="G4" s="6118"/>
      <c r="H4" s="6118" t="s">
        <v>1936</v>
      </c>
      <c r="I4" s="6118"/>
      <c r="J4" s="6125" t="s">
        <v>96</v>
      </c>
      <c r="K4" s="6126"/>
      <c r="L4" s="3353"/>
      <c r="M4" s="6135"/>
      <c r="N4" s="6135"/>
    </row>
    <row r="5" spans="2:17">
      <c r="B5" s="6076"/>
      <c r="C5" s="6076"/>
      <c r="D5" s="1481" t="s">
        <v>2435</v>
      </c>
      <c r="E5" s="1715" t="s">
        <v>8</v>
      </c>
      <c r="F5" s="1481" t="s">
        <v>2435</v>
      </c>
      <c r="G5" s="1715" t="s">
        <v>8</v>
      </c>
      <c r="H5" s="1481" t="s">
        <v>2435</v>
      </c>
      <c r="I5" s="3340"/>
      <c r="J5" s="3340" t="s">
        <v>2435</v>
      </c>
      <c r="K5" s="3349" t="s">
        <v>8</v>
      </c>
      <c r="L5" s="3354"/>
      <c r="M5" s="3352"/>
      <c r="N5" s="3351"/>
    </row>
    <row r="6" spans="2:17" ht="15.75">
      <c r="B6" s="114" t="s">
        <v>14</v>
      </c>
      <c r="C6" s="114" t="s">
        <v>15</v>
      </c>
      <c r="D6" s="1484">
        <v>0.39</v>
      </c>
      <c r="E6" s="6119"/>
      <c r="F6" s="1807">
        <f>('F14'!F10)/10^6</f>
        <v>0.38560100000000003</v>
      </c>
      <c r="G6" s="1499">
        <f>(('F14'!J10)/100)/100000</f>
        <v>2.1376415999999995E-2</v>
      </c>
      <c r="H6" s="3341">
        <v>0.52</v>
      </c>
      <c r="I6" s="6116"/>
      <c r="J6" s="3344">
        <f>'F14'!F71/10^6</f>
        <v>7.0471000000000006E-2</v>
      </c>
      <c r="K6" s="3344">
        <f>('F14'!K71)/100000</f>
        <v>0.53942979999999996</v>
      </c>
      <c r="L6" s="3347"/>
    </row>
    <row r="7" spans="2:17" ht="15.75">
      <c r="B7" s="114" t="s">
        <v>16</v>
      </c>
      <c r="C7" s="114" t="s">
        <v>17</v>
      </c>
      <c r="D7" s="1484">
        <v>687.86</v>
      </c>
      <c r="E7" s="6120"/>
      <c r="F7" s="1807">
        <f>('F14'!F11)/10^6</f>
        <v>687.8569</v>
      </c>
      <c r="G7" s="6122">
        <f>(('F14'!J11)/100)/100000</f>
        <v>895.28126888500003</v>
      </c>
      <c r="H7" s="3341">
        <v>701.1</v>
      </c>
      <c r="I7" s="5400"/>
      <c r="J7" s="3344">
        <f>'F14'!F72/10^6</f>
        <v>698.57959200000005</v>
      </c>
      <c r="K7" s="6122">
        <f>('F14'!K72)/100000</f>
        <v>107333.79497969999</v>
      </c>
      <c r="L7" s="3348"/>
    </row>
    <row r="8" spans="2:17" ht="15.75">
      <c r="B8" s="114"/>
      <c r="C8" s="114" t="s">
        <v>18</v>
      </c>
      <c r="D8" s="1484">
        <v>584.30999999999995</v>
      </c>
      <c r="E8" s="6120"/>
      <c r="F8" s="1807">
        <f>('F14'!F12)/10^6</f>
        <v>584.31392400000004</v>
      </c>
      <c r="G8" s="6123"/>
      <c r="H8" s="3341">
        <v>596.34</v>
      </c>
      <c r="I8" s="5400"/>
      <c r="J8" s="3344">
        <f>'F14'!F73/10^6</f>
        <v>588.58436200000006</v>
      </c>
      <c r="K8" s="6123"/>
      <c r="L8" s="3348"/>
    </row>
    <row r="9" spans="2:17" ht="15.75">
      <c r="B9" s="114"/>
      <c r="C9" s="114" t="s">
        <v>19</v>
      </c>
      <c r="D9" s="1484">
        <v>178.53</v>
      </c>
      <c r="E9" s="6120"/>
      <c r="F9" s="1807">
        <f>('F14'!F13)/10^6</f>
        <v>178.53088099999999</v>
      </c>
      <c r="G9" s="6123"/>
      <c r="H9" s="3341">
        <v>182.53</v>
      </c>
      <c r="I9" s="5400"/>
      <c r="J9" s="3344">
        <f>'F14'!F74/10^6</f>
        <v>173.430725</v>
      </c>
      <c r="K9" s="6123"/>
      <c r="L9" s="3348"/>
    </row>
    <row r="10" spans="2:17" ht="15.75">
      <c r="B10" s="114"/>
      <c r="C10" s="114" t="s">
        <v>20</v>
      </c>
      <c r="D10" s="1484">
        <v>349.57</v>
      </c>
      <c r="E10" s="6120"/>
      <c r="F10" s="1807">
        <f>('F14'!F14)/10^6</f>
        <v>349.56940100000003</v>
      </c>
      <c r="G10" s="6124"/>
      <c r="H10" s="3341">
        <v>356.48</v>
      </c>
      <c r="I10" s="5400"/>
      <c r="J10" s="3344">
        <f>'F14'!F75/10^6</f>
        <v>335.332809</v>
      </c>
      <c r="K10" s="6124"/>
      <c r="L10" s="3348"/>
    </row>
    <row r="11" spans="2:17" ht="15.75" customHeight="1">
      <c r="B11" s="115" t="s">
        <v>21</v>
      </c>
      <c r="C11" s="114" t="s">
        <v>22</v>
      </c>
      <c r="D11" s="5979">
        <v>543.37</v>
      </c>
      <c r="E11" s="6120"/>
      <c r="F11" s="1807">
        <f>('F14'!F15)/10^6</f>
        <v>96.083547999999993</v>
      </c>
      <c r="G11" s="6122">
        <f>(('F14'!J15)/100)/100000</f>
        <v>784.545472776</v>
      </c>
      <c r="H11" s="6116">
        <v>627.29</v>
      </c>
      <c r="I11" s="5400"/>
      <c r="J11" s="6122">
        <f>('F14'!F76+'F14'!F77)/10^6</f>
        <v>893.28343600000005</v>
      </c>
      <c r="K11" s="6122">
        <f>('F14'!K76)/100000</f>
        <v>93454.832820600001</v>
      </c>
      <c r="L11" s="3348"/>
    </row>
    <row r="12" spans="2:17" ht="15.75" customHeight="1">
      <c r="B12" s="114"/>
      <c r="C12" s="114" t="s">
        <v>19</v>
      </c>
      <c r="D12" s="5981"/>
      <c r="E12" s="6120"/>
      <c r="F12" s="1807">
        <f>('F14'!F16)/10^6</f>
        <v>29.730263000000001</v>
      </c>
      <c r="G12" s="6123"/>
      <c r="H12" s="5401"/>
      <c r="I12" s="5400"/>
      <c r="J12" s="6123"/>
      <c r="K12" s="6123"/>
      <c r="L12" s="3348"/>
    </row>
    <row r="13" spans="2:17" ht="15.75" customHeight="1">
      <c r="B13" s="114"/>
      <c r="C13" s="114" t="s">
        <v>23</v>
      </c>
      <c r="D13" s="5890">
        <v>379.49</v>
      </c>
      <c r="E13" s="6120"/>
      <c r="F13" s="1807">
        <f>('F14'!F17)/10^6</f>
        <v>38.124026999999998</v>
      </c>
      <c r="G13" s="6123"/>
      <c r="H13" s="6117">
        <v>438.54</v>
      </c>
      <c r="I13" s="5400"/>
      <c r="J13" s="6123"/>
      <c r="K13" s="6123"/>
      <c r="L13" s="3348"/>
      <c r="P13" s="911"/>
    </row>
    <row r="14" spans="2:17" ht="15.75" customHeight="1">
      <c r="B14" s="114"/>
      <c r="C14" s="114" t="s">
        <v>24</v>
      </c>
      <c r="D14" s="5891"/>
      <c r="E14" s="6120"/>
      <c r="F14" s="1807">
        <f>('F14'!F18)/10^6</f>
        <v>55.968088999999999</v>
      </c>
      <c r="G14" s="6123"/>
      <c r="H14" s="6117"/>
      <c r="I14" s="5400"/>
      <c r="J14" s="6123"/>
      <c r="K14" s="6123"/>
      <c r="L14" s="3348"/>
    </row>
    <row r="15" spans="2:17" ht="15.75" customHeight="1">
      <c r="B15" s="114"/>
      <c r="C15" s="114" t="s">
        <v>25</v>
      </c>
      <c r="D15" s="5891"/>
      <c r="E15" s="6120"/>
      <c r="F15" s="1807">
        <f>('F14'!F19)/10^6</f>
        <v>417.55673999999999</v>
      </c>
      <c r="G15" s="6123"/>
      <c r="H15" s="6117"/>
      <c r="I15" s="5400"/>
      <c r="J15" s="6123"/>
      <c r="K15" s="6123"/>
      <c r="L15" s="3348"/>
      <c r="O15" s="6134"/>
      <c r="P15" s="6134"/>
      <c r="Q15" s="6134"/>
    </row>
    <row r="16" spans="2:17" ht="15.75" customHeight="1">
      <c r="B16" s="114"/>
      <c r="C16" s="114" t="s">
        <v>26</v>
      </c>
      <c r="D16" s="5892"/>
      <c r="E16" s="6120"/>
      <c r="F16" s="1807">
        <f>('F14'!F20)/10^6</f>
        <v>285.398931</v>
      </c>
      <c r="G16" s="6124"/>
      <c r="H16" s="6117"/>
      <c r="I16" s="5400"/>
      <c r="J16" s="6124"/>
      <c r="K16" s="6124"/>
      <c r="L16" s="3348"/>
      <c r="P16" t="s">
        <v>94</v>
      </c>
    </row>
    <row r="17" spans="2:12" ht="15.75">
      <c r="B17" s="114" t="s">
        <v>27</v>
      </c>
      <c r="C17" s="114" t="s">
        <v>28</v>
      </c>
      <c r="D17" s="1484">
        <v>260.89</v>
      </c>
      <c r="E17" s="6120"/>
      <c r="F17" s="1807">
        <f>('F14'!F21)/10^6</f>
        <v>260.89348899999999</v>
      </c>
      <c r="G17" s="1499">
        <f>(('F14'!J21)/100)/100000</f>
        <v>269.22902163200001</v>
      </c>
      <c r="H17" s="3341">
        <v>303.52</v>
      </c>
      <c r="I17" s="5400"/>
      <c r="J17" s="3344">
        <f>'F14'!F78/10^6</f>
        <v>240.95263499999999</v>
      </c>
      <c r="K17" s="3336">
        <f>'F14'!K78/10^5</f>
        <v>29273.902252299999</v>
      </c>
      <c r="L17" s="3348"/>
    </row>
    <row r="18" spans="2:12" ht="15.75">
      <c r="B18" s="114" t="s">
        <v>29</v>
      </c>
      <c r="C18" s="114" t="s">
        <v>28</v>
      </c>
      <c r="D18" s="1484">
        <v>516.41999999999996</v>
      </c>
      <c r="E18" s="6120"/>
      <c r="F18" s="1807">
        <f>('F14'!F22)/10^6</f>
        <v>516.41612299999997</v>
      </c>
      <c r="G18" s="1499">
        <f>(('F14'!J22)/100)/100000</f>
        <v>530.61955144399985</v>
      </c>
      <c r="H18" s="3341">
        <v>601.5</v>
      </c>
      <c r="I18" s="5400"/>
      <c r="J18" s="3344">
        <f>'F14'!F79/10^6</f>
        <v>470.69874399999998</v>
      </c>
      <c r="K18" s="3336">
        <f>'F14'!K79/10^5</f>
        <v>57727.163008299998</v>
      </c>
      <c r="L18" s="3348"/>
    </row>
    <row r="19" spans="2:12" ht="15.75" customHeight="1">
      <c r="B19" s="114" t="s">
        <v>30</v>
      </c>
      <c r="C19" s="114" t="s">
        <v>22</v>
      </c>
      <c r="D19" s="5890">
        <v>22.44</v>
      </c>
      <c r="E19" s="6120"/>
      <c r="F19" s="1807">
        <f>('F14'!F23)/10^6</f>
        <v>3.6300349999999999</v>
      </c>
      <c r="G19" s="6122">
        <f>(('F14'!J23)/100)/100000</f>
        <v>39.080702651999999</v>
      </c>
      <c r="H19" s="6117">
        <v>23.71</v>
      </c>
      <c r="I19" s="5400"/>
      <c r="J19" s="6122">
        <f>SUM('F14'!F80,'F14'!F81)/10^6</f>
        <v>45.188141999999999</v>
      </c>
      <c r="K19" s="6122">
        <f>'F14'!K80/10^5</f>
        <v>4425.2433754000003</v>
      </c>
      <c r="L19" s="3348"/>
    </row>
    <row r="20" spans="2:12" ht="15.75" customHeight="1">
      <c r="B20" s="114"/>
      <c r="C20" s="114" t="s">
        <v>19</v>
      </c>
      <c r="D20" s="5891"/>
      <c r="E20" s="6120"/>
      <c r="F20" s="1807">
        <f>('F14'!F24)/10^6</f>
        <v>1.5939080000000001</v>
      </c>
      <c r="G20" s="6123"/>
      <c r="H20" s="6117"/>
      <c r="I20" s="5400"/>
      <c r="J20" s="6123"/>
      <c r="K20" s="6123"/>
      <c r="L20" s="3348"/>
    </row>
    <row r="21" spans="2:12" ht="15.75" customHeight="1">
      <c r="B21" s="114"/>
      <c r="C21" s="114" t="s">
        <v>23</v>
      </c>
      <c r="D21" s="5855">
        <v>25.81</v>
      </c>
      <c r="E21" s="6120"/>
      <c r="F21" s="1807">
        <f>('F14'!F25)/10^6</f>
        <v>2.4374639999999999</v>
      </c>
      <c r="G21" s="6123"/>
      <c r="H21" s="6117">
        <v>27.28</v>
      </c>
      <c r="I21" s="5400"/>
      <c r="J21" s="6123"/>
      <c r="K21" s="6123"/>
      <c r="L21" s="3348"/>
    </row>
    <row r="22" spans="2:12" ht="15.75" customHeight="1">
      <c r="B22" s="114"/>
      <c r="C22" s="114" t="s">
        <v>24</v>
      </c>
      <c r="D22" s="5855"/>
      <c r="E22" s="6120"/>
      <c r="F22" s="1807">
        <f>('F14'!F26)/10^6</f>
        <v>3.6622650000000001</v>
      </c>
      <c r="G22" s="6123"/>
      <c r="H22" s="6117"/>
      <c r="I22" s="5400"/>
      <c r="J22" s="6123"/>
      <c r="K22" s="6123"/>
      <c r="L22" s="3348"/>
    </row>
    <row r="23" spans="2:12" ht="15.75" customHeight="1">
      <c r="B23" s="114"/>
      <c r="C23" s="114" t="s">
        <v>25</v>
      </c>
      <c r="D23" s="5855"/>
      <c r="E23" s="6120"/>
      <c r="F23" s="1807">
        <f>('F14'!F27)/10^6</f>
        <v>17.218254000000002</v>
      </c>
      <c r="G23" s="6123"/>
      <c r="H23" s="6117"/>
      <c r="I23" s="5400"/>
      <c r="J23" s="6123"/>
      <c r="K23" s="6123"/>
      <c r="L23" s="3348"/>
    </row>
    <row r="24" spans="2:12" ht="15.75" customHeight="1">
      <c r="B24" s="114"/>
      <c r="C24" s="114" t="s">
        <v>26</v>
      </c>
      <c r="D24" s="5855"/>
      <c r="E24" s="6120"/>
      <c r="F24" s="1807">
        <f>('F14'!F28)/10^6</f>
        <v>19.709468999999999</v>
      </c>
      <c r="G24" s="6124"/>
      <c r="H24" s="6117"/>
      <c r="I24" s="5400"/>
      <c r="J24" s="6124"/>
      <c r="K24" s="3337"/>
      <c r="L24" s="3348"/>
    </row>
    <row r="25" spans="2:12" ht="15.75">
      <c r="B25" s="114" t="s">
        <v>31</v>
      </c>
      <c r="C25" s="114" t="s">
        <v>28</v>
      </c>
      <c r="D25" s="1484">
        <v>54.28</v>
      </c>
      <c r="E25" s="6120"/>
      <c r="F25" s="1807">
        <f>('F14'!F29)/10^6</f>
        <v>54.278986000000003</v>
      </c>
      <c r="G25" s="1499">
        <f>(('F14'!J29)/100)/100000</f>
        <v>46.883514837</v>
      </c>
      <c r="H25" s="3341">
        <v>57.6</v>
      </c>
      <c r="I25" s="5400"/>
      <c r="J25" s="3344">
        <f>'F14'!F82/10^6</f>
        <v>51.947009000000001</v>
      </c>
      <c r="K25" s="3336">
        <f>'F14'!K82/10^5</f>
        <v>5405.3944560999998</v>
      </c>
      <c r="L25" s="3348"/>
    </row>
    <row r="26" spans="2:12" ht="15.75">
      <c r="B26" s="114" t="s">
        <v>32</v>
      </c>
      <c r="C26" s="114" t="s">
        <v>28</v>
      </c>
      <c r="D26" s="1484">
        <v>49.51</v>
      </c>
      <c r="E26" s="6120"/>
      <c r="F26" s="1807">
        <f>('F14'!F30)/10^6</f>
        <v>49.505124000000002</v>
      </c>
      <c r="G26" s="1499">
        <f>(('F14'!J30)/100)/100000</f>
        <v>39.663947923999999</v>
      </c>
      <c r="H26" s="3341">
        <v>52.52</v>
      </c>
      <c r="I26" s="5400"/>
      <c r="J26" s="3344">
        <f>'F14'!F83/10^6</f>
        <v>48.009042999999998</v>
      </c>
      <c r="K26" s="3336">
        <f>'F14'!K83/10^5</f>
        <v>4747.0967988000002</v>
      </c>
      <c r="L26" s="3348"/>
    </row>
    <row r="27" spans="2:12" ht="15.75">
      <c r="B27" s="114" t="s">
        <v>33</v>
      </c>
      <c r="C27" s="114" t="s">
        <v>28</v>
      </c>
      <c r="D27" s="1484">
        <v>2.66</v>
      </c>
      <c r="E27" s="6120"/>
      <c r="F27" s="1807">
        <f>('F14'!F31)/10^6</f>
        <v>2.6609950000000002</v>
      </c>
      <c r="G27" s="1499">
        <f>(('F14'!J31)/100)/100000</f>
        <v>4.312916682</v>
      </c>
      <c r="H27" s="3341">
        <v>2.84</v>
      </c>
      <c r="I27" s="5400"/>
      <c r="J27" s="3344">
        <f>'F14'!F84/10^6</f>
        <v>1.8087610000000001</v>
      </c>
      <c r="K27" s="3336">
        <f>'F14'!K84/10^5</f>
        <v>350.51915829999996</v>
      </c>
      <c r="L27" s="3348"/>
    </row>
    <row r="28" spans="2:12" ht="15.75" customHeight="1">
      <c r="B28" s="114" t="s">
        <v>34</v>
      </c>
      <c r="C28" s="114" t="s">
        <v>28</v>
      </c>
      <c r="D28" s="5890">
        <v>30.17</v>
      </c>
      <c r="E28" s="6120"/>
      <c r="F28" s="1807">
        <f>('F14'!F32)/10^6</f>
        <v>26.162059810000002</v>
      </c>
      <c r="G28" s="1499">
        <f>(('F14'!J32)/100)/100000</f>
        <v>19.596856709859999</v>
      </c>
      <c r="H28" s="6117">
        <v>32.31</v>
      </c>
      <c r="I28" s="5400"/>
      <c r="J28" s="3344">
        <f>'F14'!F85/10^6</f>
        <v>26.723141589999997</v>
      </c>
      <c r="K28" s="3336">
        <f>'F14'!K85/10^5</f>
        <v>2453.6316424270003</v>
      </c>
      <c r="L28" s="3348"/>
    </row>
    <row r="29" spans="2:12" ht="15.75" customHeight="1">
      <c r="B29" s="114" t="s">
        <v>35</v>
      </c>
      <c r="C29" s="114" t="s">
        <v>28</v>
      </c>
      <c r="D29" s="5892"/>
      <c r="E29" s="6120"/>
      <c r="F29" s="1807">
        <f>('F14'!F33)/10^6</f>
        <v>4.0039870000000004</v>
      </c>
      <c r="G29" s="1499">
        <f>(('F14'!J33)/100)/100000</f>
        <v>2.9586738820000003</v>
      </c>
      <c r="H29" s="6117"/>
      <c r="I29" s="5400"/>
      <c r="J29" s="3344">
        <f>'F14'!F86/10^6</f>
        <v>4.2714749999999997</v>
      </c>
      <c r="K29" s="3336">
        <f>'F14'!K86/10^5</f>
        <v>380.98126569999999</v>
      </c>
      <c r="L29" s="3348"/>
    </row>
    <row r="30" spans="2:12" ht="15.75">
      <c r="B30" s="114" t="s">
        <v>36</v>
      </c>
      <c r="C30" s="114" t="s">
        <v>28</v>
      </c>
      <c r="D30" s="1484">
        <v>1.6</v>
      </c>
      <c r="E30" s="6120"/>
      <c r="F30" s="1807">
        <f>('F14'!F34)/10^6</f>
        <v>1.595906</v>
      </c>
      <c r="G30" s="1499">
        <f>(('F14'!J34)/100)/100000</f>
        <v>0.68511243300000013</v>
      </c>
      <c r="H30" s="3341">
        <v>1.72</v>
      </c>
      <c r="I30" s="5400"/>
      <c r="J30" s="3344">
        <f>'F14'!F87/10^6</f>
        <v>4.0585500000000003</v>
      </c>
      <c r="K30" s="3336">
        <f>'F14'!K87/10^5</f>
        <v>191.66819259999997</v>
      </c>
      <c r="L30" s="3348"/>
    </row>
    <row r="31" spans="2:12" ht="15.75">
      <c r="B31" s="114" t="s">
        <v>37</v>
      </c>
      <c r="C31" s="114" t="s">
        <v>28</v>
      </c>
      <c r="D31" s="1484">
        <v>36.61</v>
      </c>
      <c r="E31" s="6120"/>
      <c r="F31" s="1807">
        <f>('F14'!F35)/10^6</f>
        <v>36.605784</v>
      </c>
      <c r="G31" s="1499">
        <f>(('F14'!J35)/100)/100000</f>
        <v>42.666065135999993</v>
      </c>
      <c r="H31" s="3341">
        <v>41.78</v>
      </c>
      <c r="I31" s="5400"/>
      <c r="J31" s="3344">
        <f>'F14'!F88/10^6</f>
        <v>36.974119000000002</v>
      </c>
      <c r="K31" s="3336">
        <f>'F14'!K88/10^5</f>
        <v>5210.5977324000005</v>
      </c>
      <c r="L31" s="3348"/>
    </row>
    <row r="32" spans="2:12" ht="15.75">
      <c r="B32" s="114" t="s">
        <v>38</v>
      </c>
      <c r="C32" s="114" t="s">
        <v>28</v>
      </c>
      <c r="D32" s="1484">
        <v>1.24</v>
      </c>
      <c r="E32" s="6120"/>
      <c r="F32" s="1807">
        <f>('F14'!F36)/10^6</f>
        <v>1.2420720000000001</v>
      </c>
      <c r="G32" s="1499">
        <f>(('F14'!J36)/100)/100000</f>
        <v>0.45456859499999991</v>
      </c>
      <c r="H32" s="3341">
        <v>1.32</v>
      </c>
      <c r="I32" s="5400"/>
      <c r="J32" s="3344">
        <f>'F14'!F89/10^6</f>
        <v>1.4139630000000001</v>
      </c>
      <c r="K32" s="3336">
        <f>'F14'!K89/10^5</f>
        <v>64.728909700000003</v>
      </c>
      <c r="L32" s="3348"/>
    </row>
    <row r="33" spans="2:12" ht="15.75">
      <c r="B33" s="114" t="s">
        <v>39</v>
      </c>
      <c r="C33" s="114" t="s">
        <v>28</v>
      </c>
      <c r="D33" s="1484">
        <v>10.64</v>
      </c>
      <c r="E33" s="6120"/>
      <c r="F33" s="1807">
        <f>('F14'!F37)/10^6</f>
        <v>10.640935000000001</v>
      </c>
      <c r="G33" s="1499">
        <f>(('F14'!J37)/100)/100000</f>
        <v>9.5732427169999994</v>
      </c>
      <c r="H33" s="3341">
        <v>25.6</v>
      </c>
      <c r="I33" s="5400"/>
      <c r="J33" s="3344">
        <f>'F14'!F90/10^6</f>
        <v>11.682083</v>
      </c>
      <c r="K33" s="3336">
        <f>'F14'!K90/10^5</f>
        <v>1174.2496696999999</v>
      </c>
      <c r="L33" s="3348"/>
    </row>
    <row r="34" spans="2:12" ht="15.75">
      <c r="B34" s="114" t="s">
        <v>40</v>
      </c>
      <c r="C34" s="114" t="s">
        <v>28</v>
      </c>
      <c r="D34" s="1484">
        <v>35.799999999999997</v>
      </c>
      <c r="E34" s="6120"/>
      <c r="F34" s="1807">
        <f>('F14'!F38)/10^6</f>
        <v>35.800285000000002</v>
      </c>
      <c r="G34" s="1499">
        <f>(('F14'!J38)/100)/100000</f>
        <v>33.887583604</v>
      </c>
      <c r="H34" s="3341">
        <v>45.45</v>
      </c>
      <c r="I34" s="5400"/>
      <c r="J34" s="3344">
        <f>'F14'!F91/10^6</f>
        <v>66.403324999999995</v>
      </c>
      <c r="K34" s="3336">
        <f>'F14'!K91/10^5</f>
        <v>6909.3328482000006</v>
      </c>
      <c r="L34" s="3348"/>
    </row>
    <row r="35" spans="2:12" ht="15.75">
      <c r="B35" s="114" t="s">
        <v>41</v>
      </c>
      <c r="C35" s="114" t="s">
        <v>28</v>
      </c>
      <c r="D35" s="1484">
        <v>169.4</v>
      </c>
      <c r="E35" s="6120"/>
      <c r="F35" s="1807">
        <f>('F14'!F39)/10^6</f>
        <v>169.39538099999999</v>
      </c>
      <c r="G35" s="1499">
        <f>(('F14'!J39)/100)/100000</f>
        <v>126.21423357399998</v>
      </c>
      <c r="H35" s="3341">
        <v>0</v>
      </c>
      <c r="I35" s="5400"/>
      <c r="J35" s="3344">
        <f>'F14'!F92/10^6</f>
        <v>178.774663</v>
      </c>
      <c r="K35" s="3336">
        <f>'F14'!K92/10^5</f>
        <v>16313.141597200003</v>
      </c>
      <c r="L35" s="3348"/>
    </row>
    <row r="36" spans="2:12" ht="15.75">
      <c r="B36" s="114" t="s">
        <v>42</v>
      </c>
      <c r="C36" s="114" t="s">
        <v>28</v>
      </c>
      <c r="D36" s="1484">
        <v>381.59</v>
      </c>
      <c r="E36" s="6120"/>
      <c r="F36" s="1807">
        <f>('F14'!F40)/10^6</f>
        <v>381.589541</v>
      </c>
      <c r="G36" s="1499">
        <f>(('F14'!J40)/100)/100000</f>
        <v>299.35684590699998</v>
      </c>
      <c r="H36" s="3341">
        <v>190.4</v>
      </c>
      <c r="I36" s="5400"/>
      <c r="J36" s="3344">
        <f>'F14'!F93/10^6</f>
        <v>350.52331299999997</v>
      </c>
      <c r="K36" s="3336">
        <f>'F14'!K93/10^5</f>
        <v>34410.4646851</v>
      </c>
      <c r="L36" s="3348"/>
    </row>
    <row r="37" spans="2:12" ht="15.75">
      <c r="B37" s="114" t="s">
        <v>43</v>
      </c>
      <c r="C37" s="114" t="s">
        <v>28</v>
      </c>
      <c r="D37" s="1484">
        <v>32.270000000000003</v>
      </c>
      <c r="E37" s="6120"/>
      <c r="F37" s="1807">
        <f>('F14'!F41)/10^6</f>
        <v>32.271808999999998</v>
      </c>
      <c r="G37" s="1499">
        <f>(('F14'!J41)/100)/100000</f>
        <v>14.423506613999999</v>
      </c>
      <c r="H37" s="3341">
        <v>371.96</v>
      </c>
      <c r="I37" s="5400"/>
      <c r="J37" s="3344">
        <f>'F14'!F94/10^6</f>
        <v>32.819763999999999</v>
      </c>
      <c r="K37" s="3336">
        <f>'F14'!K94/10^5</f>
        <v>1998.1660102999999</v>
      </c>
      <c r="L37" s="3348"/>
    </row>
    <row r="38" spans="2:12" ht="15.75">
      <c r="B38" s="114" t="s">
        <v>44</v>
      </c>
      <c r="C38" s="114" t="s">
        <v>28</v>
      </c>
      <c r="D38" s="1484">
        <v>4.01</v>
      </c>
      <c r="E38" s="6120"/>
      <c r="F38" s="1807">
        <f>('F14'!F42)/10^6</f>
        <v>4.0071719999999997</v>
      </c>
      <c r="G38" s="1499">
        <f>(('F14'!J42)/100)/100000</f>
        <v>4.1839406099999996</v>
      </c>
      <c r="H38" s="3341">
        <v>34.049999999999997</v>
      </c>
      <c r="I38" s="5400"/>
      <c r="J38" s="3344">
        <f>'F14'!F95/10^6</f>
        <v>7.8381749999999997</v>
      </c>
      <c r="K38" s="3336">
        <f>'F14'!K95/10^5</f>
        <v>999.53680580000002</v>
      </c>
      <c r="L38" s="3348"/>
    </row>
    <row r="39" spans="2:12" ht="15.75">
      <c r="B39" s="114" t="s">
        <v>45</v>
      </c>
      <c r="C39" s="114" t="s">
        <v>28</v>
      </c>
      <c r="D39" s="1484">
        <v>34.11</v>
      </c>
      <c r="E39" s="6120"/>
      <c r="F39" s="1807">
        <f>('F14'!F43)/10^6</f>
        <v>34.105733000000001</v>
      </c>
      <c r="G39" s="1499">
        <f>(('F14'!J43)/100)/100000</f>
        <v>25.722919071</v>
      </c>
      <c r="H39" s="3341">
        <v>4.28</v>
      </c>
      <c r="I39" s="5400"/>
      <c r="J39" s="3344">
        <f>'F14'!F96/10^6</f>
        <v>82.152868999999995</v>
      </c>
      <c r="K39" s="3336">
        <f>'F14'!K96/10^5</f>
        <v>7045.702296800001</v>
      </c>
      <c r="L39" s="3348"/>
    </row>
    <row r="40" spans="2:12">
      <c r="B40" s="114" t="s">
        <v>46</v>
      </c>
      <c r="C40" s="114"/>
      <c r="D40" s="1008"/>
      <c r="E40" s="6121"/>
      <c r="F40" s="1807">
        <f>('F14'!F44)/10^6</f>
        <v>0</v>
      </c>
      <c r="G40" s="1499">
        <f>(('F14'!J44)/100)/100000</f>
        <v>1.9784466209999976</v>
      </c>
      <c r="H40" s="3341">
        <v>37.74</v>
      </c>
      <c r="I40" s="5401"/>
      <c r="J40" s="3344">
        <f>'F14'!F97/10^6</f>
        <v>0</v>
      </c>
      <c r="K40" s="3336">
        <f>'F14'!K97/10^5</f>
        <v>-2723.7370874520002</v>
      </c>
      <c r="L40" s="3348"/>
    </row>
    <row r="41" spans="2:12">
      <c r="B41" s="114" t="s">
        <v>47</v>
      </c>
      <c r="C41" s="114"/>
      <c r="D41" s="3355">
        <f>SUM(D6:D39)</f>
        <v>4392.97</v>
      </c>
      <c r="E41" s="3338">
        <v>3610.73</v>
      </c>
      <c r="F41" s="1807">
        <f>('F14'!F45)/10^6</f>
        <v>4392.9450818099995</v>
      </c>
      <c r="G41" s="1499">
        <f>(('F14'!J45)/100)/100000</f>
        <v>3191.3397687218594</v>
      </c>
      <c r="H41" s="3341">
        <f>SUM(H6:H40)</f>
        <v>4758.38</v>
      </c>
      <c r="I41" s="3341">
        <v>4356.53</v>
      </c>
      <c r="J41" s="3344">
        <f>'F14'!F98/10^6</f>
        <v>4351.5211695899998</v>
      </c>
      <c r="K41" s="3336">
        <f>'F14'!K98/10^5</f>
        <v>377146.95084777504</v>
      </c>
      <c r="L41" s="3348"/>
    </row>
    <row r="42" spans="2:12">
      <c r="B42" s="1500" t="s">
        <v>48</v>
      </c>
      <c r="C42" s="6128"/>
      <c r="D42" s="6129"/>
      <c r="E42" s="6116"/>
      <c r="F42" s="6116"/>
      <c r="G42" s="1499">
        <f>(('F14'!J46)/100)/100000</f>
        <v>14.590133667000002</v>
      </c>
      <c r="H42" s="6117"/>
      <c r="I42" s="6116"/>
      <c r="J42" s="6116"/>
      <c r="K42" s="3336">
        <f>'F14'!K100/10^5</f>
        <v>1347.9441766</v>
      </c>
      <c r="L42" s="3348"/>
    </row>
    <row r="43" spans="2:12">
      <c r="B43" s="1500" t="s">
        <v>49</v>
      </c>
      <c r="C43" s="6130"/>
      <c r="D43" s="6131"/>
      <c r="E43" s="5400"/>
      <c r="F43" s="5400"/>
      <c r="G43" s="1499">
        <f>(('F14'!J47)/100)/100000</f>
        <v>379.59396732200003</v>
      </c>
      <c r="H43" s="6117"/>
      <c r="I43" s="5400"/>
      <c r="J43" s="5400"/>
      <c r="K43" s="3336">
        <f>'F14'!K101/10^5</f>
        <v>6981.4776511960008</v>
      </c>
      <c r="L43" s="3348"/>
    </row>
    <row r="44" spans="2:12">
      <c r="B44" s="1500" t="s">
        <v>50</v>
      </c>
      <c r="C44" s="6130"/>
      <c r="D44" s="6131"/>
      <c r="E44" s="5400"/>
      <c r="F44" s="5400"/>
      <c r="G44" s="1499">
        <f>(('F14'!J48)/100)/100000</f>
        <v>-0.226006769</v>
      </c>
      <c r="H44" s="6117"/>
      <c r="I44" s="5400"/>
      <c r="J44" s="5400"/>
      <c r="K44" s="3336">
        <f>'F14'!K102/10^5</f>
        <v>-29.727584499999999</v>
      </c>
      <c r="L44" s="3348"/>
    </row>
    <row r="45" spans="2:12">
      <c r="B45" s="1500" t="s">
        <v>51</v>
      </c>
      <c r="C45" s="6130"/>
      <c r="D45" s="6131"/>
      <c r="E45" s="5400"/>
      <c r="F45" s="5400"/>
      <c r="G45" s="1499">
        <f>(('F14'!J49)/100)/100000</f>
        <v>15.492840624999999</v>
      </c>
      <c r="H45" s="6117"/>
      <c r="I45" s="5400"/>
      <c r="J45" s="5400"/>
      <c r="K45" s="3336">
        <f>'F14'!K103/10^5</f>
        <v>1581.7597624999996</v>
      </c>
      <c r="L45" s="3348"/>
    </row>
    <row r="46" spans="2:12">
      <c r="B46" s="1500" t="s">
        <v>52</v>
      </c>
      <c r="C46" s="6132"/>
      <c r="D46" s="6133"/>
      <c r="E46" s="5401"/>
      <c r="F46" s="5401"/>
      <c r="G46" s="1499">
        <f>(('F14'!J50)/100)/100000</f>
        <v>9.9352017050000008</v>
      </c>
      <c r="H46" s="6117"/>
      <c r="I46" s="5401"/>
      <c r="J46" s="5401"/>
      <c r="K46" s="3336">
        <f>'F14'!K104/10^5</f>
        <v>621.29030780000005</v>
      </c>
      <c r="L46" s="3348"/>
    </row>
    <row r="47" spans="2:12">
      <c r="B47" s="1500" t="s">
        <v>8</v>
      </c>
      <c r="C47" s="3356"/>
      <c r="D47" s="3342">
        <f>D41</f>
        <v>4392.97</v>
      </c>
      <c r="E47" s="3335">
        <v>3610.73</v>
      </c>
      <c r="F47" s="3345">
        <f>F41</f>
        <v>4392.9450818099995</v>
      </c>
      <c r="G47" s="3339">
        <f>(('F14'!J51)/100)/100000</f>
        <v>3610.7259052718596</v>
      </c>
      <c r="H47" s="3342">
        <f>H41</f>
        <v>4758.38</v>
      </c>
      <c r="I47" s="3342">
        <v>4356.53</v>
      </c>
      <c r="J47" s="3345">
        <f>J41</f>
        <v>4351.5211695899998</v>
      </c>
      <c r="K47" s="3345">
        <f>SUM(K41:K46)</f>
        <v>387649.69516137108</v>
      </c>
      <c r="L47" s="3347"/>
    </row>
    <row r="48" spans="2:12">
      <c r="B48" s="1806"/>
    </row>
    <row r="49" spans="2:2">
      <c r="B49" s="1806"/>
    </row>
    <row r="50" spans="2:2">
      <c r="B50" s="1806"/>
    </row>
  </sheetData>
  <mergeCells count="36">
    <mergeCell ref="O15:Q15"/>
    <mergeCell ref="G11:G16"/>
    <mergeCell ref="G19:G24"/>
    <mergeCell ref="F4:G4"/>
    <mergeCell ref="D4:E4"/>
    <mergeCell ref="K7:K10"/>
    <mergeCell ref="H19:H20"/>
    <mergeCell ref="H21:H24"/>
    <mergeCell ref="I6:I40"/>
    <mergeCell ref="K11:K16"/>
    <mergeCell ref="J19:J24"/>
    <mergeCell ref="K19:K23"/>
    <mergeCell ref="H4:I4"/>
    <mergeCell ref="J4:K4"/>
    <mergeCell ref="M4:N4"/>
    <mergeCell ref="B3:B5"/>
    <mergeCell ref="D28:D29"/>
    <mergeCell ref="D19:D20"/>
    <mergeCell ref="D21:D24"/>
    <mergeCell ref="D11:D12"/>
    <mergeCell ref="D13:D16"/>
    <mergeCell ref="E42:E46"/>
    <mergeCell ref="H28:H29"/>
    <mergeCell ref="H42:H46"/>
    <mergeCell ref="D3:G3"/>
    <mergeCell ref="E6:E40"/>
    <mergeCell ref="G7:G10"/>
    <mergeCell ref="H11:H12"/>
    <mergeCell ref="H13:H16"/>
    <mergeCell ref="H3:K3"/>
    <mergeCell ref="J11:J16"/>
    <mergeCell ref="J42:J46"/>
    <mergeCell ref="I42:I46"/>
    <mergeCell ref="F42:F46"/>
    <mergeCell ref="C42:D46"/>
    <mergeCell ref="C3:C5"/>
  </mergeCells>
  <pageMargins left="0.7" right="0.7" top="0.75" bottom="0.75" header="0.3" footer="0.3"/>
  <pageSetup paperSize="9" orientation="portrait" verticalDpi="0" r:id="rId1"/>
</worksheet>
</file>

<file path=xl/worksheets/sheet98.xml><?xml version="1.0" encoding="utf-8"?>
<worksheet xmlns="http://schemas.openxmlformats.org/spreadsheetml/2006/main" xmlns:r="http://schemas.openxmlformats.org/officeDocument/2006/relationships">
  <sheetPr codeName="Sheet77"/>
  <dimension ref="B1:M663"/>
  <sheetViews>
    <sheetView showGridLines="0" view="pageBreakPreview" topLeftCell="A102" zoomScale="40" zoomScaleSheetLayoutView="40" workbookViewId="0">
      <selection activeCell="E8" sqref="E8:E9"/>
    </sheetView>
  </sheetViews>
  <sheetFormatPr defaultRowHeight="15"/>
  <cols>
    <col min="6" max="6" width="28.5703125" customWidth="1"/>
    <col min="7" max="7" width="13.85546875" customWidth="1"/>
    <col min="8" max="8" width="22.85546875" customWidth="1"/>
    <col min="9" max="9" width="18.85546875" customWidth="1"/>
    <col min="10" max="10" width="20.140625" customWidth="1"/>
    <col min="11" max="11" width="26.5703125" customWidth="1"/>
    <col min="12" max="12" width="26.85546875" customWidth="1"/>
    <col min="13" max="13" width="29.42578125" customWidth="1"/>
  </cols>
  <sheetData>
    <row r="1" spans="2:13" ht="15.75" thickBot="1"/>
    <row r="2" spans="2:13">
      <c r="B2" s="5402" t="s">
        <v>61</v>
      </c>
      <c r="C2" s="5403"/>
      <c r="D2" s="5403"/>
      <c r="E2" s="5403"/>
      <c r="F2" s="5404"/>
    </row>
    <row r="3" spans="2:13" ht="33" customHeight="1">
      <c r="B3" s="7" t="s">
        <v>1</v>
      </c>
      <c r="C3" s="7" t="s">
        <v>2</v>
      </c>
      <c r="D3" s="7" t="s">
        <v>62</v>
      </c>
      <c r="E3" s="7"/>
      <c r="F3" s="7" t="s">
        <v>4</v>
      </c>
      <c r="G3" s="7" t="s">
        <v>5</v>
      </c>
      <c r="H3" s="7" t="s">
        <v>6</v>
      </c>
      <c r="I3" s="15" t="s">
        <v>7</v>
      </c>
      <c r="J3" s="7" t="s">
        <v>8</v>
      </c>
      <c r="K3" s="6"/>
      <c r="L3" s="849"/>
      <c r="M3" s="849"/>
    </row>
    <row r="4" spans="2:13">
      <c r="B4" s="1"/>
      <c r="C4" s="1"/>
      <c r="D4" s="1" t="s">
        <v>12</v>
      </c>
      <c r="E4" s="1" t="s">
        <v>13</v>
      </c>
      <c r="F4" s="1"/>
      <c r="G4" s="1"/>
      <c r="H4" s="1"/>
      <c r="I4" s="1"/>
      <c r="J4" s="16"/>
    </row>
    <row r="5" spans="2:13">
      <c r="B5" s="1" t="s">
        <v>14</v>
      </c>
      <c r="C5" s="1" t="s">
        <v>15</v>
      </c>
      <c r="D5" s="1"/>
      <c r="E5" s="1"/>
      <c r="F5" s="1">
        <v>36022</v>
      </c>
      <c r="G5" s="1">
        <v>14408.800000000001</v>
      </c>
      <c r="H5" s="1">
        <v>1721</v>
      </c>
      <c r="I5" s="1">
        <v>0</v>
      </c>
      <c r="J5" s="1">
        <v>16129.800000000001</v>
      </c>
    </row>
    <row r="6" spans="2:13">
      <c r="B6" s="1" t="s">
        <v>16</v>
      </c>
      <c r="C6" s="1" t="s">
        <v>17</v>
      </c>
      <c r="D6" s="1"/>
      <c r="E6" s="1"/>
      <c r="F6" s="1">
        <v>56381496</v>
      </c>
      <c r="G6" s="1">
        <v>87391318.799999997</v>
      </c>
      <c r="H6" s="5399">
        <v>41520078.450000003</v>
      </c>
      <c r="I6" s="1">
        <v>0</v>
      </c>
      <c r="J6" s="5399">
        <v>522807434.35000002</v>
      </c>
    </row>
    <row r="7" spans="2:13">
      <c r="B7" s="1"/>
      <c r="C7" s="1" t="s">
        <v>18</v>
      </c>
      <c r="D7" s="1"/>
      <c r="E7" s="1"/>
      <c r="F7" s="1">
        <v>45124345</v>
      </c>
      <c r="G7" s="1">
        <v>148910338.5</v>
      </c>
      <c r="H7" s="5400"/>
      <c r="I7" s="1">
        <v>0</v>
      </c>
      <c r="J7" s="5400"/>
    </row>
    <row r="8" spans="2:13">
      <c r="B8" s="1"/>
      <c r="C8" s="1" t="s">
        <v>19</v>
      </c>
      <c r="D8" s="1"/>
      <c r="E8" s="1"/>
      <c r="F8" s="1">
        <v>13425346</v>
      </c>
      <c r="G8" s="1">
        <v>71154333.799999997</v>
      </c>
      <c r="H8" s="5400"/>
      <c r="I8" s="1">
        <v>0</v>
      </c>
      <c r="J8" s="5400"/>
      <c r="K8" s="247"/>
    </row>
    <row r="9" spans="2:13">
      <c r="B9" s="1"/>
      <c r="C9" s="1" t="s">
        <v>20</v>
      </c>
      <c r="D9" s="1"/>
      <c r="E9" s="1"/>
      <c r="F9" s="1">
        <v>25563436</v>
      </c>
      <c r="G9" s="1">
        <v>173831364.79999998</v>
      </c>
      <c r="H9" s="5401"/>
      <c r="I9" s="1">
        <v>0</v>
      </c>
      <c r="J9" s="5401"/>
    </row>
    <row r="10" spans="2:13">
      <c r="B10" s="1" t="s">
        <v>21</v>
      </c>
      <c r="C10" s="1" t="s">
        <v>22</v>
      </c>
      <c r="D10" s="1"/>
      <c r="E10" s="1"/>
      <c r="F10" s="1">
        <v>34046200</v>
      </c>
      <c r="G10" s="1">
        <v>136184800</v>
      </c>
      <c r="H10" s="5399">
        <v>50552907.229999997</v>
      </c>
      <c r="I10" s="1"/>
      <c r="J10" s="5399">
        <v>466195696.02999997</v>
      </c>
    </row>
    <row r="11" spans="2:13">
      <c r="B11" s="1"/>
      <c r="C11" s="1" t="s">
        <v>19</v>
      </c>
      <c r="D11" s="1"/>
      <c r="E11" s="1"/>
      <c r="F11" s="1">
        <v>9927815</v>
      </c>
      <c r="G11" s="1">
        <v>59566890</v>
      </c>
      <c r="H11" s="5400"/>
      <c r="I11" s="1"/>
      <c r="J11" s="5400"/>
      <c r="K11" s="247"/>
    </row>
    <row r="12" spans="2:13">
      <c r="B12" s="1"/>
      <c r="C12" s="1" t="s">
        <v>23</v>
      </c>
      <c r="D12" s="1"/>
      <c r="E12" s="1"/>
      <c r="F12" s="1">
        <v>12473692</v>
      </c>
      <c r="G12" s="1">
        <v>86068474.799999997</v>
      </c>
      <c r="H12" s="5400"/>
      <c r="I12" s="1"/>
      <c r="J12" s="5400"/>
    </row>
    <row r="13" spans="2:13">
      <c r="B13" s="1"/>
      <c r="C13" s="1" t="s">
        <v>24</v>
      </c>
      <c r="D13" s="1"/>
      <c r="E13" s="1"/>
      <c r="F13" s="1">
        <v>17608240</v>
      </c>
      <c r="G13" s="1">
        <v>133822624</v>
      </c>
      <c r="H13" s="5400"/>
      <c r="I13" s="1"/>
      <c r="J13" s="5400"/>
    </row>
    <row r="14" spans="2:13">
      <c r="B14" s="1"/>
      <c r="C14" s="1" t="s">
        <v>25</v>
      </c>
      <c r="D14" s="1"/>
      <c r="E14" s="1"/>
      <c r="F14" s="1">
        <v>0</v>
      </c>
      <c r="G14" s="1">
        <v>0</v>
      </c>
      <c r="H14" s="5400"/>
      <c r="I14" s="1">
        <v>0</v>
      </c>
      <c r="J14" s="5400"/>
    </row>
    <row r="15" spans="2:13">
      <c r="B15" s="1"/>
      <c r="C15" s="1" t="s">
        <v>26</v>
      </c>
      <c r="D15" s="1"/>
      <c r="E15" s="1"/>
      <c r="F15" s="1">
        <v>0</v>
      </c>
      <c r="G15" s="1">
        <v>0</v>
      </c>
      <c r="H15" s="5401"/>
      <c r="I15" s="1">
        <v>0</v>
      </c>
      <c r="J15" s="5401"/>
    </row>
    <row r="16" spans="2:13">
      <c r="B16" s="1" t="s">
        <v>27</v>
      </c>
      <c r="C16" s="1" t="s">
        <v>28</v>
      </c>
      <c r="D16" s="1"/>
      <c r="E16" s="1"/>
      <c r="F16" s="1">
        <v>21969360</v>
      </c>
      <c r="G16" s="1">
        <v>160376328</v>
      </c>
      <c r="H16" s="1">
        <v>16845048.98</v>
      </c>
      <c r="I16" s="1">
        <v>0</v>
      </c>
      <c r="J16" s="1">
        <v>177221376.97999999</v>
      </c>
    </row>
    <row r="17" spans="2:10">
      <c r="B17" s="1" t="s">
        <v>29</v>
      </c>
      <c r="C17" s="1" t="s">
        <v>28</v>
      </c>
      <c r="D17" s="1"/>
      <c r="E17" s="1"/>
      <c r="F17" s="1">
        <v>45895015</v>
      </c>
      <c r="G17" s="1">
        <v>346507363.25</v>
      </c>
      <c r="H17" s="1">
        <v>27857227</v>
      </c>
      <c r="I17" s="1">
        <v>0</v>
      </c>
      <c r="J17" s="1">
        <v>374364590.25</v>
      </c>
    </row>
    <row r="18" spans="2:10">
      <c r="B18" s="1" t="s">
        <v>30</v>
      </c>
      <c r="C18" s="1" t="s">
        <v>22</v>
      </c>
      <c r="D18" s="1"/>
      <c r="E18" s="1"/>
      <c r="F18" s="1">
        <v>1312321</v>
      </c>
      <c r="G18" s="1">
        <v>4855587.7</v>
      </c>
      <c r="H18" s="5399">
        <v>2504394.94</v>
      </c>
      <c r="I18" s="1"/>
      <c r="J18" s="5399">
        <v>23429898.190000001</v>
      </c>
    </row>
    <row r="19" spans="2:10">
      <c r="B19" s="1"/>
      <c r="C19" s="1" t="s">
        <v>19</v>
      </c>
      <c r="D19" s="1"/>
      <c r="E19" s="1"/>
      <c r="F19" s="1">
        <v>561399</v>
      </c>
      <c r="G19" s="1">
        <v>3087694.5</v>
      </c>
      <c r="H19" s="5400"/>
      <c r="I19" s="1"/>
      <c r="J19" s="5400"/>
    </row>
    <row r="20" spans="2:10">
      <c r="B20" s="1"/>
      <c r="C20" s="1" t="s">
        <v>23</v>
      </c>
      <c r="D20" s="1"/>
      <c r="E20" s="1"/>
      <c r="F20" s="1">
        <v>846307</v>
      </c>
      <c r="G20" s="1">
        <v>5035526.6500000004</v>
      </c>
      <c r="H20" s="5400"/>
      <c r="I20" s="1"/>
      <c r="J20" s="5400"/>
    </row>
    <row r="21" spans="2:10">
      <c r="B21" s="1"/>
      <c r="C21" s="1" t="s">
        <v>24</v>
      </c>
      <c r="D21" s="1"/>
      <c r="E21" s="1"/>
      <c r="F21" s="1">
        <v>1241671</v>
      </c>
      <c r="G21" s="1">
        <v>7946694.4000000004</v>
      </c>
      <c r="H21" s="5400"/>
      <c r="I21" s="1"/>
      <c r="J21" s="5400"/>
    </row>
    <row r="22" spans="2:10">
      <c r="B22" s="1"/>
      <c r="C22" s="1" t="s">
        <v>25</v>
      </c>
      <c r="D22" s="1"/>
      <c r="E22" s="1"/>
      <c r="F22" s="1">
        <v>0</v>
      </c>
      <c r="G22" s="1">
        <v>0</v>
      </c>
      <c r="H22" s="5400"/>
      <c r="I22" s="1">
        <v>0</v>
      </c>
      <c r="J22" s="5400"/>
    </row>
    <row r="23" spans="2:10">
      <c r="B23" s="1"/>
      <c r="C23" s="1" t="s">
        <v>26</v>
      </c>
      <c r="D23" s="1"/>
      <c r="E23" s="1"/>
      <c r="F23" s="1">
        <v>0</v>
      </c>
      <c r="G23" s="1">
        <v>0</v>
      </c>
      <c r="H23" s="5401"/>
      <c r="I23" s="1">
        <v>0</v>
      </c>
      <c r="J23" s="5401"/>
    </row>
    <row r="24" spans="2:10">
      <c r="B24" s="1" t="s">
        <v>31</v>
      </c>
      <c r="C24" s="1" t="s">
        <v>28</v>
      </c>
      <c r="D24" s="1"/>
      <c r="E24" s="1"/>
      <c r="F24" s="1">
        <v>4512729</v>
      </c>
      <c r="G24" s="1">
        <v>24368736.600000001</v>
      </c>
      <c r="H24" s="1">
        <v>3984378.82</v>
      </c>
      <c r="I24" s="1">
        <v>0</v>
      </c>
      <c r="J24" s="1">
        <v>28353115.420000002</v>
      </c>
    </row>
    <row r="25" spans="2:10">
      <c r="B25" s="1" t="s">
        <v>32</v>
      </c>
      <c r="C25" s="1" t="s">
        <v>28</v>
      </c>
      <c r="D25" s="1"/>
      <c r="E25" s="1"/>
      <c r="F25" s="1">
        <v>4120158</v>
      </c>
      <c r="G25" s="1">
        <v>21836837.399999999</v>
      </c>
      <c r="H25" s="1">
        <v>2034408</v>
      </c>
      <c r="I25" s="1">
        <v>0</v>
      </c>
      <c r="J25" s="1">
        <v>23871245.399999999</v>
      </c>
    </row>
    <row r="26" spans="2:10">
      <c r="B26" s="1" t="s">
        <v>33</v>
      </c>
      <c r="C26" s="1" t="s">
        <v>28</v>
      </c>
      <c r="D26" s="1"/>
      <c r="E26" s="1"/>
      <c r="F26" s="1">
        <v>277722</v>
      </c>
      <c r="G26" s="1">
        <v>3166030.8000000003</v>
      </c>
      <c r="H26" s="1">
        <v>745560</v>
      </c>
      <c r="I26" s="1">
        <v>0</v>
      </c>
      <c r="J26" s="1">
        <v>3911590.8000000003</v>
      </c>
    </row>
    <row r="27" spans="2:10">
      <c r="B27" s="1" t="s">
        <v>34</v>
      </c>
      <c r="C27" s="1" t="s">
        <v>28</v>
      </c>
      <c r="D27" s="1"/>
      <c r="E27" s="1"/>
      <c r="F27" s="1">
        <v>2287616.35</v>
      </c>
      <c r="G27" s="1">
        <v>12124366.654999999</v>
      </c>
      <c r="H27" s="1">
        <v>1327150.0800000001</v>
      </c>
      <c r="I27" s="1">
        <v>0</v>
      </c>
      <c r="J27" s="1">
        <v>13451516.734999999</v>
      </c>
    </row>
    <row r="28" spans="2:10">
      <c r="B28" s="1" t="s">
        <v>35</v>
      </c>
      <c r="C28" s="1" t="s">
        <v>28</v>
      </c>
      <c r="D28" s="1"/>
      <c r="E28" s="1"/>
      <c r="F28" s="1">
        <v>342321</v>
      </c>
      <c r="G28" s="1">
        <v>1814301.3</v>
      </c>
      <c r="H28" s="1">
        <v>162154.20000000001</v>
      </c>
      <c r="I28" s="1">
        <v>0</v>
      </c>
      <c r="J28" s="1">
        <v>1976455.5</v>
      </c>
    </row>
    <row r="29" spans="2:10">
      <c r="B29" s="1" t="s">
        <v>36</v>
      </c>
      <c r="C29" s="1" t="s">
        <v>28</v>
      </c>
      <c r="D29" s="1"/>
      <c r="E29" s="1"/>
      <c r="F29" s="1">
        <v>6528</v>
      </c>
      <c r="G29" s="1">
        <v>18604.8</v>
      </c>
      <c r="H29" s="1">
        <v>2700</v>
      </c>
      <c r="I29" s="1">
        <v>0</v>
      </c>
      <c r="J29" s="1">
        <v>21304.799999999999</v>
      </c>
    </row>
    <row r="30" spans="2:10">
      <c r="B30" s="1" t="s">
        <v>37</v>
      </c>
      <c r="C30" s="1" t="s">
        <v>28</v>
      </c>
      <c r="D30" s="1"/>
      <c r="E30" s="1"/>
      <c r="F30" s="1">
        <v>2813744</v>
      </c>
      <c r="G30" s="1">
        <v>24620260</v>
      </c>
      <c r="H30" s="1">
        <v>1370715</v>
      </c>
      <c r="I30" s="1">
        <v>0</v>
      </c>
      <c r="J30" s="1">
        <v>25990975</v>
      </c>
    </row>
    <row r="31" spans="2:10">
      <c r="B31" s="1" t="s">
        <v>38</v>
      </c>
      <c r="C31" s="1" t="s">
        <v>28</v>
      </c>
      <c r="D31" s="1"/>
      <c r="E31" s="1"/>
      <c r="F31" s="1">
        <v>84527</v>
      </c>
      <c r="G31" s="1">
        <v>223996.55</v>
      </c>
      <c r="H31" s="1">
        <v>2100</v>
      </c>
      <c r="I31" s="1">
        <v>0</v>
      </c>
      <c r="J31" s="1">
        <v>226096.55</v>
      </c>
    </row>
    <row r="32" spans="2:10">
      <c r="B32" s="1" t="s">
        <v>39</v>
      </c>
      <c r="C32" s="1" t="s">
        <v>28</v>
      </c>
      <c r="D32" s="1"/>
      <c r="E32" s="1"/>
      <c r="F32" s="1">
        <v>0</v>
      </c>
      <c r="G32" s="1">
        <v>0</v>
      </c>
      <c r="H32" s="1">
        <v>0</v>
      </c>
      <c r="I32" s="1">
        <v>0</v>
      </c>
      <c r="J32" s="1">
        <v>0</v>
      </c>
    </row>
    <row r="33" spans="2:10">
      <c r="B33" s="1" t="s">
        <v>40</v>
      </c>
      <c r="C33" s="1" t="s">
        <v>28</v>
      </c>
      <c r="D33" s="1"/>
      <c r="E33" s="1"/>
      <c r="F33" s="1">
        <v>0</v>
      </c>
      <c r="G33" s="1">
        <v>0</v>
      </c>
      <c r="H33" s="1">
        <v>0</v>
      </c>
      <c r="I33" s="1">
        <v>0</v>
      </c>
      <c r="J33" s="1">
        <v>0</v>
      </c>
    </row>
    <row r="34" spans="2:10">
      <c r="B34" s="1" t="s">
        <v>41</v>
      </c>
      <c r="C34" s="1" t="s">
        <v>28</v>
      </c>
      <c r="D34" s="1"/>
      <c r="E34" s="1"/>
      <c r="F34" s="1">
        <v>14124668</v>
      </c>
      <c r="G34" s="1">
        <v>71329573.399999991</v>
      </c>
      <c r="H34" s="1">
        <v>6153995.2699999996</v>
      </c>
      <c r="I34" s="1">
        <v>0</v>
      </c>
      <c r="J34" s="1">
        <v>77483568.669999987</v>
      </c>
    </row>
    <row r="35" spans="2:10">
      <c r="B35" s="1" t="s">
        <v>42</v>
      </c>
      <c r="C35" s="1" t="s">
        <v>28</v>
      </c>
      <c r="D35" s="1"/>
      <c r="E35" s="1"/>
      <c r="F35" s="1">
        <v>32631164</v>
      </c>
      <c r="G35" s="1">
        <v>174576727.39999998</v>
      </c>
      <c r="H35" s="1">
        <v>13626096.779999999</v>
      </c>
      <c r="I35" s="1">
        <v>0</v>
      </c>
      <c r="J35" s="1">
        <v>188202824.17999998</v>
      </c>
    </row>
    <row r="36" spans="2:10">
      <c r="B36" s="1" t="s">
        <v>43</v>
      </c>
      <c r="C36" s="1" t="s">
        <v>28</v>
      </c>
      <c r="D36" s="1"/>
      <c r="E36" s="1"/>
      <c r="F36" s="1">
        <v>2562134</v>
      </c>
      <c r="G36" s="1">
        <v>7686402</v>
      </c>
      <c r="H36" s="1">
        <v>996020.25</v>
      </c>
      <c r="I36" s="1">
        <v>0</v>
      </c>
      <c r="J36" s="1">
        <v>8682422.25</v>
      </c>
    </row>
    <row r="37" spans="2:10">
      <c r="B37" s="1" t="s">
        <v>44</v>
      </c>
      <c r="C37" s="1" t="s">
        <v>28</v>
      </c>
      <c r="D37" s="1"/>
      <c r="E37" s="1"/>
      <c r="F37" s="1">
        <v>155301</v>
      </c>
      <c r="G37" s="1">
        <v>1273468.2</v>
      </c>
      <c r="H37" s="1">
        <v>400</v>
      </c>
      <c r="I37" s="1">
        <v>0</v>
      </c>
      <c r="J37" s="1">
        <v>1273868.2</v>
      </c>
    </row>
    <row r="38" spans="2:10">
      <c r="B38" s="1" t="s">
        <v>45</v>
      </c>
      <c r="C38" s="1" t="s">
        <v>28</v>
      </c>
      <c r="D38" s="1"/>
      <c r="E38" s="1"/>
      <c r="F38" s="1">
        <v>0</v>
      </c>
      <c r="G38" s="1">
        <v>0</v>
      </c>
      <c r="H38" s="1">
        <v>0</v>
      </c>
      <c r="I38" s="1">
        <v>0</v>
      </c>
      <c r="J38" s="1">
        <v>0</v>
      </c>
    </row>
    <row r="39" spans="2:10">
      <c r="B39" s="1" t="s">
        <v>46</v>
      </c>
      <c r="C39" s="1"/>
      <c r="D39" s="1"/>
      <c r="E39" s="1"/>
      <c r="F39" s="1"/>
      <c r="G39" s="1">
        <v>-8954511.5600000005</v>
      </c>
      <c r="H39" s="1">
        <v>-7816550.2300000004</v>
      </c>
      <c r="I39" s="1">
        <v>0</v>
      </c>
      <c r="J39" s="1">
        <v>-16771061.790000001</v>
      </c>
    </row>
    <row r="40" spans="2:10">
      <c r="B40" s="1" t="s">
        <v>47</v>
      </c>
      <c r="C40" s="1"/>
      <c r="D40" s="1"/>
      <c r="E40" s="1"/>
      <c r="F40" s="1">
        <v>350331277.35000002</v>
      </c>
      <c r="G40" s="1">
        <v>1758838541.5450003</v>
      </c>
      <c r="H40" s="1">
        <v>161870505.77000004</v>
      </c>
      <c r="I40" s="1">
        <v>0</v>
      </c>
      <c r="J40" s="1">
        <v>1920709047.3150003</v>
      </c>
    </row>
    <row r="41" spans="2:10">
      <c r="B41" s="1"/>
      <c r="C41" s="1"/>
      <c r="D41" s="1"/>
      <c r="E41" s="1"/>
      <c r="F41" s="1"/>
      <c r="G41" s="1"/>
      <c r="H41" s="1"/>
      <c r="I41" s="1" t="s">
        <v>48</v>
      </c>
      <c r="J41" s="1">
        <v>12152813.720000001</v>
      </c>
    </row>
    <row r="42" spans="2:10">
      <c r="B42" s="1"/>
      <c r="C42" s="1"/>
      <c r="D42" s="1"/>
      <c r="E42" s="1"/>
      <c r="F42" s="1"/>
      <c r="G42" s="1"/>
      <c r="H42" s="1"/>
      <c r="I42" s="1" t="s">
        <v>49</v>
      </c>
      <c r="J42" s="1">
        <v>396031261.63999999</v>
      </c>
    </row>
    <row r="43" spans="2:10">
      <c r="B43" s="1"/>
      <c r="C43" s="1"/>
      <c r="D43" s="1"/>
      <c r="E43" s="1"/>
      <c r="F43" s="1"/>
      <c r="G43" s="1"/>
      <c r="H43" s="1"/>
      <c r="I43" s="1" t="s">
        <v>50</v>
      </c>
      <c r="J43" s="1">
        <v>-200636.54</v>
      </c>
    </row>
    <row r="44" spans="2:10">
      <c r="B44" s="1"/>
      <c r="C44" s="1"/>
      <c r="D44" s="1"/>
      <c r="E44" s="1"/>
      <c r="F44" s="1"/>
      <c r="G44" s="1"/>
      <c r="H44" s="1"/>
      <c r="I44" s="1" t="s">
        <v>51</v>
      </c>
      <c r="J44" s="1">
        <v>13284896</v>
      </c>
    </row>
    <row r="45" spans="2:10">
      <c r="B45" s="1"/>
      <c r="C45" s="1"/>
      <c r="D45" s="1"/>
      <c r="E45" s="1"/>
      <c r="F45" s="1"/>
      <c r="G45" s="1"/>
      <c r="H45" s="1"/>
      <c r="I45" s="1" t="s">
        <v>52</v>
      </c>
      <c r="J45" s="1">
        <v>6529461.4500000002</v>
      </c>
    </row>
    <row r="46" spans="2:10">
      <c r="B46" s="1"/>
      <c r="C46" s="1"/>
      <c r="D46" s="1"/>
      <c r="E46" s="1"/>
      <c r="F46" s="1"/>
      <c r="G46" s="1"/>
      <c r="H46" s="1"/>
      <c r="I46" s="1" t="s">
        <v>47</v>
      </c>
      <c r="J46" s="1">
        <v>2348506843.585</v>
      </c>
    </row>
    <row r="48" spans="2:10" ht="15.75" thickBot="1"/>
    <row r="49" spans="2:13">
      <c r="B49" s="5402" t="s">
        <v>64</v>
      </c>
      <c r="C49" s="5403"/>
      <c r="D49" s="5403"/>
      <c r="E49" s="5403"/>
      <c r="F49" s="5404"/>
    </row>
    <row r="50" spans="2:13" ht="30">
      <c r="B50" s="7" t="s">
        <v>1</v>
      </c>
      <c r="C50" s="7" t="s">
        <v>2</v>
      </c>
      <c r="D50" s="7" t="s">
        <v>62</v>
      </c>
      <c r="E50" s="7"/>
      <c r="F50" s="7" t="s">
        <v>4</v>
      </c>
      <c r="G50" s="7" t="s">
        <v>5</v>
      </c>
      <c r="H50" s="7" t="s">
        <v>6</v>
      </c>
      <c r="I50" s="7" t="s">
        <v>7</v>
      </c>
      <c r="J50" s="7" t="s">
        <v>8</v>
      </c>
      <c r="K50" s="7" t="s">
        <v>9</v>
      </c>
      <c r="L50" s="7" t="s">
        <v>65</v>
      </c>
      <c r="M50" s="8" t="s">
        <v>11</v>
      </c>
    </row>
    <row r="51" spans="2:13">
      <c r="B51" s="1"/>
      <c r="C51" s="1"/>
      <c r="D51" s="1" t="s">
        <v>12</v>
      </c>
      <c r="E51" s="1" t="s">
        <v>13</v>
      </c>
      <c r="F51" s="1"/>
      <c r="G51" s="1"/>
      <c r="H51" s="1"/>
      <c r="I51" s="1"/>
      <c r="J51" s="1"/>
      <c r="K51" s="1"/>
      <c r="L51" s="1"/>
      <c r="M51" s="1"/>
    </row>
    <row r="52" spans="2:13">
      <c r="B52" s="1" t="s">
        <v>14</v>
      </c>
      <c r="C52" s="1" t="s">
        <v>15</v>
      </c>
      <c r="D52" s="1"/>
      <c r="E52" s="1"/>
      <c r="F52" s="1">
        <v>45745</v>
      </c>
      <c r="G52" s="1">
        <v>18298</v>
      </c>
      <c r="H52" s="1">
        <v>1737.9</v>
      </c>
      <c r="I52" s="1">
        <v>0</v>
      </c>
      <c r="J52" s="1">
        <v>20035.900000000001</v>
      </c>
      <c r="K52" s="1">
        <v>0.43799103727183303</v>
      </c>
      <c r="L52" s="1">
        <v>4117.05</v>
      </c>
      <c r="M52" s="1">
        <v>9.0000000000000011E-2</v>
      </c>
    </row>
    <row r="53" spans="2:13">
      <c r="B53" s="1" t="s">
        <v>16</v>
      </c>
      <c r="C53" s="1" t="s">
        <v>17</v>
      </c>
      <c r="D53" s="1"/>
      <c r="E53" s="1"/>
      <c r="F53" s="1">
        <v>57810413</v>
      </c>
      <c r="G53" s="1">
        <v>89606140.150000006</v>
      </c>
      <c r="H53" s="5399">
        <v>43085525.119999997</v>
      </c>
      <c r="I53" s="1">
        <v>0</v>
      </c>
      <c r="J53" s="5399">
        <v>669847852.56999993</v>
      </c>
      <c r="K53" s="1">
        <v>3.9578360250486058</v>
      </c>
      <c r="L53" s="1">
        <v>18498968.039999999</v>
      </c>
      <c r="M53" s="1">
        <v>0.31999370148073497</v>
      </c>
    </row>
    <row r="54" spans="2:13">
      <c r="B54" s="1"/>
      <c r="C54" s="1" t="s">
        <v>18</v>
      </c>
      <c r="D54" s="1"/>
      <c r="E54" s="1"/>
      <c r="F54" s="1">
        <v>54692978</v>
      </c>
      <c r="G54" s="1">
        <v>180486827.39999998</v>
      </c>
      <c r="H54" s="5400"/>
      <c r="I54" s="1">
        <v>0</v>
      </c>
      <c r="J54" s="5400"/>
      <c r="K54" s="1"/>
      <c r="L54" s="1">
        <v>37736185.560000002</v>
      </c>
      <c r="M54" s="1">
        <v>0.68996399428094779</v>
      </c>
    </row>
    <row r="55" spans="2:13">
      <c r="B55" s="1"/>
      <c r="C55" s="1" t="s">
        <v>19</v>
      </c>
      <c r="D55" s="1"/>
      <c r="E55" s="1"/>
      <c r="F55" s="1">
        <v>19453515</v>
      </c>
      <c r="G55" s="1">
        <v>103103629.5</v>
      </c>
      <c r="H55" s="5400"/>
      <c r="I55" s="1">
        <v>0</v>
      </c>
      <c r="J55" s="5400"/>
      <c r="K55" s="1"/>
      <c r="L55" s="1">
        <v>21007734.48</v>
      </c>
      <c r="M55" s="1">
        <v>1.0798940181247452</v>
      </c>
    </row>
    <row r="56" spans="2:13">
      <c r="B56" s="1"/>
      <c r="C56" s="1" t="s">
        <v>20</v>
      </c>
      <c r="D56" s="1"/>
      <c r="E56" s="1"/>
      <c r="F56" s="1">
        <v>37289078</v>
      </c>
      <c r="G56" s="1">
        <v>253565730.40000001</v>
      </c>
      <c r="H56" s="5401"/>
      <c r="I56" s="1">
        <v>0</v>
      </c>
      <c r="J56" s="5401"/>
      <c r="K56" s="1"/>
      <c r="L56" s="1">
        <v>50702289.200000003</v>
      </c>
      <c r="M56" s="1">
        <v>1.359708845576713</v>
      </c>
    </row>
    <row r="57" spans="2:13">
      <c r="B57" s="1" t="s">
        <v>21</v>
      </c>
      <c r="C57" s="1" t="s">
        <v>22</v>
      </c>
      <c r="D57" s="1"/>
      <c r="E57" s="1"/>
      <c r="F57" s="1">
        <v>36553864</v>
      </c>
      <c r="G57" s="1">
        <v>146215456</v>
      </c>
      <c r="H57" s="5399">
        <v>50612513.390000001</v>
      </c>
      <c r="I57" s="1"/>
      <c r="J57" s="5399">
        <v>538544588.99000001</v>
      </c>
      <c r="K57" s="1">
        <v>6.30617344681679</v>
      </c>
      <c r="L57" s="1">
        <v>33628806.049999997</v>
      </c>
      <c r="M57" s="1">
        <v>0.91997951434080938</v>
      </c>
    </row>
    <row r="58" spans="2:13">
      <c r="B58" s="1"/>
      <c r="C58" s="1" t="s">
        <v>19</v>
      </c>
      <c r="D58" s="1"/>
      <c r="E58" s="1"/>
      <c r="F58" s="1">
        <v>11776403</v>
      </c>
      <c r="G58" s="1">
        <v>70658418</v>
      </c>
      <c r="H58" s="5400"/>
      <c r="I58" s="1"/>
      <c r="J58" s="5400"/>
      <c r="K58" s="1"/>
      <c r="L58" s="1">
        <v>14720262.370000001</v>
      </c>
      <c r="M58" s="1">
        <v>1.2499795030791661</v>
      </c>
    </row>
    <row r="59" spans="2:13">
      <c r="B59" s="1"/>
      <c r="C59" s="1" t="s">
        <v>23</v>
      </c>
      <c r="D59" s="1"/>
      <c r="E59" s="1"/>
      <c r="F59" s="1">
        <v>15240868</v>
      </c>
      <c r="G59" s="1">
        <v>105161989.2</v>
      </c>
      <c r="H59" s="5400"/>
      <c r="I59" s="1"/>
      <c r="J59" s="5400"/>
      <c r="K59" s="1"/>
      <c r="L59" s="1">
        <v>21488280.32</v>
      </c>
      <c r="M59" s="1">
        <v>1.4099118449159196</v>
      </c>
    </row>
    <row r="60" spans="2:13">
      <c r="B60" s="1"/>
      <c r="C60" s="1" t="s">
        <v>24</v>
      </c>
      <c r="D60" s="1"/>
      <c r="E60" s="1"/>
      <c r="F60" s="1">
        <v>21828449</v>
      </c>
      <c r="G60" s="1">
        <v>165896212.40000001</v>
      </c>
      <c r="H60" s="5400"/>
      <c r="I60" s="1"/>
      <c r="J60" s="5400"/>
      <c r="K60" s="1"/>
      <c r="L60" s="1">
        <v>32959351.350000001</v>
      </c>
      <c r="M60" s="1">
        <v>1.5099263969693861</v>
      </c>
    </row>
    <row r="61" spans="2:13">
      <c r="B61" s="1"/>
      <c r="C61" s="1" t="s">
        <v>25</v>
      </c>
      <c r="D61" s="1"/>
      <c r="E61" s="1"/>
      <c r="F61" s="1">
        <v>0</v>
      </c>
      <c r="G61" s="1">
        <v>0</v>
      </c>
      <c r="H61" s="5400"/>
      <c r="I61" s="1">
        <v>0</v>
      </c>
      <c r="J61" s="5400"/>
      <c r="K61" s="1"/>
      <c r="L61" s="1"/>
      <c r="M61" s="1"/>
    </row>
    <row r="62" spans="2:13">
      <c r="B62" s="1"/>
      <c r="C62" s="1" t="s">
        <v>26</v>
      </c>
      <c r="D62" s="1"/>
      <c r="E62" s="1"/>
      <c r="F62" s="1">
        <v>0</v>
      </c>
      <c r="G62" s="1">
        <v>0</v>
      </c>
      <c r="H62" s="5401"/>
      <c r="I62" s="1">
        <v>0</v>
      </c>
      <c r="J62" s="5401"/>
      <c r="K62" s="1"/>
      <c r="L62" s="1"/>
      <c r="M62" s="1"/>
    </row>
    <row r="63" spans="2:13">
      <c r="B63" s="1" t="s">
        <v>27</v>
      </c>
      <c r="C63" s="1" t="s">
        <v>28</v>
      </c>
      <c r="D63" s="1"/>
      <c r="E63" s="1"/>
      <c r="F63" s="1">
        <v>24063066</v>
      </c>
      <c r="G63" s="1">
        <v>175660381.79999998</v>
      </c>
      <c r="H63" s="1">
        <v>17645397.760000002</v>
      </c>
      <c r="I63" s="1">
        <v>0</v>
      </c>
      <c r="J63" s="1">
        <v>193305779.55999997</v>
      </c>
      <c r="K63" s="1">
        <v>8.0332979828921207</v>
      </c>
      <c r="L63" s="1">
        <v>36814945.68</v>
      </c>
      <c r="M63" s="1">
        <v>1.5299357812508181</v>
      </c>
    </row>
    <row r="64" spans="2:13">
      <c r="B64" s="1" t="s">
        <v>29</v>
      </c>
      <c r="C64" s="1" t="s">
        <v>28</v>
      </c>
      <c r="D64" s="1"/>
      <c r="E64" s="1"/>
      <c r="F64" s="1">
        <v>49262500</v>
      </c>
      <c r="G64" s="1">
        <v>371931875</v>
      </c>
      <c r="H64" s="1">
        <v>29090924.09</v>
      </c>
      <c r="I64" s="1">
        <v>0</v>
      </c>
      <c r="J64" s="1">
        <v>401022799.08999997</v>
      </c>
      <c r="K64" s="1">
        <v>8.1405287813245355</v>
      </c>
      <c r="L64" s="1">
        <v>77807194.799999997</v>
      </c>
      <c r="M64" s="1">
        <v>1.5794406455214411</v>
      </c>
    </row>
    <row r="65" spans="2:13">
      <c r="B65" s="1" t="s">
        <v>30</v>
      </c>
      <c r="C65" s="1" t="s">
        <v>22</v>
      </c>
      <c r="D65" s="1"/>
      <c r="E65" s="1"/>
      <c r="F65" s="1">
        <v>1348594</v>
      </c>
      <c r="G65" s="1">
        <v>4989797.8</v>
      </c>
      <c r="H65" s="5399">
        <v>2515163.27</v>
      </c>
      <c r="I65" s="1"/>
      <c r="J65" s="5399">
        <v>25586558.27</v>
      </c>
      <c r="K65" s="1">
        <v>5.9170288750074</v>
      </c>
      <c r="L65" s="1">
        <v>1159810.02</v>
      </c>
      <c r="M65" s="1">
        <v>0.86001422221958579</v>
      </c>
    </row>
    <row r="66" spans="2:13">
      <c r="B66" s="1"/>
      <c r="C66" s="1" t="s">
        <v>19</v>
      </c>
      <c r="D66" s="1"/>
      <c r="E66" s="1"/>
      <c r="F66" s="1">
        <v>602404</v>
      </c>
      <c r="G66" s="1">
        <v>3313222</v>
      </c>
      <c r="H66" s="5400"/>
      <c r="I66" s="1"/>
      <c r="J66" s="5400"/>
      <c r="K66" s="1"/>
      <c r="L66" s="1">
        <v>686757.12</v>
      </c>
      <c r="M66" s="1">
        <v>1.1400274898573051</v>
      </c>
    </row>
    <row r="67" spans="2:13">
      <c r="B67" s="1"/>
      <c r="C67" s="1" t="s">
        <v>23</v>
      </c>
      <c r="D67" s="1"/>
      <c r="E67" s="1"/>
      <c r="F67" s="1">
        <v>933936</v>
      </c>
      <c r="G67" s="1">
        <v>5556919.2000000002</v>
      </c>
      <c r="H67" s="5400"/>
      <c r="I67" s="1"/>
      <c r="J67" s="5400"/>
      <c r="K67" s="1"/>
      <c r="L67" s="1">
        <v>1148786.8799999999</v>
      </c>
      <c r="M67" s="1">
        <v>1.2300488256154596</v>
      </c>
    </row>
    <row r="68" spans="2:13">
      <c r="B68" s="1"/>
      <c r="C68" s="1" t="s">
        <v>24</v>
      </c>
      <c r="D68" s="1"/>
      <c r="E68" s="1"/>
      <c r="F68" s="1">
        <v>1439290</v>
      </c>
      <c r="G68" s="1">
        <v>9211456</v>
      </c>
      <c r="H68" s="5400"/>
      <c r="I68" s="1"/>
      <c r="J68" s="5400"/>
      <c r="K68" s="1"/>
      <c r="L68" s="1">
        <v>1857048.7</v>
      </c>
      <c r="M68" s="1">
        <v>1.2902533193449548</v>
      </c>
    </row>
    <row r="69" spans="2:13">
      <c r="B69" s="1"/>
      <c r="C69" s="1" t="s">
        <v>25</v>
      </c>
      <c r="D69" s="1"/>
      <c r="E69" s="1"/>
      <c r="F69" s="1">
        <v>0</v>
      </c>
      <c r="G69" s="1">
        <v>0</v>
      </c>
      <c r="H69" s="5400"/>
      <c r="I69" s="1">
        <v>0</v>
      </c>
      <c r="J69" s="5400"/>
      <c r="K69" s="1"/>
      <c r="L69" s="1"/>
      <c r="M69" s="1"/>
    </row>
    <row r="70" spans="2:13">
      <c r="B70" s="1"/>
      <c r="C70" s="1" t="s">
        <v>26</v>
      </c>
      <c r="D70" s="1"/>
      <c r="E70" s="1"/>
      <c r="F70" s="1">
        <v>0</v>
      </c>
      <c r="G70" s="1">
        <v>0</v>
      </c>
      <c r="H70" s="5401"/>
      <c r="I70" s="1">
        <v>0</v>
      </c>
      <c r="J70" s="5401"/>
      <c r="K70" s="1"/>
      <c r="L70" s="1"/>
      <c r="M70" s="1"/>
    </row>
    <row r="71" spans="2:13">
      <c r="B71" s="1" t="s">
        <v>31</v>
      </c>
      <c r="C71" s="1" t="s">
        <v>28</v>
      </c>
      <c r="D71" s="1"/>
      <c r="E71" s="1"/>
      <c r="F71" s="1">
        <v>4475061</v>
      </c>
      <c r="G71" s="1">
        <v>24165329.400000002</v>
      </c>
      <c r="H71" s="1">
        <v>3953581.92</v>
      </c>
      <c r="I71" s="1">
        <v>0</v>
      </c>
      <c r="J71" s="1">
        <v>28118911.32</v>
      </c>
      <c r="K71" s="1">
        <v>6.2834699504654798</v>
      </c>
      <c r="L71" s="1">
        <v>5414823.8099999996</v>
      </c>
      <c r="M71" s="1">
        <v>1.21</v>
      </c>
    </row>
    <row r="72" spans="2:13">
      <c r="B72" s="1" t="s">
        <v>32</v>
      </c>
      <c r="C72" s="1" t="s">
        <v>28</v>
      </c>
      <c r="D72" s="1"/>
      <c r="E72" s="1"/>
      <c r="F72" s="1">
        <v>4190857</v>
      </c>
      <c r="G72" s="1">
        <v>22211542.099999998</v>
      </c>
      <c r="H72" s="1">
        <v>2097799.0499999998</v>
      </c>
      <c r="I72" s="1">
        <v>0</v>
      </c>
      <c r="J72" s="1">
        <v>24309341.149999999</v>
      </c>
      <c r="K72" s="1">
        <v>5.8005656480285532</v>
      </c>
      <c r="L72" s="1">
        <v>4737982.01</v>
      </c>
      <c r="M72" s="1">
        <v>1.1305520589225544</v>
      </c>
    </row>
    <row r="73" spans="2:13">
      <c r="B73" s="1" t="s">
        <v>33</v>
      </c>
      <c r="C73" s="1" t="s">
        <v>28</v>
      </c>
      <c r="D73" s="1"/>
      <c r="E73" s="1"/>
      <c r="F73" s="1">
        <v>349516</v>
      </c>
      <c r="G73" s="1">
        <v>3984482.4</v>
      </c>
      <c r="H73" s="1">
        <v>1207290</v>
      </c>
      <c r="I73" s="1">
        <v>0</v>
      </c>
      <c r="J73" s="1">
        <v>5191772.4000000004</v>
      </c>
      <c r="K73" s="1">
        <v>14.8541766328294</v>
      </c>
      <c r="L73" s="1">
        <v>862295.39</v>
      </c>
      <c r="M73" s="1">
        <v>2.4671127788141316</v>
      </c>
    </row>
    <row r="74" spans="2:13">
      <c r="B74" s="1" t="s">
        <v>34</v>
      </c>
      <c r="C74" s="1" t="s">
        <v>28</v>
      </c>
      <c r="D74" s="1"/>
      <c r="E74" s="1"/>
      <c r="F74" s="1">
        <v>2074643.91</v>
      </c>
      <c r="G74" s="1">
        <v>10995612.722999999</v>
      </c>
      <c r="H74" s="1">
        <v>1321773.3700000001</v>
      </c>
      <c r="I74" s="1">
        <v>0</v>
      </c>
      <c r="J74" s="1">
        <v>12317386.092999998</v>
      </c>
      <c r="K74" s="1">
        <v>5.9371085484255461</v>
      </c>
      <c r="L74" s="1">
        <v>2302854.7400000002</v>
      </c>
      <c r="M74" s="1">
        <v>1.1099999999517991</v>
      </c>
    </row>
    <row r="75" spans="2:13">
      <c r="B75" s="1" t="s">
        <v>35</v>
      </c>
      <c r="C75" s="1" t="s">
        <v>28</v>
      </c>
      <c r="D75" s="1"/>
      <c r="E75" s="1"/>
      <c r="F75" s="1">
        <v>330318</v>
      </c>
      <c r="G75" s="1">
        <v>1750685.4</v>
      </c>
      <c r="H75" s="1">
        <v>161275.78</v>
      </c>
      <c r="I75" s="1">
        <v>0</v>
      </c>
      <c r="J75" s="1">
        <v>1911961.18</v>
      </c>
      <c r="K75" s="1">
        <v>5.7882439951804017</v>
      </c>
      <c r="L75" s="1">
        <v>366652.98</v>
      </c>
      <c r="M75" s="1">
        <v>1.1099999999999999</v>
      </c>
    </row>
    <row r="76" spans="2:13">
      <c r="B76" s="1" t="s">
        <v>36</v>
      </c>
      <c r="C76" s="1" t="s">
        <v>28</v>
      </c>
      <c r="D76" s="1"/>
      <c r="E76" s="1"/>
      <c r="F76" s="1">
        <v>3616</v>
      </c>
      <c r="G76" s="1">
        <v>10305.6</v>
      </c>
      <c r="H76" s="1">
        <v>2100</v>
      </c>
      <c r="I76" s="1">
        <v>0</v>
      </c>
      <c r="J76" s="1">
        <v>12405.6</v>
      </c>
      <c r="K76" s="1">
        <v>3.4307522123893808</v>
      </c>
      <c r="L76" s="1">
        <v>2200.62</v>
      </c>
      <c r="M76" s="1">
        <v>0.6085785398230088</v>
      </c>
    </row>
    <row r="77" spans="2:13">
      <c r="B77" s="1" t="s">
        <v>37</v>
      </c>
      <c r="C77" s="1" t="s">
        <v>28</v>
      </c>
      <c r="D77" s="1"/>
      <c r="E77" s="1"/>
      <c r="F77" s="1">
        <v>3220913</v>
      </c>
      <c r="G77" s="1">
        <v>28182988.75</v>
      </c>
      <c r="H77" s="1">
        <v>1427041.94</v>
      </c>
      <c r="I77" s="1">
        <v>0</v>
      </c>
      <c r="J77" s="1">
        <v>29610030.690000001</v>
      </c>
      <c r="K77" s="1">
        <v>9.1930551026991427</v>
      </c>
      <c r="L77" s="1">
        <v>5922055.3799999999</v>
      </c>
      <c r="M77" s="1">
        <v>1.8386263087515868</v>
      </c>
    </row>
    <row r="78" spans="2:13">
      <c r="B78" s="1" t="s">
        <v>38</v>
      </c>
      <c r="C78" s="1" t="s">
        <v>28</v>
      </c>
      <c r="D78" s="1"/>
      <c r="E78" s="1"/>
      <c r="F78" s="1">
        <v>100024</v>
      </c>
      <c r="G78" s="1">
        <v>265063.59999999998</v>
      </c>
      <c r="H78" s="1">
        <v>2100</v>
      </c>
      <c r="I78" s="1">
        <v>0</v>
      </c>
      <c r="J78" s="1">
        <v>267163.59999999998</v>
      </c>
      <c r="K78" s="1">
        <v>2.6709949612093093</v>
      </c>
      <c r="L78" s="1">
        <v>53012.72</v>
      </c>
      <c r="M78" s="1">
        <v>0.53</v>
      </c>
    </row>
    <row r="79" spans="2:13">
      <c r="B79" s="1" t="s">
        <v>39</v>
      </c>
      <c r="C79" s="1" t="s">
        <v>28</v>
      </c>
      <c r="D79" s="1"/>
      <c r="E79" s="1"/>
      <c r="F79" s="1">
        <v>0</v>
      </c>
      <c r="G79" s="1">
        <v>0</v>
      </c>
      <c r="H79" s="1">
        <v>0</v>
      </c>
      <c r="I79" s="1">
        <v>0</v>
      </c>
      <c r="J79" s="1">
        <v>0</v>
      </c>
      <c r="K79" s="1" t="e">
        <v>#DIV/0!</v>
      </c>
      <c r="L79" s="1"/>
      <c r="M79" s="1"/>
    </row>
    <row r="80" spans="2:13">
      <c r="B80" s="1" t="s">
        <v>40</v>
      </c>
      <c r="C80" s="1" t="s">
        <v>28</v>
      </c>
      <c r="D80" s="1"/>
      <c r="E80" s="1"/>
      <c r="F80" s="1">
        <v>0</v>
      </c>
      <c r="G80" s="1">
        <v>0</v>
      </c>
      <c r="H80" s="1">
        <v>0</v>
      </c>
      <c r="I80" s="1">
        <v>0</v>
      </c>
      <c r="J80" s="1">
        <v>0</v>
      </c>
      <c r="K80" s="1" t="e">
        <v>#DIV/0!</v>
      </c>
      <c r="L80" s="1"/>
      <c r="M80" s="1"/>
    </row>
    <row r="81" spans="2:13">
      <c r="B81" s="1" t="s">
        <v>41</v>
      </c>
      <c r="C81" s="1" t="s">
        <v>28</v>
      </c>
      <c r="D81" s="1"/>
      <c r="E81" s="1"/>
      <c r="F81" s="1">
        <v>13949195</v>
      </c>
      <c r="G81" s="1">
        <v>70443434.75</v>
      </c>
      <c r="H81" s="1">
        <v>6216268.4900000002</v>
      </c>
      <c r="I81" s="1">
        <v>0</v>
      </c>
      <c r="J81" s="1">
        <v>76659703.239999995</v>
      </c>
      <c r="K81" s="1">
        <v>5.4956363603777847</v>
      </c>
      <c r="L81" s="1">
        <v>14925638.65</v>
      </c>
      <c r="M81" s="1">
        <v>1.07</v>
      </c>
    </row>
    <row r="82" spans="2:13">
      <c r="B82" s="1" t="s">
        <v>42</v>
      </c>
      <c r="C82" s="1" t="s">
        <v>28</v>
      </c>
      <c r="D82" s="1"/>
      <c r="E82" s="1"/>
      <c r="F82" s="1">
        <v>35739528</v>
      </c>
      <c r="G82" s="1">
        <v>191206474.79999998</v>
      </c>
      <c r="H82" s="1">
        <v>14740257.449999999</v>
      </c>
      <c r="I82" s="1">
        <v>0</v>
      </c>
      <c r="J82" s="1">
        <v>205946732.24999997</v>
      </c>
      <c r="K82" s="1">
        <v>5.7624357056422228</v>
      </c>
      <c r="L82" s="1">
        <v>39670876.079999998</v>
      </c>
      <c r="M82" s="1">
        <v>1.1099999999999999</v>
      </c>
    </row>
    <row r="83" spans="2:13">
      <c r="B83" s="1" t="s">
        <v>43</v>
      </c>
      <c r="C83" s="1" t="s">
        <v>28</v>
      </c>
      <c r="D83" s="1"/>
      <c r="E83" s="1"/>
      <c r="F83" s="1">
        <v>2792995</v>
      </c>
      <c r="G83" s="1">
        <v>8378985</v>
      </c>
      <c r="H83" s="1">
        <v>1005878.25</v>
      </c>
      <c r="I83" s="1">
        <v>0</v>
      </c>
      <c r="J83" s="1">
        <v>9384863.25</v>
      </c>
      <c r="K83" s="1">
        <v>3.3601432333391217</v>
      </c>
      <c r="L83" s="1">
        <v>1815446.75</v>
      </c>
      <c r="M83" s="1">
        <v>0.65</v>
      </c>
    </row>
    <row r="84" spans="2:13">
      <c r="B84" s="1" t="s">
        <v>44</v>
      </c>
      <c r="C84" s="1" t="s">
        <v>28</v>
      </c>
      <c r="D84" s="1"/>
      <c r="E84" s="1"/>
      <c r="F84" s="1">
        <v>352935</v>
      </c>
      <c r="G84" s="1">
        <v>2894066.9999999995</v>
      </c>
      <c r="H84" s="1">
        <v>600</v>
      </c>
      <c r="I84" s="1">
        <v>0</v>
      </c>
      <c r="J84" s="1">
        <v>2894666.9999999995</v>
      </c>
      <c r="K84" s="1">
        <v>8.2017000297505191</v>
      </c>
      <c r="L84" s="1">
        <v>571754.69999999995</v>
      </c>
      <c r="M84" s="1">
        <v>1.6199999999999999</v>
      </c>
    </row>
    <row r="85" spans="2:13">
      <c r="B85" s="1" t="s">
        <v>45</v>
      </c>
      <c r="C85" s="1" t="s">
        <v>28</v>
      </c>
      <c r="D85" s="1"/>
      <c r="E85" s="1"/>
      <c r="F85" s="1">
        <v>0</v>
      </c>
      <c r="G85" s="1">
        <v>0</v>
      </c>
      <c r="H85" s="1">
        <v>0</v>
      </c>
      <c r="I85" s="1">
        <v>0</v>
      </c>
      <c r="J85" s="1">
        <v>0</v>
      </c>
      <c r="K85" s="1" t="e">
        <v>#DIV/0!</v>
      </c>
      <c r="L85" s="1"/>
      <c r="M85" s="1"/>
    </row>
    <row r="86" spans="2:13">
      <c r="B86" s="1" t="s">
        <v>46</v>
      </c>
      <c r="C86" s="1"/>
      <c r="D86" s="1"/>
      <c r="E86" s="1"/>
      <c r="F86" s="1"/>
      <c r="G86" s="1">
        <v>-25583817.260000002</v>
      </c>
      <c r="H86" s="1">
        <v>525343.80000000005</v>
      </c>
      <c r="I86" s="1">
        <v>0</v>
      </c>
      <c r="J86" s="1">
        <v>-25058473.460000001</v>
      </c>
      <c r="K86" s="1"/>
      <c r="L86" s="1">
        <v>-1388031.42</v>
      </c>
      <c r="M86" s="1"/>
    </row>
    <row r="87" spans="2:13">
      <c r="B87" s="1" t="s">
        <v>47</v>
      </c>
      <c r="C87" s="1"/>
      <c r="D87" s="1"/>
      <c r="E87" s="1"/>
      <c r="F87" s="1">
        <v>399920704.91000003</v>
      </c>
      <c r="G87" s="1">
        <v>2024281507.1129999</v>
      </c>
      <c r="H87" s="1">
        <v>175612571.58000001</v>
      </c>
      <c r="I87" s="1">
        <v>0</v>
      </c>
      <c r="J87" s="1">
        <v>2199894078.6929998</v>
      </c>
      <c r="K87" s="1">
        <v>5.5008256678985248</v>
      </c>
      <c r="L87" s="1">
        <v>425478100.02999991</v>
      </c>
      <c r="M87" s="1">
        <v>1.0639061564110601</v>
      </c>
    </row>
    <row r="88" spans="2:13">
      <c r="B88" s="1"/>
      <c r="C88" s="1"/>
      <c r="D88" s="1"/>
      <c r="E88" s="1"/>
      <c r="F88" s="1"/>
      <c r="G88" s="1"/>
      <c r="H88" s="1"/>
      <c r="I88" s="1" t="s">
        <v>48</v>
      </c>
      <c r="J88" s="1">
        <v>10403916.9</v>
      </c>
      <c r="K88" s="1"/>
      <c r="L88" s="1"/>
      <c r="M88" s="1"/>
    </row>
    <row r="89" spans="2:13">
      <c r="B89" s="1"/>
      <c r="C89" s="1"/>
      <c r="D89" s="1"/>
      <c r="E89" s="1"/>
      <c r="F89" s="1"/>
      <c r="G89" s="1"/>
      <c r="H89" s="1"/>
      <c r="I89" s="1" t="s">
        <v>49</v>
      </c>
      <c r="J89" s="1">
        <v>425530022.79000002</v>
      </c>
      <c r="K89" s="1"/>
      <c r="L89" s="1">
        <v>-51922.760000109673</v>
      </c>
      <c r="M89" s="1"/>
    </row>
    <row r="90" spans="2:13">
      <c r="B90" s="1"/>
      <c r="C90" s="1"/>
      <c r="D90" s="1"/>
      <c r="E90" s="1"/>
      <c r="F90" s="1"/>
      <c r="G90" s="1"/>
      <c r="H90" s="1"/>
      <c r="I90" s="1" t="s">
        <v>50</v>
      </c>
      <c r="J90" s="1">
        <v>-493119.69</v>
      </c>
      <c r="K90" s="1"/>
      <c r="L90" s="1"/>
      <c r="M90" s="1"/>
    </row>
    <row r="91" spans="2:13">
      <c r="B91" s="1"/>
      <c r="C91" s="1"/>
      <c r="D91" s="1"/>
      <c r="E91" s="1"/>
      <c r="F91" s="1"/>
      <c r="G91" s="1"/>
      <c r="H91" s="1"/>
      <c r="I91" s="1" t="s">
        <v>51</v>
      </c>
      <c r="J91" s="1">
        <v>14285124.59</v>
      </c>
      <c r="K91" s="1"/>
      <c r="L91" s="1"/>
      <c r="M91" s="1"/>
    </row>
    <row r="92" spans="2:13">
      <c r="B92" s="1"/>
      <c r="C92" s="1"/>
      <c r="D92" s="1"/>
      <c r="E92" s="1"/>
      <c r="F92" s="1"/>
      <c r="G92" s="1"/>
      <c r="H92" s="1"/>
      <c r="I92" s="1" t="s">
        <v>52</v>
      </c>
      <c r="J92" s="1">
        <v>7533528.9199999999</v>
      </c>
      <c r="K92" s="1"/>
      <c r="L92" s="1"/>
      <c r="M92" s="1"/>
    </row>
    <row r="93" spans="2:13">
      <c r="B93" s="1"/>
      <c r="C93" s="1"/>
      <c r="D93" s="1"/>
      <c r="E93" s="1"/>
      <c r="F93" s="1"/>
      <c r="G93" s="1"/>
      <c r="H93" s="1"/>
      <c r="I93" s="1" t="s">
        <v>47</v>
      </c>
      <c r="J93" s="1">
        <v>2657153552.2030001</v>
      </c>
      <c r="K93" s="1"/>
      <c r="L93" s="1"/>
      <c r="M93" s="1"/>
    </row>
    <row r="94" spans="2:13">
      <c r="B94" s="1"/>
      <c r="C94" s="1"/>
      <c r="D94" s="1"/>
      <c r="E94" s="1"/>
      <c r="F94" s="1"/>
      <c r="G94" s="1"/>
      <c r="H94" s="1"/>
      <c r="I94" s="1" t="s">
        <v>53</v>
      </c>
      <c r="J94" s="1">
        <v>-6284699.3600000003</v>
      </c>
      <c r="K94" s="1"/>
      <c r="L94" s="1"/>
      <c r="M94" s="1"/>
    </row>
    <row r="95" spans="2:13">
      <c r="B95" s="1"/>
      <c r="C95" s="1"/>
      <c r="D95" s="1"/>
      <c r="E95" s="1"/>
      <c r="F95" s="1"/>
      <c r="G95" s="1"/>
      <c r="H95" s="1"/>
      <c r="I95" s="1" t="s">
        <v>54</v>
      </c>
      <c r="J95" s="1">
        <v>-46269257.899999999</v>
      </c>
      <c r="K95" s="1"/>
      <c r="L95" s="1"/>
      <c r="M95" s="1"/>
    </row>
    <row r="96" spans="2:13">
      <c r="B96" s="1"/>
      <c r="C96" s="1"/>
      <c r="D96" s="1"/>
      <c r="E96" s="1"/>
      <c r="F96" s="1"/>
      <c r="G96" s="1"/>
      <c r="H96" s="1"/>
      <c r="I96" s="1" t="s">
        <v>55</v>
      </c>
      <c r="J96" s="1">
        <v>-294961.91999999998</v>
      </c>
      <c r="K96" s="1"/>
      <c r="L96" s="1"/>
      <c r="M96" s="1"/>
    </row>
    <row r="97" spans="2:13">
      <c r="B97" s="1"/>
      <c r="C97" s="1"/>
      <c r="D97" s="1"/>
      <c r="E97" s="1"/>
      <c r="F97" s="1"/>
      <c r="G97" s="1"/>
      <c r="H97" s="1"/>
      <c r="I97" s="1" t="s">
        <v>56</v>
      </c>
      <c r="J97" s="1">
        <v>0</v>
      </c>
      <c r="K97" s="1"/>
      <c r="L97" s="1"/>
      <c r="M97" s="1"/>
    </row>
    <row r="98" spans="2:13">
      <c r="B98" s="1"/>
      <c r="C98" s="1"/>
      <c r="D98" s="1"/>
      <c r="E98" s="1"/>
      <c r="F98" s="1"/>
      <c r="G98" s="1"/>
      <c r="H98" s="1"/>
      <c r="I98" s="1" t="s">
        <v>57</v>
      </c>
      <c r="J98" s="1">
        <v>2604304633.0229998</v>
      </c>
      <c r="K98" s="1"/>
      <c r="L98" s="1"/>
      <c r="M98" s="1"/>
    </row>
    <row r="99" spans="2:13">
      <c r="B99" s="1"/>
      <c r="C99" s="1"/>
      <c r="D99" s="1"/>
      <c r="E99" s="1"/>
      <c r="F99" s="1"/>
      <c r="G99" s="1"/>
      <c r="H99" s="1"/>
      <c r="I99" s="1" t="s">
        <v>58</v>
      </c>
      <c r="J99" s="1">
        <v>6.6442010118005221</v>
      </c>
      <c r="K99" s="1"/>
      <c r="L99" s="1"/>
      <c r="M99" s="1"/>
    </row>
    <row r="100" spans="2:13">
      <c r="B100" s="1"/>
      <c r="C100" s="1"/>
      <c r="D100" s="1"/>
      <c r="E100" s="1"/>
      <c r="F100" s="1"/>
      <c r="G100" s="1"/>
      <c r="H100" s="1"/>
      <c r="I100" s="1" t="s">
        <v>59</v>
      </c>
      <c r="J100" s="1">
        <v>40339462.560000002</v>
      </c>
      <c r="K100" s="1"/>
      <c r="L100" s="1"/>
      <c r="M100" s="1"/>
    </row>
    <row r="101" spans="2:13">
      <c r="B101" s="1"/>
      <c r="C101" s="1"/>
      <c r="D101" s="1"/>
      <c r="E101" s="1"/>
      <c r="F101" s="1"/>
      <c r="G101" s="1"/>
      <c r="H101" s="1"/>
      <c r="I101" s="1" t="s">
        <v>60</v>
      </c>
      <c r="J101" s="1">
        <v>2697493014.763</v>
      </c>
      <c r="K101" s="1"/>
      <c r="L101" s="1"/>
      <c r="M101" s="1"/>
    </row>
    <row r="102" spans="2:13">
      <c r="B102" s="1"/>
      <c r="C102" s="1"/>
      <c r="D102" s="1"/>
      <c r="E102" s="1"/>
      <c r="F102" s="1"/>
      <c r="G102" s="1"/>
      <c r="H102" s="1"/>
      <c r="I102" s="1" t="s">
        <v>58</v>
      </c>
      <c r="J102" s="1"/>
      <c r="K102" s="1"/>
      <c r="L102" s="1"/>
      <c r="M102" s="1"/>
    </row>
    <row r="103" spans="2:13">
      <c r="B103" s="1"/>
      <c r="C103" s="1"/>
      <c r="D103" s="1"/>
      <c r="E103" s="1"/>
      <c r="F103" s="1"/>
      <c r="G103" s="1"/>
      <c r="H103" s="1"/>
      <c r="I103" s="1"/>
      <c r="J103" s="1">
        <v>6.7450696641726919</v>
      </c>
      <c r="K103" s="1"/>
      <c r="L103" s="1"/>
      <c r="M103" s="1"/>
    </row>
    <row r="104" spans="2:13" ht="15.75" thickBot="1"/>
    <row r="105" spans="2:13">
      <c r="B105" s="5402" t="s">
        <v>66</v>
      </c>
      <c r="C105" s="5403"/>
      <c r="D105" s="5403"/>
      <c r="E105" s="5403"/>
      <c r="F105" s="5404"/>
    </row>
    <row r="106" spans="2:13" ht="30">
      <c r="B106" s="7" t="s">
        <v>1</v>
      </c>
      <c r="C106" s="7" t="s">
        <v>2</v>
      </c>
      <c r="D106" s="7" t="s">
        <v>62</v>
      </c>
      <c r="E106" s="7"/>
      <c r="F106" s="7" t="s">
        <v>4</v>
      </c>
      <c r="G106" s="7" t="s">
        <v>5</v>
      </c>
      <c r="H106" s="7" t="s">
        <v>6</v>
      </c>
      <c r="I106" s="7" t="s">
        <v>7</v>
      </c>
      <c r="J106" s="7" t="s">
        <v>8</v>
      </c>
      <c r="K106" s="7" t="s">
        <v>9</v>
      </c>
      <c r="L106" s="7" t="s">
        <v>67</v>
      </c>
      <c r="M106" s="7" t="s">
        <v>11</v>
      </c>
    </row>
    <row r="107" spans="2:13">
      <c r="B107" s="1"/>
      <c r="C107" s="1"/>
      <c r="D107" s="1" t="s">
        <v>12</v>
      </c>
      <c r="E107" s="1" t="s">
        <v>13</v>
      </c>
      <c r="F107" s="1"/>
      <c r="G107" s="1"/>
      <c r="H107" s="1"/>
      <c r="I107" s="1"/>
      <c r="J107" s="1"/>
      <c r="K107" s="1"/>
      <c r="L107" s="1"/>
      <c r="M107" s="1"/>
    </row>
    <row r="108" spans="2:13">
      <c r="B108" s="1" t="s">
        <v>14</v>
      </c>
      <c r="C108" s="1" t="s">
        <v>15</v>
      </c>
      <c r="D108" s="1"/>
      <c r="E108" s="1"/>
      <c r="F108" s="1">
        <v>42017</v>
      </c>
      <c r="G108" s="1">
        <v>17088.400000000001</v>
      </c>
      <c r="H108" s="1">
        <v>1726.8</v>
      </c>
      <c r="I108" s="1">
        <v>844.8</v>
      </c>
      <c r="J108" s="1">
        <v>19660</v>
      </c>
      <c r="K108" s="1">
        <v>0.46790584763310089</v>
      </c>
      <c r="L108" s="1">
        <v>4090.73</v>
      </c>
      <c r="M108" s="1">
        <v>9.735892614893972E-2</v>
      </c>
    </row>
    <row r="109" spans="2:13">
      <c r="B109" s="1" t="s">
        <v>16</v>
      </c>
      <c r="C109" s="1" t="s">
        <v>17</v>
      </c>
      <c r="D109" s="1"/>
      <c r="E109" s="1"/>
      <c r="F109" s="1">
        <v>57820183</v>
      </c>
      <c r="G109" s="1">
        <v>98546508.049999997</v>
      </c>
      <c r="H109" s="5399">
        <v>48561025.869999997</v>
      </c>
      <c r="I109" s="1">
        <v>9625242</v>
      </c>
      <c r="J109" s="5399">
        <v>719514628.13999987</v>
      </c>
      <c r="K109" s="1">
        <v>4.36550269546564</v>
      </c>
      <c r="L109" s="1">
        <v>19502453</v>
      </c>
      <c r="M109" s="1">
        <v>0.33729490271589074</v>
      </c>
    </row>
    <row r="110" spans="2:13">
      <c r="B110" s="1"/>
      <c r="C110" s="1" t="s">
        <v>18</v>
      </c>
      <c r="D110" s="1"/>
      <c r="E110" s="1"/>
      <c r="F110" s="1">
        <v>53168687</v>
      </c>
      <c r="G110" s="1">
        <v>183860277.77999997</v>
      </c>
      <c r="H110" s="5400"/>
      <c r="I110" s="1">
        <v>16971998.039999999</v>
      </c>
      <c r="J110" s="5400"/>
      <c r="K110" s="1"/>
      <c r="L110" s="1">
        <v>38985296.740000002</v>
      </c>
      <c r="M110" s="1">
        <v>0.73323790636394692</v>
      </c>
    </row>
    <row r="111" spans="2:13">
      <c r="B111" s="1"/>
      <c r="C111" s="1" t="s">
        <v>19</v>
      </c>
      <c r="D111" s="1"/>
      <c r="E111" s="1"/>
      <c r="F111" s="1">
        <v>19003277</v>
      </c>
      <c r="G111" s="1">
        <v>101067949.89999999</v>
      </c>
      <c r="H111" s="5400"/>
      <c r="I111" s="1">
        <v>8413963.1999999993</v>
      </c>
      <c r="J111" s="5400"/>
      <c r="K111" s="1"/>
      <c r="L111" s="1">
        <v>21865942.039999999</v>
      </c>
      <c r="M111" s="1">
        <v>1.1506405995134417</v>
      </c>
    </row>
    <row r="112" spans="2:13">
      <c r="B112" s="1"/>
      <c r="C112" s="1" t="s">
        <v>20</v>
      </c>
      <c r="D112" s="1"/>
      <c r="E112" s="1"/>
      <c r="F112" s="1">
        <v>34826129</v>
      </c>
      <c r="G112" s="1">
        <v>237309299.79999998</v>
      </c>
      <c r="H112" s="5401"/>
      <c r="I112" s="1">
        <v>15158363.5</v>
      </c>
      <c r="J112" s="5401"/>
      <c r="K112" s="1"/>
      <c r="L112" s="1">
        <v>50390092.120000005</v>
      </c>
      <c r="M112" s="1">
        <v>1.4469047685431822</v>
      </c>
    </row>
    <row r="113" spans="2:13">
      <c r="B113" s="1" t="s">
        <v>21</v>
      </c>
      <c r="C113" s="1" t="s">
        <v>22</v>
      </c>
      <c r="D113" s="1"/>
      <c r="E113" s="1"/>
      <c r="F113" s="1">
        <v>25383762</v>
      </c>
      <c r="G113" s="1">
        <v>101535048</v>
      </c>
      <c r="H113" s="5399">
        <v>54410522.719999999</v>
      </c>
      <c r="I113" s="1"/>
      <c r="J113" s="5399">
        <v>585373594.36000001</v>
      </c>
      <c r="K113" s="1">
        <v>7.0937143796828019</v>
      </c>
      <c r="L113" s="1"/>
      <c r="M113" s="1"/>
    </row>
    <row r="114" spans="2:13">
      <c r="B114" s="1"/>
      <c r="C114" s="1" t="s">
        <v>19</v>
      </c>
      <c r="D114" s="1"/>
      <c r="E114" s="1"/>
      <c r="F114" s="1">
        <v>8004534</v>
      </c>
      <c r="G114" s="1">
        <v>48027204</v>
      </c>
      <c r="H114" s="5400"/>
      <c r="I114" s="1"/>
      <c r="J114" s="5400"/>
      <c r="K114" s="1"/>
      <c r="L114" s="1"/>
      <c r="M114" s="1"/>
    </row>
    <row r="115" spans="2:13">
      <c r="B115" s="1"/>
      <c r="C115" s="1" t="s">
        <v>23</v>
      </c>
      <c r="D115" s="1"/>
      <c r="E115" s="1"/>
      <c r="F115" s="1">
        <v>10391013</v>
      </c>
      <c r="G115" s="1">
        <v>71697989.700000003</v>
      </c>
      <c r="H115" s="5400"/>
      <c r="I115" s="1"/>
      <c r="J115" s="5400"/>
      <c r="K115" s="1"/>
      <c r="L115" s="1"/>
      <c r="M115" s="1"/>
    </row>
    <row r="116" spans="2:13">
      <c r="B116" s="1"/>
      <c r="C116" s="1" t="s">
        <v>24</v>
      </c>
      <c r="D116" s="1"/>
      <c r="E116" s="1"/>
      <c r="F116" s="1">
        <v>16365492</v>
      </c>
      <c r="G116" s="1">
        <v>124377739.19999999</v>
      </c>
      <c r="H116" s="5400"/>
      <c r="I116" s="1"/>
      <c r="J116" s="5400"/>
      <c r="K116" s="1"/>
      <c r="L116" s="1"/>
      <c r="M116" s="1"/>
    </row>
    <row r="117" spans="2:13">
      <c r="B117" s="1"/>
      <c r="C117" s="1" t="s">
        <v>25</v>
      </c>
      <c r="D117" s="1"/>
      <c r="E117" s="1"/>
      <c r="F117" s="1">
        <v>13752185</v>
      </c>
      <c r="G117" s="1">
        <v>75637017.5</v>
      </c>
      <c r="H117" s="5400"/>
      <c r="I117" s="1">
        <v>20353233.800000001</v>
      </c>
      <c r="J117" s="5400"/>
      <c r="K117" s="1"/>
      <c r="L117" s="1">
        <v>55011210.650000006</v>
      </c>
      <c r="M117" s="1">
        <v>1.1669632868192414</v>
      </c>
    </row>
    <row r="118" spans="2:13">
      <c r="B118" s="1"/>
      <c r="C118" s="1" t="s">
        <v>26</v>
      </c>
      <c r="D118" s="1"/>
      <c r="E118" s="1"/>
      <c r="F118" s="1">
        <v>8623054</v>
      </c>
      <c r="G118" s="1">
        <v>70364120.640000001</v>
      </c>
      <c r="H118" s="5401"/>
      <c r="I118" s="1">
        <v>18970718.800000001</v>
      </c>
      <c r="J118" s="5401"/>
      <c r="K118" s="1"/>
      <c r="L118" s="1">
        <v>60471518.589999996</v>
      </c>
      <c r="M118" s="1">
        <v>1.7092219433826181</v>
      </c>
    </row>
    <row r="119" spans="2:13">
      <c r="B119" s="1" t="s">
        <v>27</v>
      </c>
      <c r="C119" s="1" t="s">
        <v>28</v>
      </c>
      <c r="D119" s="1"/>
      <c r="E119" s="1"/>
      <c r="F119" s="1">
        <v>25140904</v>
      </c>
      <c r="G119" s="1">
        <v>183583766.19999999</v>
      </c>
      <c r="H119" s="1">
        <v>17645243.109999999</v>
      </c>
      <c r="I119" s="1">
        <v>169441.5</v>
      </c>
      <c r="J119" s="1">
        <v>201398450.81</v>
      </c>
      <c r="K119" s="1">
        <v>8.0107879497889183</v>
      </c>
      <c r="L119" s="1">
        <v>45741809.850000001</v>
      </c>
      <c r="M119" s="1">
        <v>1.8194178638126934</v>
      </c>
    </row>
    <row r="120" spans="2:13">
      <c r="B120" s="1" t="s">
        <v>29</v>
      </c>
      <c r="C120" s="1" t="s">
        <v>28</v>
      </c>
      <c r="D120" s="1"/>
      <c r="E120" s="1"/>
      <c r="F120" s="1">
        <v>52182247</v>
      </c>
      <c r="G120" s="1">
        <v>394005620.02999997</v>
      </c>
      <c r="H120" s="1">
        <v>29019316.370000001</v>
      </c>
      <c r="I120" s="1">
        <v>119719.06000000001</v>
      </c>
      <c r="J120" s="1">
        <v>423144655.45999998</v>
      </c>
      <c r="K120" s="1">
        <v>8.1089772822546333</v>
      </c>
      <c r="L120" s="1">
        <v>97542155.329999998</v>
      </c>
      <c r="M120" s="1">
        <v>1.8692593925669778</v>
      </c>
    </row>
    <row r="121" spans="2:13">
      <c r="B121" s="1" t="s">
        <v>30</v>
      </c>
      <c r="C121" s="1" t="s">
        <v>22</v>
      </c>
      <c r="D121" s="1"/>
      <c r="E121" s="1"/>
      <c r="F121" s="1">
        <v>966850</v>
      </c>
      <c r="G121" s="1">
        <v>3577345</v>
      </c>
      <c r="H121" s="5399">
        <v>2661866.54</v>
      </c>
      <c r="I121" s="1"/>
      <c r="J121" s="5399">
        <v>26559673.510000002</v>
      </c>
      <c r="K121" s="1">
        <v>6.6083453554778657</v>
      </c>
      <c r="L121" s="1"/>
      <c r="M121" s="1"/>
    </row>
    <row r="122" spans="2:13">
      <c r="B122" s="1"/>
      <c r="C122" s="1" t="s">
        <v>19</v>
      </c>
      <c r="D122" s="1"/>
      <c r="E122" s="1"/>
      <c r="F122" s="1">
        <v>428551</v>
      </c>
      <c r="G122" s="1">
        <v>2357030.5</v>
      </c>
      <c r="H122" s="5400"/>
      <c r="I122" s="1"/>
      <c r="J122" s="5400"/>
      <c r="K122" s="1"/>
      <c r="L122" s="1"/>
      <c r="M122" s="1"/>
    </row>
    <row r="123" spans="2:13">
      <c r="B123" s="1"/>
      <c r="C123" s="1" t="s">
        <v>23</v>
      </c>
      <c r="D123" s="1"/>
      <c r="E123" s="1"/>
      <c r="F123" s="1">
        <v>656037</v>
      </c>
      <c r="G123" s="1">
        <v>3903420.15</v>
      </c>
      <c r="H123" s="5400"/>
      <c r="I123" s="1"/>
      <c r="J123" s="5400"/>
      <c r="K123" s="1"/>
      <c r="L123" s="1"/>
      <c r="M123" s="1"/>
    </row>
    <row r="124" spans="2:13">
      <c r="B124" s="1"/>
      <c r="C124" s="1" t="s">
        <v>24</v>
      </c>
      <c r="D124" s="1"/>
      <c r="E124" s="1"/>
      <c r="F124" s="1">
        <v>977876</v>
      </c>
      <c r="G124" s="1">
        <v>6258406.4000000004</v>
      </c>
      <c r="H124" s="5400"/>
      <c r="I124" s="1"/>
      <c r="J124" s="5400"/>
      <c r="K124" s="1"/>
      <c r="L124" s="1"/>
      <c r="M124" s="1"/>
    </row>
    <row r="125" spans="2:13">
      <c r="B125" s="1"/>
      <c r="C125" s="1" t="s">
        <v>25</v>
      </c>
      <c r="D125" s="1"/>
      <c r="E125" s="1"/>
      <c r="F125" s="1">
        <v>511072</v>
      </c>
      <c r="G125" s="1">
        <v>2662685.12</v>
      </c>
      <c r="H125" s="5400"/>
      <c r="I125" s="1">
        <v>715500.79999999993</v>
      </c>
      <c r="J125" s="5400"/>
      <c r="K125" s="1"/>
      <c r="L125" s="1">
        <v>2124253.2000000002</v>
      </c>
      <c r="M125" s="1">
        <v>1.1142319875497844</v>
      </c>
    </row>
    <row r="126" spans="2:13">
      <c r="B126" s="1"/>
      <c r="C126" s="1" t="s">
        <v>26</v>
      </c>
      <c r="D126" s="1"/>
      <c r="E126" s="1"/>
      <c r="F126" s="1">
        <v>478725</v>
      </c>
      <c r="G126" s="1">
        <v>3485118</v>
      </c>
      <c r="H126" s="5401"/>
      <c r="I126" s="1">
        <v>938301</v>
      </c>
      <c r="J126" s="5401"/>
      <c r="K126" s="1"/>
      <c r="L126" s="1">
        <v>3148055.63</v>
      </c>
      <c r="M126" s="1">
        <v>1.4901065066518731</v>
      </c>
    </row>
    <row r="127" spans="2:13">
      <c r="B127" s="1" t="s">
        <v>31</v>
      </c>
      <c r="C127" s="1" t="s">
        <v>28</v>
      </c>
      <c r="D127" s="1"/>
      <c r="E127" s="1"/>
      <c r="F127" s="1">
        <v>4577401</v>
      </c>
      <c r="G127" s="1">
        <v>24724058.200000003</v>
      </c>
      <c r="H127" s="1">
        <v>3982916.31</v>
      </c>
      <c r="I127" s="1">
        <v>9520</v>
      </c>
      <c r="J127" s="1">
        <v>28716494.510000002</v>
      </c>
      <c r="K127" s="1">
        <v>6.2735369940278343</v>
      </c>
      <c r="L127" s="1">
        <v>6683005.46</v>
      </c>
      <c r="M127" s="1">
        <v>1.46</v>
      </c>
    </row>
    <row r="128" spans="2:13">
      <c r="B128" s="1" t="s">
        <v>32</v>
      </c>
      <c r="C128" s="1" t="s">
        <v>28</v>
      </c>
      <c r="D128" s="1"/>
      <c r="E128" s="1"/>
      <c r="F128" s="1">
        <v>4312883</v>
      </c>
      <c r="G128" s="1">
        <v>22858927.359999999</v>
      </c>
      <c r="H128" s="1">
        <v>2052146.56</v>
      </c>
      <c r="I128" s="1">
        <v>1021.68</v>
      </c>
      <c r="J128" s="1">
        <v>24912095.599999998</v>
      </c>
      <c r="K128" s="1">
        <v>5.7762048263307859</v>
      </c>
      <c r="L128" s="1">
        <v>5773038.8200000003</v>
      </c>
      <c r="M128" s="1">
        <v>1.3385567890434311</v>
      </c>
    </row>
    <row r="129" spans="2:13">
      <c r="B129" s="1" t="s">
        <v>33</v>
      </c>
      <c r="C129" s="1" t="s">
        <v>28</v>
      </c>
      <c r="D129" s="1"/>
      <c r="E129" s="1"/>
      <c r="F129" s="1">
        <v>185426</v>
      </c>
      <c r="G129" s="1">
        <v>2132444.9000000004</v>
      </c>
      <c r="H129" s="1">
        <v>339043.45</v>
      </c>
      <c r="I129" s="1">
        <v>167827.6</v>
      </c>
      <c r="J129" s="1">
        <v>2639315.9500000007</v>
      </c>
      <c r="K129" s="1">
        <v>14.233796501030064</v>
      </c>
      <c r="L129" s="1">
        <v>494720.88</v>
      </c>
      <c r="M129" s="1">
        <v>2.6680232545597704</v>
      </c>
    </row>
    <row r="130" spans="2:13">
      <c r="B130" s="1" t="s">
        <v>34</v>
      </c>
      <c r="C130" s="1" t="s">
        <v>28</v>
      </c>
      <c r="D130" s="1"/>
      <c r="E130" s="1"/>
      <c r="F130" s="1">
        <v>2057099.43</v>
      </c>
      <c r="G130" s="1">
        <v>10902626.978999998</v>
      </c>
      <c r="H130" s="1">
        <v>1332910.24</v>
      </c>
      <c r="I130" s="1">
        <v>0</v>
      </c>
      <c r="J130" s="1">
        <v>12235537.218999999</v>
      </c>
      <c r="K130" s="1">
        <v>5.9479561564022205</v>
      </c>
      <c r="L130" s="1">
        <v>2242238.38</v>
      </c>
      <c r="M130" s="1">
        <v>1.0900000006319577</v>
      </c>
    </row>
    <row r="131" spans="2:13">
      <c r="B131" s="1" t="s">
        <v>35</v>
      </c>
      <c r="C131" s="1" t="s">
        <v>28</v>
      </c>
      <c r="D131" s="1"/>
      <c r="E131" s="1"/>
      <c r="F131" s="1">
        <v>324286</v>
      </c>
      <c r="G131" s="1">
        <v>1768746.08</v>
      </c>
      <c r="H131" s="1">
        <v>182259.45</v>
      </c>
      <c r="I131" s="1">
        <v>211238.96</v>
      </c>
      <c r="J131" s="1">
        <v>2162244.4900000002</v>
      </c>
      <c r="K131" s="1">
        <v>6.6677084117106515</v>
      </c>
      <c r="L131" s="1">
        <v>422950.82</v>
      </c>
      <c r="M131" s="1">
        <v>1.3042524808348186</v>
      </c>
    </row>
    <row r="132" spans="2:13">
      <c r="B132" s="1" t="s">
        <v>36</v>
      </c>
      <c r="C132" s="1" t="s">
        <v>28</v>
      </c>
      <c r="D132" s="1"/>
      <c r="E132" s="1"/>
      <c r="F132" s="1">
        <v>591</v>
      </c>
      <c r="G132" s="1">
        <v>1684.3500000000001</v>
      </c>
      <c r="H132" s="1">
        <v>794.65</v>
      </c>
      <c r="I132" s="1">
        <v>0</v>
      </c>
      <c r="J132" s="1">
        <v>2479</v>
      </c>
      <c r="K132" s="1">
        <v>4.1945854483925551</v>
      </c>
      <c r="L132" s="1">
        <v>330.96</v>
      </c>
      <c r="M132" s="1">
        <v>0.55999999999999994</v>
      </c>
    </row>
    <row r="133" spans="2:13">
      <c r="B133" s="1" t="s">
        <v>37</v>
      </c>
      <c r="C133" s="1" t="s">
        <v>28</v>
      </c>
      <c r="D133" s="1"/>
      <c r="E133" s="1"/>
      <c r="F133" s="1">
        <v>2905543</v>
      </c>
      <c r="G133" s="1">
        <v>25442699.329999998</v>
      </c>
      <c r="H133" s="1">
        <v>1289681.48</v>
      </c>
      <c r="I133" s="1">
        <v>75892.409999999989</v>
      </c>
      <c r="J133" s="1">
        <v>26808273.219999999</v>
      </c>
      <c r="K133" s="1">
        <v>9.2265966189452371</v>
      </c>
      <c r="L133" s="1">
        <v>5082851.9000000004</v>
      </c>
      <c r="M133" s="1">
        <v>1.7493638538476286</v>
      </c>
    </row>
    <row r="134" spans="2:13">
      <c r="B134" s="1" t="s">
        <v>38</v>
      </c>
      <c r="C134" s="1" t="s">
        <v>28</v>
      </c>
      <c r="D134" s="1"/>
      <c r="E134" s="1"/>
      <c r="F134" s="1">
        <v>111032</v>
      </c>
      <c r="G134" s="1">
        <v>296170.7</v>
      </c>
      <c r="H134" s="1">
        <v>2418.4699999999998</v>
      </c>
      <c r="I134" s="1">
        <v>3570.66</v>
      </c>
      <c r="J134" s="1">
        <v>302159.82999999996</v>
      </c>
      <c r="K134" s="1">
        <v>2.7213760897759203</v>
      </c>
      <c r="L134" s="1">
        <v>68839.839999999997</v>
      </c>
      <c r="M134" s="1">
        <v>0.62</v>
      </c>
    </row>
    <row r="135" spans="2:13">
      <c r="B135" s="1" t="s">
        <v>39</v>
      </c>
      <c r="C135" s="1" t="s">
        <v>28</v>
      </c>
      <c r="D135" s="1"/>
      <c r="E135" s="1"/>
      <c r="F135" s="1">
        <v>0</v>
      </c>
      <c r="G135" s="1">
        <v>0</v>
      </c>
      <c r="H135" s="1">
        <v>0</v>
      </c>
      <c r="I135" s="1">
        <v>0</v>
      </c>
      <c r="J135" s="1">
        <v>0</v>
      </c>
      <c r="K135" s="1" t="e">
        <v>#DIV/0!</v>
      </c>
      <c r="L135" s="1">
        <v>0</v>
      </c>
      <c r="M135" s="1"/>
    </row>
    <row r="136" spans="2:13">
      <c r="B136" s="1" t="s">
        <v>40</v>
      </c>
      <c r="C136" s="1" t="s">
        <v>28</v>
      </c>
      <c r="D136" s="1"/>
      <c r="E136" s="1"/>
      <c r="F136" s="1">
        <v>0</v>
      </c>
      <c r="G136" s="1">
        <v>0</v>
      </c>
      <c r="H136" s="1">
        <v>0</v>
      </c>
      <c r="I136" s="1">
        <v>0</v>
      </c>
      <c r="J136" s="1">
        <v>0</v>
      </c>
      <c r="K136" s="1" t="e">
        <v>#DIV/0!</v>
      </c>
      <c r="L136" s="1">
        <v>0</v>
      </c>
      <c r="M136" s="1"/>
    </row>
    <row r="137" spans="2:13">
      <c r="B137" s="1" t="s">
        <v>41</v>
      </c>
      <c r="C137" s="1" t="s">
        <v>28</v>
      </c>
      <c r="D137" s="1"/>
      <c r="E137" s="1"/>
      <c r="F137" s="1">
        <v>14762558</v>
      </c>
      <c r="G137" s="1">
        <v>74550938.299999997</v>
      </c>
      <c r="H137" s="1">
        <v>6397162.9699999997</v>
      </c>
      <c r="I137" s="1">
        <v>38.160000000000004</v>
      </c>
      <c r="J137" s="1">
        <v>80948139.429999992</v>
      </c>
      <c r="K137" s="1">
        <v>5.4833409921234511</v>
      </c>
      <c r="L137" s="1">
        <v>15500705.699999999</v>
      </c>
      <c r="M137" s="1">
        <v>1.050001341230971</v>
      </c>
    </row>
    <row r="138" spans="2:13">
      <c r="B138" s="1" t="s">
        <v>42</v>
      </c>
      <c r="C138" s="1" t="s">
        <v>28</v>
      </c>
      <c r="D138" s="1"/>
      <c r="E138" s="1"/>
      <c r="F138" s="1">
        <v>37705055</v>
      </c>
      <c r="G138" s="1">
        <v>201722726.24999997</v>
      </c>
      <c r="H138" s="1">
        <v>14965397.18</v>
      </c>
      <c r="I138" s="1">
        <v>1166.22</v>
      </c>
      <c r="J138" s="1">
        <v>216689289.64999998</v>
      </c>
      <c r="K138" s="1">
        <v>5.7469559360144142</v>
      </c>
      <c r="L138" s="1">
        <v>41098727.969999999</v>
      </c>
      <c r="M138" s="1">
        <v>1.0900057822485605</v>
      </c>
    </row>
    <row r="139" spans="2:13">
      <c r="B139" s="1" t="s">
        <v>43</v>
      </c>
      <c r="C139" s="1" t="s">
        <v>28</v>
      </c>
      <c r="D139" s="1"/>
      <c r="E139" s="1"/>
      <c r="F139" s="1">
        <v>2871530</v>
      </c>
      <c r="G139" s="1">
        <v>8614590</v>
      </c>
      <c r="H139" s="1">
        <v>1046373.75</v>
      </c>
      <c r="I139" s="1">
        <v>0</v>
      </c>
      <c r="J139" s="1">
        <v>9660963.75</v>
      </c>
      <c r="K139" s="1">
        <v>3.3643958969608536</v>
      </c>
      <c r="L139" s="1">
        <v>1837779.2</v>
      </c>
      <c r="M139" s="1">
        <v>0.64</v>
      </c>
    </row>
    <row r="140" spans="2:13">
      <c r="B140" s="1" t="s">
        <v>44</v>
      </c>
      <c r="C140" s="1" t="s">
        <v>28</v>
      </c>
      <c r="D140" s="1"/>
      <c r="E140" s="1"/>
      <c r="F140" s="1">
        <v>272124</v>
      </c>
      <c r="G140" s="1">
        <v>2231416.7999999998</v>
      </c>
      <c r="H140" s="1">
        <v>400</v>
      </c>
      <c r="I140" s="1">
        <v>0</v>
      </c>
      <c r="J140" s="1">
        <v>2231816.7999999998</v>
      </c>
      <c r="K140" s="1">
        <v>8.201469918125559</v>
      </c>
      <c r="L140" s="1">
        <v>432677.16</v>
      </c>
      <c r="M140" s="1">
        <v>1.5899999999999999</v>
      </c>
    </row>
    <row r="141" spans="2:13">
      <c r="B141" s="1" t="s">
        <v>45</v>
      </c>
      <c r="C141" s="1" t="s">
        <v>28</v>
      </c>
      <c r="D141" s="1"/>
      <c r="E141" s="1"/>
      <c r="F141" s="1">
        <v>0</v>
      </c>
      <c r="G141" s="1">
        <v>0</v>
      </c>
      <c r="H141" s="1">
        <v>200</v>
      </c>
      <c r="I141" s="1">
        <v>0</v>
      </c>
      <c r="J141" s="1">
        <v>200</v>
      </c>
      <c r="K141" s="1" t="e">
        <v>#DIV/0!</v>
      </c>
      <c r="L141" s="1">
        <v>0</v>
      </c>
      <c r="M141" s="1"/>
    </row>
    <row r="142" spans="2:13">
      <c r="B142" s="1" t="s">
        <v>46</v>
      </c>
      <c r="C142" s="1"/>
      <c r="D142" s="1"/>
      <c r="E142" s="1"/>
      <c r="F142" s="1"/>
      <c r="G142" s="1">
        <v>-7404056.21</v>
      </c>
      <c r="H142" s="1">
        <v>1587107.97</v>
      </c>
      <c r="I142" s="1">
        <v>0</v>
      </c>
      <c r="J142" s="1">
        <v>-5816948.2400000002</v>
      </c>
      <c r="K142" s="1"/>
      <c r="L142" s="1">
        <v>-1482032.16</v>
      </c>
      <c r="M142" s="1"/>
    </row>
    <row r="143" spans="2:13">
      <c r="B143" s="1" t="s">
        <v>47</v>
      </c>
      <c r="C143" s="1"/>
      <c r="D143" s="1"/>
      <c r="E143" s="1"/>
      <c r="F143" s="1">
        <v>398808123.43000001</v>
      </c>
      <c r="G143" s="1">
        <v>2080116607.4089999</v>
      </c>
      <c r="H143" s="1">
        <v>185478513.88999996</v>
      </c>
      <c r="I143" s="1">
        <v>91907602.189999983</v>
      </c>
      <c r="J143" s="1">
        <v>2357502723.4890003</v>
      </c>
      <c r="K143" s="1">
        <v>5.9113708698132781</v>
      </c>
      <c r="L143" s="1">
        <v>472942712.80999988</v>
      </c>
      <c r="M143" s="1">
        <v>1.1858903693896601</v>
      </c>
    </row>
    <row r="144" spans="2:13">
      <c r="B144" s="1"/>
      <c r="C144" s="1"/>
      <c r="D144" s="1"/>
      <c r="E144" s="1"/>
      <c r="F144" s="1"/>
      <c r="G144" s="1"/>
      <c r="H144" s="1"/>
      <c r="I144" s="1" t="s">
        <v>48</v>
      </c>
      <c r="J144" s="1">
        <v>12095897.26</v>
      </c>
      <c r="K144" s="1"/>
      <c r="L144" s="1"/>
      <c r="M144" s="1"/>
    </row>
    <row r="145" spans="2:13">
      <c r="B145" s="1"/>
      <c r="C145" s="1"/>
      <c r="D145" s="1"/>
      <c r="E145" s="1"/>
      <c r="F145" s="1"/>
      <c r="G145" s="1"/>
      <c r="H145" s="1"/>
      <c r="I145" s="1" t="s">
        <v>49</v>
      </c>
      <c r="J145" s="1">
        <v>473013038.70999998</v>
      </c>
      <c r="K145" s="1"/>
      <c r="L145" s="1">
        <v>-70325.900000095367</v>
      </c>
      <c r="M145" s="1"/>
    </row>
    <row r="146" spans="2:13">
      <c r="B146" s="1"/>
      <c r="C146" s="1"/>
      <c r="D146" s="1"/>
      <c r="E146" s="1"/>
      <c r="F146" s="1"/>
      <c r="G146" s="1"/>
      <c r="H146" s="1"/>
      <c r="I146" s="1" t="s">
        <v>50</v>
      </c>
      <c r="J146" s="1">
        <v>-212774.27</v>
      </c>
      <c r="K146" s="1"/>
      <c r="L146" s="1"/>
      <c r="M146" s="1"/>
    </row>
    <row r="147" spans="2:13">
      <c r="B147" s="1"/>
      <c r="C147" s="1"/>
      <c r="D147" s="1"/>
      <c r="E147" s="1"/>
      <c r="F147" s="1"/>
      <c r="G147" s="1"/>
      <c r="H147" s="1"/>
      <c r="I147" s="1" t="s">
        <v>51</v>
      </c>
      <c r="J147" s="1">
        <v>16079742.720000001</v>
      </c>
      <c r="K147" s="1"/>
      <c r="L147" s="1"/>
      <c r="M147" s="1"/>
    </row>
    <row r="148" spans="2:13">
      <c r="B148" s="1"/>
      <c r="C148" s="1"/>
      <c r="D148" s="1"/>
      <c r="E148" s="1"/>
      <c r="F148" s="1"/>
      <c r="G148" s="1"/>
      <c r="H148" s="1"/>
      <c r="I148" s="1" t="s">
        <v>52</v>
      </c>
      <c r="J148" s="1">
        <v>7136708.8700000001</v>
      </c>
      <c r="K148" s="1"/>
      <c r="L148" s="1"/>
      <c r="M148" s="1"/>
    </row>
    <row r="149" spans="2:13">
      <c r="B149" s="1"/>
      <c r="C149" s="1"/>
      <c r="D149" s="1"/>
      <c r="E149" s="1"/>
      <c r="F149" s="1"/>
      <c r="G149" s="1"/>
      <c r="H149" s="1"/>
      <c r="I149" s="1" t="s">
        <v>47</v>
      </c>
      <c r="J149" s="1">
        <v>2865615336.7790003</v>
      </c>
      <c r="K149" s="1"/>
      <c r="L149" s="1"/>
      <c r="M149" s="1"/>
    </row>
    <row r="150" spans="2:13">
      <c r="B150" s="1"/>
      <c r="C150" s="1"/>
      <c r="D150" s="1"/>
      <c r="E150" s="1"/>
      <c r="F150" s="1"/>
      <c r="G150" s="1"/>
      <c r="H150" s="1"/>
      <c r="I150" s="1" t="s">
        <v>53</v>
      </c>
      <c r="J150" s="1">
        <v>-8539803.0700000003</v>
      </c>
      <c r="K150" s="1"/>
      <c r="L150" s="1"/>
      <c r="M150" s="1"/>
    </row>
    <row r="151" spans="2:13">
      <c r="B151" s="1"/>
      <c r="C151" s="1"/>
      <c r="D151" s="1"/>
      <c r="E151" s="1"/>
      <c r="F151" s="1"/>
      <c r="G151" s="1"/>
      <c r="H151" s="1"/>
      <c r="I151" s="1" t="s">
        <v>54</v>
      </c>
      <c r="J151" s="1">
        <v>-47455029.630000003</v>
      </c>
      <c r="K151" s="1"/>
      <c r="L151" s="1"/>
      <c r="M151" s="1"/>
    </row>
    <row r="152" spans="2:13">
      <c r="B152" s="1"/>
      <c r="C152" s="1"/>
      <c r="D152" s="1"/>
      <c r="E152" s="1"/>
      <c r="F152" s="1"/>
      <c r="G152" s="1"/>
      <c r="H152" s="1"/>
      <c r="I152" s="1" t="s">
        <v>55</v>
      </c>
      <c r="J152" s="1">
        <v>-315764.34999999998</v>
      </c>
      <c r="K152" s="1"/>
      <c r="L152" s="1"/>
      <c r="M152" s="1"/>
    </row>
    <row r="153" spans="2:13">
      <c r="B153" s="1"/>
      <c r="C153" s="1"/>
      <c r="D153" s="1"/>
      <c r="E153" s="1"/>
      <c r="F153" s="1"/>
      <c r="G153" s="1"/>
      <c r="H153" s="1"/>
      <c r="I153" s="1" t="s">
        <v>56</v>
      </c>
      <c r="J153" s="1">
        <v>0</v>
      </c>
      <c r="K153" s="1"/>
      <c r="L153" s="1"/>
      <c r="M153" s="1"/>
    </row>
    <row r="154" spans="2:13">
      <c r="B154" s="1"/>
      <c r="C154" s="1"/>
      <c r="D154" s="1"/>
      <c r="E154" s="1"/>
      <c r="F154" s="1"/>
      <c r="G154" s="1"/>
      <c r="H154" s="1"/>
      <c r="I154" s="1" t="s">
        <v>57</v>
      </c>
      <c r="J154" s="1">
        <v>2809304739.7290001</v>
      </c>
      <c r="K154" s="1"/>
      <c r="L154" s="1"/>
      <c r="M154" s="1"/>
    </row>
    <row r="155" spans="2:13">
      <c r="B155" s="1"/>
      <c r="C155" s="1"/>
      <c r="D155" s="1"/>
      <c r="E155" s="1"/>
      <c r="F155" s="1"/>
      <c r="G155" s="1"/>
      <c r="H155" s="1"/>
      <c r="I155" s="1" t="s">
        <v>58</v>
      </c>
      <c r="J155" s="1">
        <v>7.1854487620084342</v>
      </c>
      <c r="K155" s="1"/>
      <c r="L155" s="1"/>
      <c r="M155" s="1"/>
    </row>
    <row r="156" spans="2:13">
      <c r="B156" s="1"/>
      <c r="C156" s="1"/>
      <c r="D156" s="1"/>
      <c r="E156" s="1"/>
      <c r="F156" s="1"/>
      <c r="G156" s="1"/>
      <c r="H156" s="1"/>
      <c r="I156" s="1" t="s">
        <v>59</v>
      </c>
      <c r="J156" s="1">
        <v>44021048.32</v>
      </c>
      <c r="K156" s="1"/>
      <c r="L156" s="1"/>
      <c r="M156" s="1"/>
    </row>
    <row r="157" spans="2:13">
      <c r="B157" s="1"/>
      <c r="C157" s="1"/>
      <c r="D157" s="1"/>
      <c r="E157" s="1"/>
      <c r="F157" s="1"/>
      <c r="G157" s="1"/>
      <c r="H157" s="1"/>
      <c r="I157" s="1" t="s">
        <v>60</v>
      </c>
      <c r="J157" s="1" t="s">
        <v>251</v>
      </c>
      <c r="K157" s="1"/>
      <c r="L157" s="1"/>
      <c r="M157" s="1"/>
    </row>
    <row r="158" spans="2:13">
      <c r="B158" s="1"/>
      <c r="C158" s="1"/>
      <c r="D158" s="1"/>
      <c r="E158" s="1"/>
      <c r="F158" s="1"/>
      <c r="G158" s="1"/>
      <c r="H158" s="1"/>
      <c r="I158" s="1" t="s">
        <v>58</v>
      </c>
      <c r="J158" s="1"/>
      <c r="K158" s="1"/>
      <c r="L158" s="1"/>
      <c r="M158" s="1"/>
    </row>
    <row r="159" spans="2:13">
      <c r="B159" s="1"/>
      <c r="C159" s="1"/>
      <c r="D159" s="1"/>
      <c r="E159" s="1"/>
      <c r="F159" s="1"/>
      <c r="G159" s="1"/>
      <c r="H159" s="1"/>
      <c r="I159" s="1"/>
      <c r="J159" s="1">
        <v>7.2958302856880213</v>
      </c>
      <c r="K159" s="1"/>
      <c r="L159" s="1"/>
      <c r="M159" s="1"/>
    </row>
    <row r="160" spans="2:13" ht="15.75" thickBot="1"/>
    <row r="161" spans="2:13">
      <c r="B161" s="5402" t="s">
        <v>68</v>
      </c>
      <c r="C161" s="5403"/>
      <c r="D161" s="5403"/>
      <c r="E161" s="5403"/>
      <c r="F161" s="5404"/>
    </row>
    <row r="162" spans="2:13" ht="30">
      <c r="B162" s="7" t="s">
        <v>1</v>
      </c>
      <c r="C162" s="7" t="s">
        <v>2</v>
      </c>
      <c r="D162" s="7" t="s">
        <v>62</v>
      </c>
      <c r="E162" s="7"/>
      <c r="F162" s="7" t="s">
        <v>4</v>
      </c>
      <c r="G162" s="7" t="s">
        <v>5</v>
      </c>
      <c r="H162" s="7" t="s">
        <v>6</v>
      </c>
      <c r="I162" s="7" t="s">
        <v>7</v>
      </c>
      <c r="J162" s="7" t="s">
        <v>8</v>
      </c>
      <c r="K162" s="7" t="s">
        <v>9</v>
      </c>
      <c r="L162" s="9" t="s">
        <v>69</v>
      </c>
      <c r="M162" s="7" t="s">
        <v>11</v>
      </c>
    </row>
    <row r="163" spans="2:13">
      <c r="B163" s="1"/>
      <c r="C163" s="1"/>
      <c r="D163" s="1" t="s">
        <v>12</v>
      </c>
      <c r="E163" s="1" t="s">
        <v>13</v>
      </c>
      <c r="F163" s="1"/>
      <c r="G163" s="1"/>
      <c r="H163" s="1"/>
      <c r="I163" s="1"/>
      <c r="J163" s="1"/>
      <c r="K163" s="1"/>
      <c r="L163" s="1"/>
      <c r="M163" s="1"/>
    </row>
    <row r="164" spans="2:13">
      <c r="B164" s="1" t="s">
        <v>14</v>
      </c>
      <c r="C164" s="1" t="s">
        <v>15</v>
      </c>
      <c r="D164" s="1"/>
      <c r="E164" s="1"/>
      <c r="F164" s="1">
        <v>49102</v>
      </c>
      <c r="G164" s="1">
        <v>21592.2</v>
      </c>
      <c r="H164" s="1">
        <v>1730.4</v>
      </c>
      <c r="I164" s="1">
        <v>5854.2</v>
      </c>
      <c r="J164" s="1">
        <v>29176.800000000003</v>
      </c>
      <c r="K164" s="1">
        <v>0.59420797523522473</v>
      </c>
      <c r="L164" s="1">
        <v>2913.85</v>
      </c>
      <c r="M164" s="1">
        <v>5.9342796627428619E-2</v>
      </c>
    </row>
    <row r="165" spans="2:13">
      <c r="B165" s="1" t="s">
        <v>16</v>
      </c>
      <c r="C165" s="1" t="s">
        <v>17</v>
      </c>
      <c r="D165" s="1"/>
      <c r="E165" s="1"/>
      <c r="F165" s="1">
        <v>58964755</v>
      </c>
      <c r="G165" s="1">
        <v>121293300.67999999</v>
      </c>
      <c r="H165" s="5399">
        <v>62576406.780000001</v>
      </c>
      <c r="I165" s="1">
        <v>32242866.150000002</v>
      </c>
      <c r="J165" s="1">
        <v>937431183.14999998</v>
      </c>
      <c r="K165" s="5399">
        <v>5.4816743771759935</v>
      </c>
      <c r="L165" s="1">
        <v>15305064.539999999</v>
      </c>
      <c r="M165" s="1">
        <v>0.25956292941435943</v>
      </c>
    </row>
    <row r="166" spans="2:13">
      <c r="B166" s="1"/>
      <c r="C166" s="1" t="s">
        <v>18</v>
      </c>
      <c r="D166" s="1"/>
      <c r="E166" s="1"/>
      <c r="F166" s="1">
        <v>56025688</v>
      </c>
      <c r="G166" s="1">
        <v>213323925.38999999</v>
      </c>
      <c r="H166" s="5400"/>
      <c r="I166" s="1">
        <v>57435940.469999999</v>
      </c>
      <c r="J166" s="1"/>
      <c r="K166" s="5400"/>
      <c r="L166" s="1">
        <v>26818025.640000001</v>
      </c>
      <c r="M166" s="1">
        <v>0.47867374051702855</v>
      </c>
    </row>
    <row r="167" spans="2:13">
      <c r="B167" s="1"/>
      <c r="C167" s="1" t="s">
        <v>19</v>
      </c>
      <c r="D167" s="1"/>
      <c r="E167" s="1"/>
      <c r="F167" s="1">
        <v>19134971</v>
      </c>
      <c r="G167" s="1">
        <v>102558092.86</v>
      </c>
      <c r="H167" s="5400"/>
      <c r="I167" s="1">
        <v>27425917.439999998</v>
      </c>
      <c r="J167" s="1"/>
      <c r="K167" s="5400"/>
      <c r="L167" s="1">
        <v>12968050.300000001</v>
      </c>
      <c r="M167" s="1">
        <v>0.67771465658348795</v>
      </c>
    </row>
    <row r="168" spans="2:13">
      <c r="B168" s="1"/>
      <c r="C168" s="1" t="s">
        <v>20</v>
      </c>
      <c r="D168" s="1"/>
      <c r="E168" s="1"/>
      <c r="F168" s="1">
        <v>36886419</v>
      </c>
      <c r="G168" s="1">
        <v>253018657.08000001</v>
      </c>
      <c r="H168" s="5401"/>
      <c r="I168" s="1">
        <v>67556076.299999997</v>
      </c>
      <c r="J168" s="1"/>
      <c r="K168" s="5401"/>
      <c r="L168" s="1">
        <v>32128955.640000001</v>
      </c>
      <c r="M168" s="1">
        <v>0.8710239841932067</v>
      </c>
    </row>
    <row r="169" spans="2:13">
      <c r="B169" s="1" t="s">
        <v>21</v>
      </c>
      <c r="C169" s="1" t="s">
        <v>22</v>
      </c>
      <c r="D169" s="1"/>
      <c r="E169" s="1"/>
      <c r="F169" s="1">
        <v>189116</v>
      </c>
      <c r="G169" s="1">
        <v>756464</v>
      </c>
      <c r="H169" s="5399">
        <v>63264149.030000001</v>
      </c>
      <c r="I169" s="1"/>
      <c r="J169" s="1">
        <v>789764962.25</v>
      </c>
      <c r="K169" s="5399">
        <v>9.1585792802570385</v>
      </c>
      <c r="L169" s="1"/>
      <c r="M169" s="1"/>
    </row>
    <row r="170" spans="2:13">
      <c r="B170" s="1"/>
      <c r="C170" s="1" t="s">
        <v>19</v>
      </c>
      <c r="D170" s="1"/>
      <c r="E170" s="1"/>
      <c r="F170" s="1">
        <v>50758</v>
      </c>
      <c r="G170" s="1">
        <v>304548</v>
      </c>
      <c r="H170" s="5400"/>
      <c r="I170" s="1"/>
      <c r="J170" s="1"/>
      <c r="K170" s="5400"/>
      <c r="L170" s="1"/>
      <c r="M170" s="1"/>
    </row>
    <row r="171" spans="2:13">
      <c r="B171" s="1"/>
      <c r="C171" s="1" t="s">
        <v>23</v>
      </c>
      <c r="D171" s="1"/>
      <c r="E171" s="1"/>
      <c r="F171" s="1">
        <v>56393</v>
      </c>
      <c r="G171" s="1">
        <v>389111.7</v>
      </c>
      <c r="H171" s="5400"/>
      <c r="I171" s="1"/>
      <c r="J171" s="1"/>
      <c r="K171" s="5400"/>
      <c r="L171" s="1"/>
      <c r="M171" s="1"/>
    </row>
    <row r="172" spans="2:13">
      <c r="B172" s="1"/>
      <c r="C172" s="1" t="s">
        <v>24</v>
      </c>
      <c r="D172" s="1"/>
      <c r="E172" s="1"/>
      <c r="F172" s="1">
        <v>189261</v>
      </c>
      <c r="G172" s="1">
        <v>1438383.5999999999</v>
      </c>
      <c r="H172" s="5400"/>
      <c r="I172" s="1"/>
      <c r="J172" s="1"/>
      <c r="K172" s="5400"/>
      <c r="L172" s="1"/>
      <c r="M172" s="1"/>
    </row>
    <row r="173" spans="2:13">
      <c r="B173" s="1"/>
      <c r="C173" s="1" t="s">
        <v>25</v>
      </c>
      <c r="D173" s="1"/>
      <c r="E173" s="1"/>
      <c r="F173" s="1">
        <v>48734854</v>
      </c>
      <c r="G173" s="1">
        <v>268041697</v>
      </c>
      <c r="H173" s="5400"/>
      <c r="I173" s="1">
        <v>72127583.920000002</v>
      </c>
      <c r="J173" s="1"/>
      <c r="K173" s="5400"/>
      <c r="L173" s="1">
        <v>34150966.32</v>
      </c>
      <c r="M173" s="1">
        <v>0.69731814171586615</v>
      </c>
    </row>
    <row r="174" spans="2:13">
      <c r="B174" s="1"/>
      <c r="C174" s="1" t="s">
        <v>26</v>
      </c>
      <c r="D174" s="1"/>
      <c r="E174" s="1"/>
      <c r="F174" s="1">
        <v>37011875</v>
      </c>
      <c r="G174" s="1">
        <v>302016900</v>
      </c>
      <c r="H174" s="5401"/>
      <c r="I174" s="1">
        <v>81426125</v>
      </c>
      <c r="J174" s="1"/>
      <c r="K174" s="5401"/>
      <c r="L174" s="1">
        <v>38712588.240000002</v>
      </c>
      <c r="M174" s="1">
        <v>1.0390540993741157</v>
      </c>
    </row>
    <row r="175" spans="2:13">
      <c r="B175" s="1" t="s">
        <v>27</v>
      </c>
      <c r="C175" s="1" t="s">
        <v>28</v>
      </c>
      <c r="D175" s="1"/>
      <c r="E175" s="1"/>
      <c r="F175" s="1">
        <v>25358206</v>
      </c>
      <c r="G175" s="1">
        <v>202779018.80000001</v>
      </c>
      <c r="H175" s="1">
        <v>23781612.789999999</v>
      </c>
      <c r="I175" s="1">
        <v>54254067.5</v>
      </c>
      <c r="J175" s="1">
        <v>280814699.09000003</v>
      </c>
      <c r="K175" s="1">
        <v>11.073918205806832</v>
      </c>
      <c r="L175" s="1">
        <v>25961333</v>
      </c>
      <c r="M175" s="1">
        <v>1.0237842929424896</v>
      </c>
    </row>
    <row r="176" spans="2:13">
      <c r="B176" s="1" t="s">
        <v>29</v>
      </c>
      <c r="C176" s="1" t="s">
        <v>28</v>
      </c>
      <c r="D176" s="1"/>
      <c r="E176" s="1"/>
      <c r="F176" s="1">
        <v>50948225</v>
      </c>
      <c r="G176" s="1">
        <v>412152475.69</v>
      </c>
      <c r="H176" s="1">
        <v>39134618.719999999</v>
      </c>
      <c r="I176" s="1">
        <v>110991780.98</v>
      </c>
      <c r="J176" s="1">
        <v>562278875.38999999</v>
      </c>
      <c r="K176" s="1">
        <v>11.036279976191516</v>
      </c>
      <c r="L176" s="1">
        <v>52479140.469999999</v>
      </c>
      <c r="M176" s="1">
        <v>1.0300484554663092</v>
      </c>
    </row>
    <row r="177" spans="2:13">
      <c r="B177" s="1" t="s">
        <v>30</v>
      </c>
      <c r="C177" s="1" t="s">
        <v>22</v>
      </c>
      <c r="D177" s="1"/>
      <c r="E177" s="1"/>
      <c r="F177" s="1">
        <v>3294</v>
      </c>
      <c r="G177" s="1">
        <v>12187.800000000001</v>
      </c>
      <c r="H177" s="5399">
        <v>3087772.17</v>
      </c>
      <c r="I177" s="1"/>
      <c r="J177" s="1">
        <v>36709835.840000004</v>
      </c>
      <c r="K177" s="5399">
        <v>8.7496721754175315</v>
      </c>
      <c r="L177" s="1"/>
      <c r="M177" s="1"/>
    </row>
    <row r="178" spans="2:13">
      <c r="B178" s="1"/>
      <c r="C178" s="1" t="s">
        <v>19</v>
      </c>
      <c r="D178" s="1"/>
      <c r="E178" s="1"/>
      <c r="F178" s="1">
        <v>1460</v>
      </c>
      <c r="G178" s="1">
        <v>8030</v>
      </c>
      <c r="H178" s="5400"/>
      <c r="I178" s="1"/>
      <c r="J178" s="1"/>
      <c r="K178" s="5400"/>
      <c r="L178" s="1"/>
      <c r="M178" s="1"/>
    </row>
    <row r="179" spans="2:13">
      <c r="B179" s="1"/>
      <c r="C179" s="1" t="s">
        <v>23</v>
      </c>
      <c r="D179" s="1"/>
      <c r="E179" s="1"/>
      <c r="F179" s="1">
        <v>1557</v>
      </c>
      <c r="G179" s="1">
        <v>9264.15</v>
      </c>
      <c r="H179" s="5400"/>
      <c r="I179" s="1"/>
      <c r="J179" s="1"/>
      <c r="K179" s="5400"/>
      <c r="L179" s="1"/>
      <c r="M179" s="1"/>
    </row>
    <row r="180" spans="2:13">
      <c r="B180" s="1"/>
      <c r="C180" s="1" t="s">
        <v>24</v>
      </c>
      <c r="D180" s="1"/>
      <c r="E180" s="1"/>
      <c r="F180" s="1">
        <v>561</v>
      </c>
      <c r="G180" s="1">
        <v>3590.4</v>
      </c>
      <c r="H180" s="5400"/>
      <c r="I180" s="1"/>
      <c r="J180" s="1"/>
      <c r="K180" s="5400"/>
      <c r="L180" s="1"/>
      <c r="M180" s="1"/>
    </row>
    <row r="181" spans="2:13">
      <c r="B181" s="1"/>
      <c r="C181" s="1" t="s">
        <v>25</v>
      </c>
      <c r="D181" s="1"/>
      <c r="E181" s="1"/>
      <c r="F181" s="1">
        <v>1944696</v>
      </c>
      <c r="G181" s="1">
        <v>10131866.16</v>
      </c>
      <c r="H181" s="5400"/>
      <c r="I181" s="1">
        <v>2722574.4</v>
      </c>
      <c r="J181" s="1"/>
      <c r="K181" s="5400"/>
      <c r="L181" s="1">
        <v>1283949.22</v>
      </c>
      <c r="M181" s="1">
        <v>0.65862126240734564</v>
      </c>
    </row>
    <row r="182" spans="2:13">
      <c r="B182" s="1"/>
      <c r="C182" s="1" t="s">
        <v>26</v>
      </c>
      <c r="D182" s="1"/>
      <c r="E182" s="1"/>
      <c r="F182" s="1">
        <v>2243999</v>
      </c>
      <c r="G182" s="1">
        <v>16336312.720000001</v>
      </c>
      <c r="H182" s="5401"/>
      <c r="I182" s="1">
        <v>4398238.04</v>
      </c>
      <c r="J182" s="1"/>
      <c r="K182" s="5401"/>
      <c r="L182" s="1">
        <v>2063116.18</v>
      </c>
      <c r="M182" s="1">
        <v>0.91852569567836406</v>
      </c>
    </row>
    <row r="183" spans="2:13">
      <c r="B183" s="1" t="s">
        <v>31</v>
      </c>
      <c r="C183" s="1" t="s">
        <v>28</v>
      </c>
      <c r="D183" s="1"/>
      <c r="E183" s="1"/>
      <c r="F183" s="1">
        <v>4916742</v>
      </c>
      <c r="G183" s="1">
        <v>31963313.039999999</v>
      </c>
      <c r="H183" s="1">
        <v>5336395.3899999997</v>
      </c>
      <c r="I183" s="1">
        <v>8457666</v>
      </c>
      <c r="J183" s="1">
        <v>45757374.43</v>
      </c>
      <c r="K183" s="1">
        <v>9.3064420362101572</v>
      </c>
      <c r="L183" s="1">
        <v>4133683.56</v>
      </c>
      <c r="M183" s="1">
        <v>0.84073631685372141</v>
      </c>
    </row>
    <row r="184" spans="2:13">
      <c r="B184" s="1" t="s">
        <v>32</v>
      </c>
      <c r="C184" s="1" t="s">
        <v>28</v>
      </c>
      <c r="D184" s="1"/>
      <c r="E184" s="1"/>
      <c r="F184" s="1">
        <v>4179658</v>
      </c>
      <c r="G184" s="1">
        <v>26708014.619999997</v>
      </c>
      <c r="H184" s="1">
        <v>2761968</v>
      </c>
      <c r="I184" s="1">
        <v>7189011.7599999998</v>
      </c>
      <c r="J184" s="1">
        <v>36658994.379999995</v>
      </c>
      <c r="K184" s="1">
        <v>8.7708119611700273</v>
      </c>
      <c r="L184" s="1">
        <v>3403676.58</v>
      </c>
      <c r="M184" s="1">
        <v>0.81434332186987546</v>
      </c>
    </row>
    <row r="185" spans="2:13">
      <c r="B185" s="1" t="s">
        <v>33</v>
      </c>
      <c r="C185" s="1" t="s">
        <v>28</v>
      </c>
      <c r="D185" s="1"/>
      <c r="E185" s="1"/>
      <c r="F185" s="1">
        <v>359982</v>
      </c>
      <c r="G185" s="1">
        <v>4175990.35</v>
      </c>
      <c r="H185" s="1">
        <v>1245440</v>
      </c>
      <c r="I185" s="1">
        <v>651822.68000000005</v>
      </c>
      <c r="J185" s="1">
        <v>6073253.0299999993</v>
      </c>
      <c r="K185" s="1">
        <v>16.870990855098309</v>
      </c>
      <c r="L185" s="1">
        <v>656259.89</v>
      </c>
      <c r="M185" s="1">
        <v>1.8230352906534215</v>
      </c>
    </row>
    <row r="186" spans="2:13">
      <c r="B186" s="1" t="s">
        <v>34</v>
      </c>
      <c r="C186" s="1" t="s">
        <v>28</v>
      </c>
      <c r="D186" s="1"/>
      <c r="E186" s="1"/>
      <c r="F186" s="1">
        <v>1903779.57</v>
      </c>
      <c r="G186" s="1">
        <v>10775392.3662</v>
      </c>
      <c r="H186" s="1">
        <v>1747517.79</v>
      </c>
      <c r="I186" s="1">
        <v>2893744.9464000002</v>
      </c>
      <c r="J186" s="1">
        <v>15416655.102599999</v>
      </c>
      <c r="K186" s="1">
        <v>8.0979202348515589</v>
      </c>
      <c r="L186" s="1">
        <v>1370721.29</v>
      </c>
      <c r="M186" s="1">
        <v>0.7199999997898916</v>
      </c>
    </row>
    <row r="187" spans="2:13">
      <c r="B187" s="1" t="s">
        <v>35</v>
      </c>
      <c r="C187" s="1" t="s">
        <v>28</v>
      </c>
      <c r="D187" s="1"/>
      <c r="E187" s="1"/>
      <c r="F187" s="1">
        <v>334990</v>
      </c>
      <c r="G187" s="1">
        <v>1896225.2</v>
      </c>
      <c r="H187" s="1">
        <v>215588.68</v>
      </c>
      <c r="I187" s="1">
        <v>509952.4</v>
      </c>
      <c r="J187" s="1">
        <v>2621766.2799999998</v>
      </c>
      <c r="K187" s="1">
        <v>7.8264016239290717</v>
      </c>
      <c r="L187" s="1">
        <v>239133.03</v>
      </c>
      <c r="M187" s="1">
        <v>0.71385124929102362</v>
      </c>
    </row>
    <row r="188" spans="2:13">
      <c r="B188" s="1" t="s">
        <v>36</v>
      </c>
      <c r="C188" s="1" t="s">
        <v>28</v>
      </c>
      <c r="D188" s="1"/>
      <c r="E188" s="1"/>
      <c r="F188" s="1">
        <v>8311</v>
      </c>
      <c r="G188" s="1">
        <v>25663.489999999998</v>
      </c>
      <c r="H188" s="1">
        <v>1996.67</v>
      </c>
      <c r="I188" s="1">
        <v>4526.6099999999997</v>
      </c>
      <c r="J188" s="1">
        <v>32186.769999999997</v>
      </c>
      <c r="K188" s="1">
        <v>3.8727914811695339</v>
      </c>
      <c r="L188" s="1">
        <v>3891.75</v>
      </c>
      <c r="M188" s="1">
        <v>0.46826495006617735</v>
      </c>
    </row>
    <row r="189" spans="2:13">
      <c r="B189" s="1" t="s">
        <v>37</v>
      </c>
      <c r="C189" s="1" t="s">
        <v>28</v>
      </c>
      <c r="D189" s="1"/>
      <c r="E189" s="1"/>
      <c r="F189" s="1">
        <v>3103080</v>
      </c>
      <c r="G189" s="1">
        <v>28738397.360000003</v>
      </c>
      <c r="H189" s="1">
        <v>1842321.7</v>
      </c>
      <c r="I189" s="1">
        <v>6271424.7199999997</v>
      </c>
      <c r="J189" s="1">
        <v>36852143.780000001</v>
      </c>
      <c r="K189" s="1">
        <v>11.875988946466093</v>
      </c>
      <c r="L189" s="1">
        <v>5646566.1100000003</v>
      </c>
      <c r="M189" s="1">
        <v>1.8196650134704875</v>
      </c>
    </row>
    <row r="190" spans="2:13">
      <c r="B190" s="1" t="s">
        <v>38</v>
      </c>
      <c r="C190" s="1" t="s">
        <v>28</v>
      </c>
      <c r="D190" s="1"/>
      <c r="E190" s="1"/>
      <c r="F190" s="1">
        <v>106340</v>
      </c>
      <c r="G190" s="1">
        <v>329660.75</v>
      </c>
      <c r="H190" s="1">
        <v>3300</v>
      </c>
      <c r="I190" s="1">
        <v>88274.65</v>
      </c>
      <c r="J190" s="1">
        <v>421235.4</v>
      </c>
      <c r="K190" s="1">
        <v>3.9612130900883957</v>
      </c>
      <c r="L190" s="1">
        <v>41430.959999999999</v>
      </c>
      <c r="M190" s="1">
        <v>0.38960842580402483</v>
      </c>
    </row>
    <row r="191" spans="2:13">
      <c r="B191" s="1" t="s">
        <v>39</v>
      </c>
      <c r="C191" s="1" t="s">
        <v>28</v>
      </c>
      <c r="D191" s="1"/>
      <c r="E191" s="1"/>
      <c r="F191" s="1">
        <v>98462</v>
      </c>
      <c r="G191" s="1">
        <v>669541.6</v>
      </c>
      <c r="H191" s="1">
        <v>73983.100000000006</v>
      </c>
      <c r="I191" s="1">
        <v>180185.46000000002</v>
      </c>
      <c r="J191" s="1">
        <v>923710.15999999992</v>
      </c>
      <c r="K191" s="1">
        <v>9.3813873372468564</v>
      </c>
      <c r="L191" s="1">
        <v>84675.64</v>
      </c>
      <c r="M191" s="1">
        <v>0.85998293757998012</v>
      </c>
    </row>
    <row r="192" spans="2:13">
      <c r="B192" s="1" t="s">
        <v>40</v>
      </c>
      <c r="C192" s="1" t="s">
        <v>28</v>
      </c>
      <c r="D192" s="1"/>
      <c r="E192" s="1"/>
      <c r="F192" s="1">
        <v>8246</v>
      </c>
      <c r="G192" s="1">
        <v>56072.799999999996</v>
      </c>
      <c r="H192" s="1">
        <v>11724.27</v>
      </c>
      <c r="I192" s="1">
        <v>15090.18</v>
      </c>
      <c r="J192" s="1">
        <v>82887.25</v>
      </c>
      <c r="K192" s="1">
        <v>10.051813000242541</v>
      </c>
      <c r="L192" s="1">
        <v>7091.56</v>
      </c>
      <c r="M192" s="1">
        <v>0.8600000000000001</v>
      </c>
    </row>
    <row r="193" spans="2:13">
      <c r="B193" s="1" t="s">
        <v>41</v>
      </c>
      <c r="C193" s="1" t="s">
        <v>28</v>
      </c>
      <c r="D193" s="1"/>
      <c r="E193" s="1"/>
      <c r="F193" s="1">
        <v>14746599</v>
      </c>
      <c r="G193" s="1">
        <v>87004934.100000009</v>
      </c>
      <c r="H193" s="1">
        <v>8963672</v>
      </c>
      <c r="I193" s="1">
        <v>23447092.41</v>
      </c>
      <c r="J193" s="1">
        <v>119415698.51000001</v>
      </c>
      <c r="K193" s="1">
        <v>8.0978467313039442</v>
      </c>
      <c r="L193" s="1">
        <v>11059949.25</v>
      </c>
      <c r="M193" s="1">
        <v>0.75</v>
      </c>
    </row>
    <row r="194" spans="2:13">
      <c r="B194" s="1" t="s">
        <v>42</v>
      </c>
      <c r="C194" s="1" t="s">
        <v>28</v>
      </c>
      <c r="D194" s="1"/>
      <c r="E194" s="1"/>
      <c r="F194" s="1">
        <v>36954558</v>
      </c>
      <c r="G194" s="1">
        <v>234661443.29999998</v>
      </c>
      <c r="H194" s="1">
        <v>20416074.489999998</v>
      </c>
      <c r="I194" s="1">
        <v>63192294.18</v>
      </c>
      <c r="J194" s="1">
        <v>318269811.96999997</v>
      </c>
      <c r="K194" s="1">
        <v>8.6124643127919427</v>
      </c>
      <c r="L194" s="1">
        <v>29933191.98</v>
      </c>
      <c r="M194" s="1">
        <v>0.81</v>
      </c>
    </row>
    <row r="195" spans="2:13">
      <c r="B195" s="1" t="s">
        <v>43</v>
      </c>
      <c r="C195" s="1" t="s">
        <v>28</v>
      </c>
      <c r="D195" s="1"/>
      <c r="E195" s="1"/>
      <c r="F195" s="1">
        <v>2755531</v>
      </c>
      <c r="G195" s="1">
        <v>9368805.4000000004</v>
      </c>
      <c r="H195" s="1">
        <v>1390811</v>
      </c>
      <c r="I195" s="1">
        <v>2507533.21</v>
      </c>
      <c r="J195" s="1">
        <v>13267149.609999999</v>
      </c>
      <c r="K195" s="1">
        <v>4.8147342962209461</v>
      </c>
      <c r="L195" s="1">
        <v>1184878.33</v>
      </c>
      <c r="M195" s="1">
        <v>0.43000000000000005</v>
      </c>
    </row>
    <row r="196" spans="2:13">
      <c r="B196" s="1" t="s">
        <v>44</v>
      </c>
      <c r="C196" s="1" t="s">
        <v>28</v>
      </c>
      <c r="D196" s="1"/>
      <c r="E196" s="1"/>
      <c r="F196" s="1">
        <v>289956</v>
      </c>
      <c r="G196" s="1">
        <v>2508119.4</v>
      </c>
      <c r="H196" s="1">
        <v>750</v>
      </c>
      <c r="I196" s="1">
        <v>675597.48</v>
      </c>
      <c r="J196" s="1">
        <v>3184466.88</v>
      </c>
      <c r="K196" s="1">
        <v>10.982586599346106</v>
      </c>
      <c r="L196" s="1">
        <v>318951.59999999998</v>
      </c>
      <c r="M196" s="1">
        <v>1.0999999999999999</v>
      </c>
    </row>
    <row r="197" spans="2:13">
      <c r="B197" s="1" t="s">
        <v>45</v>
      </c>
      <c r="C197" s="1" t="s">
        <v>28</v>
      </c>
      <c r="D197" s="1"/>
      <c r="E197" s="1"/>
      <c r="F197" s="1">
        <v>0</v>
      </c>
      <c r="G197" s="1">
        <v>0</v>
      </c>
      <c r="H197" s="1">
        <v>0</v>
      </c>
      <c r="I197" s="1">
        <v>0</v>
      </c>
      <c r="J197" s="1">
        <v>0</v>
      </c>
      <c r="K197" s="1" t="e">
        <v>#DIV/0!</v>
      </c>
      <c r="L197" s="1">
        <v>0</v>
      </c>
      <c r="M197" s="1" t="e">
        <v>#DIV/0!</v>
      </c>
    </row>
    <row r="198" spans="2:13">
      <c r="B198" s="1" t="s">
        <v>46</v>
      </c>
      <c r="C198" s="1"/>
      <c r="D198" s="1"/>
      <c r="E198" s="1"/>
      <c r="F198" s="1"/>
      <c r="G198" s="1">
        <v>-13706334.41</v>
      </c>
      <c r="H198" s="1">
        <v>-5115003.62</v>
      </c>
      <c r="I198" s="1">
        <v>0</v>
      </c>
      <c r="J198" s="1">
        <v>-18821338.030000001</v>
      </c>
      <c r="K198" s="1"/>
      <c r="L198" s="1">
        <v>-1204397.8700000001</v>
      </c>
      <c r="M198" s="1"/>
    </row>
    <row r="199" spans="2:13">
      <c r="B199" s="1" t="s">
        <v>47</v>
      </c>
      <c r="C199" s="1"/>
      <c r="D199" s="1">
        <v>0</v>
      </c>
      <c r="E199" s="1">
        <v>0</v>
      </c>
      <c r="F199" s="1">
        <v>407561424.56999999</v>
      </c>
      <c r="G199" s="1">
        <v>2329770657.5962005</v>
      </c>
      <c r="H199" s="1">
        <v>230742829.35999995</v>
      </c>
      <c r="I199" s="1">
        <v>626671241.08640003</v>
      </c>
      <c r="J199" s="1">
        <v>3187184728.0426006</v>
      </c>
      <c r="K199" s="1">
        <v>7.8201334471368531</v>
      </c>
      <c r="L199" s="1">
        <v>298753807.06</v>
      </c>
      <c r="M199" s="1">
        <v>0.73302768380300443</v>
      </c>
    </row>
    <row r="200" spans="2:13">
      <c r="B200" s="1"/>
      <c r="C200" s="1"/>
      <c r="D200" s="1"/>
      <c r="E200" s="1"/>
      <c r="F200" s="1"/>
      <c r="G200" s="1"/>
      <c r="H200" s="1"/>
      <c r="I200" s="1" t="s">
        <v>48</v>
      </c>
      <c r="J200" s="1">
        <v>13681716</v>
      </c>
      <c r="K200" s="1"/>
      <c r="L200" s="1"/>
      <c r="M200" s="1"/>
    </row>
    <row r="201" spans="2:13">
      <c r="B201" s="1"/>
      <c r="C201" s="1"/>
      <c r="D201" s="1"/>
      <c r="E201" s="1"/>
      <c r="F201" s="1"/>
      <c r="G201" s="1"/>
      <c r="H201" s="1"/>
      <c r="I201" s="1" t="s">
        <v>49</v>
      </c>
      <c r="J201" s="1">
        <v>298828669.92000002</v>
      </c>
      <c r="K201" s="1"/>
      <c r="L201" s="1">
        <v>-74862.860000014305</v>
      </c>
      <c r="M201" s="1"/>
    </row>
    <row r="202" spans="2:13">
      <c r="B202" s="1"/>
      <c r="C202" s="1"/>
      <c r="D202" s="1"/>
      <c r="E202" s="1"/>
      <c r="F202" s="1"/>
      <c r="G202" s="1"/>
      <c r="H202" s="1"/>
      <c r="I202" s="1" t="s">
        <v>50</v>
      </c>
      <c r="J202" s="1">
        <v>-340277.43</v>
      </c>
      <c r="K202" s="1"/>
      <c r="L202" s="1"/>
      <c r="M202" s="1"/>
    </row>
    <row r="203" spans="2:13">
      <c r="B203" s="1"/>
      <c r="C203" s="1"/>
      <c r="D203" s="1"/>
      <c r="E203" s="1"/>
      <c r="F203" s="1"/>
      <c r="G203" s="1"/>
      <c r="H203" s="1"/>
      <c r="I203" s="1" t="s">
        <v>51</v>
      </c>
      <c r="J203" s="1">
        <v>15068672.85</v>
      </c>
      <c r="K203" s="1"/>
      <c r="L203" s="1"/>
      <c r="M203" s="1"/>
    </row>
    <row r="204" spans="2:13">
      <c r="B204" s="1"/>
      <c r="C204" s="1"/>
      <c r="D204" s="1"/>
      <c r="E204" s="1"/>
      <c r="F204" s="1"/>
      <c r="G204" s="1"/>
      <c r="H204" s="1"/>
      <c r="I204" s="1" t="s">
        <v>52</v>
      </c>
      <c r="J204" s="1">
        <v>10127465.85</v>
      </c>
      <c r="K204" s="1"/>
      <c r="L204" s="1"/>
      <c r="M204" s="1"/>
    </row>
    <row r="205" spans="2:13">
      <c r="B205" s="1"/>
      <c r="C205" s="1"/>
      <c r="D205" s="1"/>
      <c r="E205" s="1"/>
      <c r="F205" s="1"/>
      <c r="G205" s="1"/>
      <c r="H205" s="1"/>
      <c r="I205" s="1" t="s">
        <v>47</v>
      </c>
      <c r="J205" s="1">
        <v>3524550975.2326007</v>
      </c>
      <c r="K205" s="1"/>
      <c r="L205" s="1"/>
      <c r="M205" s="1"/>
    </row>
    <row r="206" spans="2:13">
      <c r="B206" s="1"/>
      <c r="C206" s="1"/>
      <c r="D206" s="1"/>
      <c r="E206" s="1"/>
      <c r="F206" s="1"/>
      <c r="G206" s="1"/>
      <c r="H206" s="1"/>
      <c r="I206" s="1" t="s">
        <v>53</v>
      </c>
      <c r="J206" s="1">
        <v>-8273332.7400000002</v>
      </c>
      <c r="K206" s="1"/>
      <c r="L206" s="1"/>
      <c r="M206" s="1"/>
    </row>
    <row r="207" spans="2:13">
      <c r="B207" s="1"/>
      <c r="C207" s="1"/>
      <c r="D207" s="1"/>
      <c r="E207" s="1"/>
      <c r="F207" s="1"/>
      <c r="G207" s="1"/>
      <c r="H207" s="1"/>
      <c r="I207" s="1" t="s">
        <v>54</v>
      </c>
      <c r="J207" s="1">
        <v>-59570028.43</v>
      </c>
      <c r="K207" s="1"/>
      <c r="L207" s="1"/>
      <c r="M207" s="1"/>
    </row>
    <row r="208" spans="2:13">
      <c r="B208" s="1"/>
      <c r="C208" s="1"/>
      <c r="D208" s="1"/>
      <c r="E208" s="1"/>
      <c r="F208" s="1"/>
      <c r="G208" s="1"/>
      <c r="H208" s="1"/>
      <c r="I208" s="1" t="s">
        <v>55</v>
      </c>
      <c r="J208" s="1">
        <v>-300941.8</v>
      </c>
      <c r="K208" s="1"/>
      <c r="L208" s="1"/>
      <c r="M208" s="1"/>
    </row>
    <row r="209" spans="2:13">
      <c r="B209" s="1"/>
      <c r="C209" s="1"/>
      <c r="D209" s="1"/>
      <c r="E209" s="1"/>
      <c r="F209" s="1"/>
      <c r="G209" s="1"/>
      <c r="H209" s="1"/>
      <c r="I209" s="1" t="s">
        <v>56</v>
      </c>
      <c r="J209" s="1">
        <v>0</v>
      </c>
      <c r="K209" s="1"/>
      <c r="L209" s="1"/>
      <c r="M209" s="1"/>
    </row>
    <row r="210" spans="2:13">
      <c r="B210" s="1"/>
      <c r="C210" s="1"/>
      <c r="D210" s="1"/>
      <c r="E210" s="1"/>
      <c r="F210" s="1"/>
      <c r="G210" s="1"/>
      <c r="H210" s="1"/>
      <c r="I210" s="1" t="s">
        <v>57</v>
      </c>
      <c r="J210" s="1">
        <v>3456406672.2626009</v>
      </c>
      <c r="K210" s="1"/>
      <c r="L210" s="1"/>
      <c r="M210" s="1"/>
    </row>
    <row r="211" spans="2:13">
      <c r="B211" s="1"/>
      <c r="C211" s="1"/>
      <c r="D211" s="1"/>
      <c r="E211" s="1"/>
      <c r="F211" s="1"/>
      <c r="G211" s="1"/>
      <c r="H211" s="1"/>
      <c r="I211" s="1" t="s">
        <v>58</v>
      </c>
      <c r="J211" s="1">
        <v>8.6479013045731659</v>
      </c>
      <c r="K211" s="1"/>
      <c r="L211" s="1"/>
      <c r="M211" s="1"/>
    </row>
    <row r="212" spans="2:13">
      <c r="B212" s="1"/>
      <c r="C212" s="1"/>
      <c r="D212" s="1"/>
      <c r="E212" s="1"/>
      <c r="F212" s="1"/>
      <c r="G212" s="1"/>
      <c r="H212" s="1"/>
      <c r="I212" s="1" t="s">
        <v>59</v>
      </c>
      <c r="J212" s="1">
        <v>33858934</v>
      </c>
      <c r="K212" s="1"/>
      <c r="L212" s="1"/>
      <c r="M212" s="1"/>
    </row>
    <row r="213" spans="2:13">
      <c r="B213" s="1"/>
      <c r="C213" s="1"/>
      <c r="D213" s="1"/>
      <c r="E213" s="1"/>
      <c r="F213" s="1"/>
      <c r="G213" s="1"/>
      <c r="H213" s="1"/>
      <c r="I213" s="1" t="s">
        <v>60</v>
      </c>
      <c r="J213" s="1">
        <v>3558409909.2326007</v>
      </c>
      <c r="K213" s="1"/>
      <c r="L213" s="1"/>
      <c r="M213" s="1"/>
    </row>
    <row r="214" spans="2:13">
      <c r="B214" s="1"/>
      <c r="C214" s="1"/>
      <c r="D214" s="1"/>
      <c r="E214" s="1"/>
      <c r="F214" s="1"/>
      <c r="G214" s="1"/>
      <c r="H214" s="1"/>
      <c r="I214" s="1" t="s">
        <v>58</v>
      </c>
      <c r="J214" s="1"/>
      <c r="K214" s="1"/>
      <c r="L214" s="1"/>
      <c r="M214" s="1"/>
    </row>
    <row r="215" spans="2:13">
      <c r="B215" s="1"/>
      <c r="C215" s="1"/>
      <c r="D215" s="1"/>
      <c r="E215" s="1"/>
      <c r="F215" s="1"/>
      <c r="G215" s="1"/>
      <c r="H215" s="1"/>
      <c r="I215" s="1"/>
      <c r="J215" s="1">
        <v>8.7309781905559909</v>
      </c>
      <c r="K215" s="1"/>
      <c r="L215" s="1"/>
      <c r="M215" s="1"/>
    </row>
    <row r="216" spans="2:13" ht="15.75" thickBot="1"/>
    <row r="217" spans="2:13">
      <c r="B217" s="5405" t="s">
        <v>70</v>
      </c>
      <c r="C217" s="5406"/>
      <c r="D217" s="5406"/>
      <c r="E217" s="5406"/>
      <c r="F217" s="5407"/>
    </row>
    <row r="218" spans="2:13" ht="30">
      <c r="B218" s="7" t="s">
        <v>1</v>
      </c>
      <c r="C218" s="7" t="s">
        <v>2</v>
      </c>
      <c r="D218" s="7" t="s">
        <v>62</v>
      </c>
      <c r="E218" s="7"/>
      <c r="F218" s="7" t="s">
        <v>4</v>
      </c>
      <c r="G218" s="7" t="s">
        <v>5</v>
      </c>
      <c r="H218" s="7" t="s">
        <v>6</v>
      </c>
      <c r="I218" s="7" t="s">
        <v>7</v>
      </c>
      <c r="J218" s="7" t="s">
        <v>8</v>
      </c>
      <c r="K218" s="7" t="s">
        <v>9</v>
      </c>
      <c r="L218" s="7" t="s">
        <v>71</v>
      </c>
      <c r="M218" s="7" t="s">
        <v>11</v>
      </c>
    </row>
    <row r="219" spans="2:13">
      <c r="B219" s="1"/>
      <c r="C219" s="1"/>
      <c r="D219" s="1" t="s">
        <v>12</v>
      </c>
      <c r="E219" s="1" t="s">
        <v>13</v>
      </c>
      <c r="F219" s="1"/>
      <c r="G219" s="1"/>
      <c r="H219" s="1"/>
      <c r="I219" s="1"/>
      <c r="J219" s="1"/>
      <c r="K219" s="1"/>
      <c r="L219" s="1"/>
      <c r="M219" s="1"/>
    </row>
    <row r="220" spans="2:13">
      <c r="B220" s="1" t="s">
        <v>14</v>
      </c>
      <c r="C220" s="1" t="s">
        <v>15</v>
      </c>
      <c r="D220" s="1">
        <v>643</v>
      </c>
      <c r="E220" s="1">
        <v>0</v>
      </c>
      <c r="F220" s="1">
        <v>50879</v>
      </c>
      <c r="G220" s="1">
        <v>22390.84</v>
      </c>
      <c r="H220" s="1">
        <v>1724.4</v>
      </c>
      <c r="I220" s="1">
        <v>6117.7199999999993</v>
      </c>
      <c r="J220" s="1">
        <v>30232.959999999999</v>
      </c>
      <c r="K220" s="1">
        <v>0.59421293657501129</v>
      </c>
      <c r="L220" s="1">
        <v>3047.78</v>
      </c>
      <c r="M220" s="1">
        <v>5.9902513807268229E-2</v>
      </c>
    </row>
    <row r="221" spans="2:13">
      <c r="B221" s="1" t="s">
        <v>16</v>
      </c>
      <c r="C221" s="1" t="s">
        <v>17</v>
      </c>
      <c r="D221" s="1">
        <v>233797</v>
      </c>
      <c r="E221" s="1">
        <v>12891</v>
      </c>
      <c r="F221" s="1">
        <v>58842330</v>
      </c>
      <c r="G221" s="1">
        <v>121221727.29000001</v>
      </c>
      <c r="H221" s="5399">
        <v>62388666.469999999</v>
      </c>
      <c r="I221" s="1">
        <v>32370320.950000003</v>
      </c>
      <c r="J221" s="5399">
        <v>862425889.96000004</v>
      </c>
      <c r="K221" s="1">
        <v>5.3701379439548411</v>
      </c>
      <c r="L221" s="1">
        <v>15288582.779999999</v>
      </c>
      <c r="M221" s="1">
        <v>0.25982286527402976</v>
      </c>
    </row>
    <row r="222" spans="2:13">
      <c r="B222" s="1"/>
      <c r="C222" s="1" t="s">
        <v>18</v>
      </c>
      <c r="D222" s="1">
        <v>355438</v>
      </c>
      <c r="E222" s="1">
        <v>18919</v>
      </c>
      <c r="F222" s="1">
        <v>53856105</v>
      </c>
      <c r="G222" s="1">
        <v>205207196.22</v>
      </c>
      <c r="H222" s="5400"/>
      <c r="I222" s="1">
        <v>55502963.160000004</v>
      </c>
      <c r="J222" s="5400"/>
      <c r="K222" s="1"/>
      <c r="L222" s="1">
        <v>25820965.949999999</v>
      </c>
      <c r="M222" s="1">
        <v>0.47944362018010772</v>
      </c>
    </row>
    <row r="223" spans="2:13">
      <c r="B223" s="1"/>
      <c r="C223" s="1" t="s">
        <v>19</v>
      </c>
      <c r="D223" s="1">
        <v>60656</v>
      </c>
      <c r="E223" s="1">
        <v>16832</v>
      </c>
      <c r="F223" s="1">
        <v>16464818</v>
      </c>
      <c r="G223" s="1">
        <v>88251991.659999996</v>
      </c>
      <c r="H223" s="5400"/>
      <c r="I223" s="1">
        <v>23722950.239999998</v>
      </c>
      <c r="J223" s="5400"/>
      <c r="K223" s="1"/>
      <c r="L223" s="1">
        <v>11178392.92</v>
      </c>
      <c r="M223" s="1">
        <v>0.67892599359434158</v>
      </c>
    </row>
    <row r="224" spans="2:13">
      <c r="B224" s="1"/>
      <c r="C224" s="1" t="s">
        <v>20</v>
      </c>
      <c r="D224" s="1">
        <v>20605</v>
      </c>
      <c r="E224" s="1">
        <v>33611</v>
      </c>
      <c r="F224" s="1">
        <v>31433346</v>
      </c>
      <c r="G224" s="1">
        <v>215631988.02000001</v>
      </c>
      <c r="H224" s="5401"/>
      <c r="I224" s="1">
        <v>58128085.950000003</v>
      </c>
      <c r="J224" s="5401"/>
      <c r="K224" s="1"/>
      <c r="L224" s="1">
        <v>27318576.920000002</v>
      </c>
      <c r="M224" s="1">
        <v>0.86909541605911134</v>
      </c>
    </row>
    <row r="225" spans="2:13">
      <c r="B225" s="1" t="s">
        <v>21</v>
      </c>
      <c r="C225" s="1" t="s">
        <v>22</v>
      </c>
      <c r="D225" s="1">
        <v>176269</v>
      </c>
      <c r="E225" s="1">
        <v>13738</v>
      </c>
      <c r="F225" s="1">
        <v>-3870</v>
      </c>
      <c r="G225" s="1">
        <v>-15480</v>
      </c>
      <c r="H225" s="5399">
        <v>63044805.890000001</v>
      </c>
      <c r="I225" s="1"/>
      <c r="J225" s="5399">
        <v>746880582.19000006</v>
      </c>
      <c r="K225" s="1">
        <v>9.166270856784493</v>
      </c>
      <c r="L225" s="1"/>
      <c r="M225" s="1"/>
    </row>
    <row r="226" spans="2:13">
      <c r="B226" s="1"/>
      <c r="C226" s="1" t="s">
        <v>19</v>
      </c>
      <c r="D226" s="1">
        <v>23932</v>
      </c>
      <c r="E226" s="1">
        <v>5100</v>
      </c>
      <c r="F226" s="1">
        <v>-3717</v>
      </c>
      <c r="G226" s="1">
        <v>-22302</v>
      </c>
      <c r="H226" s="5400"/>
      <c r="I226" s="1"/>
      <c r="J226" s="5400"/>
      <c r="K226" s="1"/>
      <c r="L226" s="1"/>
      <c r="M226" s="1"/>
    </row>
    <row r="227" spans="2:13">
      <c r="B227" s="1"/>
      <c r="C227" s="1" t="s">
        <v>23</v>
      </c>
      <c r="D227" s="1">
        <v>15879</v>
      </c>
      <c r="E227" s="1">
        <v>9452</v>
      </c>
      <c r="F227" s="1">
        <v>-4198</v>
      </c>
      <c r="G227" s="1">
        <v>-28966.2</v>
      </c>
      <c r="H227" s="5400"/>
      <c r="I227" s="1"/>
      <c r="J227" s="5400"/>
      <c r="K227" s="1"/>
      <c r="L227" s="1"/>
      <c r="M227" s="1"/>
    </row>
    <row r="228" spans="2:13">
      <c r="B228" s="1"/>
      <c r="C228" s="1" t="s">
        <v>24</v>
      </c>
      <c r="D228" s="1">
        <v>3501</v>
      </c>
      <c r="E228" s="1">
        <v>14631</v>
      </c>
      <c r="F228" s="1">
        <v>50214</v>
      </c>
      <c r="G228" s="1">
        <v>381626.39999999997</v>
      </c>
      <c r="H228" s="5400"/>
      <c r="I228" s="1"/>
      <c r="J228" s="5400"/>
      <c r="K228" s="1"/>
      <c r="L228" s="1"/>
      <c r="M228" s="1"/>
    </row>
    <row r="229" spans="2:13">
      <c r="B229" s="1"/>
      <c r="C229" s="1" t="s">
        <v>25</v>
      </c>
      <c r="D229" s="1">
        <v>200201</v>
      </c>
      <c r="E229" s="1">
        <v>18838</v>
      </c>
      <c r="F229" s="1">
        <v>47404817</v>
      </c>
      <c r="G229" s="1">
        <v>260726493.5</v>
      </c>
      <c r="H229" s="5400"/>
      <c r="I229" s="1">
        <v>70159129.159999996</v>
      </c>
      <c r="J229" s="5400"/>
      <c r="K229" s="1"/>
      <c r="L229" s="1">
        <v>33116637.070000004</v>
      </c>
      <c r="M229" s="1">
        <v>0.69870406076473257</v>
      </c>
    </row>
    <row r="230" spans="2:13">
      <c r="B230" s="1"/>
      <c r="C230" s="1" t="s">
        <v>26</v>
      </c>
      <c r="D230" s="1">
        <v>19380</v>
      </c>
      <c r="E230" s="1">
        <v>24083</v>
      </c>
      <c r="F230" s="1">
        <v>34038154</v>
      </c>
      <c r="G230" s="1">
        <v>277751336.63999999</v>
      </c>
      <c r="H230" s="5401"/>
      <c r="I230" s="1">
        <v>74883938.800000012</v>
      </c>
      <c r="J230" s="5401"/>
      <c r="K230" s="1"/>
      <c r="L230" s="1">
        <v>35409119.210000001</v>
      </c>
      <c r="M230" s="1">
        <v>1.0388728612138713</v>
      </c>
    </row>
    <row r="231" spans="2:13">
      <c r="B231" s="1" t="s">
        <v>27</v>
      </c>
      <c r="C231" s="1" t="s">
        <v>28</v>
      </c>
      <c r="D231" s="1">
        <v>69</v>
      </c>
      <c r="E231" s="1">
        <v>5937</v>
      </c>
      <c r="F231" s="1">
        <v>24578870</v>
      </c>
      <c r="G231" s="1">
        <v>196624775.5</v>
      </c>
      <c r="H231" s="1">
        <v>22478340.23</v>
      </c>
      <c r="I231" s="1">
        <v>52825575.25</v>
      </c>
      <c r="J231" s="1">
        <v>271928690.98000002</v>
      </c>
      <c r="K231" s="1">
        <v>11.063514758001487</v>
      </c>
      <c r="L231" s="1">
        <v>25074374.280000001</v>
      </c>
      <c r="M231" s="1">
        <v>1.0201597664986226</v>
      </c>
    </row>
    <row r="232" spans="2:13">
      <c r="B232" s="1" t="s">
        <v>29</v>
      </c>
      <c r="C232" s="1" t="s">
        <v>28</v>
      </c>
      <c r="D232" s="1">
        <v>2</v>
      </c>
      <c r="E232" s="1">
        <v>2632</v>
      </c>
      <c r="F232" s="1">
        <v>45321087</v>
      </c>
      <c r="G232" s="1">
        <v>366647593.82999998</v>
      </c>
      <c r="H232" s="1">
        <v>35308672.130000003</v>
      </c>
      <c r="I232" s="1">
        <v>98799969.660000011</v>
      </c>
      <c r="J232" s="1">
        <v>500756235.62</v>
      </c>
      <c r="K232" s="1">
        <v>11.049078227536775</v>
      </c>
      <c r="L232" s="1">
        <v>46680719.609999999</v>
      </c>
      <c r="M232" s="1">
        <v>1.03</v>
      </c>
    </row>
    <row r="233" spans="2:13">
      <c r="B233" s="1" t="s">
        <v>30</v>
      </c>
      <c r="C233" s="1" t="s">
        <v>22</v>
      </c>
      <c r="D233" s="1">
        <v>2542</v>
      </c>
      <c r="E233" s="1">
        <v>3011</v>
      </c>
      <c r="F233" s="1">
        <v>355</v>
      </c>
      <c r="G233" s="1">
        <v>1313.5</v>
      </c>
      <c r="H233" s="5399">
        <v>3070378</v>
      </c>
      <c r="I233" s="1"/>
      <c r="J233" s="5399">
        <v>37060186.859999999</v>
      </c>
      <c r="K233" s="1">
        <v>8.7594781069695635</v>
      </c>
      <c r="L233" s="1"/>
      <c r="M233" s="1"/>
    </row>
    <row r="234" spans="2:13">
      <c r="B234" s="1"/>
      <c r="C234" s="1" t="s">
        <v>19</v>
      </c>
      <c r="D234" s="1">
        <v>225</v>
      </c>
      <c r="E234" s="1">
        <v>716</v>
      </c>
      <c r="F234" s="1">
        <v>374</v>
      </c>
      <c r="G234" s="1">
        <v>2057</v>
      </c>
      <c r="H234" s="5400"/>
      <c r="I234" s="1"/>
      <c r="J234" s="5400"/>
      <c r="K234" s="1"/>
      <c r="L234" s="1"/>
      <c r="M234" s="1"/>
    </row>
    <row r="235" spans="2:13">
      <c r="B235" s="1"/>
      <c r="C235" s="1" t="s">
        <v>23</v>
      </c>
      <c r="D235" s="1">
        <v>131</v>
      </c>
      <c r="E235" s="1">
        <v>1137</v>
      </c>
      <c r="F235" s="1">
        <v>223</v>
      </c>
      <c r="G235" s="1">
        <v>1326.8500000000001</v>
      </c>
      <c r="H235" s="5400"/>
      <c r="I235" s="1"/>
      <c r="J235" s="5400"/>
      <c r="K235" s="1"/>
      <c r="L235" s="1"/>
      <c r="M235" s="1"/>
    </row>
    <row r="236" spans="2:13">
      <c r="B236" s="1"/>
      <c r="C236" s="1" t="s">
        <v>24</v>
      </c>
      <c r="D236" s="1">
        <v>33</v>
      </c>
      <c r="E236" s="1">
        <v>1197</v>
      </c>
      <c r="F236" s="1">
        <v>4252</v>
      </c>
      <c r="G236" s="1">
        <v>27212.800000000003</v>
      </c>
      <c r="H236" s="5400"/>
      <c r="I236" s="1"/>
      <c r="J236" s="5400"/>
      <c r="K236" s="1"/>
      <c r="L236" s="1"/>
      <c r="M236" s="1"/>
    </row>
    <row r="237" spans="2:13">
      <c r="B237" s="1"/>
      <c r="C237" s="1" t="s">
        <v>25</v>
      </c>
      <c r="D237" s="1">
        <v>2767</v>
      </c>
      <c r="E237" s="1">
        <v>3727</v>
      </c>
      <c r="F237" s="1">
        <v>1934307</v>
      </c>
      <c r="G237" s="1">
        <v>10077739.470000001</v>
      </c>
      <c r="H237" s="5400"/>
      <c r="I237" s="1">
        <v>2708029.8</v>
      </c>
      <c r="J237" s="5400"/>
      <c r="K237" s="1"/>
      <c r="L237" s="1">
        <v>1276478.18</v>
      </c>
      <c r="M237" s="1">
        <v>0.6596663731320761</v>
      </c>
    </row>
    <row r="238" spans="2:13">
      <c r="B238" s="1"/>
      <c r="C238" s="1" t="s">
        <v>26</v>
      </c>
      <c r="D238" s="1">
        <v>164</v>
      </c>
      <c r="E238" s="1">
        <v>2334</v>
      </c>
      <c r="F238" s="1">
        <v>2291356</v>
      </c>
      <c r="G238" s="1">
        <v>16681071.68</v>
      </c>
      <c r="H238" s="5401"/>
      <c r="I238" s="1">
        <v>4491057.76</v>
      </c>
      <c r="J238" s="5401"/>
      <c r="K238" s="1"/>
      <c r="L238" s="1">
        <v>2112958.4300000002</v>
      </c>
      <c r="M238" s="1">
        <v>0.92034580507014674</v>
      </c>
    </row>
    <row r="239" spans="2:13">
      <c r="B239" s="1" t="s">
        <v>31</v>
      </c>
      <c r="C239" s="1" t="s">
        <v>28</v>
      </c>
      <c r="D239" s="1">
        <v>9</v>
      </c>
      <c r="E239" s="1">
        <v>1215</v>
      </c>
      <c r="F239" s="1">
        <v>4709403</v>
      </c>
      <c r="G239" s="1">
        <v>30705307.559999999</v>
      </c>
      <c r="H239" s="1">
        <v>5274602.09</v>
      </c>
      <c r="I239" s="1">
        <v>8241455.25</v>
      </c>
      <c r="J239" s="1">
        <v>44221364.899999999</v>
      </c>
      <c r="K239" s="1">
        <v>9.3900150188888052</v>
      </c>
      <c r="L239" s="1">
        <v>3908804.49</v>
      </c>
      <c r="M239" s="1">
        <v>0.83000000000000007</v>
      </c>
    </row>
    <row r="240" spans="2:13">
      <c r="B240" s="1" t="s">
        <v>32</v>
      </c>
      <c r="C240" s="1" t="s">
        <v>28</v>
      </c>
      <c r="D240" s="1">
        <v>0</v>
      </c>
      <c r="E240" s="1">
        <v>129</v>
      </c>
      <c r="F240" s="1">
        <v>4224548</v>
      </c>
      <c r="G240" s="1">
        <v>26994861.719999999</v>
      </c>
      <c r="H240" s="1">
        <v>2743031.8</v>
      </c>
      <c r="I240" s="1">
        <v>7266222.5599999996</v>
      </c>
      <c r="J240" s="1">
        <v>37004116.079999998</v>
      </c>
      <c r="K240" s="1">
        <v>8.7593077602621623</v>
      </c>
      <c r="L240" s="1">
        <v>3421883.88</v>
      </c>
      <c r="M240" s="1">
        <v>0.80999999999999994</v>
      </c>
    </row>
    <row r="241" spans="2:13">
      <c r="B241" s="1" t="s">
        <v>33</v>
      </c>
      <c r="C241" s="1" t="s">
        <v>28</v>
      </c>
      <c r="D241" s="1">
        <v>829</v>
      </c>
      <c r="E241" s="1">
        <v>162</v>
      </c>
      <c r="F241" s="1">
        <v>247902</v>
      </c>
      <c r="G241" s="1">
        <v>2912950</v>
      </c>
      <c r="H241" s="1">
        <v>792197.16</v>
      </c>
      <c r="I241" s="1">
        <v>784286.72000000009</v>
      </c>
      <c r="J241" s="1">
        <v>4489433.88</v>
      </c>
      <c r="K241" s="1">
        <v>18.109712224992133</v>
      </c>
      <c r="L241" s="1">
        <v>366716.69</v>
      </c>
      <c r="M241" s="1">
        <v>1.479280885188502</v>
      </c>
    </row>
    <row r="242" spans="2:13">
      <c r="B242" s="1" t="s">
        <v>34</v>
      </c>
      <c r="C242" s="1" t="s">
        <v>28</v>
      </c>
      <c r="D242" s="1"/>
      <c r="E242" s="1"/>
      <c r="F242" s="1">
        <v>1955982.03</v>
      </c>
      <c r="G242" s="1">
        <v>11070858.289800001</v>
      </c>
      <c r="H242" s="1">
        <v>1773313.15</v>
      </c>
      <c r="I242" s="1">
        <v>2973092.6856</v>
      </c>
      <c r="J242" s="1">
        <v>15817264.125400001</v>
      </c>
      <c r="K242" s="1">
        <v>8.0866101440614973</v>
      </c>
      <c r="L242" s="1">
        <v>1408307.06</v>
      </c>
      <c r="M242" s="1">
        <v>0.71999999918199664</v>
      </c>
    </row>
    <row r="243" spans="2:13">
      <c r="B243" s="1" t="s">
        <v>35</v>
      </c>
      <c r="C243" s="1" t="s">
        <v>28</v>
      </c>
      <c r="D243" s="1">
        <v>558</v>
      </c>
      <c r="E243" s="1">
        <v>131</v>
      </c>
      <c r="F243" s="1">
        <v>332245</v>
      </c>
      <c r="G243" s="1">
        <v>1880554.22</v>
      </c>
      <c r="H243" s="1">
        <v>215463.58</v>
      </c>
      <c r="I243" s="1">
        <v>505213.04</v>
      </c>
      <c r="J243" s="1">
        <v>2601230.84</v>
      </c>
      <c r="K243" s="1">
        <v>7.8292550376980836</v>
      </c>
      <c r="L243" s="1">
        <v>238422.23</v>
      </c>
      <c r="M243" s="1">
        <v>0.71760968562356098</v>
      </c>
    </row>
    <row r="244" spans="2:13">
      <c r="B244" s="1" t="s">
        <v>36</v>
      </c>
      <c r="C244" s="1" t="s">
        <v>28</v>
      </c>
      <c r="D244" s="1">
        <v>1</v>
      </c>
      <c r="E244" s="1">
        <v>3</v>
      </c>
      <c r="F244" s="1">
        <v>35011</v>
      </c>
      <c r="G244" s="1">
        <v>103426.69</v>
      </c>
      <c r="H244" s="1">
        <v>7078</v>
      </c>
      <c r="I244" s="1">
        <v>8345.91</v>
      </c>
      <c r="J244" s="1">
        <v>118850.6</v>
      </c>
      <c r="K244" s="1">
        <v>3.3946645340035992</v>
      </c>
      <c r="L244" s="1">
        <v>19922.8</v>
      </c>
      <c r="M244" s="1">
        <v>0.56904401473822508</v>
      </c>
    </row>
    <row r="245" spans="2:13">
      <c r="B245" s="1" t="s">
        <v>37</v>
      </c>
      <c r="C245" s="1" t="s">
        <v>28</v>
      </c>
      <c r="D245" s="1">
        <v>124</v>
      </c>
      <c r="E245" s="1">
        <v>1398</v>
      </c>
      <c r="F245" s="1">
        <v>3990562</v>
      </c>
      <c r="G245" s="1">
        <v>37267361.82</v>
      </c>
      <c r="H245" s="1">
        <v>2172656.66</v>
      </c>
      <c r="I245" s="1">
        <v>9289623.6399999987</v>
      </c>
      <c r="J245" s="1">
        <v>48729642.120000005</v>
      </c>
      <c r="K245" s="1">
        <v>12.211222910457225</v>
      </c>
      <c r="L245" s="1">
        <v>5074694.92</v>
      </c>
      <c r="M245" s="1">
        <v>1.2716742453819787</v>
      </c>
    </row>
    <row r="246" spans="2:13">
      <c r="B246" s="1" t="s">
        <v>38</v>
      </c>
      <c r="C246" s="1" t="s">
        <v>28</v>
      </c>
      <c r="D246" s="1">
        <v>7</v>
      </c>
      <c r="E246" s="1">
        <v>15</v>
      </c>
      <c r="F246" s="1">
        <v>112704</v>
      </c>
      <c r="G246" s="1">
        <v>349382.40000000002</v>
      </c>
      <c r="H246" s="1">
        <v>3300</v>
      </c>
      <c r="I246" s="1">
        <v>93544.319999999992</v>
      </c>
      <c r="J246" s="1">
        <v>446226.72000000003</v>
      </c>
      <c r="K246" s="1">
        <v>3.9592802385008521</v>
      </c>
      <c r="L246" s="1">
        <v>43954.559999999998</v>
      </c>
      <c r="M246" s="1">
        <v>0.38999999999999996</v>
      </c>
    </row>
    <row r="247" spans="2:13">
      <c r="B247" s="1" t="s">
        <v>39</v>
      </c>
      <c r="C247" s="1" t="s">
        <v>28</v>
      </c>
      <c r="D247" s="1">
        <v>0</v>
      </c>
      <c r="E247" s="1">
        <v>0</v>
      </c>
      <c r="F247" s="1">
        <v>1260549</v>
      </c>
      <c r="G247" s="1">
        <v>8571733.1999999993</v>
      </c>
      <c r="H247" s="1">
        <v>433116.67</v>
      </c>
      <c r="I247" s="1">
        <v>2306804.67</v>
      </c>
      <c r="J247" s="1">
        <v>11311654.539999999</v>
      </c>
      <c r="K247" s="1">
        <v>8.9735936802139378</v>
      </c>
      <c r="L247" s="1">
        <v>1201794.6200000001</v>
      </c>
      <c r="M247" s="1">
        <v>0.95338984839145491</v>
      </c>
    </row>
    <row r="248" spans="2:13">
      <c r="B248" s="1" t="s">
        <v>40</v>
      </c>
      <c r="C248" s="1" t="s">
        <v>28</v>
      </c>
      <c r="D248" s="1">
        <v>0</v>
      </c>
      <c r="E248" s="1">
        <v>0</v>
      </c>
      <c r="F248" s="1">
        <v>4391810</v>
      </c>
      <c r="G248" s="1">
        <v>29864308</v>
      </c>
      <c r="H248" s="1">
        <v>3412574.82</v>
      </c>
      <c r="I248" s="1">
        <v>8037012.3000000007</v>
      </c>
      <c r="J248" s="1">
        <v>41313895.120000005</v>
      </c>
      <c r="K248" s="1">
        <v>9.4070315245878131</v>
      </c>
      <c r="L248" s="1">
        <v>3776177.44</v>
      </c>
      <c r="M248" s="1">
        <v>0.85982258795348609</v>
      </c>
    </row>
    <row r="249" spans="2:13">
      <c r="B249" s="1" t="s">
        <v>41</v>
      </c>
      <c r="C249" s="1" t="s">
        <v>28</v>
      </c>
      <c r="D249" s="1">
        <v>1</v>
      </c>
      <c r="E249" s="1">
        <v>39</v>
      </c>
      <c r="F249" s="1">
        <v>15860574</v>
      </c>
      <c r="G249" s="1">
        <v>93577386.600000009</v>
      </c>
      <c r="H249" s="1">
        <v>9387642.5</v>
      </c>
      <c r="I249" s="1">
        <v>25218312.66</v>
      </c>
      <c r="J249" s="1">
        <v>128183341.76000001</v>
      </c>
      <c r="K249" s="1">
        <v>8.0818854197836725</v>
      </c>
      <c r="L249" s="1">
        <v>11895430.5</v>
      </c>
      <c r="M249" s="1">
        <v>0.75</v>
      </c>
    </row>
    <row r="250" spans="2:13">
      <c r="B250" s="1" t="s">
        <v>42</v>
      </c>
      <c r="C250" s="1" t="s">
        <v>28</v>
      </c>
      <c r="D250" s="1">
        <v>2</v>
      </c>
      <c r="E250" s="1">
        <v>100</v>
      </c>
      <c r="F250" s="1">
        <v>32757904</v>
      </c>
      <c r="G250" s="1">
        <v>208012690.39999998</v>
      </c>
      <c r="H250" s="1">
        <v>18269465.16</v>
      </c>
      <c r="I250" s="1">
        <v>56016015.839999996</v>
      </c>
      <c r="J250" s="1">
        <v>282298171.39999998</v>
      </c>
      <c r="K250" s="1">
        <v>8.6177116643360332</v>
      </c>
      <c r="L250" s="1">
        <v>26533902.239999998</v>
      </c>
      <c r="M250" s="1">
        <v>0.80999999999999994</v>
      </c>
    </row>
    <row r="251" spans="2:13">
      <c r="B251" s="1" t="s">
        <v>43</v>
      </c>
      <c r="C251" s="1" t="s">
        <v>28</v>
      </c>
      <c r="D251" s="1">
        <v>0</v>
      </c>
      <c r="E251" s="1">
        <v>9</v>
      </c>
      <c r="F251" s="1">
        <v>2815059</v>
      </c>
      <c r="G251" s="1">
        <v>9571200.5999999996</v>
      </c>
      <c r="H251" s="1">
        <v>1364497.77</v>
      </c>
      <c r="I251" s="1">
        <v>2561703.69</v>
      </c>
      <c r="J251" s="1">
        <v>13497402.059999999</v>
      </c>
      <c r="K251" s="1">
        <v>4.7947137377937725</v>
      </c>
      <c r="L251" s="1">
        <v>1210475.3700000001</v>
      </c>
      <c r="M251" s="1">
        <v>0.43000000000000005</v>
      </c>
    </row>
    <row r="252" spans="2:13">
      <c r="B252" s="1" t="s">
        <v>44</v>
      </c>
      <c r="C252" s="1" t="s">
        <v>28</v>
      </c>
      <c r="D252" s="1">
        <v>0</v>
      </c>
      <c r="E252" s="1">
        <v>3</v>
      </c>
      <c r="F252" s="1">
        <v>301329</v>
      </c>
      <c r="G252" s="1">
        <v>2606495.85</v>
      </c>
      <c r="H252" s="1">
        <v>750</v>
      </c>
      <c r="I252" s="1">
        <v>702096.57000000007</v>
      </c>
      <c r="J252" s="1">
        <v>3309342.42</v>
      </c>
      <c r="K252" s="1">
        <v>10.982488973845863</v>
      </c>
      <c r="L252" s="1">
        <v>331461.90000000002</v>
      </c>
      <c r="M252" s="1">
        <v>1.1000000000000001</v>
      </c>
    </row>
    <row r="253" spans="2:13">
      <c r="B253" s="1" t="s">
        <v>45</v>
      </c>
      <c r="C253" s="1" t="s">
        <v>28</v>
      </c>
      <c r="D253" s="1">
        <v>0</v>
      </c>
      <c r="E253" s="1">
        <v>0</v>
      </c>
      <c r="F253" s="1">
        <v>4235138</v>
      </c>
      <c r="G253" s="1">
        <v>23716772.799999997</v>
      </c>
      <c r="H253" s="1">
        <v>1647848</v>
      </c>
      <c r="I253" s="1">
        <v>6395058.3799999999</v>
      </c>
      <c r="J253" s="1">
        <v>31759679.179999996</v>
      </c>
      <c r="K253" s="1">
        <v>7.4990895644958906</v>
      </c>
      <c r="L253" s="1">
        <v>3006947.98</v>
      </c>
      <c r="M253" s="1">
        <v>0.71</v>
      </c>
    </row>
    <row r="254" spans="2:13">
      <c r="B254" s="1" t="s">
        <v>46</v>
      </c>
      <c r="C254" s="1"/>
      <c r="D254" s="1"/>
      <c r="E254" s="1"/>
      <c r="F254" s="1"/>
      <c r="G254" s="1">
        <v>-8293410.21</v>
      </c>
      <c r="H254" s="1">
        <v>560394.85</v>
      </c>
      <c r="I254" s="1">
        <v>0</v>
      </c>
      <c r="J254" s="1">
        <v>-7733015.3600000003</v>
      </c>
      <c r="K254" s="1"/>
      <c r="L254" s="1">
        <v>-727383.16</v>
      </c>
      <c r="M254" s="1"/>
    </row>
    <row r="255" spans="2:13">
      <c r="B255" s="1" t="s">
        <v>47</v>
      </c>
      <c r="C255" s="1"/>
      <c r="D255" s="1">
        <v>895253</v>
      </c>
      <c r="E255" s="1">
        <v>143008</v>
      </c>
      <c r="F255" s="1">
        <v>393490422.02999997</v>
      </c>
      <c r="G255" s="1">
        <v>2238102972.9397998</v>
      </c>
      <c r="H255" s="1">
        <v>234350519.32999998</v>
      </c>
      <c r="I255" s="1">
        <v>603996926.68560028</v>
      </c>
      <c r="J255" s="1">
        <v>3076450418.9554</v>
      </c>
      <c r="K255" s="1">
        <v>7.8183616340243454</v>
      </c>
      <c r="L255" s="1">
        <v>284991366.64999998</v>
      </c>
      <c r="M255" s="1">
        <v>0.72426506642713673</v>
      </c>
    </row>
    <row r="256" spans="2:13">
      <c r="B256" s="1"/>
      <c r="C256" s="1"/>
      <c r="D256" s="1"/>
      <c r="E256" s="1"/>
      <c r="F256" s="1"/>
      <c r="G256" s="1"/>
      <c r="H256" s="1"/>
      <c r="I256" s="1" t="s">
        <v>48</v>
      </c>
      <c r="J256" s="1">
        <v>14464655.050000001</v>
      </c>
      <c r="K256" s="1"/>
      <c r="L256" s="1"/>
      <c r="M256" s="1"/>
    </row>
    <row r="257" spans="2:13">
      <c r="B257" s="1"/>
      <c r="C257" s="1"/>
      <c r="D257" s="1"/>
      <c r="E257" s="1"/>
      <c r="F257" s="1"/>
      <c r="G257" s="1"/>
      <c r="H257" s="1"/>
      <c r="I257" s="1" t="s">
        <v>49</v>
      </c>
      <c r="J257" s="1">
        <v>284991366.64999998</v>
      </c>
      <c r="K257" s="1"/>
      <c r="L257" s="1">
        <v>0</v>
      </c>
      <c r="M257" s="1"/>
    </row>
    <row r="258" spans="2:13">
      <c r="B258" s="1"/>
      <c r="C258" s="1"/>
      <c r="D258" s="1"/>
      <c r="E258" s="1"/>
      <c r="F258" s="1"/>
      <c r="G258" s="1"/>
      <c r="H258" s="1"/>
      <c r="I258" s="1" t="s">
        <v>50</v>
      </c>
      <c r="J258" s="1">
        <v>-67163.48</v>
      </c>
      <c r="K258" s="1"/>
      <c r="L258" s="1"/>
      <c r="M258" s="1"/>
    </row>
    <row r="259" spans="2:13">
      <c r="B259" s="1"/>
      <c r="C259" s="1"/>
      <c r="D259" s="1"/>
      <c r="E259" s="1"/>
      <c r="F259" s="1"/>
      <c r="G259" s="1"/>
      <c r="H259" s="1"/>
      <c r="I259" s="1" t="s">
        <v>51</v>
      </c>
      <c r="J259" s="1">
        <v>14201383.199999999</v>
      </c>
      <c r="K259" s="1"/>
      <c r="L259" s="1"/>
      <c r="M259" s="1"/>
    </row>
    <row r="260" spans="2:13">
      <c r="B260" s="1"/>
      <c r="C260" s="1"/>
      <c r="D260" s="1"/>
      <c r="E260" s="1"/>
      <c r="F260" s="1"/>
      <c r="G260" s="1"/>
      <c r="H260" s="1"/>
      <c r="I260" s="1" t="s">
        <v>52</v>
      </c>
      <c r="J260" s="1">
        <v>8973891.7200000007</v>
      </c>
      <c r="K260" s="1"/>
      <c r="L260" s="1"/>
      <c r="M260" s="1"/>
    </row>
    <row r="261" spans="2:13">
      <c r="B261" s="1"/>
      <c r="C261" s="1"/>
      <c r="D261" s="1"/>
      <c r="E261" s="1"/>
      <c r="F261" s="1"/>
      <c r="G261" s="1"/>
      <c r="H261" s="1"/>
      <c r="I261" s="1" t="s">
        <v>47</v>
      </c>
      <c r="J261" s="1">
        <v>3399014552.0953999</v>
      </c>
      <c r="K261" s="1"/>
      <c r="L261" s="1"/>
      <c r="M261" s="1"/>
    </row>
    <row r="262" spans="2:13">
      <c r="B262" s="1"/>
      <c r="C262" s="1"/>
      <c r="D262" s="1"/>
      <c r="E262" s="1"/>
      <c r="F262" s="1"/>
      <c r="G262" s="1"/>
      <c r="H262" s="1"/>
      <c r="I262" s="1" t="s">
        <v>53</v>
      </c>
      <c r="J262" s="1">
        <v>-9359181.7100000009</v>
      </c>
      <c r="K262" s="1"/>
      <c r="L262" s="1"/>
      <c r="M262" s="1"/>
    </row>
    <row r="263" spans="2:13">
      <c r="B263" s="1"/>
      <c r="C263" s="1"/>
      <c r="D263" s="1"/>
      <c r="E263" s="1"/>
      <c r="F263" s="1"/>
      <c r="G263" s="1"/>
      <c r="H263" s="1"/>
      <c r="I263" s="1" t="s">
        <v>54</v>
      </c>
      <c r="J263" s="1">
        <v>-59444477.700000003</v>
      </c>
      <c r="K263" s="1"/>
      <c r="L263" s="1"/>
      <c r="M263" s="1"/>
    </row>
    <row r="264" spans="2:13">
      <c r="B264" s="1"/>
      <c r="C264" s="1"/>
      <c r="D264" s="1"/>
      <c r="E264" s="1"/>
      <c r="F264" s="1"/>
      <c r="G264" s="1"/>
      <c r="H264" s="1"/>
      <c r="I264" s="1" t="s">
        <v>55</v>
      </c>
      <c r="J264" s="1">
        <v>-288751.46999999997</v>
      </c>
      <c r="K264" s="1"/>
      <c r="L264" s="1"/>
      <c r="M264" s="1"/>
    </row>
    <row r="265" spans="2:13">
      <c r="B265" s="1"/>
      <c r="C265" s="1"/>
      <c r="D265" s="1"/>
      <c r="E265" s="1"/>
      <c r="F265" s="1"/>
      <c r="G265" s="1"/>
      <c r="H265" s="1"/>
      <c r="I265" s="1" t="s">
        <v>56</v>
      </c>
      <c r="J265" s="1">
        <v>0</v>
      </c>
      <c r="K265" s="1"/>
      <c r="L265" s="1"/>
      <c r="M265" s="1"/>
    </row>
    <row r="266" spans="2:13">
      <c r="B266" s="1"/>
      <c r="C266" s="1"/>
      <c r="D266" s="1"/>
      <c r="E266" s="1"/>
      <c r="F266" s="1"/>
      <c r="G266" s="1"/>
      <c r="H266" s="1"/>
      <c r="I266" s="1" t="s">
        <v>57</v>
      </c>
      <c r="J266" s="1">
        <v>3329922141.2154002</v>
      </c>
      <c r="K266" s="1"/>
      <c r="L266" s="1"/>
      <c r="M266" s="1"/>
    </row>
    <row r="267" spans="2:13">
      <c r="B267" s="1"/>
      <c r="C267" s="1"/>
      <c r="D267" s="1"/>
      <c r="E267" s="1"/>
      <c r="F267" s="1"/>
      <c r="G267" s="1"/>
      <c r="H267" s="1"/>
      <c r="I267" s="1" t="s">
        <v>58</v>
      </c>
      <c r="J267" s="1">
        <v>8.6381125481022671</v>
      </c>
      <c r="K267" s="1"/>
      <c r="L267" s="1"/>
      <c r="M267" s="1"/>
    </row>
    <row r="268" spans="2:13">
      <c r="B268" s="1"/>
      <c r="C268" s="1"/>
      <c r="D268" s="1"/>
      <c r="E268" s="1"/>
      <c r="F268" s="1"/>
      <c r="G268" s="1"/>
      <c r="H268" s="1"/>
      <c r="I268" s="1" t="s">
        <v>59</v>
      </c>
      <c r="J268" s="1">
        <v>47071509.430000007</v>
      </c>
      <c r="K268" s="1"/>
      <c r="L268" s="1"/>
      <c r="M268" s="1"/>
    </row>
    <row r="269" spans="2:13">
      <c r="B269" s="1"/>
      <c r="C269" s="1"/>
      <c r="D269" s="1"/>
      <c r="E269" s="1"/>
      <c r="F269" s="1"/>
      <c r="G269" s="1"/>
      <c r="H269" s="1"/>
      <c r="I269" s="1" t="s">
        <v>60</v>
      </c>
      <c r="J269" s="1">
        <v>3446086061.5253997</v>
      </c>
      <c r="K269" s="1"/>
      <c r="L269" s="1"/>
      <c r="M269" s="1"/>
    </row>
    <row r="270" spans="2:13">
      <c r="B270" s="1"/>
      <c r="C270" s="1"/>
      <c r="D270" s="1"/>
      <c r="E270" s="1"/>
      <c r="F270" s="1"/>
      <c r="G270" s="1"/>
      <c r="H270" s="1"/>
      <c r="I270" s="1" t="s">
        <v>58</v>
      </c>
      <c r="J270" s="1"/>
      <c r="K270" s="1"/>
      <c r="L270" s="1"/>
      <c r="M270" s="1"/>
    </row>
    <row r="271" spans="2:13">
      <c r="B271" s="1"/>
      <c r="C271" s="1"/>
      <c r="D271" s="1"/>
      <c r="E271" s="1"/>
      <c r="F271" s="1"/>
      <c r="G271" s="1"/>
      <c r="H271" s="1"/>
      <c r="I271" s="1"/>
      <c r="J271" s="1">
        <v>8.7577381013423192</v>
      </c>
      <c r="K271" s="1"/>
      <c r="L271" s="1"/>
      <c r="M271" s="1"/>
    </row>
    <row r="272" spans="2:13" ht="15.75" thickBot="1"/>
    <row r="273" spans="2:13">
      <c r="B273" s="5402" t="s">
        <v>72</v>
      </c>
      <c r="C273" s="5403"/>
      <c r="D273" s="5403"/>
      <c r="E273" s="5403"/>
      <c r="F273" s="5403"/>
      <c r="G273" s="5404"/>
    </row>
    <row r="274" spans="2:13" ht="30">
      <c r="B274" s="7" t="s">
        <v>1</v>
      </c>
      <c r="C274" s="7" t="s">
        <v>2</v>
      </c>
      <c r="D274" s="7" t="s">
        <v>62</v>
      </c>
      <c r="E274" s="7"/>
      <c r="F274" s="7" t="s">
        <v>4</v>
      </c>
      <c r="G274" s="7" t="s">
        <v>5</v>
      </c>
      <c r="H274" s="7" t="s">
        <v>6</v>
      </c>
      <c r="I274" s="7" t="s">
        <v>7</v>
      </c>
      <c r="J274" s="7" t="s">
        <v>8</v>
      </c>
      <c r="K274" s="7" t="s">
        <v>9</v>
      </c>
      <c r="L274" s="7" t="s">
        <v>73</v>
      </c>
      <c r="M274" s="7" t="s">
        <v>11</v>
      </c>
    </row>
    <row r="275" spans="2:13">
      <c r="B275" s="1"/>
      <c r="C275" s="1"/>
      <c r="D275" s="2" t="s">
        <v>12</v>
      </c>
      <c r="E275" s="2" t="s">
        <v>13</v>
      </c>
      <c r="F275" s="1"/>
      <c r="G275" s="1"/>
      <c r="H275" s="1"/>
      <c r="I275" s="1"/>
      <c r="J275" s="1"/>
      <c r="K275" s="1"/>
      <c r="L275" s="1"/>
      <c r="M275" s="1"/>
    </row>
    <row r="276" spans="2:13">
      <c r="B276" s="1" t="s">
        <v>14</v>
      </c>
      <c r="C276" s="1" t="s">
        <v>15</v>
      </c>
      <c r="D276" s="1">
        <v>583</v>
      </c>
      <c r="E276" s="1">
        <v>0</v>
      </c>
      <c r="F276" s="1">
        <v>47620</v>
      </c>
      <c r="G276" s="1">
        <v>20988.560000000001</v>
      </c>
      <c r="H276" s="1">
        <v>1731.2</v>
      </c>
      <c r="I276" s="1">
        <v>5821.6799999999994</v>
      </c>
      <c r="J276" s="1">
        <v>28541.440000000002</v>
      </c>
      <c r="K276" s="1">
        <v>0.59935825283494337</v>
      </c>
      <c r="L276" s="1">
        <v>5482.87</v>
      </c>
      <c r="M276" s="1">
        <v>0.11513796724065518</v>
      </c>
    </row>
    <row r="277" spans="2:13">
      <c r="B277" s="1" t="s">
        <v>16</v>
      </c>
      <c r="C277" s="1" t="s">
        <v>17</v>
      </c>
      <c r="D277" s="1">
        <v>234579</v>
      </c>
      <c r="E277" s="1">
        <v>13359</v>
      </c>
      <c r="F277" s="1">
        <v>58426187</v>
      </c>
      <c r="G277" s="1">
        <v>120395645.44000001</v>
      </c>
      <c r="H277" s="5399">
        <v>62378283.969999999</v>
      </c>
      <c r="I277" s="1">
        <v>32175059.950000003</v>
      </c>
      <c r="J277" s="5399">
        <v>839735494.20999992</v>
      </c>
      <c r="K277" s="1">
        <v>5.3430146393431128</v>
      </c>
      <c r="L277" s="1"/>
      <c r="M277" s="1">
        <v>0</v>
      </c>
    </row>
    <row r="278" spans="2:13">
      <c r="B278" s="1"/>
      <c r="C278" s="1" t="s">
        <v>18</v>
      </c>
      <c r="D278" s="1">
        <v>355145</v>
      </c>
      <c r="E278" s="1">
        <v>19730</v>
      </c>
      <c r="F278" s="1">
        <v>53137134</v>
      </c>
      <c r="G278" s="1">
        <v>202480716.18000001</v>
      </c>
      <c r="H278" s="5400"/>
      <c r="I278" s="1">
        <v>54788272.940000005</v>
      </c>
      <c r="J278" s="5400"/>
      <c r="K278" s="1"/>
      <c r="L278" s="1"/>
      <c r="M278" s="1">
        <v>0</v>
      </c>
    </row>
    <row r="279" spans="2:13">
      <c r="B279" s="1"/>
      <c r="C279" s="1" t="s">
        <v>19</v>
      </c>
      <c r="D279" s="1">
        <v>58942</v>
      </c>
      <c r="E279" s="1">
        <v>17391</v>
      </c>
      <c r="F279" s="1">
        <v>15590584</v>
      </c>
      <c r="G279" s="1">
        <v>83566664.660000011</v>
      </c>
      <c r="H279" s="5400"/>
      <c r="I279" s="1">
        <v>22477667.039999999</v>
      </c>
      <c r="J279" s="5400"/>
      <c r="K279" s="1"/>
      <c r="L279" s="1"/>
      <c r="M279" s="1">
        <v>0</v>
      </c>
    </row>
    <row r="280" spans="2:13">
      <c r="B280" s="1"/>
      <c r="C280" s="1" t="s">
        <v>20</v>
      </c>
      <c r="D280" s="1">
        <v>18176</v>
      </c>
      <c r="E280" s="1">
        <v>31870</v>
      </c>
      <c r="F280" s="1">
        <v>30011207</v>
      </c>
      <c r="G280" s="1">
        <v>205879253.97999999</v>
      </c>
      <c r="H280" s="5401"/>
      <c r="I280" s="1">
        <v>55593930.050000004</v>
      </c>
      <c r="J280" s="5401"/>
      <c r="K280" s="1"/>
      <c r="L280" s="1"/>
      <c r="M280" s="1">
        <v>0</v>
      </c>
    </row>
    <row r="281" spans="2:13">
      <c r="B281" s="1" t="s">
        <v>21</v>
      </c>
      <c r="C281" s="1" t="s">
        <v>22</v>
      </c>
      <c r="D281" s="1">
        <v>177433</v>
      </c>
      <c r="E281" s="1">
        <v>14303</v>
      </c>
      <c r="F281" s="1">
        <v>-34901</v>
      </c>
      <c r="G281" s="1">
        <v>-139604</v>
      </c>
      <c r="H281" s="5399">
        <v>63053358.520000003</v>
      </c>
      <c r="I281" s="1"/>
      <c r="J281" s="5399">
        <v>722019050.79999995</v>
      </c>
      <c r="K281" s="1">
        <v>9.1716572223954884</v>
      </c>
      <c r="L281" s="1"/>
      <c r="M281" s="1"/>
    </row>
    <row r="282" spans="2:13">
      <c r="B282" s="1"/>
      <c r="C282" s="1" t="s">
        <v>19</v>
      </c>
      <c r="D282" s="1">
        <v>23121</v>
      </c>
      <c r="E282" s="1">
        <v>5193</v>
      </c>
      <c r="F282" s="1">
        <v>-10268</v>
      </c>
      <c r="G282" s="1">
        <v>-61608</v>
      </c>
      <c r="H282" s="5400"/>
      <c r="I282" s="1"/>
      <c r="J282" s="5400"/>
      <c r="K282" s="1"/>
      <c r="L282" s="1"/>
      <c r="M282" s="1"/>
    </row>
    <row r="283" spans="2:13">
      <c r="B283" s="1"/>
      <c r="C283" s="1" t="s">
        <v>23</v>
      </c>
      <c r="D283" s="1">
        <v>15068</v>
      </c>
      <c r="E283" s="1">
        <v>9518</v>
      </c>
      <c r="F283" s="1">
        <v>-13181</v>
      </c>
      <c r="G283" s="1">
        <v>-90948.900000000009</v>
      </c>
      <c r="H283" s="5400"/>
      <c r="I283" s="1"/>
      <c r="J283" s="5400"/>
      <c r="K283" s="1"/>
      <c r="L283" s="1"/>
      <c r="M283" s="1"/>
    </row>
    <row r="284" spans="2:13">
      <c r="B284" s="1"/>
      <c r="C284" s="1" t="s">
        <v>24</v>
      </c>
      <c r="D284" s="1">
        <v>3270</v>
      </c>
      <c r="E284" s="1">
        <v>14096</v>
      </c>
      <c r="F284" s="1">
        <v>-32250</v>
      </c>
      <c r="G284" s="1">
        <v>-245100</v>
      </c>
      <c r="H284" s="5400"/>
      <c r="I284" s="1"/>
      <c r="J284" s="5400"/>
      <c r="K284" s="1"/>
      <c r="L284" s="1"/>
      <c r="M284" s="1"/>
    </row>
    <row r="285" spans="2:13">
      <c r="B285" s="1"/>
      <c r="C285" s="1" t="s">
        <v>25</v>
      </c>
      <c r="D285" s="1">
        <v>200554</v>
      </c>
      <c r="E285" s="1">
        <v>19496</v>
      </c>
      <c r="F285" s="1">
        <v>46451021</v>
      </c>
      <c r="G285" s="1">
        <v>255480615.5</v>
      </c>
      <c r="H285" s="5400"/>
      <c r="I285" s="1">
        <v>68747511.079999998</v>
      </c>
      <c r="J285" s="5400"/>
      <c r="K285" s="1"/>
      <c r="L285" s="1"/>
      <c r="M285" s="1">
        <v>0</v>
      </c>
    </row>
    <row r="286" spans="2:13">
      <c r="B286" s="1"/>
      <c r="C286" s="1" t="s">
        <v>26</v>
      </c>
      <c r="D286" s="1">
        <v>18338</v>
      </c>
      <c r="E286" s="1">
        <v>23614</v>
      </c>
      <c r="F286" s="1">
        <v>32362435</v>
      </c>
      <c r="G286" s="1">
        <v>264077469.59999999</v>
      </c>
      <c r="H286" s="5401"/>
      <c r="I286" s="1">
        <v>71197357</v>
      </c>
      <c r="J286" s="5401"/>
      <c r="K286" s="1"/>
      <c r="L286" s="1"/>
      <c r="M286" s="1">
        <v>0</v>
      </c>
    </row>
    <row r="287" spans="2:13">
      <c r="B287" s="1" t="s">
        <v>27</v>
      </c>
      <c r="C287" s="1" t="s">
        <v>28</v>
      </c>
      <c r="D287" s="1">
        <v>70</v>
      </c>
      <c r="E287" s="1">
        <v>5955</v>
      </c>
      <c r="F287" s="1">
        <v>21820229</v>
      </c>
      <c r="G287" s="1">
        <v>174561806.09999999</v>
      </c>
      <c r="H287" s="1">
        <v>21944565.91</v>
      </c>
      <c r="I287" s="1">
        <v>46913412.799999997</v>
      </c>
      <c r="J287" s="1">
        <v>243419784.81</v>
      </c>
      <c r="K287" s="1">
        <v>11.155693407708966</v>
      </c>
      <c r="L287" s="1">
        <v>44290732.479999997</v>
      </c>
      <c r="M287" s="1">
        <v>2.02980145075471</v>
      </c>
    </row>
    <row r="288" spans="2:13">
      <c r="B288" s="1" t="s">
        <v>29</v>
      </c>
      <c r="C288" s="1" t="s">
        <v>28</v>
      </c>
      <c r="D288" s="1">
        <v>1</v>
      </c>
      <c r="E288" s="1">
        <v>2629</v>
      </c>
      <c r="F288" s="1">
        <v>42880984</v>
      </c>
      <c r="G288" s="1">
        <v>346907160.56</v>
      </c>
      <c r="H288" s="1">
        <v>34761261.079999998</v>
      </c>
      <c r="I288" s="1">
        <v>93480545.120000005</v>
      </c>
      <c r="J288" s="1">
        <v>475148966.75999999</v>
      </c>
      <c r="K288" s="1">
        <v>11.080645135382154</v>
      </c>
      <c r="L288" s="1">
        <v>87863113.959999993</v>
      </c>
      <c r="M288" s="1">
        <v>2.0489994809820593</v>
      </c>
    </row>
    <row r="289" spans="2:13">
      <c r="B289" s="1" t="s">
        <v>30</v>
      </c>
      <c r="C289" s="1" t="s">
        <v>22</v>
      </c>
      <c r="D289" s="1">
        <v>2531</v>
      </c>
      <c r="E289" s="1">
        <v>2967</v>
      </c>
      <c r="F289" s="1">
        <v>-627</v>
      </c>
      <c r="G289" s="1">
        <v>-2319.9</v>
      </c>
      <c r="H289" s="5399">
        <v>3048159.95</v>
      </c>
      <c r="I289" s="1"/>
      <c r="J289" s="5399">
        <v>36704027.910000004</v>
      </c>
      <c r="K289" s="1">
        <v>8.7655680205077466</v>
      </c>
      <c r="L289" s="1"/>
      <c r="M289" s="1"/>
    </row>
    <row r="290" spans="2:13">
      <c r="B290" s="1"/>
      <c r="C290" s="1" t="s">
        <v>19</v>
      </c>
      <c r="D290" s="1">
        <v>234</v>
      </c>
      <c r="E290" s="1">
        <v>724</v>
      </c>
      <c r="F290" s="1">
        <v>-129</v>
      </c>
      <c r="G290" s="1">
        <v>-709.5</v>
      </c>
      <c r="H290" s="5400"/>
      <c r="I290" s="1"/>
      <c r="J290" s="5400"/>
      <c r="K290" s="1"/>
      <c r="L290" s="1"/>
      <c r="M290" s="1"/>
    </row>
    <row r="291" spans="2:13">
      <c r="B291" s="1"/>
      <c r="C291" s="1" t="s">
        <v>23</v>
      </c>
      <c r="D291" s="1">
        <v>125</v>
      </c>
      <c r="E291" s="1">
        <v>1099</v>
      </c>
      <c r="F291" s="1">
        <v>-53</v>
      </c>
      <c r="G291" s="1">
        <v>-315.35000000000002</v>
      </c>
      <c r="H291" s="5400"/>
      <c r="I291" s="1"/>
      <c r="J291" s="5400"/>
      <c r="K291" s="1"/>
      <c r="L291" s="1"/>
      <c r="M291" s="1"/>
    </row>
    <row r="292" spans="2:13">
      <c r="B292" s="1"/>
      <c r="C292" s="1" t="s">
        <v>24</v>
      </c>
      <c r="D292" s="1">
        <v>30</v>
      </c>
      <c r="E292" s="1">
        <v>1229</v>
      </c>
      <c r="F292" s="1">
        <v>0</v>
      </c>
      <c r="G292" s="1">
        <v>0</v>
      </c>
      <c r="H292" s="5400"/>
      <c r="I292" s="1"/>
      <c r="J292" s="5400"/>
      <c r="K292" s="1"/>
      <c r="L292" s="1"/>
      <c r="M292" s="1"/>
    </row>
    <row r="293" spans="2:13">
      <c r="B293" s="1"/>
      <c r="C293" s="1" t="s">
        <v>25</v>
      </c>
      <c r="D293" s="1">
        <v>2765</v>
      </c>
      <c r="E293" s="1">
        <v>3691</v>
      </c>
      <c r="F293" s="1">
        <v>1915923</v>
      </c>
      <c r="G293" s="1">
        <v>9981958.8300000001</v>
      </c>
      <c r="H293" s="5400"/>
      <c r="I293" s="1">
        <v>2682292.1999999997</v>
      </c>
      <c r="J293" s="5400"/>
      <c r="K293" s="1"/>
      <c r="L293" s="1"/>
      <c r="M293" s="1">
        <v>0</v>
      </c>
    </row>
    <row r="294" spans="2:13">
      <c r="B294" s="1"/>
      <c r="C294" s="1" t="s">
        <v>26</v>
      </c>
      <c r="D294" s="1">
        <v>155</v>
      </c>
      <c r="E294" s="1">
        <v>2328</v>
      </c>
      <c r="F294" s="1">
        <v>2272182</v>
      </c>
      <c r="G294" s="1">
        <v>16541484.960000001</v>
      </c>
      <c r="H294" s="5401"/>
      <c r="I294" s="1">
        <v>4453476.72</v>
      </c>
      <c r="J294" s="5401"/>
      <c r="K294" s="1"/>
      <c r="L294" s="1"/>
      <c r="M294" s="1">
        <v>0</v>
      </c>
    </row>
    <row r="295" spans="2:13">
      <c r="B295" s="1" t="s">
        <v>31</v>
      </c>
      <c r="C295" s="1" t="s">
        <v>28</v>
      </c>
      <c r="D295" s="1">
        <v>9</v>
      </c>
      <c r="E295" s="1">
        <v>1220</v>
      </c>
      <c r="F295" s="1">
        <v>4579149</v>
      </c>
      <c r="G295" s="1">
        <v>29856051.479999997</v>
      </c>
      <c r="H295" s="1">
        <v>5298405.88</v>
      </c>
      <c r="I295" s="1">
        <v>8013510.75</v>
      </c>
      <c r="J295" s="1">
        <v>43167968.109999999</v>
      </c>
      <c r="K295" s="1">
        <v>9.4270721721437756</v>
      </c>
      <c r="L295" s="1">
        <v>7555667.1900000004</v>
      </c>
      <c r="M295" s="1">
        <v>1.650015579313973</v>
      </c>
    </row>
    <row r="296" spans="2:13">
      <c r="B296" s="1" t="s">
        <v>32</v>
      </c>
      <c r="C296" s="1" t="s">
        <v>28</v>
      </c>
      <c r="D296" s="1">
        <v>0</v>
      </c>
      <c r="E296" s="1">
        <v>129</v>
      </c>
      <c r="F296" s="1">
        <v>4225649</v>
      </c>
      <c r="G296" s="1">
        <v>27001897.109999999</v>
      </c>
      <c r="H296" s="1">
        <v>2729363.4</v>
      </c>
      <c r="I296" s="1">
        <v>7268116.2800000003</v>
      </c>
      <c r="J296" s="1">
        <v>36999376.789999999</v>
      </c>
      <c r="K296" s="1">
        <v>8.7559039546351336</v>
      </c>
      <c r="L296" s="1">
        <v>6845551.3799999999</v>
      </c>
      <c r="M296" s="1">
        <v>1.6199999999999999</v>
      </c>
    </row>
    <row r="297" spans="2:13">
      <c r="B297" s="1" t="s">
        <v>33</v>
      </c>
      <c r="C297" s="1" t="s">
        <v>28</v>
      </c>
      <c r="D297" s="1">
        <v>831</v>
      </c>
      <c r="E297" s="1">
        <v>172</v>
      </c>
      <c r="F297" s="1">
        <v>144749</v>
      </c>
      <c r="G297" s="1">
        <v>1701642.5</v>
      </c>
      <c r="H297" s="1">
        <v>316013.27</v>
      </c>
      <c r="I297" s="1">
        <v>465006.64</v>
      </c>
      <c r="J297" s="1">
        <v>2482662.41</v>
      </c>
      <c r="K297" s="1">
        <v>17.151499561309578</v>
      </c>
      <c r="L297" s="1">
        <v>460572.07</v>
      </c>
      <c r="M297" s="1">
        <v>3.1818670249880827</v>
      </c>
    </row>
    <row r="298" spans="2:13">
      <c r="B298" s="1" t="s">
        <v>34</v>
      </c>
      <c r="C298" s="1" t="s">
        <v>28</v>
      </c>
      <c r="D298" s="1"/>
      <c r="E298" s="1"/>
      <c r="F298" s="1">
        <v>2069850</v>
      </c>
      <c r="G298" s="1">
        <v>11715351</v>
      </c>
      <c r="H298" s="1">
        <v>1759284.54</v>
      </c>
      <c r="I298" s="1">
        <v>3146172</v>
      </c>
      <c r="J298" s="1">
        <v>16620807.539999999</v>
      </c>
      <c r="K298" s="1">
        <v>8.0299575041669691</v>
      </c>
      <c r="L298" s="1">
        <v>2980584</v>
      </c>
      <c r="M298" s="1">
        <v>1.44</v>
      </c>
    </row>
    <row r="299" spans="2:13">
      <c r="B299" s="1" t="s">
        <v>35</v>
      </c>
      <c r="C299" s="1" t="s">
        <v>28</v>
      </c>
      <c r="D299" s="1">
        <v>596</v>
      </c>
      <c r="E299" s="1">
        <v>133</v>
      </c>
      <c r="F299" s="1">
        <v>324713</v>
      </c>
      <c r="G299" s="1">
        <v>1838180.86</v>
      </c>
      <c r="H299" s="1">
        <v>215707.01</v>
      </c>
      <c r="I299" s="1">
        <v>494852.72000000003</v>
      </c>
      <c r="J299" s="1">
        <v>2548740.5900000003</v>
      </c>
      <c r="K299" s="1">
        <v>7.8492101948489905</v>
      </c>
      <c r="L299" s="1">
        <v>471056.23</v>
      </c>
      <c r="M299" s="1">
        <v>1.450684850929898</v>
      </c>
    </row>
    <row r="300" spans="2:13">
      <c r="B300" s="1" t="s">
        <v>36</v>
      </c>
      <c r="C300" s="1" t="s">
        <v>28</v>
      </c>
      <c r="D300" s="1">
        <v>1</v>
      </c>
      <c r="E300" s="1">
        <v>15</v>
      </c>
      <c r="F300" s="1">
        <v>-9154</v>
      </c>
      <c r="G300" s="1">
        <v>-29567.42</v>
      </c>
      <c r="H300" s="1">
        <v>800</v>
      </c>
      <c r="I300" s="1">
        <v>-7963.98</v>
      </c>
      <c r="J300" s="1">
        <v>-36731.399999999994</v>
      </c>
      <c r="K300" s="1">
        <v>4.012606510814944</v>
      </c>
      <c r="L300" s="1">
        <v>-3570.28</v>
      </c>
      <c r="M300" s="1">
        <v>0.39002403320952589</v>
      </c>
    </row>
    <row r="301" spans="2:13">
      <c r="B301" s="1" t="s">
        <v>37</v>
      </c>
      <c r="C301" s="1" t="s">
        <v>28</v>
      </c>
      <c r="D301" s="1">
        <v>125</v>
      </c>
      <c r="E301" s="1">
        <v>1413</v>
      </c>
      <c r="F301" s="1">
        <v>2859216</v>
      </c>
      <c r="G301" s="1">
        <v>26848045.920000002</v>
      </c>
      <c r="H301" s="1">
        <v>1932780.01</v>
      </c>
      <c r="I301" s="1">
        <v>7233846.8399999999</v>
      </c>
      <c r="J301" s="1">
        <v>36014672.770000003</v>
      </c>
      <c r="K301" s="1">
        <v>12.595995814936684</v>
      </c>
      <c r="L301" s="1">
        <v>6806270.9699999997</v>
      </c>
      <c r="M301" s="1">
        <v>2.3804675722295903</v>
      </c>
    </row>
    <row r="302" spans="2:13">
      <c r="B302" s="1" t="s">
        <v>38</v>
      </c>
      <c r="C302" s="1" t="s">
        <v>28</v>
      </c>
      <c r="D302" s="1">
        <v>7</v>
      </c>
      <c r="E302" s="1">
        <v>15</v>
      </c>
      <c r="F302" s="1">
        <v>108305</v>
      </c>
      <c r="G302" s="1">
        <v>335745.5</v>
      </c>
      <c r="H302" s="1">
        <v>3300</v>
      </c>
      <c r="I302" s="1">
        <v>89893.15</v>
      </c>
      <c r="J302" s="1">
        <v>428938.65</v>
      </c>
      <c r="K302" s="1">
        <v>3.9604695074096306</v>
      </c>
      <c r="L302" s="1">
        <v>85560.95</v>
      </c>
      <c r="M302" s="1">
        <v>0.78999999999999992</v>
      </c>
    </row>
    <row r="303" spans="2:13">
      <c r="B303" s="1" t="s">
        <v>39</v>
      </c>
      <c r="C303" s="1" t="s">
        <v>28</v>
      </c>
      <c r="D303" s="1">
        <v>0</v>
      </c>
      <c r="E303" s="1">
        <v>0</v>
      </c>
      <c r="F303" s="1">
        <v>1459483</v>
      </c>
      <c r="G303" s="1">
        <v>9924484.4000000004</v>
      </c>
      <c r="H303" s="1">
        <v>473275.02</v>
      </c>
      <c r="I303" s="1">
        <v>2670853.89</v>
      </c>
      <c r="J303" s="1">
        <v>13068613.310000001</v>
      </c>
      <c r="K303" s="1">
        <v>8.9542758017736421</v>
      </c>
      <c r="L303" s="1">
        <v>2752195.17</v>
      </c>
      <c r="M303" s="1">
        <v>1.8857329410483026</v>
      </c>
    </row>
    <row r="304" spans="2:13">
      <c r="B304" s="1" t="s">
        <v>40</v>
      </c>
      <c r="C304" s="1" t="s">
        <v>28</v>
      </c>
      <c r="D304" s="1">
        <v>0</v>
      </c>
      <c r="E304" s="1">
        <v>0</v>
      </c>
      <c r="F304" s="1">
        <v>4625851</v>
      </c>
      <c r="G304" s="1">
        <v>31455786.800000001</v>
      </c>
      <c r="H304" s="1">
        <v>3644506.31</v>
      </c>
      <c r="I304" s="1">
        <v>8465307.3300000001</v>
      </c>
      <c r="J304" s="1">
        <v>43565600.439999998</v>
      </c>
      <c r="K304" s="1">
        <v>9.4178563987469541</v>
      </c>
      <c r="L304" s="1">
        <v>8002722.2300000004</v>
      </c>
      <c r="M304" s="1">
        <v>1.7300000000000002</v>
      </c>
    </row>
    <row r="305" spans="2:13">
      <c r="B305" s="1" t="s">
        <v>41</v>
      </c>
      <c r="C305" s="1" t="s">
        <v>28</v>
      </c>
      <c r="D305" s="1">
        <v>0</v>
      </c>
      <c r="E305" s="1">
        <v>39</v>
      </c>
      <c r="F305" s="1">
        <v>15025907</v>
      </c>
      <c r="G305" s="1">
        <v>88652851.300000012</v>
      </c>
      <c r="H305" s="1">
        <v>9359206.5</v>
      </c>
      <c r="I305" s="1">
        <v>23891192.130000003</v>
      </c>
      <c r="J305" s="1">
        <v>121903249.93000001</v>
      </c>
      <c r="K305" s="1">
        <v>8.1128713181839878</v>
      </c>
      <c r="L305" s="1">
        <v>22538860.5</v>
      </c>
      <c r="M305" s="1">
        <v>1.5</v>
      </c>
    </row>
    <row r="306" spans="2:13">
      <c r="B306" s="1" t="s">
        <v>42</v>
      </c>
      <c r="C306" s="1" t="s">
        <v>28</v>
      </c>
      <c r="D306" s="1">
        <v>2</v>
      </c>
      <c r="E306" s="1">
        <v>99</v>
      </c>
      <c r="F306" s="1">
        <v>31557741</v>
      </c>
      <c r="G306" s="1">
        <v>200391655.34999999</v>
      </c>
      <c r="H306" s="1">
        <v>17803234.239999998</v>
      </c>
      <c r="I306" s="1">
        <v>53963737.109999999</v>
      </c>
      <c r="J306" s="1">
        <v>272158626.69999999</v>
      </c>
      <c r="K306" s="1">
        <v>8.6241479293463996</v>
      </c>
      <c r="L306" s="1">
        <v>50807963.009999998</v>
      </c>
      <c r="M306" s="1">
        <v>1.6099999999999999</v>
      </c>
    </row>
    <row r="307" spans="2:13">
      <c r="B307" s="1" t="s">
        <v>43</v>
      </c>
      <c r="C307" s="1" t="s">
        <v>28</v>
      </c>
      <c r="D307" s="1">
        <v>0</v>
      </c>
      <c r="E307" s="1">
        <v>9</v>
      </c>
      <c r="F307" s="1">
        <v>2803640</v>
      </c>
      <c r="G307" s="1">
        <v>9532376</v>
      </c>
      <c r="H307" s="1">
        <v>1349898.77</v>
      </c>
      <c r="I307" s="1">
        <v>2551312.4</v>
      </c>
      <c r="J307" s="1">
        <v>13433587.17</v>
      </c>
      <c r="K307" s="1">
        <v>4.7914807785593014</v>
      </c>
      <c r="L307" s="1">
        <v>2411130.4</v>
      </c>
      <c r="M307" s="1">
        <v>0.86</v>
      </c>
    </row>
    <row r="308" spans="2:13">
      <c r="B308" s="1" t="s">
        <v>44</v>
      </c>
      <c r="C308" s="1" t="s">
        <v>28</v>
      </c>
      <c r="D308" s="1">
        <v>0</v>
      </c>
      <c r="E308" s="1">
        <v>3</v>
      </c>
      <c r="F308" s="1">
        <v>305904</v>
      </c>
      <c r="G308" s="1">
        <v>2646069.6</v>
      </c>
      <c r="H308" s="1">
        <v>750</v>
      </c>
      <c r="I308" s="1">
        <v>712756.32000000007</v>
      </c>
      <c r="J308" s="1">
        <v>3359575.92</v>
      </c>
      <c r="K308" s="1">
        <v>10.982451749568492</v>
      </c>
      <c r="L308" s="1">
        <v>672988.8</v>
      </c>
      <c r="M308" s="1">
        <v>2.2000000000000002</v>
      </c>
    </row>
    <row r="309" spans="2:13">
      <c r="B309" s="1" t="s">
        <v>45</v>
      </c>
      <c r="C309" s="1" t="s">
        <v>28</v>
      </c>
      <c r="D309" s="1">
        <v>0</v>
      </c>
      <c r="E309" s="1">
        <v>0</v>
      </c>
      <c r="F309" s="1">
        <v>4224106</v>
      </c>
      <c r="G309" s="1">
        <v>23654993.599999998</v>
      </c>
      <c r="H309" s="1">
        <v>1663603</v>
      </c>
      <c r="I309" s="1">
        <v>6378400.0599999996</v>
      </c>
      <c r="J309" s="1">
        <v>31696996.659999996</v>
      </c>
      <c r="K309" s="1">
        <v>7.5038355240138381</v>
      </c>
      <c r="L309" s="1">
        <v>5998230.5199999996</v>
      </c>
      <c r="M309" s="1">
        <v>1.42</v>
      </c>
    </row>
    <row r="310" spans="2:13">
      <c r="B310" s="1" t="s">
        <v>46</v>
      </c>
      <c r="C310" s="1"/>
      <c r="D310" s="1"/>
      <c r="E310" s="1"/>
      <c r="F310" s="1"/>
      <c r="G310" s="1">
        <v>-2985780.89</v>
      </c>
      <c r="H310" s="1">
        <v>449003.96</v>
      </c>
      <c r="I310" s="1">
        <v>0</v>
      </c>
      <c r="J310" s="1">
        <v>-2536776.9300000002</v>
      </c>
      <c r="K310" s="1"/>
      <c r="L310" s="1">
        <v>29700263.949999999</v>
      </c>
      <c r="M310" s="1"/>
    </row>
    <row r="311" spans="2:13">
      <c r="B311" s="1" t="s">
        <v>47</v>
      </c>
      <c r="C311" s="1"/>
      <c r="D311" s="1">
        <v>890879</v>
      </c>
      <c r="E311" s="1">
        <v>143310</v>
      </c>
      <c r="F311" s="1">
        <v>379129206</v>
      </c>
      <c r="G311" s="1">
        <v>2141892941.8299992</v>
      </c>
      <c r="H311" s="1">
        <v>232186492.54000002</v>
      </c>
      <c r="I311" s="1">
        <v>577852340.21999991</v>
      </c>
      <c r="J311" s="1">
        <v>2951931774.5899992</v>
      </c>
      <c r="K311" s="1">
        <v>7.7860838148934359</v>
      </c>
      <c r="L311" s="1">
        <v>280245376.39999998</v>
      </c>
      <c r="M311" s="1">
        <v>0.73918171421486312</v>
      </c>
    </row>
    <row r="312" spans="2:13">
      <c r="B312" s="1"/>
      <c r="C312" s="1"/>
      <c r="D312" s="1"/>
      <c r="E312" s="1"/>
      <c r="F312" s="1"/>
      <c r="G312" s="1"/>
      <c r="H312" s="1"/>
      <c r="I312" s="1" t="s">
        <v>48</v>
      </c>
      <c r="J312" s="1">
        <v>13406599.35</v>
      </c>
      <c r="K312" s="1"/>
      <c r="L312" s="1"/>
      <c r="M312" s="1"/>
    </row>
    <row r="313" spans="2:13">
      <c r="B313" s="1"/>
      <c r="C313" s="1"/>
      <c r="D313" s="1"/>
      <c r="E313" s="1"/>
      <c r="F313" s="1"/>
      <c r="G313" s="1"/>
      <c r="H313" s="1"/>
      <c r="I313" s="1" t="s">
        <v>49</v>
      </c>
      <c r="J313" s="1">
        <v>575333285.20000005</v>
      </c>
      <c r="K313" s="1"/>
      <c r="L313" s="1">
        <v>-295087908.80000007</v>
      </c>
      <c r="M313" s="1"/>
    </row>
    <row r="314" spans="2:13">
      <c r="B314" s="1"/>
      <c r="C314" s="1"/>
      <c r="D314" s="1"/>
      <c r="E314" s="1"/>
      <c r="F314" s="1"/>
      <c r="G314" s="1"/>
      <c r="H314" s="1"/>
      <c r="I314" s="1" t="s">
        <v>50</v>
      </c>
      <c r="J314" s="1">
        <v>-55725.79</v>
      </c>
      <c r="K314" s="1"/>
      <c r="L314" s="1"/>
      <c r="M314" s="1"/>
    </row>
    <row r="315" spans="2:13">
      <c r="B315" s="1"/>
      <c r="C315" s="1"/>
      <c r="D315" s="1"/>
      <c r="E315" s="1"/>
      <c r="F315" s="1"/>
      <c r="G315" s="1"/>
      <c r="H315" s="1"/>
      <c r="I315" s="1" t="s">
        <v>51</v>
      </c>
      <c r="J315" s="1">
        <v>13209519.52</v>
      </c>
      <c r="K315" s="1"/>
      <c r="L315" s="1"/>
      <c r="M315" s="1"/>
    </row>
    <row r="316" spans="2:13">
      <c r="B316" s="1"/>
      <c r="C316" s="1"/>
      <c r="D316" s="1"/>
      <c r="E316" s="1"/>
      <c r="F316" s="1"/>
      <c r="G316" s="1"/>
      <c r="H316" s="1"/>
      <c r="I316" s="1" t="s">
        <v>52</v>
      </c>
      <c r="J316" s="1">
        <v>8700822.9199999999</v>
      </c>
      <c r="K316" s="1"/>
      <c r="L316" s="1"/>
      <c r="M316" s="1"/>
    </row>
    <row r="317" spans="2:13">
      <c r="B317" s="1"/>
      <c r="C317" s="1"/>
      <c r="D317" s="1"/>
      <c r="E317" s="1"/>
      <c r="F317" s="1"/>
      <c r="G317" s="1"/>
      <c r="H317" s="1"/>
      <c r="I317" s="1" t="s">
        <v>47</v>
      </c>
      <c r="J317" s="1">
        <v>3562526275.7899995</v>
      </c>
      <c r="K317" s="1"/>
      <c r="L317" s="1"/>
      <c r="M317" s="1"/>
    </row>
    <row r="318" spans="2:13">
      <c r="B318" s="1"/>
      <c r="C318" s="1"/>
      <c r="D318" s="1"/>
      <c r="E318" s="1"/>
      <c r="F318" s="1"/>
      <c r="G318" s="1"/>
      <c r="H318" s="1"/>
      <c r="I318" s="1" t="s">
        <v>53</v>
      </c>
      <c r="J318" s="1">
        <v>-10781162.41</v>
      </c>
      <c r="K318" s="1"/>
      <c r="L318" s="1"/>
      <c r="M318" s="1"/>
    </row>
    <row r="319" spans="2:13">
      <c r="B319" s="1"/>
      <c r="C319" s="1"/>
      <c r="D319" s="1"/>
      <c r="E319" s="1"/>
      <c r="F319" s="1"/>
      <c r="G319" s="1"/>
      <c r="H319" s="1"/>
      <c r="I319" s="1" t="s">
        <v>54</v>
      </c>
      <c r="J319" s="1">
        <v>-65749750.899999999</v>
      </c>
      <c r="K319" s="1"/>
      <c r="L319" s="1"/>
      <c r="M319" s="1"/>
    </row>
    <row r="320" spans="2:13">
      <c r="B320" s="1"/>
      <c r="C320" s="1"/>
      <c r="D320" s="1"/>
      <c r="E320" s="1"/>
      <c r="F320" s="1"/>
      <c r="G320" s="1"/>
      <c r="H320" s="1"/>
      <c r="I320" s="1" t="s">
        <v>55</v>
      </c>
      <c r="J320" s="1">
        <v>-279510.08</v>
      </c>
      <c r="K320" s="1"/>
      <c r="L320" s="1"/>
      <c r="M320" s="1"/>
    </row>
    <row r="321" spans="2:13">
      <c r="B321" s="1"/>
      <c r="C321" s="1"/>
      <c r="D321" s="1"/>
      <c r="E321" s="1"/>
      <c r="F321" s="1"/>
      <c r="G321" s="1"/>
      <c r="H321" s="1"/>
      <c r="I321" s="1" t="s">
        <v>56</v>
      </c>
      <c r="J321" s="1">
        <v>0</v>
      </c>
      <c r="K321" s="1"/>
      <c r="L321" s="1"/>
      <c r="M321" s="1"/>
    </row>
    <row r="322" spans="2:13">
      <c r="B322" s="1"/>
      <c r="C322" s="1"/>
      <c r="D322" s="1"/>
      <c r="E322" s="1"/>
      <c r="F322" s="1"/>
      <c r="G322" s="1"/>
      <c r="H322" s="1"/>
      <c r="I322" s="1" t="s">
        <v>57</v>
      </c>
      <c r="J322" s="1">
        <v>3485715852.3999996</v>
      </c>
      <c r="K322" s="1"/>
      <c r="L322" s="1"/>
      <c r="M322" s="1"/>
    </row>
    <row r="323" spans="2:13">
      <c r="B323" s="1"/>
      <c r="C323" s="1"/>
      <c r="D323" s="1"/>
      <c r="E323" s="1"/>
      <c r="F323" s="1"/>
      <c r="G323" s="1"/>
      <c r="H323" s="1"/>
      <c r="I323" s="1" t="s">
        <v>58</v>
      </c>
      <c r="J323" s="1">
        <v>9.3966020538918844</v>
      </c>
      <c r="K323" s="1"/>
      <c r="L323" s="1"/>
      <c r="M323" s="1"/>
    </row>
    <row r="324" spans="2:13">
      <c r="B324" s="1"/>
      <c r="C324" s="1"/>
      <c r="D324" s="1"/>
      <c r="E324" s="1"/>
      <c r="F324" s="1"/>
      <c r="G324" s="1"/>
      <c r="H324" s="1"/>
      <c r="I324" s="1" t="s">
        <v>59</v>
      </c>
      <c r="J324" s="1">
        <v>44959592.609999999</v>
      </c>
      <c r="K324" s="1"/>
      <c r="L324" s="1"/>
      <c r="M324" s="1"/>
    </row>
    <row r="325" spans="2:13">
      <c r="B325" s="1"/>
      <c r="C325" s="1"/>
      <c r="D325" s="1"/>
      <c r="E325" s="1"/>
      <c r="F325" s="1"/>
      <c r="G325" s="1"/>
      <c r="H325" s="1"/>
      <c r="I325" s="1" t="s">
        <v>60</v>
      </c>
      <c r="J325" s="1">
        <v>3607485868.3999996</v>
      </c>
      <c r="K325" s="1"/>
      <c r="L325" s="1"/>
      <c r="M325" s="1"/>
    </row>
    <row r="326" spans="2:13">
      <c r="B326" s="1"/>
      <c r="C326" s="1"/>
      <c r="D326" s="1"/>
      <c r="E326" s="1"/>
      <c r="F326" s="1"/>
      <c r="G326" s="1"/>
      <c r="H326" s="1"/>
      <c r="I326" s="1" t="s">
        <v>58</v>
      </c>
      <c r="J326" s="1"/>
      <c r="K326" s="1"/>
      <c r="L326" s="1"/>
      <c r="M326" s="1"/>
    </row>
    <row r="327" spans="2:13">
      <c r="B327" s="1"/>
      <c r="C327" s="1"/>
      <c r="D327" s="1"/>
      <c r="E327" s="1"/>
      <c r="F327" s="1"/>
      <c r="G327" s="1"/>
      <c r="H327" s="1"/>
      <c r="I327" s="1"/>
      <c r="J327" s="1">
        <v>9.5151885196626065</v>
      </c>
      <c r="K327" s="1"/>
      <c r="L327" s="1"/>
      <c r="M327" s="1"/>
    </row>
    <row r="328" spans="2:13" ht="15.75" thickBot="1"/>
    <row r="329" spans="2:13">
      <c r="B329" s="5402" t="s">
        <v>74</v>
      </c>
      <c r="C329" s="5403"/>
      <c r="D329" s="5403"/>
      <c r="E329" s="5403"/>
      <c r="F329" s="5404"/>
    </row>
    <row r="330" spans="2:13" ht="30">
      <c r="B330" s="7" t="s">
        <v>1</v>
      </c>
      <c r="C330" s="7" t="s">
        <v>2</v>
      </c>
      <c r="D330" s="7" t="s">
        <v>62</v>
      </c>
      <c r="E330" s="7"/>
      <c r="F330" s="7" t="s">
        <v>4</v>
      </c>
      <c r="G330" s="7" t="s">
        <v>5</v>
      </c>
      <c r="H330" s="7" t="s">
        <v>6</v>
      </c>
      <c r="I330" s="7" t="s">
        <v>7</v>
      </c>
      <c r="J330" s="7" t="s">
        <v>8</v>
      </c>
      <c r="K330" s="7" t="s">
        <v>9</v>
      </c>
      <c r="L330" s="7" t="s">
        <v>75</v>
      </c>
      <c r="M330" s="7" t="s">
        <v>11</v>
      </c>
    </row>
    <row r="331" spans="2:13">
      <c r="B331" s="1"/>
      <c r="C331" s="1"/>
      <c r="D331" s="1" t="s">
        <v>12</v>
      </c>
      <c r="E331" s="1" t="s">
        <v>13</v>
      </c>
      <c r="F331" s="1"/>
      <c r="G331" s="1"/>
      <c r="H331" s="1"/>
      <c r="I331" s="1"/>
      <c r="J331" s="1"/>
      <c r="K331" s="1"/>
      <c r="L331" s="1"/>
      <c r="M331" s="1"/>
    </row>
    <row r="332" spans="2:13">
      <c r="B332" s="1" t="s">
        <v>14</v>
      </c>
      <c r="C332" s="1" t="s">
        <v>15</v>
      </c>
      <c r="D332" s="1">
        <v>583</v>
      </c>
      <c r="E332" s="1">
        <v>0</v>
      </c>
      <c r="F332" s="1">
        <v>55544</v>
      </c>
      <c r="G332" s="1">
        <v>24444.36</v>
      </c>
      <c r="H332" s="1">
        <v>1744.5</v>
      </c>
      <c r="I332" s="1">
        <v>6680.28</v>
      </c>
      <c r="J332" s="1">
        <v>32869.14</v>
      </c>
      <c r="K332" s="1">
        <v>0.59176760766239378</v>
      </c>
      <c r="L332" s="1"/>
      <c r="M332" s="1">
        <v>0</v>
      </c>
    </row>
    <row r="333" spans="2:13">
      <c r="B333" s="1" t="s">
        <v>16</v>
      </c>
      <c r="C333" s="1" t="s">
        <v>17</v>
      </c>
      <c r="D333" s="1">
        <v>234525</v>
      </c>
      <c r="E333" s="1">
        <v>13687</v>
      </c>
      <c r="F333" s="1">
        <v>58521456</v>
      </c>
      <c r="G333" s="1">
        <v>120572986.23</v>
      </c>
      <c r="H333" s="5399">
        <v>62434700.100000001</v>
      </c>
      <c r="I333" s="1">
        <v>32207061.150000002</v>
      </c>
      <c r="J333" s="5399">
        <v>842185083.72000003</v>
      </c>
      <c r="K333" s="1">
        <v>5.349444171155544</v>
      </c>
      <c r="L333" s="1"/>
      <c r="M333" s="1">
        <v>0</v>
      </c>
    </row>
    <row r="334" spans="2:13">
      <c r="B334" s="1"/>
      <c r="C334" s="1" t="s">
        <v>18</v>
      </c>
      <c r="D334" s="1">
        <v>354517</v>
      </c>
      <c r="E334" s="1">
        <v>19205</v>
      </c>
      <c r="F334" s="1">
        <v>52820764</v>
      </c>
      <c r="G334" s="1">
        <v>201263202.36000001</v>
      </c>
      <c r="H334" s="5400"/>
      <c r="I334" s="1">
        <v>54437885.480000004</v>
      </c>
      <c r="J334" s="5400"/>
      <c r="K334" s="1"/>
      <c r="L334" s="1"/>
      <c r="M334" s="1">
        <v>0</v>
      </c>
    </row>
    <row r="335" spans="2:13">
      <c r="B335" s="1"/>
      <c r="C335" s="1" t="s">
        <v>19</v>
      </c>
      <c r="D335" s="1">
        <v>58501</v>
      </c>
      <c r="E335" s="1">
        <v>17262</v>
      </c>
      <c r="F335" s="1">
        <v>15839552</v>
      </c>
      <c r="G335" s="1">
        <v>84900880.120000005</v>
      </c>
      <c r="H335" s="5400"/>
      <c r="I335" s="1">
        <v>22830108.48</v>
      </c>
      <c r="J335" s="5400"/>
      <c r="K335" s="1"/>
      <c r="L335" s="1"/>
      <c r="M335" s="1">
        <v>0</v>
      </c>
    </row>
    <row r="336" spans="2:13">
      <c r="B336" s="1"/>
      <c r="C336" s="1" t="s">
        <v>20</v>
      </c>
      <c r="D336" s="1">
        <v>19321</v>
      </c>
      <c r="E336" s="1">
        <v>32941</v>
      </c>
      <c r="F336" s="1">
        <v>30252357</v>
      </c>
      <c r="G336" s="1">
        <v>207532432.80000001</v>
      </c>
      <c r="H336" s="5401"/>
      <c r="I336" s="1">
        <v>56005827</v>
      </c>
      <c r="J336" s="5401"/>
      <c r="K336" s="1"/>
      <c r="L336" s="1"/>
      <c r="M336" s="1">
        <v>0</v>
      </c>
    </row>
    <row r="337" spans="2:13">
      <c r="B337" s="1" t="s">
        <v>21</v>
      </c>
      <c r="C337" s="1" t="s">
        <v>22</v>
      </c>
      <c r="D337" s="1">
        <v>177119</v>
      </c>
      <c r="E337" s="1">
        <v>14044</v>
      </c>
      <c r="F337" s="1">
        <v>-16549</v>
      </c>
      <c r="G337" s="1">
        <v>-66196</v>
      </c>
      <c r="H337" s="5399">
        <v>63031864.280000001</v>
      </c>
      <c r="I337" s="1"/>
      <c r="J337" s="5399">
        <v>722864572.9000001</v>
      </c>
      <c r="K337" s="1">
        <v>9.1736577671141504</v>
      </c>
      <c r="L337" s="1"/>
      <c r="M337" s="1"/>
    </row>
    <row r="338" spans="2:13">
      <c r="B338" s="1"/>
      <c r="C338" s="1" t="s">
        <v>19</v>
      </c>
      <c r="D338" s="1">
        <v>23201</v>
      </c>
      <c r="E338" s="1">
        <v>5234</v>
      </c>
      <c r="F338" s="1">
        <v>-5216</v>
      </c>
      <c r="G338" s="1">
        <v>-31296</v>
      </c>
      <c r="H338" s="5400"/>
      <c r="I338" s="1"/>
      <c r="J338" s="5400"/>
      <c r="K338" s="1"/>
      <c r="L338" s="1"/>
      <c r="M338" s="1"/>
    </row>
    <row r="339" spans="2:13">
      <c r="B339" s="1"/>
      <c r="C339" s="1" t="s">
        <v>23</v>
      </c>
      <c r="D339" s="1">
        <v>15051</v>
      </c>
      <c r="E339" s="1">
        <v>9699</v>
      </c>
      <c r="F339" s="1">
        <v>-7390</v>
      </c>
      <c r="G339" s="1">
        <v>-50991</v>
      </c>
      <c r="H339" s="5400"/>
      <c r="I339" s="1"/>
      <c r="J339" s="5400"/>
      <c r="K339" s="1"/>
      <c r="L339" s="1"/>
      <c r="M339" s="1"/>
    </row>
    <row r="340" spans="2:13">
      <c r="B340" s="1"/>
      <c r="C340" s="1" t="s">
        <v>24</v>
      </c>
      <c r="D340" s="1">
        <v>3307</v>
      </c>
      <c r="E340" s="1">
        <v>14120</v>
      </c>
      <c r="F340" s="1">
        <v>-12984</v>
      </c>
      <c r="G340" s="1">
        <v>-98678.399999999994</v>
      </c>
      <c r="H340" s="5400"/>
      <c r="I340" s="1"/>
      <c r="J340" s="5400"/>
      <c r="K340" s="1"/>
      <c r="L340" s="1"/>
      <c r="M340" s="1"/>
    </row>
    <row r="341" spans="2:13">
      <c r="B341" s="1"/>
      <c r="C341" s="1" t="s">
        <v>25</v>
      </c>
      <c r="D341" s="1">
        <v>200320</v>
      </c>
      <c r="E341" s="1">
        <v>19278</v>
      </c>
      <c r="F341" s="1">
        <v>46361683</v>
      </c>
      <c r="G341" s="1">
        <v>254989256.5</v>
      </c>
      <c r="H341" s="5400"/>
      <c r="I341" s="1">
        <v>68615290.840000004</v>
      </c>
      <c r="J341" s="5400"/>
      <c r="K341" s="1"/>
      <c r="L341" s="1"/>
      <c r="M341" s="1">
        <v>0</v>
      </c>
    </row>
    <row r="342" spans="2:13">
      <c r="B342" s="1"/>
      <c r="C342" s="1" t="s">
        <v>26</v>
      </c>
      <c r="D342" s="1">
        <v>18358</v>
      </c>
      <c r="E342" s="1">
        <v>23819</v>
      </c>
      <c r="F342" s="1">
        <v>32478313</v>
      </c>
      <c r="G342" s="1">
        <v>265023034.08000001</v>
      </c>
      <c r="H342" s="5401"/>
      <c r="I342" s="1">
        <v>71452288.600000009</v>
      </c>
      <c r="J342" s="5401"/>
      <c r="K342" s="1"/>
      <c r="L342" s="1"/>
      <c r="M342" s="1">
        <v>0</v>
      </c>
    </row>
    <row r="343" spans="2:13">
      <c r="B343" s="1" t="s">
        <v>27</v>
      </c>
      <c r="C343" s="1" t="s">
        <v>28</v>
      </c>
      <c r="D343" s="1">
        <v>61</v>
      </c>
      <c r="E343" s="1">
        <v>5945</v>
      </c>
      <c r="F343" s="1">
        <v>20830797</v>
      </c>
      <c r="G343" s="1">
        <v>166646376</v>
      </c>
      <c r="H343" s="1">
        <v>21739292.600000001</v>
      </c>
      <c r="I343" s="1">
        <v>44786213.549999997</v>
      </c>
      <c r="J343" s="1">
        <v>233171882.14999998</v>
      </c>
      <c r="K343" s="1">
        <v>11.193613098433055</v>
      </c>
      <c r="L343" s="1"/>
      <c r="M343" s="1">
        <v>0</v>
      </c>
    </row>
    <row r="344" spans="2:13">
      <c r="B344" s="1" t="s">
        <v>29</v>
      </c>
      <c r="C344" s="1" t="s">
        <v>28</v>
      </c>
      <c r="D344" s="1">
        <v>5</v>
      </c>
      <c r="E344" s="1">
        <v>2638</v>
      </c>
      <c r="F344" s="1">
        <v>40794559</v>
      </c>
      <c r="G344" s="1">
        <v>330027982.31</v>
      </c>
      <c r="H344" s="1">
        <v>36930804.829999998</v>
      </c>
      <c r="I344" s="1">
        <v>88932138.620000005</v>
      </c>
      <c r="J344" s="1">
        <v>455890925.75999999</v>
      </c>
      <c r="K344" s="1">
        <v>11.17528751223907</v>
      </c>
      <c r="L344" s="1"/>
      <c r="M344" s="1">
        <v>0</v>
      </c>
    </row>
    <row r="345" spans="2:13">
      <c r="B345" s="1" t="s">
        <v>30</v>
      </c>
      <c r="C345" s="1" t="s">
        <v>22</v>
      </c>
      <c r="D345" s="1">
        <v>2536</v>
      </c>
      <c r="E345" s="1">
        <v>2920</v>
      </c>
      <c r="F345" s="1">
        <v>-317</v>
      </c>
      <c r="G345" s="1">
        <v>-1172.9000000000001</v>
      </c>
      <c r="H345" s="5399">
        <v>3036978.3</v>
      </c>
      <c r="I345" s="1"/>
      <c r="J345" s="5399">
        <v>37194847.780000001</v>
      </c>
      <c r="K345" s="1">
        <v>8.7726842518882755</v>
      </c>
      <c r="L345" s="1"/>
      <c r="M345" s="1"/>
    </row>
    <row r="346" spans="2:13">
      <c r="B346" s="1"/>
      <c r="C346" s="1" t="s">
        <v>19</v>
      </c>
      <c r="D346" s="1">
        <v>206</v>
      </c>
      <c r="E346" s="1">
        <v>746</v>
      </c>
      <c r="F346" s="1">
        <v>-199</v>
      </c>
      <c r="G346" s="1">
        <v>-1094.5</v>
      </c>
      <c r="H346" s="5400"/>
      <c r="I346" s="1"/>
      <c r="J346" s="5400"/>
      <c r="K346" s="1"/>
      <c r="L346" s="1"/>
      <c r="M346" s="1"/>
    </row>
    <row r="347" spans="2:13">
      <c r="B347" s="1"/>
      <c r="C347" s="1" t="s">
        <v>23</v>
      </c>
      <c r="D347" s="1">
        <v>119</v>
      </c>
      <c r="E347" s="1">
        <v>1125</v>
      </c>
      <c r="F347" s="1">
        <v>-716</v>
      </c>
      <c r="G347" s="1">
        <v>-4260.2</v>
      </c>
      <c r="H347" s="5400"/>
      <c r="I347" s="1"/>
      <c r="J347" s="5400"/>
      <c r="K347" s="1"/>
      <c r="L347" s="1"/>
      <c r="M347" s="1"/>
    </row>
    <row r="348" spans="2:13">
      <c r="B348" s="1"/>
      <c r="C348" s="1" t="s">
        <v>24</v>
      </c>
      <c r="D348" s="1">
        <v>34</v>
      </c>
      <c r="E348" s="1">
        <v>1206</v>
      </c>
      <c r="F348" s="1">
        <v>-3805</v>
      </c>
      <c r="G348" s="1">
        <v>-24352</v>
      </c>
      <c r="H348" s="5400"/>
      <c r="I348" s="1"/>
      <c r="J348" s="5400"/>
      <c r="K348" s="1"/>
      <c r="L348" s="1"/>
      <c r="M348" s="1"/>
    </row>
    <row r="349" spans="2:13">
      <c r="B349" s="1"/>
      <c r="C349" s="1" t="s">
        <v>25</v>
      </c>
      <c r="D349" s="1">
        <v>2742</v>
      </c>
      <c r="E349" s="1">
        <v>3666</v>
      </c>
      <c r="F349" s="1">
        <v>1914064</v>
      </c>
      <c r="G349" s="1">
        <v>9972273.4399999995</v>
      </c>
      <c r="H349" s="5400"/>
      <c r="I349" s="1">
        <v>2679689.5999999996</v>
      </c>
      <c r="J349" s="5400"/>
      <c r="K349" s="1"/>
      <c r="L349" s="1"/>
      <c r="M349" s="1">
        <v>0</v>
      </c>
    </row>
    <row r="350" spans="2:13">
      <c r="B350" s="1"/>
      <c r="C350" s="1" t="s">
        <v>26</v>
      </c>
      <c r="D350" s="1">
        <v>153</v>
      </c>
      <c r="E350" s="1">
        <v>2331</v>
      </c>
      <c r="F350" s="1">
        <v>2330821</v>
      </c>
      <c r="G350" s="1">
        <v>16968376.879999999</v>
      </c>
      <c r="H350" s="5401"/>
      <c r="I350" s="1">
        <v>4568409.16</v>
      </c>
      <c r="J350" s="5401"/>
      <c r="K350" s="1"/>
      <c r="L350" s="1"/>
      <c r="M350" s="1">
        <v>0</v>
      </c>
    </row>
    <row r="351" spans="2:13">
      <c r="B351" s="1" t="s">
        <v>31</v>
      </c>
      <c r="C351" s="1" t="s">
        <v>28</v>
      </c>
      <c r="D351" s="1">
        <v>9</v>
      </c>
      <c r="E351" s="1">
        <v>1219</v>
      </c>
      <c r="F351" s="1">
        <v>4360179</v>
      </c>
      <c r="G351" s="1">
        <v>28428367.079999998</v>
      </c>
      <c r="H351" s="1">
        <v>5293457.13</v>
      </c>
      <c r="I351" s="1">
        <v>7630313.25</v>
      </c>
      <c r="J351" s="1">
        <v>41352137.460000001</v>
      </c>
      <c r="K351" s="1">
        <v>9.4840458293111372</v>
      </c>
      <c r="L351" s="1"/>
      <c r="M351" s="1">
        <v>0</v>
      </c>
    </row>
    <row r="352" spans="2:13">
      <c r="B352" s="1" t="s">
        <v>32</v>
      </c>
      <c r="C352" s="1" t="s">
        <v>28</v>
      </c>
      <c r="D352" s="1">
        <v>2</v>
      </c>
      <c r="E352" s="1">
        <v>126</v>
      </c>
      <c r="F352" s="1">
        <v>4121535</v>
      </c>
      <c r="G352" s="1">
        <v>26336608.649999999</v>
      </c>
      <c r="H352" s="1">
        <v>2736497.2</v>
      </c>
      <c r="I352" s="1">
        <v>7089040.2000000002</v>
      </c>
      <c r="J352" s="1">
        <v>36162146.049999997</v>
      </c>
      <c r="K352" s="1">
        <v>8.7739509794287809</v>
      </c>
      <c r="L352" s="1"/>
      <c r="M352" s="1">
        <v>0</v>
      </c>
    </row>
    <row r="353" spans="2:13">
      <c r="B353" s="1" t="s">
        <v>33</v>
      </c>
      <c r="C353" s="1" t="s">
        <v>28</v>
      </c>
      <c r="D353" s="1">
        <v>886</v>
      </c>
      <c r="E353" s="1">
        <v>152</v>
      </c>
      <c r="F353" s="1">
        <v>140235</v>
      </c>
      <c r="G353" s="1">
        <v>1649194.15</v>
      </c>
      <c r="H353" s="1">
        <v>316546.65000000002</v>
      </c>
      <c r="I353" s="1">
        <v>456079.64</v>
      </c>
      <c r="J353" s="1">
        <v>2421820.44</v>
      </c>
      <c r="K353" s="1">
        <v>17.269728954968446</v>
      </c>
      <c r="L353" s="1"/>
      <c r="M353" s="1">
        <v>0</v>
      </c>
    </row>
    <row r="354" spans="2:13">
      <c r="B354" s="1" t="s">
        <v>34</v>
      </c>
      <c r="C354" s="1" t="s">
        <v>28</v>
      </c>
      <c r="D354" s="1"/>
      <c r="E354" s="1"/>
      <c r="F354" s="1">
        <v>2129842.79</v>
      </c>
      <c r="G354" s="1">
        <v>12054910.191400001</v>
      </c>
      <c r="H354" s="1">
        <v>1796715.48</v>
      </c>
      <c r="I354" s="1">
        <v>3237361.0408000001</v>
      </c>
      <c r="J354" s="1">
        <v>17088986.712200001</v>
      </c>
      <c r="K354" s="1">
        <v>8.0235906576935658</v>
      </c>
      <c r="L354" s="1"/>
      <c r="M354" s="1">
        <v>0</v>
      </c>
    </row>
    <row r="355" spans="2:13">
      <c r="B355" s="1" t="s">
        <v>35</v>
      </c>
      <c r="C355" s="1" t="s">
        <v>28</v>
      </c>
      <c r="D355" s="1">
        <v>556</v>
      </c>
      <c r="E355" s="1">
        <v>125</v>
      </c>
      <c r="F355" s="1">
        <v>350495</v>
      </c>
      <c r="G355" s="1">
        <v>1983801.7</v>
      </c>
      <c r="H355" s="1">
        <v>215404.88</v>
      </c>
      <c r="I355" s="1">
        <v>532752.4</v>
      </c>
      <c r="J355" s="1">
        <v>2731958.98</v>
      </c>
      <c r="K355" s="1">
        <v>7.7945733320018826</v>
      </c>
      <c r="L355" s="1"/>
      <c r="M355" s="1">
        <v>0</v>
      </c>
    </row>
    <row r="356" spans="2:13">
      <c r="B356" s="1" t="s">
        <v>36</v>
      </c>
      <c r="C356" s="1" t="s">
        <v>28</v>
      </c>
      <c r="D356" s="1">
        <v>1</v>
      </c>
      <c r="E356" s="1">
        <v>3</v>
      </c>
      <c r="F356" s="1">
        <v>5167</v>
      </c>
      <c r="G356" s="1">
        <v>16689.41</v>
      </c>
      <c r="H356" s="1">
        <v>800</v>
      </c>
      <c r="I356" s="1">
        <v>4495.29</v>
      </c>
      <c r="J356" s="1">
        <v>21984.7</v>
      </c>
      <c r="K356" s="1">
        <v>4.2548287207276951</v>
      </c>
      <c r="L356" s="1"/>
      <c r="M356" s="1">
        <v>0</v>
      </c>
    </row>
    <row r="357" spans="2:13">
      <c r="B357" s="1" t="s">
        <v>37</v>
      </c>
      <c r="C357" s="1" t="s">
        <v>28</v>
      </c>
      <c r="D357" s="1">
        <v>130</v>
      </c>
      <c r="E357" s="1">
        <v>1457</v>
      </c>
      <c r="F357" s="1">
        <v>3055934</v>
      </c>
      <c r="G357" s="1">
        <v>28695220.260000002</v>
      </c>
      <c r="H357" s="1">
        <v>1809300.87</v>
      </c>
      <c r="I357" s="1">
        <v>7731513.0199999996</v>
      </c>
      <c r="J357" s="1">
        <v>38236034.150000006</v>
      </c>
      <c r="K357" s="1">
        <v>12.512061500673774</v>
      </c>
      <c r="L357" s="1"/>
      <c r="M357" s="1">
        <v>0</v>
      </c>
    </row>
    <row r="358" spans="2:13">
      <c r="B358" s="1" t="s">
        <v>38</v>
      </c>
      <c r="C358" s="1" t="s">
        <v>28</v>
      </c>
      <c r="D358" s="1">
        <v>7</v>
      </c>
      <c r="E358" s="1">
        <v>15</v>
      </c>
      <c r="F358" s="1">
        <v>76247</v>
      </c>
      <c r="G358" s="1">
        <v>236365.7</v>
      </c>
      <c r="H358" s="1">
        <v>3395</v>
      </c>
      <c r="I358" s="1">
        <v>63285.009999999995</v>
      </c>
      <c r="J358" s="1">
        <v>303045.71000000002</v>
      </c>
      <c r="K358" s="1">
        <v>3.9745263420200141</v>
      </c>
      <c r="L358" s="1"/>
      <c r="M358" s="1">
        <v>0</v>
      </c>
    </row>
    <row r="359" spans="2:13">
      <c r="B359" s="1" t="s">
        <v>39</v>
      </c>
      <c r="C359" s="1" t="s">
        <v>28</v>
      </c>
      <c r="D359" s="1">
        <v>1417</v>
      </c>
      <c r="E359" s="1">
        <v>537</v>
      </c>
      <c r="F359" s="1">
        <v>1456806</v>
      </c>
      <c r="G359" s="1">
        <v>9906280.7999999989</v>
      </c>
      <c r="H359" s="1">
        <v>474308.37</v>
      </c>
      <c r="I359" s="1">
        <v>2665954.98</v>
      </c>
      <c r="J359" s="1">
        <v>13046544.149999999</v>
      </c>
      <c r="K359" s="1">
        <v>8.9555810107866094</v>
      </c>
      <c r="L359" s="1"/>
      <c r="M359" s="1">
        <v>0</v>
      </c>
    </row>
    <row r="360" spans="2:13">
      <c r="B360" s="1" t="s">
        <v>40</v>
      </c>
      <c r="C360" s="1" t="s">
        <v>28</v>
      </c>
      <c r="D360" s="1">
        <v>3</v>
      </c>
      <c r="E360" s="1">
        <v>367</v>
      </c>
      <c r="F360" s="1">
        <v>4555595</v>
      </c>
      <c r="G360" s="1">
        <v>30978046</v>
      </c>
      <c r="H360" s="1">
        <v>3728670.07</v>
      </c>
      <c r="I360" s="1">
        <v>8336738.8500000006</v>
      </c>
      <c r="J360" s="1">
        <v>43043454.920000002</v>
      </c>
      <c r="K360" s="1">
        <v>9.4484814650995101</v>
      </c>
      <c r="L360" s="1"/>
      <c r="M360" s="1">
        <v>0</v>
      </c>
    </row>
    <row r="361" spans="2:13">
      <c r="B361" s="1" t="s">
        <v>41</v>
      </c>
      <c r="C361" s="1" t="s">
        <v>28</v>
      </c>
      <c r="D361" s="1">
        <v>0</v>
      </c>
      <c r="E361" s="1">
        <v>39</v>
      </c>
      <c r="F361" s="1">
        <v>14932420</v>
      </c>
      <c r="G361" s="1">
        <v>88101278</v>
      </c>
      <c r="H361" s="1">
        <v>9337206.5</v>
      </c>
      <c r="I361" s="1">
        <v>23742547.800000001</v>
      </c>
      <c r="J361" s="1">
        <v>121181032.3</v>
      </c>
      <c r="K361" s="1">
        <v>8.1152976074875998</v>
      </c>
      <c r="L361" s="1"/>
      <c r="M361" s="1">
        <v>0</v>
      </c>
    </row>
    <row r="362" spans="2:13">
      <c r="B362" s="1" t="s">
        <v>42</v>
      </c>
      <c r="C362" s="1" t="s">
        <v>28</v>
      </c>
      <c r="D362" s="1">
        <v>2</v>
      </c>
      <c r="E362" s="1">
        <v>102</v>
      </c>
      <c r="F362" s="1">
        <v>30062129</v>
      </c>
      <c r="G362" s="1">
        <v>190894519.14999998</v>
      </c>
      <c r="H362" s="1">
        <v>17736895.41</v>
      </c>
      <c r="I362" s="1">
        <v>51406240.589999996</v>
      </c>
      <c r="J362" s="1">
        <v>260037655.14999998</v>
      </c>
      <c r="K362" s="1">
        <v>8.6500079601813962</v>
      </c>
      <c r="L362" s="1"/>
      <c r="M362" s="1">
        <v>0</v>
      </c>
    </row>
    <row r="363" spans="2:13">
      <c r="B363" s="1" t="s">
        <v>43</v>
      </c>
      <c r="C363" s="1" t="s">
        <v>28</v>
      </c>
      <c r="D363" s="1">
        <v>0</v>
      </c>
      <c r="E363" s="1">
        <v>10</v>
      </c>
      <c r="F363" s="1">
        <v>2891449</v>
      </c>
      <c r="G363" s="1">
        <v>9830926.5999999996</v>
      </c>
      <c r="H363" s="1">
        <v>1535620</v>
      </c>
      <c r="I363" s="1">
        <v>2631218.5900000003</v>
      </c>
      <c r="J363" s="1">
        <v>13997765.189999999</v>
      </c>
      <c r="K363" s="1">
        <v>4.841090121250625</v>
      </c>
      <c r="L363" s="1"/>
      <c r="M363" s="1">
        <v>0</v>
      </c>
    </row>
    <row r="364" spans="2:13">
      <c r="B364" s="1" t="s">
        <v>44</v>
      </c>
      <c r="C364" s="1" t="s">
        <v>28</v>
      </c>
      <c r="D364" s="1">
        <v>0</v>
      </c>
      <c r="E364" s="1">
        <v>4</v>
      </c>
      <c r="F364" s="1">
        <v>295476</v>
      </c>
      <c r="G364" s="1">
        <v>2555867.4</v>
      </c>
      <c r="H364" s="1">
        <v>1000</v>
      </c>
      <c r="I364" s="1">
        <v>688459.08000000007</v>
      </c>
      <c r="J364" s="1">
        <v>3245326.48</v>
      </c>
      <c r="K364" s="1">
        <v>10.983384369627313</v>
      </c>
      <c r="L364" s="1"/>
      <c r="M364" s="1">
        <v>0</v>
      </c>
    </row>
    <row r="365" spans="2:13">
      <c r="B365" s="1" t="s">
        <v>45</v>
      </c>
      <c r="C365" s="1" t="s">
        <v>28</v>
      </c>
      <c r="D365" s="1">
        <v>0</v>
      </c>
      <c r="E365" s="1">
        <v>9</v>
      </c>
      <c r="F365" s="1">
        <v>4093720</v>
      </c>
      <c r="G365" s="1">
        <v>22924832</v>
      </c>
      <c r="H365" s="1">
        <v>1739932</v>
      </c>
      <c r="I365" s="1">
        <v>6181517.2000000002</v>
      </c>
      <c r="J365" s="1">
        <v>30846281.199999999</v>
      </c>
      <c r="K365" s="1">
        <v>7.5350246719365268</v>
      </c>
      <c r="L365" s="1"/>
      <c r="M365" s="1">
        <v>0</v>
      </c>
    </row>
    <row r="366" spans="2:13">
      <c r="B366" s="1" t="s">
        <v>46</v>
      </c>
      <c r="C366" s="1"/>
      <c r="D366" s="1"/>
      <c r="E366" s="1"/>
      <c r="F366" s="1"/>
      <c r="G366" s="1">
        <v>443604.64</v>
      </c>
      <c r="H366" s="1">
        <v>464555.58</v>
      </c>
      <c r="I366" s="1">
        <v>0</v>
      </c>
      <c r="J366" s="1">
        <v>908160.22</v>
      </c>
      <c r="K366" s="1"/>
      <c r="L366" s="1"/>
      <c r="M366" s="1"/>
    </row>
    <row r="367" spans="2:13">
      <c r="B367" s="1" t="s">
        <v>47</v>
      </c>
      <c r="C367" s="1"/>
      <c r="D367" s="1">
        <v>892099</v>
      </c>
      <c r="E367" s="1">
        <v>144937</v>
      </c>
      <c r="F367" s="1">
        <v>374679963.79000002</v>
      </c>
      <c r="G367" s="1">
        <v>2112679715.8114007</v>
      </c>
      <c r="H367" s="1">
        <v>234365689.75</v>
      </c>
      <c r="I367" s="1">
        <v>568919109.70080018</v>
      </c>
      <c r="J367" s="1">
        <v>2915964515.2622008</v>
      </c>
      <c r="K367" s="1">
        <v>7.7825472324870182</v>
      </c>
      <c r="L367" s="1">
        <v>0</v>
      </c>
      <c r="M367" s="1">
        <v>0</v>
      </c>
    </row>
    <row r="368" spans="2:13">
      <c r="B368" s="1"/>
      <c r="C368" s="1"/>
      <c r="D368" s="1"/>
      <c r="E368" s="1"/>
      <c r="F368" s="1"/>
      <c r="G368" s="1"/>
      <c r="H368" s="1"/>
      <c r="I368" s="1" t="s">
        <v>48</v>
      </c>
      <c r="J368" s="1">
        <v>15503214.369999999</v>
      </c>
      <c r="K368" s="1"/>
      <c r="L368" s="1"/>
      <c r="M368" s="1"/>
    </row>
    <row r="369" spans="2:13">
      <c r="B369" s="1"/>
      <c r="C369" s="1"/>
      <c r="D369" s="1"/>
      <c r="E369" s="1"/>
      <c r="F369" s="1"/>
      <c r="G369" s="1"/>
      <c r="H369" s="1"/>
      <c r="I369" s="1" t="s">
        <v>49</v>
      </c>
      <c r="J369" s="1">
        <v>536574088.95999998</v>
      </c>
      <c r="K369" s="1"/>
      <c r="L369" s="1">
        <v>-536574088.95999998</v>
      </c>
      <c r="M369" s="1"/>
    </row>
    <row r="370" spans="2:13">
      <c r="B370" s="1"/>
      <c r="C370" s="1"/>
      <c r="D370" s="1"/>
      <c r="E370" s="1"/>
      <c r="F370" s="1"/>
      <c r="G370" s="1"/>
      <c r="H370" s="1"/>
      <c r="I370" s="1" t="s">
        <v>50</v>
      </c>
      <c r="J370" s="1">
        <v>-37222.17</v>
      </c>
      <c r="K370" s="1"/>
      <c r="L370" s="1"/>
      <c r="M370" s="1"/>
    </row>
    <row r="371" spans="2:13">
      <c r="B371" s="1"/>
      <c r="C371" s="1"/>
      <c r="D371" s="1"/>
      <c r="E371" s="1"/>
      <c r="F371" s="1"/>
      <c r="G371" s="1"/>
      <c r="H371" s="1"/>
      <c r="I371" s="1" t="s">
        <v>51</v>
      </c>
      <c r="J371" s="1">
        <v>11998713.43</v>
      </c>
      <c r="K371" s="1"/>
      <c r="L371" s="1"/>
      <c r="M371" s="1"/>
    </row>
    <row r="372" spans="2:13">
      <c r="B372" s="1"/>
      <c r="C372" s="1"/>
      <c r="D372" s="1"/>
      <c r="E372" s="1"/>
      <c r="F372" s="1"/>
      <c r="G372" s="1"/>
      <c r="H372" s="1"/>
      <c r="I372" s="1" t="s">
        <v>52</v>
      </c>
      <c r="J372" s="1">
        <v>11411460.09</v>
      </c>
      <c r="K372" s="1"/>
      <c r="L372" s="1"/>
      <c r="M372" s="1"/>
    </row>
    <row r="373" spans="2:13">
      <c r="B373" s="1"/>
      <c r="C373" s="1"/>
      <c r="D373" s="1"/>
      <c r="E373" s="1"/>
      <c r="F373" s="1"/>
      <c r="G373" s="1"/>
      <c r="H373" s="1"/>
      <c r="I373" s="1" t="s">
        <v>47</v>
      </c>
      <c r="J373" s="1">
        <v>3491414769.9422007</v>
      </c>
      <c r="K373" s="1"/>
      <c r="L373" s="1"/>
      <c r="M373" s="1"/>
    </row>
    <row r="374" spans="2:13">
      <c r="B374" s="1"/>
      <c r="C374" s="1"/>
      <c r="D374" s="1"/>
      <c r="E374" s="1"/>
      <c r="F374" s="1"/>
      <c r="G374" s="1"/>
      <c r="H374" s="1"/>
      <c r="I374" s="1" t="s">
        <v>53</v>
      </c>
      <c r="J374" s="1">
        <v>-9421073.8399999999</v>
      </c>
      <c r="K374" s="1"/>
      <c r="L374" s="1"/>
      <c r="M374" s="1"/>
    </row>
    <row r="375" spans="2:13">
      <c r="B375" s="1"/>
      <c r="C375" s="1"/>
      <c r="D375" s="1"/>
      <c r="E375" s="1"/>
      <c r="F375" s="1"/>
      <c r="G375" s="1"/>
      <c r="H375" s="1"/>
      <c r="I375" s="1" t="s">
        <v>54</v>
      </c>
      <c r="J375" s="1">
        <v>-62860837.100000001</v>
      </c>
      <c r="K375" s="1"/>
      <c r="L375" s="1"/>
      <c r="M375" s="1"/>
    </row>
    <row r="376" spans="2:13">
      <c r="B376" s="1"/>
      <c r="C376" s="1"/>
      <c r="D376" s="1"/>
      <c r="E376" s="1"/>
      <c r="F376" s="1"/>
      <c r="G376" s="1"/>
      <c r="H376" s="1"/>
      <c r="I376" s="1" t="s">
        <v>55</v>
      </c>
      <c r="J376" s="1">
        <v>-300487.98</v>
      </c>
      <c r="K376" s="1"/>
      <c r="L376" s="1"/>
      <c r="M376" s="1"/>
    </row>
    <row r="377" spans="2:13">
      <c r="B377" s="1"/>
      <c r="C377" s="1"/>
      <c r="D377" s="1"/>
      <c r="E377" s="1"/>
      <c r="F377" s="1"/>
      <c r="G377" s="1"/>
      <c r="H377" s="1"/>
      <c r="I377" s="1" t="s">
        <v>56</v>
      </c>
      <c r="J377" s="1">
        <v>0</v>
      </c>
      <c r="K377" s="1"/>
      <c r="L377" s="1"/>
      <c r="M377" s="1"/>
    </row>
    <row r="378" spans="2:13">
      <c r="B378" s="1"/>
      <c r="C378" s="1"/>
      <c r="D378" s="1"/>
      <c r="E378" s="1"/>
      <c r="F378" s="1"/>
      <c r="G378" s="1"/>
      <c r="H378" s="1"/>
      <c r="I378" s="1" t="s">
        <v>57</v>
      </c>
      <c r="J378" s="1">
        <v>3418832371.0222006</v>
      </c>
      <c r="K378" s="1"/>
      <c r="L378" s="1"/>
      <c r="M378" s="1"/>
    </row>
    <row r="379" spans="2:13">
      <c r="B379" s="1"/>
      <c r="C379" s="1"/>
      <c r="D379" s="1"/>
      <c r="E379" s="1"/>
      <c r="F379" s="1"/>
      <c r="G379" s="1"/>
      <c r="H379" s="1"/>
      <c r="I379" s="1" t="s">
        <v>58</v>
      </c>
      <c r="J379" s="1">
        <v>9.3183919807867355</v>
      </c>
      <c r="K379" s="1"/>
      <c r="L379" s="1"/>
      <c r="M379" s="1"/>
    </row>
    <row r="380" spans="2:13">
      <c r="B380" s="1"/>
      <c r="C380" s="1"/>
      <c r="D380" s="1"/>
      <c r="E380" s="1"/>
      <c r="F380" s="1"/>
      <c r="G380" s="1"/>
      <c r="H380" s="1"/>
      <c r="I380" s="1" t="s">
        <v>59</v>
      </c>
      <c r="J380" s="1">
        <v>49684415.960000001</v>
      </c>
      <c r="K380" s="1"/>
      <c r="L380" s="1"/>
      <c r="M380" s="1"/>
    </row>
    <row r="381" spans="2:13">
      <c r="B381" s="1"/>
      <c r="C381" s="1"/>
      <c r="D381" s="1"/>
      <c r="E381" s="1"/>
      <c r="F381" s="1"/>
      <c r="G381" s="1"/>
      <c r="H381" s="1"/>
      <c r="I381" s="1" t="s">
        <v>60</v>
      </c>
      <c r="J381" s="1">
        <v>3541099185.9022007</v>
      </c>
      <c r="K381" s="1"/>
      <c r="L381" s="1"/>
      <c r="M381" s="1"/>
    </row>
    <row r="382" spans="2:13">
      <c r="B382" s="1"/>
      <c r="C382" s="1"/>
      <c r="D382" s="1"/>
      <c r="E382" s="1"/>
      <c r="F382" s="1"/>
      <c r="G382" s="1"/>
      <c r="H382" s="1"/>
      <c r="I382" s="1" t="s">
        <v>58</v>
      </c>
      <c r="J382" s="1"/>
      <c r="K382" s="1"/>
      <c r="L382" s="1"/>
      <c r="M382" s="1"/>
    </row>
    <row r="383" spans="2:13">
      <c r="B383" s="1"/>
      <c r="C383" s="1"/>
      <c r="D383" s="1"/>
      <c r="E383" s="1"/>
      <c r="F383" s="1"/>
      <c r="G383" s="1"/>
      <c r="H383" s="1"/>
      <c r="I383" s="1"/>
      <c r="J383" s="1">
        <v>9.4509969257040645</v>
      </c>
      <c r="K383" s="1"/>
      <c r="L383" s="1"/>
      <c r="M383" s="1"/>
    </row>
    <row r="384" spans="2:13" ht="15.75" thickBot="1"/>
    <row r="385" spans="2:11">
      <c r="B385" s="5402" t="s">
        <v>76</v>
      </c>
      <c r="C385" s="5403"/>
      <c r="D385" s="5403"/>
      <c r="E385" s="5403"/>
      <c r="F385" s="5403"/>
      <c r="G385" s="5404"/>
    </row>
    <row r="386" spans="2:11" ht="30">
      <c r="B386" s="7" t="s">
        <v>1</v>
      </c>
      <c r="C386" s="7" t="s">
        <v>2</v>
      </c>
      <c r="D386" s="7" t="s">
        <v>62</v>
      </c>
      <c r="E386" s="7"/>
      <c r="F386" s="7" t="s">
        <v>4</v>
      </c>
      <c r="G386" s="7" t="s">
        <v>5</v>
      </c>
      <c r="H386" s="7" t="s">
        <v>6</v>
      </c>
      <c r="I386" s="7" t="s">
        <v>7</v>
      </c>
      <c r="J386" s="7" t="s">
        <v>8</v>
      </c>
      <c r="K386" s="7" t="s">
        <v>63</v>
      </c>
    </row>
    <row r="387" spans="2:11">
      <c r="B387" s="1"/>
      <c r="C387" s="1"/>
      <c r="D387" s="1" t="s">
        <v>12</v>
      </c>
      <c r="E387" s="1" t="s">
        <v>13</v>
      </c>
      <c r="F387" s="1"/>
      <c r="G387" s="1"/>
      <c r="H387" s="1"/>
      <c r="I387" s="1"/>
      <c r="J387" s="1"/>
      <c r="K387" s="1"/>
    </row>
    <row r="388" spans="2:11">
      <c r="B388" s="1" t="s">
        <v>14</v>
      </c>
      <c r="C388" s="1" t="s">
        <v>15</v>
      </c>
      <c r="D388" s="1">
        <v>583</v>
      </c>
      <c r="E388" s="1">
        <v>0</v>
      </c>
      <c r="F388" s="1">
        <v>57350</v>
      </c>
      <c r="G388" s="1">
        <v>25234</v>
      </c>
      <c r="H388" s="1">
        <v>1400.6</v>
      </c>
      <c r="I388" s="1">
        <v>6882</v>
      </c>
      <c r="J388" s="1">
        <v>33516.6</v>
      </c>
      <c r="K388" s="1">
        <v>0.58442197035745425</v>
      </c>
    </row>
    <row r="389" spans="2:11">
      <c r="B389" s="1" t="s">
        <v>16</v>
      </c>
      <c r="C389" s="1" t="s">
        <v>17</v>
      </c>
      <c r="D389" s="1">
        <v>234525</v>
      </c>
      <c r="E389" s="1">
        <v>13687</v>
      </c>
      <c r="F389" s="1">
        <v>58785361</v>
      </c>
      <c r="G389" s="1">
        <v>121112807.06</v>
      </c>
      <c r="H389" s="5399">
        <v>62964088.57</v>
      </c>
      <c r="I389" s="1">
        <v>32348085.550000004</v>
      </c>
      <c r="J389" s="5399">
        <v>924715873.71000004</v>
      </c>
      <c r="K389" s="1">
        <v>5.4621596070927589</v>
      </c>
    </row>
    <row r="390" spans="2:11">
      <c r="B390" s="1"/>
      <c r="C390" s="1" t="s">
        <v>18</v>
      </c>
      <c r="D390" s="1">
        <v>354517</v>
      </c>
      <c r="E390" s="1">
        <v>19205</v>
      </c>
      <c r="F390" s="1">
        <v>56598688</v>
      </c>
      <c r="G390" s="1">
        <v>215652611.94</v>
      </c>
      <c r="H390" s="5400"/>
      <c r="I390" s="1">
        <v>58320097.620000005</v>
      </c>
      <c r="J390" s="5400"/>
      <c r="K390" s="1"/>
    </row>
    <row r="391" spans="2:11">
      <c r="B391" s="1"/>
      <c r="C391" s="1" t="s">
        <v>19</v>
      </c>
      <c r="D391" s="1">
        <v>58501</v>
      </c>
      <c r="E391" s="1">
        <v>17262</v>
      </c>
      <c r="F391" s="1">
        <v>18478747</v>
      </c>
      <c r="G391" s="1">
        <v>99046556.900000006</v>
      </c>
      <c r="H391" s="5400"/>
      <c r="I391" s="1">
        <v>26620747.199999999</v>
      </c>
      <c r="J391" s="5400"/>
      <c r="K391" s="1"/>
    </row>
    <row r="392" spans="2:11">
      <c r="B392" s="1"/>
      <c r="C392" s="1" t="s">
        <v>20</v>
      </c>
      <c r="D392" s="1">
        <v>19321</v>
      </c>
      <c r="E392" s="1">
        <v>32941</v>
      </c>
      <c r="F392" s="1">
        <v>35432124</v>
      </c>
      <c r="G392" s="1">
        <v>243065535.42000002</v>
      </c>
      <c r="H392" s="5401"/>
      <c r="I392" s="1">
        <v>65585343.450000003</v>
      </c>
      <c r="J392" s="5401"/>
      <c r="K392" s="1"/>
    </row>
    <row r="393" spans="2:11">
      <c r="B393" s="1" t="s">
        <v>21</v>
      </c>
      <c r="C393" s="1" t="s">
        <v>22</v>
      </c>
      <c r="D393" s="1">
        <v>177119</v>
      </c>
      <c r="E393" s="1">
        <v>14044</v>
      </c>
      <c r="F393" s="1">
        <v>-17141</v>
      </c>
      <c r="G393" s="1">
        <v>-68564</v>
      </c>
      <c r="H393" s="5399">
        <v>63015834.140000001</v>
      </c>
      <c r="I393" s="1"/>
      <c r="J393" s="5399">
        <v>777176778.06000006</v>
      </c>
      <c r="K393" s="1">
        <v>9.1758028932836879</v>
      </c>
    </row>
    <row r="394" spans="2:11">
      <c r="B394" s="1"/>
      <c r="C394" s="1" t="s">
        <v>19</v>
      </c>
      <c r="D394" s="1">
        <v>23201</v>
      </c>
      <c r="E394" s="1">
        <v>5234</v>
      </c>
      <c r="F394" s="1">
        <v>-5376</v>
      </c>
      <c r="G394" s="1">
        <v>-32256</v>
      </c>
      <c r="H394" s="5400"/>
      <c r="I394" s="1"/>
      <c r="J394" s="5400"/>
      <c r="K394" s="1"/>
    </row>
    <row r="395" spans="2:11">
      <c r="B395" s="1"/>
      <c r="C395" s="1" t="s">
        <v>23</v>
      </c>
      <c r="D395" s="1">
        <v>15051</v>
      </c>
      <c r="E395" s="1">
        <v>9699</v>
      </c>
      <c r="F395" s="1">
        <v>-5535</v>
      </c>
      <c r="G395" s="1">
        <v>-38191.5</v>
      </c>
      <c r="H395" s="5400"/>
      <c r="I395" s="1"/>
      <c r="J395" s="5400"/>
      <c r="K395" s="1"/>
    </row>
    <row r="396" spans="2:11">
      <c r="B396" s="1"/>
      <c r="C396" s="1" t="s">
        <v>24</v>
      </c>
      <c r="D396" s="1">
        <v>3307</v>
      </c>
      <c r="E396" s="1">
        <v>14120</v>
      </c>
      <c r="F396" s="1">
        <v>-11571</v>
      </c>
      <c r="G396" s="1">
        <v>-87939.599999999991</v>
      </c>
      <c r="H396" s="5400"/>
      <c r="I396" s="1"/>
      <c r="J396" s="5400"/>
      <c r="K396" s="1"/>
    </row>
    <row r="397" spans="2:11">
      <c r="B397" s="1"/>
      <c r="C397" s="1" t="s">
        <v>25</v>
      </c>
      <c r="D397" s="1">
        <v>200320</v>
      </c>
      <c r="E397" s="1">
        <v>19278</v>
      </c>
      <c r="F397" s="1">
        <v>48372515</v>
      </c>
      <c r="G397" s="1">
        <v>266048832.5</v>
      </c>
      <c r="H397" s="5400"/>
      <c r="I397" s="1">
        <v>71591322.200000003</v>
      </c>
      <c r="J397" s="5400"/>
      <c r="K397" s="1"/>
    </row>
    <row r="398" spans="2:11">
      <c r="B398" s="1"/>
      <c r="C398" s="1" t="s">
        <v>26</v>
      </c>
      <c r="D398" s="1">
        <v>18358</v>
      </c>
      <c r="E398" s="1">
        <v>23819</v>
      </c>
      <c r="F398" s="1">
        <v>36365612</v>
      </c>
      <c r="G398" s="1">
        <v>296743393.92000002</v>
      </c>
      <c r="H398" s="5401"/>
      <c r="I398" s="1">
        <v>80004346.400000006</v>
      </c>
      <c r="J398" s="5401"/>
      <c r="K398" s="1"/>
    </row>
    <row r="399" spans="2:11">
      <c r="B399" s="1" t="s">
        <v>27</v>
      </c>
      <c r="C399" s="1" t="s">
        <v>28</v>
      </c>
      <c r="D399" s="1">
        <v>61</v>
      </c>
      <c r="E399" s="1">
        <v>5945</v>
      </c>
      <c r="F399" s="1">
        <v>22682792</v>
      </c>
      <c r="G399" s="1">
        <v>181462336</v>
      </c>
      <c r="H399" s="1">
        <v>22214692.899999999</v>
      </c>
      <c r="I399" s="1">
        <v>48768002.799999997</v>
      </c>
      <c r="J399" s="1">
        <v>252445031.69999999</v>
      </c>
      <c r="K399" s="1">
        <v>11.129363250344136</v>
      </c>
    </row>
    <row r="400" spans="2:11">
      <c r="B400" s="1" t="s">
        <v>29</v>
      </c>
      <c r="C400" s="1" t="s">
        <v>28</v>
      </c>
      <c r="D400" s="1">
        <v>5</v>
      </c>
      <c r="E400" s="1">
        <v>2638</v>
      </c>
      <c r="F400" s="1">
        <v>43951634</v>
      </c>
      <c r="G400" s="1">
        <v>355568719.06</v>
      </c>
      <c r="H400" s="1">
        <v>35680036.399999999</v>
      </c>
      <c r="I400" s="1">
        <v>95814562.120000005</v>
      </c>
      <c r="J400" s="1">
        <v>487063317.57999998</v>
      </c>
      <c r="K400" s="1">
        <v>11.081802273380781</v>
      </c>
    </row>
    <row r="401" spans="2:11">
      <c r="B401" s="1" t="s">
        <v>30</v>
      </c>
      <c r="C401" s="1" t="s">
        <v>22</v>
      </c>
      <c r="D401" s="1">
        <v>2536</v>
      </c>
      <c r="E401" s="1">
        <v>2920</v>
      </c>
      <c r="F401" s="1">
        <v>-347</v>
      </c>
      <c r="G401" s="1">
        <v>-1283.9000000000001</v>
      </c>
      <c r="H401" s="5399">
        <v>3029366.27</v>
      </c>
      <c r="I401" s="1"/>
      <c r="J401" s="5399">
        <v>37839053.669999994</v>
      </c>
      <c r="K401" s="1">
        <v>8.7709988085607442</v>
      </c>
    </row>
    <row r="402" spans="2:11">
      <c r="B402" s="1"/>
      <c r="C402" s="1" t="s">
        <v>19</v>
      </c>
      <c r="D402" s="1">
        <v>206</v>
      </c>
      <c r="E402" s="1">
        <v>746</v>
      </c>
      <c r="F402" s="1">
        <v>-6</v>
      </c>
      <c r="G402" s="1">
        <v>-33</v>
      </c>
      <c r="H402" s="5400"/>
      <c r="I402" s="1"/>
      <c r="J402" s="5400"/>
      <c r="K402" s="1"/>
    </row>
    <row r="403" spans="2:11">
      <c r="B403" s="1"/>
      <c r="C403" s="1" t="s">
        <v>23</v>
      </c>
      <c r="D403" s="1">
        <v>119</v>
      </c>
      <c r="E403" s="1">
        <v>1125</v>
      </c>
      <c r="F403" s="1">
        <v>0</v>
      </c>
      <c r="G403" s="1">
        <v>0</v>
      </c>
      <c r="H403" s="5400"/>
      <c r="I403" s="1"/>
      <c r="J403" s="5400"/>
      <c r="K403" s="1"/>
    </row>
    <row r="404" spans="2:11">
      <c r="B404" s="1"/>
      <c r="C404" s="1" t="s">
        <v>24</v>
      </c>
      <c r="D404" s="1">
        <v>34</v>
      </c>
      <c r="E404" s="1">
        <v>1206</v>
      </c>
      <c r="F404" s="1">
        <v>0</v>
      </c>
      <c r="G404" s="1">
        <v>0</v>
      </c>
      <c r="H404" s="5400"/>
      <c r="I404" s="1"/>
      <c r="J404" s="5400"/>
      <c r="K404" s="1"/>
    </row>
    <row r="405" spans="2:11">
      <c r="B405" s="1"/>
      <c r="C405" s="1" t="s">
        <v>25</v>
      </c>
      <c r="D405" s="1">
        <v>2742</v>
      </c>
      <c r="E405" s="1">
        <v>3666</v>
      </c>
      <c r="F405" s="1">
        <v>1921914</v>
      </c>
      <c r="G405" s="1">
        <v>10013171.939999999</v>
      </c>
      <c r="H405" s="5400"/>
      <c r="I405" s="1">
        <v>2690679.5999999996</v>
      </c>
      <c r="J405" s="5400"/>
      <c r="K405" s="1"/>
    </row>
    <row r="406" spans="2:11">
      <c r="B406" s="1"/>
      <c r="C406" s="1" t="s">
        <v>26</v>
      </c>
      <c r="D406" s="1">
        <v>153</v>
      </c>
      <c r="E406" s="1">
        <v>2331</v>
      </c>
      <c r="F406" s="1">
        <v>2392549</v>
      </c>
      <c r="G406" s="1">
        <v>17417756.719999999</v>
      </c>
      <c r="H406" s="5401"/>
      <c r="I406" s="1">
        <v>4689396.04</v>
      </c>
      <c r="J406" s="5401"/>
      <c r="K406" s="1"/>
    </row>
    <row r="407" spans="2:11">
      <c r="B407" s="1" t="s">
        <v>31</v>
      </c>
      <c r="C407" s="1" t="s">
        <v>28</v>
      </c>
      <c r="D407" s="1">
        <v>9</v>
      </c>
      <c r="E407" s="1">
        <v>1219</v>
      </c>
      <c r="F407" s="1">
        <v>4798708</v>
      </c>
      <c r="G407" s="1">
        <v>31287576.159999996</v>
      </c>
      <c r="H407" s="1">
        <v>5255422.2699999996</v>
      </c>
      <c r="I407" s="1">
        <v>8397739</v>
      </c>
      <c r="J407" s="1">
        <v>44940737.429999992</v>
      </c>
      <c r="K407" s="1">
        <v>9.3651744240324675</v>
      </c>
    </row>
    <row r="408" spans="2:11">
      <c r="B408" s="1" t="s">
        <v>32</v>
      </c>
      <c r="C408" s="1" t="s">
        <v>28</v>
      </c>
      <c r="D408" s="1">
        <v>2</v>
      </c>
      <c r="E408" s="1">
        <v>126</v>
      </c>
      <c r="F408" s="1">
        <v>4375436</v>
      </c>
      <c r="G408" s="1">
        <v>27959036.039999999</v>
      </c>
      <c r="H408" s="1">
        <v>2727655.31</v>
      </c>
      <c r="I408" s="1">
        <v>7525749.9199999999</v>
      </c>
      <c r="J408" s="1">
        <v>38212441.269999996</v>
      </c>
      <c r="K408" s="1">
        <v>8.7334019444005122</v>
      </c>
    </row>
    <row r="409" spans="2:11">
      <c r="B409" s="1" t="s">
        <v>33</v>
      </c>
      <c r="C409" s="1" t="s">
        <v>28</v>
      </c>
      <c r="D409" s="1">
        <v>886</v>
      </c>
      <c r="E409" s="1">
        <v>152</v>
      </c>
      <c r="F409" s="1">
        <v>181430</v>
      </c>
      <c r="G409" s="1">
        <v>2132370.2000000002</v>
      </c>
      <c r="H409" s="1">
        <v>318973.36</v>
      </c>
      <c r="I409" s="1">
        <v>578444.32000000007</v>
      </c>
      <c r="J409" s="1">
        <v>3029787.88</v>
      </c>
      <c r="K409" s="1">
        <v>16.699486744198865</v>
      </c>
    </row>
    <row r="410" spans="2:11">
      <c r="B410" s="1" t="s">
        <v>34</v>
      </c>
      <c r="C410" s="1" t="s">
        <v>28</v>
      </c>
      <c r="D410" s="1"/>
      <c r="E410" s="1"/>
      <c r="F410" s="1">
        <v>2263135.4</v>
      </c>
      <c r="G410" s="1">
        <v>12809346.364</v>
      </c>
      <c r="H410" s="1">
        <v>1789862.54</v>
      </c>
      <c r="I410" s="1">
        <v>3439965.8079999997</v>
      </c>
      <c r="J410" s="1">
        <v>18039174.711999997</v>
      </c>
      <c r="K410" s="1">
        <v>7.9708773553716661</v>
      </c>
    </row>
    <row r="411" spans="2:11">
      <c r="B411" s="1" t="s">
        <v>35</v>
      </c>
      <c r="C411" s="1" t="s">
        <v>28</v>
      </c>
      <c r="D411" s="1">
        <v>556</v>
      </c>
      <c r="E411" s="1">
        <v>125</v>
      </c>
      <c r="F411" s="1">
        <v>341799</v>
      </c>
      <c r="G411" s="1">
        <v>1934582.34</v>
      </c>
      <c r="H411" s="1">
        <v>212400.92</v>
      </c>
      <c r="I411" s="1">
        <v>519534.48</v>
      </c>
      <c r="J411" s="1">
        <v>2666517.7400000002</v>
      </c>
      <c r="K411" s="1">
        <v>7.8014205424825711</v>
      </c>
    </row>
    <row r="412" spans="2:11">
      <c r="B412" s="1" t="s">
        <v>36</v>
      </c>
      <c r="C412" s="1" t="s">
        <v>28</v>
      </c>
      <c r="D412" s="1">
        <v>1</v>
      </c>
      <c r="E412" s="1">
        <v>3</v>
      </c>
      <c r="F412" s="1">
        <v>1028188</v>
      </c>
      <c r="G412" s="1">
        <v>3321047.2399999998</v>
      </c>
      <c r="H412" s="1">
        <v>200466.67</v>
      </c>
      <c r="I412" s="1">
        <v>894523.55999999994</v>
      </c>
      <c r="J412" s="1">
        <v>4416037.47</v>
      </c>
      <c r="K412" s="1">
        <v>4.2949708321824414</v>
      </c>
    </row>
    <row r="413" spans="2:11">
      <c r="B413" s="1" t="s">
        <v>37</v>
      </c>
      <c r="C413" s="1" t="s">
        <v>28</v>
      </c>
      <c r="D413" s="1">
        <v>130</v>
      </c>
      <c r="E413" s="1">
        <v>1457</v>
      </c>
      <c r="F413" s="1">
        <v>3147769</v>
      </c>
      <c r="G413" s="1">
        <v>29557550.91</v>
      </c>
      <c r="H413" s="1">
        <v>1844119.98</v>
      </c>
      <c r="I413" s="1">
        <v>7963855.5699999994</v>
      </c>
      <c r="J413" s="1">
        <v>39365526.460000001</v>
      </c>
      <c r="K413" s="1">
        <v>12.50584984476307</v>
      </c>
    </row>
    <row r="414" spans="2:11">
      <c r="B414" s="1" t="s">
        <v>38</v>
      </c>
      <c r="C414" s="1" t="s">
        <v>28</v>
      </c>
      <c r="D414" s="1">
        <v>7</v>
      </c>
      <c r="E414" s="1">
        <v>15</v>
      </c>
      <c r="F414" s="1">
        <v>128169</v>
      </c>
      <c r="G414" s="1">
        <v>397323.9</v>
      </c>
      <c r="H414" s="1">
        <v>3450</v>
      </c>
      <c r="I414" s="1">
        <v>106380.26999999999</v>
      </c>
      <c r="J414" s="1">
        <v>507154.17000000004</v>
      </c>
      <c r="K414" s="1">
        <v>3.9569175853755594</v>
      </c>
    </row>
    <row r="415" spans="2:11">
      <c r="B415" s="1" t="s">
        <v>39</v>
      </c>
      <c r="C415" s="1" t="s">
        <v>28</v>
      </c>
      <c r="D415" s="1">
        <v>1417</v>
      </c>
      <c r="E415" s="1">
        <v>537</v>
      </c>
      <c r="F415" s="1">
        <v>1496162</v>
      </c>
      <c r="G415" s="1">
        <v>10173901.6</v>
      </c>
      <c r="H415" s="1">
        <v>475183.32</v>
      </c>
      <c r="I415" s="1">
        <v>2737976.46</v>
      </c>
      <c r="J415" s="1">
        <v>13387061.379999999</v>
      </c>
      <c r="K415" s="1">
        <v>8.9476015164133287</v>
      </c>
    </row>
    <row r="416" spans="2:11">
      <c r="B416" s="1" t="s">
        <v>40</v>
      </c>
      <c r="C416" s="1" t="s">
        <v>28</v>
      </c>
      <c r="D416" s="1">
        <v>3</v>
      </c>
      <c r="E416" s="1">
        <v>367</v>
      </c>
      <c r="F416" s="1">
        <v>4888756</v>
      </c>
      <c r="G416" s="1">
        <v>33243540.800000001</v>
      </c>
      <c r="H416" s="1">
        <v>3768924.73</v>
      </c>
      <c r="I416" s="1">
        <v>8946423.4800000004</v>
      </c>
      <c r="J416" s="1">
        <v>45958889.010000005</v>
      </c>
      <c r="K416" s="1">
        <v>9.4009373775250804</v>
      </c>
    </row>
    <row r="417" spans="2:11">
      <c r="B417" s="1" t="s">
        <v>41</v>
      </c>
      <c r="C417" s="1" t="s">
        <v>28</v>
      </c>
      <c r="D417" s="1">
        <v>0</v>
      </c>
      <c r="E417" s="1">
        <v>39</v>
      </c>
      <c r="F417" s="1">
        <v>14514774</v>
      </c>
      <c r="G417" s="1">
        <v>85637166.600000009</v>
      </c>
      <c r="H417" s="1">
        <v>9043472.5</v>
      </c>
      <c r="I417" s="1">
        <v>23078490.66</v>
      </c>
      <c r="J417" s="1">
        <v>117759129.76000001</v>
      </c>
      <c r="K417" s="1">
        <v>8.1130529321365952</v>
      </c>
    </row>
    <row r="418" spans="2:11">
      <c r="B418" s="1" t="s">
        <v>42</v>
      </c>
      <c r="C418" s="1" t="s">
        <v>28</v>
      </c>
      <c r="D418" s="1">
        <v>2</v>
      </c>
      <c r="E418" s="1">
        <v>102</v>
      </c>
      <c r="F418" s="1">
        <v>32254763</v>
      </c>
      <c r="G418" s="1">
        <v>204817745.04999998</v>
      </c>
      <c r="H418" s="1">
        <v>18023790.079999998</v>
      </c>
      <c r="I418" s="1">
        <v>55155644.729999997</v>
      </c>
      <c r="J418" s="1">
        <v>277997179.86000001</v>
      </c>
      <c r="K418" s="1">
        <v>8.6187946834394662</v>
      </c>
    </row>
    <row r="419" spans="2:11">
      <c r="B419" s="1" t="s">
        <v>43</v>
      </c>
      <c r="C419" s="1" t="s">
        <v>28</v>
      </c>
      <c r="D419" s="1">
        <v>0</v>
      </c>
      <c r="E419" s="1">
        <v>10</v>
      </c>
      <c r="F419" s="1">
        <v>2951805</v>
      </c>
      <c r="G419" s="1">
        <v>10036137</v>
      </c>
      <c r="H419" s="1">
        <v>1530669.8</v>
      </c>
      <c r="I419" s="1">
        <v>2686142.5500000003</v>
      </c>
      <c r="J419" s="1">
        <v>14252949.350000001</v>
      </c>
      <c r="K419" s="1">
        <v>4.8285538340100382</v>
      </c>
    </row>
    <row r="420" spans="2:11">
      <c r="B420" s="1" t="s">
        <v>44</v>
      </c>
      <c r="C420" s="1" t="s">
        <v>28</v>
      </c>
      <c r="D420" s="1">
        <v>0</v>
      </c>
      <c r="E420" s="1">
        <v>4</v>
      </c>
      <c r="F420" s="1">
        <v>480602</v>
      </c>
      <c r="G420" s="1">
        <v>4157207.3000000003</v>
      </c>
      <c r="H420" s="1">
        <v>1250</v>
      </c>
      <c r="I420" s="1">
        <v>1119802.6600000001</v>
      </c>
      <c r="J420" s="1">
        <v>5278259.9600000009</v>
      </c>
      <c r="K420" s="1">
        <v>10.982600904698693</v>
      </c>
    </row>
    <row r="421" spans="2:11">
      <c r="B421" s="1" t="s">
        <v>45</v>
      </c>
      <c r="C421" s="1" t="s">
        <v>28</v>
      </c>
      <c r="D421" s="1">
        <v>0</v>
      </c>
      <c r="E421" s="1">
        <v>9</v>
      </c>
      <c r="F421" s="1">
        <v>4248164</v>
      </c>
      <c r="G421" s="1">
        <v>23789718.399999999</v>
      </c>
      <c r="H421" s="1">
        <v>1757832</v>
      </c>
      <c r="I421" s="1">
        <v>6414727.6399999997</v>
      </c>
      <c r="J421" s="1">
        <v>31962278.039999999</v>
      </c>
      <c r="K421" s="1">
        <v>7.5237862850869224</v>
      </c>
    </row>
    <row r="422" spans="2:11">
      <c r="B422" s="1" t="s">
        <v>46</v>
      </c>
      <c r="C422" s="1"/>
      <c r="D422" s="1"/>
      <c r="E422" s="1"/>
      <c r="F422" s="1"/>
      <c r="G422" s="1">
        <v>-1000.29</v>
      </c>
      <c r="H422" s="1">
        <v>0</v>
      </c>
      <c r="I422" s="1">
        <v>0</v>
      </c>
      <c r="J422" s="1">
        <v>-1000.29</v>
      </c>
      <c r="K422" s="1"/>
    </row>
    <row r="423" spans="2:11">
      <c r="B423" s="1" t="s">
        <v>47</v>
      </c>
      <c r="C423" s="1"/>
      <c r="D423" s="1">
        <v>892099</v>
      </c>
      <c r="E423" s="1">
        <v>144937</v>
      </c>
      <c r="F423" s="1">
        <v>402098970.39999998</v>
      </c>
      <c r="G423" s="1">
        <v>2287181937.0740004</v>
      </c>
      <c r="H423" s="1">
        <v>233858892.36000001</v>
      </c>
      <c r="I423" s="1">
        <v>616004866.08800006</v>
      </c>
      <c r="J423" s="1">
        <v>3137045695.5220003</v>
      </c>
      <c r="K423" s="1">
        <v>7.8016755238177566</v>
      </c>
    </row>
    <row r="424" spans="2:11">
      <c r="B424" s="1"/>
      <c r="C424" s="1"/>
      <c r="D424" s="1"/>
      <c r="E424" s="1"/>
      <c r="F424" s="1"/>
      <c r="G424" s="1"/>
      <c r="H424" s="1"/>
      <c r="I424" s="1" t="s">
        <v>48</v>
      </c>
      <c r="J424" s="1">
        <v>12072689.310000001</v>
      </c>
      <c r="K424" s="1"/>
    </row>
    <row r="425" spans="2:11">
      <c r="B425" s="1"/>
      <c r="C425" s="1"/>
      <c r="D425" s="1"/>
      <c r="E425" s="1"/>
      <c r="F425" s="1"/>
      <c r="G425" s="1"/>
      <c r="H425" s="1"/>
      <c r="I425" s="1" t="s">
        <v>49</v>
      </c>
      <c r="J425" s="1">
        <v>366371287.95999998</v>
      </c>
      <c r="K425" s="1"/>
    </row>
    <row r="426" spans="2:11">
      <c r="B426" s="1"/>
      <c r="C426" s="1"/>
      <c r="D426" s="1"/>
      <c r="E426" s="1"/>
      <c r="F426" s="1"/>
      <c r="G426" s="1"/>
      <c r="H426" s="1"/>
      <c r="I426" s="1" t="s">
        <v>50</v>
      </c>
      <c r="J426" s="1">
        <v>0</v>
      </c>
      <c r="K426" s="1"/>
    </row>
    <row r="427" spans="2:11">
      <c r="B427" s="1"/>
      <c r="C427" s="1"/>
      <c r="D427" s="1"/>
      <c r="E427" s="1"/>
      <c r="F427" s="1"/>
      <c r="G427" s="1"/>
      <c r="H427" s="1"/>
      <c r="I427" s="1" t="s">
        <v>51</v>
      </c>
      <c r="J427" s="1">
        <v>14177428.75</v>
      </c>
      <c r="K427" s="1"/>
    </row>
    <row r="428" spans="2:11">
      <c r="B428" s="1"/>
      <c r="C428" s="1"/>
      <c r="D428" s="1"/>
      <c r="E428" s="1"/>
      <c r="F428" s="1"/>
      <c r="G428" s="1"/>
      <c r="H428" s="1"/>
      <c r="I428" s="1" t="s">
        <v>52</v>
      </c>
      <c r="J428" s="1">
        <v>8350407.8600000003</v>
      </c>
      <c r="K428" s="1"/>
    </row>
    <row r="429" spans="2:11">
      <c r="B429" s="1"/>
      <c r="C429" s="1"/>
      <c r="D429" s="1"/>
      <c r="E429" s="1"/>
      <c r="F429" s="1"/>
      <c r="G429" s="1"/>
      <c r="H429" s="1"/>
      <c r="I429" s="1" t="s">
        <v>47</v>
      </c>
      <c r="J429" s="1">
        <v>3538017509.4020004</v>
      </c>
      <c r="K429" s="1"/>
    </row>
    <row r="430" spans="2:11">
      <c r="B430" s="1"/>
      <c r="C430" s="1"/>
      <c r="D430" s="1"/>
      <c r="E430" s="1"/>
      <c r="F430" s="1"/>
      <c r="G430" s="1"/>
      <c r="H430" s="1"/>
      <c r="I430" s="1" t="s">
        <v>53</v>
      </c>
      <c r="J430" s="1">
        <v>-9725066.6799999997</v>
      </c>
      <c r="K430" s="1"/>
    </row>
    <row r="431" spans="2:11">
      <c r="B431" s="1"/>
      <c r="C431" s="1"/>
      <c r="D431" s="1"/>
      <c r="E431" s="1"/>
      <c r="F431" s="1"/>
      <c r="G431" s="1"/>
      <c r="H431" s="1"/>
      <c r="I431" s="1" t="s">
        <v>54</v>
      </c>
      <c r="J431" s="1">
        <v>-63485728.399999999</v>
      </c>
      <c r="K431" s="1"/>
    </row>
    <row r="432" spans="2:11">
      <c r="B432" s="1"/>
      <c r="C432" s="1"/>
      <c r="D432" s="1"/>
      <c r="E432" s="1"/>
      <c r="F432" s="1"/>
      <c r="G432" s="1"/>
      <c r="H432" s="1"/>
      <c r="I432" s="1" t="s">
        <v>55</v>
      </c>
      <c r="J432" s="1">
        <v>-306832.90999999997</v>
      </c>
      <c r="K432" s="1"/>
    </row>
    <row r="433" spans="2:11">
      <c r="B433" s="1"/>
      <c r="C433" s="1"/>
      <c r="D433" s="1"/>
      <c r="E433" s="1"/>
      <c r="F433" s="1"/>
      <c r="G433" s="1"/>
      <c r="H433" s="1"/>
      <c r="I433" s="1" t="s">
        <v>56</v>
      </c>
      <c r="J433" s="1">
        <v>0</v>
      </c>
      <c r="K433" s="1"/>
    </row>
    <row r="434" spans="2:11">
      <c r="B434" s="1"/>
      <c r="C434" s="1"/>
      <c r="D434" s="1"/>
      <c r="E434" s="1"/>
      <c r="F434" s="1"/>
      <c r="G434" s="1"/>
      <c r="H434" s="1"/>
      <c r="I434" s="1" t="s">
        <v>57</v>
      </c>
      <c r="J434" s="1">
        <v>3464499881.4120007</v>
      </c>
      <c r="K434" s="1"/>
    </row>
    <row r="435" spans="2:11">
      <c r="B435" s="1"/>
      <c r="C435" s="1"/>
      <c r="D435" s="1"/>
      <c r="E435" s="1"/>
      <c r="F435" s="1"/>
      <c r="G435" s="1"/>
      <c r="H435" s="1"/>
      <c r="I435" s="1" t="s">
        <v>58</v>
      </c>
      <c r="J435" s="1">
        <v>8.7988723420068737</v>
      </c>
      <c r="K435" s="1"/>
    </row>
    <row r="436" spans="2:11">
      <c r="B436" s="1"/>
      <c r="C436" s="1"/>
      <c r="D436" s="1"/>
      <c r="E436" s="1"/>
      <c r="F436" s="1"/>
      <c r="G436" s="1"/>
      <c r="H436" s="1"/>
      <c r="I436" s="1" t="s">
        <v>59</v>
      </c>
      <c r="J436" s="1">
        <v>52823575.649999999</v>
      </c>
      <c r="K436" s="1"/>
    </row>
    <row r="437" spans="2:11">
      <c r="B437" s="1"/>
      <c r="C437" s="1"/>
      <c r="D437" s="1"/>
      <c r="E437" s="1"/>
      <c r="F437" s="1"/>
      <c r="G437" s="1"/>
      <c r="H437" s="1"/>
      <c r="I437" s="1" t="s">
        <v>60</v>
      </c>
      <c r="J437" s="1">
        <v>3590841085.0520005</v>
      </c>
      <c r="K437" s="1"/>
    </row>
    <row r="438" spans="2:11">
      <c r="B438" s="1"/>
      <c r="C438" s="1"/>
      <c r="D438" s="1"/>
      <c r="E438" s="1"/>
      <c r="F438" s="1"/>
      <c r="G438" s="1"/>
      <c r="H438" s="1"/>
      <c r="I438" s="1" t="s">
        <v>58</v>
      </c>
      <c r="J438" s="1"/>
      <c r="K438" s="1"/>
    </row>
    <row r="439" spans="2:11">
      <c r="B439" s="1"/>
      <c r="C439" s="1"/>
      <c r="D439" s="1"/>
      <c r="E439" s="1"/>
      <c r="F439" s="1"/>
      <c r="G439" s="1"/>
      <c r="H439" s="1"/>
      <c r="I439" s="1"/>
      <c r="J439" s="1">
        <v>8.9302419289457617</v>
      </c>
      <c r="K439" s="1"/>
    </row>
    <row r="440" spans="2:11" ht="15.75" thickBot="1"/>
    <row r="441" spans="2:11">
      <c r="B441" s="5402" t="s">
        <v>77</v>
      </c>
      <c r="C441" s="5403"/>
      <c r="D441" s="5403"/>
      <c r="E441" s="5403"/>
      <c r="F441" s="5403"/>
      <c r="G441" s="5404"/>
    </row>
    <row r="442" spans="2:11" ht="30">
      <c r="B442" s="7" t="s">
        <v>1</v>
      </c>
      <c r="C442" s="7" t="s">
        <v>2</v>
      </c>
      <c r="D442" s="7" t="s">
        <v>62</v>
      </c>
      <c r="E442" s="7"/>
      <c r="F442" s="7" t="s">
        <v>4</v>
      </c>
      <c r="G442" s="7" t="s">
        <v>5</v>
      </c>
      <c r="H442" s="7" t="s">
        <v>6</v>
      </c>
      <c r="I442" s="7" t="s">
        <v>7</v>
      </c>
      <c r="J442" s="7" t="s">
        <v>8</v>
      </c>
      <c r="K442" s="7" t="s">
        <v>63</v>
      </c>
    </row>
    <row r="443" spans="2:11">
      <c r="B443" s="1"/>
      <c r="C443" s="1"/>
      <c r="D443" s="1" t="s">
        <v>12</v>
      </c>
      <c r="E443" s="1" t="s">
        <v>13</v>
      </c>
      <c r="F443" s="1"/>
      <c r="G443" s="1"/>
      <c r="H443" s="1"/>
      <c r="I443" s="1"/>
      <c r="J443" s="1"/>
      <c r="K443" s="1"/>
    </row>
    <row r="444" spans="2:11">
      <c r="B444" s="1" t="s">
        <v>14</v>
      </c>
      <c r="C444" s="1" t="s">
        <v>15</v>
      </c>
      <c r="D444" s="1">
        <v>299</v>
      </c>
      <c r="E444" s="1">
        <v>0</v>
      </c>
      <c r="F444" s="1">
        <v>-12917</v>
      </c>
      <c r="G444" s="1">
        <v>-5683.4800000000005</v>
      </c>
      <c r="H444" s="1">
        <v>824.2</v>
      </c>
      <c r="I444" s="1">
        <v>-1550.04</v>
      </c>
      <c r="J444" s="1">
        <v>-6409.3200000000006</v>
      </c>
      <c r="K444" s="1">
        <v>0.49619261438414497</v>
      </c>
    </row>
    <row r="445" spans="2:11">
      <c r="B445" s="1" t="s">
        <v>16</v>
      </c>
      <c r="C445" s="1" t="s">
        <v>17</v>
      </c>
      <c r="D445" s="1">
        <v>280383</v>
      </c>
      <c r="E445" s="1">
        <v>14257</v>
      </c>
      <c r="F445" s="1">
        <v>56485974</v>
      </c>
      <c r="G445" s="1">
        <v>116373908.97</v>
      </c>
      <c r="H445" s="5399">
        <v>60770020.460000001</v>
      </c>
      <c r="I445" s="1">
        <v>31081092.350000001</v>
      </c>
      <c r="J445" s="5399">
        <v>714650640.90999997</v>
      </c>
      <c r="K445" s="1">
        <v>5.2342291908448493</v>
      </c>
    </row>
    <row r="446" spans="2:11">
      <c r="B446" s="1"/>
      <c r="C446" s="1" t="s">
        <v>18</v>
      </c>
      <c r="D446" s="1">
        <v>327992</v>
      </c>
      <c r="E446" s="1">
        <v>23615</v>
      </c>
      <c r="F446" s="1">
        <v>43571451</v>
      </c>
      <c r="G446" s="1">
        <v>166015925.85000002</v>
      </c>
      <c r="H446" s="5400"/>
      <c r="I446" s="1">
        <v>44896160.149999999</v>
      </c>
      <c r="J446" s="5400"/>
      <c r="K446" s="1"/>
    </row>
    <row r="447" spans="2:11">
      <c r="B447" s="1"/>
      <c r="C447" s="1" t="s">
        <v>19</v>
      </c>
      <c r="D447" s="1">
        <v>40126</v>
      </c>
      <c r="E447" s="1">
        <v>18011</v>
      </c>
      <c r="F447" s="1">
        <v>11627239</v>
      </c>
      <c r="G447" s="1">
        <v>62322438.140000001</v>
      </c>
      <c r="H447" s="5400"/>
      <c r="I447" s="1">
        <v>16753714.559999999</v>
      </c>
      <c r="J447" s="5400"/>
      <c r="K447" s="1"/>
    </row>
    <row r="448" spans="2:11">
      <c r="B448" s="1"/>
      <c r="C448" s="1" t="s">
        <v>20</v>
      </c>
      <c r="D448" s="1">
        <v>10684</v>
      </c>
      <c r="E448" s="1">
        <v>26547</v>
      </c>
      <c r="F448" s="1">
        <v>24849411</v>
      </c>
      <c r="G448" s="1">
        <v>170466928.38000003</v>
      </c>
      <c r="H448" s="5401"/>
      <c r="I448" s="1">
        <v>45970452.050000004</v>
      </c>
      <c r="J448" s="5401"/>
      <c r="K448" s="1"/>
    </row>
    <row r="449" spans="2:11">
      <c r="B449" s="1" t="s">
        <v>21</v>
      </c>
      <c r="C449" s="1" t="s">
        <v>22</v>
      </c>
      <c r="D449" s="1">
        <v>182738</v>
      </c>
      <c r="E449" s="1">
        <v>15435</v>
      </c>
      <c r="F449" s="1">
        <v>-10971</v>
      </c>
      <c r="G449" s="1">
        <v>-43884</v>
      </c>
      <c r="H449" s="5399">
        <v>63078504.799999997</v>
      </c>
      <c r="I449" s="1"/>
      <c r="J449" s="5399">
        <v>636918130.69999993</v>
      </c>
      <c r="K449" s="1">
        <v>9.2082917706961478</v>
      </c>
    </row>
    <row r="450" spans="2:11">
      <c r="B450" s="1"/>
      <c r="C450" s="1" t="s">
        <v>19</v>
      </c>
      <c r="D450" s="1">
        <v>19516</v>
      </c>
      <c r="E450" s="1">
        <v>5675</v>
      </c>
      <c r="F450" s="1">
        <v>-2607</v>
      </c>
      <c r="G450" s="1">
        <v>-15642</v>
      </c>
      <c r="H450" s="5400"/>
      <c r="I450" s="1"/>
      <c r="J450" s="5400"/>
      <c r="K450" s="1"/>
    </row>
    <row r="451" spans="2:11">
      <c r="B451" s="1"/>
      <c r="C451" s="1" t="s">
        <v>23</v>
      </c>
      <c r="D451" s="1">
        <v>10819</v>
      </c>
      <c r="E451" s="1">
        <v>9477</v>
      </c>
      <c r="F451" s="1">
        <v>-4985</v>
      </c>
      <c r="G451" s="1">
        <v>-34396.5</v>
      </c>
      <c r="H451" s="5400"/>
      <c r="I451" s="1"/>
      <c r="J451" s="5400"/>
      <c r="K451" s="1"/>
    </row>
    <row r="452" spans="2:11">
      <c r="B452" s="1"/>
      <c r="C452" s="1" t="s">
        <v>24</v>
      </c>
      <c r="D452" s="1">
        <v>2242</v>
      </c>
      <c r="E452" s="1">
        <v>12044</v>
      </c>
      <c r="F452" s="1">
        <v>-12143</v>
      </c>
      <c r="G452" s="1">
        <v>-92286.8</v>
      </c>
      <c r="H452" s="5400"/>
      <c r="I452" s="1"/>
      <c r="J452" s="5400"/>
      <c r="K452" s="1"/>
    </row>
    <row r="453" spans="2:11">
      <c r="B453" s="1"/>
      <c r="C453" s="1" t="s">
        <v>25</v>
      </c>
      <c r="D453" s="1">
        <v>202254</v>
      </c>
      <c r="E453" s="1">
        <v>21110</v>
      </c>
      <c r="F453" s="1">
        <v>42269716</v>
      </c>
      <c r="G453" s="1">
        <v>232483438</v>
      </c>
      <c r="H453" s="5400"/>
      <c r="I453" s="1">
        <v>62559179.68</v>
      </c>
      <c r="J453" s="5400"/>
      <c r="K453" s="1"/>
    </row>
    <row r="454" spans="2:11">
      <c r="B454" s="1"/>
      <c r="C454" s="1" t="s">
        <v>26</v>
      </c>
      <c r="D454" s="1">
        <v>13061</v>
      </c>
      <c r="E454" s="1">
        <v>21521</v>
      </c>
      <c r="F454" s="1">
        <v>26928882</v>
      </c>
      <c r="G454" s="1">
        <v>219739677.12</v>
      </c>
      <c r="H454" s="5401"/>
      <c r="I454" s="1">
        <v>59243540.400000006</v>
      </c>
      <c r="J454" s="5401"/>
      <c r="K454" s="1"/>
    </row>
    <row r="455" spans="2:11">
      <c r="B455" s="1" t="s">
        <v>27</v>
      </c>
      <c r="C455" s="1" t="s">
        <v>28</v>
      </c>
      <c r="D455" s="1">
        <v>65</v>
      </c>
      <c r="E455" s="1">
        <v>5935</v>
      </c>
      <c r="F455" s="1">
        <v>19497014</v>
      </c>
      <c r="G455" s="1">
        <v>155976112</v>
      </c>
      <c r="H455" s="1">
        <v>21468041.120000001</v>
      </c>
      <c r="I455" s="1">
        <v>41918580.100000001</v>
      </c>
      <c r="J455" s="1">
        <v>219362733.22</v>
      </c>
      <c r="K455" s="1">
        <v>11.251093794157402</v>
      </c>
    </row>
    <row r="456" spans="2:11">
      <c r="B456" s="1" t="s">
        <v>29</v>
      </c>
      <c r="C456" s="1" t="s">
        <v>28</v>
      </c>
      <c r="D456" s="1">
        <v>2</v>
      </c>
      <c r="E456" s="1">
        <v>2633</v>
      </c>
      <c r="F456" s="1">
        <v>38096630</v>
      </c>
      <c r="G456" s="1">
        <v>308201736.69999999</v>
      </c>
      <c r="H456" s="1">
        <v>35855157.390000001</v>
      </c>
      <c r="I456" s="1">
        <v>83050653.400000006</v>
      </c>
      <c r="J456" s="1">
        <v>427107547.49000001</v>
      </c>
      <c r="K456" s="1">
        <v>11.211163493726348</v>
      </c>
    </row>
    <row r="457" spans="2:11">
      <c r="B457" s="1" t="s">
        <v>30</v>
      </c>
      <c r="C457" s="1" t="s">
        <v>22</v>
      </c>
      <c r="D457" s="1">
        <v>2546</v>
      </c>
      <c r="E457" s="1">
        <v>3126</v>
      </c>
      <c r="F457" s="1">
        <v>-238</v>
      </c>
      <c r="G457" s="1">
        <v>-880.6</v>
      </c>
      <c r="H457" s="5399">
        <v>2979514.36</v>
      </c>
      <c r="I457" s="1"/>
      <c r="J457" s="5399">
        <v>32918269.419999998</v>
      </c>
      <c r="K457" s="1">
        <v>8.7800009815340889</v>
      </c>
    </row>
    <row r="458" spans="2:11">
      <c r="B458" s="1"/>
      <c r="C458" s="1" t="s">
        <v>19</v>
      </c>
      <c r="D458" s="1">
        <v>175</v>
      </c>
      <c r="E458" s="1">
        <v>731</v>
      </c>
      <c r="F458" s="1">
        <v>-46</v>
      </c>
      <c r="G458" s="1">
        <v>-253</v>
      </c>
      <c r="H458" s="5400"/>
      <c r="I458" s="1"/>
      <c r="J458" s="5400"/>
      <c r="K458" s="1"/>
    </row>
    <row r="459" spans="2:11">
      <c r="B459" s="1"/>
      <c r="C459" s="1" t="s">
        <v>23</v>
      </c>
      <c r="D459" s="1">
        <v>90</v>
      </c>
      <c r="E459" s="1">
        <v>1046</v>
      </c>
      <c r="F459" s="1">
        <v>-77</v>
      </c>
      <c r="G459" s="1">
        <v>-458.15000000000003</v>
      </c>
      <c r="H459" s="5400"/>
      <c r="I459" s="1"/>
      <c r="J459" s="5400"/>
      <c r="K459" s="1"/>
    </row>
    <row r="460" spans="2:11">
      <c r="B460" s="1"/>
      <c r="C460" s="1" t="s">
        <v>24</v>
      </c>
      <c r="D460" s="1">
        <v>27</v>
      </c>
      <c r="E460" s="1">
        <v>1013</v>
      </c>
      <c r="F460" s="1">
        <v>-97</v>
      </c>
      <c r="G460" s="1">
        <v>-620.80000000000007</v>
      </c>
      <c r="H460" s="5400"/>
      <c r="I460" s="1"/>
      <c r="J460" s="5400"/>
      <c r="K460" s="1"/>
    </row>
    <row r="461" spans="2:11">
      <c r="B461" s="1"/>
      <c r="C461" s="1" t="s">
        <v>25</v>
      </c>
      <c r="D461" s="1">
        <v>2721</v>
      </c>
      <c r="E461" s="1">
        <v>3857</v>
      </c>
      <c r="F461" s="1">
        <v>1789421</v>
      </c>
      <c r="G461" s="1">
        <v>9322883.4100000001</v>
      </c>
      <c r="H461" s="5400"/>
      <c r="I461" s="1">
        <v>2505189.4</v>
      </c>
      <c r="J461" s="5400"/>
      <c r="K461" s="1"/>
    </row>
    <row r="462" spans="2:11">
      <c r="B462" s="1"/>
      <c r="C462" s="1" t="s">
        <v>26</v>
      </c>
      <c r="D462" s="1">
        <v>117</v>
      </c>
      <c r="E462" s="1">
        <v>2059</v>
      </c>
      <c r="F462" s="1">
        <v>1960270</v>
      </c>
      <c r="G462" s="1">
        <v>14270765.6</v>
      </c>
      <c r="H462" s="5401"/>
      <c r="I462" s="1">
        <v>3842129.1999999997</v>
      </c>
      <c r="J462" s="5401"/>
      <c r="K462" s="1"/>
    </row>
    <row r="463" spans="2:11">
      <c r="B463" s="1" t="s">
        <v>31</v>
      </c>
      <c r="C463" s="1" t="s">
        <v>28</v>
      </c>
      <c r="D463" s="1">
        <v>8</v>
      </c>
      <c r="E463" s="1">
        <v>1207</v>
      </c>
      <c r="F463" s="1">
        <v>4278049</v>
      </c>
      <c r="G463" s="1">
        <v>27892879.479999997</v>
      </c>
      <c r="H463" s="1">
        <v>5245003.33</v>
      </c>
      <c r="I463" s="1">
        <v>7486585.75</v>
      </c>
      <c r="J463" s="1">
        <v>40624468.559999995</v>
      </c>
      <c r="K463" s="1">
        <v>9.496026941252893</v>
      </c>
    </row>
    <row r="464" spans="2:11">
      <c r="B464" s="1" t="s">
        <v>32</v>
      </c>
      <c r="C464" s="1" t="s">
        <v>28</v>
      </c>
      <c r="D464" s="1">
        <v>1</v>
      </c>
      <c r="E464" s="1">
        <v>125</v>
      </c>
      <c r="F464" s="1">
        <v>3928220</v>
      </c>
      <c r="G464" s="1">
        <v>25101325.799999997</v>
      </c>
      <c r="H464" s="1">
        <v>2689778.4</v>
      </c>
      <c r="I464" s="1">
        <v>6756538.3999999994</v>
      </c>
      <c r="J464" s="1">
        <v>34547642.599999994</v>
      </c>
      <c r="K464" s="1">
        <v>8.7947321178549043</v>
      </c>
    </row>
    <row r="465" spans="2:11">
      <c r="B465" s="1" t="s">
        <v>33</v>
      </c>
      <c r="C465" s="1" t="s">
        <v>28</v>
      </c>
      <c r="D465" s="1">
        <v>774</v>
      </c>
      <c r="E465" s="1">
        <v>147</v>
      </c>
      <c r="F465" s="1">
        <v>175451</v>
      </c>
      <c r="G465" s="1">
        <v>2061577.95</v>
      </c>
      <c r="H465" s="1">
        <v>331047.59000000003</v>
      </c>
      <c r="I465" s="1">
        <v>554684.28</v>
      </c>
      <c r="J465" s="1">
        <v>2947309.8200000003</v>
      </c>
      <c r="K465" s="1">
        <v>16.798478321582667</v>
      </c>
    </row>
    <row r="466" spans="2:11">
      <c r="B466" s="1" t="s">
        <v>34</v>
      </c>
      <c r="C466" s="1" t="s">
        <v>28</v>
      </c>
      <c r="D466" s="1">
        <v>0</v>
      </c>
      <c r="E466" s="1">
        <v>0</v>
      </c>
      <c r="F466" s="1">
        <v>2310792.0099999998</v>
      </c>
      <c r="G466" s="1">
        <v>13079082.7766</v>
      </c>
      <c r="H466" s="1">
        <v>1799416.48</v>
      </c>
      <c r="I466" s="1">
        <v>3512403.8551999996</v>
      </c>
      <c r="J466" s="1">
        <v>18390903.1118</v>
      </c>
      <c r="K466" s="1">
        <v>7.9587011865252215</v>
      </c>
    </row>
    <row r="467" spans="2:11">
      <c r="B467" s="1" t="s">
        <v>35</v>
      </c>
      <c r="C467" s="1" t="s">
        <v>28</v>
      </c>
      <c r="D467" s="1">
        <v>538</v>
      </c>
      <c r="E467" s="1">
        <v>125</v>
      </c>
      <c r="F467" s="1">
        <v>319378</v>
      </c>
      <c r="G467" s="1">
        <v>1807679.48</v>
      </c>
      <c r="H467" s="1">
        <v>212235.92</v>
      </c>
      <c r="I467" s="1">
        <v>485454.56</v>
      </c>
      <c r="J467" s="1">
        <v>2505369.96</v>
      </c>
      <c r="K467" s="1">
        <v>7.844528928104002</v>
      </c>
    </row>
    <row r="468" spans="2:11">
      <c r="B468" s="1" t="s">
        <v>36</v>
      </c>
      <c r="C468" s="1" t="s">
        <v>28</v>
      </c>
      <c r="D468" s="1">
        <v>1</v>
      </c>
      <c r="E468" s="1">
        <v>3</v>
      </c>
      <c r="F468" s="1">
        <v>152109</v>
      </c>
      <c r="G468" s="1">
        <v>491312.07</v>
      </c>
      <c r="H468" s="1">
        <v>38740</v>
      </c>
      <c r="I468" s="1">
        <v>132334.82999999999</v>
      </c>
      <c r="J468" s="1">
        <v>662386.9</v>
      </c>
      <c r="K468" s="1">
        <v>4.3546857845360893</v>
      </c>
    </row>
    <row r="469" spans="2:11">
      <c r="B469" s="1" t="s">
        <v>37</v>
      </c>
      <c r="C469" s="1" t="s">
        <v>28</v>
      </c>
      <c r="D469" s="1">
        <v>114</v>
      </c>
      <c r="E469" s="1">
        <v>1459</v>
      </c>
      <c r="F469" s="1">
        <v>3074513</v>
      </c>
      <c r="G469" s="1">
        <v>28869677.07</v>
      </c>
      <c r="H469" s="1">
        <v>1924412.93</v>
      </c>
      <c r="I469" s="1">
        <v>7778517.8899999997</v>
      </c>
      <c r="J469" s="1">
        <v>38572607.890000001</v>
      </c>
      <c r="K469" s="1">
        <v>12.545924473241779</v>
      </c>
    </row>
    <row r="470" spans="2:11">
      <c r="B470" s="1" t="s">
        <v>38</v>
      </c>
      <c r="C470" s="1" t="s">
        <v>28</v>
      </c>
      <c r="D470" s="1">
        <v>8</v>
      </c>
      <c r="E470" s="1">
        <v>15</v>
      </c>
      <c r="F470" s="1">
        <v>102982</v>
      </c>
      <c r="G470" s="1">
        <v>319244.2</v>
      </c>
      <c r="H470" s="1">
        <v>3450</v>
      </c>
      <c r="I470" s="1">
        <v>85475.06</v>
      </c>
      <c r="J470" s="1">
        <v>408169.26</v>
      </c>
      <c r="K470" s="1">
        <v>3.9635010001747881</v>
      </c>
    </row>
    <row r="471" spans="2:11">
      <c r="B471" s="1" t="s">
        <v>39</v>
      </c>
      <c r="C471" s="1" t="s">
        <v>28</v>
      </c>
      <c r="D471" s="1">
        <v>1397</v>
      </c>
      <c r="E471" s="1">
        <v>567</v>
      </c>
      <c r="F471" s="1">
        <v>1259080</v>
      </c>
      <c r="G471" s="1">
        <v>8561744</v>
      </c>
      <c r="H471" s="1">
        <v>486299.99</v>
      </c>
      <c r="I471" s="1">
        <v>2304116.4</v>
      </c>
      <c r="J471" s="1">
        <v>11352160.390000001</v>
      </c>
      <c r="K471" s="1">
        <v>9.0162343854242781</v>
      </c>
    </row>
    <row r="472" spans="2:11">
      <c r="B472" s="1" t="s">
        <v>40</v>
      </c>
      <c r="C472" s="1" t="s">
        <v>28</v>
      </c>
      <c r="D472" s="1">
        <v>3</v>
      </c>
      <c r="E472" s="1">
        <v>384</v>
      </c>
      <c r="F472" s="1">
        <v>4306075</v>
      </c>
      <c r="G472" s="1">
        <v>29281310</v>
      </c>
      <c r="H472" s="1">
        <v>3765773.5</v>
      </c>
      <c r="I472" s="1">
        <v>7880117.25</v>
      </c>
      <c r="J472" s="1">
        <v>40927200.75</v>
      </c>
      <c r="K472" s="1">
        <v>9.504525757215097</v>
      </c>
    </row>
    <row r="473" spans="2:11">
      <c r="B473" s="1" t="s">
        <v>41</v>
      </c>
      <c r="C473" s="1" t="s">
        <v>28</v>
      </c>
      <c r="D473" s="1">
        <v>0</v>
      </c>
      <c r="E473" s="1">
        <v>39</v>
      </c>
      <c r="F473" s="1">
        <v>12964543</v>
      </c>
      <c r="G473" s="1">
        <v>76490803.700000003</v>
      </c>
      <c r="H473" s="1">
        <v>8344405.5</v>
      </c>
      <c r="I473" s="1">
        <v>20613623.370000001</v>
      </c>
      <c r="J473" s="1">
        <v>105448832.57000001</v>
      </c>
      <c r="K473" s="1">
        <v>8.133632829942405</v>
      </c>
    </row>
    <row r="474" spans="2:11">
      <c r="B474" s="1" t="s">
        <v>42</v>
      </c>
      <c r="C474" s="1" t="s">
        <v>28</v>
      </c>
      <c r="D474" s="1">
        <v>0</v>
      </c>
      <c r="E474" s="1">
        <v>101</v>
      </c>
      <c r="F474" s="1">
        <v>28963639</v>
      </c>
      <c r="G474" s="1">
        <v>183919107.64999998</v>
      </c>
      <c r="H474" s="1">
        <v>17700292.41</v>
      </c>
      <c r="I474" s="1">
        <v>49527822.689999998</v>
      </c>
      <c r="J474" s="1">
        <v>251147222.74999997</v>
      </c>
      <c r="K474" s="1">
        <v>8.6711211512476023</v>
      </c>
    </row>
    <row r="475" spans="2:11">
      <c r="B475" s="1" t="s">
        <v>43</v>
      </c>
      <c r="C475" s="1" t="s">
        <v>28</v>
      </c>
      <c r="D475" s="1">
        <v>0</v>
      </c>
      <c r="E475" s="1">
        <v>11</v>
      </c>
      <c r="F475" s="1">
        <v>2619196</v>
      </c>
      <c r="G475" s="1">
        <v>8905266.4000000004</v>
      </c>
      <c r="H475" s="1">
        <v>1487522.8</v>
      </c>
      <c r="I475" s="1">
        <v>2383468.36</v>
      </c>
      <c r="J475" s="1">
        <v>12776257.560000001</v>
      </c>
      <c r="K475" s="1">
        <v>4.877931075032186</v>
      </c>
    </row>
    <row r="476" spans="2:11">
      <c r="B476" s="1" t="s">
        <v>44</v>
      </c>
      <c r="C476" s="1" t="s">
        <v>28</v>
      </c>
      <c r="D476" s="1">
        <v>0</v>
      </c>
      <c r="E476" s="1">
        <v>5</v>
      </c>
      <c r="F476" s="1">
        <v>392809</v>
      </c>
      <c r="G476" s="1">
        <v>3397797.85</v>
      </c>
      <c r="H476" s="1">
        <v>1141.67</v>
      </c>
      <c r="I476" s="1">
        <v>915244.97</v>
      </c>
      <c r="J476" s="1">
        <v>4314184.49</v>
      </c>
      <c r="K476" s="1">
        <v>10.982906425260115</v>
      </c>
    </row>
    <row r="477" spans="2:11">
      <c r="B477" s="1" t="s">
        <v>45</v>
      </c>
      <c r="C477" s="1" t="s">
        <v>28</v>
      </c>
      <c r="D477" s="1">
        <v>0</v>
      </c>
      <c r="E477" s="1">
        <v>10</v>
      </c>
      <c r="F477" s="1">
        <v>3855402</v>
      </c>
      <c r="G477" s="1">
        <v>21590251.199999999</v>
      </c>
      <c r="H477" s="1">
        <v>1723545</v>
      </c>
      <c r="I477" s="1">
        <v>5821657.0200000005</v>
      </c>
      <c r="J477" s="1">
        <v>29135453.219999999</v>
      </c>
      <c r="K477" s="1">
        <v>7.5570467671075541</v>
      </c>
    </row>
    <row r="478" spans="2:11">
      <c r="B478" s="1" t="s">
        <v>46</v>
      </c>
      <c r="C478" s="1"/>
      <c r="D478" s="1"/>
      <c r="E478" s="1"/>
      <c r="F478" s="1"/>
      <c r="G478" s="1">
        <v>-10799076.699999999</v>
      </c>
      <c r="H478" s="1">
        <v>377115.33</v>
      </c>
      <c r="I478" s="1">
        <v>-458186.96</v>
      </c>
      <c r="J478" s="1">
        <v>-10880148.33</v>
      </c>
      <c r="K478" s="1"/>
    </row>
    <row r="479" spans="2:11">
      <c r="B479" s="1" t="s">
        <v>47</v>
      </c>
      <c r="C479" s="1"/>
      <c r="D479" s="1">
        <v>880548</v>
      </c>
      <c r="E479" s="1">
        <v>143743</v>
      </c>
      <c r="F479" s="1">
        <v>335734165.00999999</v>
      </c>
      <c r="G479" s="1">
        <v>1875949691.7665997</v>
      </c>
      <c r="H479" s="1">
        <v>230282243.18000007</v>
      </c>
      <c r="I479" s="1">
        <v>507598998.9752</v>
      </c>
      <c r="J479" s="1">
        <v>2613830933.9217997</v>
      </c>
      <c r="K479" s="1">
        <v>7.7854183646872688</v>
      </c>
    </row>
    <row r="480" spans="2:11">
      <c r="B480" s="1"/>
      <c r="C480" s="1"/>
      <c r="D480" s="1"/>
      <c r="E480" s="1"/>
      <c r="F480" s="1"/>
      <c r="G480" s="1"/>
      <c r="H480" s="1"/>
      <c r="I480" s="1" t="s">
        <v>48</v>
      </c>
      <c r="J480" s="1">
        <v>12479230.220000001</v>
      </c>
      <c r="K480" s="1"/>
    </row>
    <row r="481" spans="2:11">
      <c r="B481" s="1"/>
      <c r="C481" s="1"/>
      <c r="D481" s="1"/>
      <c r="E481" s="1"/>
      <c r="F481" s="1"/>
      <c r="G481" s="1"/>
      <c r="H481" s="1"/>
      <c r="I481" s="1" t="s">
        <v>49</v>
      </c>
      <c r="J481" s="1">
        <v>477365898.11000001</v>
      </c>
      <c r="K481" s="1"/>
    </row>
    <row r="482" spans="2:11">
      <c r="B482" s="1"/>
      <c r="C482" s="1"/>
      <c r="D482" s="1"/>
      <c r="E482" s="1"/>
      <c r="F482" s="1"/>
      <c r="G482" s="1"/>
      <c r="H482" s="1"/>
      <c r="I482" s="1" t="s">
        <v>50</v>
      </c>
      <c r="J482" s="1">
        <v>-196349.76</v>
      </c>
      <c r="K482" s="1"/>
    </row>
    <row r="483" spans="2:11">
      <c r="B483" s="1"/>
      <c r="C483" s="1"/>
      <c r="D483" s="1"/>
      <c r="E483" s="1"/>
      <c r="F483" s="1"/>
      <c r="G483" s="1"/>
      <c r="H483" s="1"/>
      <c r="I483" s="1" t="s">
        <v>51</v>
      </c>
      <c r="J483" s="1">
        <v>11805549.83</v>
      </c>
      <c r="K483" s="1"/>
    </row>
    <row r="484" spans="2:11">
      <c r="B484" s="1"/>
      <c r="C484" s="1"/>
      <c r="D484" s="1"/>
      <c r="E484" s="1"/>
      <c r="F484" s="1"/>
      <c r="G484" s="1"/>
      <c r="H484" s="1"/>
      <c r="I484" s="1" t="s">
        <v>52</v>
      </c>
      <c r="J484" s="1">
        <v>9546660.8300000001</v>
      </c>
      <c r="K484" s="1"/>
    </row>
    <row r="485" spans="2:11">
      <c r="B485" s="1"/>
      <c r="C485" s="1"/>
      <c r="D485" s="1"/>
      <c r="E485" s="1"/>
      <c r="F485" s="1"/>
      <c r="G485" s="1"/>
      <c r="H485" s="1"/>
      <c r="I485" s="1" t="s">
        <v>47</v>
      </c>
      <c r="J485" s="1">
        <v>3124831923.1517992</v>
      </c>
      <c r="K485" s="1"/>
    </row>
    <row r="486" spans="2:11">
      <c r="B486" s="1"/>
      <c r="C486" s="1"/>
      <c r="D486" s="1"/>
      <c r="E486" s="1"/>
      <c r="F486" s="1"/>
      <c r="G486" s="1"/>
      <c r="H486" s="1"/>
      <c r="I486" s="1" t="s">
        <v>53</v>
      </c>
      <c r="J486" s="1">
        <v>-11245022.279999999</v>
      </c>
      <c r="K486" s="1"/>
    </row>
    <row r="487" spans="2:11">
      <c r="B487" s="1"/>
      <c r="C487" s="1"/>
      <c r="D487" s="1"/>
      <c r="E487" s="1"/>
      <c r="F487" s="1"/>
      <c r="G487" s="1"/>
      <c r="H487" s="1"/>
      <c r="I487" s="1" t="s">
        <v>54</v>
      </c>
      <c r="J487" s="1">
        <v>-60833393.520000003</v>
      </c>
      <c r="K487" s="1"/>
    </row>
    <row r="488" spans="2:11">
      <c r="B488" s="1"/>
      <c r="C488" s="1"/>
      <c r="D488" s="1"/>
      <c r="E488" s="1"/>
      <c r="F488" s="1"/>
      <c r="G488" s="1"/>
      <c r="H488" s="1"/>
      <c r="I488" s="1" t="s">
        <v>55</v>
      </c>
      <c r="J488" s="1">
        <v>-319050.40999999997</v>
      </c>
      <c r="K488" s="1"/>
    </row>
    <row r="489" spans="2:11">
      <c r="B489" s="1"/>
      <c r="C489" s="1"/>
      <c r="D489" s="1"/>
      <c r="E489" s="1"/>
      <c r="F489" s="1"/>
      <c r="G489" s="1"/>
      <c r="H489" s="1"/>
      <c r="I489" s="1" t="s">
        <v>56</v>
      </c>
      <c r="J489" s="1">
        <v>0</v>
      </c>
      <c r="K489" s="1"/>
    </row>
    <row r="490" spans="2:11">
      <c r="B490" s="1"/>
      <c r="C490" s="1"/>
      <c r="D490" s="1"/>
      <c r="E490" s="1"/>
      <c r="F490" s="1"/>
      <c r="G490" s="1"/>
      <c r="H490" s="1"/>
      <c r="I490" s="1" t="s">
        <v>57</v>
      </c>
      <c r="J490" s="1">
        <v>3052434456.9417992</v>
      </c>
      <c r="K490" s="1"/>
    </row>
    <row r="491" spans="2:11">
      <c r="B491" s="1"/>
      <c r="C491" s="1"/>
      <c r="D491" s="1"/>
      <c r="E491" s="1"/>
      <c r="F491" s="1"/>
      <c r="G491" s="1"/>
      <c r="H491" s="1"/>
      <c r="I491" s="1" t="s">
        <v>58</v>
      </c>
      <c r="J491" s="1">
        <v>9.307458843393924</v>
      </c>
      <c r="K491" s="1"/>
    </row>
    <row r="492" spans="2:11">
      <c r="B492" s="1"/>
      <c r="C492" s="1"/>
      <c r="D492" s="1"/>
      <c r="E492" s="1"/>
      <c r="F492" s="1"/>
      <c r="G492" s="1"/>
      <c r="H492" s="1"/>
      <c r="I492" s="1" t="s">
        <v>59</v>
      </c>
      <c r="J492" s="1">
        <v>42773528.280000001</v>
      </c>
      <c r="K492" s="1"/>
    </row>
    <row r="493" spans="2:11">
      <c r="B493" s="1"/>
      <c r="C493" s="1"/>
      <c r="D493" s="1"/>
      <c r="E493" s="1"/>
      <c r="F493" s="1"/>
      <c r="G493" s="1"/>
      <c r="H493" s="1"/>
      <c r="I493" s="1" t="s">
        <v>60</v>
      </c>
      <c r="J493" s="1">
        <v>3167605451.4317994</v>
      </c>
      <c r="K493" s="1"/>
    </row>
    <row r="494" spans="2:11">
      <c r="B494" s="1"/>
      <c r="C494" s="1"/>
      <c r="D494" s="1"/>
      <c r="E494" s="1"/>
      <c r="F494" s="1"/>
      <c r="G494" s="1"/>
      <c r="H494" s="1"/>
      <c r="I494" s="1" t="s">
        <v>58</v>
      </c>
      <c r="J494" s="1"/>
      <c r="K494" s="1"/>
    </row>
    <row r="495" spans="2:11">
      <c r="B495" s="1"/>
      <c r="C495" s="1"/>
      <c r="D495" s="1"/>
      <c r="E495" s="1"/>
      <c r="F495" s="1"/>
      <c r="G495" s="1"/>
      <c r="H495" s="1"/>
      <c r="I495" s="1"/>
      <c r="J495" s="1">
        <v>9.4348618090072875</v>
      </c>
      <c r="K495" s="1"/>
    </row>
    <row r="496" spans="2:11" ht="15.75" thickBot="1"/>
    <row r="497" spans="2:11">
      <c r="B497" s="5402" t="s">
        <v>78</v>
      </c>
      <c r="C497" s="5403"/>
      <c r="D497" s="5403"/>
      <c r="E497" s="5403"/>
      <c r="F497" s="5404"/>
    </row>
    <row r="498" spans="2:11" ht="30">
      <c r="B498" s="7" t="s">
        <v>1</v>
      </c>
      <c r="C498" s="7" t="s">
        <v>2</v>
      </c>
      <c r="D498" s="7" t="s">
        <v>62</v>
      </c>
      <c r="E498" s="7"/>
      <c r="F498" s="7" t="s">
        <v>4</v>
      </c>
      <c r="G498" s="7" t="s">
        <v>5</v>
      </c>
      <c r="H498" s="7" t="s">
        <v>6</v>
      </c>
      <c r="I498" s="7" t="s">
        <v>7</v>
      </c>
      <c r="J498" s="7" t="s">
        <v>8</v>
      </c>
      <c r="K498" s="7" t="s">
        <v>63</v>
      </c>
    </row>
    <row r="499" spans="2:11">
      <c r="B499" s="1"/>
      <c r="C499" s="1"/>
      <c r="D499" s="1" t="s">
        <v>12</v>
      </c>
      <c r="E499" s="1" t="s">
        <v>13</v>
      </c>
      <c r="F499" s="1"/>
      <c r="G499" s="1"/>
      <c r="H499" s="1"/>
      <c r="I499" s="1"/>
      <c r="J499" s="1"/>
      <c r="K499" s="1"/>
    </row>
    <row r="500" spans="2:11">
      <c r="B500" s="1" t="s">
        <v>14</v>
      </c>
      <c r="C500" s="1" t="s">
        <v>15</v>
      </c>
      <c r="D500" s="1">
        <v>299</v>
      </c>
      <c r="E500" s="1">
        <v>0</v>
      </c>
      <c r="F500" s="1">
        <v>5412</v>
      </c>
      <c r="G500" s="1">
        <v>2381.2800000000002</v>
      </c>
      <c r="H500" s="1">
        <v>737.8</v>
      </c>
      <c r="I500" s="1">
        <v>649.43999999999994</v>
      </c>
      <c r="J500" s="1">
        <v>3768.52</v>
      </c>
      <c r="K500" s="1">
        <v>0.69632668144863263</v>
      </c>
    </row>
    <row r="501" spans="2:11">
      <c r="B501" s="1" t="s">
        <v>16</v>
      </c>
      <c r="C501" s="1" t="s">
        <v>17</v>
      </c>
      <c r="D501" s="1">
        <v>280383</v>
      </c>
      <c r="E501" s="1">
        <v>14257</v>
      </c>
      <c r="F501" s="1">
        <v>54637158</v>
      </c>
      <c r="G501" s="1">
        <v>112555676.88000001</v>
      </c>
      <c r="H501" s="5399">
        <v>59046144.259999998</v>
      </c>
      <c r="I501" s="1">
        <v>30053813.900000002</v>
      </c>
      <c r="J501" s="3">
        <v>618753849.22000003</v>
      </c>
      <c r="K501" s="1">
        <v>5.1365175705039832</v>
      </c>
    </row>
    <row r="502" spans="2:11">
      <c r="B502" s="1"/>
      <c r="C502" s="1" t="s">
        <v>18</v>
      </c>
      <c r="D502" s="1">
        <v>327992</v>
      </c>
      <c r="E502" s="1">
        <v>23615</v>
      </c>
      <c r="F502" s="1">
        <v>35904583</v>
      </c>
      <c r="G502" s="1">
        <v>136798302.33000001</v>
      </c>
      <c r="H502" s="5400"/>
      <c r="I502" s="1">
        <v>36985438.789999999</v>
      </c>
      <c r="J502" s="4"/>
      <c r="K502" s="1"/>
    </row>
    <row r="503" spans="2:11">
      <c r="B503" s="1"/>
      <c r="C503" s="1" t="s">
        <v>19</v>
      </c>
      <c r="D503" s="1">
        <v>40126</v>
      </c>
      <c r="E503" s="1">
        <v>18011</v>
      </c>
      <c r="F503" s="1">
        <v>9042845</v>
      </c>
      <c r="G503" s="1">
        <v>48469706.080000006</v>
      </c>
      <c r="H503" s="5400"/>
      <c r="I503" s="1">
        <v>13023061.92</v>
      </c>
      <c r="J503" s="4"/>
      <c r="K503" s="1"/>
    </row>
    <row r="504" spans="2:11">
      <c r="B504" s="1"/>
      <c r="C504" s="1" t="s">
        <v>20</v>
      </c>
      <c r="D504" s="1">
        <v>10684</v>
      </c>
      <c r="E504" s="1">
        <v>26547</v>
      </c>
      <c r="F504" s="1">
        <v>20877155</v>
      </c>
      <c r="G504" s="1">
        <v>143216707.96000001</v>
      </c>
      <c r="H504" s="5401"/>
      <c r="I504" s="1">
        <v>38604997.100000001</v>
      </c>
      <c r="J504" s="5"/>
      <c r="K504" s="1"/>
    </row>
    <row r="505" spans="2:11">
      <c r="B505" s="1" t="s">
        <v>21</v>
      </c>
      <c r="C505" s="1" t="s">
        <v>22</v>
      </c>
      <c r="D505" s="1">
        <v>182738</v>
      </c>
      <c r="E505" s="1">
        <v>15435</v>
      </c>
      <c r="F505" s="1">
        <v>-2152</v>
      </c>
      <c r="G505" s="1">
        <v>-8608</v>
      </c>
      <c r="H505" s="5399">
        <v>63036840.030000001</v>
      </c>
      <c r="I505" s="1"/>
      <c r="J505" s="5399">
        <v>613988896.69000006</v>
      </c>
      <c r="K505" s="1">
        <v>9.2334136497947092</v>
      </c>
    </row>
    <row r="506" spans="2:11">
      <c r="B506" s="1"/>
      <c r="C506" s="1" t="s">
        <v>19</v>
      </c>
      <c r="D506" s="1">
        <v>19516</v>
      </c>
      <c r="E506" s="1">
        <v>5675</v>
      </c>
      <c r="F506" s="1">
        <v>-713</v>
      </c>
      <c r="G506" s="1">
        <v>-4278</v>
      </c>
      <c r="H506" s="5400"/>
      <c r="I506" s="1"/>
      <c r="J506" s="5400"/>
      <c r="K506" s="1"/>
    </row>
    <row r="507" spans="2:11">
      <c r="B507" s="1"/>
      <c r="C507" s="1" t="s">
        <v>23</v>
      </c>
      <c r="D507" s="1">
        <v>10819</v>
      </c>
      <c r="E507" s="1">
        <v>9477</v>
      </c>
      <c r="F507" s="1">
        <v>-703</v>
      </c>
      <c r="G507" s="1">
        <v>-4850.7</v>
      </c>
      <c r="H507" s="5400"/>
      <c r="I507" s="1"/>
      <c r="J507" s="5400"/>
      <c r="K507" s="1"/>
    </row>
    <row r="508" spans="2:11">
      <c r="B508" s="1"/>
      <c r="C508" s="1" t="s">
        <v>24</v>
      </c>
      <c r="D508" s="1">
        <v>2242</v>
      </c>
      <c r="E508" s="1">
        <v>12044</v>
      </c>
      <c r="F508" s="1">
        <v>1605</v>
      </c>
      <c r="G508" s="1">
        <v>12198</v>
      </c>
      <c r="H508" s="5400"/>
      <c r="I508" s="1"/>
      <c r="J508" s="5400"/>
      <c r="K508" s="1"/>
    </row>
    <row r="509" spans="2:11">
      <c r="B509" s="1"/>
      <c r="C509" s="1" t="s">
        <v>25</v>
      </c>
      <c r="D509" s="1">
        <v>202254</v>
      </c>
      <c r="E509" s="1">
        <v>21110</v>
      </c>
      <c r="F509" s="1">
        <v>40818222</v>
      </c>
      <c r="G509" s="1">
        <v>224500221</v>
      </c>
      <c r="H509" s="5400"/>
      <c r="I509" s="1">
        <v>60410968.560000002</v>
      </c>
      <c r="J509" s="5400"/>
      <c r="K509" s="1"/>
    </row>
    <row r="510" spans="2:11">
      <c r="B510" s="1"/>
      <c r="C510" s="1" t="s">
        <v>26</v>
      </c>
      <c r="D510" s="1">
        <v>13061</v>
      </c>
      <c r="E510" s="1">
        <v>21521</v>
      </c>
      <c r="F510" s="1">
        <v>25680155</v>
      </c>
      <c r="G510" s="1">
        <v>209550064.80000001</v>
      </c>
      <c r="H510" s="5401"/>
      <c r="I510" s="1">
        <v>56496341.000000007</v>
      </c>
      <c r="J510" s="5401"/>
      <c r="K510" s="1"/>
    </row>
    <row r="511" spans="2:11">
      <c r="B511" s="1" t="s">
        <v>27</v>
      </c>
      <c r="C511" s="1" t="s">
        <v>28</v>
      </c>
      <c r="D511" s="1">
        <v>65</v>
      </c>
      <c r="E511" s="1">
        <v>5935</v>
      </c>
      <c r="F511" s="1">
        <v>19702521</v>
      </c>
      <c r="G511" s="1">
        <v>157620168</v>
      </c>
      <c r="H511" s="1">
        <v>20904278.329999998</v>
      </c>
      <c r="I511" s="1">
        <v>42360420.149999999</v>
      </c>
      <c r="J511" s="1">
        <v>220884866.47999999</v>
      </c>
      <c r="K511" s="1">
        <v>11.210995104636609</v>
      </c>
    </row>
    <row r="512" spans="2:11">
      <c r="B512" s="1" t="s">
        <v>29</v>
      </c>
      <c r="C512" s="1" t="s">
        <v>28</v>
      </c>
      <c r="D512" s="1">
        <v>2</v>
      </c>
      <c r="E512" s="1">
        <v>2633</v>
      </c>
      <c r="F512" s="1">
        <v>37922318</v>
      </c>
      <c r="G512" s="1">
        <v>306791552.62</v>
      </c>
      <c r="H512" s="1">
        <v>33655400.869999997</v>
      </c>
      <c r="I512" s="1">
        <v>82670653.24000001</v>
      </c>
      <c r="J512" s="1">
        <v>423117606.73000002</v>
      </c>
      <c r="K512" s="1">
        <v>11.157482692118135</v>
      </c>
    </row>
    <row r="513" spans="2:11">
      <c r="B513" s="1" t="s">
        <v>30</v>
      </c>
      <c r="C513" s="1" t="s">
        <v>22</v>
      </c>
      <c r="D513" s="1">
        <v>2546</v>
      </c>
      <c r="E513" s="1">
        <v>3126</v>
      </c>
      <c r="F513" s="1">
        <v>150</v>
      </c>
      <c r="G513" s="1">
        <v>555</v>
      </c>
      <c r="H513" s="5399">
        <v>2955694.14</v>
      </c>
      <c r="I513" s="1"/>
      <c r="J513" s="5399">
        <v>31818187.039999999</v>
      </c>
      <c r="K513" s="1">
        <v>8.7837406622577987</v>
      </c>
    </row>
    <row r="514" spans="2:11">
      <c r="B514" s="1"/>
      <c r="C514" s="1" t="s">
        <v>19</v>
      </c>
      <c r="D514" s="1">
        <v>175</v>
      </c>
      <c r="E514" s="1">
        <v>731</v>
      </c>
      <c r="F514" s="1">
        <v>100</v>
      </c>
      <c r="G514" s="1">
        <v>550</v>
      </c>
      <c r="H514" s="5400"/>
      <c r="I514" s="1"/>
      <c r="J514" s="5400"/>
      <c r="K514" s="1"/>
    </row>
    <row r="515" spans="2:11">
      <c r="B515" s="1"/>
      <c r="C515" s="1" t="s">
        <v>23</v>
      </c>
      <c r="D515" s="1">
        <v>90</v>
      </c>
      <c r="E515" s="1">
        <v>1046</v>
      </c>
      <c r="F515" s="1">
        <v>250</v>
      </c>
      <c r="G515" s="1">
        <v>1487.5</v>
      </c>
      <c r="H515" s="5400"/>
      <c r="I515" s="1"/>
      <c r="J515" s="5400"/>
      <c r="K515" s="1"/>
    </row>
    <row r="516" spans="2:11">
      <c r="B516" s="1"/>
      <c r="C516" s="1" t="s">
        <v>24</v>
      </c>
      <c r="D516" s="1">
        <v>27</v>
      </c>
      <c r="E516" s="1">
        <v>1013</v>
      </c>
      <c r="F516" s="1">
        <v>2517</v>
      </c>
      <c r="G516" s="1">
        <v>16108.800000000001</v>
      </c>
      <c r="H516" s="5400"/>
      <c r="I516" s="1"/>
      <c r="J516" s="5400"/>
      <c r="K516" s="1"/>
    </row>
    <row r="517" spans="2:11">
      <c r="B517" s="1"/>
      <c r="C517" s="1" t="s">
        <v>25</v>
      </c>
      <c r="D517" s="1">
        <v>2721</v>
      </c>
      <c r="E517" s="1">
        <v>3857</v>
      </c>
      <c r="F517" s="1">
        <v>1748772</v>
      </c>
      <c r="G517" s="1">
        <v>9111102.1199999992</v>
      </c>
      <c r="H517" s="5400"/>
      <c r="I517" s="1">
        <v>2448280.7999999998</v>
      </c>
      <c r="J517" s="5400"/>
      <c r="K517" s="1"/>
    </row>
    <row r="518" spans="2:11">
      <c r="B518" s="1"/>
      <c r="C518" s="1" t="s">
        <v>26</v>
      </c>
      <c r="D518" s="1">
        <v>117</v>
      </c>
      <c r="E518" s="1">
        <v>2059</v>
      </c>
      <c r="F518" s="1">
        <v>1870607</v>
      </c>
      <c r="G518" s="1">
        <v>13618018.960000001</v>
      </c>
      <c r="H518" s="5401"/>
      <c r="I518" s="1">
        <v>3666389.7199999997</v>
      </c>
      <c r="J518" s="5401"/>
      <c r="K518" s="1"/>
    </row>
    <row r="519" spans="2:11">
      <c r="B519" s="1" t="s">
        <v>31</v>
      </c>
      <c r="C519" s="1" t="s">
        <v>28</v>
      </c>
      <c r="D519" s="1">
        <v>8</v>
      </c>
      <c r="E519" s="1">
        <v>1207</v>
      </c>
      <c r="F519" s="1">
        <v>4544314</v>
      </c>
      <c r="G519" s="1">
        <v>29628927.279999997</v>
      </c>
      <c r="H519" s="1">
        <v>5181132.33</v>
      </c>
      <c r="I519" s="1">
        <v>7952549.5</v>
      </c>
      <c r="J519" s="1">
        <v>42762609.109999999</v>
      </c>
      <c r="K519" s="1">
        <v>9.4101351953232104</v>
      </c>
    </row>
    <row r="520" spans="2:11">
      <c r="B520" s="1" t="s">
        <v>32</v>
      </c>
      <c r="C520" s="1" t="s">
        <v>28</v>
      </c>
      <c r="D520" s="1">
        <v>1</v>
      </c>
      <c r="E520" s="1">
        <v>125</v>
      </c>
      <c r="F520" s="1">
        <v>4125025</v>
      </c>
      <c r="G520" s="1">
        <v>26358909.75</v>
      </c>
      <c r="H520" s="1">
        <v>2680965.7999999998</v>
      </c>
      <c r="I520" s="1">
        <v>7095043</v>
      </c>
      <c r="J520" s="1">
        <v>36134918.549999997</v>
      </c>
      <c r="K520" s="1">
        <v>8.7599271640777925</v>
      </c>
    </row>
    <row r="521" spans="2:11">
      <c r="B521" s="1" t="s">
        <v>33</v>
      </c>
      <c r="C521" s="1" t="s">
        <v>28</v>
      </c>
      <c r="D521" s="1">
        <v>774</v>
      </c>
      <c r="E521" s="1">
        <v>147</v>
      </c>
      <c r="F521" s="1">
        <v>237709</v>
      </c>
      <c r="G521" s="1">
        <v>2793114.7</v>
      </c>
      <c r="H521" s="1">
        <v>341013.33</v>
      </c>
      <c r="I521" s="1">
        <v>751466.96000000008</v>
      </c>
      <c r="J521" s="1">
        <v>3885594.99</v>
      </c>
      <c r="K521" s="1">
        <v>16.346015464286165</v>
      </c>
    </row>
    <row r="522" spans="2:11">
      <c r="B522" s="1" t="s">
        <v>34</v>
      </c>
      <c r="C522" s="1" t="s">
        <v>28</v>
      </c>
      <c r="D522" s="1">
        <v>0</v>
      </c>
      <c r="E522" s="1">
        <v>0</v>
      </c>
      <c r="F522" s="1">
        <v>2423682.6</v>
      </c>
      <c r="G522" s="1">
        <v>13718043.516000001</v>
      </c>
      <c r="H522" s="1">
        <v>1798460.43</v>
      </c>
      <c r="I522" s="1">
        <v>3683997.5520000001</v>
      </c>
      <c r="J522" s="1">
        <v>19200501.498</v>
      </c>
      <c r="K522" s="1">
        <v>7.9220362839589633</v>
      </c>
    </row>
    <row r="523" spans="2:11">
      <c r="B523" s="1" t="s">
        <v>35</v>
      </c>
      <c r="C523" s="1" t="s">
        <v>28</v>
      </c>
      <c r="D523" s="1">
        <v>538</v>
      </c>
      <c r="E523" s="1">
        <v>125</v>
      </c>
      <c r="F523" s="1">
        <v>331786</v>
      </c>
      <c r="G523" s="1">
        <v>1877947.6400000001</v>
      </c>
      <c r="H523" s="1">
        <v>222484.15</v>
      </c>
      <c r="I523" s="1">
        <v>504478.88</v>
      </c>
      <c r="J523" s="1">
        <v>2604910.67</v>
      </c>
      <c r="K523" s="1">
        <v>7.8511771744437677</v>
      </c>
    </row>
    <row r="524" spans="2:11">
      <c r="B524" s="1" t="s">
        <v>36</v>
      </c>
      <c r="C524" s="1" t="s">
        <v>28</v>
      </c>
      <c r="D524" s="1">
        <v>1</v>
      </c>
      <c r="E524" s="1">
        <v>3</v>
      </c>
      <c r="F524" s="1">
        <v>249017</v>
      </c>
      <c r="G524" s="1">
        <v>804324.91</v>
      </c>
      <c r="H524" s="1">
        <v>62433.33</v>
      </c>
      <c r="I524" s="1">
        <v>216644.79</v>
      </c>
      <c r="J524" s="1">
        <v>1083403.03</v>
      </c>
      <c r="K524" s="1">
        <v>4.3507191476887117</v>
      </c>
    </row>
    <row r="525" spans="2:11">
      <c r="B525" s="1" t="s">
        <v>37</v>
      </c>
      <c r="C525" s="1" t="s">
        <v>28</v>
      </c>
      <c r="D525" s="1">
        <v>114</v>
      </c>
      <c r="E525" s="1">
        <v>1459</v>
      </c>
      <c r="F525" s="1">
        <v>2681652</v>
      </c>
      <c r="G525" s="1">
        <v>25180712.280000001</v>
      </c>
      <c r="H525" s="1">
        <v>1993982.56</v>
      </c>
      <c r="I525" s="1">
        <v>6784579.5599999996</v>
      </c>
      <c r="J525" s="1">
        <v>33959274.399999999</v>
      </c>
      <c r="K525" s="1">
        <v>12.663564996502156</v>
      </c>
    </row>
    <row r="526" spans="2:11">
      <c r="B526" s="1" t="s">
        <v>38</v>
      </c>
      <c r="C526" s="1" t="s">
        <v>28</v>
      </c>
      <c r="D526" s="1">
        <v>8</v>
      </c>
      <c r="E526" s="1">
        <v>15</v>
      </c>
      <c r="F526" s="1">
        <v>108591</v>
      </c>
      <c r="G526" s="1">
        <v>336632.10000000003</v>
      </c>
      <c r="H526" s="1">
        <v>3450</v>
      </c>
      <c r="I526" s="1">
        <v>90130.53</v>
      </c>
      <c r="J526" s="1">
        <v>430212.63</v>
      </c>
      <c r="K526" s="1">
        <v>3.9617705887228225</v>
      </c>
    </row>
    <row r="527" spans="2:11">
      <c r="B527" s="1" t="s">
        <v>39</v>
      </c>
      <c r="C527" s="1" t="s">
        <v>28</v>
      </c>
      <c r="D527" s="1">
        <v>1397</v>
      </c>
      <c r="E527" s="1">
        <v>567</v>
      </c>
      <c r="F527" s="1">
        <v>1186518</v>
      </c>
      <c r="G527" s="1">
        <v>8068322.3999999994</v>
      </c>
      <c r="H527" s="1">
        <v>486816.68</v>
      </c>
      <c r="I527" s="1">
        <v>2171327.94</v>
      </c>
      <c r="J527" s="1">
        <v>10726467.02</v>
      </c>
      <c r="K527" s="1">
        <v>9.0402901768030492</v>
      </c>
    </row>
    <row r="528" spans="2:11">
      <c r="B528" s="1" t="s">
        <v>40</v>
      </c>
      <c r="C528" s="1" t="s">
        <v>28</v>
      </c>
      <c r="D528" s="1">
        <v>3</v>
      </c>
      <c r="E528" s="1">
        <v>384</v>
      </c>
      <c r="F528" s="1">
        <v>4441261</v>
      </c>
      <c r="G528" s="1">
        <v>30200574.800000001</v>
      </c>
      <c r="H528" s="1">
        <v>3735769.19</v>
      </c>
      <c r="I528" s="1">
        <v>8127507.6299999999</v>
      </c>
      <c r="J528" s="1">
        <v>42063851.620000005</v>
      </c>
      <c r="K528" s="1">
        <v>9.4711505628694201</v>
      </c>
    </row>
    <row r="529" spans="2:11">
      <c r="B529" s="1" t="s">
        <v>41</v>
      </c>
      <c r="C529" s="1" t="s">
        <v>28</v>
      </c>
      <c r="D529" s="1">
        <v>0</v>
      </c>
      <c r="E529" s="1">
        <v>39</v>
      </c>
      <c r="F529" s="1">
        <v>13297391</v>
      </c>
      <c r="G529" s="1">
        <v>78454606.900000006</v>
      </c>
      <c r="H529" s="1">
        <v>8144167.5</v>
      </c>
      <c r="I529" s="1">
        <v>21142851.690000001</v>
      </c>
      <c r="J529" s="1">
        <v>107741626.09</v>
      </c>
      <c r="K529" s="1">
        <v>8.1024635652211785</v>
      </c>
    </row>
    <row r="530" spans="2:11">
      <c r="B530" s="1" t="s">
        <v>42</v>
      </c>
      <c r="C530" s="1" t="s">
        <v>28</v>
      </c>
      <c r="D530" s="1">
        <v>0</v>
      </c>
      <c r="E530" s="1">
        <v>101</v>
      </c>
      <c r="F530" s="1">
        <v>29214895</v>
      </c>
      <c r="G530" s="1">
        <v>185514583.25</v>
      </c>
      <c r="H530" s="1">
        <v>17583558.91</v>
      </c>
      <c r="I530" s="1">
        <v>49957470.449999996</v>
      </c>
      <c r="J530" s="1">
        <v>253055612.60999998</v>
      </c>
      <c r="K530" s="1">
        <v>8.6618696596376612</v>
      </c>
    </row>
    <row r="531" spans="2:11">
      <c r="B531" s="1" t="s">
        <v>43</v>
      </c>
      <c r="C531" s="1" t="s">
        <v>28</v>
      </c>
      <c r="D531" s="1">
        <v>0</v>
      </c>
      <c r="E531" s="1">
        <v>11</v>
      </c>
      <c r="F531" s="1">
        <v>2565540</v>
      </c>
      <c r="G531" s="1">
        <v>8722836</v>
      </c>
      <c r="H531" s="1">
        <v>1500358.8</v>
      </c>
      <c r="I531" s="1">
        <v>2334641.4</v>
      </c>
      <c r="J531" s="1">
        <v>12557836.200000001</v>
      </c>
      <c r="K531" s="1">
        <v>4.8948120863443956</v>
      </c>
    </row>
    <row r="532" spans="2:11">
      <c r="B532" s="1" t="s">
        <v>44</v>
      </c>
      <c r="C532" s="1" t="s">
        <v>28</v>
      </c>
      <c r="D532" s="1">
        <v>0</v>
      </c>
      <c r="E532" s="1">
        <v>5</v>
      </c>
      <c r="F532" s="1">
        <v>442437</v>
      </c>
      <c r="G532" s="1">
        <v>3827080.0500000003</v>
      </c>
      <c r="H532" s="1">
        <v>1000</v>
      </c>
      <c r="I532" s="1">
        <v>1030878.2100000001</v>
      </c>
      <c r="J532" s="1">
        <v>4858958.2600000007</v>
      </c>
      <c r="K532" s="1">
        <v>10.98226020879809</v>
      </c>
    </row>
    <row r="533" spans="2:11">
      <c r="B533" s="1" t="s">
        <v>45</v>
      </c>
      <c r="C533" s="1" t="s">
        <v>28</v>
      </c>
      <c r="D533" s="1">
        <v>0</v>
      </c>
      <c r="E533" s="1">
        <v>10</v>
      </c>
      <c r="F533" s="1">
        <v>4018275</v>
      </c>
      <c r="G533" s="1">
        <v>22502340</v>
      </c>
      <c r="H533" s="1">
        <v>1727906.42</v>
      </c>
      <c r="I533" s="1">
        <v>6067595.25</v>
      </c>
      <c r="J533" s="1">
        <v>30297841.670000002</v>
      </c>
      <c r="K533" s="1">
        <v>7.5400119877310541</v>
      </c>
    </row>
    <row r="534" spans="2:11">
      <c r="B534" s="1" t="s">
        <v>46</v>
      </c>
      <c r="C534" s="1"/>
      <c r="D534" s="1"/>
      <c r="E534" s="1"/>
      <c r="F534" s="1"/>
      <c r="G534" s="1">
        <v>0</v>
      </c>
      <c r="H534" s="1">
        <v>0</v>
      </c>
      <c r="I534" s="1">
        <v>0</v>
      </c>
      <c r="J534" s="1">
        <v>0</v>
      </c>
      <c r="K534" s="1"/>
    </row>
    <row r="535" spans="2:11">
      <c r="B535" s="1" t="s">
        <v>47</v>
      </c>
      <c r="C535" s="1"/>
      <c r="D535" s="1">
        <v>880548</v>
      </c>
      <c r="E535" s="1">
        <v>143743</v>
      </c>
      <c r="F535" s="1">
        <v>318078895.60000002</v>
      </c>
      <c r="G535" s="1">
        <v>1800236020.2060001</v>
      </c>
      <c r="H535" s="1">
        <v>225062594.86000007</v>
      </c>
      <c r="I535" s="1">
        <v>484632177.96199995</v>
      </c>
      <c r="J535" s="1">
        <v>2509930793.0280004</v>
      </c>
      <c r="K535" s="1">
        <v>7.8909064001038365</v>
      </c>
    </row>
    <row r="536" spans="2:11">
      <c r="B536" s="1"/>
      <c r="C536" s="1"/>
      <c r="D536" s="1"/>
      <c r="E536" s="1"/>
      <c r="F536" s="1"/>
      <c r="G536" s="1"/>
      <c r="H536" s="1"/>
      <c r="I536" s="1" t="s">
        <v>48</v>
      </c>
      <c r="J536" s="1">
        <v>10792554.810000001</v>
      </c>
      <c r="K536" s="1"/>
    </row>
    <row r="537" spans="2:11">
      <c r="B537" s="1"/>
      <c r="C537" s="1"/>
      <c r="D537" s="1"/>
      <c r="E537" s="1"/>
      <c r="F537" s="1"/>
      <c r="G537" s="1"/>
      <c r="H537" s="1"/>
      <c r="I537" s="1" t="s">
        <v>49</v>
      </c>
      <c r="J537" s="1">
        <v>-53135716.609999999</v>
      </c>
      <c r="K537" s="1"/>
    </row>
    <row r="538" spans="2:11">
      <c r="B538" s="1"/>
      <c r="C538" s="1"/>
      <c r="D538" s="1"/>
      <c r="E538" s="1"/>
      <c r="F538" s="1"/>
      <c r="G538" s="1"/>
      <c r="H538" s="1"/>
      <c r="I538" s="1" t="s">
        <v>50</v>
      </c>
      <c r="J538" s="1">
        <v>0</v>
      </c>
      <c r="K538" s="1"/>
    </row>
    <row r="539" spans="2:11">
      <c r="B539" s="1"/>
      <c r="C539" s="1"/>
      <c r="D539" s="1"/>
      <c r="E539" s="1"/>
      <c r="F539" s="1"/>
      <c r="G539" s="1"/>
      <c r="H539" s="1"/>
      <c r="I539" s="1" t="s">
        <v>51</v>
      </c>
      <c r="J539" s="1">
        <v>12001024.25</v>
      </c>
      <c r="K539" s="1"/>
    </row>
    <row r="540" spans="2:11">
      <c r="B540" s="1"/>
      <c r="C540" s="1"/>
      <c r="D540" s="1"/>
      <c r="E540" s="1"/>
      <c r="F540" s="1"/>
      <c r="G540" s="1"/>
      <c r="H540" s="1"/>
      <c r="I540" s="1" t="s">
        <v>52</v>
      </c>
      <c r="J540" s="1">
        <v>6663706.75</v>
      </c>
      <c r="K540" s="1"/>
    </row>
    <row r="541" spans="2:11">
      <c r="B541" s="1"/>
      <c r="C541" s="1"/>
      <c r="D541" s="1"/>
      <c r="E541" s="1"/>
      <c r="F541" s="1"/>
      <c r="G541" s="1"/>
      <c r="H541" s="1"/>
      <c r="I541" s="1" t="s">
        <v>47</v>
      </c>
      <c r="J541" s="1">
        <v>2486252362.2280002</v>
      </c>
      <c r="K541" s="1"/>
    </row>
    <row r="542" spans="2:11">
      <c r="B542" s="1"/>
      <c r="C542" s="1"/>
      <c r="D542" s="1"/>
      <c r="E542" s="1"/>
      <c r="F542" s="1"/>
      <c r="G542" s="1"/>
      <c r="H542" s="1"/>
      <c r="I542" s="1" t="s">
        <v>53</v>
      </c>
      <c r="J542" s="1">
        <v>-9722189.8800000008</v>
      </c>
      <c r="K542" s="1"/>
    </row>
    <row r="543" spans="2:11">
      <c r="B543" s="1"/>
      <c r="C543" s="1"/>
      <c r="D543" s="1"/>
      <c r="E543" s="1"/>
      <c r="F543" s="1"/>
      <c r="G543" s="1"/>
      <c r="H543" s="1"/>
      <c r="I543" s="1" t="s">
        <v>54</v>
      </c>
      <c r="J543" s="1">
        <v>-51408013.619999997</v>
      </c>
      <c r="K543" s="1"/>
    </row>
    <row r="544" spans="2:11">
      <c r="B544" s="1"/>
      <c r="C544" s="1"/>
      <c r="D544" s="1"/>
      <c r="E544" s="1"/>
      <c r="F544" s="1"/>
      <c r="G544" s="1"/>
      <c r="H544" s="1"/>
      <c r="I544" s="1" t="s">
        <v>55</v>
      </c>
      <c r="J544" s="1">
        <v>-302871.71999999997</v>
      </c>
      <c r="K544" s="1"/>
    </row>
    <row r="545" spans="2:11">
      <c r="B545" s="1"/>
      <c r="C545" s="1"/>
      <c r="D545" s="1"/>
      <c r="E545" s="1"/>
      <c r="F545" s="1"/>
      <c r="G545" s="1"/>
      <c r="H545" s="1"/>
      <c r="I545" s="1" t="s">
        <v>56</v>
      </c>
      <c r="J545" s="1">
        <v>-1009446.76</v>
      </c>
      <c r="K545" s="1"/>
    </row>
    <row r="546" spans="2:11">
      <c r="B546" s="1"/>
      <c r="C546" s="1"/>
      <c r="D546" s="1"/>
      <c r="E546" s="1"/>
      <c r="F546" s="1"/>
      <c r="G546" s="1"/>
      <c r="H546" s="1"/>
      <c r="I546" s="1" t="s">
        <v>57</v>
      </c>
      <c r="J546" s="1">
        <v>2423809840.2480001</v>
      </c>
      <c r="K546" s="1"/>
    </row>
    <row r="547" spans="2:11">
      <c r="B547" s="1"/>
      <c r="C547" s="1"/>
      <c r="D547" s="1"/>
      <c r="E547" s="1"/>
      <c r="F547" s="1"/>
      <c r="G547" s="1"/>
      <c r="H547" s="1"/>
      <c r="I547" s="1" t="s">
        <v>58</v>
      </c>
      <c r="J547" s="1">
        <v>7.8164643949046706</v>
      </c>
      <c r="K547" s="1"/>
    </row>
    <row r="548" spans="2:11">
      <c r="B548" s="1"/>
      <c r="C548" s="1"/>
      <c r="D548" s="1"/>
      <c r="E548" s="1"/>
      <c r="F548" s="1"/>
      <c r="G548" s="1"/>
      <c r="H548" s="1"/>
      <c r="I548" s="1" t="s">
        <v>59</v>
      </c>
      <c r="J548" s="1">
        <v>43452102.689999998</v>
      </c>
      <c r="K548" s="1"/>
    </row>
    <row r="549" spans="2:11">
      <c r="B549" s="1"/>
      <c r="C549" s="1"/>
      <c r="D549" s="1"/>
      <c r="E549" s="1"/>
      <c r="F549" s="1"/>
      <c r="G549" s="1"/>
      <c r="H549" s="1"/>
      <c r="I549" s="1" t="s">
        <v>60</v>
      </c>
      <c r="J549" s="1">
        <v>2529704464.9180002</v>
      </c>
      <c r="K549" s="1"/>
    </row>
    <row r="550" spans="2:11">
      <c r="B550" s="1"/>
      <c r="C550" s="1"/>
      <c r="D550" s="1"/>
      <c r="E550" s="1"/>
      <c r="F550" s="1"/>
      <c r="G550" s="1"/>
      <c r="H550" s="1"/>
      <c r="I550" s="1" t="s">
        <v>58</v>
      </c>
      <c r="J550" s="1"/>
      <c r="K550" s="1"/>
    </row>
    <row r="551" spans="2:11">
      <c r="B551" s="1"/>
      <c r="C551" s="1"/>
      <c r="D551" s="1"/>
      <c r="E551" s="1"/>
      <c r="F551" s="1"/>
      <c r="G551" s="1"/>
      <c r="H551" s="1"/>
      <c r="I551" s="1"/>
      <c r="J551" s="1">
        <v>7.9530723349191605</v>
      </c>
      <c r="K551" s="1"/>
    </row>
    <row r="552" spans="2:11" ht="15.75" thickBot="1"/>
    <row r="553" spans="2:11">
      <c r="B553" s="5402" t="s">
        <v>79</v>
      </c>
      <c r="C553" s="5403"/>
      <c r="D553" s="5403"/>
      <c r="E553" s="5403"/>
      <c r="F553" s="5404"/>
    </row>
    <row r="554" spans="2:11" ht="30">
      <c r="B554" s="7" t="s">
        <v>1</v>
      </c>
      <c r="C554" s="7" t="s">
        <v>2</v>
      </c>
      <c r="D554" s="7" t="s">
        <v>62</v>
      </c>
      <c r="E554" s="7"/>
      <c r="F554" s="7" t="s">
        <v>4</v>
      </c>
      <c r="G554" s="7" t="s">
        <v>5</v>
      </c>
      <c r="H554" s="7" t="s">
        <v>6</v>
      </c>
      <c r="I554" s="7" t="s">
        <v>7</v>
      </c>
      <c r="J554" s="7" t="s">
        <v>8</v>
      </c>
      <c r="K554" s="7" t="s">
        <v>63</v>
      </c>
    </row>
    <row r="555" spans="2:11">
      <c r="B555" s="1"/>
      <c r="C555" s="1"/>
      <c r="D555" s="1" t="s">
        <v>12</v>
      </c>
      <c r="E555" s="1" t="s">
        <v>13</v>
      </c>
      <c r="F555" s="1"/>
      <c r="G555" s="1"/>
      <c r="H555" s="1"/>
      <c r="I555" s="1"/>
      <c r="J555" s="1"/>
      <c r="K555" s="1"/>
    </row>
    <row r="556" spans="2:11">
      <c r="B556" s="1" t="s">
        <v>14</v>
      </c>
      <c r="C556" s="1" t="s">
        <v>15</v>
      </c>
      <c r="D556" s="1">
        <v>299</v>
      </c>
      <c r="E556" s="1">
        <v>0</v>
      </c>
      <c r="F556" s="1">
        <v>2476</v>
      </c>
      <c r="G556" s="1">
        <v>1089.44</v>
      </c>
      <c r="H556" s="1">
        <v>642.79999999999995</v>
      </c>
      <c r="I556" s="1">
        <v>297.12</v>
      </c>
      <c r="J556" s="1">
        <v>2029.3600000000001</v>
      </c>
      <c r="K556" s="1">
        <v>0.81961227786752833</v>
      </c>
    </row>
    <row r="557" spans="2:11">
      <c r="B557" s="1" t="s">
        <v>16</v>
      </c>
      <c r="C557" s="1" t="s">
        <v>17</v>
      </c>
      <c r="D557" s="1">
        <v>280383</v>
      </c>
      <c r="E557" s="1">
        <v>14257</v>
      </c>
      <c r="F557" s="1">
        <v>54653904</v>
      </c>
      <c r="G557" s="1">
        <v>112589128.14</v>
      </c>
      <c r="H557" s="5399">
        <v>59248852.579999998</v>
      </c>
      <c r="I557" s="1">
        <v>30061896.700000003</v>
      </c>
      <c r="J557" s="5399">
        <v>625259374.82000005</v>
      </c>
      <c r="K557" s="1">
        <v>5.1281081011123915</v>
      </c>
    </row>
    <row r="558" spans="2:11">
      <c r="B558" s="1"/>
      <c r="C558" s="1" t="s">
        <v>18</v>
      </c>
      <c r="D558" s="1">
        <v>327992</v>
      </c>
      <c r="E558" s="1">
        <v>23615</v>
      </c>
      <c r="F558" s="1">
        <v>37363271</v>
      </c>
      <c r="G558" s="1">
        <v>142355062.62</v>
      </c>
      <c r="H558" s="5400"/>
      <c r="I558" s="1">
        <v>38486188.960000001</v>
      </c>
      <c r="J558" s="5400"/>
      <c r="K558" s="1"/>
    </row>
    <row r="559" spans="2:11">
      <c r="B559" s="1"/>
      <c r="C559" s="1" t="s">
        <v>19</v>
      </c>
      <c r="D559" s="1">
        <v>40126</v>
      </c>
      <c r="E559" s="1">
        <v>18011</v>
      </c>
      <c r="F559" s="1">
        <v>9427555</v>
      </c>
      <c r="G559" s="1">
        <v>50531726.120000005</v>
      </c>
      <c r="H559" s="5400"/>
      <c r="I559" s="1">
        <v>13576430.879999999</v>
      </c>
      <c r="J559" s="5400"/>
      <c r="K559" s="1"/>
    </row>
    <row r="560" spans="2:11">
      <c r="B560" s="1"/>
      <c r="C560" s="1" t="s">
        <v>20</v>
      </c>
      <c r="D560" s="1">
        <v>10684</v>
      </c>
      <c r="E560" s="1">
        <v>26547</v>
      </c>
      <c r="F560" s="1">
        <v>20483155</v>
      </c>
      <c r="G560" s="1">
        <v>140514500.12</v>
      </c>
      <c r="H560" s="5401"/>
      <c r="I560" s="1">
        <v>37895588.700000003</v>
      </c>
      <c r="J560" s="5401"/>
      <c r="K560" s="1"/>
    </row>
    <row r="561" spans="2:11">
      <c r="B561" s="1" t="s">
        <v>21</v>
      </c>
      <c r="C561" s="1" t="s">
        <v>22</v>
      </c>
      <c r="D561" s="1">
        <v>182738</v>
      </c>
      <c r="E561" s="1">
        <v>15435</v>
      </c>
      <c r="F561" s="1">
        <v>-1902</v>
      </c>
      <c r="G561" s="1">
        <v>-7608</v>
      </c>
      <c r="H561" s="5399">
        <v>62997974.049999997</v>
      </c>
      <c r="I561" s="1"/>
      <c r="J561" s="5399">
        <v>612883197.02999997</v>
      </c>
      <c r="K561" s="1">
        <v>9.2335187007382444</v>
      </c>
    </row>
    <row r="562" spans="2:11">
      <c r="B562" s="1"/>
      <c r="C562" s="1" t="s">
        <v>19</v>
      </c>
      <c r="D562" s="1">
        <v>19516</v>
      </c>
      <c r="E562" s="1">
        <v>5675</v>
      </c>
      <c r="F562" s="1">
        <v>-836</v>
      </c>
      <c r="G562" s="1">
        <v>-5016</v>
      </c>
      <c r="H562" s="5400"/>
      <c r="I562" s="1"/>
      <c r="J562" s="5400"/>
      <c r="K562" s="1"/>
    </row>
    <row r="563" spans="2:11">
      <c r="B563" s="1"/>
      <c r="C563" s="1" t="s">
        <v>23</v>
      </c>
      <c r="D563" s="1">
        <v>10819</v>
      </c>
      <c r="E563" s="1">
        <v>9477</v>
      </c>
      <c r="F563" s="1">
        <v>-1413</v>
      </c>
      <c r="G563" s="1">
        <v>-9749.7000000000007</v>
      </c>
      <c r="H563" s="5400"/>
      <c r="I563" s="1"/>
      <c r="J563" s="5400"/>
      <c r="K563" s="1"/>
    </row>
    <row r="564" spans="2:11">
      <c r="B564" s="1"/>
      <c r="C564" s="1" t="s">
        <v>24</v>
      </c>
      <c r="D564" s="1">
        <v>2242</v>
      </c>
      <c r="E564" s="1">
        <v>12044</v>
      </c>
      <c r="F564" s="1">
        <v>-6664</v>
      </c>
      <c r="G564" s="1">
        <v>-50646.399999999994</v>
      </c>
      <c r="H564" s="5400"/>
      <c r="I564" s="1"/>
      <c r="J564" s="5400"/>
      <c r="K564" s="1"/>
    </row>
    <row r="565" spans="2:11">
      <c r="B565" s="1"/>
      <c r="C565" s="1" t="s">
        <v>25</v>
      </c>
      <c r="D565" s="1">
        <v>202254</v>
      </c>
      <c r="E565" s="1">
        <v>21110</v>
      </c>
      <c r="F565" s="1">
        <v>40771662</v>
      </c>
      <c r="G565" s="1">
        <v>224244141</v>
      </c>
      <c r="H565" s="5400"/>
      <c r="I565" s="1">
        <v>60342059.759999998</v>
      </c>
      <c r="J565" s="5400"/>
      <c r="K565" s="1"/>
    </row>
    <row r="566" spans="2:11">
      <c r="B566" s="1"/>
      <c r="C566" s="1" t="s">
        <v>26</v>
      </c>
      <c r="D566" s="1">
        <v>13061</v>
      </c>
      <c r="E566" s="1">
        <v>21521</v>
      </c>
      <c r="F566" s="1">
        <v>25615062</v>
      </c>
      <c r="G566" s="1">
        <v>209018905.92000002</v>
      </c>
      <c r="H566" s="5401"/>
      <c r="I566" s="1">
        <v>56353136.400000006</v>
      </c>
      <c r="J566" s="5401"/>
      <c r="K566" s="1"/>
    </row>
    <row r="567" spans="2:11">
      <c r="B567" s="1" t="s">
        <v>27</v>
      </c>
      <c r="C567" s="1" t="s">
        <v>28</v>
      </c>
      <c r="D567" s="1">
        <v>65</v>
      </c>
      <c r="E567" s="1">
        <v>5935</v>
      </c>
      <c r="F567" s="1">
        <v>17897498</v>
      </c>
      <c r="G567" s="1">
        <v>143179984</v>
      </c>
      <c r="H567" s="1">
        <v>20044796.670000002</v>
      </c>
      <c r="I567" s="1">
        <v>38479620.699999996</v>
      </c>
      <c r="J567" s="1">
        <v>201704401.37</v>
      </c>
      <c r="K567" s="1">
        <v>11.269977589604983</v>
      </c>
    </row>
    <row r="568" spans="2:11">
      <c r="B568" s="1" t="s">
        <v>29</v>
      </c>
      <c r="C568" s="1" t="s">
        <v>28</v>
      </c>
      <c r="D568" s="1">
        <v>2</v>
      </c>
      <c r="E568" s="1">
        <v>2633</v>
      </c>
      <c r="F568" s="1">
        <v>35174795</v>
      </c>
      <c r="G568" s="1">
        <v>284564091.55000001</v>
      </c>
      <c r="H568" s="1">
        <v>32833339.050000001</v>
      </c>
      <c r="I568" s="1">
        <v>76681053.100000009</v>
      </c>
      <c r="J568" s="1">
        <v>394078483.70000005</v>
      </c>
      <c r="K568" s="1">
        <v>11.203433700182192</v>
      </c>
    </row>
    <row r="569" spans="2:11">
      <c r="B569" s="1" t="s">
        <v>30</v>
      </c>
      <c r="C569" s="1" t="s">
        <v>22</v>
      </c>
      <c r="D569" s="1">
        <v>2546</v>
      </c>
      <c r="E569" s="1">
        <v>3126</v>
      </c>
      <c r="F569" s="1">
        <v>0</v>
      </c>
      <c r="G569" s="1">
        <v>0</v>
      </c>
      <c r="H569" s="5399">
        <v>2929331.63</v>
      </c>
      <c r="I569" s="1"/>
      <c r="J569" s="5399">
        <v>31899956.25</v>
      </c>
      <c r="K569" s="1">
        <v>8.7813883449069809</v>
      </c>
    </row>
    <row r="570" spans="2:11">
      <c r="B570" s="1"/>
      <c r="C570" s="1" t="s">
        <v>19</v>
      </c>
      <c r="D570" s="1">
        <v>175</v>
      </c>
      <c r="E570" s="1">
        <v>731</v>
      </c>
      <c r="F570" s="1">
        <v>0</v>
      </c>
      <c r="G570" s="1">
        <v>0</v>
      </c>
      <c r="H570" s="5400"/>
      <c r="I570" s="1"/>
      <c r="J570" s="5400"/>
      <c r="K570" s="1"/>
    </row>
    <row r="571" spans="2:11">
      <c r="B571" s="1"/>
      <c r="C571" s="1" t="s">
        <v>23</v>
      </c>
      <c r="D571" s="1">
        <v>90</v>
      </c>
      <c r="E571" s="1">
        <v>1046</v>
      </c>
      <c r="F571" s="1">
        <v>0</v>
      </c>
      <c r="G571" s="1">
        <v>0</v>
      </c>
      <c r="H571" s="5400"/>
      <c r="I571" s="1"/>
      <c r="J571" s="5400"/>
      <c r="K571" s="1"/>
    </row>
    <row r="572" spans="2:11">
      <c r="B572" s="1"/>
      <c r="C572" s="1" t="s">
        <v>24</v>
      </c>
      <c r="D572" s="1">
        <v>27</v>
      </c>
      <c r="E572" s="1">
        <v>1013</v>
      </c>
      <c r="F572" s="1">
        <v>0</v>
      </c>
      <c r="G572" s="1">
        <v>0</v>
      </c>
      <c r="H572" s="5400"/>
      <c r="I572" s="1"/>
      <c r="J572" s="5400"/>
      <c r="K572" s="1"/>
    </row>
    <row r="573" spans="2:11">
      <c r="B573" s="1"/>
      <c r="C573" s="1" t="s">
        <v>25</v>
      </c>
      <c r="D573" s="1">
        <v>2721</v>
      </c>
      <c r="E573" s="1">
        <v>3857</v>
      </c>
      <c r="F573" s="1">
        <v>1747270</v>
      </c>
      <c r="G573" s="1">
        <v>9103276.6999999993</v>
      </c>
      <c r="H573" s="5400"/>
      <c r="I573" s="1">
        <v>2446178</v>
      </c>
      <c r="J573" s="5400"/>
      <c r="K573" s="1"/>
    </row>
    <row r="574" spans="2:11">
      <c r="B574" s="1"/>
      <c r="C574" s="1" t="s">
        <v>26</v>
      </c>
      <c r="D574" s="1">
        <v>117</v>
      </c>
      <c r="E574" s="1">
        <v>2059</v>
      </c>
      <c r="F574" s="1">
        <v>1885408</v>
      </c>
      <c r="G574" s="1">
        <v>13725770.24</v>
      </c>
      <c r="H574" s="5401"/>
      <c r="I574" s="1">
        <v>3695399.6799999997</v>
      </c>
      <c r="J574" s="5401"/>
      <c r="K574" s="1"/>
    </row>
    <row r="575" spans="2:11">
      <c r="B575" s="1" t="s">
        <v>31</v>
      </c>
      <c r="C575" s="1" t="s">
        <v>28</v>
      </c>
      <c r="D575" s="1">
        <v>8</v>
      </c>
      <c r="E575" s="1">
        <v>1207</v>
      </c>
      <c r="F575" s="1">
        <v>4377775</v>
      </c>
      <c r="G575" s="1">
        <v>28543092.999999996</v>
      </c>
      <c r="H575" s="1">
        <v>5149320.78</v>
      </c>
      <c r="I575" s="1">
        <v>7661106.25</v>
      </c>
      <c r="J575" s="1">
        <v>41353520.029999994</v>
      </c>
      <c r="K575" s="1">
        <v>9.4462415336557939</v>
      </c>
    </row>
    <row r="576" spans="2:11">
      <c r="B576" s="1" t="s">
        <v>32</v>
      </c>
      <c r="C576" s="1" t="s">
        <v>28</v>
      </c>
      <c r="D576" s="1">
        <v>1</v>
      </c>
      <c r="E576" s="1">
        <v>125</v>
      </c>
      <c r="F576" s="1">
        <v>3951494</v>
      </c>
      <c r="G576" s="1">
        <v>25250046.66</v>
      </c>
      <c r="H576" s="1">
        <v>2662895.7999999998</v>
      </c>
      <c r="I576" s="1">
        <v>6796569.6799999997</v>
      </c>
      <c r="J576" s="1">
        <v>34709512.140000001</v>
      </c>
      <c r="K576" s="1">
        <v>8.7838959492283166</v>
      </c>
    </row>
    <row r="577" spans="2:11">
      <c r="B577" s="1" t="s">
        <v>33</v>
      </c>
      <c r="C577" s="1" t="s">
        <v>28</v>
      </c>
      <c r="D577" s="1">
        <v>774</v>
      </c>
      <c r="E577" s="1">
        <v>147</v>
      </c>
      <c r="F577" s="1">
        <v>182828</v>
      </c>
      <c r="G577" s="1">
        <v>2148312.2999999998</v>
      </c>
      <c r="H577" s="1">
        <v>338133.32</v>
      </c>
      <c r="I577" s="1">
        <v>578488.56000000006</v>
      </c>
      <c r="J577" s="1">
        <v>3064934.1799999997</v>
      </c>
      <c r="K577" s="1">
        <v>16.764030564246177</v>
      </c>
    </row>
    <row r="578" spans="2:11">
      <c r="B578" s="1" t="s">
        <v>34</v>
      </c>
      <c r="C578" s="1" t="s">
        <v>28</v>
      </c>
      <c r="D578" s="1">
        <v>0</v>
      </c>
      <c r="E578" s="1">
        <v>0</v>
      </c>
      <c r="F578" s="1">
        <v>2506914.7999999998</v>
      </c>
      <c r="G578" s="1">
        <v>14189137.767999999</v>
      </c>
      <c r="H578" s="1">
        <v>1917553.82</v>
      </c>
      <c r="I578" s="1">
        <v>3810510.4959999998</v>
      </c>
      <c r="J578" s="1">
        <v>19917202.083999999</v>
      </c>
      <c r="K578" s="1">
        <v>7.944905859584857</v>
      </c>
    </row>
    <row r="579" spans="2:11">
      <c r="B579" s="1" t="s">
        <v>35</v>
      </c>
      <c r="C579" s="1" t="s">
        <v>28</v>
      </c>
      <c r="D579" s="1">
        <v>538</v>
      </c>
      <c r="E579" s="1">
        <v>125</v>
      </c>
      <c r="F579" s="1">
        <v>335946</v>
      </c>
      <c r="G579" s="1">
        <v>1901454.36</v>
      </c>
      <c r="H579" s="1">
        <v>216444.59</v>
      </c>
      <c r="I579" s="1">
        <v>510637.92</v>
      </c>
      <c r="J579" s="1">
        <v>2628536.87</v>
      </c>
      <c r="K579" s="1">
        <v>7.8242838730033997</v>
      </c>
    </row>
    <row r="580" spans="2:11">
      <c r="B580" s="1" t="s">
        <v>36</v>
      </c>
      <c r="C580" s="1" t="s">
        <v>28</v>
      </c>
      <c r="D580" s="1">
        <v>1</v>
      </c>
      <c r="E580" s="1">
        <v>3</v>
      </c>
      <c r="F580" s="1">
        <v>40030</v>
      </c>
      <c r="G580" s="1">
        <v>129296.9</v>
      </c>
      <c r="H580" s="1">
        <v>12493.33</v>
      </c>
      <c r="I580" s="1">
        <v>34826.1</v>
      </c>
      <c r="J580" s="1">
        <v>176616.33</v>
      </c>
      <c r="K580" s="1">
        <v>4.4120991756182857</v>
      </c>
    </row>
    <row r="581" spans="2:11">
      <c r="B581" s="1" t="s">
        <v>37</v>
      </c>
      <c r="C581" s="1" t="s">
        <v>28</v>
      </c>
      <c r="D581" s="1">
        <v>114</v>
      </c>
      <c r="E581" s="1">
        <v>1459</v>
      </c>
      <c r="F581" s="1">
        <v>2706086</v>
      </c>
      <c r="G581" s="1">
        <v>25410147.540000003</v>
      </c>
      <c r="H581" s="1">
        <v>2005220.05</v>
      </c>
      <c r="I581" s="1">
        <v>6846397.5799999991</v>
      </c>
      <c r="J581" s="1">
        <v>34261765.170000002</v>
      </c>
      <c r="K581" s="1">
        <v>12.661003815104177</v>
      </c>
    </row>
    <row r="582" spans="2:11">
      <c r="B582" s="1" t="s">
        <v>38</v>
      </c>
      <c r="C582" s="1" t="s">
        <v>28</v>
      </c>
      <c r="D582" s="1">
        <v>8</v>
      </c>
      <c r="E582" s="1">
        <v>15</v>
      </c>
      <c r="F582" s="1">
        <v>108981</v>
      </c>
      <c r="G582" s="1">
        <v>337841.10000000003</v>
      </c>
      <c r="H582" s="1">
        <v>3450</v>
      </c>
      <c r="I582" s="1">
        <v>90454.23</v>
      </c>
      <c r="J582" s="1">
        <v>431745.33</v>
      </c>
      <c r="K582" s="1">
        <v>3.9616568943210284</v>
      </c>
    </row>
    <row r="583" spans="2:11">
      <c r="B583" s="1" t="s">
        <v>39</v>
      </c>
      <c r="C583" s="1" t="s">
        <v>28</v>
      </c>
      <c r="D583" s="1">
        <v>1397</v>
      </c>
      <c r="E583" s="1">
        <v>567</v>
      </c>
      <c r="F583" s="1">
        <v>1158686</v>
      </c>
      <c r="G583" s="1">
        <v>7879064.7999999998</v>
      </c>
      <c r="H583" s="1">
        <v>497849.98</v>
      </c>
      <c r="I583" s="1">
        <v>2120395.38</v>
      </c>
      <c r="J583" s="1">
        <v>10497310.16</v>
      </c>
      <c r="K583" s="1">
        <v>9.0596677270632426</v>
      </c>
    </row>
    <row r="584" spans="2:11">
      <c r="B584" s="1" t="s">
        <v>40</v>
      </c>
      <c r="C584" s="1" t="s">
        <v>28</v>
      </c>
      <c r="D584" s="1">
        <v>3</v>
      </c>
      <c r="E584" s="1">
        <v>384</v>
      </c>
      <c r="F584" s="1">
        <v>4218819</v>
      </c>
      <c r="G584" s="1">
        <v>28687969.199999999</v>
      </c>
      <c r="H584" s="1">
        <v>3826680.88</v>
      </c>
      <c r="I584" s="1">
        <v>7720438.7700000005</v>
      </c>
      <c r="J584" s="1">
        <v>40235088.850000001</v>
      </c>
      <c r="K584" s="1">
        <v>9.5370502621705278</v>
      </c>
    </row>
    <row r="585" spans="2:11">
      <c r="B585" s="1" t="s">
        <v>41</v>
      </c>
      <c r="C585" s="1" t="s">
        <v>28</v>
      </c>
      <c r="D585" s="1">
        <v>0</v>
      </c>
      <c r="E585" s="1">
        <v>39</v>
      </c>
      <c r="F585" s="1">
        <v>13097139</v>
      </c>
      <c r="G585" s="1">
        <v>77273120.100000009</v>
      </c>
      <c r="H585" s="1">
        <v>7980743.5</v>
      </c>
      <c r="I585" s="1">
        <v>20824451.010000002</v>
      </c>
      <c r="J585" s="1">
        <v>106078314.61000001</v>
      </c>
      <c r="K585" s="1">
        <v>8.099350141278947</v>
      </c>
    </row>
    <row r="586" spans="2:11">
      <c r="B586" s="1" t="s">
        <v>42</v>
      </c>
      <c r="C586" s="1" t="s">
        <v>28</v>
      </c>
      <c r="D586" s="1">
        <v>0</v>
      </c>
      <c r="E586" s="1">
        <v>101</v>
      </c>
      <c r="F586" s="1">
        <v>29041802</v>
      </c>
      <c r="G586" s="1">
        <v>184415442.69999999</v>
      </c>
      <c r="H586" s="1">
        <v>18091399.91</v>
      </c>
      <c r="I586" s="1">
        <v>49661481.420000002</v>
      </c>
      <c r="J586" s="1">
        <v>252168324.02999997</v>
      </c>
      <c r="K586" s="1">
        <v>8.6829434354658837</v>
      </c>
    </row>
    <row r="587" spans="2:11">
      <c r="B587" s="1" t="s">
        <v>43</v>
      </c>
      <c r="C587" s="1" t="s">
        <v>28</v>
      </c>
      <c r="D587" s="1">
        <v>0</v>
      </c>
      <c r="E587" s="1">
        <v>11</v>
      </c>
      <c r="F587" s="1">
        <v>2376381</v>
      </c>
      <c r="G587" s="1">
        <v>8079695.3999999994</v>
      </c>
      <c r="H587" s="1">
        <v>1354897.85</v>
      </c>
      <c r="I587" s="1">
        <v>2162506.71</v>
      </c>
      <c r="J587" s="1">
        <v>11597099.960000001</v>
      </c>
      <c r="K587" s="1">
        <v>4.8801517770088214</v>
      </c>
    </row>
    <row r="588" spans="2:11">
      <c r="B588" s="1" t="s">
        <v>44</v>
      </c>
      <c r="C588" s="1" t="s">
        <v>28</v>
      </c>
      <c r="D588" s="1">
        <v>0</v>
      </c>
      <c r="E588" s="1">
        <v>5</v>
      </c>
      <c r="F588" s="1">
        <v>418659</v>
      </c>
      <c r="G588" s="1">
        <v>3621400.35</v>
      </c>
      <c r="H588" s="1">
        <v>1150</v>
      </c>
      <c r="I588" s="1">
        <v>975475.47</v>
      </c>
      <c r="J588" s="1">
        <v>4598025.82</v>
      </c>
      <c r="K588" s="1">
        <v>10.982746865587508</v>
      </c>
    </row>
    <row r="589" spans="2:11">
      <c r="B589" s="1" t="s">
        <v>45</v>
      </c>
      <c r="C589" s="1" t="s">
        <v>28</v>
      </c>
      <c r="D589" s="1">
        <v>0</v>
      </c>
      <c r="E589" s="1">
        <v>10</v>
      </c>
      <c r="F589" s="1">
        <v>4286158</v>
      </c>
      <c r="G589" s="1">
        <v>24002484.799999997</v>
      </c>
      <c r="H589" s="1">
        <v>1965252.5</v>
      </c>
      <c r="I589" s="1">
        <v>6472098.5800000001</v>
      </c>
      <c r="J589" s="1">
        <v>32439835.879999995</v>
      </c>
      <c r="K589" s="1">
        <v>7.5685114454483466</v>
      </c>
    </row>
    <row r="590" spans="2:11">
      <c r="B590" s="1" t="s">
        <v>46</v>
      </c>
      <c r="C590" s="1"/>
      <c r="D590" s="1"/>
      <c r="E590" s="1"/>
      <c r="F590" s="1"/>
      <c r="G590" s="1">
        <v>107536959.42</v>
      </c>
      <c r="H590" s="1">
        <v>4212505.97</v>
      </c>
      <c r="I590" s="1">
        <v>-5249140.67</v>
      </c>
      <c r="J590" s="1">
        <v>106500324.72</v>
      </c>
      <c r="K590" s="1"/>
    </row>
    <row r="591" spans="2:11">
      <c r="B591" s="1" t="s">
        <v>47</v>
      </c>
      <c r="C591" s="1"/>
      <c r="D591" s="1">
        <v>880548</v>
      </c>
      <c r="E591" s="1">
        <v>143743</v>
      </c>
      <c r="F591" s="1">
        <v>313818939.80000001</v>
      </c>
      <c r="G591" s="1">
        <v>1869160122.1479998</v>
      </c>
      <c r="H591" s="1">
        <v>228290929.06</v>
      </c>
      <c r="I591" s="1">
        <v>469034547.48600006</v>
      </c>
      <c r="J591" s="1">
        <v>2566485598.6940002</v>
      </c>
      <c r="K591" s="1">
        <v>8.1782367894354859</v>
      </c>
    </row>
    <row r="592" spans="2:11">
      <c r="B592" s="1"/>
      <c r="C592" s="1"/>
      <c r="D592" s="1"/>
      <c r="E592" s="1"/>
      <c r="F592" s="1"/>
      <c r="G592" s="1"/>
      <c r="H592" s="1"/>
      <c r="I592" s="1" t="s">
        <v>48</v>
      </c>
      <c r="J592" s="1">
        <v>10030547.189999999</v>
      </c>
      <c r="K592" s="1"/>
    </row>
    <row r="593" spans="2:11">
      <c r="B593" s="1"/>
      <c r="C593" s="1"/>
      <c r="D593" s="1"/>
      <c r="E593" s="1"/>
      <c r="F593" s="1"/>
      <c r="G593" s="1"/>
      <c r="H593" s="1"/>
      <c r="I593" s="1" t="s">
        <v>49</v>
      </c>
      <c r="J593" s="1">
        <v>351341634.36000001</v>
      </c>
      <c r="K593" s="1"/>
    </row>
    <row r="594" spans="2:11">
      <c r="B594" s="1"/>
      <c r="C594" s="1"/>
      <c r="D594" s="1"/>
      <c r="E594" s="1"/>
      <c r="F594" s="1"/>
      <c r="G594" s="1"/>
      <c r="H594" s="1"/>
      <c r="I594" s="1" t="s">
        <v>50</v>
      </c>
      <c r="J594" s="1">
        <v>-656798.56000000006</v>
      </c>
      <c r="K594" s="1"/>
    </row>
    <row r="595" spans="2:11">
      <c r="B595" s="1"/>
      <c r="C595" s="1"/>
      <c r="D595" s="1"/>
      <c r="E595" s="1"/>
      <c r="F595" s="1"/>
      <c r="G595" s="1"/>
      <c r="H595" s="1"/>
      <c r="I595" s="1" t="s">
        <v>51</v>
      </c>
      <c r="J595" s="1">
        <v>7665018.1100000003</v>
      </c>
      <c r="K595" s="1"/>
    </row>
    <row r="596" spans="2:11">
      <c r="B596" s="1"/>
      <c r="C596" s="1"/>
      <c r="D596" s="1"/>
      <c r="E596" s="1"/>
      <c r="F596" s="1"/>
      <c r="G596" s="1"/>
      <c r="H596" s="1"/>
      <c r="I596" s="1" t="s">
        <v>52</v>
      </c>
      <c r="J596" s="1">
        <v>8034125.9100000001</v>
      </c>
      <c r="K596" s="1"/>
    </row>
    <row r="597" spans="2:11">
      <c r="B597" s="1"/>
      <c r="C597" s="1"/>
      <c r="D597" s="1"/>
      <c r="E597" s="1"/>
      <c r="F597" s="1"/>
      <c r="G597" s="1"/>
      <c r="H597" s="1"/>
      <c r="I597" s="1" t="s">
        <v>47</v>
      </c>
      <c r="J597" s="1">
        <v>2942900125.7040005</v>
      </c>
      <c r="K597" s="1"/>
    </row>
    <row r="598" spans="2:11">
      <c r="B598" s="1"/>
      <c r="C598" s="1"/>
      <c r="D598" s="1"/>
      <c r="E598" s="1"/>
      <c r="F598" s="1"/>
      <c r="G598" s="1"/>
      <c r="H598" s="1"/>
      <c r="I598" s="1" t="s">
        <v>53</v>
      </c>
      <c r="J598" s="1">
        <v>-8516689.8499999996</v>
      </c>
      <c r="K598" s="1"/>
    </row>
    <row r="599" spans="2:11">
      <c r="B599" s="1"/>
      <c r="C599" s="1"/>
      <c r="D599" s="1"/>
      <c r="E599" s="1"/>
      <c r="F599" s="1"/>
      <c r="G599" s="1"/>
      <c r="H599" s="1"/>
      <c r="I599" s="1" t="s">
        <v>54</v>
      </c>
      <c r="J599" s="1">
        <v>-60974789.130000003</v>
      </c>
      <c r="K599" s="1"/>
    </row>
    <row r="600" spans="2:11">
      <c r="B600" s="1"/>
      <c r="C600" s="1"/>
      <c r="D600" s="1"/>
      <c r="E600" s="1"/>
      <c r="F600" s="1"/>
      <c r="G600" s="1"/>
      <c r="H600" s="1"/>
      <c r="I600" s="1" t="s">
        <v>55</v>
      </c>
      <c r="J600" s="1">
        <v>-265752.71000000002</v>
      </c>
      <c r="K600" s="1"/>
    </row>
    <row r="601" spans="2:11">
      <c r="B601" s="1"/>
      <c r="C601" s="1"/>
      <c r="D601" s="1"/>
      <c r="E601" s="1"/>
      <c r="F601" s="1"/>
      <c r="G601" s="1"/>
      <c r="H601" s="1"/>
      <c r="I601" s="1" t="s">
        <v>56</v>
      </c>
      <c r="J601" s="1">
        <v>0</v>
      </c>
      <c r="K601" s="1"/>
    </row>
    <row r="602" spans="2:11">
      <c r="B602" s="1"/>
      <c r="C602" s="1"/>
      <c r="D602" s="1"/>
      <c r="E602" s="1"/>
      <c r="F602" s="1"/>
      <c r="G602" s="1"/>
      <c r="H602" s="1"/>
      <c r="I602" s="1" t="s">
        <v>57</v>
      </c>
      <c r="J602" s="1">
        <v>2873142894.0140004</v>
      </c>
      <c r="K602" s="1"/>
    </row>
    <row r="603" spans="2:11">
      <c r="B603" s="1"/>
      <c r="C603" s="1"/>
      <c r="D603" s="1"/>
      <c r="E603" s="1"/>
      <c r="F603" s="1"/>
      <c r="G603" s="1"/>
      <c r="H603" s="1"/>
      <c r="I603" s="1" t="s">
        <v>58</v>
      </c>
      <c r="J603" s="1">
        <v>9.3777008091976235</v>
      </c>
      <c r="K603" s="1"/>
    </row>
    <row r="604" spans="2:11">
      <c r="B604" s="1"/>
      <c r="C604" s="1"/>
      <c r="D604" s="1"/>
      <c r="E604" s="1"/>
      <c r="F604" s="1"/>
      <c r="G604" s="1"/>
      <c r="H604" s="1"/>
      <c r="I604" s="1" t="s">
        <v>59</v>
      </c>
      <c r="J604" s="1">
        <v>41213321.829999998</v>
      </c>
      <c r="K604" s="1"/>
    </row>
    <row r="605" spans="2:11">
      <c r="B605" s="1"/>
      <c r="C605" s="1"/>
      <c r="D605" s="1"/>
      <c r="E605" s="1"/>
      <c r="F605" s="1"/>
      <c r="G605" s="1"/>
      <c r="H605" s="1"/>
      <c r="I605" s="1" t="s">
        <v>60</v>
      </c>
      <c r="J605" s="1">
        <v>2984113447.5340004</v>
      </c>
      <c r="K605" s="1"/>
    </row>
    <row r="606" spans="2:11">
      <c r="B606" s="1"/>
      <c r="C606" s="1"/>
      <c r="D606" s="1"/>
      <c r="E606" s="1"/>
      <c r="F606" s="1"/>
      <c r="G606" s="1"/>
      <c r="H606" s="1"/>
      <c r="I606" s="1" t="s">
        <v>58</v>
      </c>
      <c r="J606" s="1"/>
      <c r="K606" s="1"/>
    </row>
    <row r="607" spans="2:11">
      <c r="B607" s="1"/>
      <c r="C607" s="1"/>
      <c r="D607" s="1"/>
      <c r="E607" s="1"/>
      <c r="F607" s="1"/>
      <c r="G607" s="1"/>
      <c r="H607" s="1"/>
      <c r="I607" s="1"/>
      <c r="J607" s="1">
        <v>9.5090291536763392</v>
      </c>
      <c r="K607" s="1"/>
    </row>
    <row r="608" spans="2:11" ht="15.75" thickBot="1"/>
    <row r="609" spans="2:11">
      <c r="B609" s="5402" t="s">
        <v>80</v>
      </c>
      <c r="C609" s="5403"/>
      <c r="D609" s="5403"/>
      <c r="E609" s="5403"/>
      <c r="F609" s="5404"/>
    </row>
    <row r="610" spans="2:11" ht="30">
      <c r="B610" s="7" t="s">
        <v>1</v>
      </c>
      <c r="C610" s="7" t="s">
        <v>2</v>
      </c>
      <c r="D610" s="7" t="s">
        <v>62</v>
      </c>
      <c r="E610" s="7"/>
      <c r="F610" s="7" t="s">
        <v>4</v>
      </c>
      <c r="G610" s="7" t="s">
        <v>5</v>
      </c>
      <c r="H610" s="7" t="s">
        <v>6</v>
      </c>
      <c r="I610" s="7" t="s">
        <v>7</v>
      </c>
      <c r="J610" s="7" t="s">
        <v>8</v>
      </c>
      <c r="K610" s="7" t="s">
        <v>63</v>
      </c>
    </row>
    <row r="611" spans="2:11">
      <c r="B611" s="1"/>
      <c r="C611" s="1"/>
      <c r="D611" s="1" t="s">
        <v>12</v>
      </c>
      <c r="E611" s="1" t="s">
        <v>13</v>
      </c>
      <c r="F611" s="1"/>
      <c r="G611" s="1"/>
      <c r="H611" s="1"/>
      <c r="I611" s="1"/>
      <c r="J611" s="1"/>
      <c r="K611" s="1"/>
    </row>
    <row r="612" spans="2:11">
      <c r="B612" s="1" t="s">
        <v>14</v>
      </c>
      <c r="C612" s="1" t="s">
        <v>15</v>
      </c>
      <c r="D612" s="1">
        <v>202</v>
      </c>
      <c r="E612" s="1">
        <v>0</v>
      </c>
      <c r="F612" s="1">
        <v>6351</v>
      </c>
      <c r="G612" s="1">
        <v>2794.44</v>
      </c>
      <c r="H612" s="1">
        <v>656.4</v>
      </c>
      <c r="I612" s="1">
        <v>762.12</v>
      </c>
      <c r="J612" s="1">
        <v>4212.96</v>
      </c>
      <c r="K612" s="1">
        <v>0.66335380255077936</v>
      </c>
    </row>
    <row r="613" spans="2:11">
      <c r="B613" s="1" t="s">
        <v>16</v>
      </c>
      <c r="C613" s="1" t="s">
        <v>17</v>
      </c>
      <c r="D613" s="1">
        <v>289424</v>
      </c>
      <c r="E613" s="1">
        <v>14416</v>
      </c>
      <c r="F613" s="1">
        <v>56527683</v>
      </c>
      <c r="G613" s="1">
        <v>116449986.50999999</v>
      </c>
      <c r="H613" s="5399">
        <v>60612958.240000002</v>
      </c>
      <c r="I613" s="1">
        <v>31093417.300000001</v>
      </c>
      <c r="J613" s="5399">
        <v>675485384.08999991</v>
      </c>
      <c r="K613" s="1">
        <v>5.145146850352865</v>
      </c>
    </row>
    <row r="614" spans="2:11">
      <c r="B614" s="1"/>
      <c r="C614" s="1" t="s">
        <v>18</v>
      </c>
      <c r="D614" s="1">
        <v>323091</v>
      </c>
      <c r="E614" s="1">
        <v>24645</v>
      </c>
      <c r="F614" s="1">
        <v>42050230</v>
      </c>
      <c r="G614" s="1">
        <v>160212729.84</v>
      </c>
      <c r="H614" s="5400"/>
      <c r="I614" s="1">
        <v>43314470.520000003</v>
      </c>
      <c r="J614" s="5400"/>
      <c r="K614" s="1"/>
    </row>
    <row r="615" spans="2:11">
      <c r="B615" s="1"/>
      <c r="C615" s="1" t="s">
        <v>19</v>
      </c>
      <c r="D615" s="1">
        <v>37732</v>
      </c>
      <c r="E615" s="1">
        <v>18529</v>
      </c>
      <c r="F615" s="1">
        <v>11042432</v>
      </c>
      <c r="G615" s="1">
        <v>59187472.359999999</v>
      </c>
      <c r="H615" s="5400"/>
      <c r="I615" s="1">
        <v>15901986.24</v>
      </c>
      <c r="J615" s="5400"/>
      <c r="K615" s="1"/>
    </row>
    <row r="616" spans="2:11">
      <c r="B616" s="1"/>
      <c r="C616" s="1" t="s">
        <v>20</v>
      </c>
      <c r="D616" s="1">
        <v>9729</v>
      </c>
      <c r="E616" s="1">
        <v>25164</v>
      </c>
      <c r="F616" s="1">
        <v>21665584</v>
      </c>
      <c r="G616" s="1">
        <v>148626067.28000003</v>
      </c>
      <c r="H616" s="5401"/>
      <c r="I616" s="1">
        <v>40086295.800000004</v>
      </c>
      <c r="J616" s="5401"/>
      <c r="K616" s="1"/>
    </row>
    <row r="617" spans="2:11">
      <c r="B617" s="1" t="s">
        <v>21</v>
      </c>
      <c r="C617" s="1" t="s">
        <v>22</v>
      </c>
      <c r="D617" s="1"/>
      <c r="E617" s="1"/>
      <c r="F617" s="1">
        <v>-1908</v>
      </c>
      <c r="G617" s="1">
        <v>-7632</v>
      </c>
      <c r="H617" s="5399">
        <v>62947450.619999997</v>
      </c>
      <c r="I617" s="1"/>
      <c r="J617" s="5399">
        <v>632844677.75999999</v>
      </c>
      <c r="K617" s="1">
        <v>9.1832491274715355</v>
      </c>
    </row>
    <row r="618" spans="2:11">
      <c r="B618" s="1"/>
      <c r="C618" s="1" t="s">
        <v>19</v>
      </c>
      <c r="D618" s="1"/>
      <c r="E618" s="1"/>
      <c r="F618" s="1">
        <v>-514</v>
      </c>
      <c r="G618" s="1">
        <v>-3084</v>
      </c>
      <c r="H618" s="5400"/>
      <c r="I618" s="1"/>
      <c r="J618" s="5400"/>
      <c r="K618" s="1"/>
    </row>
    <row r="619" spans="2:11">
      <c r="B619" s="1"/>
      <c r="C619" s="1" t="s">
        <v>23</v>
      </c>
      <c r="D619" s="1"/>
      <c r="E619" s="1"/>
      <c r="F619" s="1">
        <v>-534</v>
      </c>
      <c r="G619" s="1">
        <v>-3684.6000000000004</v>
      </c>
      <c r="H619" s="5400"/>
      <c r="I619" s="1"/>
      <c r="J619" s="5400"/>
      <c r="K619" s="1"/>
    </row>
    <row r="620" spans="2:11">
      <c r="B620" s="1"/>
      <c r="C620" s="1" t="s">
        <v>24</v>
      </c>
      <c r="D620" s="1"/>
      <c r="E620" s="1"/>
      <c r="F620" s="1">
        <v>440</v>
      </c>
      <c r="G620" s="1">
        <v>3344</v>
      </c>
      <c r="H620" s="5400"/>
      <c r="I620" s="1"/>
      <c r="J620" s="5400"/>
      <c r="K620" s="1"/>
    </row>
    <row r="621" spans="2:11">
      <c r="B621" s="1"/>
      <c r="C621" s="1" t="s">
        <v>25</v>
      </c>
      <c r="D621" s="1">
        <v>200760</v>
      </c>
      <c r="E621" s="1">
        <v>21142</v>
      </c>
      <c r="F621" s="1">
        <v>42620065</v>
      </c>
      <c r="G621" s="1">
        <v>234410357.5</v>
      </c>
      <c r="H621" s="5400"/>
      <c r="I621" s="1">
        <v>63077696.199999996</v>
      </c>
      <c r="J621" s="5400"/>
      <c r="K621" s="1"/>
    </row>
    <row r="622" spans="2:11">
      <c r="B622" s="1"/>
      <c r="C622" s="1" t="s">
        <v>26</v>
      </c>
      <c r="D622" s="1">
        <v>13757</v>
      </c>
      <c r="E622" s="1">
        <v>21500</v>
      </c>
      <c r="F622" s="1">
        <v>26295389</v>
      </c>
      <c r="G622" s="1">
        <v>214570374.24000001</v>
      </c>
      <c r="H622" s="5401"/>
      <c r="I622" s="1">
        <v>57849855.800000004</v>
      </c>
      <c r="J622" s="5401"/>
      <c r="K622" s="1"/>
    </row>
    <row r="623" spans="2:11">
      <c r="B623" s="1" t="s">
        <v>27</v>
      </c>
      <c r="C623" s="1" t="s">
        <v>28</v>
      </c>
      <c r="D623" s="1">
        <v>64</v>
      </c>
      <c r="E623" s="1">
        <v>5926</v>
      </c>
      <c r="F623" s="1">
        <v>17352232</v>
      </c>
      <c r="G623" s="1">
        <v>138817856</v>
      </c>
      <c r="H623" s="1">
        <v>20507364.370000001</v>
      </c>
      <c r="I623" s="1">
        <v>37307298.799999997</v>
      </c>
      <c r="J623" s="1">
        <v>196632519.17000002</v>
      </c>
      <c r="K623" s="1">
        <v>11.331828618358722</v>
      </c>
    </row>
    <row r="624" spans="2:11">
      <c r="B624" s="1" t="s">
        <v>29</v>
      </c>
      <c r="C624" s="1" t="s">
        <v>28</v>
      </c>
      <c r="D624" s="1">
        <v>2</v>
      </c>
      <c r="E624" s="1">
        <v>2614</v>
      </c>
      <c r="F624" s="1">
        <v>33986129</v>
      </c>
      <c r="G624" s="1">
        <v>274947783.61000001</v>
      </c>
      <c r="H624" s="1">
        <v>33183965.780000001</v>
      </c>
      <c r="I624" s="1">
        <v>74089761.219999999</v>
      </c>
      <c r="J624" s="1">
        <v>382221510.61000001</v>
      </c>
      <c r="K624" s="1">
        <v>11.246397334924493</v>
      </c>
    </row>
    <row r="625" spans="2:11">
      <c r="B625" s="1" t="s">
        <v>30</v>
      </c>
      <c r="C625" s="1" t="s">
        <v>22</v>
      </c>
      <c r="D625" s="1"/>
      <c r="E625" s="1"/>
      <c r="F625" s="1">
        <v>0</v>
      </c>
      <c r="G625" s="1">
        <v>0</v>
      </c>
      <c r="H625" s="5399">
        <v>2921224.15</v>
      </c>
      <c r="I625" s="1"/>
      <c r="J625" s="5399">
        <v>33086531.780000001</v>
      </c>
      <c r="K625" s="1">
        <v>8.7661141007220547</v>
      </c>
    </row>
    <row r="626" spans="2:11">
      <c r="B626" s="1"/>
      <c r="C626" s="1" t="s">
        <v>19</v>
      </c>
      <c r="D626" s="1"/>
      <c r="E626" s="1"/>
      <c r="F626" s="1">
        <v>0</v>
      </c>
      <c r="G626" s="1">
        <v>0</v>
      </c>
      <c r="H626" s="5400"/>
      <c r="I626" s="1"/>
      <c r="J626" s="5400"/>
      <c r="K626" s="1"/>
    </row>
    <row r="627" spans="2:11">
      <c r="B627" s="1"/>
      <c r="C627" s="1" t="s">
        <v>23</v>
      </c>
      <c r="D627" s="1"/>
      <c r="E627" s="1"/>
      <c r="F627" s="1">
        <v>0</v>
      </c>
      <c r="G627" s="1">
        <v>0</v>
      </c>
      <c r="H627" s="5400"/>
      <c r="I627" s="1"/>
      <c r="J627" s="5400"/>
      <c r="K627" s="1"/>
    </row>
    <row r="628" spans="2:11">
      <c r="B628" s="1"/>
      <c r="C628" s="1" t="s">
        <v>24</v>
      </c>
      <c r="D628" s="1"/>
      <c r="E628" s="1"/>
      <c r="F628" s="1">
        <v>0</v>
      </c>
      <c r="G628" s="1">
        <v>0</v>
      </c>
      <c r="H628" s="5400"/>
      <c r="I628" s="1"/>
      <c r="J628" s="5400"/>
      <c r="K628" s="1"/>
    </row>
    <row r="629" spans="2:11">
      <c r="B629" s="1"/>
      <c r="C629" s="1" t="s">
        <v>25</v>
      </c>
      <c r="D629" s="1">
        <v>2635</v>
      </c>
      <c r="E629" s="1">
        <v>3680</v>
      </c>
      <c r="F629" s="1">
        <v>1790815</v>
      </c>
      <c r="G629" s="1">
        <v>9330146.1500000004</v>
      </c>
      <c r="H629" s="5400"/>
      <c r="I629" s="1">
        <v>2507141</v>
      </c>
      <c r="J629" s="5400"/>
      <c r="K629" s="1"/>
    </row>
    <row r="630" spans="2:11">
      <c r="B630" s="1"/>
      <c r="C630" s="1" t="s">
        <v>26</v>
      </c>
      <c r="D630" s="1">
        <v>120</v>
      </c>
      <c r="E630" s="1">
        <v>2123</v>
      </c>
      <c r="F630" s="1">
        <v>1983552</v>
      </c>
      <c r="G630" s="1">
        <v>14440258.560000001</v>
      </c>
      <c r="H630" s="5401"/>
      <c r="I630" s="1">
        <v>3887761.92</v>
      </c>
      <c r="J630" s="5401"/>
      <c r="K630" s="1"/>
    </row>
    <row r="631" spans="2:11">
      <c r="B631" s="1" t="s">
        <v>31</v>
      </c>
      <c r="C631" s="1" t="s">
        <v>28</v>
      </c>
      <c r="D631" s="1">
        <v>11</v>
      </c>
      <c r="E631" s="1">
        <v>1201</v>
      </c>
      <c r="F631" s="1">
        <v>4149476</v>
      </c>
      <c r="G631" s="1">
        <v>27054583.52</v>
      </c>
      <c r="H631" s="1">
        <v>5150280.57</v>
      </c>
      <c r="I631" s="1">
        <v>7261583</v>
      </c>
      <c r="J631" s="1">
        <v>39466447.090000004</v>
      </c>
      <c r="K631" s="1">
        <v>9.5111881813510912</v>
      </c>
    </row>
    <row r="632" spans="2:11">
      <c r="B632" s="1" t="s">
        <v>32</v>
      </c>
      <c r="C632" s="1" t="s">
        <v>28</v>
      </c>
      <c r="D632" s="1">
        <v>1</v>
      </c>
      <c r="E632" s="1">
        <v>125</v>
      </c>
      <c r="F632" s="1">
        <v>3749661</v>
      </c>
      <c r="G632" s="1">
        <v>23960333.789999999</v>
      </c>
      <c r="H632" s="1">
        <v>2707898.52</v>
      </c>
      <c r="I632" s="1">
        <v>6449416.9199999999</v>
      </c>
      <c r="J632" s="1">
        <v>33117649.229999997</v>
      </c>
      <c r="K632" s="1">
        <v>8.8321715563086887</v>
      </c>
    </row>
    <row r="633" spans="2:11">
      <c r="B633" s="1" t="s">
        <v>33</v>
      </c>
      <c r="C633" s="1" t="s">
        <v>28</v>
      </c>
      <c r="D633" s="1">
        <v>785</v>
      </c>
      <c r="E633" s="1">
        <v>141</v>
      </c>
      <c r="F633" s="1">
        <v>178045</v>
      </c>
      <c r="G633" s="1">
        <v>2092055.35</v>
      </c>
      <c r="H633" s="1">
        <v>336773.33</v>
      </c>
      <c r="I633" s="1">
        <v>562862.36</v>
      </c>
      <c r="J633" s="1">
        <v>2991691.04</v>
      </c>
      <c r="K633" s="1">
        <v>16.80300508298464</v>
      </c>
    </row>
    <row r="634" spans="2:11">
      <c r="B634" s="1" t="s">
        <v>34</v>
      </c>
      <c r="C634" s="1" t="s">
        <v>28</v>
      </c>
      <c r="D634" s="1"/>
      <c r="E634" s="1"/>
      <c r="F634" s="1">
        <v>2178720.92</v>
      </c>
      <c r="G634" s="1">
        <v>12331560.407199999</v>
      </c>
      <c r="H634" s="1">
        <v>1829415.96</v>
      </c>
      <c r="I634" s="1">
        <v>3311655.7983999997</v>
      </c>
      <c r="J634" s="1">
        <v>17472632.165599998</v>
      </c>
      <c r="K634" s="1">
        <v>8.0196742984411227</v>
      </c>
    </row>
    <row r="635" spans="2:11">
      <c r="B635" s="1" t="s">
        <v>35</v>
      </c>
      <c r="C635" s="1" t="s">
        <v>28</v>
      </c>
      <c r="D635" s="1">
        <v>559</v>
      </c>
      <c r="E635" s="1">
        <v>127</v>
      </c>
      <c r="F635" s="1">
        <v>335710</v>
      </c>
      <c r="G635" s="1">
        <v>1900118.6</v>
      </c>
      <c r="H635" s="1">
        <v>216647.92</v>
      </c>
      <c r="I635" s="1">
        <v>510279.2</v>
      </c>
      <c r="J635" s="1">
        <v>2627045.7200000002</v>
      </c>
      <c r="K635" s="1">
        <v>7.8253424682017227</v>
      </c>
    </row>
    <row r="636" spans="2:11">
      <c r="B636" s="1" t="s">
        <v>36</v>
      </c>
      <c r="C636" s="1" t="s">
        <v>28</v>
      </c>
      <c r="D636" s="1">
        <v>1</v>
      </c>
      <c r="E636" s="1">
        <v>3</v>
      </c>
      <c r="F636" s="1">
        <v>76492</v>
      </c>
      <c r="G636" s="1">
        <v>247069.16</v>
      </c>
      <c r="H636" s="1">
        <v>26583.33</v>
      </c>
      <c r="I636" s="1">
        <v>66548.039999999994</v>
      </c>
      <c r="J636" s="1">
        <v>340200.52999999997</v>
      </c>
      <c r="K636" s="1">
        <v>4.4475308528996491</v>
      </c>
    </row>
    <row r="637" spans="2:11">
      <c r="B637" s="1" t="s">
        <v>37</v>
      </c>
      <c r="C637" s="1" t="s">
        <v>28</v>
      </c>
      <c r="D637" s="1">
        <v>115</v>
      </c>
      <c r="E637" s="1">
        <v>1416</v>
      </c>
      <c r="F637" s="1">
        <v>3046772</v>
      </c>
      <c r="G637" s="1">
        <v>28609189.080000002</v>
      </c>
      <c r="H637" s="1">
        <v>1942183.47</v>
      </c>
      <c r="I637" s="1">
        <v>7708333.1599999992</v>
      </c>
      <c r="J637" s="1">
        <v>38259705.710000001</v>
      </c>
      <c r="K637" s="1">
        <v>12.55745612405523</v>
      </c>
    </row>
    <row r="638" spans="2:11">
      <c r="B638" s="1" t="s">
        <v>38</v>
      </c>
      <c r="C638" s="1" t="s">
        <v>28</v>
      </c>
      <c r="D638" s="1">
        <v>8</v>
      </c>
      <c r="E638" s="1">
        <v>15</v>
      </c>
      <c r="F638" s="1">
        <v>94170</v>
      </c>
      <c r="G638" s="1">
        <v>291927</v>
      </c>
      <c r="H638" s="1">
        <v>3450</v>
      </c>
      <c r="I638" s="1">
        <v>78161.099999999991</v>
      </c>
      <c r="J638" s="1">
        <v>373538.1</v>
      </c>
      <c r="K638" s="1">
        <v>3.966635871296591</v>
      </c>
    </row>
    <row r="639" spans="2:11">
      <c r="B639" s="1" t="s">
        <v>39</v>
      </c>
      <c r="C639" s="1" t="s">
        <v>28</v>
      </c>
      <c r="D639" s="1">
        <v>1427</v>
      </c>
      <c r="E639" s="1">
        <v>609</v>
      </c>
      <c r="F639" s="1">
        <v>1265189</v>
      </c>
      <c r="G639" s="1">
        <v>8603285.1999999993</v>
      </c>
      <c r="H639" s="1">
        <v>500324.99</v>
      </c>
      <c r="I639" s="1">
        <v>2315295.87</v>
      </c>
      <c r="J639" s="1">
        <v>11418906.059999999</v>
      </c>
      <c r="K639" s="1">
        <v>9.0254547423349383</v>
      </c>
    </row>
    <row r="640" spans="2:11">
      <c r="B640" s="1" t="s">
        <v>40</v>
      </c>
      <c r="C640" s="1" t="s">
        <v>28</v>
      </c>
      <c r="D640" s="1">
        <v>3</v>
      </c>
      <c r="E640" s="1">
        <v>397</v>
      </c>
      <c r="F640" s="1">
        <v>4363872</v>
      </c>
      <c r="G640" s="1">
        <v>29674329.599999998</v>
      </c>
      <c r="H640" s="1">
        <v>4024752.72</v>
      </c>
      <c r="I640" s="1">
        <v>7985885.7600000007</v>
      </c>
      <c r="J640" s="1">
        <v>41684968.079999998</v>
      </c>
      <c r="K640" s="1">
        <v>9.5522893613744859</v>
      </c>
    </row>
    <row r="641" spans="2:11">
      <c r="B641" s="1" t="s">
        <v>41</v>
      </c>
      <c r="C641" s="1" t="s">
        <v>28</v>
      </c>
      <c r="D641" s="1">
        <v>0</v>
      </c>
      <c r="E641" s="1">
        <v>41</v>
      </c>
      <c r="F641" s="1">
        <v>12119613</v>
      </c>
      <c r="G641" s="1">
        <v>71505716.700000003</v>
      </c>
      <c r="H641" s="1">
        <v>8563797.5</v>
      </c>
      <c r="I641" s="1">
        <v>19270184.670000002</v>
      </c>
      <c r="J641" s="1">
        <v>99339698.870000005</v>
      </c>
      <c r="K641" s="1">
        <v>8.196606514580953</v>
      </c>
    </row>
    <row r="642" spans="2:11">
      <c r="B642" s="1" t="s">
        <v>42</v>
      </c>
      <c r="C642" s="1" t="s">
        <v>28</v>
      </c>
      <c r="D642" s="1">
        <v>0</v>
      </c>
      <c r="E642" s="1">
        <v>101</v>
      </c>
      <c r="F642" s="1">
        <v>24706363</v>
      </c>
      <c r="G642" s="1">
        <v>156885405.04999998</v>
      </c>
      <c r="H642" s="1">
        <v>16463722.74</v>
      </c>
      <c r="I642" s="1">
        <v>42247880.729999997</v>
      </c>
      <c r="J642" s="1">
        <v>215597008.51999998</v>
      </c>
      <c r="K642" s="1">
        <v>8.7263758133886391</v>
      </c>
    </row>
    <row r="643" spans="2:11">
      <c r="B643" s="1" t="s">
        <v>43</v>
      </c>
      <c r="C643" s="1" t="s">
        <v>28</v>
      </c>
      <c r="D643" s="1">
        <v>0</v>
      </c>
      <c r="E643" s="1">
        <v>10</v>
      </c>
      <c r="F643" s="1">
        <v>2266549</v>
      </c>
      <c r="G643" s="1">
        <v>7706266.5999999996</v>
      </c>
      <c r="H643" s="1">
        <v>1357943.6</v>
      </c>
      <c r="I643" s="1">
        <v>2062559.59</v>
      </c>
      <c r="J643" s="1">
        <v>11126769.789999999</v>
      </c>
      <c r="K643" s="1">
        <v>4.9091238662830579</v>
      </c>
    </row>
    <row r="644" spans="2:11">
      <c r="B644" s="1" t="s">
        <v>44</v>
      </c>
      <c r="C644" s="1" t="s">
        <v>28</v>
      </c>
      <c r="D644" s="1">
        <v>0</v>
      </c>
      <c r="E644" s="1">
        <v>3</v>
      </c>
      <c r="F644" s="1">
        <v>299640</v>
      </c>
      <c r="G644" s="1">
        <v>2591886</v>
      </c>
      <c r="H644" s="1">
        <v>866.67</v>
      </c>
      <c r="I644" s="1">
        <v>698161.20000000007</v>
      </c>
      <c r="J644" s="1">
        <v>3290913.87</v>
      </c>
      <c r="K644" s="1">
        <v>10.982892370845015</v>
      </c>
    </row>
    <row r="645" spans="2:11">
      <c r="B645" s="1" t="s">
        <v>45</v>
      </c>
      <c r="C645" s="1" t="s">
        <v>28</v>
      </c>
      <c r="D645" s="1">
        <v>0</v>
      </c>
      <c r="E645" s="1">
        <v>15</v>
      </c>
      <c r="F645" s="1">
        <v>5144770</v>
      </c>
      <c r="G645" s="1">
        <v>28810712</v>
      </c>
      <c r="H645" s="1">
        <v>2511310.16</v>
      </c>
      <c r="I645" s="1">
        <v>7768602.7000000002</v>
      </c>
      <c r="J645" s="1">
        <v>39090624.859999999</v>
      </c>
      <c r="K645" s="1">
        <v>7.598128752111367</v>
      </c>
    </row>
    <row r="646" spans="2:11">
      <c r="B646" s="1" t="s">
        <v>46</v>
      </c>
      <c r="C646" s="1"/>
      <c r="D646" s="1"/>
      <c r="E646" s="1"/>
      <c r="F646" s="1"/>
      <c r="G646" s="1">
        <v>0</v>
      </c>
      <c r="H646" s="1">
        <v>-5256.3</v>
      </c>
      <c r="I646" s="1">
        <v>0</v>
      </c>
      <c r="J646" s="1">
        <v>-5256.3</v>
      </c>
      <c r="K646" s="1"/>
    </row>
    <row r="647" spans="2:11">
      <c r="B647" s="1" t="s">
        <v>47</v>
      </c>
      <c r="C647" s="1"/>
      <c r="D647" s="1">
        <v>880426</v>
      </c>
      <c r="E647" s="1">
        <v>143943</v>
      </c>
      <c r="F647" s="1">
        <v>319292988.91999996</v>
      </c>
      <c r="G647" s="1">
        <v>1773249207.9471996</v>
      </c>
      <c r="H647" s="1">
        <v>225804314.74000001</v>
      </c>
      <c r="I647" s="1">
        <v>477413857.01840007</v>
      </c>
      <c r="J647" s="1">
        <v>2476467379.7055998</v>
      </c>
      <c r="K647" s="1">
        <v>7.7560969568488956</v>
      </c>
    </row>
    <row r="648" spans="2:11">
      <c r="B648" s="1"/>
      <c r="C648" s="1"/>
      <c r="D648" s="1"/>
      <c r="E648" s="1"/>
      <c r="F648" s="1"/>
      <c r="G648" s="1"/>
      <c r="H648" s="1"/>
      <c r="I648" s="1" t="s">
        <v>48</v>
      </c>
      <c r="J648" s="1">
        <v>8817502.4900000002</v>
      </c>
      <c r="K648" s="1"/>
    </row>
    <row r="649" spans="2:11">
      <c r="B649" s="1"/>
      <c r="C649" s="1"/>
      <c r="D649" s="1"/>
      <c r="E649" s="1"/>
      <c r="F649" s="1"/>
      <c r="G649" s="1"/>
      <c r="H649" s="1"/>
      <c r="I649" s="1" t="s">
        <v>49</v>
      </c>
      <c r="J649" s="1">
        <v>-336305164.47000003</v>
      </c>
      <c r="K649" s="1"/>
    </row>
    <row r="650" spans="2:11">
      <c r="B650" s="1"/>
      <c r="C650" s="1"/>
      <c r="D650" s="1"/>
      <c r="E650" s="1"/>
      <c r="F650" s="1"/>
      <c r="G650" s="1"/>
      <c r="H650" s="1"/>
      <c r="I650" s="1" t="s">
        <v>50</v>
      </c>
      <c r="J650" s="1">
        <v>0</v>
      </c>
      <c r="K650" s="1"/>
    </row>
    <row r="651" spans="2:11">
      <c r="B651" s="1"/>
      <c r="C651" s="1"/>
      <c r="D651" s="1"/>
      <c r="E651" s="1"/>
      <c r="F651" s="1"/>
      <c r="G651" s="1"/>
      <c r="H651" s="1"/>
      <c r="I651" s="1" t="s">
        <v>51</v>
      </c>
      <c r="J651" s="1">
        <v>11151333</v>
      </c>
      <c r="K651" s="1"/>
    </row>
    <row r="652" spans="2:11">
      <c r="B652" s="1"/>
      <c r="C652" s="1"/>
      <c r="D652" s="1"/>
      <c r="E652" s="1"/>
      <c r="F652" s="1"/>
      <c r="G652" s="1"/>
      <c r="H652" s="1"/>
      <c r="I652" s="1" t="s">
        <v>52</v>
      </c>
      <c r="J652" s="1">
        <v>6343775.8799999999</v>
      </c>
      <c r="K652" s="1"/>
    </row>
    <row r="653" spans="2:11">
      <c r="B653" s="1"/>
      <c r="C653" s="1"/>
      <c r="D653" s="1"/>
      <c r="E653" s="1"/>
      <c r="F653" s="1"/>
      <c r="G653" s="1"/>
      <c r="H653" s="1"/>
      <c r="I653" s="1" t="s">
        <v>47</v>
      </c>
      <c r="J653" s="1">
        <v>2166474826.6055994</v>
      </c>
      <c r="K653" s="1"/>
    </row>
    <row r="654" spans="2:11">
      <c r="B654" s="1"/>
      <c r="C654" s="1"/>
      <c r="D654" s="1"/>
      <c r="E654" s="1"/>
      <c r="F654" s="1"/>
      <c r="G654" s="1"/>
      <c r="H654" s="1"/>
      <c r="I654" s="1" t="s">
        <v>53</v>
      </c>
      <c r="J654" s="1">
        <v>-15502087.949999999</v>
      </c>
      <c r="K654" s="1"/>
    </row>
    <row r="655" spans="2:11">
      <c r="B655" s="1"/>
      <c r="C655" s="1"/>
      <c r="D655" s="1"/>
      <c r="E655" s="1"/>
      <c r="F655" s="1"/>
      <c r="G655" s="1"/>
      <c r="H655" s="1"/>
      <c r="I655" s="1" t="s">
        <v>54</v>
      </c>
      <c r="J655" s="1">
        <v>-41633234</v>
      </c>
      <c r="K655" s="1"/>
    </row>
    <row r="656" spans="2:11">
      <c r="B656" s="1"/>
      <c r="C656" s="1"/>
      <c r="D656" s="1"/>
      <c r="E656" s="1"/>
      <c r="F656" s="1"/>
      <c r="G656" s="1"/>
      <c r="H656" s="1"/>
      <c r="I656" s="1" t="s">
        <v>55</v>
      </c>
      <c r="J656" s="1">
        <v>-299511.65999999997</v>
      </c>
      <c r="K656" s="1"/>
    </row>
    <row r="657" spans="2:11">
      <c r="B657" s="1"/>
      <c r="C657" s="1"/>
      <c r="D657" s="1"/>
      <c r="E657" s="1"/>
      <c r="F657" s="1"/>
      <c r="G657" s="1"/>
      <c r="H657" s="1"/>
      <c r="I657" s="1" t="s">
        <v>56</v>
      </c>
      <c r="J657" s="1">
        <v>0</v>
      </c>
      <c r="K657" s="1"/>
    </row>
    <row r="658" spans="2:11">
      <c r="B658" s="1"/>
      <c r="C658" s="1"/>
      <c r="D658" s="1"/>
      <c r="E658" s="1"/>
      <c r="F658" s="1"/>
      <c r="G658" s="1"/>
      <c r="H658" s="1"/>
      <c r="I658" s="1" t="s">
        <v>57</v>
      </c>
      <c r="J658" s="1">
        <v>2109039992.9955995</v>
      </c>
      <c r="K658" s="1"/>
    </row>
    <row r="659" spans="2:11">
      <c r="B659" s="1"/>
      <c r="C659" s="1"/>
      <c r="D659" s="1"/>
      <c r="E659" s="1"/>
      <c r="F659" s="1"/>
      <c r="G659" s="1"/>
      <c r="H659" s="1"/>
      <c r="I659" s="1" t="s">
        <v>58</v>
      </c>
      <c r="J659" s="1">
        <v>6.7852251749518295</v>
      </c>
      <c r="K659" s="1"/>
    </row>
    <row r="660" spans="2:11">
      <c r="B660" s="1"/>
      <c r="C660" s="1"/>
      <c r="D660" s="1"/>
      <c r="E660" s="1"/>
      <c r="F660" s="1"/>
      <c r="G660" s="1"/>
      <c r="H660" s="1"/>
      <c r="I660" s="1" t="s">
        <v>59</v>
      </c>
      <c r="J660" s="1">
        <v>32574750.489999998</v>
      </c>
      <c r="K660" s="1"/>
    </row>
    <row r="661" spans="2:11">
      <c r="B661" s="1"/>
      <c r="C661" s="1"/>
      <c r="D661" s="1"/>
      <c r="E661" s="1"/>
      <c r="F661" s="1"/>
      <c r="G661" s="1"/>
      <c r="H661" s="1"/>
      <c r="I661" s="1" t="s">
        <v>60</v>
      </c>
      <c r="J661" s="1">
        <v>2199049577.0955992</v>
      </c>
      <c r="K661" s="1"/>
    </row>
    <row r="662" spans="2:11">
      <c r="B662" s="1"/>
      <c r="C662" s="1"/>
      <c r="D662" s="1"/>
      <c r="E662" s="1"/>
      <c r="F662" s="1"/>
      <c r="G662" s="1"/>
      <c r="H662" s="1"/>
      <c r="I662" s="1" t="s">
        <v>58</v>
      </c>
      <c r="J662" s="1"/>
      <c r="K662" s="1"/>
    </row>
    <row r="663" spans="2:11">
      <c r="B663" s="1"/>
      <c r="C663" s="1"/>
      <c r="D663" s="1"/>
      <c r="E663" s="1"/>
      <c r="F663" s="1"/>
      <c r="G663" s="1"/>
      <c r="H663" s="1"/>
      <c r="I663" s="1"/>
      <c r="J663" s="1">
        <v>6.8872466775228167</v>
      </c>
      <c r="K663" s="1"/>
    </row>
  </sheetData>
  <mergeCells count="83">
    <mergeCell ref="H625:H630"/>
    <mergeCell ref="J625:J630"/>
    <mergeCell ref="H569:H574"/>
    <mergeCell ref="J569:J574"/>
    <mergeCell ref="B609:F609"/>
    <mergeCell ref="H613:H616"/>
    <mergeCell ref="J613:J616"/>
    <mergeCell ref="H617:H622"/>
    <mergeCell ref="J617:J622"/>
    <mergeCell ref="B441:G441"/>
    <mergeCell ref="H445:H448"/>
    <mergeCell ref="J445:J448"/>
    <mergeCell ref="H561:H566"/>
    <mergeCell ref="J561:J566"/>
    <mergeCell ref="H457:H462"/>
    <mergeCell ref="J457:J462"/>
    <mergeCell ref="B497:F497"/>
    <mergeCell ref="H501:H504"/>
    <mergeCell ref="H505:H510"/>
    <mergeCell ref="J505:J510"/>
    <mergeCell ref="H513:H518"/>
    <mergeCell ref="J513:J518"/>
    <mergeCell ref="B553:F553"/>
    <mergeCell ref="H557:H560"/>
    <mergeCell ref="J557:J560"/>
    <mergeCell ref="B385:G385"/>
    <mergeCell ref="H389:H392"/>
    <mergeCell ref="J389:J392"/>
    <mergeCell ref="H393:H398"/>
    <mergeCell ref="J393:J398"/>
    <mergeCell ref="H333:H336"/>
    <mergeCell ref="J333:J336"/>
    <mergeCell ref="H449:H454"/>
    <mergeCell ref="J449:J454"/>
    <mergeCell ref="H345:H350"/>
    <mergeCell ref="J345:J350"/>
    <mergeCell ref="H401:H406"/>
    <mergeCell ref="J401:J406"/>
    <mergeCell ref="K177:K182"/>
    <mergeCell ref="B217:F217"/>
    <mergeCell ref="H221:H224"/>
    <mergeCell ref="J221:J224"/>
    <mergeCell ref="H337:H342"/>
    <mergeCell ref="J337:J342"/>
    <mergeCell ref="H233:H238"/>
    <mergeCell ref="J233:J238"/>
    <mergeCell ref="B273:G273"/>
    <mergeCell ref="H277:H280"/>
    <mergeCell ref="J277:J280"/>
    <mergeCell ref="H281:H286"/>
    <mergeCell ref="J281:J286"/>
    <mergeCell ref="H289:H294"/>
    <mergeCell ref="J289:J294"/>
    <mergeCell ref="B329:F329"/>
    <mergeCell ref="H225:H230"/>
    <mergeCell ref="J225:J230"/>
    <mergeCell ref="H121:H126"/>
    <mergeCell ref="J121:J126"/>
    <mergeCell ref="B161:F161"/>
    <mergeCell ref="H165:H168"/>
    <mergeCell ref="H177:H182"/>
    <mergeCell ref="K165:K168"/>
    <mergeCell ref="H169:H174"/>
    <mergeCell ref="K169:K174"/>
    <mergeCell ref="H65:H70"/>
    <mergeCell ref="J65:J70"/>
    <mergeCell ref="B105:F105"/>
    <mergeCell ref="H109:H112"/>
    <mergeCell ref="J109:J112"/>
    <mergeCell ref="H113:H118"/>
    <mergeCell ref="J113:J118"/>
    <mergeCell ref="B2:F2"/>
    <mergeCell ref="B49:F49"/>
    <mergeCell ref="H53:H56"/>
    <mergeCell ref="J53:J56"/>
    <mergeCell ref="H57:H62"/>
    <mergeCell ref="J57:J62"/>
    <mergeCell ref="H6:H9"/>
    <mergeCell ref="J6:J9"/>
    <mergeCell ref="H10:H15"/>
    <mergeCell ref="J10:J15"/>
    <mergeCell ref="H18:H23"/>
    <mergeCell ref="J18:J23"/>
  </mergeCells>
  <pageMargins left="0.7" right="0.7" top="0.75" bottom="0.75" header="0.3" footer="0.3"/>
  <pageSetup paperSize="9" scale="37" orientation="portrait" horizontalDpi="4294967292" r:id="rId1"/>
  <rowBreaks count="7" manualBreakCount="7">
    <brk id="48" max="16383" man="1"/>
    <brk id="104" max="16383" man="1"/>
    <brk id="160" max="16383" man="1"/>
    <brk id="216" max="16383" man="1"/>
    <brk id="328" max="16383" man="1"/>
    <brk id="440" max="16383" man="1"/>
    <brk id="552" max="16383" man="1"/>
  </rowBreaks>
</worksheet>
</file>

<file path=xl/worksheets/sheet99.xml><?xml version="1.0" encoding="utf-8"?>
<worksheet xmlns="http://schemas.openxmlformats.org/spreadsheetml/2006/main" xmlns:r="http://schemas.openxmlformats.org/officeDocument/2006/relationships">
  <sheetPr codeName="Sheet78">
    <pageSetUpPr fitToPage="1"/>
  </sheetPr>
  <dimension ref="B1:AD155"/>
  <sheetViews>
    <sheetView showGridLines="0" topLeftCell="A52" zoomScale="80" zoomScaleNormal="80" workbookViewId="0">
      <selection activeCell="E8" sqref="E8:E9"/>
    </sheetView>
  </sheetViews>
  <sheetFormatPr defaultRowHeight="15"/>
  <cols>
    <col min="1" max="1" width="3.140625" style="792" customWidth="1"/>
    <col min="2" max="2" width="12.42578125" style="792" customWidth="1"/>
    <col min="3" max="3" width="11.5703125" style="792" bestFit="1" customWidth="1"/>
    <col min="4" max="5" width="9.140625" style="792" customWidth="1"/>
    <col min="6" max="8" width="9.140625" style="922" hidden="1" customWidth="1"/>
    <col min="9" max="9" width="17.42578125" style="926" bestFit="1" customWidth="1"/>
    <col min="10" max="10" width="18.7109375" style="922" bestFit="1" customWidth="1"/>
    <col min="11" max="11" width="22.7109375" style="922" bestFit="1" customWidth="1"/>
    <col min="12" max="12" width="23.28515625" style="922" bestFit="1" customWidth="1"/>
    <col min="13" max="13" width="21.28515625" style="922" customWidth="1"/>
    <col min="14" max="14" width="18.7109375" style="922" bestFit="1" customWidth="1"/>
    <col min="15" max="15" width="14.42578125" style="924" customWidth="1"/>
    <col min="16" max="16" width="50.5703125" style="792" customWidth="1"/>
    <col min="17" max="17" width="9.28515625" style="792" bestFit="1" customWidth="1"/>
    <col min="18" max="21" width="10.28515625" style="792" bestFit="1" customWidth="1"/>
    <col min="22" max="22" width="9.85546875" style="792" bestFit="1" customWidth="1"/>
    <col min="23" max="23" width="9.140625" style="792"/>
    <col min="24" max="28" width="10.28515625" style="792" bestFit="1" customWidth="1"/>
    <col min="29" max="29" width="9.140625" style="792" bestFit="1" customWidth="1"/>
    <col min="30" max="30" width="10.28515625" style="792" bestFit="1" customWidth="1"/>
    <col min="31" max="259" width="9.140625" style="792"/>
    <col min="260" max="260" width="3.140625" style="792" customWidth="1"/>
    <col min="261" max="261" width="12.42578125" style="792" customWidth="1"/>
    <col min="262" max="262" width="11.5703125" style="792" bestFit="1" customWidth="1"/>
    <col min="263" max="264" width="0" style="792" hidden="1" customWidth="1"/>
    <col min="265" max="265" width="17.42578125" style="792" bestFit="1" customWidth="1"/>
    <col min="266" max="266" width="18.7109375" style="792" bestFit="1" customWidth="1"/>
    <col min="267" max="267" width="22.7109375" style="792" bestFit="1" customWidth="1"/>
    <col min="268" max="268" width="21.28515625" style="792" bestFit="1" customWidth="1"/>
    <col min="269" max="269" width="21.28515625" style="792" customWidth="1"/>
    <col min="270" max="270" width="18.7109375" style="792" bestFit="1" customWidth="1"/>
    <col min="271" max="271" width="14.42578125" style="792" customWidth="1"/>
    <col min="272" max="515" width="9.140625" style="792"/>
    <col min="516" max="516" width="3.140625" style="792" customWidth="1"/>
    <col min="517" max="517" width="12.42578125" style="792" customWidth="1"/>
    <col min="518" max="518" width="11.5703125" style="792" bestFit="1" customWidth="1"/>
    <col min="519" max="520" width="0" style="792" hidden="1" customWidth="1"/>
    <col min="521" max="521" width="17.42578125" style="792" bestFit="1" customWidth="1"/>
    <col min="522" max="522" width="18.7109375" style="792" bestFit="1" customWidth="1"/>
    <col min="523" max="523" width="22.7109375" style="792" bestFit="1" customWidth="1"/>
    <col min="524" max="524" width="21.28515625" style="792" bestFit="1" customWidth="1"/>
    <col min="525" max="525" width="21.28515625" style="792" customWidth="1"/>
    <col min="526" max="526" width="18.7109375" style="792" bestFit="1" customWidth="1"/>
    <col min="527" max="527" width="14.42578125" style="792" customWidth="1"/>
    <col min="528" max="771" width="9.140625" style="792"/>
    <col min="772" max="772" width="3.140625" style="792" customWidth="1"/>
    <col min="773" max="773" width="12.42578125" style="792" customWidth="1"/>
    <col min="774" max="774" width="11.5703125" style="792" bestFit="1" customWidth="1"/>
    <col min="775" max="776" width="0" style="792" hidden="1" customWidth="1"/>
    <col min="777" max="777" width="17.42578125" style="792" bestFit="1" customWidth="1"/>
    <col min="778" max="778" width="18.7109375" style="792" bestFit="1" customWidth="1"/>
    <col min="779" max="779" width="22.7109375" style="792" bestFit="1" customWidth="1"/>
    <col min="780" max="780" width="21.28515625" style="792" bestFit="1" customWidth="1"/>
    <col min="781" max="781" width="21.28515625" style="792" customWidth="1"/>
    <col min="782" max="782" width="18.7109375" style="792" bestFit="1" customWidth="1"/>
    <col min="783" max="783" width="14.42578125" style="792" customWidth="1"/>
    <col min="784" max="1027" width="9.140625" style="792"/>
    <col min="1028" max="1028" width="3.140625" style="792" customWidth="1"/>
    <col min="1029" max="1029" width="12.42578125" style="792" customWidth="1"/>
    <col min="1030" max="1030" width="11.5703125" style="792" bestFit="1" customWidth="1"/>
    <col min="1031" max="1032" width="0" style="792" hidden="1" customWidth="1"/>
    <col min="1033" max="1033" width="17.42578125" style="792" bestFit="1" customWidth="1"/>
    <col min="1034" max="1034" width="18.7109375" style="792" bestFit="1" customWidth="1"/>
    <col min="1035" max="1035" width="22.7109375" style="792" bestFit="1" customWidth="1"/>
    <col min="1036" max="1036" width="21.28515625" style="792" bestFit="1" customWidth="1"/>
    <col min="1037" max="1037" width="21.28515625" style="792" customWidth="1"/>
    <col min="1038" max="1038" width="18.7109375" style="792" bestFit="1" customWidth="1"/>
    <col min="1039" max="1039" width="14.42578125" style="792" customWidth="1"/>
    <col min="1040" max="1283" width="9.140625" style="792"/>
    <col min="1284" max="1284" width="3.140625" style="792" customWidth="1"/>
    <col min="1285" max="1285" width="12.42578125" style="792" customWidth="1"/>
    <col min="1286" max="1286" width="11.5703125" style="792" bestFit="1" customWidth="1"/>
    <col min="1287" max="1288" width="0" style="792" hidden="1" customWidth="1"/>
    <col min="1289" max="1289" width="17.42578125" style="792" bestFit="1" customWidth="1"/>
    <col min="1290" max="1290" width="18.7109375" style="792" bestFit="1" customWidth="1"/>
    <col min="1291" max="1291" width="22.7109375" style="792" bestFit="1" customWidth="1"/>
    <col min="1292" max="1292" width="21.28515625" style="792" bestFit="1" customWidth="1"/>
    <col min="1293" max="1293" width="21.28515625" style="792" customWidth="1"/>
    <col min="1294" max="1294" width="18.7109375" style="792" bestFit="1" customWidth="1"/>
    <col min="1295" max="1295" width="14.42578125" style="792" customWidth="1"/>
    <col min="1296" max="1539" width="9.140625" style="792"/>
    <col min="1540" max="1540" width="3.140625" style="792" customWidth="1"/>
    <col min="1541" max="1541" width="12.42578125" style="792" customWidth="1"/>
    <col min="1542" max="1542" width="11.5703125" style="792" bestFit="1" customWidth="1"/>
    <col min="1543" max="1544" width="0" style="792" hidden="1" customWidth="1"/>
    <col min="1545" max="1545" width="17.42578125" style="792" bestFit="1" customWidth="1"/>
    <col min="1546" max="1546" width="18.7109375" style="792" bestFit="1" customWidth="1"/>
    <col min="1547" max="1547" width="22.7109375" style="792" bestFit="1" customWidth="1"/>
    <col min="1548" max="1548" width="21.28515625" style="792" bestFit="1" customWidth="1"/>
    <col min="1549" max="1549" width="21.28515625" style="792" customWidth="1"/>
    <col min="1550" max="1550" width="18.7109375" style="792" bestFit="1" customWidth="1"/>
    <col min="1551" max="1551" width="14.42578125" style="792" customWidth="1"/>
    <col min="1552" max="1795" width="9.140625" style="792"/>
    <col min="1796" max="1796" width="3.140625" style="792" customWidth="1"/>
    <col min="1797" max="1797" width="12.42578125" style="792" customWidth="1"/>
    <col min="1798" max="1798" width="11.5703125" style="792" bestFit="1" customWidth="1"/>
    <col min="1799" max="1800" width="0" style="792" hidden="1" customWidth="1"/>
    <col min="1801" max="1801" width="17.42578125" style="792" bestFit="1" customWidth="1"/>
    <col min="1802" max="1802" width="18.7109375" style="792" bestFit="1" customWidth="1"/>
    <col min="1803" max="1803" width="22.7109375" style="792" bestFit="1" customWidth="1"/>
    <col min="1804" max="1804" width="21.28515625" style="792" bestFit="1" customWidth="1"/>
    <col min="1805" max="1805" width="21.28515625" style="792" customWidth="1"/>
    <col min="1806" max="1806" width="18.7109375" style="792" bestFit="1" customWidth="1"/>
    <col min="1807" max="1807" width="14.42578125" style="792" customWidth="1"/>
    <col min="1808" max="2051" width="9.140625" style="792"/>
    <col min="2052" max="2052" width="3.140625" style="792" customWidth="1"/>
    <col min="2053" max="2053" width="12.42578125" style="792" customWidth="1"/>
    <col min="2054" max="2054" width="11.5703125" style="792" bestFit="1" customWidth="1"/>
    <col min="2055" max="2056" width="0" style="792" hidden="1" customWidth="1"/>
    <col min="2057" max="2057" width="17.42578125" style="792" bestFit="1" customWidth="1"/>
    <col min="2058" max="2058" width="18.7109375" style="792" bestFit="1" customWidth="1"/>
    <col min="2059" max="2059" width="22.7109375" style="792" bestFit="1" customWidth="1"/>
    <col min="2060" max="2060" width="21.28515625" style="792" bestFit="1" customWidth="1"/>
    <col min="2061" max="2061" width="21.28515625" style="792" customWidth="1"/>
    <col min="2062" max="2062" width="18.7109375" style="792" bestFit="1" customWidth="1"/>
    <col min="2063" max="2063" width="14.42578125" style="792" customWidth="1"/>
    <col min="2064" max="2307" width="9.140625" style="792"/>
    <col min="2308" max="2308" width="3.140625" style="792" customWidth="1"/>
    <col min="2309" max="2309" width="12.42578125" style="792" customWidth="1"/>
    <col min="2310" max="2310" width="11.5703125" style="792" bestFit="1" customWidth="1"/>
    <col min="2311" max="2312" width="0" style="792" hidden="1" customWidth="1"/>
    <col min="2313" max="2313" width="17.42578125" style="792" bestFit="1" customWidth="1"/>
    <col min="2314" max="2314" width="18.7109375" style="792" bestFit="1" customWidth="1"/>
    <col min="2315" max="2315" width="22.7109375" style="792" bestFit="1" customWidth="1"/>
    <col min="2316" max="2316" width="21.28515625" style="792" bestFit="1" customWidth="1"/>
    <col min="2317" max="2317" width="21.28515625" style="792" customWidth="1"/>
    <col min="2318" max="2318" width="18.7109375" style="792" bestFit="1" customWidth="1"/>
    <col min="2319" max="2319" width="14.42578125" style="792" customWidth="1"/>
    <col min="2320" max="2563" width="9.140625" style="792"/>
    <col min="2564" max="2564" width="3.140625" style="792" customWidth="1"/>
    <col min="2565" max="2565" width="12.42578125" style="792" customWidth="1"/>
    <col min="2566" max="2566" width="11.5703125" style="792" bestFit="1" customWidth="1"/>
    <col min="2567" max="2568" width="0" style="792" hidden="1" customWidth="1"/>
    <col min="2569" max="2569" width="17.42578125" style="792" bestFit="1" customWidth="1"/>
    <col min="2570" max="2570" width="18.7109375" style="792" bestFit="1" customWidth="1"/>
    <col min="2571" max="2571" width="22.7109375" style="792" bestFit="1" customWidth="1"/>
    <col min="2572" max="2572" width="21.28515625" style="792" bestFit="1" customWidth="1"/>
    <col min="2573" max="2573" width="21.28515625" style="792" customWidth="1"/>
    <col min="2574" max="2574" width="18.7109375" style="792" bestFit="1" customWidth="1"/>
    <col min="2575" max="2575" width="14.42578125" style="792" customWidth="1"/>
    <col min="2576" max="2819" width="9.140625" style="792"/>
    <col min="2820" max="2820" width="3.140625" style="792" customWidth="1"/>
    <col min="2821" max="2821" width="12.42578125" style="792" customWidth="1"/>
    <col min="2822" max="2822" width="11.5703125" style="792" bestFit="1" customWidth="1"/>
    <col min="2823" max="2824" width="0" style="792" hidden="1" customWidth="1"/>
    <col min="2825" max="2825" width="17.42578125" style="792" bestFit="1" customWidth="1"/>
    <col min="2826" max="2826" width="18.7109375" style="792" bestFit="1" customWidth="1"/>
    <col min="2827" max="2827" width="22.7109375" style="792" bestFit="1" customWidth="1"/>
    <col min="2828" max="2828" width="21.28515625" style="792" bestFit="1" customWidth="1"/>
    <col min="2829" max="2829" width="21.28515625" style="792" customWidth="1"/>
    <col min="2830" max="2830" width="18.7109375" style="792" bestFit="1" customWidth="1"/>
    <col min="2831" max="2831" width="14.42578125" style="792" customWidth="1"/>
    <col min="2832" max="3075" width="9.140625" style="792"/>
    <col min="3076" max="3076" width="3.140625" style="792" customWidth="1"/>
    <col min="3077" max="3077" width="12.42578125" style="792" customWidth="1"/>
    <col min="3078" max="3078" width="11.5703125" style="792" bestFit="1" customWidth="1"/>
    <col min="3079" max="3080" width="0" style="792" hidden="1" customWidth="1"/>
    <col min="3081" max="3081" width="17.42578125" style="792" bestFit="1" customWidth="1"/>
    <col min="3082" max="3082" width="18.7109375" style="792" bestFit="1" customWidth="1"/>
    <col min="3083" max="3083" width="22.7109375" style="792" bestFit="1" customWidth="1"/>
    <col min="3084" max="3084" width="21.28515625" style="792" bestFit="1" customWidth="1"/>
    <col min="3085" max="3085" width="21.28515625" style="792" customWidth="1"/>
    <col min="3086" max="3086" width="18.7109375" style="792" bestFit="1" customWidth="1"/>
    <col min="3087" max="3087" width="14.42578125" style="792" customWidth="1"/>
    <col min="3088" max="3331" width="9.140625" style="792"/>
    <col min="3332" max="3332" width="3.140625" style="792" customWidth="1"/>
    <col min="3333" max="3333" width="12.42578125" style="792" customWidth="1"/>
    <col min="3334" max="3334" width="11.5703125" style="792" bestFit="1" customWidth="1"/>
    <col min="3335" max="3336" width="0" style="792" hidden="1" customWidth="1"/>
    <col min="3337" max="3337" width="17.42578125" style="792" bestFit="1" customWidth="1"/>
    <col min="3338" max="3338" width="18.7109375" style="792" bestFit="1" customWidth="1"/>
    <col min="3339" max="3339" width="22.7109375" style="792" bestFit="1" customWidth="1"/>
    <col min="3340" max="3340" width="21.28515625" style="792" bestFit="1" customWidth="1"/>
    <col min="3341" max="3341" width="21.28515625" style="792" customWidth="1"/>
    <col min="3342" max="3342" width="18.7109375" style="792" bestFit="1" customWidth="1"/>
    <col min="3343" max="3343" width="14.42578125" style="792" customWidth="1"/>
    <col min="3344" max="3587" width="9.140625" style="792"/>
    <col min="3588" max="3588" width="3.140625" style="792" customWidth="1"/>
    <col min="3589" max="3589" width="12.42578125" style="792" customWidth="1"/>
    <col min="3590" max="3590" width="11.5703125" style="792" bestFit="1" customWidth="1"/>
    <col min="3591" max="3592" width="0" style="792" hidden="1" customWidth="1"/>
    <col min="3593" max="3593" width="17.42578125" style="792" bestFit="1" customWidth="1"/>
    <col min="3594" max="3594" width="18.7109375" style="792" bestFit="1" customWidth="1"/>
    <col min="3595" max="3595" width="22.7109375" style="792" bestFit="1" customWidth="1"/>
    <col min="3596" max="3596" width="21.28515625" style="792" bestFit="1" customWidth="1"/>
    <col min="3597" max="3597" width="21.28515625" style="792" customWidth="1"/>
    <col min="3598" max="3598" width="18.7109375" style="792" bestFit="1" customWidth="1"/>
    <col min="3599" max="3599" width="14.42578125" style="792" customWidth="1"/>
    <col min="3600" max="3843" width="9.140625" style="792"/>
    <col min="3844" max="3844" width="3.140625" style="792" customWidth="1"/>
    <col min="3845" max="3845" width="12.42578125" style="792" customWidth="1"/>
    <col min="3846" max="3846" width="11.5703125" style="792" bestFit="1" customWidth="1"/>
    <col min="3847" max="3848" width="0" style="792" hidden="1" customWidth="1"/>
    <col min="3849" max="3849" width="17.42578125" style="792" bestFit="1" customWidth="1"/>
    <col min="3850" max="3850" width="18.7109375" style="792" bestFit="1" customWidth="1"/>
    <col min="3851" max="3851" width="22.7109375" style="792" bestFit="1" customWidth="1"/>
    <col min="3852" max="3852" width="21.28515625" style="792" bestFit="1" customWidth="1"/>
    <col min="3853" max="3853" width="21.28515625" style="792" customWidth="1"/>
    <col min="3854" max="3854" width="18.7109375" style="792" bestFit="1" customWidth="1"/>
    <col min="3855" max="3855" width="14.42578125" style="792" customWidth="1"/>
    <col min="3856" max="4099" width="9.140625" style="792"/>
    <col min="4100" max="4100" width="3.140625" style="792" customWidth="1"/>
    <col min="4101" max="4101" width="12.42578125" style="792" customWidth="1"/>
    <col min="4102" max="4102" width="11.5703125" style="792" bestFit="1" customWidth="1"/>
    <col min="4103" max="4104" width="0" style="792" hidden="1" customWidth="1"/>
    <col min="4105" max="4105" width="17.42578125" style="792" bestFit="1" customWidth="1"/>
    <col min="4106" max="4106" width="18.7109375" style="792" bestFit="1" customWidth="1"/>
    <col min="4107" max="4107" width="22.7109375" style="792" bestFit="1" customWidth="1"/>
    <col min="4108" max="4108" width="21.28515625" style="792" bestFit="1" customWidth="1"/>
    <col min="4109" max="4109" width="21.28515625" style="792" customWidth="1"/>
    <col min="4110" max="4110" width="18.7109375" style="792" bestFit="1" customWidth="1"/>
    <col min="4111" max="4111" width="14.42578125" style="792" customWidth="1"/>
    <col min="4112" max="4355" width="9.140625" style="792"/>
    <col min="4356" max="4356" width="3.140625" style="792" customWidth="1"/>
    <col min="4357" max="4357" width="12.42578125" style="792" customWidth="1"/>
    <col min="4358" max="4358" width="11.5703125" style="792" bestFit="1" customWidth="1"/>
    <col min="4359" max="4360" width="0" style="792" hidden="1" customWidth="1"/>
    <col min="4361" max="4361" width="17.42578125" style="792" bestFit="1" customWidth="1"/>
    <col min="4362" max="4362" width="18.7109375" style="792" bestFit="1" customWidth="1"/>
    <col min="4363" max="4363" width="22.7109375" style="792" bestFit="1" customWidth="1"/>
    <col min="4364" max="4364" width="21.28515625" style="792" bestFit="1" customWidth="1"/>
    <col min="4365" max="4365" width="21.28515625" style="792" customWidth="1"/>
    <col min="4366" max="4366" width="18.7109375" style="792" bestFit="1" customWidth="1"/>
    <col min="4367" max="4367" width="14.42578125" style="792" customWidth="1"/>
    <col min="4368" max="4611" width="9.140625" style="792"/>
    <col min="4612" max="4612" width="3.140625" style="792" customWidth="1"/>
    <col min="4613" max="4613" width="12.42578125" style="792" customWidth="1"/>
    <col min="4614" max="4614" width="11.5703125" style="792" bestFit="1" customWidth="1"/>
    <col min="4615" max="4616" width="0" style="792" hidden="1" customWidth="1"/>
    <col min="4617" max="4617" width="17.42578125" style="792" bestFit="1" customWidth="1"/>
    <col min="4618" max="4618" width="18.7109375" style="792" bestFit="1" customWidth="1"/>
    <col min="4619" max="4619" width="22.7109375" style="792" bestFit="1" customWidth="1"/>
    <col min="4620" max="4620" width="21.28515625" style="792" bestFit="1" customWidth="1"/>
    <col min="4621" max="4621" width="21.28515625" style="792" customWidth="1"/>
    <col min="4622" max="4622" width="18.7109375" style="792" bestFit="1" customWidth="1"/>
    <col min="4623" max="4623" width="14.42578125" style="792" customWidth="1"/>
    <col min="4624" max="4867" width="9.140625" style="792"/>
    <col min="4868" max="4868" width="3.140625" style="792" customWidth="1"/>
    <col min="4869" max="4869" width="12.42578125" style="792" customWidth="1"/>
    <col min="4870" max="4870" width="11.5703125" style="792" bestFit="1" customWidth="1"/>
    <col min="4871" max="4872" width="0" style="792" hidden="1" customWidth="1"/>
    <col min="4873" max="4873" width="17.42578125" style="792" bestFit="1" customWidth="1"/>
    <col min="4874" max="4874" width="18.7109375" style="792" bestFit="1" customWidth="1"/>
    <col min="4875" max="4875" width="22.7109375" style="792" bestFit="1" customWidth="1"/>
    <col min="4876" max="4876" width="21.28515625" style="792" bestFit="1" customWidth="1"/>
    <col min="4877" max="4877" width="21.28515625" style="792" customWidth="1"/>
    <col min="4878" max="4878" width="18.7109375" style="792" bestFit="1" customWidth="1"/>
    <col min="4879" max="4879" width="14.42578125" style="792" customWidth="1"/>
    <col min="4880" max="5123" width="9.140625" style="792"/>
    <col min="5124" max="5124" width="3.140625" style="792" customWidth="1"/>
    <col min="5125" max="5125" width="12.42578125" style="792" customWidth="1"/>
    <col min="5126" max="5126" width="11.5703125" style="792" bestFit="1" customWidth="1"/>
    <col min="5127" max="5128" width="0" style="792" hidden="1" customWidth="1"/>
    <col min="5129" max="5129" width="17.42578125" style="792" bestFit="1" customWidth="1"/>
    <col min="5130" max="5130" width="18.7109375" style="792" bestFit="1" customWidth="1"/>
    <col min="5131" max="5131" width="22.7109375" style="792" bestFit="1" customWidth="1"/>
    <col min="5132" max="5132" width="21.28515625" style="792" bestFit="1" customWidth="1"/>
    <col min="5133" max="5133" width="21.28515625" style="792" customWidth="1"/>
    <col min="5134" max="5134" width="18.7109375" style="792" bestFit="1" customWidth="1"/>
    <col min="5135" max="5135" width="14.42578125" style="792" customWidth="1"/>
    <col min="5136" max="5379" width="9.140625" style="792"/>
    <col min="5380" max="5380" width="3.140625" style="792" customWidth="1"/>
    <col min="5381" max="5381" width="12.42578125" style="792" customWidth="1"/>
    <col min="5382" max="5382" width="11.5703125" style="792" bestFit="1" customWidth="1"/>
    <col min="5383" max="5384" width="0" style="792" hidden="1" customWidth="1"/>
    <col min="5385" max="5385" width="17.42578125" style="792" bestFit="1" customWidth="1"/>
    <col min="5386" max="5386" width="18.7109375" style="792" bestFit="1" customWidth="1"/>
    <col min="5387" max="5387" width="22.7109375" style="792" bestFit="1" customWidth="1"/>
    <col min="5388" max="5388" width="21.28515625" style="792" bestFit="1" customWidth="1"/>
    <col min="5389" max="5389" width="21.28515625" style="792" customWidth="1"/>
    <col min="5390" max="5390" width="18.7109375" style="792" bestFit="1" customWidth="1"/>
    <col min="5391" max="5391" width="14.42578125" style="792" customWidth="1"/>
    <col min="5392" max="5635" width="9.140625" style="792"/>
    <col min="5636" max="5636" width="3.140625" style="792" customWidth="1"/>
    <col min="5637" max="5637" width="12.42578125" style="792" customWidth="1"/>
    <col min="5638" max="5638" width="11.5703125" style="792" bestFit="1" customWidth="1"/>
    <col min="5639" max="5640" width="0" style="792" hidden="1" customWidth="1"/>
    <col min="5641" max="5641" width="17.42578125" style="792" bestFit="1" customWidth="1"/>
    <col min="5642" max="5642" width="18.7109375" style="792" bestFit="1" customWidth="1"/>
    <col min="5643" max="5643" width="22.7109375" style="792" bestFit="1" customWidth="1"/>
    <col min="5644" max="5644" width="21.28515625" style="792" bestFit="1" customWidth="1"/>
    <col min="5645" max="5645" width="21.28515625" style="792" customWidth="1"/>
    <col min="5646" max="5646" width="18.7109375" style="792" bestFit="1" customWidth="1"/>
    <col min="5647" max="5647" width="14.42578125" style="792" customWidth="1"/>
    <col min="5648" max="5891" width="9.140625" style="792"/>
    <col min="5892" max="5892" width="3.140625" style="792" customWidth="1"/>
    <col min="5893" max="5893" width="12.42578125" style="792" customWidth="1"/>
    <col min="5894" max="5894" width="11.5703125" style="792" bestFit="1" customWidth="1"/>
    <col min="5895" max="5896" width="0" style="792" hidden="1" customWidth="1"/>
    <col min="5897" max="5897" width="17.42578125" style="792" bestFit="1" customWidth="1"/>
    <col min="5898" max="5898" width="18.7109375" style="792" bestFit="1" customWidth="1"/>
    <col min="5899" max="5899" width="22.7109375" style="792" bestFit="1" customWidth="1"/>
    <col min="5900" max="5900" width="21.28515625" style="792" bestFit="1" customWidth="1"/>
    <col min="5901" max="5901" width="21.28515625" style="792" customWidth="1"/>
    <col min="5902" max="5902" width="18.7109375" style="792" bestFit="1" customWidth="1"/>
    <col min="5903" max="5903" width="14.42578125" style="792" customWidth="1"/>
    <col min="5904" max="6147" width="9.140625" style="792"/>
    <col min="6148" max="6148" width="3.140625" style="792" customWidth="1"/>
    <col min="6149" max="6149" width="12.42578125" style="792" customWidth="1"/>
    <col min="6150" max="6150" width="11.5703125" style="792" bestFit="1" customWidth="1"/>
    <col min="6151" max="6152" width="0" style="792" hidden="1" customWidth="1"/>
    <col min="6153" max="6153" width="17.42578125" style="792" bestFit="1" customWidth="1"/>
    <col min="6154" max="6154" width="18.7109375" style="792" bestFit="1" customWidth="1"/>
    <col min="6155" max="6155" width="22.7109375" style="792" bestFit="1" customWidth="1"/>
    <col min="6156" max="6156" width="21.28515625" style="792" bestFit="1" customWidth="1"/>
    <col min="6157" max="6157" width="21.28515625" style="792" customWidth="1"/>
    <col min="6158" max="6158" width="18.7109375" style="792" bestFit="1" customWidth="1"/>
    <col min="6159" max="6159" width="14.42578125" style="792" customWidth="1"/>
    <col min="6160" max="6403" width="9.140625" style="792"/>
    <col min="6404" max="6404" width="3.140625" style="792" customWidth="1"/>
    <col min="6405" max="6405" width="12.42578125" style="792" customWidth="1"/>
    <col min="6406" max="6406" width="11.5703125" style="792" bestFit="1" customWidth="1"/>
    <col min="6407" max="6408" width="0" style="792" hidden="1" customWidth="1"/>
    <col min="6409" max="6409" width="17.42578125" style="792" bestFit="1" customWidth="1"/>
    <col min="6410" max="6410" width="18.7109375" style="792" bestFit="1" customWidth="1"/>
    <col min="6411" max="6411" width="22.7109375" style="792" bestFit="1" customWidth="1"/>
    <col min="6412" max="6412" width="21.28515625" style="792" bestFit="1" customWidth="1"/>
    <col min="6413" max="6413" width="21.28515625" style="792" customWidth="1"/>
    <col min="6414" max="6414" width="18.7109375" style="792" bestFit="1" customWidth="1"/>
    <col min="6415" max="6415" width="14.42578125" style="792" customWidth="1"/>
    <col min="6416" max="6659" width="9.140625" style="792"/>
    <col min="6660" max="6660" width="3.140625" style="792" customWidth="1"/>
    <col min="6661" max="6661" width="12.42578125" style="792" customWidth="1"/>
    <col min="6662" max="6662" width="11.5703125" style="792" bestFit="1" customWidth="1"/>
    <col min="6663" max="6664" width="0" style="792" hidden="1" customWidth="1"/>
    <col min="6665" max="6665" width="17.42578125" style="792" bestFit="1" customWidth="1"/>
    <col min="6666" max="6666" width="18.7109375" style="792" bestFit="1" customWidth="1"/>
    <col min="6667" max="6667" width="22.7109375" style="792" bestFit="1" customWidth="1"/>
    <col min="6668" max="6668" width="21.28515625" style="792" bestFit="1" customWidth="1"/>
    <col min="6669" max="6669" width="21.28515625" style="792" customWidth="1"/>
    <col min="6670" max="6670" width="18.7109375" style="792" bestFit="1" customWidth="1"/>
    <col min="6671" max="6671" width="14.42578125" style="792" customWidth="1"/>
    <col min="6672" max="6915" width="9.140625" style="792"/>
    <col min="6916" max="6916" width="3.140625" style="792" customWidth="1"/>
    <col min="6917" max="6917" width="12.42578125" style="792" customWidth="1"/>
    <col min="6918" max="6918" width="11.5703125" style="792" bestFit="1" customWidth="1"/>
    <col min="6919" max="6920" width="0" style="792" hidden="1" customWidth="1"/>
    <col min="6921" max="6921" width="17.42578125" style="792" bestFit="1" customWidth="1"/>
    <col min="6922" max="6922" width="18.7109375" style="792" bestFit="1" customWidth="1"/>
    <col min="6923" max="6923" width="22.7109375" style="792" bestFit="1" customWidth="1"/>
    <col min="6924" max="6924" width="21.28515625" style="792" bestFit="1" customWidth="1"/>
    <col min="6925" max="6925" width="21.28515625" style="792" customWidth="1"/>
    <col min="6926" max="6926" width="18.7109375" style="792" bestFit="1" customWidth="1"/>
    <col min="6927" max="6927" width="14.42578125" style="792" customWidth="1"/>
    <col min="6928" max="7171" width="9.140625" style="792"/>
    <col min="7172" max="7172" width="3.140625" style="792" customWidth="1"/>
    <col min="7173" max="7173" width="12.42578125" style="792" customWidth="1"/>
    <col min="7174" max="7174" width="11.5703125" style="792" bestFit="1" customWidth="1"/>
    <col min="7175" max="7176" width="0" style="792" hidden="1" customWidth="1"/>
    <col min="7177" max="7177" width="17.42578125" style="792" bestFit="1" customWidth="1"/>
    <col min="7178" max="7178" width="18.7109375" style="792" bestFit="1" customWidth="1"/>
    <col min="7179" max="7179" width="22.7109375" style="792" bestFit="1" customWidth="1"/>
    <col min="7180" max="7180" width="21.28515625" style="792" bestFit="1" customWidth="1"/>
    <col min="7181" max="7181" width="21.28515625" style="792" customWidth="1"/>
    <col min="7182" max="7182" width="18.7109375" style="792" bestFit="1" customWidth="1"/>
    <col min="7183" max="7183" width="14.42578125" style="792" customWidth="1"/>
    <col min="7184" max="7427" width="9.140625" style="792"/>
    <col min="7428" max="7428" width="3.140625" style="792" customWidth="1"/>
    <col min="7429" max="7429" width="12.42578125" style="792" customWidth="1"/>
    <col min="7430" max="7430" width="11.5703125" style="792" bestFit="1" customWidth="1"/>
    <col min="7431" max="7432" width="0" style="792" hidden="1" customWidth="1"/>
    <col min="7433" max="7433" width="17.42578125" style="792" bestFit="1" customWidth="1"/>
    <col min="7434" max="7434" width="18.7109375" style="792" bestFit="1" customWidth="1"/>
    <col min="7435" max="7435" width="22.7109375" style="792" bestFit="1" customWidth="1"/>
    <col min="7436" max="7436" width="21.28515625" style="792" bestFit="1" customWidth="1"/>
    <col min="7437" max="7437" width="21.28515625" style="792" customWidth="1"/>
    <col min="7438" max="7438" width="18.7109375" style="792" bestFit="1" customWidth="1"/>
    <col min="7439" max="7439" width="14.42578125" style="792" customWidth="1"/>
    <col min="7440" max="7683" width="9.140625" style="792"/>
    <col min="7684" max="7684" width="3.140625" style="792" customWidth="1"/>
    <col min="7685" max="7685" width="12.42578125" style="792" customWidth="1"/>
    <col min="7686" max="7686" width="11.5703125" style="792" bestFit="1" customWidth="1"/>
    <col min="7687" max="7688" width="0" style="792" hidden="1" customWidth="1"/>
    <col min="7689" max="7689" width="17.42578125" style="792" bestFit="1" customWidth="1"/>
    <col min="7690" max="7690" width="18.7109375" style="792" bestFit="1" customWidth="1"/>
    <col min="7691" max="7691" width="22.7109375" style="792" bestFit="1" customWidth="1"/>
    <col min="7692" max="7692" width="21.28515625" style="792" bestFit="1" customWidth="1"/>
    <col min="7693" max="7693" width="21.28515625" style="792" customWidth="1"/>
    <col min="7694" max="7694" width="18.7109375" style="792" bestFit="1" customWidth="1"/>
    <col min="7695" max="7695" width="14.42578125" style="792" customWidth="1"/>
    <col min="7696" max="7939" width="9.140625" style="792"/>
    <col min="7940" max="7940" width="3.140625" style="792" customWidth="1"/>
    <col min="7941" max="7941" width="12.42578125" style="792" customWidth="1"/>
    <col min="7942" max="7942" width="11.5703125" style="792" bestFit="1" customWidth="1"/>
    <col min="7943" max="7944" width="0" style="792" hidden="1" customWidth="1"/>
    <col min="7945" max="7945" width="17.42578125" style="792" bestFit="1" customWidth="1"/>
    <col min="7946" max="7946" width="18.7109375" style="792" bestFit="1" customWidth="1"/>
    <col min="7947" max="7947" width="22.7109375" style="792" bestFit="1" customWidth="1"/>
    <col min="7948" max="7948" width="21.28515625" style="792" bestFit="1" customWidth="1"/>
    <col min="7949" max="7949" width="21.28515625" style="792" customWidth="1"/>
    <col min="7950" max="7950" width="18.7109375" style="792" bestFit="1" customWidth="1"/>
    <col min="7951" max="7951" width="14.42578125" style="792" customWidth="1"/>
    <col min="7952" max="8195" width="9.140625" style="792"/>
    <col min="8196" max="8196" width="3.140625" style="792" customWidth="1"/>
    <col min="8197" max="8197" width="12.42578125" style="792" customWidth="1"/>
    <col min="8198" max="8198" width="11.5703125" style="792" bestFit="1" customWidth="1"/>
    <col min="8199" max="8200" width="0" style="792" hidden="1" customWidth="1"/>
    <col min="8201" max="8201" width="17.42578125" style="792" bestFit="1" customWidth="1"/>
    <col min="8202" max="8202" width="18.7109375" style="792" bestFit="1" customWidth="1"/>
    <col min="8203" max="8203" width="22.7109375" style="792" bestFit="1" customWidth="1"/>
    <col min="8204" max="8204" width="21.28515625" style="792" bestFit="1" customWidth="1"/>
    <col min="8205" max="8205" width="21.28515625" style="792" customWidth="1"/>
    <col min="8206" max="8206" width="18.7109375" style="792" bestFit="1" customWidth="1"/>
    <col min="8207" max="8207" width="14.42578125" style="792" customWidth="1"/>
    <col min="8208" max="8451" width="9.140625" style="792"/>
    <col min="8452" max="8452" width="3.140625" style="792" customWidth="1"/>
    <col min="8453" max="8453" width="12.42578125" style="792" customWidth="1"/>
    <col min="8454" max="8454" width="11.5703125" style="792" bestFit="1" customWidth="1"/>
    <col min="8455" max="8456" width="0" style="792" hidden="1" customWidth="1"/>
    <col min="8457" max="8457" width="17.42578125" style="792" bestFit="1" customWidth="1"/>
    <col min="8458" max="8458" width="18.7109375" style="792" bestFit="1" customWidth="1"/>
    <col min="8459" max="8459" width="22.7109375" style="792" bestFit="1" customWidth="1"/>
    <col min="8460" max="8460" width="21.28515625" style="792" bestFit="1" customWidth="1"/>
    <col min="8461" max="8461" width="21.28515625" style="792" customWidth="1"/>
    <col min="8462" max="8462" width="18.7109375" style="792" bestFit="1" customWidth="1"/>
    <col min="8463" max="8463" width="14.42578125" style="792" customWidth="1"/>
    <col min="8464" max="8707" width="9.140625" style="792"/>
    <col min="8708" max="8708" width="3.140625" style="792" customWidth="1"/>
    <col min="8709" max="8709" width="12.42578125" style="792" customWidth="1"/>
    <col min="8710" max="8710" width="11.5703125" style="792" bestFit="1" customWidth="1"/>
    <col min="8711" max="8712" width="0" style="792" hidden="1" customWidth="1"/>
    <col min="8713" max="8713" width="17.42578125" style="792" bestFit="1" customWidth="1"/>
    <col min="8714" max="8714" width="18.7109375" style="792" bestFit="1" customWidth="1"/>
    <col min="8715" max="8715" width="22.7109375" style="792" bestFit="1" customWidth="1"/>
    <col min="8716" max="8716" width="21.28515625" style="792" bestFit="1" customWidth="1"/>
    <col min="8717" max="8717" width="21.28515625" style="792" customWidth="1"/>
    <col min="8718" max="8718" width="18.7109375" style="792" bestFit="1" customWidth="1"/>
    <col min="8719" max="8719" width="14.42578125" style="792" customWidth="1"/>
    <col min="8720" max="8963" width="9.140625" style="792"/>
    <col min="8964" max="8964" width="3.140625" style="792" customWidth="1"/>
    <col min="8965" max="8965" width="12.42578125" style="792" customWidth="1"/>
    <col min="8966" max="8966" width="11.5703125" style="792" bestFit="1" customWidth="1"/>
    <col min="8967" max="8968" width="0" style="792" hidden="1" customWidth="1"/>
    <col min="8969" max="8969" width="17.42578125" style="792" bestFit="1" customWidth="1"/>
    <col min="8970" max="8970" width="18.7109375" style="792" bestFit="1" customWidth="1"/>
    <col min="8971" max="8971" width="22.7109375" style="792" bestFit="1" customWidth="1"/>
    <col min="8972" max="8972" width="21.28515625" style="792" bestFit="1" customWidth="1"/>
    <col min="8973" max="8973" width="21.28515625" style="792" customWidth="1"/>
    <col min="8974" max="8974" width="18.7109375" style="792" bestFit="1" customWidth="1"/>
    <col min="8975" max="8975" width="14.42578125" style="792" customWidth="1"/>
    <col min="8976" max="9219" width="9.140625" style="792"/>
    <col min="9220" max="9220" width="3.140625" style="792" customWidth="1"/>
    <col min="9221" max="9221" width="12.42578125" style="792" customWidth="1"/>
    <col min="9222" max="9222" width="11.5703125" style="792" bestFit="1" customWidth="1"/>
    <col min="9223" max="9224" width="0" style="792" hidden="1" customWidth="1"/>
    <col min="9225" max="9225" width="17.42578125" style="792" bestFit="1" customWidth="1"/>
    <col min="9226" max="9226" width="18.7109375" style="792" bestFit="1" customWidth="1"/>
    <col min="9227" max="9227" width="22.7109375" style="792" bestFit="1" customWidth="1"/>
    <col min="9228" max="9228" width="21.28515625" style="792" bestFit="1" customWidth="1"/>
    <col min="9229" max="9229" width="21.28515625" style="792" customWidth="1"/>
    <col min="9230" max="9230" width="18.7109375" style="792" bestFit="1" customWidth="1"/>
    <col min="9231" max="9231" width="14.42578125" style="792" customWidth="1"/>
    <col min="9232" max="9475" width="9.140625" style="792"/>
    <col min="9476" max="9476" width="3.140625" style="792" customWidth="1"/>
    <col min="9477" max="9477" width="12.42578125" style="792" customWidth="1"/>
    <col min="9478" max="9478" width="11.5703125" style="792" bestFit="1" customWidth="1"/>
    <col min="9479" max="9480" width="0" style="792" hidden="1" customWidth="1"/>
    <col min="9481" max="9481" width="17.42578125" style="792" bestFit="1" customWidth="1"/>
    <col min="9482" max="9482" width="18.7109375" style="792" bestFit="1" customWidth="1"/>
    <col min="9483" max="9483" width="22.7109375" style="792" bestFit="1" customWidth="1"/>
    <col min="9484" max="9484" width="21.28515625" style="792" bestFit="1" customWidth="1"/>
    <col min="9485" max="9485" width="21.28515625" style="792" customWidth="1"/>
    <col min="9486" max="9486" width="18.7109375" style="792" bestFit="1" customWidth="1"/>
    <col min="9487" max="9487" width="14.42578125" style="792" customWidth="1"/>
    <col min="9488" max="9731" width="9.140625" style="792"/>
    <col min="9732" max="9732" width="3.140625" style="792" customWidth="1"/>
    <col min="9733" max="9733" width="12.42578125" style="792" customWidth="1"/>
    <col min="9734" max="9734" width="11.5703125" style="792" bestFit="1" customWidth="1"/>
    <col min="9735" max="9736" width="0" style="792" hidden="1" customWidth="1"/>
    <col min="9737" max="9737" width="17.42578125" style="792" bestFit="1" customWidth="1"/>
    <col min="9738" max="9738" width="18.7109375" style="792" bestFit="1" customWidth="1"/>
    <col min="9739" max="9739" width="22.7109375" style="792" bestFit="1" customWidth="1"/>
    <col min="9740" max="9740" width="21.28515625" style="792" bestFit="1" customWidth="1"/>
    <col min="9741" max="9741" width="21.28515625" style="792" customWidth="1"/>
    <col min="9742" max="9742" width="18.7109375" style="792" bestFit="1" customWidth="1"/>
    <col min="9743" max="9743" width="14.42578125" style="792" customWidth="1"/>
    <col min="9744" max="9987" width="9.140625" style="792"/>
    <col min="9988" max="9988" width="3.140625" style="792" customWidth="1"/>
    <col min="9989" max="9989" width="12.42578125" style="792" customWidth="1"/>
    <col min="9990" max="9990" width="11.5703125" style="792" bestFit="1" customWidth="1"/>
    <col min="9991" max="9992" width="0" style="792" hidden="1" customWidth="1"/>
    <col min="9993" max="9993" width="17.42578125" style="792" bestFit="1" customWidth="1"/>
    <col min="9994" max="9994" width="18.7109375" style="792" bestFit="1" customWidth="1"/>
    <col min="9995" max="9995" width="22.7109375" style="792" bestFit="1" customWidth="1"/>
    <col min="9996" max="9996" width="21.28515625" style="792" bestFit="1" customWidth="1"/>
    <col min="9997" max="9997" width="21.28515625" style="792" customWidth="1"/>
    <col min="9998" max="9998" width="18.7109375" style="792" bestFit="1" customWidth="1"/>
    <col min="9999" max="9999" width="14.42578125" style="792" customWidth="1"/>
    <col min="10000" max="10243" width="9.140625" style="792"/>
    <col min="10244" max="10244" width="3.140625" style="792" customWidth="1"/>
    <col min="10245" max="10245" width="12.42578125" style="792" customWidth="1"/>
    <col min="10246" max="10246" width="11.5703125" style="792" bestFit="1" customWidth="1"/>
    <col min="10247" max="10248" width="0" style="792" hidden="1" customWidth="1"/>
    <col min="10249" max="10249" width="17.42578125" style="792" bestFit="1" customWidth="1"/>
    <col min="10250" max="10250" width="18.7109375" style="792" bestFit="1" customWidth="1"/>
    <col min="10251" max="10251" width="22.7109375" style="792" bestFit="1" customWidth="1"/>
    <col min="10252" max="10252" width="21.28515625" style="792" bestFit="1" customWidth="1"/>
    <col min="10253" max="10253" width="21.28515625" style="792" customWidth="1"/>
    <col min="10254" max="10254" width="18.7109375" style="792" bestFit="1" customWidth="1"/>
    <col min="10255" max="10255" width="14.42578125" style="792" customWidth="1"/>
    <col min="10256" max="10499" width="9.140625" style="792"/>
    <col min="10500" max="10500" width="3.140625" style="792" customWidth="1"/>
    <col min="10501" max="10501" width="12.42578125" style="792" customWidth="1"/>
    <col min="10502" max="10502" width="11.5703125" style="792" bestFit="1" customWidth="1"/>
    <col min="10503" max="10504" width="0" style="792" hidden="1" customWidth="1"/>
    <col min="10505" max="10505" width="17.42578125" style="792" bestFit="1" customWidth="1"/>
    <col min="10506" max="10506" width="18.7109375" style="792" bestFit="1" customWidth="1"/>
    <col min="10507" max="10507" width="22.7109375" style="792" bestFit="1" customWidth="1"/>
    <col min="10508" max="10508" width="21.28515625" style="792" bestFit="1" customWidth="1"/>
    <col min="10509" max="10509" width="21.28515625" style="792" customWidth="1"/>
    <col min="10510" max="10510" width="18.7109375" style="792" bestFit="1" customWidth="1"/>
    <col min="10511" max="10511" width="14.42578125" style="792" customWidth="1"/>
    <col min="10512" max="10755" width="9.140625" style="792"/>
    <col min="10756" max="10756" width="3.140625" style="792" customWidth="1"/>
    <col min="10757" max="10757" width="12.42578125" style="792" customWidth="1"/>
    <col min="10758" max="10758" width="11.5703125" style="792" bestFit="1" customWidth="1"/>
    <col min="10759" max="10760" width="0" style="792" hidden="1" customWidth="1"/>
    <col min="10761" max="10761" width="17.42578125" style="792" bestFit="1" customWidth="1"/>
    <col min="10762" max="10762" width="18.7109375" style="792" bestFit="1" customWidth="1"/>
    <col min="10763" max="10763" width="22.7109375" style="792" bestFit="1" customWidth="1"/>
    <col min="10764" max="10764" width="21.28515625" style="792" bestFit="1" customWidth="1"/>
    <col min="10765" max="10765" width="21.28515625" style="792" customWidth="1"/>
    <col min="10766" max="10766" width="18.7109375" style="792" bestFit="1" customWidth="1"/>
    <col min="10767" max="10767" width="14.42578125" style="792" customWidth="1"/>
    <col min="10768" max="11011" width="9.140625" style="792"/>
    <col min="11012" max="11012" width="3.140625" style="792" customWidth="1"/>
    <col min="11013" max="11013" width="12.42578125" style="792" customWidth="1"/>
    <col min="11014" max="11014" width="11.5703125" style="792" bestFit="1" customWidth="1"/>
    <col min="11015" max="11016" width="0" style="792" hidden="1" customWidth="1"/>
    <col min="11017" max="11017" width="17.42578125" style="792" bestFit="1" customWidth="1"/>
    <col min="11018" max="11018" width="18.7109375" style="792" bestFit="1" customWidth="1"/>
    <col min="11019" max="11019" width="22.7109375" style="792" bestFit="1" customWidth="1"/>
    <col min="11020" max="11020" width="21.28515625" style="792" bestFit="1" customWidth="1"/>
    <col min="11021" max="11021" width="21.28515625" style="792" customWidth="1"/>
    <col min="11022" max="11022" width="18.7109375" style="792" bestFit="1" customWidth="1"/>
    <col min="11023" max="11023" width="14.42578125" style="792" customWidth="1"/>
    <col min="11024" max="11267" width="9.140625" style="792"/>
    <col min="11268" max="11268" width="3.140625" style="792" customWidth="1"/>
    <col min="11269" max="11269" width="12.42578125" style="792" customWidth="1"/>
    <col min="11270" max="11270" width="11.5703125" style="792" bestFit="1" customWidth="1"/>
    <col min="11271" max="11272" width="0" style="792" hidden="1" customWidth="1"/>
    <col min="11273" max="11273" width="17.42578125" style="792" bestFit="1" customWidth="1"/>
    <col min="11274" max="11274" width="18.7109375" style="792" bestFit="1" customWidth="1"/>
    <col min="11275" max="11275" width="22.7109375" style="792" bestFit="1" customWidth="1"/>
    <col min="11276" max="11276" width="21.28515625" style="792" bestFit="1" customWidth="1"/>
    <col min="11277" max="11277" width="21.28515625" style="792" customWidth="1"/>
    <col min="11278" max="11278" width="18.7109375" style="792" bestFit="1" customWidth="1"/>
    <col min="11279" max="11279" width="14.42578125" style="792" customWidth="1"/>
    <col min="11280" max="11523" width="9.140625" style="792"/>
    <col min="11524" max="11524" width="3.140625" style="792" customWidth="1"/>
    <col min="11525" max="11525" width="12.42578125" style="792" customWidth="1"/>
    <col min="11526" max="11526" width="11.5703125" style="792" bestFit="1" customWidth="1"/>
    <col min="11527" max="11528" width="0" style="792" hidden="1" customWidth="1"/>
    <col min="11529" max="11529" width="17.42578125" style="792" bestFit="1" customWidth="1"/>
    <col min="11530" max="11530" width="18.7109375" style="792" bestFit="1" customWidth="1"/>
    <col min="11531" max="11531" width="22.7109375" style="792" bestFit="1" customWidth="1"/>
    <col min="11532" max="11532" width="21.28515625" style="792" bestFit="1" customWidth="1"/>
    <col min="11533" max="11533" width="21.28515625" style="792" customWidth="1"/>
    <col min="11534" max="11534" width="18.7109375" style="792" bestFit="1" customWidth="1"/>
    <col min="11535" max="11535" width="14.42578125" style="792" customWidth="1"/>
    <col min="11536" max="11779" width="9.140625" style="792"/>
    <col min="11780" max="11780" width="3.140625" style="792" customWidth="1"/>
    <col min="11781" max="11781" width="12.42578125" style="792" customWidth="1"/>
    <col min="11782" max="11782" width="11.5703125" style="792" bestFit="1" customWidth="1"/>
    <col min="11783" max="11784" width="0" style="792" hidden="1" customWidth="1"/>
    <col min="11785" max="11785" width="17.42578125" style="792" bestFit="1" customWidth="1"/>
    <col min="11786" max="11786" width="18.7109375" style="792" bestFit="1" customWidth="1"/>
    <col min="11787" max="11787" width="22.7109375" style="792" bestFit="1" customWidth="1"/>
    <col min="11788" max="11788" width="21.28515625" style="792" bestFit="1" customWidth="1"/>
    <col min="11789" max="11789" width="21.28515625" style="792" customWidth="1"/>
    <col min="11790" max="11790" width="18.7109375" style="792" bestFit="1" customWidth="1"/>
    <col min="11791" max="11791" width="14.42578125" style="792" customWidth="1"/>
    <col min="11792" max="12035" width="9.140625" style="792"/>
    <col min="12036" max="12036" width="3.140625" style="792" customWidth="1"/>
    <col min="12037" max="12037" width="12.42578125" style="792" customWidth="1"/>
    <col min="12038" max="12038" width="11.5703125" style="792" bestFit="1" customWidth="1"/>
    <col min="12039" max="12040" width="0" style="792" hidden="1" customWidth="1"/>
    <col min="12041" max="12041" width="17.42578125" style="792" bestFit="1" customWidth="1"/>
    <col min="12042" max="12042" width="18.7109375" style="792" bestFit="1" customWidth="1"/>
    <col min="12043" max="12043" width="22.7109375" style="792" bestFit="1" customWidth="1"/>
    <col min="12044" max="12044" width="21.28515625" style="792" bestFit="1" customWidth="1"/>
    <col min="12045" max="12045" width="21.28515625" style="792" customWidth="1"/>
    <col min="12046" max="12046" width="18.7109375" style="792" bestFit="1" customWidth="1"/>
    <col min="12047" max="12047" width="14.42578125" style="792" customWidth="1"/>
    <col min="12048" max="12291" width="9.140625" style="792"/>
    <col min="12292" max="12292" width="3.140625" style="792" customWidth="1"/>
    <col min="12293" max="12293" width="12.42578125" style="792" customWidth="1"/>
    <col min="12294" max="12294" width="11.5703125" style="792" bestFit="1" customWidth="1"/>
    <col min="12295" max="12296" width="0" style="792" hidden="1" customWidth="1"/>
    <col min="12297" max="12297" width="17.42578125" style="792" bestFit="1" customWidth="1"/>
    <col min="12298" max="12298" width="18.7109375" style="792" bestFit="1" customWidth="1"/>
    <col min="12299" max="12299" width="22.7109375" style="792" bestFit="1" customWidth="1"/>
    <col min="12300" max="12300" width="21.28515625" style="792" bestFit="1" customWidth="1"/>
    <col min="12301" max="12301" width="21.28515625" style="792" customWidth="1"/>
    <col min="12302" max="12302" width="18.7109375" style="792" bestFit="1" customWidth="1"/>
    <col min="12303" max="12303" width="14.42578125" style="792" customWidth="1"/>
    <col min="12304" max="12547" width="9.140625" style="792"/>
    <col min="12548" max="12548" width="3.140625" style="792" customWidth="1"/>
    <col min="12549" max="12549" width="12.42578125" style="792" customWidth="1"/>
    <col min="12550" max="12550" width="11.5703125" style="792" bestFit="1" customWidth="1"/>
    <col min="12551" max="12552" width="0" style="792" hidden="1" customWidth="1"/>
    <col min="12553" max="12553" width="17.42578125" style="792" bestFit="1" customWidth="1"/>
    <col min="12554" max="12554" width="18.7109375" style="792" bestFit="1" customWidth="1"/>
    <col min="12555" max="12555" width="22.7109375" style="792" bestFit="1" customWidth="1"/>
    <col min="12556" max="12556" width="21.28515625" style="792" bestFit="1" customWidth="1"/>
    <col min="12557" max="12557" width="21.28515625" style="792" customWidth="1"/>
    <col min="12558" max="12558" width="18.7109375" style="792" bestFit="1" customWidth="1"/>
    <col min="12559" max="12559" width="14.42578125" style="792" customWidth="1"/>
    <col min="12560" max="12803" width="9.140625" style="792"/>
    <col min="12804" max="12804" width="3.140625" style="792" customWidth="1"/>
    <col min="12805" max="12805" width="12.42578125" style="792" customWidth="1"/>
    <col min="12806" max="12806" width="11.5703125" style="792" bestFit="1" customWidth="1"/>
    <col min="12807" max="12808" width="0" style="792" hidden="1" customWidth="1"/>
    <col min="12809" max="12809" width="17.42578125" style="792" bestFit="1" customWidth="1"/>
    <col min="12810" max="12810" width="18.7109375" style="792" bestFit="1" customWidth="1"/>
    <col min="12811" max="12811" width="22.7109375" style="792" bestFit="1" customWidth="1"/>
    <col min="12812" max="12812" width="21.28515625" style="792" bestFit="1" customWidth="1"/>
    <col min="12813" max="12813" width="21.28515625" style="792" customWidth="1"/>
    <col min="12814" max="12814" width="18.7109375" style="792" bestFit="1" customWidth="1"/>
    <col min="12815" max="12815" width="14.42578125" style="792" customWidth="1"/>
    <col min="12816" max="13059" width="9.140625" style="792"/>
    <col min="13060" max="13060" width="3.140625" style="792" customWidth="1"/>
    <col min="13061" max="13061" width="12.42578125" style="792" customWidth="1"/>
    <col min="13062" max="13062" width="11.5703125" style="792" bestFit="1" customWidth="1"/>
    <col min="13063" max="13064" width="0" style="792" hidden="1" customWidth="1"/>
    <col min="13065" max="13065" width="17.42578125" style="792" bestFit="1" customWidth="1"/>
    <col min="13066" max="13066" width="18.7109375" style="792" bestFit="1" customWidth="1"/>
    <col min="13067" max="13067" width="22.7109375" style="792" bestFit="1" customWidth="1"/>
    <col min="13068" max="13068" width="21.28515625" style="792" bestFit="1" customWidth="1"/>
    <col min="13069" max="13069" width="21.28515625" style="792" customWidth="1"/>
    <col min="13070" max="13070" width="18.7109375" style="792" bestFit="1" customWidth="1"/>
    <col min="13071" max="13071" width="14.42578125" style="792" customWidth="1"/>
    <col min="13072" max="13315" width="9.140625" style="792"/>
    <col min="13316" max="13316" width="3.140625" style="792" customWidth="1"/>
    <col min="13317" max="13317" width="12.42578125" style="792" customWidth="1"/>
    <col min="13318" max="13318" width="11.5703125" style="792" bestFit="1" customWidth="1"/>
    <col min="13319" max="13320" width="0" style="792" hidden="1" customWidth="1"/>
    <col min="13321" max="13321" width="17.42578125" style="792" bestFit="1" customWidth="1"/>
    <col min="13322" max="13322" width="18.7109375" style="792" bestFit="1" customWidth="1"/>
    <col min="13323" max="13323" width="22.7109375" style="792" bestFit="1" customWidth="1"/>
    <col min="13324" max="13324" width="21.28515625" style="792" bestFit="1" customWidth="1"/>
    <col min="13325" max="13325" width="21.28515625" style="792" customWidth="1"/>
    <col min="13326" max="13326" width="18.7109375" style="792" bestFit="1" customWidth="1"/>
    <col min="13327" max="13327" width="14.42578125" style="792" customWidth="1"/>
    <col min="13328" max="13571" width="9.140625" style="792"/>
    <col min="13572" max="13572" width="3.140625" style="792" customWidth="1"/>
    <col min="13573" max="13573" width="12.42578125" style="792" customWidth="1"/>
    <col min="13574" max="13574" width="11.5703125" style="792" bestFit="1" customWidth="1"/>
    <col min="13575" max="13576" width="0" style="792" hidden="1" customWidth="1"/>
    <col min="13577" max="13577" width="17.42578125" style="792" bestFit="1" customWidth="1"/>
    <col min="13578" max="13578" width="18.7109375" style="792" bestFit="1" customWidth="1"/>
    <col min="13579" max="13579" width="22.7109375" style="792" bestFit="1" customWidth="1"/>
    <col min="13580" max="13580" width="21.28515625" style="792" bestFit="1" customWidth="1"/>
    <col min="13581" max="13581" width="21.28515625" style="792" customWidth="1"/>
    <col min="13582" max="13582" width="18.7109375" style="792" bestFit="1" customWidth="1"/>
    <col min="13583" max="13583" width="14.42578125" style="792" customWidth="1"/>
    <col min="13584" max="13827" width="9.140625" style="792"/>
    <col min="13828" max="13828" width="3.140625" style="792" customWidth="1"/>
    <col min="13829" max="13829" width="12.42578125" style="792" customWidth="1"/>
    <col min="13830" max="13830" width="11.5703125" style="792" bestFit="1" customWidth="1"/>
    <col min="13831" max="13832" width="0" style="792" hidden="1" customWidth="1"/>
    <col min="13833" max="13833" width="17.42578125" style="792" bestFit="1" customWidth="1"/>
    <col min="13834" max="13834" width="18.7109375" style="792" bestFit="1" customWidth="1"/>
    <col min="13835" max="13835" width="22.7109375" style="792" bestFit="1" customWidth="1"/>
    <col min="13836" max="13836" width="21.28515625" style="792" bestFit="1" customWidth="1"/>
    <col min="13837" max="13837" width="21.28515625" style="792" customWidth="1"/>
    <col min="13838" max="13838" width="18.7109375" style="792" bestFit="1" customWidth="1"/>
    <col min="13839" max="13839" width="14.42578125" style="792" customWidth="1"/>
    <col min="13840" max="14083" width="9.140625" style="792"/>
    <col min="14084" max="14084" width="3.140625" style="792" customWidth="1"/>
    <col min="14085" max="14085" width="12.42578125" style="792" customWidth="1"/>
    <col min="14086" max="14086" width="11.5703125" style="792" bestFit="1" customWidth="1"/>
    <col min="14087" max="14088" width="0" style="792" hidden="1" customWidth="1"/>
    <col min="14089" max="14089" width="17.42578125" style="792" bestFit="1" customWidth="1"/>
    <col min="14090" max="14090" width="18.7109375" style="792" bestFit="1" customWidth="1"/>
    <col min="14091" max="14091" width="22.7109375" style="792" bestFit="1" customWidth="1"/>
    <col min="14092" max="14092" width="21.28515625" style="792" bestFit="1" customWidth="1"/>
    <col min="14093" max="14093" width="21.28515625" style="792" customWidth="1"/>
    <col min="14094" max="14094" width="18.7109375" style="792" bestFit="1" customWidth="1"/>
    <col min="14095" max="14095" width="14.42578125" style="792" customWidth="1"/>
    <col min="14096" max="14339" width="9.140625" style="792"/>
    <col min="14340" max="14340" width="3.140625" style="792" customWidth="1"/>
    <col min="14341" max="14341" width="12.42578125" style="792" customWidth="1"/>
    <col min="14342" max="14342" width="11.5703125" style="792" bestFit="1" customWidth="1"/>
    <col min="14343" max="14344" width="0" style="792" hidden="1" customWidth="1"/>
    <col min="14345" max="14345" width="17.42578125" style="792" bestFit="1" customWidth="1"/>
    <col min="14346" max="14346" width="18.7109375" style="792" bestFit="1" customWidth="1"/>
    <col min="14347" max="14347" width="22.7109375" style="792" bestFit="1" customWidth="1"/>
    <col min="14348" max="14348" width="21.28515625" style="792" bestFit="1" customWidth="1"/>
    <col min="14349" max="14349" width="21.28515625" style="792" customWidth="1"/>
    <col min="14350" max="14350" width="18.7109375" style="792" bestFit="1" customWidth="1"/>
    <col min="14351" max="14351" width="14.42578125" style="792" customWidth="1"/>
    <col min="14352" max="14595" width="9.140625" style="792"/>
    <col min="14596" max="14596" width="3.140625" style="792" customWidth="1"/>
    <col min="14597" max="14597" width="12.42578125" style="792" customWidth="1"/>
    <col min="14598" max="14598" width="11.5703125" style="792" bestFit="1" customWidth="1"/>
    <col min="14599" max="14600" width="0" style="792" hidden="1" customWidth="1"/>
    <col min="14601" max="14601" width="17.42578125" style="792" bestFit="1" customWidth="1"/>
    <col min="14602" max="14602" width="18.7109375" style="792" bestFit="1" customWidth="1"/>
    <col min="14603" max="14603" width="22.7109375" style="792" bestFit="1" customWidth="1"/>
    <col min="14604" max="14604" width="21.28515625" style="792" bestFit="1" customWidth="1"/>
    <col min="14605" max="14605" width="21.28515625" style="792" customWidth="1"/>
    <col min="14606" max="14606" width="18.7109375" style="792" bestFit="1" customWidth="1"/>
    <col min="14607" max="14607" width="14.42578125" style="792" customWidth="1"/>
    <col min="14608" max="14851" width="9.140625" style="792"/>
    <col min="14852" max="14852" width="3.140625" style="792" customWidth="1"/>
    <col min="14853" max="14853" width="12.42578125" style="792" customWidth="1"/>
    <col min="14854" max="14854" width="11.5703125" style="792" bestFit="1" customWidth="1"/>
    <col min="14855" max="14856" width="0" style="792" hidden="1" customWidth="1"/>
    <col min="14857" max="14857" width="17.42578125" style="792" bestFit="1" customWidth="1"/>
    <col min="14858" max="14858" width="18.7109375" style="792" bestFit="1" customWidth="1"/>
    <col min="14859" max="14859" width="22.7109375" style="792" bestFit="1" customWidth="1"/>
    <col min="14860" max="14860" width="21.28515625" style="792" bestFit="1" customWidth="1"/>
    <col min="14861" max="14861" width="21.28515625" style="792" customWidth="1"/>
    <col min="14862" max="14862" width="18.7109375" style="792" bestFit="1" customWidth="1"/>
    <col min="14863" max="14863" width="14.42578125" style="792" customWidth="1"/>
    <col min="14864" max="15107" width="9.140625" style="792"/>
    <col min="15108" max="15108" width="3.140625" style="792" customWidth="1"/>
    <col min="15109" max="15109" width="12.42578125" style="792" customWidth="1"/>
    <col min="15110" max="15110" width="11.5703125" style="792" bestFit="1" customWidth="1"/>
    <col min="15111" max="15112" width="0" style="792" hidden="1" customWidth="1"/>
    <col min="15113" max="15113" width="17.42578125" style="792" bestFit="1" customWidth="1"/>
    <col min="15114" max="15114" width="18.7109375" style="792" bestFit="1" customWidth="1"/>
    <col min="15115" max="15115" width="22.7109375" style="792" bestFit="1" customWidth="1"/>
    <col min="15116" max="15116" width="21.28515625" style="792" bestFit="1" customWidth="1"/>
    <col min="15117" max="15117" width="21.28515625" style="792" customWidth="1"/>
    <col min="15118" max="15118" width="18.7109375" style="792" bestFit="1" customWidth="1"/>
    <col min="15119" max="15119" width="14.42578125" style="792" customWidth="1"/>
    <col min="15120" max="15363" width="9.140625" style="792"/>
    <col min="15364" max="15364" width="3.140625" style="792" customWidth="1"/>
    <col min="15365" max="15365" width="12.42578125" style="792" customWidth="1"/>
    <col min="15366" max="15366" width="11.5703125" style="792" bestFit="1" customWidth="1"/>
    <col min="15367" max="15368" width="0" style="792" hidden="1" customWidth="1"/>
    <col min="15369" max="15369" width="17.42578125" style="792" bestFit="1" customWidth="1"/>
    <col min="15370" max="15370" width="18.7109375" style="792" bestFit="1" customWidth="1"/>
    <col min="15371" max="15371" width="22.7109375" style="792" bestFit="1" customWidth="1"/>
    <col min="15372" max="15372" width="21.28515625" style="792" bestFit="1" customWidth="1"/>
    <col min="15373" max="15373" width="21.28515625" style="792" customWidth="1"/>
    <col min="15374" max="15374" width="18.7109375" style="792" bestFit="1" customWidth="1"/>
    <col min="15375" max="15375" width="14.42578125" style="792" customWidth="1"/>
    <col min="15376" max="15619" width="9.140625" style="792"/>
    <col min="15620" max="15620" width="3.140625" style="792" customWidth="1"/>
    <col min="15621" max="15621" width="12.42578125" style="792" customWidth="1"/>
    <col min="15622" max="15622" width="11.5703125" style="792" bestFit="1" customWidth="1"/>
    <col min="15623" max="15624" width="0" style="792" hidden="1" customWidth="1"/>
    <col min="15625" max="15625" width="17.42578125" style="792" bestFit="1" customWidth="1"/>
    <col min="15626" max="15626" width="18.7109375" style="792" bestFit="1" customWidth="1"/>
    <col min="15627" max="15627" width="22.7109375" style="792" bestFit="1" customWidth="1"/>
    <col min="15628" max="15628" width="21.28515625" style="792" bestFit="1" customWidth="1"/>
    <col min="15629" max="15629" width="21.28515625" style="792" customWidth="1"/>
    <col min="15630" max="15630" width="18.7109375" style="792" bestFit="1" customWidth="1"/>
    <col min="15631" max="15631" width="14.42578125" style="792" customWidth="1"/>
    <col min="15632" max="15875" width="9.140625" style="792"/>
    <col min="15876" max="15876" width="3.140625" style="792" customWidth="1"/>
    <col min="15877" max="15877" width="12.42578125" style="792" customWidth="1"/>
    <col min="15878" max="15878" width="11.5703125" style="792" bestFit="1" customWidth="1"/>
    <col min="15879" max="15880" width="0" style="792" hidden="1" customWidth="1"/>
    <col min="15881" max="15881" width="17.42578125" style="792" bestFit="1" customWidth="1"/>
    <col min="15882" max="15882" width="18.7109375" style="792" bestFit="1" customWidth="1"/>
    <col min="15883" max="15883" width="22.7109375" style="792" bestFit="1" customWidth="1"/>
    <col min="15884" max="15884" width="21.28515625" style="792" bestFit="1" customWidth="1"/>
    <col min="15885" max="15885" width="21.28515625" style="792" customWidth="1"/>
    <col min="15886" max="15886" width="18.7109375" style="792" bestFit="1" customWidth="1"/>
    <col min="15887" max="15887" width="14.42578125" style="792" customWidth="1"/>
    <col min="15888" max="16131" width="9.140625" style="792"/>
    <col min="16132" max="16132" width="3.140625" style="792" customWidth="1"/>
    <col min="16133" max="16133" width="12.42578125" style="792" customWidth="1"/>
    <col min="16134" max="16134" width="11.5703125" style="792" bestFit="1" customWidth="1"/>
    <col min="16135" max="16136" width="0" style="792" hidden="1" customWidth="1"/>
    <col min="16137" max="16137" width="17.42578125" style="792" bestFit="1" customWidth="1"/>
    <col min="16138" max="16138" width="18.7109375" style="792" bestFit="1" customWidth="1"/>
    <col min="16139" max="16139" width="22.7109375" style="792" bestFit="1" customWidth="1"/>
    <col min="16140" max="16140" width="21.28515625" style="792" bestFit="1" customWidth="1"/>
    <col min="16141" max="16141" width="21.28515625" style="792" customWidth="1"/>
    <col min="16142" max="16142" width="18.7109375" style="792" bestFit="1" customWidth="1"/>
    <col min="16143" max="16143" width="14.42578125" style="792" customWidth="1"/>
    <col min="16144" max="16384" width="9.140625" style="792"/>
  </cols>
  <sheetData>
    <row r="1" spans="2:15">
      <c r="I1" s="923"/>
    </row>
    <row r="2" spans="2:15" ht="18">
      <c r="B2" s="925" t="s">
        <v>2219</v>
      </c>
    </row>
    <row r="3" spans="2:15" ht="45">
      <c r="B3" s="550" t="s">
        <v>1</v>
      </c>
      <c r="C3" s="927" t="s">
        <v>2</v>
      </c>
      <c r="D3" s="6140" t="s">
        <v>2220</v>
      </c>
      <c r="E3" s="6141"/>
      <c r="F3" s="928" t="s">
        <v>2221</v>
      </c>
      <c r="G3" s="928" t="s">
        <v>2222</v>
      </c>
      <c r="H3" s="928" t="s">
        <v>2223</v>
      </c>
      <c r="I3" s="929" t="s">
        <v>4</v>
      </c>
      <c r="J3" s="930" t="s">
        <v>5</v>
      </c>
      <c r="K3" s="930" t="s">
        <v>6</v>
      </c>
      <c r="L3" s="930" t="s">
        <v>7</v>
      </c>
      <c r="M3" s="930" t="s">
        <v>2224</v>
      </c>
      <c r="N3" s="930" t="s">
        <v>8</v>
      </c>
      <c r="O3" s="931" t="s">
        <v>63</v>
      </c>
    </row>
    <row r="4" spans="2:15" ht="15.75" thickBot="1">
      <c r="B4" s="556"/>
      <c r="C4" s="932"/>
      <c r="D4" s="933" t="s">
        <v>12</v>
      </c>
      <c r="E4" s="933" t="s">
        <v>13</v>
      </c>
      <c r="F4" s="934"/>
      <c r="G4" s="934"/>
      <c r="H4" s="934"/>
      <c r="I4" s="935"/>
      <c r="J4" s="936"/>
      <c r="K4" s="936"/>
      <c r="L4" s="936"/>
      <c r="M4" s="936"/>
      <c r="N4" s="937"/>
      <c r="O4" s="938"/>
    </row>
    <row r="5" spans="2:15" hidden="1">
      <c r="B5" s="939"/>
      <c r="C5" s="940" t="s">
        <v>15</v>
      </c>
      <c r="D5" s="940"/>
      <c r="E5" s="940"/>
      <c r="F5" s="941">
        <v>0.4</v>
      </c>
      <c r="G5" s="941"/>
      <c r="H5" s="941"/>
      <c r="I5" s="942">
        <f>+'[108]Apr 13'!I5+'[108]May 13'!I5+'[108]Jun 13'!I5+'[108]Jul 13'!I5+'[108]Aug 13'!I5+'[108]Sep 13'!I5+'[108]Oct 13'!I5+'[108]Nov 13'!I5+'[108]Dec 13'!I5+'[108]Jan 14'!I5+'[108]Feb 14'!I5+'[108]Mar 14'!I5</f>
        <v>0</v>
      </c>
      <c r="J5" s="943">
        <f>+'[108]Apr 13'!J5+'[108]May 13'!J5+'[108]Jun 13'!J5+'[108]Jul 13'!J5+'[108]Aug 13'!J5+'[108]Sep 13'!J5+'[108]Oct 13'!J5+'[108]Nov 13'!J5+'[108]Dec 13'!J5+'[108]Jan 14'!J5+'[108]Feb 14'!J5+'[108]Mar 14'!J5</f>
        <v>0</v>
      </c>
      <c r="K5" s="944"/>
      <c r="L5" s="943">
        <f>+'[108]Apr 13'!L5+'[108]May 13'!L5+'[108]Jun 13'!L5+'[108]Jul 13'!L5+'[108]Aug 13'!L5+'[108]Sep 13'!L5+'[108]Oct 13'!L5+'[108]Nov 13'!L5+'[108]Dec 13'!L5+'[108]Jan 14'!L5+'[108]Feb 14'!L5+'[108]Mar 14'!L5</f>
        <v>0</v>
      </c>
      <c r="M5" s="943">
        <f>+'[108]Apr 13'!M5+'[108]May 13'!M5+'[108]Jun 13'!M5+'[108]Jul 13'!M5+'[108]Aug 13'!M5+'[108]Sep 13'!M5+'[108]Oct 13'!M5+'[108]Nov 13'!M5+'[108]Dec 13'!M5+'[108]Jan 14'!M5+'[108]Feb 14'!M5+'[108]Mar 14'!M5</f>
        <v>0</v>
      </c>
      <c r="N5" s="945"/>
      <c r="O5" s="944"/>
    </row>
    <row r="6" spans="2:15" hidden="1">
      <c r="B6" s="946"/>
      <c r="C6" s="947" t="s">
        <v>15</v>
      </c>
      <c r="D6" s="947"/>
      <c r="E6" s="947"/>
      <c r="F6" s="948">
        <v>0.44</v>
      </c>
      <c r="G6" s="948">
        <v>0.12</v>
      </c>
      <c r="H6" s="948"/>
      <c r="I6" s="949">
        <f>+'[108]Apr 13'!I6+'[108]May 13'!I6+'[108]Jun 13'!I6+'[108]Jul 13'!I6+'[108]Aug 13'!I6+'[108]Sep 13'!I6+'[108]Oct 13'!I6+'[108]Nov 13'!I6+'[108]Dec 13'!I6+'[108]Jan 14'!I6+'[108]Feb 14'!I6+'[108]Mar 14'!I6</f>
        <v>29073</v>
      </c>
      <c r="J6" s="950">
        <f>+'[108]Apr 13'!J6+'[108]May 13'!J6+'[108]Jun 13'!J6+'[108]Jul 13'!J6+'[108]Aug 13'!J6+'[108]Sep 13'!J6+'[108]Oct 13'!J6+'[108]Nov 13'!J6+'[108]Dec 13'!J6+'[108]Jan 14'!J6+'[108]Feb 14'!J6+'[108]Mar 14'!J6</f>
        <v>12792.119999999999</v>
      </c>
      <c r="K6" s="930"/>
      <c r="L6" s="950">
        <f>+'[108]Apr 13'!L6+'[108]May 13'!L6+'[108]Jun 13'!L6+'[108]Jul 13'!L6+'[108]Aug 13'!L6+'[108]Sep 13'!L6+'[108]Oct 13'!L6+'[108]Nov 13'!L6+'[108]Dec 13'!L6+'[108]Jan 14'!L6+'[108]Feb 14'!L6+'[108]Mar 14'!L6</f>
        <v>3488.7599999999998</v>
      </c>
      <c r="M6" s="950">
        <f>+'[108]Apr 13'!M6+'[108]May 13'!M6+'[108]Jun 13'!M6+'[108]Jul 13'!M6+'[108]Aug 13'!M6+'[108]Sep 13'!M6+'[108]Oct 13'!M6+'[108]Nov 13'!M6+'[108]Dec 13'!M6+'[108]Jan 14'!M6+'[108]Feb 14'!M6+'[108]Mar 14'!M6</f>
        <v>0</v>
      </c>
      <c r="N6" s="951"/>
      <c r="O6" s="930"/>
    </row>
    <row r="7" spans="2:15" hidden="1">
      <c r="B7" s="946"/>
      <c r="C7" s="947" t="s">
        <v>15</v>
      </c>
      <c r="D7" s="947"/>
      <c r="E7" s="947"/>
      <c r="F7" s="948">
        <v>0.55000000000000004</v>
      </c>
      <c r="G7" s="948">
        <v>0.12</v>
      </c>
      <c r="H7" s="948">
        <v>0.09</v>
      </c>
      <c r="I7" s="949">
        <f>+'[108]Apr 13'!I7+'[108]May 13'!I7+'[108]Jun 13'!I7+'[108]Jul 13'!I7+'[108]Aug 13'!I7+'[108]Sep 13'!I7+'[108]Oct 13'!I7+'[108]Nov 13'!I7+'[108]Dec 13'!I7+'[108]Jan 14'!I7+'[108]Feb 14'!I7+'[108]Mar 14'!I7</f>
        <v>41398</v>
      </c>
      <c r="J7" s="950">
        <f>+'[108]Apr 13'!J7+'[108]May 13'!J7+'[108]Jun 13'!J7+'[108]Jul 13'!J7+'[108]Aug 13'!J7+'[108]Sep 13'!J7+'[108]Oct 13'!J7+'[108]Nov 13'!J7+'[108]Dec 13'!J7+'[108]Jan 14'!J7+'[108]Feb 14'!J7+'[108]Mar 14'!J7</f>
        <v>22768.9</v>
      </c>
      <c r="K7" s="930"/>
      <c r="L7" s="950">
        <f>+'[108]Apr 13'!L7+'[108]May 13'!L7+'[108]Jun 13'!L7+'[108]Jul 13'!L7+'[108]Aug 13'!L7+'[108]Sep 13'!L7+'[108]Oct 13'!L7+'[108]Nov 13'!L7+'[108]Dec 13'!L7+'[108]Jan 14'!L7+'[108]Feb 14'!L7+'[108]Mar 14'!L7</f>
        <v>4967.76</v>
      </c>
      <c r="M7" s="950">
        <f>+'[108]Apr 13'!M7+'[108]May 13'!M7+'[108]Jun 13'!M7+'[108]Jul 13'!M7+'[108]Aug 13'!M7+'[108]Sep 13'!M7+'[108]Oct 13'!M7+'[108]Nov 13'!M7+'[108]Dec 13'!M7+'[108]Jan 14'!M7+'[108]Feb 14'!M7+'[108]Mar 14'!M7</f>
        <v>3633.8399999999997</v>
      </c>
      <c r="N7" s="951"/>
      <c r="O7" s="930"/>
    </row>
    <row r="8" spans="2:15" ht="15.75" thickBot="1">
      <c r="B8" s="952" t="s">
        <v>14</v>
      </c>
      <c r="C8" s="953"/>
      <c r="D8" s="953">
        <v>189</v>
      </c>
      <c r="E8" s="953">
        <v>0</v>
      </c>
      <c r="F8" s="954"/>
      <c r="G8" s="954"/>
      <c r="H8" s="954"/>
      <c r="I8" s="955">
        <f>+I7+I6+I5</f>
        <v>70471</v>
      </c>
      <c r="J8" s="956">
        <f>+J7+J6+J5</f>
        <v>35561.020000000004</v>
      </c>
      <c r="K8" s="957">
        <f>+'[108]Apr 13'!K8+'[108]May 13'!K8+'[108]Jun 13'!K8+'[108]Jul 13'!K8+'[108]Aug 13'!K8+'[108]Sep 13'!K8+'[108]Oct 13'!K8+'[108]Nov 13'!K8+'[108]Dec 13'!K8+'[108]Jan 14'!K8+'[108]Feb 14'!K8+'[108]Mar 14'!K8</f>
        <v>6291.6</v>
      </c>
      <c r="L8" s="956">
        <f>+L7+L6+L5</f>
        <v>8456.52</v>
      </c>
      <c r="M8" s="956">
        <f>+M7+M6+M5</f>
        <v>3633.8399999999997</v>
      </c>
      <c r="N8" s="956">
        <f>SUM(J8:M8)</f>
        <v>53942.979999999996</v>
      </c>
      <c r="O8" s="957">
        <f>+N8/I8</f>
        <v>0.76546352400278128</v>
      </c>
    </row>
    <row r="9" spans="2:15" ht="15.75" hidden="1" thickBot="1">
      <c r="B9" s="958" t="s">
        <v>16</v>
      </c>
      <c r="C9" s="959" t="s">
        <v>17</v>
      </c>
      <c r="D9" s="959"/>
      <c r="E9" s="959"/>
      <c r="F9" s="941">
        <v>1.55</v>
      </c>
      <c r="G9" s="960"/>
      <c r="H9" s="960"/>
      <c r="I9" s="942">
        <f>+'[108]Apr 13'!I9+'[108]May 13'!I9+'[108]Jun 13'!I9+'[108]Jul 13'!I9+'[108]Aug 13'!I9+'[108]Sep 13'!I9+'[108]Oct 13'!I9+'[108]Nov 13'!I9+'[108]Dec 13'!I9+'[108]Jan 14'!I9+'[108]Feb 14'!I9+'[108]Mar 14'!I9</f>
        <v>-8071</v>
      </c>
      <c r="J9" s="943">
        <f>+'[108]Apr 13'!J9+'[108]May 13'!J9+'[108]Jun 13'!J9+'[108]Jul 13'!J9+'[108]Aug 13'!J9+'[108]Sep 13'!J9+'[108]Oct 13'!J9+'[108]Nov 13'!J9+'[108]Dec 13'!J9+'[108]Jan 14'!J9+'[108]Feb 14'!J9+'[108]Mar 14'!J9</f>
        <v>-12510.050000000001</v>
      </c>
      <c r="K9" s="944"/>
      <c r="L9" s="943">
        <f>+'[108]Apr 13'!L9+'[108]May 13'!L9+'[108]Jun 13'!L9+'[108]Jul 13'!L9+'[108]Aug 13'!L9+'[108]Sep 13'!L9+'[108]Oct 13'!L9+'[108]Nov 13'!L9+'[108]Dec 13'!L9+'[108]Jan 14'!L9+'[108]Feb 14'!L9+'[108]Mar 14'!L9</f>
        <v>0</v>
      </c>
      <c r="M9" s="943">
        <f>+'[108]Apr 13'!M9+'[108]May 13'!M9+'[108]Jun 13'!M9+'[108]Jul 13'!M9+'[108]Aug 13'!M9+'[108]Sep 13'!M9+'[108]Oct 13'!M9+'[108]Nov 13'!M9+'[108]Dec 13'!M9+'[108]Jan 14'!M9+'[108]Feb 14'!M9+'[108]Mar 14'!M9</f>
        <v>0</v>
      </c>
      <c r="N9" s="961"/>
      <c r="O9" s="6142"/>
    </row>
    <row r="10" spans="2:15" ht="15.75" hidden="1" thickBot="1">
      <c r="B10" s="962"/>
      <c r="C10" s="963" t="s">
        <v>18</v>
      </c>
      <c r="D10" s="963"/>
      <c r="E10" s="963"/>
      <c r="F10" s="964">
        <v>3.3</v>
      </c>
      <c r="G10" s="965"/>
      <c r="H10" s="965"/>
      <c r="I10" s="966">
        <f>+'[108]Apr 13'!I10+'[108]May 13'!I10+'[108]Jun 13'!I10+'[108]Jul 13'!I10+'[108]Aug 13'!I10+'[108]Sep 13'!I10+'[108]Oct 13'!I10+'[108]Nov 13'!I10+'[108]Dec 13'!I10+'[108]Jan 14'!I10+'[108]Feb 14'!I10+'[108]Mar 14'!I10</f>
        <v>-2817</v>
      </c>
      <c r="J10" s="951">
        <f>+'[108]Apr 13'!J10+'[108]May 13'!J10+'[108]Jun 13'!J10+'[108]Jul 13'!J10+'[108]Aug 13'!J10+'[108]Sep 13'!J10+'[108]Oct 13'!J10+'[108]Nov 13'!J10+'[108]Dec 13'!J10+'[108]Jan 14'!J10+'[108]Feb 14'!J10+'[108]Mar 14'!J10</f>
        <v>-9296.1</v>
      </c>
      <c r="K10" s="967"/>
      <c r="L10" s="951">
        <f>+'[108]Apr 13'!L10+'[108]May 13'!L10+'[108]Jun 13'!L10+'[108]Jul 13'!L10+'[108]Aug 13'!L10+'[108]Sep 13'!L10+'[108]Oct 13'!L10+'[108]Nov 13'!L10+'[108]Dec 13'!L10+'[108]Jan 14'!L10+'[108]Feb 14'!L10+'[108]Mar 14'!L10</f>
        <v>0</v>
      </c>
      <c r="M10" s="951">
        <f>+'[108]Apr 13'!M10+'[108]May 13'!M10+'[108]Jun 13'!M10+'[108]Jul 13'!M10+'[108]Aug 13'!M10+'[108]Sep 13'!M10+'[108]Oct 13'!M10+'[108]Nov 13'!M10+'[108]Dec 13'!M10+'[108]Jan 14'!M10+'[108]Feb 14'!M10+'[108]Mar 14'!M10</f>
        <v>0</v>
      </c>
      <c r="N10" s="967"/>
      <c r="O10" s="5857"/>
    </row>
    <row r="11" spans="2:15" ht="15.75" hidden="1" thickBot="1">
      <c r="B11" s="962"/>
      <c r="C11" s="963" t="s">
        <v>19</v>
      </c>
      <c r="D11" s="963"/>
      <c r="E11" s="963"/>
      <c r="F11" s="964">
        <v>5.3</v>
      </c>
      <c r="G11" s="965"/>
      <c r="H11" s="965"/>
      <c r="I11" s="966">
        <f>+'[108]Apr 13'!I11+'[108]May 13'!I11+'[108]Jun 13'!I11+'[108]Jul 13'!I11+'[108]Aug 13'!I11+'[108]Sep 13'!I11+'[108]Oct 13'!I11+'[108]Nov 13'!I11+'[108]Dec 13'!I11+'[108]Jan 14'!I11+'[108]Feb 14'!I11+'[108]Mar 14'!I11</f>
        <v>-722</v>
      </c>
      <c r="J11" s="951">
        <f>+'[108]Apr 13'!J11+'[108]May 13'!J11+'[108]Jun 13'!J11+'[108]Jul 13'!J11+'[108]Aug 13'!J11+'[108]Sep 13'!J11+'[108]Oct 13'!J11+'[108]Nov 13'!J11+'[108]Dec 13'!J11+'[108]Jan 14'!J11+'[108]Feb 14'!J11+'[108]Mar 14'!J11</f>
        <v>-3826.6</v>
      </c>
      <c r="K11" s="967"/>
      <c r="L11" s="951">
        <f>+'[108]Apr 13'!L11+'[108]May 13'!L11+'[108]Jun 13'!L11+'[108]Jul 13'!L11+'[108]Aug 13'!L11+'[108]Sep 13'!L11+'[108]Oct 13'!L11+'[108]Nov 13'!L11+'[108]Dec 13'!L11+'[108]Jan 14'!L11+'[108]Feb 14'!L11+'[108]Mar 14'!L11</f>
        <v>0</v>
      </c>
      <c r="M11" s="951">
        <f>+'[108]Apr 13'!M11+'[108]May 13'!M11+'[108]Jun 13'!M11+'[108]Jul 13'!M11+'[108]Aug 13'!M11+'[108]Sep 13'!M11+'[108]Oct 13'!M11+'[108]Nov 13'!M11+'[108]Dec 13'!M11+'[108]Jan 14'!M11+'[108]Feb 14'!M11+'[108]Mar 14'!M11</f>
        <v>0</v>
      </c>
      <c r="N11" s="967"/>
      <c r="O11" s="5857"/>
    </row>
    <row r="12" spans="2:15" ht="15.75" hidden="1" thickBot="1">
      <c r="B12" s="962"/>
      <c r="C12" s="963" t="s">
        <v>20</v>
      </c>
      <c r="D12" s="963"/>
      <c r="E12" s="963"/>
      <c r="F12" s="964">
        <v>6.8</v>
      </c>
      <c r="G12" s="965"/>
      <c r="H12" s="965"/>
      <c r="I12" s="966">
        <f>+'[108]Apr 13'!I12+'[108]May 13'!I12+'[108]Jun 13'!I12+'[108]Jul 13'!I12+'[108]Aug 13'!I12+'[108]Sep 13'!I12+'[108]Oct 13'!I12+'[108]Nov 13'!I12+'[108]Dec 13'!I12+'[108]Jan 14'!I12+'[108]Feb 14'!I12+'[108]Mar 14'!I12</f>
        <v>-5801</v>
      </c>
      <c r="J12" s="951">
        <f>+'[108]Apr 13'!J12+'[108]May 13'!J12+'[108]Jun 13'!J12+'[108]Jul 13'!J12+'[108]Aug 13'!J12+'[108]Sep 13'!J12+'[108]Oct 13'!J12+'[108]Nov 13'!J12+'[108]Dec 13'!J12+'[108]Jan 14'!J12+'[108]Feb 14'!J12+'[108]Mar 14'!J12</f>
        <v>-39446.799999999996</v>
      </c>
      <c r="K12" s="967"/>
      <c r="L12" s="951">
        <f>+'[108]Apr 13'!L12+'[108]May 13'!L12+'[108]Jun 13'!L12+'[108]Jul 13'!L12+'[108]Aug 13'!L12+'[108]Sep 13'!L12+'[108]Oct 13'!L12+'[108]Nov 13'!L12+'[108]Dec 13'!L12+'[108]Jan 14'!L12+'[108]Feb 14'!L12+'[108]Mar 14'!L12</f>
        <v>0</v>
      </c>
      <c r="M12" s="951">
        <f>+'[108]Apr 13'!M12+'[108]May 13'!M12+'[108]Jun 13'!M12+'[108]Jul 13'!M12+'[108]Aug 13'!M12+'[108]Sep 13'!M12+'[108]Oct 13'!M12+'[108]Nov 13'!M12+'[108]Dec 13'!M12+'[108]Jan 14'!M12+'[108]Feb 14'!M12+'[108]Mar 14'!M12</f>
        <v>0</v>
      </c>
      <c r="N12" s="967"/>
      <c r="O12" s="5857"/>
    </row>
    <row r="13" spans="2:15" ht="15.75" hidden="1" thickBot="1">
      <c r="B13" s="962" t="s">
        <v>16</v>
      </c>
      <c r="C13" s="963" t="s">
        <v>17</v>
      </c>
      <c r="D13" s="963"/>
      <c r="E13" s="963"/>
      <c r="F13" s="964">
        <v>2.06</v>
      </c>
      <c r="G13" s="964">
        <v>0.55000000000000004</v>
      </c>
      <c r="H13" s="965"/>
      <c r="I13" s="966">
        <f>+'[108]Apr 13'!I13+'[108]May 13'!I13+'[108]Jun 13'!I13+'[108]Jul 13'!I13+'[108]Aug 13'!I13+'[108]Sep 13'!I13+'[108]Oct 13'!I13+'[108]Nov 13'!I13+'[108]Dec 13'!I13+'[108]Jan 14'!I13+'[108]Feb 14'!I13+'[108]Mar 14'!I13</f>
        <v>333796952</v>
      </c>
      <c r="J13" s="951">
        <f>+'[108]Apr 13'!J13+'[108]May 13'!J13+'[108]Jun 13'!J13+'[108]Jul 13'!J13+'[108]Aug 13'!J13+'[108]Sep 13'!J13+'[108]Oct 13'!J13+'[108]Nov 13'!J13+'[108]Dec 13'!J13+'[108]Jan 14'!J13+'[108]Feb 14'!J13+'[108]Mar 14'!J13</f>
        <v>687621721.12</v>
      </c>
      <c r="K13" s="967"/>
      <c r="L13" s="951">
        <f>+'[108]Apr 13'!L13+'[108]May 13'!L13+'[108]Jun 13'!L13+'[108]Jul 13'!L13+'[108]Aug 13'!L13+'[108]Sep 13'!L13+'[108]Oct 13'!L13+'[108]Nov 13'!L13+'[108]Dec 13'!L13+'[108]Jan 14'!L13+'[108]Feb 14'!L13+'[108]Mar 14'!L13</f>
        <v>183588323.60000005</v>
      </c>
      <c r="M13" s="951">
        <f>+'[108]Apr 13'!M13+'[108]May 13'!M13+'[108]Jun 13'!M13+'[108]Jul 13'!M13+'[108]Aug 13'!M13+'[108]Sep 13'!M13+'[108]Oct 13'!M13+'[108]Nov 13'!M13+'[108]Dec 13'!M13+'[108]Jan 14'!M13+'[108]Feb 14'!M13+'[108]Mar 14'!M13</f>
        <v>0</v>
      </c>
      <c r="N13" s="967"/>
      <c r="O13" s="5857"/>
    </row>
    <row r="14" spans="2:15" ht="15.75" hidden="1" thickBot="1">
      <c r="B14" s="962"/>
      <c r="C14" s="963" t="s">
        <v>18</v>
      </c>
      <c r="D14" s="963"/>
      <c r="E14" s="963"/>
      <c r="F14" s="964">
        <v>3.81</v>
      </c>
      <c r="G14" s="964">
        <v>1.03</v>
      </c>
      <c r="H14" s="965"/>
      <c r="I14" s="966">
        <f>+'[108]Apr 13'!I14+'[108]May 13'!I14+'[108]Jun 13'!I14+'[108]Jul 13'!I14+'[108]Aug 13'!I14+'[108]Sep 13'!I14+'[108]Oct 13'!I14+'[108]Nov 13'!I14+'[108]Dec 13'!I14+'[108]Jan 14'!I14+'[108]Feb 14'!I14+'[108]Mar 14'!I14</f>
        <v>300665494</v>
      </c>
      <c r="J14" s="951">
        <f>+'[108]Apr 13'!J14+'[108]May 13'!J14+'[108]Jun 13'!J14+'[108]Jul 13'!J14+'[108]Aug 13'!J14+'[108]Sep 13'!J14+'[108]Oct 13'!J14+'[108]Nov 13'!J14+'[108]Dec 13'!J14+'[108]Jan 14'!J14+'[108]Feb 14'!J14+'[108]Mar 14'!J14</f>
        <v>1145535532.1399999</v>
      </c>
      <c r="K14" s="967"/>
      <c r="L14" s="951">
        <f>+'[108]Apr 13'!L14+'[108]May 13'!L14+'[108]Jun 13'!L14+'[108]Jul 13'!L14+'[108]Aug 13'!L14+'[108]Sep 13'!L14+'[108]Oct 13'!L14+'[108]Nov 13'!L14+'[108]Dec 13'!L14+'[108]Jan 14'!L14+'[108]Feb 14'!L14+'[108]Mar 14'!L14</f>
        <v>309685458.82000017</v>
      </c>
      <c r="M14" s="951">
        <f>+'[108]Apr 13'!M14+'[108]May 13'!M14+'[108]Jun 13'!M14+'[108]Jul 13'!M14+'[108]Aug 13'!M14+'[108]Sep 13'!M14+'[108]Oct 13'!M14+'[108]Nov 13'!M14+'[108]Dec 13'!M14+'[108]Jan 14'!M14+'[108]Feb 14'!M14+'[108]Mar 14'!M14</f>
        <v>0</v>
      </c>
      <c r="N14" s="967"/>
      <c r="O14" s="5857"/>
    </row>
    <row r="15" spans="2:15" ht="15.75" hidden="1" thickBot="1">
      <c r="B15" s="962"/>
      <c r="C15" s="963" t="s">
        <v>19</v>
      </c>
      <c r="D15" s="963"/>
      <c r="E15" s="963"/>
      <c r="F15" s="964">
        <v>5.36</v>
      </c>
      <c r="G15" s="964">
        <v>1.44</v>
      </c>
      <c r="H15" s="965"/>
      <c r="I15" s="966">
        <f>+'[108]Apr 13'!I15+'[108]May 13'!I15+'[108]Jun 13'!I15+'[108]Jul 13'!I15+'[108]Aug 13'!I15+'[108]Sep 13'!I15+'[108]Oct 13'!I15+'[108]Nov 13'!I15+'[108]Dec 13'!I15+'[108]Jan 14'!I15+'[108]Feb 14'!I15+'[108]Mar 14'!I15</f>
        <v>94022134</v>
      </c>
      <c r="J15" s="951">
        <f>+'[108]Apr 13'!J15+'[108]May 13'!J15+'[108]Jun 13'!J15+'[108]Jul 13'!J15+'[108]Aug 13'!J15+'[108]Sep 13'!J15+'[108]Oct 13'!J15+'[108]Nov 13'!J15+'[108]Dec 13'!J15+'[108]Jan 14'!J15+'[108]Feb 14'!J15+'[108]Mar 14'!J15</f>
        <v>503958638.23999995</v>
      </c>
      <c r="K15" s="967"/>
      <c r="L15" s="951">
        <f>+'[108]Apr 13'!L15+'[108]May 13'!L15+'[108]Jun 13'!L15+'[108]Jul 13'!L15+'[108]Aug 13'!L15+'[108]Sep 13'!L15+'[108]Oct 13'!L15+'[108]Nov 13'!L15+'[108]Dec 13'!L15+'[108]Jan 14'!L15+'[108]Feb 14'!L15+'[108]Mar 14'!L15</f>
        <v>135391872.95999998</v>
      </c>
      <c r="M15" s="951">
        <f>+'[108]Apr 13'!M15+'[108]May 13'!M15+'[108]Jun 13'!M15+'[108]Jul 13'!M15+'[108]Aug 13'!M15+'[108]Sep 13'!M15+'[108]Oct 13'!M15+'[108]Nov 13'!M15+'[108]Dec 13'!M15+'[108]Jan 14'!M15+'[108]Feb 14'!M15+'[108]Mar 14'!M15</f>
        <v>0</v>
      </c>
      <c r="N15" s="967"/>
      <c r="O15" s="5857"/>
    </row>
    <row r="16" spans="2:15" ht="15.75" hidden="1" thickBot="1">
      <c r="B16" s="962"/>
      <c r="C16" s="963" t="s">
        <v>20</v>
      </c>
      <c r="D16" s="963"/>
      <c r="E16" s="963"/>
      <c r="F16" s="964">
        <v>6.86</v>
      </c>
      <c r="G16" s="964">
        <v>1.85</v>
      </c>
      <c r="H16" s="965"/>
      <c r="I16" s="966">
        <f>+'[108]Apr 13'!I16+'[108]May 13'!I16+'[108]Jun 13'!I16+'[108]Jul 13'!I16+'[108]Aug 13'!I16+'[108]Sep 13'!I16+'[108]Oct 13'!I16+'[108]Nov 13'!I16+'[108]Dec 13'!I16+'[108]Jan 14'!I16+'[108]Feb 14'!I16+'[108]Mar 14'!I16</f>
        <v>183049868</v>
      </c>
      <c r="J16" s="951">
        <f>+'[108]Apr 13'!J16+'[108]May 13'!J16+'[108]Jun 13'!J16+'[108]Jul 13'!J16+'[108]Aug 13'!J16+'[108]Sep 13'!J16+'[108]Oct 13'!J16+'[108]Nov 13'!J16+'[108]Dec 13'!J16+'[108]Jan 14'!J16+'[108]Feb 14'!J16+'[108]Mar 14'!J16</f>
        <v>1255722094.4800003</v>
      </c>
      <c r="K16" s="967"/>
      <c r="L16" s="951">
        <f>+'[108]Apr 13'!L16+'[108]May 13'!L16+'[108]Jun 13'!L16+'[108]Jul 13'!L16+'[108]Aug 13'!L16+'[108]Sep 13'!L16+'[108]Oct 13'!L16+'[108]Nov 13'!L16+'[108]Dec 13'!L16+'[108]Jan 14'!L16+'[108]Feb 14'!L16+'[108]Mar 14'!L16</f>
        <v>338642255.80000001</v>
      </c>
      <c r="M16" s="951">
        <f>+'[108]Apr 13'!M16+'[108]May 13'!M16+'[108]Jun 13'!M16+'[108]Jul 13'!M16+'[108]Aug 13'!M16+'[108]Sep 13'!M16+'[108]Oct 13'!M16+'[108]Nov 13'!M16+'[108]Dec 13'!M16+'[108]Jan 14'!M16+'[108]Feb 14'!M16+'[108]Mar 14'!M16</f>
        <v>0</v>
      </c>
      <c r="N16" s="967"/>
      <c r="O16" s="5857"/>
    </row>
    <row r="17" spans="2:15" ht="15.75" hidden="1" thickBot="1">
      <c r="B17" s="962" t="s">
        <v>2225</v>
      </c>
      <c r="C17" s="963" t="s">
        <v>17</v>
      </c>
      <c r="D17" s="963"/>
      <c r="E17" s="963"/>
      <c r="F17" s="965">
        <v>2.4500000000000002</v>
      </c>
      <c r="G17" s="964">
        <v>0.55000000000000004</v>
      </c>
      <c r="H17" s="965">
        <v>0.38</v>
      </c>
      <c r="I17" s="966">
        <f>+'[108]Apr 13'!I17+'[108]May 13'!I17+'[108]Jun 13'!I17+'[108]Jul 13'!I17+'[108]Aug 13'!I17+'[108]Sep 13'!I17+'[108]Oct 13'!I17+'[108]Nov 13'!I17+'[108]Dec 13'!I17+'[108]Jan 14'!I17+'[108]Feb 14'!I17+'[108]Mar 14'!I17</f>
        <v>364790711</v>
      </c>
      <c r="J17" s="951">
        <f>+'[108]Apr 13'!J17+'[108]May 13'!J17+'[108]Jun 13'!J17+'[108]Jul 13'!J17+'[108]Aug 13'!J17+'[108]Sep 13'!J17+'[108]Oct 13'!J17+'[108]Nov 13'!J17+'[108]Dec 13'!J17+'[108]Jan 14'!J17+'[108]Feb 14'!J17+'[108]Mar 14'!J17</f>
        <v>893737241.95000005</v>
      </c>
      <c r="K17" s="967"/>
      <c r="L17" s="951">
        <f>+'[108]Apr 13'!L17+'[108]May 13'!L17+'[108]Jun 13'!L17+'[108]Jul 13'!L17+'[108]Aug 13'!L17+'[108]Sep 13'!L17+'[108]Oct 13'!L17+'[108]Nov 13'!L17+'[108]Dec 13'!L17+'[108]Jan 14'!L17+'[108]Feb 14'!L17+'[108]Mar 14'!L17</f>
        <v>200634891.05000001</v>
      </c>
      <c r="M17" s="951">
        <f>+'[108]Apr 13'!M17+'[108]May 13'!M17+'[108]Jun 13'!M17+'[108]Jul 13'!M17+'[108]Aug 13'!M17+'[108]Sep 13'!M17+'[108]Oct 13'!M17+'[108]Nov 13'!M17+'[108]Dec 13'!M17+'[108]Jan 14'!M17+'[108]Feb 14'!M17+'[108]Mar 14'!M17</f>
        <v>135449492.53999999</v>
      </c>
      <c r="N17" s="967"/>
      <c r="O17" s="5857"/>
    </row>
    <row r="18" spans="2:15" ht="15.75" hidden="1" thickBot="1">
      <c r="B18" s="962"/>
      <c r="C18" s="963" t="s">
        <v>18</v>
      </c>
      <c r="D18" s="963"/>
      <c r="E18" s="963"/>
      <c r="F18" s="965">
        <v>4.5</v>
      </c>
      <c r="G18" s="964">
        <v>1.03</v>
      </c>
      <c r="H18" s="965">
        <v>0.73</v>
      </c>
      <c r="I18" s="966">
        <f>+'[108]Apr 13'!I18+'[108]May 13'!I18+'[108]Jun 13'!I18+'[108]Jul 13'!I18+'[108]Aug 13'!I18+'[108]Sep 13'!I18+'[108]Oct 13'!I18+'[108]Nov 13'!I18+'[108]Dec 13'!I18+'[108]Jan 14'!I18+'[108]Feb 14'!I18+'[108]Mar 14'!I18</f>
        <v>287921685</v>
      </c>
      <c r="J18" s="951">
        <f>+'[108]Apr 13'!J18+'[108]May 13'!J18+'[108]Jun 13'!J18+'[108]Jul 13'!J18+'[108]Aug 13'!J18+'[108]Sep 13'!J18+'[108]Oct 13'!J18+'[108]Nov 13'!J18+'[108]Dec 13'!J18+'[108]Jan 14'!J18+'[108]Feb 14'!J18+'[108]Mar 14'!J18</f>
        <v>1295647582.5</v>
      </c>
      <c r="K18" s="967"/>
      <c r="L18" s="951">
        <f>+'[108]Apr 13'!L18+'[108]May 13'!L18+'[108]Jun 13'!L18+'[108]Jul 13'!L18+'[108]Aug 13'!L18+'[108]Sep 13'!L18+'[108]Oct 13'!L18+'[108]Nov 13'!L18+'[108]Dec 13'!L18+'[108]Jan 14'!L18+'[108]Feb 14'!L18+'[108]Mar 14'!L18</f>
        <v>296559335.55000007</v>
      </c>
      <c r="M18" s="951">
        <f>+'[108]Apr 13'!M18+'[108]May 13'!M18+'[108]Jun 13'!M18+'[108]Jul 13'!M18+'[108]Aug 13'!M18+'[108]Sep 13'!M18+'[108]Oct 13'!M18+'[108]Nov 13'!M18+'[108]Dec 13'!M18+'[108]Jan 14'!M18+'[108]Feb 14'!M18+'[108]Mar 14'!M18</f>
        <v>204500360.40000001</v>
      </c>
      <c r="N18" s="967"/>
      <c r="O18" s="5857"/>
    </row>
    <row r="19" spans="2:15" ht="15.75" hidden="1" thickBot="1">
      <c r="B19" s="962"/>
      <c r="C19" s="963" t="s">
        <v>19</v>
      </c>
      <c r="D19" s="963"/>
      <c r="E19" s="963"/>
      <c r="F19" s="965">
        <v>6.35</v>
      </c>
      <c r="G19" s="964">
        <v>1.44</v>
      </c>
      <c r="H19" s="965">
        <v>1.05</v>
      </c>
      <c r="I19" s="966">
        <f>+'[108]Apr 13'!I19+'[108]May 13'!I19+'[108]Jun 13'!I19+'[108]Jul 13'!I19+'[108]Aug 13'!I19+'[108]Sep 13'!I19+'[108]Oct 13'!I19+'[108]Nov 13'!I19+'[108]Dec 13'!I19+'[108]Jan 14'!I19+'[108]Feb 14'!I19+'[108]Mar 14'!I19</f>
        <v>79409313</v>
      </c>
      <c r="J19" s="951">
        <f>+'[108]Apr 13'!J19+'[108]May 13'!J19+'[108]Jun 13'!J19+'[108]Jul 13'!J19+'[108]Aug 13'!J19+'[108]Sep 13'!J19+'[108]Oct 13'!J19+'[108]Nov 13'!J19+'[108]Dec 13'!J19+'[108]Jan 14'!J19+'[108]Feb 14'!J19+'[108]Mar 14'!J19</f>
        <v>504249137.55000007</v>
      </c>
      <c r="K19" s="967"/>
      <c r="L19" s="951">
        <f>+'[108]Apr 13'!L19+'[108]May 13'!L19+'[108]Jun 13'!L19+'[108]Jul 13'!L19+'[108]Aug 13'!L19+'[108]Sep 13'!L19+'[108]Oct 13'!L19+'[108]Nov 13'!L19+'[108]Dec 13'!L19+'[108]Jan 14'!L19+'[108]Feb 14'!L19+'[108]Mar 14'!L19</f>
        <v>114349410.71999998</v>
      </c>
      <c r="M19" s="951">
        <f>+'[108]Apr 13'!M19+'[108]May 13'!M19+'[108]Jun 13'!M19+'[108]Jul 13'!M19+'[108]Aug 13'!M19+'[108]Sep 13'!M19+'[108]Oct 13'!M19+'[108]Nov 13'!M19+'[108]Dec 13'!M19+'[108]Jan 14'!M19+'[108]Feb 14'!M19+'[108]Mar 14'!M19</f>
        <v>80992912.350000009</v>
      </c>
      <c r="N19" s="967"/>
      <c r="O19" s="5857"/>
    </row>
    <row r="20" spans="2:15" ht="15.75" hidden="1" thickBot="1">
      <c r="B20" s="968"/>
      <c r="C20" s="969" t="s">
        <v>20</v>
      </c>
      <c r="D20" s="969"/>
      <c r="E20" s="969"/>
      <c r="F20" s="970">
        <v>8</v>
      </c>
      <c r="G20" s="954">
        <v>1.85</v>
      </c>
      <c r="H20" s="970">
        <v>1.34</v>
      </c>
      <c r="I20" s="955">
        <f>+'[108]Apr 13'!I20+'[108]May 13'!I20+'[108]Jun 13'!I20+'[108]Jul 13'!I20+'[108]Aug 13'!I20+'[108]Sep 13'!I20+'[108]Oct 13'!I20+'[108]Nov 13'!I20+'[108]Dec 13'!I20+'[108]Jan 14'!I20+'[108]Feb 14'!I20+'[108]Mar 14'!I20</f>
        <v>152288742</v>
      </c>
      <c r="J20" s="956">
        <f>+'[108]Apr 13'!J20+'[108]May 13'!J20+'[108]Jun 13'!J20+'[108]Jul 13'!J20+'[108]Aug 13'!J20+'[108]Sep 13'!J20+'[108]Oct 13'!J20+'[108]Nov 13'!J20+'[108]Dec 13'!J20+'[108]Jan 14'!J20+'[108]Feb 14'!J20+'[108]Mar 14'!J20</f>
        <v>1218309936</v>
      </c>
      <c r="K20" s="957"/>
      <c r="L20" s="956">
        <f>+'[108]Apr 13'!L20+'[108]May 13'!L20+'[108]Jun 13'!L20+'[108]Jul 13'!L20+'[108]Aug 13'!L20+'[108]Sep 13'!L20+'[108]Oct 13'!L20+'[108]Nov 13'!L20+'[108]Dec 13'!L20+'[108]Jan 14'!L20+'[108]Feb 14'!L20+'[108]Mar 14'!L20</f>
        <v>281734172.69999999</v>
      </c>
      <c r="M20" s="956">
        <f>+'[108]Apr 13'!M20+'[108]May 13'!M20+'[108]Jun 13'!M20+'[108]Jul 13'!M20+'[108]Aug 13'!M20+'[108]Sep 13'!M20+'[108]Oct 13'!M20+'[108]Nov 13'!M20+'[108]Dec 13'!M20+'[108]Jan 14'!M20+'[108]Feb 14'!M20+'[108]Mar 14'!M20</f>
        <v>199442116</v>
      </c>
      <c r="N20" s="967"/>
      <c r="O20" s="6143"/>
    </row>
    <row r="21" spans="2:15">
      <c r="B21" s="958" t="s">
        <v>1917</v>
      </c>
      <c r="C21" s="959" t="s">
        <v>17</v>
      </c>
      <c r="D21" s="959">
        <v>296330</v>
      </c>
      <c r="E21" s="959">
        <v>14544</v>
      </c>
      <c r="F21" s="960"/>
      <c r="G21" s="960"/>
      <c r="H21" s="960"/>
      <c r="I21" s="942">
        <f t="shared" ref="I21:J24" si="0">+I9+I13+I17</f>
        <v>698579592</v>
      </c>
      <c r="J21" s="943">
        <f t="shared" si="0"/>
        <v>1581346453.02</v>
      </c>
      <c r="K21" s="971"/>
      <c r="L21" s="943">
        <f t="shared" ref="L21:M24" si="1">+L9+L13+L17</f>
        <v>384223214.6500001</v>
      </c>
      <c r="M21" s="943">
        <f t="shared" si="1"/>
        <v>135449492.53999999</v>
      </c>
      <c r="N21" s="6144">
        <f>SUM(J21:M24)</f>
        <v>10733379497.969999</v>
      </c>
      <c r="O21" s="6142">
        <f>+N21/SUM(I21:I24)</f>
        <v>5.9765105048439455</v>
      </c>
    </row>
    <row r="22" spans="2:15">
      <c r="B22" s="962"/>
      <c r="C22" s="963" t="s">
        <v>18</v>
      </c>
      <c r="D22" s="963">
        <v>318108</v>
      </c>
      <c r="E22" s="963">
        <v>27409</v>
      </c>
      <c r="F22" s="965"/>
      <c r="G22" s="965"/>
      <c r="H22" s="965"/>
      <c r="I22" s="966">
        <f t="shared" si="0"/>
        <v>588584362</v>
      </c>
      <c r="J22" s="951">
        <f t="shared" si="0"/>
        <v>2441173818.54</v>
      </c>
      <c r="K22" s="936"/>
      <c r="L22" s="951">
        <f t="shared" si="1"/>
        <v>606244794.37000024</v>
      </c>
      <c r="M22" s="951">
        <f t="shared" si="1"/>
        <v>204500360.40000001</v>
      </c>
      <c r="N22" s="6145"/>
      <c r="O22" s="5857"/>
    </row>
    <row r="23" spans="2:15">
      <c r="B23" s="962"/>
      <c r="C23" s="963" t="s">
        <v>19</v>
      </c>
      <c r="D23" s="963">
        <v>33124</v>
      </c>
      <c r="E23" s="963">
        <v>19106</v>
      </c>
      <c r="F23" s="965"/>
      <c r="G23" s="965"/>
      <c r="H23" s="965"/>
      <c r="I23" s="966">
        <f t="shared" si="0"/>
        <v>173430725</v>
      </c>
      <c r="J23" s="951">
        <f t="shared" si="0"/>
        <v>1008203949.1900001</v>
      </c>
      <c r="K23" s="936"/>
      <c r="L23" s="951">
        <f t="shared" si="1"/>
        <v>249741283.67999995</v>
      </c>
      <c r="M23" s="951">
        <f t="shared" si="1"/>
        <v>80992912.350000009</v>
      </c>
      <c r="N23" s="6145"/>
      <c r="O23" s="5857"/>
    </row>
    <row r="24" spans="2:15" ht="15.75" thickBot="1">
      <c r="B24" s="972"/>
      <c r="C24" s="973" t="s">
        <v>20</v>
      </c>
      <c r="D24" s="973">
        <v>7554</v>
      </c>
      <c r="E24" s="973">
        <v>23112</v>
      </c>
      <c r="F24" s="974"/>
      <c r="G24" s="974"/>
      <c r="H24" s="974"/>
      <c r="I24" s="949">
        <f t="shared" si="0"/>
        <v>335332809</v>
      </c>
      <c r="J24" s="950">
        <f t="shared" si="0"/>
        <v>2473992583.6800003</v>
      </c>
      <c r="K24" s="936">
        <f>+'[108]Apr 13'!K24+'[108]May 13'!K24+'[108]Jun 13'!K24+'[108]Jul 13'!K24+'[108]Aug 13'!K24+'[108]Sep 13'!K24+'[108]Oct 13'!K24+'[108]Nov 13'!K24+'[108]Dec 13'!K24+'[108]Jan 14'!K24+'[108]Feb 14'!K24+'[108]Mar 14'!K24</f>
        <v>747692091.04999995</v>
      </c>
      <c r="L24" s="950">
        <f t="shared" si="1"/>
        <v>620376428.5</v>
      </c>
      <c r="M24" s="950">
        <f t="shared" si="1"/>
        <v>199442116</v>
      </c>
      <c r="N24" s="6139"/>
      <c r="O24" s="5857"/>
    </row>
    <row r="25" spans="2:15" ht="15.75" hidden="1" thickBot="1">
      <c r="B25" s="958" t="s">
        <v>21</v>
      </c>
      <c r="C25" s="959" t="s">
        <v>22</v>
      </c>
      <c r="D25" s="959"/>
      <c r="E25" s="959"/>
      <c r="F25" s="960">
        <v>4</v>
      </c>
      <c r="G25" s="960"/>
      <c r="H25" s="960"/>
      <c r="I25" s="942">
        <f>+'[108]Apr 13'!I25+'[108]May 13'!I25+'[108]Jun 13'!I25+'[108]Jul 13'!I25+'[108]Aug 13'!I25+'[108]Sep 13'!I25+'[108]Oct 13'!I25+'[108]Nov 13'!I25+'[108]Dec 13'!I25+'[108]Jan 14'!I25+'[108]Feb 14'!I25+'[108]Mar 14'!I25</f>
        <v>-3540</v>
      </c>
      <c r="J25" s="943">
        <f>+'[108]Apr 13'!J25+'[108]May 13'!J25+'[108]Jun 13'!J25+'[108]Jul 13'!J25+'[108]Aug 13'!J25+'[108]Sep 13'!J25+'[108]Oct 13'!J25+'[108]Nov 13'!J25+'[108]Dec 13'!J25+'[108]Jan 14'!J25+'[108]Feb 14'!J25+'[108]Mar 14'!J25</f>
        <v>-14160</v>
      </c>
      <c r="K25" s="944"/>
      <c r="L25" s="943">
        <f>+'[108]Apr 13'!L25+'[108]May 13'!L25+'[108]Jun 13'!L25+'[108]Jul 13'!L25+'[108]Aug 13'!L25+'[108]Sep 13'!L25+'[108]Oct 13'!L25+'[108]Nov 13'!L25+'[108]Dec 13'!L25+'[108]Jan 14'!L25+'[108]Feb 14'!L25+'[108]Mar 14'!L25</f>
        <v>0</v>
      </c>
      <c r="M25" s="943">
        <f>+'[108]Apr 13'!M25+'[108]May 13'!M25+'[108]Jun 13'!M25+'[108]Jul 13'!M25+'[108]Aug 13'!M25+'[108]Sep 13'!M25+'[108]Oct 13'!M25+'[108]Nov 13'!M25+'[108]Dec 13'!M25+'[108]Jan 14'!M25+'[108]Feb 14'!M25+'[108]Mar 14'!M25</f>
        <v>0</v>
      </c>
      <c r="N25" s="936"/>
      <c r="O25" s="971"/>
    </row>
    <row r="26" spans="2:15" ht="15.75" hidden="1" thickBot="1">
      <c r="B26" s="962"/>
      <c r="C26" s="963" t="s">
        <v>19</v>
      </c>
      <c r="D26" s="963"/>
      <c r="E26" s="963"/>
      <c r="F26" s="965">
        <v>6</v>
      </c>
      <c r="G26" s="965"/>
      <c r="H26" s="965"/>
      <c r="I26" s="966">
        <f>+'[108]Apr 13'!I26+'[108]May 13'!I26+'[108]Jun 13'!I26+'[108]Jul 13'!I26+'[108]Aug 13'!I26+'[108]Sep 13'!I26+'[108]Oct 13'!I26+'[108]Nov 13'!I26+'[108]Dec 13'!I26+'[108]Jan 14'!I26+'[108]Feb 14'!I26+'[108]Mar 14'!I26</f>
        <v>-739</v>
      </c>
      <c r="J26" s="951">
        <f>+'[108]Apr 13'!J26+'[108]May 13'!J26+'[108]Jun 13'!J26+'[108]Jul 13'!J26+'[108]Aug 13'!J26+'[108]Sep 13'!J26+'[108]Oct 13'!J26+'[108]Nov 13'!J26+'[108]Dec 13'!J26+'[108]Jan 14'!J26+'[108]Feb 14'!J26+'[108]Mar 14'!J26</f>
        <v>-4434</v>
      </c>
      <c r="K26" s="967"/>
      <c r="L26" s="951">
        <f>+'[108]Apr 13'!L26+'[108]May 13'!L26+'[108]Jun 13'!L26+'[108]Jul 13'!L26+'[108]Aug 13'!L26+'[108]Sep 13'!L26+'[108]Oct 13'!L26+'[108]Nov 13'!L26+'[108]Dec 13'!L26+'[108]Jan 14'!L26+'[108]Feb 14'!L26+'[108]Mar 14'!L26</f>
        <v>0</v>
      </c>
      <c r="M26" s="951">
        <f>+'[108]Apr 13'!M26+'[108]May 13'!M26+'[108]Jun 13'!M26+'[108]Jul 13'!M26+'[108]Aug 13'!M26+'[108]Sep 13'!M26+'[108]Oct 13'!M26+'[108]Nov 13'!M26+'[108]Dec 13'!M26+'[108]Jan 14'!M26+'[108]Feb 14'!M26+'[108]Mar 14'!M26</f>
        <v>0</v>
      </c>
      <c r="N26" s="936"/>
      <c r="O26" s="936"/>
    </row>
    <row r="27" spans="2:15" ht="15.75" hidden="1" thickBot="1">
      <c r="B27" s="962"/>
      <c r="C27" s="963" t="s">
        <v>23</v>
      </c>
      <c r="D27" s="963"/>
      <c r="E27" s="963"/>
      <c r="F27" s="965">
        <v>6.9</v>
      </c>
      <c r="G27" s="965"/>
      <c r="H27" s="965"/>
      <c r="I27" s="966">
        <f>+'[108]Apr 13'!I27+'[108]May 13'!I27+'[108]Jun 13'!I27+'[108]Jul 13'!I27+'[108]Aug 13'!I27+'[108]Sep 13'!I27+'[108]Oct 13'!I27+'[108]Nov 13'!I27+'[108]Dec 13'!I27+'[108]Jan 14'!I27+'[108]Feb 14'!I27+'[108]Mar 14'!I27</f>
        <v>-1545</v>
      </c>
      <c r="J27" s="951">
        <f>+'[108]Apr 13'!J27+'[108]May 13'!J27+'[108]Jun 13'!J27+'[108]Jul 13'!J27+'[108]Aug 13'!J27+'[108]Sep 13'!J27+'[108]Oct 13'!J27+'[108]Nov 13'!J27+'[108]Dec 13'!J27+'[108]Jan 14'!J27+'[108]Feb 14'!J27+'[108]Mar 14'!J27</f>
        <v>-10660.5</v>
      </c>
      <c r="K27" s="967"/>
      <c r="L27" s="951">
        <f>+'[108]Apr 13'!L27+'[108]May 13'!L27+'[108]Jun 13'!L27+'[108]Jul 13'!L27+'[108]Aug 13'!L27+'[108]Sep 13'!L27+'[108]Oct 13'!L27+'[108]Nov 13'!L27+'[108]Dec 13'!L27+'[108]Jan 14'!L27+'[108]Feb 14'!L27+'[108]Mar 14'!L27</f>
        <v>0</v>
      </c>
      <c r="M27" s="951">
        <f>+'[108]Apr 13'!M27+'[108]May 13'!M27+'[108]Jun 13'!M27+'[108]Jul 13'!M27+'[108]Aug 13'!M27+'[108]Sep 13'!M27+'[108]Oct 13'!M27+'[108]Nov 13'!M27+'[108]Dec 13'!M27+'[108]Jan 14'!M27+'[108]Feb 14'!M27+'[108]Mar 14'!M27</f>
        <v>0</v>
      </c>
      <c r="N27" s="936"/>
      <c r="O27" s="936"/>
    </row>
    <row r="28" spans="2:15" ht="15.75" hidden="1" thickBot="1">
      <c r="B28" s="962"/>
      <c r="C28" s="963" t="s">
        <v>24</v>
      </c>
      <c r="D28" s="963"/>
      <c r="E28" s="963"/>
      <c r="F28" s="965">
        <v>7.6</v>
      </c>
      <c r="G28" s="965"/>
      <c r="H28" s="965"/>
      <c r="I28" s="966">
        <f>+'[108]Apr 13'!I28+'[108]May 13'!I28+'[108]Jun 13'!I28+'[108]Jul 13'!I28+'[108]Aug 13'!I28+'[108]Sep 13'!I28+'[108]Oct 13'!I28+'[108]Nov 13'!I28+'[108]Dec 13'!I28+'[108]Jan 14'!I28+'[108]Feb 14'!I28+'[108]Mar 14'!I28</f>
        <v>4199</v>
      </c>
      <c r="J28" s="951">
        <f>+'[108]Apr 13'!J28+'[108]May 13'!J28+'[108]Jun 13'!J28+'[108]Jul 13'!J28+'[108]Aug 13'!J28+'[108]Sep 13'!J28+'[108]Oct 13'!J28+'[108]Nov 13'!J28+'[108]Dec 13'!J28+'[108]Jan 14'!J28+'[108]Feb 14'!J28+'[108]Mar 14'!J28</f>
        <v>31912.400000000005</v>
      </c>
      <c r="K28" s="967"/>
      <c r="L28" s="951">
        <f>+'[108]Apr 13'!L28+'[108]May 13'!L28+'[108]Jun 13'!L28+'[108]Jul 13'!L28+'[108]Aug 13'!L28+'[108]Sep 13'!L28+'[108]Oct 13'!L28+'[108]Nov 13'!L28+'[108]Dec 13'!L28+'[108]Jan 14'!L28+'[108]Feb 14'!L28+'[108]Mar 14'!L28</f>
        <v>0</v>
      </c>
      <c r="M28" s="951">
        <f>+'[108]Apr 13'!M28+'[108]May 13'!M28+'[108]Jun 13'!M28+'[108]Jul 13'!M28+'[108]Aug 13'!M28+'[108]Sep 13'!M28+'[108]Oct 13'!M28+'[108]Nov 13'!M28+'[108]Dec 13'!M28+'[108]Jan 14'!M28+'[108]Feb 14'!M28+'[108]Mar 14'!M28</f>
        <v>0</v>
      </c>
      <c r="N28" s="936"/>
      <c r="O28" s="936"/>
    </row>
    <row r="29" spans="2:15" ht="15.75" hidden="1" thickBot="1">
      <c r="B29" s="962"/>
      <c r="C29" s="963" t="s">
        <v>25</v>
      </c>
      <c r="D29" s="963"/>
      <c r="E29" s="963"/>
      <c r="F29" s="965">
        <v>5.5</v>
      </c>
      <c r="G29" s="965">
        <v>1.48</v>
      </c>
      <c r="H29" s="965"/>
      <c r="I29" s="966">
        <f>+'[108]Apr 13'!I29+'[108]May 13'!I29+'[108]Jun 13'!I29+'[108]Jul 13'!I29+'[108]Aug 13'!I29+'[108]Sep 13'!I29+'[108]Oct 13'!I29+'[108]Nov 13'!I29+'[108]Dec 13'!I29+'[108]Jan 14'!I29+'[108]Feb 14'!I29+'[108]Mar 14'!I29</f>
        <v>264655338</v>
      </c>
      <c r="J29" s="951">
        <f>+'[108]Apr 13'!J29+'[108]May 13'!J29+'[108]Jun 13'!J29+'[108]Jul 13'!J29+'[108]Aug 13'!J29+'[108]Sep 13'!J29+'[108]Oct 13'!J29+'[108]Nov 13'!J29+'[108]Dec 13'!J29+'[108]Jan 14'!J29+'[108]Feb 14'!J29+'[108]Mar 14'!J29</f>
        <v>1455604359</v>
      </c>
      <c r="K29" s="967"/>
      <c r="L29" s="951">
        <f>+'[108]Apr 13'!L29+'[108]May 13'!L29+'[108]Jun 13'!L29+'[108]Jul 13'!L29+'[108]Aug 13'!L29+'[108]Sep 13'!L29+'[108]Oct 13'!L29+'[108]Nov 13'!L29+'[108]Dec 13'!L29+'[108]Jan 14'!L29+'[108]Feb 14'!L29+'[108]Mar 14'!L29</f>
        <v>391689900.24000001</v>
      </c>
      <c r="M29" s="951">
        <f>+'[108]Apr 13'!M29+'[108]May 13'!M29+'[108]Jun 13'!M29+'[108]Jul 13'!M29+'[108]Aug 13'!M29+'[108]Sep 13'!M29+'[108]Oct 13'!M29+'[108]Nov 13'!M29+'[108]Dec 13'!M29+'[108]Jan 14'!M29+'[108]Feb 14'!M29+'[108]Mar 14'!M29</f>
        <v>0</v>
      </c>
      <c r="N29" s="936"/>
      <c r="O29" s="936"/>
    </row>
    <row r="30" spans="2:15" ht="15.75" hidden="1" thickBot="1">
      <c r="B30" s="962"/>
      <c r="C30" s="963" t="s">
        <v>26</v>
      </c>
      <c r="D30" s="963"/>
      <c r="E30" s="963"/>
      <c r="F30" s="965">
        <v>8.16</v>
      </c>
      <c r="G30" s="965">
        <v>2.2000000000000002</v>
      </c>
      <c r="H30" s="965"/>
      <c r="I30" s="966">
        <f>+'[108]Apr 13'!I30+'[108]May 13'!I30+'[108]Jun 13'!I30+'[108]Jul 13'!I30+'[108]Aug 13'!I30+'[108]Sep 13'!I30+'[108]Oct 13'!I30+'[108]Nov 13'!I30+'[108]Dec 13'!I30+'[108]Jan 14'!I30+'[108]Feb 14'!I30+'[108]Mar 14'!I30</f>
        <v>182450815</v>
      </c>
      <c r="J30" s="951">
        <f>+'[108]Apr 13'!J30+'[108]May 13'!J30+'[108]Jun 13'!J30+'[108]Jul 13'!J30+'[108]Aug 13'!J30+'[108]Sep 13'!J30+'[108]Oct 13'!J30+'[108]Nov 13'!J30+'[108]Dec 13'!J30+'[108]Jan 14'!J30+'[108]Feb 14'!J30+'[108]Mar 14'!J30</f>
        <v>1488798650.3999996</v>
      </c>
      <c r="K30" s="967"/>
      <c r="L30" s="951">
        <f>+'[108]Apr 13'!L30+'[108]May 13'!L30+'[108]Jun 13'!L30+'[108]Jul 13'!L30+'[108]Aug 13'!L30+'[108]Sep 13'!L30+'[108]Oct 13'!L30+'[108]Nov 13'!L30+'[108]Dec 13'!L30+'[108]Jan 14'!L30+'[108]Feb 14'!L30+'[108]Mar 14'!L30</f>
        <v>401391793.00000006</v>
      </c>
      <c r="M30" s="951">
        <f>+'[108]Apr 13'!M30+'[108]May 13'!M30+'[108]Jun 13'!M30+'[108]Jul 13'!M30+'[108]Aug 13'!M30+'[108]Sep 13'!M30+'[108]Oct 13'!M30+'[108]Nov 13'!M30+'[108]Dec 13'!M30+'[108]Jan 14'!M30+'[108]Feb 14'!M30+'[108]Mar 14'!M30</f>
        <v>0</v>
      </c>
      <c r="N30" s="936"/>
      <c r="O30" s="936"/>
    </row>
    <row r="31" spans="2:15" ht="15.75" hidden="1" thickBot="1">
      <c r="B31" s="962"/>
      <c r="C31" s="963" t="s">
        <v>25</v>
      </c>
      <c r="D31" s="963"/>
      <c r="E31" s="963"/>
      <c r="F31" s="965">
        <v>6.55</v>
      </c>
      <c r="G31" s="965">
        <v>1.48</v>
      </c>
      <c r="H31" s="965">
        <v>1.1000000000000001</v>
      </c>
      <c r="I31" s="966">
        <f>+'[108]Apr 13'!I31+'[108]May 13'!I31+'[108]Jun 13'!I31+'[108]Jul 13'!I31+'[108]Aug 13'!I31+'[108]Sep 13'!I31+'[108]Oct 13'!I31+'[108]Nov 13'!I31+'[108]Dec 13'!I31+'[108]Jan 14'!I31+'[108]Feb 14'!I31+'[108]Mar 14'!I31</f>
        <v>275284277</v>
      </c>
      <c r="J31" s="951">
        <f>+'[108]Apr 13'!J31+'[108]May 13'!J31+'[108]Jun 13'!J31+'[108]Jul 13'!J31+'[108]Aug 13'!J31+'[108]Sep 13'!J31+'[108]Oct 13'!J31+'[108]Nov 13'!J31+'[108]Dec 13'!J31+'[108]Jan 14'!J31+'[108]Feb 14'!J31+'[108]Mar 14'!J31</f>
        <v>1803112014.3499999</v>
      </c>
      <c r="K31" s="967"/>
      <c r="L31" s="951">
        <f>+'[108]Apr 13'!L31+'[108]May 13'!L31+'[108]Jun 13'!L31+'[108]Jul 13'!L31+'[108]Aug 13'!L31+'[108]Sep 13'!L31+'[108]Oct 13'!L31+'[108]Nov 13'!L31+'[108]Dec 13'!L31+'[108]Jan 14'!L31+'[108]Feb 14'!L31+'[108]Mar 14'!L31</f>
        <v>407420729.95999998</v>
      </c>
      <c r="M31" s="951">
        <f>+'[108]Apr 13'!M31+'[108]May 13'!M31+'[108]Jun 13'!M31+'[108]Jul 13'!M31+'[108]Aug 13'!M31+'[108]Sep 13'!M31+'[108]Oct 13'!M31+'[108]Nov 13'!M31+'[108]Dec 13'!M31+'[108]Jan 14'!M31+'[108]Feb 14'!M31+'[108]Mar 14'!M31</f>
        <v>295649162.60000002</v>
      </c>
      <c r="N31" s="936"/>
      <c r="O31" s="936"/>
    </row>
    <row r="32" spans="2:15" ht="15.75" hidden="1" thickBot="1">
      <c r="B32" s="972"/>
      <c r="C32" s="973" t="s">
        <v>26</v>
      </c>
      <c r="D32" s="973"/>
      <c r="E32" s="973"/>
      <c r="F32" s="974">
        <v>9.0500000000000007</v>
      </c>
      <c r="G32" s="974">
        <v>2.2000000000000002</v>
      </c>
      <c r="H32" s="974">
        <v>2.5</v>
      </c>
      <c r="I32" s="949">
        <f>+'[108]Apr 13'!I32+'[108]May 13'!I32+'[108]Jun 13'!I32+'[108]Jul 13'!I32+'[108]Aug 13'!I32+'[108]Sep 13'!I32+'[108]Oct 13'!I32+'[108]Nov 13'!I32+'[108]Dec 13'!I32+'[108]Jan 14'!I32+'[108]Feb 14'!I32+'[108]Mar 14'!I32</f>
        <v>170894631</v>
      </c>
      <c r="J32" s="950">
        <f>+'[108]Apr 13'!J32+'[108]May 13'!J32+'[108]Jun 13'!J32+'[108]Jul 13'!J32+'[108]Aug 13'!J32+'[108]Sep 13'!J32+'[108]Oct 13'!J32+'[108]Nov 13'!J32+'[108]Dec 13'!J32+'[108]Jan 14'!J32+'[108]Feb 14'!J32+'[108]Mar 14'!J32</f>
        <v>1546596410.55</v>
      </c>
      <c r="K32" s="930"/>
      <c r="L32" s="950">
        <f>+'[108]Apr 13'!L32+'[108]May 13'!L32+'[108]Jun 13'!L32+'[108]Jul 13'!L32+'[108]Aug 13'!L32+'[108]Sep 13'!L32+'[108]Oct 13'!L32+'[108]Nov 13'!L32+'[108]Dec 13'!L32+'[108]Jan 14'!L32+'[108]Feb 14'!L32+'[108]Mar 14'!L32</f>
        <v>375968188.19999999</v>
      </c>
      <c r="M32" s="950">
        <f>+'[108]Apr 13'!M32+'[108]May 13'!M32+'[108]Jun 13'!M32+'[108]Jul 13'!M32+'[108]Aug 13'!M32+'[108]Sep 13'!M32+'[108]Oct 13'!M32+'[108]Nov 13'!M32+'[108]Dec 13'!M32+'[108]Jan 14'!M32+'[108]Feb 14'!M32+'[108]Mar 14'!M32</f>
        <v>417365072.5</v>
      </c>
      <c r="N32" s="936"/>
      <c r="O32" s="936"/>
    </row>
    <row r="33" spans="2:15">
      <c r="B33" s="958" t="s">
        <v>21</v>
      </c>
      <c r="C33" s="959" t="s">
        <v>25</v>
      </c>
      <c r="D33" s="959">
        <v>201270</v>
      </c>
      <c r="E33" s="959">
        <v>23177</v>
      </c>
      <c r="F33" s="960"/>
      <c r="G33" s="960"/>
      <c r="H33" s="960"/>
      <c r="I33" s="942">
        <f>+I25+I26+I29+I31</f>
        <v>539935336</v>
      </c>
      <c r="J33" s="943">
        <f>+J25+J26+J29+J31</f>
        <v>3258697779.3499999</v>
      </c>
      <c r="K33" s="944"/>
      <c r="L33" s="943">
        <f>+L25+L26+L29+L31</f>
        <v>799110630.20000005</v>
      </c>
      <c r="M33" s="943">
        <f>+M25+M26+M29+M31</f>
        <v>295649162.60000002</v>
      </c>
      <c r="N33" s="6136">
        <f>SUM(J33:M34)</f>
        <v>9345483282.0599995</v>
      </c>
      <c r="O33" s="6138">
        <f>+N33/SUM(I33:I34)</f>
        <v>10.461946237252294</v>
      </c>
    </row>
    <row r="34" spans="2:15" ht="15.75" thickBot="1">
      <c r="B34" s="968"/>
      <c r="C34" s="969" t="s">
        <v>26</v>
      </c>
      <c r="D34" s="969">
        <v>12087</v>
      </c>
      <c r="E34" s="969">
        <v>20383</v>
      </c>
      <c r="F34" s="970"/>
      <c r="G34" s="970"/>
      <c r="H34" s="970"/>
      <c r="I34" s="955">
        <f>+I28+I27+I30+I32</f>
        <v>353348100</v>
      </c>
      <c r="J34" s="956">
        <f>+J28+J27+J30+J32</f>
        <v>3035416312.8499994</v>
      </c>
      <c r="K34" s="957">
        <f>+'[108]Apr 13'!K34+'[108]May 13'!K34+'[108]Jun 13'!K34+'[108]Jul 13'!K34+'[108]Aug 13'!K34+'[108]Sep 13'!K34+'[108]Oct 13'!K34+'[108]Nov 13'!K34+'[108]Dec 13'!K34+'[108]Jan 14'!K34+'[108]Feb 14'!K34+'[108]Mar 14'!K34</f>
        <v>761884343.36000001</v>
      </c>
      <c r="L34" s="956">
        <f>+L28+L27+L30+L32</f>
        <v>777359981.20000005</v>
      </c>
      <c r="M34" s="956">
        <f>+M28+M27+M30+M32</f>
        <v>417365072.5</v>
      </c>
      <c r="N34" s="6137"/>
      <c r="O34" s="6139"/>
    </row>
    <row r="35" spans="2:15" ht="15.75" hidden="1" thickBot="1">
      <c r="B35" s="975" t="s">
        <v>27</v>
      </c>
      <c r="C35" s="976" t="s">
        <v>28</v>
      </c>
      <c r="D35" s="976"/>
      <c r="E35" s="976"/>
      <c r="F35" s="960">
        <v>7.3</v>
      </c>
      <c r="G35" s="960"/>
      <c r="H35" s="960"/>
      <c r="I35" s="942">
        <f>+'[108]Apr 13'!I35+'[108]May 13'!I35+'[108]Jun 13'!I35+'[108]Jul 13'!I35+'[108]Aug 13'!I35+'[108]Sep 13'!I35+'[108]Oct 13'!I35+'[108]Nov 13'!I35+'[108]Dec 13'!I35+'[108]Jan 14'!I35+'[108]Feb 14'!I35+'[108]Mar 14'!I35</f>
        <v>-2111</v>
      </c>
      <c r="J35" s="943">
        <f>+'[108]Apr 13'!J35+'[108]May 13'!J35+'[108]Jun 13'!J35+'[108]Jul 13'!J35+'[108]Aug 13'!J35+'[108]Sep 13'!J35+'[108]Oct 13'!J35+'[108]Nov 13'!J35+'[108]Dec 13'!J35+'[108]Jan 14'!J35+'[108]Feb 14'!J35+'[108]Mar 14'!J35</f>
        <v>-15410.3</v>
      </c>
      <c r="K35" s="944"/>
      <c r="L35" s="943">
        <f>+'[108]Apr 13'!L35+'[108]May 13'!L35+'[108]Jun 13'!L35+'[108]Jul 13'!L35+'[108]Aug 13'!L35+'[108]Sep 13'!L35+'[108]Oct 13'!L35+'[108]Nov 13'!L35+'[108]Dec 13'!L35+'[108]Jan 14'!L35+'[108]Feb 14'!L35+'[108]Mar 14'!L35</f>
        <v>0</v>
      </c>
      <c r="M35" s="943">
        <f>+'[108]Apr 13'!M35+'[108]May 13'!M35+'[108]Jun 13'!M35+'[108]Jul 13'!M35+'[108]Aug 13'!M35+'[108]Sep 13'!M35+'[108]Oct 13'!M35+'[108]Nov 13'!M35+'[108]Dec 13'!M35+'[108]Jan 14'!M35+'[108]Feb 14'!M35+'[108]Mar 14'!M35</f>
        <v>0</v>
      </c>
      <c r="N35" s="943"/>
      <c r="O35" s="944"/>
    </row>
    <row r="36" spans="2:15" ht="15.75" hidden="1" thickBot="1">
      <c r="B36" s="977"/>
      <c r="C36" s="978"/>
      <c r="D36" s="978"/>
      <c r="E36" s="978"/>
      <c r="F36" s="965">
        <v>8</v>
      </c>
      <c r="G36" s="965">
        <v>2.15</v>
      </c>
      <c r="H36" s="965"/>
      <c r="I36" s="966">
        <f>+'[108]Apr 13'!I36+'[108]May 13'!I36+'[108]Jun 13'!I36+'[108]Jul 13'!I36+'[108]Aug 13'!I36+'[108]Sep 13'!I36+'[108]Oct 13'!I36+'[108]Nov 13'!I36+'[108]Dec 13'!I36+'[108]Jan 14'!I36+'[108]Feb 14'!I36+'[108]Mar 14'!I36</f>
        <v>127682144</v>
      </c>
      <c r="J36" s="951">
        <f>+'[108]Apr 13'!J36+'[108]May 13'!J36+'[108]Jun 13'!J36+'[108]Jul 13'!J36+'[108]Aug 13'!J36+'[108]Sep 13'!J36+'[108]Oct 13'!J36+'[108]Nov 13'!J36+'[108]Dec 13'!J36+'[108]Jan 14'!J36+'[108]Feb 14'!J36+'[108]Mar 14'!J36</f>
        <v>1021457152</v>
      </c>
      <c r="K36" s="967"/>
      <c r="L36" s="951">
        <f>+'[108]Apr 13'!L36+'[108]May 13'!L36+'[108]Jun 13'!L36+'[108]Jul 13'!L36+'[108]Aug 13'!L36+'[108]Sep 13'!L36+'[108]Oct 13'!L36+'[108]Nov 13'!L36+'[108]Dec 13'!L36+'[108]Jan 14'!L36+'[108]Feb 14'!L36+'[108]Mar 14'!L36</f>
        <v>274516609.59999996</v>
      </c>
      <c r="M36" s="951">
        <f>+'[108]Apr 13'!M36+'[108]May 13'!M36+'[108]Jun 13'!M36+'[108]Jul 13'!M36+'[108]Aug 13'!M36+'[108]Sep 13'!M36+'[108]Oct 13'!M36+'[108]Nov 13'!M36+'[108]Dec 13'!M36+'[108]Jan 14'!M36+'[108]Feb 14'!M36+'[108]Mar 14'!M36</f>
        <v>0</v>
      </c>
      <c r="N36" s="951"/>
      <c r="O36" s="967"/>
    </row>
    <row r="37" spans="2:15" ht="15.75" hidden="1" thickBot="1">
      <c r="B37" s="979"/>
      <c r="C37" s="980"/>
      <c r="D37" s="980"/>
      <c r="E37" s="980"/>
      <c r="F37" s="970">
        <v>8.4499999999999993</v>
      </c>
      <c r="G37" s="970">
        <v>2.15</v>
      </c>
      <c r="H37" s="970">
        <v>1.58</v>
      </c>
      <c r="I37" s="955">
        <f>+'[108]Apr 13'!I37+'[108]May 13'!I37+'[108]Jun 13'!I37+'[108]Jul 13'!I37+'[108]Aug 13'!I37+'[108]Sep 13'!I37+'[108]Oct 13'!I37+'[108]Nov 13'!I37+'[108]Dec 13'!I37+'[108]Jan 14'!I37+'[108]Feb 14'!I37+'[108]Mar 14'!I37</f>
        <v>113272602</v>
      </c>
      <c r="J37" s="956">
        <f>+'[108]Apr 13'!J37+'[108]May 13'!J37+'[108]Jun 13'!J37+'[108]Jul 13'!J37+'[108]Aug 13'!J37+'[108]Sep 13'!J37+'[108]Oct 13'!J37+'[108]Nov 13'!J37+'[108]Dec 13'!J37+'[108]Jan 14'!J37+'[108]Feb 14'!J37+'[108]Mar 14'!J37</f>
        <v>957153486.89999998</v>
      </c>
      <c r="K37" s="957"/>
      <c r="L37" s="956">
        <f>+'[108]Apr 13'!L37+'[108]May 13'!L37+'[108]Jun 13'!L37+'[108]Jul 13'!L37+'[108]Aug 13'!L37+'[108]Sep 13'!L37+'[108]Oct 13'!L37+'[108]Nov 13'!L37+'[108]Dec 13'!L37+'[108]Jan 14'!L37+'[108]Feb 14'!L37+'[108]Mar 14'!L37</f>
        <v>243536094.30000001</v>
      </c>
      <c r="M37" s="956">
        <f>+'[108]Apr 13'!M37+'[108]May 13'!M37+'[108]Jun 13'!M37+'[108]Jul 13'!M37+'[108]Aug 13'!M37+'[108]Sep 13'!M37+'[108]Oct 13'!M37+'[108]Nov 13'!M37+'[108]Dec 13'!M37+'[108]Jan 14'!M37+'[108]Feb 14'!M37+'[108]Mar 14'!M37</f>
        <v>178886958.52000001</v>
      </c>
      <c r="N37" s="956"/>
      <c r="O37" s="957"/>
    </row>
    <row r="38" spans="2:15" ht="15.75" thickBot="1">
      <c r="B38" s="975" t="s">
        <v>27</v>
      </c>
      <c r="C38" s="976" t="s">
        <v>28</v>
      </c>
      <c r="D38" s="976">
        <v>58</v>
      </c>
      <c r="E38" s="976">
        <v>5850</v>
      </c>
      <c r="F38" s="960"/>
      <c r="G38" s="960"/>
      <c r="H38" s="960"/>
      <c r="I38" s="942">
        <f>SUM(I35:I37)</f>
        <v>240952635</v>
      </c>
      <c r="J38" s="943">
        <f>SUM(J35:J37)</f>
        <v>1978595228.5999999</v>
      </c>
      <c r="K38" s="943">
        <f>+'[108]Apr 13'!K38+'[108]May 13'!K38+'[108]Jun 13'!K38+'[108]Jul 13'!K38+'[108]Aug 13'!K38+'[108]Sep 13'!K38+'[108]Oct 13'!K38+'[108]Nov 13'!K38+'[108]Dec 13'!K38+'[108]Jan 14'!K38+'[108]Feb 14'!K38+'[108]Mar 14'!K38</f>
        <v>251855334.21000001</v>
      </c>
      <c r="L38" s="943">
        <f>SUM(L35:L37)</f>
        <v>518052703.89999998</v>
      </c>
      <c r="M38" s="943">
        <f>SUM(M35:M37)</f>
        <v>178886958.52000001</v>
      </c>
      <c r="N38" s="943">
        <f>SUM(J38:M38)</f>
        <v>2927390225.23</v>
      </c>
      <c r="O38" s="944">
        <f>+N38/I38</f>
        <v>12.149235160802455</v>
      </c>
    </row>
    <row r="39" spans="2:15" ht="15.75" hidden="1" thickBot="1">
      <c r="B39" s="975" t="s">
        <v>1918</v>
      </c>
      <c r="C39" s="976" t="s">
        <v>28</v>
      </c>
      <c r="D39" s="976"/>
      <c r="E39" s="976"/>
      <c r="F39" s="960">
        <v>7.55</v>
      </c>
      <c r="G39" s="960"/>
      <c r="H39" s="960"/>
      <c r="I39" s="942">
        <f>+'[108]Apr 13'!I39+'[108]May 13'!I39+'[108]Jun 13'!I39+'[108]Jul 13'!I39+'[108]Aug 13'!I39+'[108]Sep 13'!I39+'[108]Oct 13'!I39+'[108]Nov 13'!I39+'[108]Dec 13'!I39+'[108]Jan 14'!I39+'[108]Feb 14'!I39+'[108]Mar 14'!I39</f>
        <v>0</v>
      </c>
      <c r="J39" s="943">
        <f>+'[108]Apr 13'!J39+'[108]May 13'!J39+'[108]Jun 13'!J39+'[108]Jul 13'!J39+'[108]Aug 13'!J39+'[108]Sep 13'!J39+'[108]Oct 13'!J39+'[108]Nov 13'!J39+'[108]Dec 13'!J39+'[108]Jan 14'!J39+'[108]Feb 14'!J39+'[108]Mar 14'!J39</f>
        <v>0</v>
      </c>
      <c r="K39" s="944"/>
      <c r="L39" s="943">
        <f>+'[108]Apr 13'!L39+'[108]May 13'!L39+'[108]Jun 13'!L39+'[108]Jul 13'!L39+'[108]Aug 13'!L39+'[108]Sep 13'!L39+'[108]Oct 13'!L39+'[108]Nov 13'!L39+'[108]Dec 13'!L39+'[108]Jan 14'!L39+'[108]Feb 14'!L39+'[108]Mar 14'!L39</f>
        <v>0</v>
      </c>
      <c r="M39" s="943">
        <f>+'[108]Apr 13'!M39+'[108]May 13'!M39+'[108]Jun 13'!M39+'[108]Jul 13'!M39+'[108]Aug 13'!M39+'[108]Sep 13'!M39+'[108]Oct 13'!M39+'[108]Nov 13'!M39+'[108]Dec 13'!M39+'[108]Jan 14'!M39+'[108]Feb 14'!M39+'[108]Mar 14'!M39</f>
        <v>0</v>
      </c>
      <c r="N39" s="943"/>
      <c r="O39" s="944"/>
    </row>
    <row r="40" spans="2:15" ht="15.75" hidden="1" thickBot="1">
      <c r="B40" s="977"/>
      <c r="C40" s="978"/>
      <c r="D40" s="978"/>
      <c r="E40" s="978"/>
      <c r="F40" s="965">
        <v>8.09</v>
      </c>
      <c r="G40" s="965">
        <v>2.1800000000000002</v>
      </c>
      <c r="H40" s="965"/>
      <c r="I40" s="966">
        <f>+'[108]Apr 13'!I40+'[108]May 13'!I40+'[108]Jun 13'!I40+'[108]Jul 13'!I40+'[108]Aug 13'!I40+'[108]Sep 13'!I40+'[108]Oct 13'!I40+'[108]Nov 13'!I40+'[108]Dec 13'!I40+'[108]Jan 14'!I40+'[108]Feb 14'!I40+'[108]Mar 14'!I40</f>
        <v>248204103</v>
      </c>
      <c r="J40" s="951">
        <f>+'[108]Apr 13'!J40+'[108]May 13'!J40+'[108]Jun 13'!J40+'[108]Jul 13'!J40+'[108]Aug 13'!J40+'[108]Sep 13'!J40+'[108]Oct 13'!J40+'[108]Nov 13'!J40+'[108]Dec 13'!J40+'[108]Jan 14'!J40+'[108]Feb 14'!J40+'[108]Mar 14'!J40</f>
        <v>2007971193.27</v>
      </c>
      <c r="K40" s="967"/>
      <c r="L40" s="951">
        <f>+'[108]Apr 13'!L40+'[108]May 13'!L40+'[108]Jun 13'!L40+'[108]Jul 13'!L40+'[108]Aug 13'!L40+'[108]Sep 13'!L40+'[108]Oct 13'!L40+'[108]Nov 13'!L40+'[108]Dec 13'!L40+'[108]Jan 14'!L40+'[108]Feb 14'!L40+'[108]Mar 14'!L40</f>
        <v>541084944.54000008</v>
      </c>
      <c r="M40" s="951">
        <f>+'[108]Apr 13'!M40+'[108]May 13'!M40+'[108]Jun 13'!M40+'[108]Jul 13'!M40+'[108]Aug 13'!M40+'[108]Sep 13'!M40+'[108]Oct 13'!M40+'[108]Nov 13'!M40+'[108]Dec 13'!M40+'[108]Jan 14'!M40+'[108]Feb 14'!M40+'[108]Mar 14'!M40</f>
        <v>0</v>
      </c>
      <c r="N40" s="951"/>
      <c r="O40" s="967"/>
    </row>
    <row r="41" spans="2:15" ht="15.75" hidden="1" thickBot="1">
      <c r="B41" s="979"/>
      <c r="C41" s="980"/>
      <c r="D41" s="980"/>
      <c r="E41" s="980"/>
      <c r="F41" s="970">
        <v>8.85</v>
      </c>
      <c r="G41" s="970">
        <v>2.1800000000000002</v>
      </c>
      <c r="H41" s="970">
        <v>1.61</v>
      </c>
      <c r="I41" s="955">
        <f>+'[108]Apr 13'!I41+'[108]May 13'!I41+'[108]Jun 13'!I41+'[108]Jul 13'!I41+'[108]Aug 13'!I41+'[108]Sep 13'!I41+'[108]Oct 13'!I41+'[108]Nov 13'!I41+'[108]Dec 13'!I41+'[108]Jan 14'!I41+'[108]Feb 14'!I41+'[108]Mar 14'!I41</f>
        <v>222494641</v>
      </c>
      <c r="J41" s="956">
        <f>+'[108]Apr 13'!J41+'[108]May 13'!J41+'[108]Jun 13'!J41+'[108]Jul 13'!J41+'[108]Aug 13'!J41+'[108]Sep 13'!J41+'[108]Oct 13'!J41+'[108]Nov 13'!J41+'[108]Dec 13'!J41+'[108]Jan 14'!J41+'[108]Feb 14'!J41+'[108]Mar 14'!J41</f>
        <v>1969077572.8499999</v>
      </c>
      <c r="K41" s="957"/>
      <c r="L41" s="956">
        <f>+'[108]Apr 13'!L41+'[108]May 13'!L41+'[108]Jun 13'!L41+'[108]Jul 13'!L41+'[108]Aug 13'!L41+'[108]Sep 13'!L41+'[108]Oct 13'!L41+'[108]Nov 13'!L41+'[108]Dec 13'!L41+'[108]Jan 14'!L41+'[108]Feb 14'!L41+'[108]Mar 14'!L41</f>
        <v>485038317.38</v>
      </c>
      <c r="M41" s="956">
        <f>+'[108]Apr 13'!M41+'[108]May 13'!M41+'[108]Jun 13'!M41+'[108]Jul 13'!M41+'[108]Aug 13'!M41+'[108]Sep 13'!M41+'[108]Oct 13'!M41+'[108]Nov 13'!M41+'[108]Dec 13'!M41+'[108]Jan 14'!M41+'[108]Feb 14'!M41+'[108]Mar 14'!M41</f>
        <v>358192809.66000003</v>
      </c>
      <c r="N41" s="956"/>
      <c r="O41" s="957"/>
    </row>
    <row r="42" spans="2:15" ht="15.75" thickBot="1">
      <c r="B42" s="975" t="s">
        <v>29</v>
      </c>
      <c r="C42" s="976" t="s">
        <v>28</v>
      </c>
      <c r="D42" s="976">
        <v>0</v>
      </c>
      <c r="E42" s="976">
        <v>2649</v>
      </c>
      <c r="F42" s="960"/>
      <c r="G42" s="960"/>
      <c r="H42" s="960"/>
      <c r="I42" s="942">
        <f>SUM(I39:I41)</f>
        <v>470698744</v>
      </c>
      <c r="J42" s="943">
        <f>SUM(J39:J41)</f>
        <v>3977048766.1199999</v>
      </c>
      <c r="K42" s="943">
        <f>+'[108]Apr 13'!K42+'[108]May 13'!K42+'[108]Jun 13'!K42+'[108]Jul 13'!K42+'[108]Aug 13'!K42+'[108]Sep 13'!K42+'[108]Oct 13'!K42+'[108]Nov 13'!K42+'[108]Dec 13'!K42+'[108]Jan 14'!K42+'[108]Feb 14'!K42+'[108]Mar 14'!K42</f>
        <v>411351463.13</v>
      </c>
      <c r="L42" s="943">
        <f>SUM(L39:L41)</f>
        <v>1026123261.9200001</v>
      </c>
      <c r="M42" s="943">
        <f>SUM(M39:M41)</f>
        <v>358192809.66000003</v>
      </c>
      <c r="N42" s="943">
        <f>SUM(J42:M42)</f>
        <v>5772716300.8299999</v>
      </c>
      <c r="O42" s="944">
        <f>+N42/I42</f>
        <v>12.264142138501223</v>
      </c>
    </row>
    <row r="43" spans="2:15" ht="15.75" hidden="1" thickBot="1">
      <c r="B43" s="958" t="s">
        <v>2226</v>
      </c>
      <c r="C43" s="959" t="s">
        <v>22</v>
      </c>
      <c r="D43" s="959"/>
      <c r="E43" s="959"/>
      <c r="F43" s="960">
        <v>3.7</v>
      </c>
      <c r="G43" s="960"/>
      <c r="H43" s="960"/>
      <c r="I43" s="942">
        <f>+'[108]Apr 13'!I43+'[108]May 13'!I43+'[108]Jun 13'!I43+'[108]Jul 13'!I43+'[108]Aug 13'!I43+'[108]Sep 13'!I43+'[108]Oct 13'!I43+'[108]Nov 13'!I43+'[108]Dec 13'!I43+'[108]Jan 14'!I43+'[108]Feb 14'!I43+'[108]Mar 14'!I43</f>
        <v>-538</v>
      </c>
      <c r="J43" s="943">
        <f>+'[108]Apr 13'!J43+'[108]May 13'!J43+'[108]Jun 13'!J43+'[108]Jul 13'!J43+'[108]Aug 13'!J43+'[108]Sep 13'!J43+'[108]Oct 13'!J43+'[108]Nov 13'!J43+'[108]Dec 13'!J43+'[108]Jan 14'!J43+'[108]Feb 14'!J43+'[108]Mar 14'!J43</f>
        <v>-1990.6000000000001</v>
      </c>
      <c r="K43" s="944"/>
      <c r="L43" s="943">
        <f>+'[108]Apr 13'!L43+'[108]May 13'!L43+'[108]Jun 13'!L43+'[108]Jul 13'!L43+'[108]Aug 13'!L43+'[108]Sep 13'!L43+'[108]Oct 13'!L43+'[108]Nov 13'!L43+'[108]Dec 13'!L43+'[108]Jan 14'!L43+'[108]Feb 14'!L43+'[108]Mar 14'!L43</f>
        <v>0</v>
      </c>
      <c r="M43" s="943">
        <f>+'[108]Apr 13'!M43+'[108]May 13'!M43+'[108]Jun 13'!M43+'[108]Jul 13'!M43+'[108]Aug 13'!M43+'[108]Sep 13'!M43+'[108]Oct 13'!M43+'[108]Nov 13'!M43+'[108]Dec 13'!M43+'[108]Jan 14'!M43+'[108]Feb 14'!M43+'[108]Mar 14'!M43</f>
        <v>0</v>
      </c>
      <c r="N43" s="971"/>
      <c r="O43" s="971"/>
    </row>
    <row r="44" spans="2:15" ht="15.75" hidden="1" thickBot="1">
      <c r="B44" s="962"/>
      <c r="C44" s="963" t="s">
        <v>19</v>
      </c>
      <c r="D44" s="963"/>
      <c r="E44" s="963"/>
      <c r="F44" s="965">
        <v>5.5</v>
      </c>
      <c r="G44" s="965"/>
      <c r="H44" s="965"/>
      <c r="I44" s="966">
        <f>+'[108]Apr 13'!I44+'[108]May 13'!I44+'[108]Jun 13'!I44+'[108]Jul 13'!I44+'[108]Aug 13'!I44+'[108]Sep 13'!I44+'[108]Oct 13'!I44+'[108]Nov 13'!I44+'[108]Dec 13'!I44+'[108]Jan 14'!I44+'[108]Feb 14'!I44+'[108]Mar 14'!I44</f>
        <v>-213</v>
      </c>
      <c r="J44" s="951">
        <f>+'[108]Apr 13'!J44+'[108]May 13'!J44+'[108]Jun 13'!J44+'[108]Jul 13'!J44+'[108]Aug 13'!J44+'[108]Sep 13'!J44+'[108]Oct 13'!J44+'[108]Nov 13'!J44+'[108]Dec 13'!J44+'[108]Jan 14'!J44+'[108]Feb 14'!J44+'[108]Mar 14'!J44</f>
        <v>-1171.5</v>
      </c>
      <c r="K44" s="967"/>
      <c r="L44" s="951">
        <f>+'[108]Apr 13'!L44+'[108]May 13'!L44+'[108]Jun 13'!L44+'[108]Jul 13'!L44+'[108]Aug 13'!L44+'[108]Sep 13'!L44+'[108]Oct 13'!L44+'[108]Nov 13'!L44+'[108]Dec 13'!L44+'[108]Jan 14'!L44+'[108]Feb 14'!L44+'[108]Mar 14'!L44</f>
        <v>0</v>
      </c>
      <c r="M44" s="951">
        <f>+'[108]Apr 13'!M44+'[108]May 13'!M44+'[108]Jun 13'!M44+'[108]Jul 13'!M44+'[108]Aug 13'!M44+'[108]Sep 13'!M44+'[108]Oct 13'!M44+'[108]Nov 13'!M44+'[108]Dec 13'!M44+'[108]Jan 14'!M44+'[108]Feb 14'!M44+'[108]Mar 14'!M44</f>
        <v>0</v>
      </c>
      <c r="N44" s="936"/>
      <c r="O44" s="936"/>
    </row>
    <row r="45" spans="2:15" ht="15.75" hidden="1" thickBot="1">
      <c r="B45" s="962"/>
      <c r="C45" s="963" t="s">
        <v>23</v>
      </c>
      <c r="D45" s="963"/>
      <c r="E45" s="963"/>
      <c r="F45" s="965">
        <v>5.95</v>
      </c>
      <c r="G45" s="965"/>
      <c r="H45" s="965"/>
      <c r="I45" s="966">
        <f>+'[108]Apr 13'!I45+'[108]May 13'!I45+'[108]Jun 13'!I45+'[108]Jul 13'!I45+'[108]Aug 13'!I45+'[108]Sep 13'!I45+'[108]Oct 13'!I45+'[108]Nov 13'!I45+'[108]Dec 13'!I45+'[108]Jan 14'!I45+'[108]Feb 14'!I45+'[108]Mar 14'!I45</f>
        <v>-250</v>
      </c>
      <c r="J45" s="951">
        <f>+'[108]Apr 13'!J45+'[108]May 13'!J45+'[108]Jun 13'!J45+'[108]Jul 13'!J45+'[108]Aug 13'!J45+'[108]Sep 13'!J45+'[108]Oct 13'!J45+'[108]Nov 13'!J45+'[108]Dec 13'!J45+'[108]Jan 14'!J45+'[108]Feb 14'!J45+'[108]Mar 14'!J45</f>
        <v>-1487.5</v>
      </c>
      <c r="K45" s="967"/>
      <c r="L45" s="951">
        <f>+'[108]Apr 13'!L45+'[108]May 13'!L45+'[108]Jun 13'!L45+'[108]Jul 13'!L45+'[108]Aug 13'!L45+'[108]Sep 13'!L45+'[108]Oct 13'!L45+'[108]Nov 13'!L45+'[108]Dec 13'!L45+'[108]Jan 14'!L45+'[108]Feb 14'!L45+'[108]Mar 14'!L45</f>
        <v>0</v>
      </c>
      <c r="M45" s="951">
        <f>+'[108]Apr 13'!M45+'[108]May 13'!M45+'[108]Jun 13'!M45+'[108]Jul 13'!M45+'[108]Aug 13'!M45+'[108]Sep 13'!M45+'[108]Oct 13'!M45+'[108]Nov 13'!M45+'[108]Dec 13'!M45+'[108]Jan 14'!M45+'[108]Feb 14'!M45+'[108]Mar 14'!M45</f>
        <v>0</v>
      </c>
      <c r="N45" s="936"/>
      <c r="O45" s="936"/>
    </row>
    <row r="46" spans="2:15" ht="15.75" hidden="1" thickBot="1">
      <c r="B46" s="962"/>
      <c r="C46" s="963" t="s">
        <v>24</v>
      </c>
      <c r="D46" s="963"/>
      <c r="E46" s="963"/>
      <c r="F46" s="965">
        <v>6.4</v>
      </c>
      <c r="G46" s="965"/>
      <c r="H46" s="965"/>
      <c r="I46" s="966">
        <f>+'[108]Apr 13'!I46+'[108]May 13'!I46+'[108]Jun 13'!I46+'[108]Jul 13'!I46+'[108]Aug 13'!I46+'[108]Sep 13'!I46+'[108]Oct 13'!I46+'[108]Nov 13'!I46+'[108]Dec 13'!I46+'[108]Jan 14'!I46+'[108]Feb 14'!I46+'[108]Mar 14'!I46</f>
        <v>-221</v>
      </c>
      <c r="J46" s="951">
        <f>+'[108]Apr 13'!J46+'[108]May 13'!J46+'[108]Jun 13'!J46+'[108]Jul 13'!J46+'[108]Aug 13'!J46+'[108]Sep 13'!J46+'[108]Oct 13'!J46+'[108]Nov 13'!J46+'[108]Dec 13'!J46+'[108]Jan 14'!J46+'[108]Feb 14'!J46+'[108]Mar 14'!J46</f>
        <v>-1414.4</v>
      </c>
      <c r="K46" s="967"/>
      <c r="L46" s="951">
        <f>+'[108]Apr 13'!L46+'[108]May 13'!L46+'[108]Jun 13'!L46+'[108]Jul 13'!L46+'[108]Aug 13'!L46+'[108]Sep 13'!L46+'[108]Oct 13'!L46+'[108]Nov 13'!L46+'[108]Dec 13'!L46+'[108]Jan 14'!L46+'[108]Feb 14'!L46+'[108]Mar 14'!L46</f>
        <v>0</v>
      </c>
      <c r="M46" s="951">
        <f>+'[108]Apr 13'!M46+'[108]May 13'!M46+'[108]Jun 13'!M46+'[108]Jul 13'!M46+'[108]Aug 13'!M46+'[108]Sep 13'!M46+'[108]Oct 13'!M46+'[108]Nov 13'!M46+'[108]Dec 13'!M46+'[108]Jan 14'!M46+'[108]Feb 14'!M46+'[108]Mar 14'!M46</f>
        <v>0</v>
      </c>
      <c r="N46" s="936"/>
      <c r="O46" s="936"/>
    </row>
    <row r="47" spans="2:15" ht="15.75" hidden="1" thickBot="1">
      <c r="B47" s="962"/>
      <c r="C47" s="963" t="s">
        <v>25</v>
      </c>
      <c r="D47" s="963"/>
      <c r="E47" s="963"/>
      <c r="F47" s="965">
        <v>5.21</v>
      </c>
      <c r="G47" s="965">
        <v>1.4</v>
      </c>
      <c r="H47" s="965"/>
      <c r="I47" s="966">
        <f>+'[108]Apr 13'!I47+'[108]May 13'!I47+'[108]Jun 13'!I47+'[108]Jul 13'!I47+'[108]Aug 13'!I47+'[108]Sep 13'!I47+'[108]Oct 13'!I47+'[108]Nov 13'!I47+'[108]Dec 13'!I47+'[108]Jan 14'!I47+'[108]Feb 14'!I47+'[108]Mar 14'!I47</f>
        <v>10266548</v>
      </c>
      <c r="J47" s="951">
        <f>+'[108]Apr 13'!J47+'[108]May 13'!J47+'[108]Jun 13'!J47+'[108]Jul 13'!J47+'[108]Aug 13'!J47+'[108]Sep 13'!J47+'[108]Oct 13'!J47+'[108]Nov 13'!J47+'[108]Dec 13'!J47+'[108]Jan 14'!J47+'[108]Feb 14'!J47+'[108]Mar 14'!J47</f>
        <v>53488715.079999991</v>
      </c>
      <c r="K47" s="967"/>
      <c r="L47" s="951">
        <f>+'[108]Apr 13'!L47+'[108]May 13'!L47+'[108]Jun 13'!L47+'[108]Jul 13'!L47+'[108]Aug 13'!L47+'[108]Sep 13'!L47+'[108]Oct 13'!L47+'[108]Nov 13'!L47+'[108]Dec 13'!L47+'[108]Jan 14'!L47+'[108]Feb 14'!L47+'[108]Mar 14'!L47</f>
        <v>14373167.200000001</v>
      </c>
      <c r="M47" s="951">
        <f>+'[108]Apr 13'!M47+'[108]May 13'!M47+'[108]Jun 13'!M47+'[108]Jul 13'!M47+'[108]Aug 13'!M47+'[108]Sep 13'!M47+'[108]Oct 13'!M47+'[108]Nov 13'!M47+'[108]Dec 13'!M47+'[108]Jan 14'!M47+'[108]Feb 14'!M47+'[108]Mar 14'!M47</f>
        <v>0</v>
      </c>
      <c r="N47" s="936"/>
      <c r="O47" s="936"/>
    </row>
    <row r="48" spans="2:15" ht="15.75" hidden="1" thickBot="1">
      <c r="B48" s="962"/>
      <c r="C48" s="963" t="s">
        <v>26</v>
      </c>
      <c r="D48" s="963"/>
      <c r="E48" s="963"/>
      <c r="F48" s="965">
        <v>7.28</v>
      </c>
      <c r="G48" s="965">
        <v>1.96</v>
      </c>
      <c r="H48" s="965"/>
      <c r="I48" s="966">
        <f>+'[108]Apr 13'!I48+'[108]May 13'!I48+'[108]Jun 13'!I48+'[108]Jul 13'!I48+'[108]Aug 13'!I48+'[108]Sep 13'!I48+'[108]Oct 13'!I48+'[108]Nov 13'!I48+'[108]Dec 13'!I48+'[108]Jan 14'!I48+'[108]Feb 14'!I48+'[108]Mar 14'!I48</f>
        <v>12030608</v>
      </c>
      <c r="J48" s="951">
        <f>+'[108]Apr 13'!J48+'[108]May 13'!J48+'[108]Jun 13'!J48+'[108]Jul 13'!J48+'[108]Aug 13'!J48+'[108]Sep 13'!J48+'[108]Oct 13'!J48+'[108]Nov 13'!J48+'[108]Dec 13'!J48+'[108]Jan 14'!J48+'[108]Feb 14'!J48+'[108]Mar 14'!J48</f>
        <v>87582826.239999995</v>
      </c>
      <c r="K48" s="967"/>
      <c r="L48" s="951">
        <f>+'[108]Apr 13'!L48+'[108]May 13'!L48+'[108]Jun 13'!L48+'[108]Jul 13'!L48+'[108]Aug 13'!L48+'[108]Sep 13'!L48+'[108]Oct 13'!L48+'[108]Nov 13'!L48+'[108]Dec 13'!L48+'[108]Jan 14'!L48+'[108]Feb 14'!L48+'[108]Mar 14'!L48</f>
        <v>23579991.68</v>
      </c>
      <c r="M48" s="951">
        <f>+'[108]Apr 13'!M48+'[108]May 13'!M48+'[108]Jun 13'!M48+'[108]Jul 13'!M48+'[108]Aug 13'!M48+'[108]Sep 13'!M48+'[108]Oct 13'!M48+'[108]Nov 13'!M48+'[108]Dec 13'!M48+'[108]Jan 14'!M48+'[108]Feb 14'!M48+'[108]Mar 14'!M48</f>
        <v>0</v>
      </c>
      <c r="N48" s="936"/>
      <c r="O48" s="936"/>
    </row>
    <row r="49" spans="2:15" ht="15.75" hidden="1" thickBot="1">
      <c r="B49" s="962"/>
      <c r="C49" s="963" t="s">
        <v>25</v>
      </c>
      <c r="D49" s="963"/>
      <c r="E49" s="963"/>
      <c r="F49" s="965">
        <v>5.7</v>
      </c>
      <c r="G49" s="965">
        <v>1.4</v>
      </c>
      <c r="H49" s="965">
        <v>1.04</v>
      </c>
      <c r="I49" s="966">
        <f>+'[108]Apr 13'!I49+'[108]May 13'!I49+'[108]Jun 13'!I49+'[108]Jul 13'!I49+'[108]Aug 13'!I49+'[108]Sep 13'!I49+'[108]Oct 13'!I49+'[108]Nov 13'!I49+'[108]Dec 13'!I49+'[108]Jan 14'!I49+'[108]Feb 14'!I49+'[108]Mar 14'!I49</f>
        <v>11009655</v>
      </c>
      <c r="J49" s="951">
        <f>+'[108]Apr 13'!J49+'[108]May 13'!J49+'[108]Jun 13'!J49+'[108]Jul 13'!J49+'[108]Aug 13'!J49+'[108]Sep 13'!J49+'[108]Oct 13'!J49+'[108]Nov 13'!J49+'[108]Dec 13'!J49+'[108]Jan 14'!J49+'[108]Feb 14'!J49+'[108]Mar 14'!J49</f>
        <v>62755033.5</v>
      </c>
      <c r="K49" s="967"/>
      <c r="L49" s="951">
        <f>+'[108]Apr 13'!L49+'[108]May 13'!L49+'[108]Jun 13'!L49+'[108]Jul 13'!L49+'[108]Aug 13'!L49+'[108]Sep 13'!L49+'[108]Oct 13'!L49+'[108]Nov 13'!L49+'[108]Dec 13'!L49+'[108]Jan 14'!L49+'[108]Feb 14'!L49+'[108]Mar 14'!L49</f>
        <v>15413517</v>
      </c>
      <c r="M49" s="951">
        <f>+'[108]Apr 13'!M49+'[108]May 13'!M49+'[108]Jun 13'!M49+'[108]Jul 13'!M49+'[108]Aug 13'!M49+'[108]Sep 13'!M49+'[108]Oct 13'!M49+'[108]Nov 13'!M49+'[108]Dec 13'!M49+'[108]Jan 14'!M49+'[108]Feb 14'!M49+'[108]Mar 14'!M49</f>
        <v>11183323.84</v>
      </c>
      <c r="N49" s="936"/>
      <c r="O49" s="936"/>
    </row>
    <row r="50" spans="2:15" ht="15.75" hidden="1" thickBot="1">
      <c r="B50" s="972"/>
      <c r="C50" s="973" t="s">
        <v>26</v>
      </c>
      <c r="D50" s="973"/>
      <c r="E50" s="973"/>
      <c r="F50" s="974">
        <v>7.7</v>
      </c>
      <c r="G50" s="974">
        <v>1.96</v>
      </c>
      <c r="H50" s="974">
        <v>2.16</v>
      </c>
      <c r="I50" s="949">
        <f>+'[108]Apr 13'!I50+'[108]May 13'!I50+'[108]Jun 13'!I50+'[108]Jul 13'!I50+'[108]Aug 13'!I50+'[108]Sep 13'!I50+'[108]Oct 13'!I50+'[108]Nov 13'!I50+'[108]Dec 13'!I50+'[108]Jan 14'!I50+'[108]Feb 14'!I50+'[108]Mar 14'!I50</f>
        <v>11882553</v>
      </c>
      <c r="J50" s="950">
        <f>+'[108]Apr 13'!J50+'[108]May 13'!J50+'[108]Jun 13'!J50+'[108]Jul 13'!J50+'[108]Aug 13'!J50+'[108]Sep 13'!J50+'[108]Oct 13'!J50+'[108]Nov 13'!J50+'[108]Dec 13'!J50+'[108]Jan 14'!J50+'[108]Feb 14'!J50+'[108]Mar 14'!J50</f>
        <v>91495658.099999994</v>
      </c>
      <c r="K50" s="930"/>
      <c r="L50" s="950">
        <f>+'[108]Apr 13'!L50+'[108]May 13'!L50+'[108]Jun 13'!L50+'[108]Jul 13'!L50+'[108]Aug 13'!L50+'[108]Sep 13'!L50+'[108]Oct 13'!L50+'[108]Nov 13'!L50+'[108]Dec 13'!L50+'[108]Jan 14'!L50+'[108]Feb 14'!L50+'[108]Mar 14'!L50</f>
        <v>23289803.879999995</v>
      </c>
      <c r="M50" s="950">
        <f>+'[108]Apr 13'!M50+'[108]May 13'!M50+'[108]Jun 13'!M50+'[108]Jul 13'!M50+'[108]Aug 13'!M50+'[108]Sep 13'!M50+'[108]Oct 13'!M50+'[108]Nov 13'!M50+'[108]Dec 13'!M50+'[108]Jan 14'!M50+'[108]Feb 14'!M50+'[108]Mar 14'!M50</f>
        <v>25129144.079999998</v>
      </c>
      <c r="N50" s="936"/>
      <c r="O50" s="936"/>
    </row>
    <row r="51" spans="2:15">
      <c r="B51" s="958" t="s">
        <v>2226</v>
      </c>
      <c r="C51" s="959" t="s">
        <v>25</v>
      </c>
      <c r="D51" s="959">
        <v>2438</v>
      </c>
      <c r="E51" s="959">
        <v>3567</v>
      </c>
      <c r="F51" s="960"/>
      <c r="G51" s="960"/>
      <c r="H51" s="960"/>
      <c r="I51" s="942">
        <f>+I43+I44+I47+I49</f>
        <v>21275452</v>
      </c>
      <c r="J51" s="943">
        <f>+J43+J44+J47+J49</f>
        <v>116240586.47999999</v>
      </c>
      <c r="K51" s="944"/>
      <c r="L51" s="943">
        <f>+L43+L44+L47+L49</f>
        <v>29786684.200000003</v>
      </c>
      <c r="M51" s="943">
        <f>+M43+M44+M47+M49</f>
        <v>11183323.84</v>
      </c>
      <c r="N51" s="6136">
        <f>SUM(J51:M52)</f>
        <v>442524337.54000002</v>
      </c>
      <c r="O51" s="6138">
        <f>+N51/SUM(I51:I52)</f>
        <v>9.7929305776723456</v>
      </c>
    </row>
    <row r="52" spans="2:15" ht="15.75" thickBot="1">
      <c r="B52" s="968"/>
      <c r="C52" s="969" t="s">
        <v>26</v>
      </c>
      <c r="D52" s="969">
        <v>101</v>
      </c>
      <c r="E52" s="969">
        <v>1971</v>
      </c>
      <c r="F52" s="970"/>
      <c r="G52" s="970"/>
      <c r="H52" s="970"/>
      <c r="I52" s="955">
        <f>+I46+I45+I48+I50</f>
        <v>23912690</v>
      </c>
      <c r="J52" s="956">
        <f>+J46+J45+J48+J50</f>
        <v>179075582.44</v>
      </c>
      <c r="K52" s="957">
        <f>+'[108]Apr 13'!K52+'[108]May 13'!K52+'[108]Jun 13'!K52+'[108]Jul 13'!K52+'[108]Aug 13'!K52+'[108]Sep 13'!K52+'[108]Oct 13'!K52+'[108]Nov 13'!K52+'[108]Dec 13'!K52+'[108]Jan 14'!K52+'[108]Feb 14'!K52+'[108]Mar 14'!K52</f>
        <v>34239220.939999998</v>
      </c>
      <c r="L52" s="956">
        <f>+L46+L45+L48+L50</f>
        <v>46869795.559999995</v>
      </c>
      <c r="M52" s="956">
        <f>+M46+M45+M48+M50</f>
        <v>25129144.079999998</v>
      </c>
      <c r="N52" s="6137"/>
      <c r="O52" s="6139"/>
    </row>
    <row r="53" spans="2:15" ht="15.75" hidden="1" thickBot="1">
      <c r="B53" s="975" t="s">
        <v>2227</v>
      </c>
      <c r="C53" s="976" t="s">
        <v>28</v>
      </c>
      <c r="D53" s="976"/>
      <c r="E53" s="976"/>
      <c r="F53" s="960">
        <v>5.4</v>
      </c>
      <c r="G53" s="960"/>
      <c r="H53" s="960"/>
      <c r="I53" s="942">
        <f>+'[108]Apr 13'!I53+'[108]May 13'!I53+'[108]Jun 13'!I53+'[108]Jul 13'!I53+'[108]Aug 13'!I53+'[108]Sep 13'!I53+'[108]Oct 13'!I53+'[108]Nov 13'!I53+'[108]Dec 13'!I53+'[108]Jan 14'!I53+'[108]Feb 14'!I53+'[108]Mar 14'!I53</f>
        <v>0</v>
      </c>
      <c r="J53" s="943">
        <f>+'[108]Apr 13'!J53+'[108]May 13'!J53+'[108]Jun 13'!J53+'[108]Jul 13'!J53+'[108]Aug 13'!J53+'[108]Sep 13'!J53+'[108]Oct 13'!J53+'[108]Nov 13'!J53+'[108]Dec 13'!J53+'[108]Jan 14'!J53+'[108]Feb 14'!J53+'[108]Mar 14'!J53</f>
        <v>0</v>
      </c>
      <c r="K53" s="944"/>
      <c r="L53" s="943">
        <f>+'[108]Apr 13'!L53+'[108]May 13'!L53+'[108]Jun 13'!L53+'[108]Jul 13'!L53+'[108]Aug 13'!L53+'[108]Sep 13'!L53+'[108]Oct 13'!L53+'[108]Nov 13'!L53+'[108]Dec 13'!L53+'[108]Jan 14'!L53+'[108]Feb 14'!L53+'[108]Mar 14'!L53</f>
        <v>0</v>
      </c>
      <c r="M53" s="943">
        <f>+'[108]Apr 13'!M53+'[108]May 13'!M53+'[108]Jun 13'!M53+'[108]Jul 13'!M53+'[108]Aug 13'!M53+'[108]Sep 13'!M53+'[108]Oct 13'!M53+'[108]Nov 13'!M53+'[108]Dec 13'!M53+'[108]Jan 14'!M53+'[108]Feb 14'!M53+'[108]Mar 14'!M53</f>
        <v>0</v>
      </c>
      <c r="N53" s="943"/>
      <c r="O53" s="944"/>
    </row>
    <row r="54" spans="2:15" ht="15.75" hidden="1" thickBot="1">
      <c r="B54" s="977"/>
      <c r="C54" s="978"/>
      <c r="D54" s="978"/>
      <c r="E54" s="978"/>
      <c r="F54" s="965">
        <v>6.52</v>
      </c>
      <c r="G54" s="965">
        <v>1.75</v>
      </c>
      <c r="H54" s="965"/>
      <c r="I54" s="966">
        <f>+'[108]Apr 13'!I54+'[108]May 13'!I54+'[108]Jun 13'!I54+'[108]Jul 13'!I54+'[108]Aug 13'!I54+'[108]Sep 13'!I54+'[108]Oct 13'!I54+'[108]Nov 13'!I54+'[108]Dec 13'!I54+'[108]Jan 14'!I54+'[108]Feb 14'!I54+'[108]Mar 14'!I54</f>
        <v>26613413</v>
      </c>
      <c r="J54" s="951">
        <f>+'[108]Apr 13'!J54+'[108]May 13'!J54+'[108]Jun 13'!J54+'[108]Jul 13'!J54+'[108]Aug 13'!J54+'[108]Sep 13'!J54+'[108]Oct 13'!J54+'[108]Nov 13'!J54+'[108]Dec 13'!J54+'[108]Jan 14'!J54+'[108]Feb 14'!J54+'[108]Mar 14'!J54</f>
        <v>173519452.75999999</v>
      </c>
      <c r="K54" s="967"/>
      <c r="L54" s="951">
        <f>+'[108]Apr 13'!L54+'[108]May 13'!L54+'[108]Jun 13'!L54+'[108]Jul 13'!L54+'[108]Aug 13'!L54+'[108]Sep 13'!L54+'[108]Oct 13'!L54+'[108]Nov 13'!L54+'[108]Dec 13'!L54+'[108]Jan 14'!L54+'[108]Feb 14'!L54+'[108]Mar 14'!L54</f>
        <v>46573472.75</v>
      </c>
      <c r="M54" s="951">
        <f>+'[108]Apr 13'!M54+'[108]May 13'!M54+'[108]Jun 13'!M54+'[108]Jul 13'!M54+'[108]Aug 13'!M54+'[108]Sep 13'!M54+'[108]Oct 13'!M54+'[108]Nov 13'!M54+'[108]Dec 13'!M54+'[108]Jan 14'!M54+'[108]Feb 14'!M54+'[108]Mar 14'!M54</f>
        <v>0</v>
      </c>
      <c r="N54" s="951"/>
      <c r="O54" s="967"/>
    </row>
    <row r="55" spans="2:15" ht="15.75" hidden="1" thickBot="1">
      <c r="B55" s="979"/>
      <c r="C55" s="980"/>
      <c r="D55" s="980"/>
      <c r="E55" s="980"/>
      <c r="F55" s="970">
        <v>7.25</v>
      </c>
      <c r="G55" s="970">
        <v>1.75</v>
      </c>
      <c r="H55" s="970">
        <v>1.28</v>
      </c>
      <c r="I55" s="955">
        <f>+'[108]Apr 13'!I55+'[108]May 13'!I55+'[108]Jun 13'!I55+'[108]Jul 13'!I55+'[108]Aug 13'!I55+'[108]Sep 13'!I55+'[108]Oct 13'!I55+'[108]Nov 13'!I55+'[108]Dec 13'!I55+'[108]Jan 14'!I55+'[108]Feb 14'!I55+'[108]Mar 14'!I55</f>
        <v>25333596</v>
      </c>
      <c r="J55" s="956">
        <f>+'[108]Apr 13'!J55+'[108]May 13'!J55+'[108]Jun 13'!J55+'[108]Jul 13'!J55+'[108]Aug 13'!J55+'[108]Sep 13'!J55+'[108]Oct 13'!J55+'[108]Nov 13'!J55+'[108]Dec 13'!J55+'[108]Jan 14'!J55+'[108]Feb 14'!J55+'[108]Mar 14'!J55</f>
        <v>183668571</v>
      </c>
      <c r="K55" s="957"/>
      <c r="L55" s="956">
        <f>+'[108]Apr 13'!L55+'[108]May 13'!L55+'[108]Jun 13'!L55+'[108]Jul 13'!L55+'[108]Aug 13'!L55+'[108]Sep 13'!L55+'[108]Oct 13'!L55+'[108]Nov 13'!L55+'[108]Dec 13'!L55+'[108]Jan 14'!L55+'[108]Feb 14'!L55+'[108]Mar 14'!L55</f>
        <v>44333793</v>
      </c>
      <c r="M55" s="956">
        <f>+'[108]Apr 13'!M55+'[108]May 13'!M55+'[108]Jun 13'!M55+'[108]Jul 13'!M55+'[108]Aug 13'!M55+'[108]Sep 13'!M55+'[108]Oct 13'!M55+'[108]Nov 13'!M55+'[108]Dec 13'!M55+'[108]Jan 14'!M55+'[108]Feb 14'!M55+'[108]Mar 14'!M55</f>
        <v>32416564.48</v>
      </c>
      <c r="N55" s="956"/>
      <c r="O55" s="957"/>
    </row>
    <row r="56" spans="2:15" ht="15.75" thickBot="1">
      <c r="B56" s="975" t="s">
        <v>2227</v>
      </c>
      <c r="C56" s="976" t="s">
        <v>28</v>
      </c>
      <c r="D56" s="976">
        <v>11</v>
      </c>
      <c r="E56" s="976">
        <v>1142</v>
      </c>
      <c r="F56" s="960"/>
      <c r="G56" s="960"/>
      <c r="H56" s="960"/>
      <c r="I56" s="942">
        <f>SUM(I53:I55)</f>
        <v>51947009</v>
      </c>
      <c r="J56" s="943">
        <f>SUM(J53:J55)</f>
        <v>357188023.75999999</v>
      </c>
      <c r="K56" s="943">
        <f>+'[108]Apr 13'!K56+'[108]May 13'!K56+'[108]Jun 13'!K56+'[108]Jul 13'!K56+'[108]Aug 13'!K56+'[108]Sep 13'!K56+'[108]Oct 13'!K56+'[108]Nov 13'!K56+'[108]Dec 13'!K56+'[108]Jan 14'!K56+'[108]Feb 14'!K56+'[108]Mar 14'!K56</f>
        <v>60027591.620000005</v>
      </c>
      <c r="L56" s="943">
        <f>SUM(L53:L55)</f>
        <v>90907265.75</v>
      </c>
      <c r="M56" s="943">
        <f>SUM(M53:M55)</f>
        <v>32416564.48</v>
      </c>
      <c r="N56" s="943">
        <f>SUM(J56:M56)</f>
        <v>540539445.61000001</v>
      </c>
      <c r="O56" s="944">
        <f>+N56/I56</f>
        <v>10.405593238486551</v>
      </c>
    </row>
    <row r="57" spans="2:15" ht="15.75" hidden="1" thickBot="1">
      <c r="B57" s="975" t="s">
        <v>2228</v>
      </c>
      <c r="C57" s="976" t="s">
        <v>28</v>
      </c>
      <c r="D57" s="976"/>
      <c r="E57" s="976"/>
      <c r="F57" s="960">
        <v>5.3</v>
      </c>
      <c r="G57" s="960"/>
      <c r="H57" s="960"/>
      <c r="I57" s="942">
        <f>+'[108]Apr 13'!I57+'[108]May 13'!I57+'[108]Jun 13'!I57+'[108]Jul 13'!I57+'[108]Aug 13'!I57+'[108]Sep 13'!I57+'[108]Oct 13'!I57+'[108]Nov 13'!I57+'[108]Dec 13'!I57+'[108]Jan 14'!I57+'[108]Feb 14'!I57+'[108]Mar 14'!I57</f>
        <v>0</v>
      </c>
      <c r="J57" s="943">
        <f>+'[108]Apr 13'!J57+'[108]May 13'!J57+'[108]Jun 13'!J57+'[108]Jul 13'!J57+'[108]Aug 13'!J57+'[108]Sep 13'!J57+'[108]Oct 13'!J57+'[108]Nov 13'!J57+'[108]Dec 13'!J57+'[108]Jan 14'!J57+'[108]Feb 14'!J57+'[108]Mar 14'!J57</f>
        <v>0</v>
      </c>
      <c r="K57" s="944"/>
      <c r="L57" s="943">
        <f>+'[108]Apr 13'!L57+'[108]May 13'!L57+'[108]Jun 13'!L57+'[108]Jul 13'!L57+'[108]Aug 13'!L57+'[108]Sep 13'!L57+'[108]Oct 13'!L57+'[108]Nov 13'!L57+'[108]Dec 13'!L57+'[108]Jan 14'!L57+'[108]Feb 14'!L57+'[108]Mar 14'!L57</f>
        <v>0</v>
      </c>
      <c r="M57" s="943">
        <f>+'[108]Apr 13'!M57+'[108]May 13'!M57+'[108]Jun 13'!M57+'[108]Jul 13'!M57+'[108]Aug 13'!M57+'[108]Sep 13'!M57+'[108]Oct 13'!M57+'[108]Nov 13'!M57+'[108]Dec 13'!M57+'[108]Jan 14'!M57+'[108]Feb 14'!M57+'[108]Mar 14'!M57</f>
        <v>0</v>
      </c>
      <c r="N57" s="943"/>
      <c r="O57" s="944"/>
    </row>
    <row r="58" spans="2:15" ht="15.75" hidden="1" thickBot="1">
      <c r="B58" s="977"/>
      <c r="C58" s="978"/>
      <c r="D58" s="978"/>
      <c r="E58" s="978"/>
      <c r="F58" s="965">
        <v>6.39</v>
      </c>
      <c r="G58" s="965">
        <v>1.72</v>
      </c>
      <c r="H58" s="965"/>
      <c r="I58" s="966">
        <f>+'[108]Apr 13'!I58+'[108]May 13'!I58+'[108]Jun 13'!I58+'[108]Jul 13'!I58+'[108]Aug 13'!I58+'[108]Sep 13'!I58+'[108]Oct 13'!I58+'[108]Nov 13'!I58+'[108]Dec 13'!I58+'[108]Jan 14'!I58+'[108]Feb 14'!I58+'[108]Mar 14'!I58</f>
        <v>24278328</v>
      </c>
      <c r="J58" s="951">
        <f>+'[108]Apr 13'!J58+'[108]May 13'!J58+'[108]Jun 13'!J58+'[108]Jul 13'!J58+'[108]Aug 13'!J58+'[108]Sep 13'!J58+'[108]Oct 13'!J58+'[108]Nov 13'!J58+'[108]Dec 13'!J58+'[108]Jan 14'!J58+'[108]Feb 14'!J58+'[108]Mar 14'!J58</f>
        <v>155138515.91999999</v>
      </c>
      <c r="K58" s="967"/>
      <c r="L58" s="951">
        <f>+'[108]Apr 13'!L58+'[108]May 13'!L58+'[108]Jun 13'!L58+'[108]Jul 13'!L58+'[108]Aug 13'!L58+'[108]Sep 13'!L58+'[108]Oct 13'!L58+'[108]Nov 13'!L58+'[108]Dec 13'!L58+'[108]Jan 14'!L58+'[108]Feb 14'!L58+'[108]Mar 14'!L58</f>
        <v>41758724.160000004</v>
      </c>
      <c r="M58" s="951">
        <f>+'[108]Apr 13'!M58+'[108]May 13'!M58+'[108]Jun 13'!M58+'[108]Jul 13'!M58+'[108]Aug 13'!M58+'[108]Sep 13'!M58+'[108]Oct 13'!M58+'[108]Nov 13'!M58+'[108]Dec 13'!M58+'[108]Jan 14'!M58+'[108]Feb 14'!M58+'[108]Mar 14'!M58</f>
        <v>0</v>
      </c>
      <c r="N58" s="951"/>
      <c r="O58" s="967"/>
    </row>
    <row r="59" spans="2:15" ht="15.75" hidden="1" thickBot="1">
      <c r="B59" s="979"/>
      <c r="C59" s="980"/>
      <c r="D59" s="980"/>
      <c r="E59" s="980"/>
      <c r="F59" s="970">
        <v>7.4</v>
      </c>
      <c r="G59" s="970">
        <v>1.72</v>
      </c>
      <c r="H59" s="970">
        <v>1.24</v>
      </c>
      <c r="I59" s="955">
        <f>+'[108]Apr 13'!I59+'[108]May 13'!I59+'[108]Jun 13'!I59+'[108]Jul 13'!I59+'[108]Aug 13'!I59+'[108]Sep 13'!I59+'[108]Oct 13'!I59+'[108]Nov 13'!I59+'[108]Dec 13'!I59+'[108]Jan 14'!I59+'[108]Feb 14'!I59+'[108]Mar 14'!I59</f>
        <v>23730715</v>
      </c>
      <c r="J59" s="956">
        <f>+'[108]Apr 13'!J59+'[108]May 13'!J59+'[108]Jun 13'!J59+'[108]Jul 13'!J59+'[108]Aug 13'!J59+'[108]Sep 13'!J59+'[108]Oct 13'!J59+'[108]Nov 13'!J59+'[108]Dec 13'!J59+'[108]Jan 14'!J59+'[108]Feb 14'!J59+'[108]Mar 14'!J59</f>
        <v>175607291</v>
      </c>
      <c r="K59" s="957"/>
      <c r="L59" s="956">
        <f>+'[108]Apr 13'!L59+'[108]May 13'!L59+'[108]Jun 13'!L59+'[108]Jul 13'!L59+'[108]Aug 13'!L59+'[108]Sep 13'!L59+'[108]Oct 13'!L59+'[108]Nov 13'!L59+'[108]Dec 13'!L59+'[108]Jan 14'!L59+'[108]Feb 14'!L59+'[108]Mar 14'!L59</f>
        <v>40816829.799999997</v>
      </c>
      <c r="M59" s="956">
        <f>+'[108]Apr 13'!M59+'[108]May 13'!M59+'[108]Jun 13'!M59+'[108]Jul 13'!M59+'[108]Aug 13'!M59+'[108]Sep 13'!M59+'[108]Oct 13'!M59+'[108]Nov 13'!M59+'[108]Dec 13'!M59+'[108]Jan 14'!M59+'[108]Feb 14'!M59+'[108]Mar 14'!M59</f>
        <v>29425559.600000001</v>
      </c>
      <c r="N59" s="956"/>
      <c r="O59" s="957"/>
    </row>
    <row r="60" spans="2:15" ht="15.75" thickBot="1">
      <c r="B60" s="975" t="s">
        <v>2228</v>
      </c>
      <c r="C60" s="976" t="s">
        <v>28</v>
      </c>
      <c r="D60" s="976">
        <v>0</v>
      </c>
      <c r="E60" s="976">
        <v>120</v>
      </c>
      <c r="F60" s="960"/>
      <c r="G60" s="960"/>
      <c r="H60" s="960"/>
      <c r="I60" s="942">
        <f>SUM(I57:I59)</f>
        <v>48009043</v>
      </c>
      <c r="J60" s="943">
        <f>SUM(J57:J59)</f>
        <v>330745806.91999996</v>
      </c>
      <c r="K60" s="943">
        <f>+'[108]Apr 13'!K60+'[108]May 13'!K60+'[108]Jun 13'!K60+'[108]Jul 13'!K60+'[108]Aug 13'!K60+'[108]Sep 13'!K60+'[108]Oct 13'!K60+'[108]Nov 13'!K60+'[108]Dec 13'!K60+'[108]Jan 14'!K60+'[108]Feb 14'!K60+'[108]Mar 14'!K60</f>
        <v>31962759.400000002</v>
      </c>
      <c r="L60" s="943">
        <f>SUM(L57:L59)</f>
        <v>82575553.960000008</v>
      </c>
      <c r="M60" s="943">
        <f>SUM(M57:M59)</f>
        <v>29425559.600000001</v>
      </c>
      <c r="N60" s="943">
        <f>SUM(J60:M60)</f>
        <v>474709679.88</v>
      </c>
      <c r="O60" s="944">
        <f>+N60/I60</f>
        <v>9.88792215416583</v>
      </c>
    </row>
    <row r="61" spans="2:15" ht="15.75" hidden="1" thickBot="1">
      <c r="B61" s="975" t="s">
        <v>33</v>
      </c>
      <c r="C61" s="976"/>
      <c r="D61" s="976"/>
      <c r="E61" s="976"/>
      <c r="F61" s="960">
        <v>11.4</v>
      </c>
      <c r="G61" s="960"/>
      <c r="H61" s="960"/>
      <c r="I61" s="942">
        <f>+'[108]Apr 13'!I61+'[108]May 13'!I61+'[108]Jun 13'!I61+'[108]Jul 13'!I61+'[108]Aug 13'!I61+'[108]Sep 13'!I61+'[108]Oct 13'!I61+'[108]Nov 13'!I61+'[108]Dec 13'!I61+'[108]Jan 14'!I61+'[108]Feb 14'!I61+'[108]Mar 14'!I61</f>
        <v>-519</v>
      </c>
      <c r="J61" s="943">
        <f>+'[108]Apr 13'!J61+'[108]May 13'!J61+'[108]Jun 13'!J61+'[108]Jul 13'!J61+'[108]Aug 13'!J61+'[108]Sep 13'!J61+'[108]Oct 13'!J61+'[108]Nov 13'!J61+'[108]Dec 13'!J61+'[108]Jan 14'!J61+'[108]Feb 14'!J61+'[108]Mar 14'!J61</f>
        <v>-5916.6</v>
      </c>
      <c r="K61" s="943"/>
      <c r="L61" s="943">
        <f>+'[108]Apr 13'!L61+'[108]May 13'!L61+'[108]Jun 13'!L61+'[108]Jul 13'!L61+'[108]Aug 13'!L61+'[108]Sep 13'!L61+'[108]Oct 13'!L61+'[108]Nov 13'!L61+'[108]Dec 13'!L61+'[108]Jan 14'!L61+'[108]Feb 14'!L61+'[108]Mar 14'!L61</f>
        <v>0</v>
      </c>
      <c r="M61" s="943">
        <f>+'[108]Apr 13'!M61+'[108]May 13'!M61+'[108]Jun 13'!M61+'[108]Jul 13'!M61+'[108]Aug 13'!M61+'[108]Sep 13'!M61+'[108]Oct 13'!M61+'[108]Nov 13'!M61+'[108]Dec 13'!M61+'[108]Jan 14'!M61+'[108]Feb 14'!M61+'[108]Mar 14'!M61</f>
        <v>0</v>
      </c>
      <c r="N61" s="943"/>
      <c r="O61" s="944"/>
    </row>
    <row r="62" spans="2:15" ht="15.75" hidden="1" thickBot="1">
      <c r="B62" s="977"/>
      <c r="C62" s="978"/>
      <c r="D62" s="978"/>
      <c r="E62" s="978"/>
      <c r="F62" s="965">
        <v>11.75</v>
      </c>
      <c r="G62" s="965">
        <v>3.16</v>
      </c>
      <c r="H62" s="965"/>
      <c r="I62" s="966">
        <f>+'[108]Apr 13'!I62+'[108]May 13'!I62+'[108]Jun 13'!I62+'[108]Jul 13'!I62+'[108]Aug 13'!I62+'[108]Sep 13'!I62+'[108]Oct 13'!I62+'[108]Nov 13'!I62+'[108]Dec 13'!I62+'[108]Jan 14'!I62+'[108]Feb 14'!I62+'[108]Mar 14'!I62</f>
        <v>802460</v>
      </c>
      <c r="J62" s="951">
        <f>+'[108]Apr 13'!J62+'[108]May 13'!J62+'[108]Jun 13'!J62+'[108]Jul 13'!J62+'[108]Aug 13'!J62+'[108]Sep 13'!J62+'[108]Oct 13'!J62+'[108]Nov 13'!J62+'[108]Dec 13'!J62+'[108]Jan 14'!J62+'[108]Feb 14'!J62+'[108]Mar 14'!J62</f>
        <v>9428905</v>
      </c>
      <c r="K62" s="951"/>
      <c r="L62" s="951">
        <f>+'[108]Apr 13'!L62+'[108]May 13'!L62+'[108]Jun 13'!L62+'[108]Jul 13'!L62+'[108]Aug 13'!L62+'[108]Sep 13'!L62+'[108]Oct 13'!L62+'[108]Nov 13'!L62+'[108]Dec 13'!L62+'[108]Jan 14'!L62+'[108]Feb 14'!L62+'[108]Mar 14'!L62</f>
        <v>2535773.6</v>
      </c>
      <c r="M62" s="951">
        <f>+'[108]Apr 13'!M62+'[108]May 13'!M62+'[108]Jun 13'!M62+'[108]Jul 13'!M62+'[108]Aug 13'!M62+'[108]Sep 13'!M62+'[108]Oct 13'!M62+'[108]Nov 13'!M62+'[108]Dec 13'!M62+'[108]Jan 14'!M62+'[108]Feb 14'!M62+'[108]Mar 14'!M62</f>
        <v>0</v>
      </c>
      <c r="N62" s="951"/>
      <c r="O62" s="967"/>
    </row>
    <row r="63" spans="2:15" ht="15.75" hidden="1" thickBot="1">
      <c r="B63" s="979"/>
      <c r="C63" s="980"/>
      <c r="D63" s="980"/>
      <c r="E63" s="980"/>
      <c r="F63" s="970">
        <v>13.5</v>
      </c>
      <c r="G63" s="970">
        <v>3.16</v>
      </c>
      <c r="H63" s="970">
        <v>2.29</v>
      </c>
      <c r="I63" s="955">
        <f>+'[108]Apr 13'!I63+'[108]May 13'!I63+'[108]Jun 13'!I63+'[108]Jul 13'!I63+'[108]Aug 13'!I63+'[108]Sep 13'!I63+'[108]Oct 13'!I63+'[108]Nov 13'!I63+'[108]Dec 13'!I63+'[108]Jan 14'!I63+'[108]Feb 14'!I63+'[108]Mar 14'!I63</f>
        <v>1006820</v>
      </c>
      <c r="J63" s="956">
        <f>+'[108]Apr 13'!J63+'[108]May 13'!J63+'[108]Jun 13'!J63+'[108]Jul 13'!J63+'[108]Aug 13'!J63+'[108]Sep 13'!J63+'[108]Oct 13'!J63+'[108]Nov 13'!J63+'[108]Dec 13'!J63+'[108]Jan 14'!J63+'[108]Feb 14'!J63+'[108]Mar 14'!J63</f>
        <v>13592070</v>
      </c>
      <c r="K63" s="956"/>
      <c r="L63" s="956">
        <f>+'[108]Apr 13'!L63+'[108]May 13'!L63+'[108]Jun 13'!L63+'[108]Jul 13'!L63+'[108]Aug 13'!L63+'[108]Sep 13'!L63+'[108]Oct 13'!L63+'[108]Nov 13'!L63+'[108]Dec 13'!L63+'[108]Jan 14'!L63+'[108]Feb 14'!L63+'[108]Mar 14'!L63</f>
        <v>3181551.2</v>
      </c>
      <c r="M63" s="956">
        <f>+'[108]Apr 13'!M63+'[108]May 13'!M63+'[108]Jun 13'!M63+'[108]Jul 13'!M63+'[108]Aug 13'!M63+'[108]Sep 13'!M63+'[108]Oct 13'!M63+'[108]Nov 13'!M63+'[108]Dec 13'!M63+'[108]Jan 14'!M63+'[108]Feb 14'!M63+'[108]Mar 14'!M63</f>
        <v>2239853.58</v>
      </c>
      <c r="N63" s="956"/>
      <c r="O63" s="957"/>
    </row>
    <row r="64" spans="2:15" ht="15.75" thickBot="1">
      <c r="B64" s="975" t="s">
        <v>33</v>
      </c>
      <c r="C64" s="976"/>
      <c r="D64" s="976">
        <v>770</v>
      </c>
      <c r="E64" s="976">
        <v>147</v>
      </c>
      <c r="F64" s="960"/>
      <c r="G64" s="960"/>
      <c r="H64" s="960"/>
      <c r="I64" s="942">
        <f>SUM(I61:I63)</f>
        <v>1808761</v>
      </c>
      <c r="J64" s="943">
        <f>SUM(J61:J63)</f>
        <v>23015058.399999999</v>
      </c>
      <c r="K64" s="943">
        <f>+'[108]Apr 13'!K64+'[108]May 13'!K64+'[108]Jun 13'!K64+'[108]Jul 13'!K64+'[108]Aug 13'!K64+'[108]Sep 13'!K64+'[108]Oct 13'!K64+'[108]Nov 13'!K64+'[108]Dec 13'!K64+'[108]Jan 14'!K64+'[108]Feb 14'!K64+'[108]Mar 14'!K64</f>
        <v>4079679.05</v>
      </c>
      <c r="L64" s="943">
        <f>SUM(L61:L63)</f>
        <v>5717324.8000000007</v>
      </c>
      <c r="M64" s="943">
        <f>SUM(M61:M63)</f>
        <v>2239853.58</v>
      </c>
      <c r="N64" s="943">
        <f>SUM(J64:M64)</f>
        <v>35051915.829999998</v>
      </c>
      <c r="O64" s="944">
        <f>+N64/I64</f>
        <v>19.378964843890376</v>
      </c>
    </row>
    <row r="65" spans="2:15" ht="15.75" hidden="1" thickBot="1">
      <c r="B65" s="975" t="s">
        <v>2229</v>
      </c>
      <c r="C65" s="976"/>
      <c r="D65" s="976"/>
      <c r="E65" s="976"/>
      <c r="F65" s="960">
        <v>5.3</v>
      </c>
      <c r="G65" s="960"/>
      <c r="H65" s="960"/>
      <c r="I65" s="942">
        <f>+'[108]Apr 13'!I65+'[108]May 13'!I65+'[108]Jun 13'!I65+'[108]Jul 13'!I65+'[108]Aug 13'!I65+'[108]Sep 13'!I65+'[108]Oct 13'!I65+'[108]Nov 13'!I65+'[108]Dec 13'!I65+'[108]Jan 14'!I65+'[108]Feb 14'!I65+'[108]Mar 14'!I65</f>
        <v>0</v>
      </c>
      <c r="J65" s="943">
        <f>+'[108]Apr 13'!J65+'[108]May 13'!J65+'[108]Jun 13'!J65+'[108]Jul 13'!J65+'[108]Aug 13'!J65+'[108]Sep 13'!J65+'[108]Oct 13'!J65+'[108]Nov 13'!J65+'[108]Dec 13'!J65+'[108]Jan 14'!J65+'[108]Feb 14'!J65+'[108]Mar 14'!J65</f>
        <v>0</v>
      </c>
      <c r="K65" s="943"/>
      <c r="L65" s="943">
        <f>+'[108]Apr 13'!L65+'[108]May 13'!L65+'[108]Jun 13'!L65+'[108]Jul 13'!L65+'[108]Aug 13'!L65+'[108]Sep 13'!L65+'[108]Oct 13'!L65+'[108]Nov 13'!L65+'[108]Dec 13'!L65+'[108]Jan 14'!L65+'[108]Feb 14'!L65+'[108]Mar 14'!L65</f>
        <v>0</v>
      </c>
      <c r="M65" s="943">
        <f>+'[108]Apr 13'!M65+'[108]May 13'!M65+'[108]Jun 13'!M65+'[108]Jul 13'!M65+'[108]Aug 13'!M65+'[108]Sep 13'!M65+'[108]Oct 13'!M65+'[108]Nov 13'!M65+'[108]Dec 13'!M65+'[108]Jan 14'!M65+'[108]Feb 14'!M65+'[108]Mar 14'!M65</f>
        <v>0</v>
      </c>
      <c r="N65" s="943"/>
      <c r="O65" s="944"/>
    </row>
    <row r="66" spans="2:15" ht="15.75" hidden="1" thickBot="1">
      <c r="B66" s="977"/>
      <c r="C66" s="978"/>
      <c r="D66" s="978"/>
      <c r="E66" s="978"/>
      <c r="F66" s="965">
        <v>5.66</v>
      </c>
      <c r="G66" s="965">
        <v>1.52</v>
      </c>
      <c r="H66" s="965"/>
      <c r="I66" s="966">
        <f>+'[108]Apr 13'!I66+'[108]May 13'!I66+'[108]Jun 13'!I66+'[108]Jul 13'!I66+'[108]Aug 13'!I66+'[108]Sep 13'!I66+'[108]Oct 13'!I66+'[108]Nov 13'!I66+'[108]Dec 13'!I66+'[108]Jan 14'!I66+'[108]Feb 14'!I66+'[108]Mar 14'!I66</f>
        <v>12520590.939999999</v>
      </c>
      <c r="J66" s="951">
        <f>+'[108]Apr 13'!J66+'[108]May 13'!J66+'[108]Jun 13'!J66+'[108]Jul 13'!J66+'[108]Aug 13'!J66+'[108]Sep 13'!J66+'[108]Oct 13'!J66+'[108]Nov 13'!J66+'[108]Dec 13'!J66+'[108]Jan 14'!J66+'[108]Feb 14'!J66+'[108]Mar 14'!J66</f>
        <v>70866544.720400006</v>
      </c>
      <c r="K66" s="951"/>
      <c r="L66" s="951">
        <f>+'[108]Apr 13'!L66+'[108]May 13'!L66+'[108]Jun 13'!L66+'[108]Jul 13'!L66+'[108]Aug 13'!L66+'[108]Sep 13'!L66+'[108]Oct 13'!L66+'[108]Nov 13'!L66+'[108]Dec 13'!L66+'[108]Jan 14'!L66+'[108]Feb 14'!L66+'[108]Mar 14'!L66</f>
        <v>19031298.228799999</v>
      </c>
      <c r="M66" s="951">
        <f>+'[108]Apr 13'!M66+'[108]May 13'!M66+'[108]Jun 13'!M66+'[108]Jul 13'!M66+'[108]Aug 13'!M66+'[108]Sep 13'!M66+'[108]Oct 13'!M66+'[108]Nov 13'!M66+'[108]Dec 13'!M66+'[108]Jan 14'!M66+'[108]Feb 14'!M66+'[108]Mar 14'!M66</f>
        <v>0</v>
      </c>
      <c r="N66" s="951"/>
      <c r="O66" s="967"/>
    </row>
    <row r="67" spans="2:15" ht="15.75" hidden="1" thickBot="1">
      <c r="B67" s="979"/>
      <c r="C67" s="980"/>
      <c r="D67" s="980"/>
      <c r="E67" s="980"/>
      <c r="F67" s="970">
        <v>6.75</v>
      </c>
      <c r="G67" s="970">
        <v>1.52</v>
      </c>
      <c r="H67" s="970">
        <v>1.1200000000000001</v>
      </c>
      <c r="I67" s="955">
        <f>+'[108]Apr 13'!I67+'[108]May 13'!I67+'[108]Jun 13'!I67+'[108]Jul 13'!I67+'[108]Aug 13'!I67+'[108]Sep 13'!I67+'[108]Oct 13'!I67+'[108]Nov 13'!I67+'[108]Dec 13'!I67+'[108]Jan 14'!I67+'[108]Feb 14'!I67+'[108]Mar 14'!I67</f>
        <v>14202550.649999999</v>
      </c>
      <c r="J67" s="956">
        <f>+'[108]Apr 13'!J67+'[108]May 13'!J67+'[108]Jun 13'!J67+'[108]Jul 13'!J67+'[108]Aug 13'!J67+'[108]Sep 13'!J67+'[108]Oct 13'!J67+'[108]Nov 13'!J67+'[108]Dec 13'!J67+'[108]Jan 14'!J67+'[108]Feb 14'!J67+'[108]Mar 14'!J67</f>
        <v>95867216.887500003</v>
      </c>
      <c r="K67" s="956"/>
      <c r="L67" s="956">
        <f>+'[108]Apr 13'!L67+'[108]May 13'!L67+'[108]Jun 13'!L67+'[108]Jul 13'!L67+'[108]Aug 13'!L67+'[108]Sep 13'!L67+'[108]Oct 13'!L67+'[108]Nov 13'!L67+'[108]Dec 13'!L67+'[108]Jan 14'!L67+'[108]Feb 14'!L67+'[108]Mar 14'!L67</f>
        <v>21587876.987999998</v>
      </c>
      <c r="M67" s="956">
        <f>+'[108]Apr 13'!M67+'[108]May 13'!M67+'[108]Jun 13'!M67+'[108]Jul 13'!M67+'[108]Aug 13'!M67+'[108]Sep 13'!M67+'[108]Oct 13'!M67+'[108]Nov 13'!M67+'[108]Dec 13'!M67+'[108]Jan 14'!M67+'[108]Feb 14'!M67+'[108]Mar 14'!M67</f>
        <v>15906856.728</v>
      </c>
      <c r="N67" s="956"/>
      <c r="O67" s="957"/>
    </row>
    <row r="68" spans="2:15" ht="15.75" thickBot="1">
      <c r="B68" s="975" t="s">
        <v>34</v>
      </c>
      <c r="C68" s="976" t="s">
        <v>28</v>
      </c>
      <c r="D68" s="976"/>
      <c r="E68" s="976"/>
      <c r="F68" s="960"/>
      <c r="G68" s="960"/>
      <c r="H68" s="960"/>
      <c r="I68" s="942">
        <f>SUM(I65:I67)</f>
        <v>26723141.589999996</v>
      </c>
      <c r="J68" s="943">
        <f>SUM(J65:J67)</f>
        <v>166733761.60790002</v>
      </c>
      <c r="K68" s="943">
        <f>+'[108]Apr 13'!K68+'[108]May 13'!K68+'[108]Jun 13'!K68+'[108]Jul 13'!K68+'[108]Aug 13'!K68+'[108]Sep 13'!K68+'[108]Oct 13'!K68+'[108]Nov 13'!K68+'[108]Dec 13'!K68+'[108]Jan 14'!K68+'[108]Feb 14'!K68+'[108]Mar 14'!K68</f>
        <v>22103370.689999998</v>
      </c>
      <c r="L68" s="943">
        <f>SUM(L65:L67)</f>
        <v>40619175.216799997</v>
      </c>
      <c r="M68" s="943">
        <f>SUM(M65:M67)</f>
        <v>15906856.728</v>
      </c>
      <c r="N68" s="943">
        <f>SUM(J68:M68)</f>
        <v>245363164.24270004</v>
      </c>
      <c r="O68" s="944">
        <f>+N68/I68</f>
        <v>9.1816736223302726</v>
      </c>
    </row>
    <row r="69" spans="2:15" ht="15.75" hidden="1" thickBot="1">
      <c r="B69" s="975" t="s">
        <v>2230</v>
      </c>
      <c r="C69" s="976"/>
      <c r="D69" s="976"/>
      <c r="E69" s="976"/>
      <c r="F69" s="960">
        <v>5.3</v>
      </c>
      <c r="G69" s="960"/>
      <c r="H69" s="960"/>
      <c r="I69" s="942">
        <f>+'[108]Apr 13'!I69+'[108]May 13'!I69+'[108]Jun 13'!I69+'[108]Jul 13'!I69+'[108]Aug 13'!I69+'[108]Sep 13'!I69+'[108]Oct 13'!I69+'[108]Nov 13'!I69+'[108]Dec 13'!I69+'[108]Jan 14'!I69+'[108]Feb 14'!I69+'[108]Mar 14'!I69</f>
        <v>2383</v>
      </c>
      <c r="J69" s="943">
        <f>+'[108]Apr 13'!J69+'[108]May 13'!J69+'[108]Jun 13'!J69+'[108]Jul 13'!J69+'[108]Aug 13'!J69+'[108]Sep 13'!J69+'[108]Oct 13'!J69+'[108]Nov 13'!J69+'[108]Dec 13'!J69+'[108]Jan 14'!J69+'[108]Feb 14'!J69+'[108]Mar 14'!J69</f>
        <v>12629.9</v>
      </c>
      <c r="K69" s="943"/>
      <c r="L69" s="943">
        <f>+'[108]Apr 13'!L69+'[108]May 13'!L69+'[108]Jun 13'!L69+'[108]Jul 13'!L69+'[108]Aug 13'!L69+'[108]Sep 13'!L69+'[108]Oct 13'!L69+'[108]Nov 13'!L69+'[108]Dec 13'!L69+'[108]Jan 14'!L69+'[108]Feb 14'!L69+'[108]Mar 14'!L69</f>
        <v>0</v>
      </c>
      <c r="M69" s="943">
        <f>+'[108]Apr 13'!M69+'[108]May 13'!M69+'[108]Jun 13'!M69+'[108]Jul 13'!M69+'[108]Aug 13'!M69+'[108]Sep 13'!M69+'[108]Oct 13'!M69+'[108]Nov 13'!M69+'[108]Dec 13'!M69+'[108]Jan 14'!M69+'[108]Feb 14'!M69+'[108]Mar 14'!M69</f>
        <v>0</v>
      </c>
      <c r="N69" s="943"/>
      <c r="O69" s="944"/>
    </row>
    <row r="70" spans="2:15" ht="15.75" hidden="1" thickBot="1">
      <c r="B70" s="977"/>
      <c r="C70" s="978"/>
      <c r="D70" s="978"/>
      <c r="E70" s="978"/>
      <c r="F70" s="965">
        <v>5.66</v>
      </c>
      <c r="G70" s="965">
        <v>1.52</v>
      </c>
      <c r="H70" s="965"/>
      <c r="I70" s="966">
        <f>+'[108]Apr 13'!I70+'[108]May 13'!I70+'[108]Jun 13'!I70+'[108]Jul 13'!I70+'[108]Aug 13'!I70+'[108]Sep 13'!I70+'[108]Oct 13'!I70+'[108]Nov 13'!I70+'[108]Dec 13'!I70+'[108]Jan 14'!I70+'[108]Feb 14'!I70+'[108]Mar 14'!I70</f>
        <v>2024480</v>
      </c>
      <c r="J70" s="951">
        <f>+'[108]Apr 13'!J70+'[108]May 13'!J70+'[108]Jun 13'!J70+'[108]Jul 13'!J70+'[108]Aug 13'!J70+'[108]Sep 13'!J70+'[108]Oct 13'!J70+'[108]Nov 13'!J70+'[108]Dec 13'!J70+'[108]Jan 14'!J70+'[108]Feb 14'!J70+'[108]Mar 14'!J70</f>
        <v>11458556.800000001</v>
      </c>
      <c r="K70" s="951"/>
      <c r="L70" s="951">
        <f>+'[108]Apr 13'!L70+'[108]May 13'!L70+'[108]Jun 13'!L70+'[108]Jul 13'!L70+'[108]Aug 13'!L70+'[108]Sep 13'!L70+'[108]Oct 13'!L70+'[108]Nov 13'!L70+'[108]Dec 13'!L70+'[108]Jan 14'!L70+'[108]Feb 14'!L70+'[108]Mar 14'!L70</f>
        <v>3077209.5999999996</v>
      </c>
      <c r="M70" s="951">
        <f>+'[108]Apr 13'!M70+'[108]May 13'!M70+'[108]Jun 13'!M70+'[108]Jul 13'!M70+'[108]Aug 13'!M70+'[108]Sep 13'!M70+'[108]Oct 13'!M70+'[108]Nov 13'!M70+'[108]Dec 13'!M70+'[108]Jan 14'!M70+'[108]Feb 14'!M70+'[108]Mar 14'!M70</f>
        <v>0</v>
      </c>
      <c r="N70" s="951"/>
      <c r="O70" s="967"/>
    </row>
    <row r="71" spans="2:15" ht="15.75" hidden="1" thickBot="1">
      <c r="B71" s="979"/>
      <c r="C71" s="980"/>
      <c r="D71" s="980"/>
      <c r="E71" s="980"/>
      <c r="F71" s="970">
        <v>6.75</v>
      </c>
      <c r="G71" s="970">
        <v>1.52</v>
      </c>
      <c r="H71" s="970">
        <v>1.1200000000000001</v>
      </c>
      <c r="I71" s="955">
        <f>+'[108]Apr 13'!I71+'[108]May 13'!I71+'[108]Jun 13'!I71+'[108]Jul 13'!I71+'[108]Aug 13'!I71+'[108]Sep 13'!I71+'[108]Oct 13'!I71+'[108]Nov 13'!I71+'[108]Dec 13'!I71+'[108]Jan 14'!I71+'[108]Feb 14'!I71+'[108]Mar 14'!I71</f>
        <v>2244612</v>
      </c>
      <c r="J71" s="956">
        <f>+'[108]Apr 13'!J71+'[108]May 13'!J71+'[108]Jun 13'!J71+'[108]Jul 13'!J71+'[108]Aug 13'!J71+'[108]Sep 13'!J71+'[108]Oct 13'!J71+'[108]Nov 13'!J71+'[108]Dec 13'!J71+'[108]Jan 14'!J71+'[108]Feb 14'!J71+'[108]Mar 14'!J71</f>
        <v>15151131</v>
      </c>
      <c r="K71" s="956"/>
      <c r="L71" s="956">
        <f>+'[108]Apr 13'!L71+'[108]May 13'!L71+'[108]Jun 13'!L71+'[108]Jul 13'!L71+'[108]Aug 13'!L71+'[108]Sep 13'!L71+'[108]Oct 13'!L71+'[108]Nov 13'!L71+'[108]Dec 13'!L71+'[108]Jan 14'!L71+'[108]Feb 14'!L71+'[108]Mar 14'!L71</f>
        <v>3411810.2400000007</v>
      </c>
      <c r="M71" s="956">
        <f>+'[108]Apr 13'!M71+'[108]May 13'!M71+'[108]Jun 13'!M71+'[108]Jul 13'!M71+'[108]Aug 13'!M71+'[108]Sep 13'!M71+'[108]Oct 13'!M71+'[108]Nov 13'!M71+'[108]Dec 13'!M71+'[108]Jan 14'!M71+'[108]Feb 14'!M71+'[108]Mar 14'!M71</f>
        <v>2371666.08</v>
      </c>
      <c r="N71" s="956"/>
      <c r="O71" s="957"/>
    </row>
    <row r="72" spans="2:15" ht="15.75" thickBot="1">
      <c r="B72" s="979" t="s">
        <v>35</v>
      </c>
      <c r="C72" s="980" t="s">
        <v>28</v>
      </c>
      <c r="D72" s="980">
        <v>604</v>
      </c>
      <c r="E72" s="980">
        <v>124</v>
      </c>
      <c r="F72" s="970"/>
      <c r="G72" s="970"/>
      <c r="H72" s="970"/>
      <c r="I72" s="942">
        <f>SUM(I69:I71)</f>
        <v>4271475</v>
      </c>
      <c r="J72" s="943">
        <f>SUM(J69:J71)</f>
        <v>26622317.700000003</v>
      </c>
      <c r="K72" s="943">
        <f>+'[108]Apr 13'!K72+'[108]May 13'!K72+'[108]Jun 13'!K72+'[108]Jul 13'!K72+'[108]Aug 13'!K72+'[108]Sep 13'!K72+'[108]Oct 13'!K72+'[108]Nov 13'!K72+'[108]Dec 13'!K72+'[108]Jan 14'!K72+'[108]Feb 14'!K72+'[108]Mar 14'!K72</f>
        <v>2615122.9499999997</v>
      </c>
      <c r="L72" s="943">
        <f>SUM(L69:L71)</f>
        <v>6489019.8399999999</v>
      </c>
      <c r="M72" s="943">
        <f>SUM(M69:M71)</f>
        <v>2371666.08</v>
      </c>
      <c r="N72" s="943">
        <f>SUM(J72:M72)</f>
        <v>38098126.57</v>
      </c>
      <c r="O72" s="944">
        <f>+N72/I72</f>
        <v>8.9191968980270282</v>
      </c>
    </row>
    <row r="73" spans="2:15" ht="15.75" hidden="1" thickBot="1">
      <c r="B73" s="975" t="s">
        <v>36</v>
      </c>
      <c r="C73" s="976"/>
      <c r="D73" s="976"/>
      <c r="E73" s="976"/>
      <c r="F73" s="960">
        <v>2.85</v>
      </c>
      <c r="G73" s="960"/>
      <c r="H73" s="960"/>
      <c r="I73" s="942">
        <f>+'[108]Apr 13'!I73+'[108]May 13'!I73+'[108]Jun 13'!I73+'[108]Jul 13'!I73+'[108]Aug 13'!I73+'[108]Sep 13'!I73+'[108]Oct 13'!I73+'[108]Nov 13'!I73+'[108]Dec 13'!I73+'[108]Jan 14'!I73+'[108]Feb 14'!I73+'[108]Mar 14'!I73</f>
        <v>684</v>
      </c>
      <c r="J73" s="943">
        <f>+'[108]Apr 13'!J73+'[108]May 13'!J73+'[108]Jun 13'!J73+'[108]Jul 13'!J73+'[108]Aug 13'!J73+'[108]Sep 13'!J73+'[108]Oct 13'!J73+'[108]Nov 13'!J73+'[108]Dec 13'!J73+'[108]Jan 14'!J73+'[108]Feb 14'!J73+'[108]Mar 14'!J73</f>
        <v>1949.4</v>
      </c>
      <c r="K73" s="943"/>
      <c r="L73" s="943">
        <f>+'[108]Apr 13'!L73+'[108]May 13'!L73+'[108]Jun 13'!L73+'[108]Jul 13'!L73+'[108]Aug 13'!L73+'[108]Sep 13'!L73+'[108]Oct 13'!L73+'[108]Nov 13'!L73+'[108]Dec 13'!L73+'[108]Jan 14'!L73+'[108]Feb 14'!L73+'[108]Mar 14'!L73</f>
        <v>0</v>
      </c>
      <c r="M73" s="943">
        <f>+'[108]Apr 13'!M73+'[108]May 13'!M73+'[108]Jun 13'!M73+'[108]Jul 13'!M73+'[108]Aug 13'!M73+'[108]Sep 13'!M73+'[108]Oct 13'!M73+'[108]Nov 13'!M73+'[108]Dec 13'!M73+'[108]Jan 14'!M73+'[108]Feb 14'!M73+'[108]Mar 14'!M73</f>
        <v>0</v>
      </c>
      <c r="N73" s="943"/>
      <c r="O73" s="944"/>
    </row>
    <row r="74" spans="2:15" ht="15.75" hidden="1" thickBot="1">
      <c r="B74" s="977"/>
      <c r="C74" s="978"/>
      <c r="D74" s="978"/>
      <c r="E74" s="978"/>
      <c r="F74" s="965">
        <v>3.23</v>
      </c>
      <c r="G74" s="965">
        <v>0.87</v>
      </c>
      <c r="H74" s="965"/>
      <c r="I74" s="966">
        <f>+'[108]Apr 13'!I74+'[108]May 13'!I74+'[108]Jun 13'!I74+'[108]Jul 13'!I74+'[108]Aug 13'!I74+'[108]Sep 13'!I74+'[108]Oct 13'!I74+'[108]Nov 13'!I74+'[108]Dec 13'!I74+'[108]Jan 14'!I74+'[108]Feb 14'!I74+'[108]Mar 14'!I74</f>
        <v>2154178</v>
      </c>
      <c r="J74" s="951">
        <f>+'[108]Apr 13'!J74+'[108]May 13'!J74+'[108]Jun 13'!J74+'[108]Jul 13'!J74+'[108]Aug 13'!J74+'[108]Sep 13'!J74+'[108]Oct 13'!J74+'[108]Nov 13'!J74+'[108]Dec 13'!J74+'[108]Jan 14'!J74+'[108]Feb 14'!J74+'[108]Mar 14'!J74</f>
        <v>6957994.9399999976</v>
      </c>
      <c r="K74" s="951"/>
      <c r="L74" s="951">
        <f>+'[108]Apr 13'!L74+'[108]May 13'!L74+'[108]Jun 13'!L74+'[108]Jul 13'!L74+'[108]Aug 13'!L74+'[108]Sep 13'!L74+'[108]Oct 13'!L74+'[108]Nov 13'!L74+'[108]Dec 13'!L74+'[108]Jan 14'!L74+'[108]Feb 14'!L74+'[108]Mar 14'!L74</f>
        <v>1874134.8599999996</v>
      </c>
      <c r="M74" s="951">
        <f>+'[108]Apr 13'!M74+'[108]May 13'!M74+'[108]Jun 13'!M74+'[108]Jul 13'!M74+'[108]Aug 13'!M74+'[108]Sep 13'!M74+'[108]Oct 13'!M74+'[108]Nov 13'!M74+'[108]Dec 13'!M74+'[108]Jan 14'!M74+'[108]Feb 14'!M74+'[108]Mar 14'!M74</f>
        <v>0</v>
      </c>
      <c r="N74" s="951"/>
      <c r="O74" s="967"/>
    </row>
    <row r="75" spans="2:15" ht="15.75" hidden="1" thickBot="1">
      <c r="B75" s="979"/>
      <c r="C75" s="980"/>
      <c r="D75" s="980"/>
      <c r="E75" s="980"/>
      <c r="F75" s="970">
        <v>3.5</v>
      </c>
      <c r="G75" s="970">
        <v>0.87</v>
      </c>
      <c r="H75" s="970">
        <v>0.72</v>
      </c>
      <c r="I75" s="955">
        <f>+'[108]Apr 13'!I75+'[108]May 13'!I75+'[108]Jun 13'!I75+'[108]Jul 13'!I75+'[108]Aug 13'!I75+'[108]Sep 13'!I75+'[108]Oct 13'!I75+'[108]Nov 13'!I75+'[108]Dec 13'!I75+'[108]Jan 14'!I75+'[108]Feb 14'!I75+'[108]Mar 14'!I75</f>
        <v>1903688</v>
      </c>
      <c r="J75" s="956">
        <f>+'[108]Apr 13'!J75+'[108]May 13'!J75+'[108]Jun 13'!J75+'[108]Jul 13'!J75+'[108]Aug 13'!J75+'[108]Sep 13'!J75+'[108]Oct 13'!J75+'[108]Nov 13'!J75+'[108]Dec 13'!J75+'[108]Jan 14'!J75+'[108]Feb 14'!J75+'[108]Mar 14'!J75</f>
        <v>6662908</v>
      </c>
      <c r="K75" s="956"/>
      <c r="L75" s="956">
        <f>+'[108]Apr 13'!L75+'[108]May 13'!L75+'[108]Jun 13'!L75+'[108]Jul 13'!L75+'[108]Aug 13'!L75+'[108]Sep 13'!L75+'[108]Oct 13'!L75+'[108]Nov 13'!L75+'[108]Dec 13'!L75+'[108]Jan 14'!L75+'[108]Feb 14'!L75+'[108]Mar 14'!L75</f>
        <v>1656208.5599999998</v>
      </c>
      <c r="M75" s="956">
        <f>+'[108]Apr 13'!M75+'[108]May 13'!M75+'[108]Jun 13'!M75+'[108]Jul 13'!M75+'[108]Aug 13'!M75+'[108]Sep 13'!M75+'[108]Oct 13'!M75+'[108]Nov 13'!M75+'[108]Dec 13'!M75+'[108]Jan 14'!M75+'[108]Feb 14'!M75+'[108]Mar 14'!M75</f>
        <v>1302228</v>
      </c>
      <c r="N75" s="956"/>
      <c r="O75" s="957"/>
    </row>
    <row r="76" spans="2:15" ht="15.75" thickBot="1">
      <c r="B76" s="979" t="s">
        <v>36</v>
      </c>
      <c r="C76" s="980" t="s">
        <v>28</v>
      </c>
      <c r="D76" s="980">
        <v>1</v>
      </c>
      <c r="E76" s="980">
        <v>2</v>
      </c>
      <c r="F76" s="970"/>
      <c r="G76" s="970"/>
      <c r="H76" s="970"/>
      <c r="I76" s="942">
        <f>SUM(I73:I75)</f>
        <v>4058550</v>
      </c>
      <c r="J76" s="943">
        <f>SUM(J73:J75)</f>
        <v>13622852.339999998</v>
      </c>
      <c r="K76" s="943">
        <f>+'[108]Apr 13'!K76+'[108]May 13'!K76+'[108]Jun 13'!K76+'[108]Jul 13'!K76+'[108]Aug 13'!K76+'[108]Sep 13'!K76+'[108]Oct 13'!K76+'[108]Nov 13'!K76+'[108]Dec 13'!K76+'[108]Jan 14'!K76+'[108]Feb 14'!K76+'[108]Mar 14'!K76</f>
        <v>711395.5</v>
      </c>
      <c r="L76" s="943">
        <f>SUM(L73:L75)</f>
        <v>3530343.4199999995</v>
      </c>
      <c r="M76" s="943">
        <f>SUM(M73:M75)</f>
        <v>1302228</v>
      </c>
      <c r="N76" s="943">
        <f>SUM(J76:M76)</f>
        <v>19166819.259999998</v>
      </c>
      <c r="O76" s="944">
        <f>+N76/I76</f>
        <v>4.7225780783777456</v>
      </c>
    </row>
    <row r="77" spans="2:15" ht="15.75" hidden="1" thickBot="1">
      <c r="B77" s="975" t="s">
        <v>37</v>
      </c>
      <c r="C77" s="976"/>
      <c r="D77" s="976"/>
      <c r="E77" s="976"/>
      <c r="F77" s="960">
        <v>8.75</v>
      </c>
      <c r="G77" s="960"/>
      <c r="H77" s="960"/>
      <c r="I77" s="942">
        <f>+'[108]Apr 13'!I77+'[108]May 13'!I77+'[108]Jun 13'!I77+'[108]Jul 13'!I77+'[108]Aug 13'!I77+'[108]Sep 13'!I77+'[108]Oct 13'!I77+'[108]Nov 13'!I77+'[108]Dec 13'!I77+'[108]Jan 14'!I77+'[108]Feb 14'!I77+'[108]Mar 14'!I77</f>
        <v>444</v>
      </c>
      <c r="J77" s="943">
        <f>+'[108]Apr 13'!J77+'[108]May 13'!J77+'[108]Jun 13'!J77+'[108]Jul 13'!J77+'[108]Aug 13'!J77+'[108]Sep 13'!J77+'[108]Oct 13'!J77+'[108]Nov 13'!J77+'[108]Dec 13'!J77+'[108]Jan 14'!J77+'[108]Feb 14'!J77+'[108]Mar 14'!J77</f>
        <v>3885</v>
      </c>
      <c r="K77" s="943"/>
      <c r="L77" s="943">
        <f>+'[108]Apr 13'!L77+'[108]May 13'!L77+'[108]Jun 13'!L77+'[108]Jul 13'!L77+'[108]Aug 13'!L77+'[108]Sep 13'!L77+'[108]Oct 13'!L77+'[108]Nov 13'!L77+'[108]Dec 13'!L77+'[108]Jan 14'!L77+'[108]Feb 14'!L77+'[108]Mar 14'!L77</f>
        <v>0</v>
      </c>
      <c r="M77" s="943">
        <f>+'[108]Apr 13'!M77+'[108]May 13'!M77+'[108]Jun 13'!M77+'[108]Jul 13'!M77+'[108]Aug 13'!M77+'[108]Sep 13'!M77+'[108]Oct 13'!M77+'[108]Nov 13'!M77+'[108]Dec 13'!M77+'[108]Jan 14'!M77+'[108]Feb 14'!M77+'[108]Mar 14'!M77</f>
        <v>0</v>
      </c>
      <c r="N77" s="943"/>
      <c r="O77" s="944"/>
    </row>
    <row r="78" spans="2:15" ht="15.75" hidden="1" thickBot="1">
      <c r="B78" s="977"/>
      <c r="C78" s="978"/>
      <c r="D78" s="978"/>
      <c r="E78" s="978"/>
      <c r="F78" s="965">
        <v>9.39</v>
      </c>
      <c r="G78" s="965">
        <v>2.5299999999999998</v>
      </c>
      <c r="H78" s="965"/>
      <c r="I78" s="966">
        <f>+'[108]Apr 13'!I78+'[108]May 13'!I78+'[108]Jun 13'!I78+'[108]Jul 13'!I78+'[108]Aug 13'!I78+'[108]Sep 13'!I78+'[108]Oct 13'!I78+'[108]Nov 13'!I78+'[108]Dec 13'!I78+'[108]Jan 14'!I78+'[108]Feb 14'!I78+'[108]Mar 14'!I78</f>
        <v>17139024</v>
      </c>
      <c r="J78" s="951">
        <f>+'[108]Apr 13'!J78+'[108]May 13'!J78+'[108]Jun 13'!J78+'[108]Jul 13'!J78+'[108]Aug 13'!J78+'[108]Sep 13'!J78+'[108]Oct 13'!J78+'[108]Nov 13'!J78+'[108]Dec 13'!J78+'[108]Jan 14'!J78+'[108]Feb 14'!J78+'[108]Mar 14'!J78</f>
        <v>160935435.36000001</v>
      </c>
      <c r="K78" s="951"/>
      <c r="L78" s="951">
        <f>+'[108]Apr 13'!L78+'[108]May 13'!L78+'[108]Jun 13'!L78+'[108]Jul 13'!L78+'[108]Aug 13'!L78+'[108]Sep 13'!L78+'[108]Oct 13'!L78+'[108]Nov 13'!L78+'[108]Dec 13'!L78+'[108]Jan 14'!L78+'[108]Feb 14'!L78+'[108]Mar 14'!L78</f>
        <v>43361730.719999999</v>
      </c>
      <c r="M78" s="951">
        <f>+'[108]Apr 13'!M78+'[108]May 13'!M78+'[108]Jun 13'!M78+'[108]Jul 13'!M78+'[108]Aug 13'!M78+'[108]Sep 13'!M78+'[108]Oct 13'!M78+'[108]Nov 13'!M78+'[108]Dec 13'!M78+'[108]Jan 14'!M78+'[108]Feb 14'!M78+'[108]Mar 14'!M78</f>
        <v>0</v>
      </c>
      <c r="N78" s="951"/>
      <c r="O78" s="967"/>
    </row>
    <row r="79" spans="2:15" ht="15.75" hidden="1" thickBot="1">
      <c r="B79" s="979"/>
      <c r="C79" s="980"/>
      <c r="D79" s="980"/>
      <c r="E79" s="980"/>
      <c r="F79" s="970">
        <v>10.5</v>
      </c>
      <c r="G79" s="970">
        <v>2.5299999999999998</v>
      </c>
      <c r="H79" s="970">
        <v>1.89</v>
      </c>
      <c r="I79" s="955">
        <f>+'[108]Apr 13'!I79+'[108]May 13'!I79+'[108]Jun 13'!I79+'[108]Jul 13'!I79+'[108]Aug 13'!I79+'[108]Sep 13'!I79+'[108]Oct 13'!I79+'[108]Nov 13'!I79+'[108]Dec 13'!I79+'[108]Jan 14'!I79+'[108]Feb 14'!I79+'[108]Mar 14'!I79</f>
        <v>19834651</v>
      </c>
      <c r="J79" s="956">
        <f>+'[108]Apr 13'!J79+'[108]May 13'!J79+'[108]Jun 13'!J79+'[108]Jul 13'!J79+'[108]Aug 13'!J79+'[108]Sep 13'!J79+'[108]Oct 13'!J79+'[108]Nov 13'!J79+'[108]Dec 13'!J79+'[108]Jan 14'!J79+'[108]Feb 14'!J79+'[108]Mar 14'!J79</f>
        <v>208263835.5</v>
      </c>
      <c r="K79" s="956"/>
      <c r="L79" s="956">
        <f>+'[108]Apr 13'!L79+'[108]May 13'!L79+'[108]Jun 13'!L79+'[108]Jul 13'!L79+'[108]Aug 13'!L79+'[108]Sep 13'!L79+'[108]Oct 13'!L79+'[108]Nov 13'!L79+'[108]Dec 13'!L79+'[108]Jan 14'!L79+'[108]Feb 14'!L79+'[108]Mar 14'!L79</f>
        <v>50181667.029999994</v>
      </c>
      <c r="M79" s="956">
        <f>+'[108]Apr 13'!M79+'[108]May 13'!M79+'[108]Jun 13'!M79+'[108]Jul 13'!M79+'[108]Aug 13'!M79+'[108]Sep 13'!M79+'[108]Oct 13'!M79+'[108]Nov 13'!M79+'[108]Dec 13'!M79+'[108]Jan 14'!M79+'[108]Feb 14'!M79+'[108]Mar 14'!M79</f>
        <v>35222206.319999993</v>
      </c>
      <c r="N79" s="956"/>
      <c r="O79" s="957"/>
    </row>
    <row r="80" spans="2:15" ht="15.75" thickBot="1">
      <c r="B80" s="979" t="s">
        <v>37</v>
      </c>
      <c r="C80" s="980" t="s">
        <v>28</v>
      </c>
      <c r="D80" s="980">
        <v>150</v>
      </c>
      <c r="E80" s="980">
        <v>1502</v>
      </c>
      <c r="F80" s="970"/>
      <c r="G80" s="970"/>
      <c r="H80" s="970"/>
      <c r="I80" s="942">
        <f>SUM(I77:I79)</f>
        <v>36974119</v>
      </c>
      <c r="J80" s="943">
        <f>SUM(J77:J79)</f>
        <v>369203155.86000001</v>
      </c>
      <c r="K80" s="943">
        <f>+'[108]Apr 13'!K80+'[108]May 13'!K80+'[108]Jun 13'!K80+'[108]Jul 13'!K80+'[108]Aug 13'!K80+'[108]Sep 13'!K80+'[108]Oct 13'!K80+'[108]Nov 13'!K80+'[108]Dec 13'!K80+'[108]Jan 14'!K80+'[108]Feb 14'!K80+'[108]Mar 14'!K80</f>
        <v>23091013.310000002</v>
      </c>
      <c r="L80" s="943">
        <f>SUM(L77:L79)</f>
        <v>93543397.75</v>
      </c>
      <c r="M80" s="943">
        <f>SUM(M77:M79)</f>
        <v>35222206.319999993</v>
      </c>
      <c r="N80" s="943">
        <f>SUM(J80:M80)</f>
        <v>521059773.24000001</v>
      </c>
      <c r="O80" s="944">
        <f>+N80/I80</f>
        <v>14.092554125224728</v>
      </c>
    </row>
    <row r="81" spans="2:15" ht="15.75" hidden="1" thickBot="1">
      <c r="B81" s="975" t="s">
        <v>38</v>
      </c>
      <c r="C81" s="976"/>
      <c r="D81" s="976"/>
      <c r="E81" s="976"/>
      <c r="F81" s="960">
        <v>2.65</v>
      </c>
      <c r="G81" s="960"/>
      <c r="H81" s="960"/>
      <c r="I81" s="942">
        <f>+'[108]Apr 13'!I81+'[108]May 13'!I81+'[108]Jun 13'!I81+'[108]Jul 13'!I81+'[108]Aug 13'!I81+'[108]Sep 13'!I81+'[108]Oct 13'!I81+'[108]Nov 13'!I81+'[108]Dec 13'!I81+'[108]Jan 14'!I81+'[108]Feb 14'!I81+'[108]Mar 14'!I81</f>
        <v>0</v>
      </c>
      <c r="J81" s="943">
        <f>+'[108]Apr 13'!J81+'[108]May 13'!J81+'[108]Jun 13'!J81+'[108]Jul 13'!J81+'[108]Aug 13'!J81+'[108]Sep 13'!J81+'[108]Oct 13'!J81+'[108]Nov 13'!J81+'[108]Dec 13'!J81+'[108]Jan 14'!J81+'[108]Feb 14'!J81+'[108]Mar 14'!J81</f>
        <v>0</v>
      </c>
      <c r="K81" s="943"/>
      <c r="L81" s="943">
        <f>+'[108]Apr 13'!L81+'[108]May 13'!L81+'[108]Jun 13'!L81+'[108]Jul 13'!L81+'[108]Aug 13'!L81+'[108]Sep 13'!L81+'[108]Oct 13'!L81+'[108]Nov 13'!L81+'[108]Dec 13'!L81+'[108]Jan 14'!L81+'[108]Feb 14'!L81+'[108]Mar 14'!L81</f>
        <v>0</v>
      </c>
      <c r="M81" s="943">
        <f>+'[108]Apr 13'!M81+'[108]May 13'!M81+'[108]Jun 13'!M81+'[108]Jul 13'!M81+'[108]Aug 13'!M81+'[108]Sep 13'!M81+'[108]Oct 13'!M81+'[108]Nov 13'!M81+'[108]Dec 13'!M81+'[108]Jan 14'!M81+'[108]Feb 14'!M81+'[108]Mar 14'!M81</f>
        <v>0</v>
      </c>
      <c r="N81" s="943"/>
      <c r="O81" s="944"/>
    </row>
    <row r="82" spans="2:15" ht="15.75" hidden="1" thickBot="1">
      <c r="B82" s="977"/>
      <c r="C82" s="978"/>
      <c r="D82" s="978"/>
      <c r="E82" s="978"/>
      <c r="F82" s="965">
        <v>3.1</v>
      </c>
      <c r="G82" s="965">
        <v>0.83</v>
      </c>
      <c r="H82" s="965"/>
      <c r="I82" s="966">
        <f>+'[108]Apr 13'!I82+'[108]May 13'!I82+'[108]Jun 13'!I82+'[108]Jul 13'!I82+'[108]Aug 13'!I82+'[108]Sep 13'!I82+'[108]Oct 13'!I82+'[108]Nov 13'!I82+'[108]Dec 13'!I82+'[108]Jan 14'!I82+'[108]Feb 14'!I82+'[108]Mar 14'!I82</f>
        <v>695671</v>
      </c>
      <c r="J82" s="951">
        <f>+'[108]Apr 13'!J82+'[108]May 13'!J82+'[108]Jun 13'!J82+'[108]Jul 13'!J82+'[108]Aug 13'!J82+'[108]Sep 13'!J82+'[108]Oct 13'!J82+'[108]Nov 13'!J82+'[108]Dec 13'!J82+'[108]Jan 14'!J82+'[108]Feb 14'!J82+'[108]Mar 14'!J82</f>
        <v>2156580.1</v>
      </c>
      <c r="K82" s="951"/>
      <c r="L82" s="951">
        <f>+'[108]Apr 13'!L82+'[108]May 13'!L82+'[108]Jun 13'!L82+'[108]Jul 13'!L82+'[108]Aug 13'!L82+'[108]Sep 13'!L82+'[108]Oct 13'!L82+'[108]Nov 13'!L82+'[108]Dec 13'!L82+'[108]Jan 14'!L82+'[108]Feb 14'!L82+'[108]Mar 14'!L82</f>
        <v>577406.92999999993</v>
      </c>
      <c r="M82" s="951">
        <f>+'[108]Apr 13'!M82+'[108]May 13'!M82+'[108]Jun 13'!M82+'[108]Jul 13'!M82+'[108]Aug 13'!M82+'[108]Sep 13'!M82+'[108]Oct 13'!M82+'[108]Nov 13'!M82+'[108]Dec 13'!M82+'[108]Jan 14'!M82+'[108]Feb 14'!M82+'[108]Mar 14'!M82</f>
        <v>0</v>
      </c>
      <c r="N82" s="951"/>
      <c r="O82" s="967"/>
    </row>
    <row r="83" spans="2:15" ht="15.75" hidden="1" thickBot="1">
      <c r="B83" s="979"/>
      <c r="C83" s="980"/>
      <c r="D83" s="980"/>
      <c r="E83" s="980"/>
      <c r="F83" s="970">
        <v>3.75</v>
      </c>
      <c r="G83" s="970">
        <v>0.83</v>
      </c>
      <c r="H83" s="970">
        <v>0.55000000000000004</v>
      </c>
      <c r="I83" s="955">
        <f>+'[108]Apr 13'!I83+'[108]May 13'!I83+'[108]Jun 13'!I83+'[108]Jul 13'!I83+'[108]Aug 13'!I83+'[108]Sep 13'!I83+'[108]Oct 13'!I83+'[108]Nov 13'!I83+'[108]Dec 13'!I83+'[108]Jan 14'!I83+'[108]Feb 14'!I83+'[108]Mar 14'!I83</f>
        <v>718292</v>
      </c>
      <c r="J83" s="956">
        <f>+'[108]Apr 13'!J83+'[108]May 13'!J83+'[108]Jun 13'!J83+'[108]Jul 13'!J83+'[108]Aug 13'!J83+'[108]Sep 13'!J83+'[108]Oct 13'!J83+'[108]Nov 13'!J83+'[108]Dec 13'!J83+'[108]Jan 14'!J83+'[108]Feb 14'!J83+'[108]Mar 14'!J83</f>
        <v>2693595</v>
      </c>
      <c r="K83" s="956"/>
      <c r="L83" s="956">
        <f>+'[108]Apr 13'!L83+'[108]May 13'!L83+'[108]Jun 13'!L83+'[108]Jul 13'!L83+'[108]Aug 13'!L83+'[108]Sep 13'!L83+'[108]Oct 13'!L83+'[108]Nov 13'!L83+'[108]Dec 13'!L83+'[108]Jan 14'!L83+'[108]Feb 14'!L83+'[108]Mar 14'!L83</f>
        <v>596182.35999999987</v>
      </c>
      <c r="M83" s="956">
        <f>+'[108]Apr 13'!M83+'[108]May 13'!M83+'[108]Jun 13'!M83+'[108]Jul 13'!M83+'[108]Aug 13'!M83+'[108]Sep 13'!M83+'[108]Oct 13'!M83+'[108]Nov 13'!M83+'[108]Dec 13'!M83+'[108]Jan 14'!M83+'[108]Feb 14'!M83+'[108]Mar 14'!M83</f>
        <v>393844.55000000005</v>
      </c>
      <c r="N83" s="956"/>
      <c r="O83" s="957"/>
    </row>
    <row r="84" spans="2:15" ht="15.75" thickBot="1">
      <c r="B84" s="979" t="s">
        <v>38</v>
      </c>
      <c r="C84" s="980" t="s">
        <v>28</v>
      </c>
      <c r="D84" s="980">
        <v>9</v>
      </c>
      <c r="E84" s="980">
        <v>20</v>
      </c>
      <c r="F84" s="970"/>
      <c r="G84" s="970"/>
      <c r="H84" s="970"/>
      <c r="I84" s="942">
        <f>SUM(I81:I83)</f>
        <v>1413963</v>
      </c>
      <c r="J84" s="943">
        <f>SUM(J81:J83)</f>
        <v>4850175.0999999996</v>
      </c>
      <c r="K84" s="943">
        <f>+'[108]Apr 13'!K84+'[108]May 13'!K84+'[108]Jun 13'!K84+'[108]Jul 13'!K84+'[108]Aug 13'!K84+'[108]Sep 13'!K84+'[108]Oct 13'!K84+'[108]Nov 13'!K84+'[108]Dec 13'!K84+'[108]Jan 14'!K84+'[108]Feb 14'!K84+'[108]Mar 14'!K84</f>
        <v>55282.03</v>
      </c>
      <c r="L84" s="943">
        <f>SUM(L81:L83)</f>
        <v>1173589.2899999998</v>
      </c>
      <c r="M84" s="943">
        <f>SUM(M81:M83)</f>
        <v>393844.55000000005</v>
      </c>
      <c r="N84" s="943">
        <f>SUM(J84:M84)</f>
        <v>6472890.9699999997</v>
      </c>
      <c r="O84" s="944">
        <f>+N84/I84</f>
        <v>4.5778361739310007</v>
      </c>
    </row>
    <row r="85" spans="2:15" ht="15.75" hidden="1" thickBot="1">
      <c r="B85" s="958" t="s">
        <v>39</v>
      </c>
      <c r="C85" s="976"/>
      <c r="D85" s="976"/>
      <c r="E85" s="976"/>
      <c r="F85" s="960">
        <v>6.8</v>
      </c>
      <c r="G85" s="960">
        <v>1.83</v>
      </c>
      <c r="H85" s="960"/>
      <c r="I85" s="942">
        <f>+'[108]Apr 13'!I85+'[108]May 13'!I85+'[108]Jun 13'!I85+'[108]Jul 13'!I85+'[108]Aug 13'!I85+'[108]Sep 13'!I85+'[108]Oct 13'!I85+'[108]Nov 13'!I85+'[108]Dec 13'!I85+'[108]Jan 14'!I85+'[108]Feb 14'!I85+'[108]Mar 14'!I85</f>
        <v>6304659</v>
      </c>
      <c r="J85" s="943">
        <f>+'[108]Apr 13'!J85+'[108]May 13'!J85+'[108]Jun 13'!J85+'[108]Jul 13'!J85+'[108]Aug 13'!J85+'[108]Sep 13'!J85+'[108]Oct 13'!J85+'[108]Nov 13'!J85+'[108]Dec 13'!J85+'[108]Jan 14'!J85+'[108]Feb 14'!J85+'[108]Mar 14'!J85</f>
        <v>42871681.199999996</v>
      </c>
      <c r="K85" s="943"/>
      <c r="L85" s="943">
        <f>+'[108]Apr 13'!L85+'[108]May 13'!L85+'[108]Jun 13'!L85+'[108]Jul 13'!L85+'[108]Aug 13'!L85+'[108]Sep 13'!L85+'[108]Oct 13'!L85+'[108]Nov 13'!L85+'[108]Dec 13'!L85+'[108]Jan 14'!L85+'[108]Feb 14'!L85+'[108]Mar 14'!L85</f>
        <v>11537525.970000001</v>
      </c>
      <c r="M85" s="943">
        <f>+'[108]Apr 13'!M85+'[108]May 13'!M85+'[108]Jun 13'!M85+'[108]Jul 13'!M85+'[108]Aug 13'!M85+'[108]Sep 13'!M85+'[108]Oct 13'!M85+'[108]Nov 13'!M85+'[108]Dec 13'!M85+'[108]Jan 14'!M85+'[108]Feb 14'!M85+'[108]Mar 14'!M85</f>
        <v>0</v>
      </c>
      <c r="N85" s="943"/>
      <c r="O85" s="944"/>
    </row>
    <row r="86" spans="2:15" ht="15.75" hidden="1" thickBot="1">
      <c r="B86" s="968"/>
      <c r="C86" s="980"/>
      <c r="D86" s="980"/>
      <c r="E86" s="980"/>
      <c r="F86" s="970">
        <v>7.3</v>
      </c>
      <c r="G86" s="970">
        <v>1.83</v>
      </c>
      <c r="H86" s="970">
        <v>1.51</v>
      </c>
      <c r="I86" s="955">
        <f>+'[108]Apr 13'!I86+'[108]May 13'!I86+'[108]Jun 13'!I86+'[108]Jul 13'!I86+'[108]Aug 13'!I86+'[108]Sep 13'!I86+'[108]Oct 13'!I86+'[108]Nov 13'!I86+'[108]Dec 13'!I86+'[108]Jan 14'!I86+'[108]Feb 14'!I86+'[108]Mar 14'!I86</f>
        <v>5377424</v>
      </c>
      <c r="J86" s="956">
        <f>+'[108]Apr 13'!J86+'[108]May 13'!J86+'[108]Jun 13'!J86+'[108]Jul 13'!J86+'[108]Aug 13'!J86+'[108]Sep 13'!J86+'[108]Oct 13'!J86+'[108]Nov 13'!J86+'[108]Dec 13'!J86+'[108]Jan 14'!J86+'[108]Feb 14'!J86+'[108]Mar 14'!J86</f>
        <v>39255195.200000003</v>
      </c>
      <c r="K86" s="956"/>
      <c r="L86" s="956">
        <f>+'[108]Apr 13'!L86+'[108]May 13'!L86+'[108]Jun 13'!L86+'[108]Jul 13'!L86+'[108]Aug 13'!L86+'[108]Sep 13'!L86+'[108]Oct 13'!L86+'[108]Nov 13'!L86+'[108]Dec 13'!L86+'[108]Jan 14'!L86+'[108]Feb 14'!L86+'[108]Mar 14'!L86</f>
        <v>9840685.9199999999</v>
      </c>
      <c r="M86" s="956">
        <f>+'[108]Apr 13'!M86+'[108]May 13'!M86+'[108]Jun 13'!M86+'[108]Jul 13'!M86+'[108]Aug 13'!M86+'[108]Sep 13'!M86+'[108]Oct 13'!M86+'[108]Nov 13'!M86+'[108]Dec 13'!M86+'[108]Jan 14'!M86+'[108]Feb 14'!M86+'[108]Mar 14'!M86</f>
        <v>7932795.5700000003</v>
      </c>
      <c r="N86" s="956"/>
      <c r="O86" s="957"/>
    </row>
    <row r="87" spans="2:15" ht="15.75" thickBot="1">
      <c r="B87" s="981" t="s">
        <v>39</v>
      </c>
      <c r="C87" s="982" t="s">
        <v>28</v>
      </c>
      <c r="D87" s="982">
        <v>1443</v>
      </c>
      <c r="E87" s="982">
        <v>609</v>
      </c>
      <c r="F87" s="983"/>
      <c r="G87" s="983"/>
      <c r="H87" s="983"/>
      <c r="I87" s="984">
        <f>SUM(I85:I86)</f>
        <v>11682083</v>
      </c>
      <c r="J87" s="985">
        <f>SUM(J85:J86)</f>
        <v>82126876.400000006</v>
      </c>
      <c r="K87" s="985">
        <f>+'[108]Apr 13'!K87+'[108]May 13'!K87+'[108]Jun 13'!K87+'[108]Jul 13'!K87+'[108]Aug 13'!K87+'[108]Sep 13'!K87+'[108]Oct 13'!K87+'[108]Nov 13'!K87+'[108]Dec 13'!K87+'[108]Jan 14'!K87+'[108]Feb 14'!K87+'[108]Mar 14'!K87</f>
        <v>5987083.1100000003</v>
      </c>
      <c r="L87" s="985">
        <f>SUM(L85:L86)</f>
        <v>21378211.890000001</v>
      </c>
      <c r="M87" s="985">
        <f>SUM(M85:M86)</f>
        <v>7932795.5700000003</v>
      </c>
      <c r="N87" s="943">
        <f>SUM(J87:M87)</f>
        <v>117424966.97</v>
      </c>
      <c r="O87" s="944">
        <f>+N87/I87</f>
        <v>10.051714832876979</v>
      </c>
    </row>
    <row r="88" spans="2:15" ht="15.75" hidden="1" thickBot="1">
      <c r="B88" s="958" t="s">
        <v>40</v>
      </c>
      <c r="C88" s="976"/>
      <c r="D88" s="976"/>
      <c r="E88" s="976"/>
      <c r="F88" s="960">
        <v>6.8</v>
      </c>
      <c r="G88" s="960">
        <v>1.83</v>
      </c>
      <c r="H88" s="960"/>
      <c r="I88" s="942">
        <f>+'[108]Apr 13'!I88+'[108]May 13'!I88+'[108]Jun 13'!I88+'[108]Jul 13'!I88+'[108]Aug 13'!I88+'[108]Sep 13'!I88+'[108]Oct 13'!I88+'[108]Nov 13'!I88+'[108]Dec 13'!I88+'[108]Jan 14'!I88+'[108]Feb 14'!I88+'[108]Mar 14'!I88</f>
        <v>33349299</v>
      </c>
      <c r="J88" s="943">
        <f>+'[108]Apr 13'!J88+'[108]May 13'!J88+'[108]Jun 13'!J88+'[108]Jul 13'!J88+'[108]Aug 13'!J88+'[108]Sep 13'!J88+'[108]Oct 13'!J88+'[108]Nov 13'!J88+'[108]Dec 13'!J88+'[108]Jan 14'!J88+'[108]Feb 14'!J88+'[108]Mar 14'!J88</f>
        <v>226775233.20000002</v>
      </c>
      <c r="K88" s="943"/>
      <c r="L88" s="943">
        <f>+'[108]Apr 13'!L88+'[108]May 13'!L88+'[108]Jun 13'!L88+'[108]Jul 13'!L88+'[108]Aug 13'!L88+'[108]Sep 13'!L88+'[108]Oct 13'!L88+'[108]Nov 13'!L88+'[108]Dec 13'!L88+'[108]Jan 14'!L88+'[108]Feb 14'!L88+'[108]Mar 14'!L88</f>
        <v>61029217.170000009</v>
      </c>
      <c r="M88" s="943">
        <f>+'[108]Apr 13'!M88+'[108]May 13'!M88+'[108]Jun 13'!M88+'[108]Jul 13'!M88+'[108]Aug 13'!M88+'[108]Sep 13'!M88+'[108]Oct 13'!M88+'[108]Nov 13'!M88+'[108]Dec 13'!M88+'[108]Jan 14'!M88+'[108]Feb 14'!M88+'[108]Mar 14'!M88</f>
        <v>0</v>
      </c>
      <c r="N88" s="943"/>
      <c r="O88" s="944"/>
    </row>
    <row r="89" spans="2:15" ht="15.75" hidden="1" thickBot="1">
      <c r="B89" s="968"/>
      <c r="C89" s="980"/>
      <c r="D89" s="980"/>
      <c r="E89" s="980"/>
      <c r="F89" s="970">
        <v>7.3</v>
      </c>
      <c r="G89" s="970">
        <v>1.83</v>
      </c>
      <c r="H89" s="970">
        <v>1.51</v>
      </c>
      <c r="I89" s="955">
        <f>+'[108]Apr 13'!I89+'[108]May 13'!I89+'[108]Jun 13'!I89+'[108]Jul 13'!I89+'[108]Aug 13'!I89+'[108]Sep 13'!I89+'[108]Oct 13'!I89+'[108]Nov 13'!I89+'[108]Dec 13'!I89+'[108]Jan 14'!I89+'[108]Feb 14'!I89+'[108]Mar 14'!I89</f>
        <v>33054026</v>
      </c>
      <c r="J89" s="956">
        <f>+'[108]Apr 13'!J89+'[108]May 13'!J89+'[108]Jun 13'!J89+'[108]Jul 13'!J89+'[108]Aug 13'!J89+'[108]Sep 13'!J89+'[108]Oct 13'!J89+'[108]Nov 13'!J89+'[108]Dec 13'!J89+'[108]Jan 14'!J89+'[108]Feb 14'!J89+'[108]Mar 14'!J89</f>
        <v>241294389.80000001</v>
      </c>
      <c r="K89" s="956"/>
      <c r="L89" s="956">
        <f>+'[108]Apr 13'!L89+'[108]May 13'!L89+'[108]Jun 13'!L89+'[108]Jul 13'!L89+'[108]Aug 13'!L89+'[108]Sep 13'!L89+'[108]Oct 13'!L89+'[108]Nov 13'!L89+'[108]Dec 13'!L89+'[108]Jan 14'!L89+'[108]Feb 14'!L89+'[108]Mar 14'!L89</f>
        <v>60488867.580000006</v>
      </c>
      <c r="M89" s="956">
        <f>+'[108]Apr 13'!M89+'[108]May 13'!M89+'[108]Jun 13'!M89+'[108]Jul 13'!M89+'[108]Aug 13'!M89+'[108]Sep 13'!M89+'[108]Oct 13'!M89+'[108]Nov 13'!M89+'[108]Dec 13'!M89+'[108]Jan 14'!M89+'[108]Feb 14'!M89+'[108]Mar 14'!M89</f>
        <v>46922981.259999998</v>
      </c>
      <c r="N89" s="956"/>
      <c r="O89" s="957"/>
    </row>
    <row r="90" spans="2:15" ht="15.75" thickBot="1">
      <c r="B90" s="981" t="s">
        <v>40</v>
      </c>
      <c r="C90" s="982" t="s">
        <v>28</v>
      </c>
      <c r="D90" s="982">
        <v>3</v>
      </c>
      <c r="E90" s="982">
        <v>490</v>
      </c>
      <c r="F90" s="983"/>
      <c r="G90" s="983"/>
      <c r="H90" s="983"/>
      <c r="I90" s="984">
        <f>SUM(I88:I89)</f>
        <v>66403325</v>
      </c>
      <c r="J90" s="985">
        <f>SUM(J88:J89)</f>
        <v>468069623</v>
      </c>
      <c r="K90" s="985">
        <f>+'[108]Apr 13'!K90+'[108]May 13'!K90+'[108]Jun 13'!K90+'[108]Jul 13'!K90+'[108]Aug 13'!K90+'[108]Sep 13'!K90+'[108]Oct 13'!K90+'[108]Nov 13'!K90+'[108]Dec 13'!K90+'[108]Jan 14'!K90+'[108]Feb 14'!K90+'[108]Mar 14'!K90</f>
        <v>54422595.810000002</v>
      </c>
      <c r="L90" s="985">
        <f>SUM(L88:L89)</f>
        <v>121518084.75000001</v>
      </c>
      <c r="M90" s="985">
        <f>SUM(M88:M89)</f>
        <v>46922981.259999998</v>
      </c>
      <c r="N90" s="943">
        <f>SUM(J90:M90)</f>
        <v>690933284.82000005</v>
      </c>
      <c r="O90" s="944">
        <f>+N90/I90</f>
        <v>10.40510072078469</v>
      </c>
    </row>
    <row r="91" spans="2:15" ht="15.75" hidden="1" thickBot="1">
      <c r="B91" s="975" t="s">
        <v>2231</v>
      </c>
      <c r="C91" s="976"/>
      <c r="D91" s="976"/>
      <c r="E91" s="976"/>
      <c r="F91" s="960">
        <v>5.05</v>
      </c>
      <c r="G91" s="960"/>
      <c r="H91" s="960"/>
      <c r="I91" s="942">
        <f>+'[108]Apr 13'!I91+'[108]May 13'!I91+'[108]Jun 13'!I91+'[108]Jul 13'!I91+'[108]Aug 13'!I91+'[108]Sep 13'!I91+'[108]Oct 13'!I91+'[108]Nov 13'!I91+'[108]Dec 13'!I91+'[108]Jan 14'!I91+'[108]Feb 14'!I91+'[108]Mar 14'!I91</f>
        <v>0</v>
      </c>
      <c r="J91" s="943">
        <f>+'[108]Apr 13'!J91+'[108]May 13'!J91+'[108]Jun 13'!J91+'[108]Jul 13'!J91+'[108]Aug 13'!J91+'[108]Sep 13'!J91+'[108]Oct 13'!J91+'[108]Nov 13'!J91+'[108]Dec 13'!J91+'[108]Jan 14'!J91+'[108]Feb 14'!J91+'[108]Mar 14'!J91</f>
        <v>0</v>
      </c>
      <c r="K91" s="943"/>
      <c r="L91" s="943">
        <f>+'[108]Apr 13'!L91+'[108]May 13'!L91+'[108]Jun 13'!L91+'[108]Jul 13'!L91+'[108]Aug 13'!L91+'[108]Sep 13'!L91+'[108]Oct 13'!L91+'[108]Nov 13'!L91+'[108]Dec 13'!L91+'[108]Jan 14'!L91+'[108]Feb 14'!L91+'[108]Mar 14'!L91</f>
        <v>0</v>
      </c>
      <c r="M91" s="943">
        <f>+'[108]Apr 13'!M91+'[108]May 13'!M91+'[108]Jun 13'!M91+'[108]Jul 13'!M91+'[108]Aug 13'!M91+'[108]Sep 13'!M91+'[108]Oct 13'!M91+'[108]Nov 13'!M91+'[108]Dec 13'!M91+'[108]Jan 14'!M91+'[108]Feb 14'!M91+'[108]Mar 14'!M91</f>
        <v>0</v>
      </c>
      <c r="N91" s="943"/>
      <c r="O91" s="944"/>
    </row>
    <row r="92" spans="2:15" ht="15.75" hidden="1" thickBot="1">
      <c r="B92" s="977"/>
      <c r="C92" s="978"/>
      <c r="D92" s="978"/>
      <c r="E92" s="978"/>
      <c r="F92" s="965">
        <v>5.9</v>
      </c>
      <c r="G92" s="965">
        <v>1.59</v>
      </c>
      <c r="H92" s="965"/>
      <c r="I92" s="966">
        <f>+'[108]Apr 13'!I92+'[108]May 13'!I92+'[108]Jun 13'!I92+'[108]Jul 13'!I92+'[108]Aug 13'!I92+'[108]Sep 13'!I92+'[108]Oct 13'!I92+'[108]Nov 13'!I92+'[108]Dec 13'!I92+'[108]Jan 14'!I92+'[108]Feb 14'!I92+'[108]Mar 14'!I92</f>
        <v>93693958</v>
      </c>
      <c r="J92" s="951">
        <f>+'[108]Apr 13'!J92+'[108]May 13'!J92+'[108]Jun 13'!J92+'[108]Jul 13'!J92+'[108]Aug 13'!J92+'[108]Sep 13'!J92+'[108]Oct 13'!J92+'[108]Nov 13'!J92+'[108]Dec 13'!J92+'[108]Jan 14'!J92+'[108]Feb 14'!J92+'[108]Mar 14'!J92</f>
        <v>552794352.20000005</v>
      </c>
      <c r="K92" s="951"/>
      <c r="L92" s="951">
        <f>+'[108]Apr 13'!L92+'[108]May 13'!L92+'[108]Jun 13'!L92+'[108]Jul 13'!L92+'[108]Aug 13'!L92+'[108]Sep 13'!L92+'[108]Oct 13'!L92+'[108]Nov 13'!L92+'[108]Dec 13'!L92+'[108]Jan 14'!L92+'[108]Feb 14'!L92+'[108]Mar 14'!L92</f>
        <v>148973393.22</v>
      </c>
      <c r="M92" s="951">
        <f>+'[108]Apr 13'!M92+'[108]May 13'!M92+'[108]Jun 13'!M92+'[108]Jul 13'!M92+'[108]Aug 13'!M92+'[108]Sep 13'!M92+'[108]Oct 13'!M92+'[108]Nov 13'!M92+'[108]Dec 13'!M92+'[108]Jan 14'!M92+'[108]Feb 14'!M92+'[108]Mar 14'!M92</f>
        <v>0</v>
      </c>
      <c r="N92" s="951"/>
      <c r="O92" s="967"/>
    </row>
    <row r="93" spans="2:15" ht="15.75" hidden="1" thickBot="1">
      <c r="B93" s="979"/>
      <c r="C93" s="980"/>
      <c r="D93" s="980"/>
      <c r="E93" s="980"/>
      <c r="F93" s="970">
        <v>6.9</v>
      </c>
      <c r="G93" s="970">
        <v>1.59</v>
      </c>
      <c r="H93" s="970">
        <v>1.1299999999999999</v>
      </c>
      <c r="I93" s="955">
        <f>+'[108]Apr 13'!I93+'[108]May 13'!I93+'[108]Jun 13'!I93+'[108]Jul 13'!I93+'[108]Aug 13'!I93+'[108]Sep 13'!I93+'[108]Oct 13'!I93+'[108]Nov 13'!I93+'[108]Dec 13'!I93+'[108]Jan 14'!I93+'[108]Feb 14'!I93+'[108]Mar 14'!I93</f>
        <v>85080705</v>
      </c>
      <c r="J93" s="956">
        <f>+'[108]Apr 13'!J93+'[108]May 13'!J93+'[108]Jun 13'!J93+'[108]Jul 13'!J93+'[108]Aug 13'!J93+'[108]Sep 13'!J93+'[108]Oct 13'!J93+'[108]Nov 13'!J93+'[108]Dec 13'!J93+'[108]Jan 14'!J93+'[108]Feb 14'!J93+'[108]Mar 14'!J93</f>
        <v>587056864.50000012</v>
      </c>
      <c r="K93" s="956"/>
      <c r="L93" s="956">
        <f>+'[108]Apr 13'!L93+'[108]May 13'!L93+'[108]Jun 13'!L93+'[108]Jul 13'!L93+'[108]Aug 13'!L93+'[108]Sep 13'!L93+'[108]Oct 13'!L93+'[108]Nov 13'!L93+'[108]Dec 13'!L93+'[108]Jan 14'!L93+'[108]Feb 14'!L93+'[108]Mar 14'!L93</f>
        <v>135278320.94999999</v>
      </c>
      <c r="M93" s="956">
        <f>+'[108]Apr 13'!M93+'[108]May 13'!M93+'[108]Jun 13'!M93+'[108]Jul 13'!M93+'[108]Aug 13'!M93+'[108]Sep 13'!M93+'[108]Oct 13'!M93+'[108]Nov 13'!M93+'[108]Dec 13'!M93+'[108]Jan 14'!M93+'[108]Feb 14'!M93+'[108]Mar 14'!M93</f>
        <v>96140902.849999979</v>
      </c>
      <c r="N93" s="956"/>
      <c r="O93" s="957"/>
    </row>
    <row r="94" spans="2:15" ht="15.75" thickBot="1">
      <c r="B94" s="979" t="s">
        <v>2231</v>
      </c>
      <c r="C94" s="980" t="s">
        <v>28</v>
      </c>
      <c r="D94" s="980"/>
      <c r="E94" s="980">
        <v>41</v>
      </c>
      <c r="F94" s="970"/>
      <c r="G94" s="970"/>
      <c r="H94" s="970"/>
      <c r="I94" s="942">
        <f>SUM(I91:I93)</f>
        <v>178774663</v>
      </c>
      <c r="J94" s="943">
        <f>SUM(J91:J93)</f>
        <v>1139851216.7000003</v>
      </c>
      <c r="K94" s="943">
        <f>+'[108]Apr 13'!K94+'[108]May 13'!K94+'[108]Jun 13'!K94+'[108]Jul 13'!K94+'[108]Aug 13'!K94+'[108]Sep 13'!K94+'[108]Oct 13'!K94+'[108]Nov 13'!K94+'[108]Dec 13'!K94+'[108]Jan 14'!K94+'[108]Feb 14'!K94+'[108]Mar 14'!K94</f>
        <v>111070326</v>
      </c>
      <c r="L94" s="943">
        <f>SUM(L91:L93)</f>
        <v>284251714.16999996</v>
      </c>
      <c r="M94" s="943">
        <f>SUM(M91:M93)</f>
        <v>96140902.849999979</v>
      </c>
      <c r="N94" s="943">
        <f>SUM(J94:M94)</f>
        <v>1631314159.7200003</v>
      </c>
      <c r="O94" s="944">
        <f>+N94/I94</f>
        <v>9.1249740446720917</v>
      </c>
    </row>
    <row r="95" spans="2:15" ht="15.75" hidden="1" thickBot="1">
      <c r="B95" s="975" t="s">
        <v>2232</v>
      </c>
      <c r="C95" s="976"/>
      <c r="D95" s="976"/>
      <c r="E95" s="976"/>
      <c r="F95" s="960">
        <v>5.35</v>
      </c>
      <c r="G95" s="960"/>
      <c r="H95" s="960"/>
      <c r="I95" s="942">
        <f>+'[108]Apr 13'!I95+'[108]May 13'!I95+'[108]Jun 13'!I95+'[108]Jul 13'!I95+'[108]Aug 13'!I95+'[108]Sep 13'!I95+'[108]Oct 13'!I95+'[108]Nov 13'!I95+'[108]Dec 13'!I95+'[108]Jan 14'!I95+'[108]Feb 14'!I95+'[108]Mar 14'!I95</f>
        <v>0</v>
      </c>
      <c r="J95" s="943">
        <f>+'[108]Apr 13'!J95+'[108]May 13'!J95+'[108]Jun 13'!J95+'[108]Jul 13'!J95+'[108]Aug 13'!J95+'[108]Sep 13'!J95+'[108]Oct 13'!J95+'[108]Nov 13'!J95+'[108]Dec 13'!J95+'[108]Jan 14'!J95+'[108]Feb 14'!J95+'[108]Mar 14'!J95</f>
        <v>0</v>
      </c>
      <c r="K95" s="943"/>
      <c r="L95" s="943">
        <f>+'[108]Apr 13'!L95+'[108]May 13'!L95+'[108]Jun 13'!L95+'[108]Jul 13'!L95+'[108]Aug 13'!L95+'[108]Sep 13'!L95+'[108]Oct 13'!L95+'[108]Nov 13'!L95+'[108]Dec 13'!L95+'[108]Jan 14'!L95+'[108]Feb 14'!L95+'[108]Mar 14'!L95</f>
        <v>0</v>
      </c>
      <c r="M95" s="943">
        <f>+'[108]Apr 13'!M95+'[108]May 13'!M95+'[108]Jun 13'!M95+'[108]Jul 13'!M95+'[108]Aug 13'!M95+'[108]Sep 13'!M95+'[108]Oct 13'!M95+'[108]Nov 13'!M95+'[108]Dec 13'!M95+'[108]Jan 14'!M95+'[108]Feb 14'!M95+'[108]Mar 14'!M95</f>
        <v>0</v>
      </c>
      <c r="N95" s="943"/>
      <c r="O95" s="944"/>
    </row>
    <row r="96" spans="2:15" ht="15.75" hidden="1" thickBot="1">
      <c r="B96" s="977"/>
      <c r="C96" s="978"/>
      <c r="D96" s="978"/>
      <c r="E96" s="978"/>
      <c r="F96" s="965">
        <v>6.35</v>
      </c>
      <c r="G96" s="965">
        <v>1.71</v>
      </c>
      <c r="H96" s="965"/>
      <c r="I96" s="966">
        <f>+'[108]Apr 13'!I96+'[108]May 13'!I96+'[108]Jun 13'!I96+'[108]Jul 13'!I96+'[108]Aug 13'!I96+'[108]Sep 13'!I96+'[108]Oct 13'!I96+'[108]Nov 13'!I96+'[108]Dec 13'!I96+'[108]Jan 14'!I96+'[108]Feb 14'!I96+'[108]Mar 14'!I96</f>
        <v>178445589</v>
      </c>
      <c r="J96" s="951">
        <f>+'[108]Apr 13'!J96+'[108]May 13'!J96+'[108]Jun 13'!J96+'[108]Jul 13'!J96+'[108]Aug 13'!J96+'[108]Sep 13'!J96+'[108]Oct 13'!J96+'[108]Nov 13'!J96+'[108]Dec 13'!J96+'[108]Jan 14'!J96+'[108]Feb 14'!J96+'[108]Mar 14'!J96</f>
        <v>1133129490.1499999</v>
      </c>
      <c r="K96" s="951"/>
      <c r="L96" s="951">
        <f>+'[108]Apr 13'!L96+'[108]May 13'!L96+'[108]Jun 13'!L96+'[108]Jul 13'!L96+'[108]Aug 13'!L96+'[108]Sep 13'!L96+'[108]Oct 13'!L96+'[108]Nov 13'!L96+'[108]Dec 13'!L96+'[108]Jan 14'!L96+'[108]Feb 14'!L96+'[108]Mar 14'!L96</f>
        <v>305141957.19</v>
      </c>
      <c r="M96" s="951">
        <f>+'[108]Apr 13'!M96+'[108]May 13'!M96+'[108]Jun 13'!M96+'[108]Jul 13'!M96+'[108]Aug 13'!M96+'[108]Sep 13'!M96+'[108]Oct 13'!M96+'[108]Nov 13'!M96+'[108]Dec 13'!M96+'[108]Jan 14'!M96+'[108]Feb 14'!M96+'[108]Mar 14'!M96</f>
        <v>0</v>
      </c>
      <c r="N96" s="951"/>
      <c r="O96" s="967"/>
    </row>
    <row r="97" spans="2:15" ht="15.75" hidden="1" thickBot="1">
      <c r="B97" s="979"/>
      <c r="C97" s="980"/>
      <c r="D97" s="980"/>
      <c r="E97" s="980"/>
      <c r="F97" s="970">
        <v>7.5</v>
      </c>
      <c r="G97" s="970">
        <v>1.71</v>
      </c>
      <c r="H97" s="970">
        <v>1.19</v>
      </c>
      <c r="I97" s="955">
        <f>+'[108]Apr 13'!I97+'[108]May 13'!I97+'[108]Jun 13'!I97+'[108]Jul 13'!I97+'[108]Aug 13'!I97+'[108]Sep 13'!I97+'[108]Oct 13'!I97+'[108]Nov 13'!I97+'[108]Dec 13'!I97+'[108]Jan 14'!I97+'[108]Feb 14'!I97+'[108]Mar 14'!I97</f>
        <v>172077724</v>
      </c>
      <c r="J97" s="956">
        <f>+'[108]Apr 13'!J97+'[108]May 13'!J97+'[108]Jun 13'!J97+'[108]Jul 13'!J97+'[108]Aug 13'!J97+'[108]Sep 13'!J97+'[108]Oct 13'!J97+'[108]Nov 13'!J97+'[108]Dec 13'!J97+'[108]Jan 14'!J97+'[108]Feb 14'!J97+'[108]Mar 14'!J97</f>
        <v>1290582930</v>
      </c>
      <c r="K97" s="956"/>
      <c r="L97" s="956">
        <f>+'[108]Apr 13'!L97+'[108]May 13'!L97+'[108]Jun 13'!L97+'[108]Jul 13'!L97+'[108]Aug 13'!L97+'[108]Sep 13'!L97+'[108]Oct 13'!L97+'[108]Nov 13'!L97+'[108]Dec 13'!L97+'[108]Jan 14'!L97+'[108]Feb 14'!L97+'[108]Mar 14'!L97</f>
        <v>294252908.03999996</v>
      </c>
      <c r="M97" s="956">
        <f>+'[108]Apr 13'!M97+'[108]May 13'!M97+'[108]Jun 13'!M97+'[108]Jul 13'!M97+'[108]Aug 13'!M97+'[108]Sep 13'!M97+'[108]Oct 13'!M97+'[108]Nov 13'!M97+'[108]Dec 13'!M97+'[108]Jan 14'!M97+'[108]Feb 14'!M97+'[108]Mar 14'!M97</f>
        <v>204771819.21000001</v>
      </c>
      <c r="N97" s="956"/>
      <c r="O97" s="957"/>
    </row>
    <row r="98" spans="2:15" ht="15.75" thickBot="1">
      <c r="B98" s="979" t="s">
        <v>2232</v>
      </c>
      <c r="C98" s="980" t="s">
        <v>28</v>
      </c>
      <c r="D98" s="980"/>
      <c r="E98" s="980">
        <v>103</v>
      </c>
      <c r="F98" s="970"/>
      <c r="G98" s="970"/>
      <c r="H98" s="970"/>
      <c r="I98" s="942">
        <f>SUM(I95:I97)</f>
        <v>350523313</v>
      </c>
      <c r="J98" s="943">
        <f>SUM(J95:J97)</f>
        <v>2423712420.1499996</v>
      </c>
      <c r="K98" s="943">
        <f>+'[108]Apr 13'!K98+'[108]May 13'!K98+'[108]Jun 13'!K98+'[108]Jul 13'!K98+'[108]Aug 13'!K98+'[108]Sep 13'!K98+'[108]Oct 13'!K98+'[108]Nov 13'!K98+'[108]Dec 13'!K98+'[108]Jan 14'!K98+'[108]Feb 14'!K98+'[108]Mar 14'!K98</f>
        <v>213167363.91999999</v>
      </c>
      <c r="L98" s="943">
        <f>SUM(L95:L97)</f>
        <v>599394865.23000002</v>
      </c>
      <c r="M98" s="943">
        <f>SUM(M95:M97)</f>
        <v>204771819.21000001</v>
      </c>
      <c r="N98" s="943">
        <f>SUM(J98:M98)</f>
        <v>3441046468.5099998</v>
      </c>
      <c r="O98" s="944">
        <f>+N98/I98</f>
        <v>9.8168833309811827</v>
      </c>
    </row>
    <row r="99" spans="2:15" ht="15.75" hidden="1" thickBot="1">
      <c r="B99" s="975" t="s">
        <v>2233</v>
      </c>
      <c r="C99" s="976"/>
      <c r="D99" s="976"/>
      <c r="E99" s="976"/>
      <c r="F99" s="960">
        <v>3</v>
      </c>
      <c r="G99" s="960"/>
      <c r="H99" s="960"/>
      <c r="I99" s="942">
        <f>+'[108]Apr 13'!I99+'[108]May 13'!I99+'[108]Jun 13'!I99+'[108]Jul 13'!I99+'[108]Aug 13'!I99+'[108]Sep 13'!I99+'[108]Oct 13'!I99+'[108]Nov 13'!I99+'[108]Dec 13'!I99+'[108]Jan 14'!I99+'[108]Feb 14'!I99+'[108]Mar 14'!I99</f>
        <v>0</v>
      </c>
      <c r="J99" s="943">
        <f>+'[108]Apr 13'!J99+'[108]May 13'!J99+'[108]Jun 13'!J99+'[108]Jul 13'!J99+'[108]Aug 13'!J99+'[108]Sep 13'!J99+'[108]Oct 13'!J99+'[108]Nov 13'!J99+'[108]Dec 13'!J99+'[108]Jan 14'!J99+'[108]Feb 14'!J99+'[108]Mar 14'!J99</f>
        <v>0</v>
      </c>
      <c r="K99" s="943"/>
      <c r="L99" s="943">
        <f>+'[108]Apr 13'!L99+'[108]May 13'!L99+'[108]Jun 13'!L99+'[108]Jul 13'!L99+'[108]Aug 13'!L99+'[108]Sep 13'!L99+'[108]Oct 13'!L99+'[108]Nov 13'!L99+'[108]Dec 13'!L99+'[108]Jan 14'!L99+'[108]Feb 14'!L99+'[108]Mar 14'!L99</f>
        <v>0</v>
      </c>
      <c r="M99" s="943">
        <f>+'[108]Apr 13'!M99+'[108]May 13'!M99+'[108]Jun 13'!M99+'[108]Jul 13'!M99+'[108]Aug 13'!M99+'[108]Sep 13'!M99+'[108]Oct 13'!M99+'[108]Nov 13'!M99+'[108]Dec 13'!M99+'[108]Jan 14'!M99+'[108]Feb 14'!M99+'[108]Mar 14'!M99</f>
        <v>0</v>
      </c>
      <c r="N99" s="943"/>
      <c r="O99" s="944"/>
    </row>
    <row r="100" spans="2:15" ht="15.75" hidden="1" thickBot="1">
      <c r="B100" s="977"/>
      <c r="C100" s="978"/>
      <c r="D100" s="978"/>
      <c r="E100" s="978"/>
      <c r="F100" s="965">
        <v>3.4</v>
      </c>
      <c r="G100" s="965">
        <v>0.91</v>
      </c>
      <c r="H100" s="965"/>
      <c r="I100" s="966">
        <f>+'[108]Apr 13'!I100+'[108]May 13'!I100+'[108]Jun 13'!I100+'[108]Jul 13'!I100+'[108]Aug 13'!I100+'[108]Sep 13'!I100+'[108]Oct 13'!I100+'[108]Nov 13'!I100+'[108]Dec 13'!I100+'[108]Jan 14'!I100+'[108]Feb 14'!I100+'[108]Mar 14'!I100</f>
        <v>17003837</v>
      </c>
      <c r="J100" s="951">
        <f>+'[108]Apr 13'!J100+'[108]May 13'!J100+'[108]Jun 13'!J100+'[108]Jul 13'!J100+'[108]Aug 13'!J100+'[108]Sep 13'!J100+'[108]Oct 13'!J100+'[108]Nov 13'!J100+'[108]Dec 13'!J100+'[108]Jan 14'!J100+'[108]Feb 14'!J100+'[108]Mar 14'!J100</f>
        <v>57813045.79999999</v>
      </c>
      <c r="K100" s="951"/>
      <c r="L100" s="951">
        <f>+'[108]Apr 13'!L100+'[108]May 13'!L100+'[108]Jun 13'!L100+'[108]Jul 13'!L100+'[108]Aug 13'!L100+'[108]Sep 13'!L100+'[108]Oct 13'!L100+'[108]Nov 13'!L100+'[108]Dec 13'!L100+'[108]Jan 14'!L100+'[108]Feb 14'!L100+'[108]Mar 14'!L100</f>
        <v>15473491.669999998</v>
      </c>
      <c r="M100" s="951">
        <f>+'[108]Apr 13'!M100+'[108]May 13'!M100+'[108]Jun 13'!M100+'[108]Jul 13'!M100+'[108]Aug 13'!M100+'[108]Sep 13'!M100+'[108]Oct 13'!M100+'[108]Nov 13'!M100+'[108]Dec 13'!M100+'[108]Jan 14'!M100+'[108]Feb 14'!M100+'[108]Mar 14'!M100</f>
        <v>0</v>
      </c>
      <c r="N100" s="951"/>
      <c r="O100" s="967"/>
    </row>
    <row r="101" spans="2:15" ht="15.75" hidden="1" thickBot="1">
      <c r="B101" s="979"/>
      <c r="C101" s="980"/>
      <c r="D101" s="980"/>
      <c r="E101" s="980"/>
      <c r="F101" s="970">
        <v>5.37</v>
      </c>
      <c r="G101" s="970">
        <v>0.91</v>
      </c>
      <c r="H101" s="970">
        <v>0.66</v>
      </c>
      <c r="I101" s="955">
        <f>+'[108]Apr 13'!I101+'[108]May 13'!I101+'[108]Jun 13'!I101+'[108]Jul 13'!I101+'[108]Aug 13'!I101+'[108]Sep 13'!I101+'[108]Oct 13'!I101+'[108]Nov 13'!I101+'[108]Dec 13'!I101+'[108]Jan 14'!I101+'[108]Feb 14'!I101+'[108]Mar 14'!I101</f>
        <v>15815927</v>
      </c>
      <c r="J101" s="956">
        <f>+'[108]Apr 13'!J101+'[108]May 13'!J101+'[108]Jun 13'!J101+'[108]Jul 13'!J101+'[108]Aug 13'!J101+'[108]Sep 13'!J101+'[108]Oct 13'!J101+'[108]Nov 13'!J101+'[108]Dec 13'!J101+'[108]Jan 14'!J101+'[108]Feb 14'!J101+'[108]Mar 14'!J101</f>
        <v>84931527.989999995</v>
      </c>
      <c r="K101" s="956"/>
      <c r="L101" s="956">
        <f>+'[108]Apr 13'!L101+'[108]May 13'!L101+'[108]Jun 13'!L101+'[108]Jul 13'!L101+'[108]Aug 13'!L101+'[108]Sep 13'!L101+'[108]Oct 13'!L101+'[108]Nov 13'!L101+'[108]Dec 13'!L101+'[108]Jan 14'!L101+'[108]Feb 14'!L101+'[108]Mar 14'!L101</f>
        <v>14392493.57</v>
      </c>
      <c r="M101" s="956">
        <f>+'[108]Apr 13'!M101+'[108]May 13'!M101+'[108]Jun 13'!M101+'[108]Jul 13'!M101+'[108]Aug 13'!M101+'[108]Sep 13'!M101+'[108]Oct 13'!M101+'[108]Nov 13'!M101+'[108]Dec 13'!M101+'[108]Jan 14'!M101+'[108]Feb 14'!M101+'[108]Mar 14'!M101</f>
        <v>10438511.82</v>
      </c>
      <c r="N101" s="956"/>
      <c r="O101" s="957"/>
    </row>
    <row r="102" spans="2:15" ht="15.75" thickBot="1">
      <c r="B102" s="979" t="s">
        <v>2233</v>
      </c>
      <c r="C102" s="980" t="s">
        <v>28</v>
      </c>
      <c r="D102" s="980"/>
      <c r="E102" s="980">
        <v>13</v>
      </c>
      <c r="F102" s="970"/>
      <c r="G102" s="970"/>
      <c r="H102" s="970"/>
      <c r="I102" s="942">
        <f>SUM(I99:I101)</f>
        <v>32819764</v>
      </c>
      <c r="J102" s="943">
        <f>SUM(J99:J101)</f>
        <v>142744573.78999999</v>
      </c>
      <c r="K102" s="943">
        <f>+'[108]Apr 13'!K102+'[108]May 13'!K102+'[108]Jun 13'!K102+'[108]Jul 13'!K102+'[108]Aug 13'!K102+'[108]Sep 13'!K102+'[108]Oct 13'!K102+'[108]Nov 13'!K102+'[108]Dec 13'!K102+'[108]Jan 14'!K102+'[108]Feb 14'!K102+'[108]Mar 14'!K102</f>
        <v>16767530.18</v>
      </c>
      <c r="L102" s="943">
        <f>SUM(L99:L101)</f>
        <v>29865985.239999998</v>
      </c>
      <c r="M102" s="943">
        <f>SUM(M99:M101)</f>
        <v>10438511.82</v>
      </c>
      <c r="N102" s="943">
        <f>SUM(J102:M102)</f>
        <v>199816601.03</v>
      </c>
      <c r="O102" s="944">
        <f>+N102/I102</f>
        <v>6.0883009710246547</v>
      </c>
    </row>
    <row r="103" spans="2:15" ht="15.75" hidden="1" thickBot="1">
      <c r="B103" s="975" t="s">
        <v>2234</v>
      </c>
      <c r="C103" s="976"/>
      <c r="D103" s="976"/>
      <c r="E103" s="976"/>
      <c r="F103" s="960">
        <v>8.1999999999999993</v>
      </c>
      <c r="G103" s="960"/>
      <c r="H103" s="960"/>
      <c r="I103" s="942">
        <f>+'[108]Apr 13'!I103+'[108]May 13'!I103+'[108]Jun 13'!I103+'[108]Jul 13'!I103+'[108]Aug 13'!I103+'[108]Sep 13'!I103+'[108]Oct 13'!I103+'[108]Nov 13'!I103+'[108]Dec 13'!I103+'[108]Jan 14'!I103+'[108]Feb 14'!I103+'[108]Mar 14'!I103</f>
        <v>0</v>
      </c>
      <c r="J103" s="943">
        <f>+'[108]Apr 13'!J103+'[108]May 13'!J103+'[108]Jun 13'!J103+'[108]Jul 13'!J103+'[108]Aug 13'!J103+'[108]Sep 13'!J103+'[108]Oct 13'!J103+'[108]Nov 13'!J103+'[108]Dec 13'!J103+'[108]Jan 14'!J103+'[108]Feb 14'!J103+'[108]Mar 14'!J103</f>
        <v>0</v>
      </c>
      <c r="K103" s="943"/>
      <c r="L103" s="943">
        <f>+'[108]Apr 13'!L103+'[108]May 13'!L103+'[108]Jun 13'!L103+'[108]Jul 13'!L103+'[108]Aug 13'!L103+'[108]Sep 13'!L103+'[108]Oct 13'!L103+'[108]Nov 13'!L103+'[108]Dec 13'!L103+'[108]Jan 14'!L103+'[108]Feb 14'!L103+'[108]Mar 14'!L103</f>
        <v>0</v>
      </c>
      <c r="M103" s="943">
        <f>+'[108]Apr 13'!M103+'[108]May 13'!M103+'[108]Jun 13'!M103+'[108]Jul 13'!M103+'[108]Aug 13'!M103+'[108]Sep 13'!M103+'[108]Oct 13'!M103+'[108]Nov 13'!M103+'[108]Dec 13'!M103+'[108]Jan 14'!M103+'[108]Feb 14'!M103+'[108]Mar 14'!M103</f>
        <v>0</v>
      </c>
      <c r="N103" s="943"/>
      <c r="O103" s="944"/>
    </row>
    <row r="104" spans="2:15" ht="15.75" hidden="1" thickBot="1">
      <c r="B104" s="977"/>
      <c r="C104" s="978"/>
      <c r="D104" s="978"/>
      <c r="E104" s="978"/>
      <c r="F104" s="965">
        <v>8.65</v>
      </c>
      <c r="G104" s="965">
        <v>2.33</v>
      </c>
      <c r="H104" s="965"/>
      <c r="I104" s="966">
        <f>+'[108]Apr 13'!I104+'[108]May 13'!I104+'[108]Jun 13'!I104+'[108]Jul 13'!I104+'[108]Aug 13'!I104+'[108]Sep 13'!I104+'[108]Oct 13'!I104+'[108]Nov 13'!I104+'[108]Dec 13'!I104+'[108]Jan 14'!I104+'[108]Feb 14'!I104+'[108]Mar 14'!I104</f>
        <v>3258639</v>
      </c>
      <c r="J104" s="951">
        <f>+'[108]Apr 13'!J104+'[108]May 13'!J104+'[108]Jun 13'!J104+'[108]Jul 13'!J104+'[108]Aug 13'!J104+'[108]Sep 13'!J104+'[108]Oct 13'!J104+'[108]Nov 13'!J104+'[108]Dec 13'!J104+'[108]Jan 14'!J104+'[108]Feb 14'!J104+'[108]Mar 14'!J104</f>
        <v>28187227.350000001</v>
      </c>
      <c r="K104" s="951"/>
      <c r="L104" s="951">
        <f>+'[108]Apr 13'!L104+'[108]May 13'!L104+'[108]Jun 13'!L104+'[108]Jul 13'!L104+'[108]Aug 13'!L104+'[108]Sep 13'!L104+'[108]Oct 13'!L104+'[108]Nov 13'!L104+'[108]Dec 13'!L104+'[108]Jan 14'!L104+'[108]Feb 14'!L104+'[108]Mar 14'!L104</f>
        <v>7592628.8700000001</v>
      </c>
      <c r="M104" s="951">
        <f>+'[108]Apr 13'!M104+'[108]May 13'!M104+'[108]Jun 13'!M104+'[108]Jul 13'!M104+'[108]Aug 13'!M104+'[108]Sep 13'!M104+'[108]Oct 13'!M104+'[108]Nov 13'!M104+'[108]Dec 13'!M104+'[108]Jan 14'!M104+'[108]Feb 14'!M104+'[108]Mar 14'!M104</f>
        <v>0</v>
      </c>
      <c r="N104" s="951"/>
      <c r="O104" s="967"/>
    </row>
    <row r="105" spans="2:15" ht="15.75" hidden="1" thickBot="1">
      <c r="B105" s="979"/>
      <c r="C105" s="980"/>
      <c r="D105" s="980"/>
      <c r="E105" s="980"/>
      <c r="F105" s="970">
        <v>10</v>
      </c>
      <c r="G105" s="970">
        <v>2.33</v>
      </c>
      <c r="H105" s="970">
        <v>1.68</v>
      </c>
      <c r="I105" s="955">
        <f>+'[108]Apr 13'!I105+'[108]May 13'!I105+'[108]Jun 13'!I105+'[108]Jul 13'!I105+'[108]Aug 13'!I105+'[108]Sep 13'!I105+'[108]Oct 13'!I105+'[108]Nov 13'!I105+'[108]Dec 13'!I105+'[108]Jan 14'!I105+'[108]Feb 14'!I105+'[108]Mar 14'!I105</f>
        <v>4579536</v>
      </c>
      <c r="J105" s="956">
        <f>+'[108]Apr 13'!J105+'[108]May 13'!J105+'[108]Jun 13'!J105+'[108]Jul 13'!J105+'[108]Aug 13'!J105+'[108]Sep 13'!J105+'[108]Oct 13'!J105+'[108]Nov 13'!J105+'[108]Dec 13'!J105+'[108]Jan 14'!J105+'[108]Feb 14'!J105+'[108]Mar 14'!J105</f>
        <v>45795360</v>
      </c>
      <c r="K105" s="956"/>
      <c r="L105" s="956">
        <f>+'[108]Apr 13'!L105+'[108]May 13'!L105+'[108]Jun 13'!L105+'[108]Jul 13'!L105+'[108]Aug 13'!L105+'[108]Sep 13'!L105+'[108]Oct 13'!L105+'[108]Nov 13'!L105+'[108]Dec 13'!L105+'[108]Jan 14'!L105+'[108]Feb 14'!L105+'[108]Mar 14'!L105</f>
        <v>10670318.880000001</v>
      </c>
      <c r="M105" s="956">
        <f>+'[108]Apr 13'!M105+'[108]May 13'!M105+'[108]Jun 13'!M105+'[108]Jul 13'!M105+'[108]Aug 13'!M105+'[108]Sep 13'!M105+'[108]Oct 13'!M105+'[108]Nov 13'!M105+'[108]Dec 13'!M105+'[108]Jan 14'!M105+'[108]Feb 14'!M105+'[108]Mar 14'!M105</f>
        <v>7693620.4799999986</v>
      </c>
      <c r="N105" s="956"/>
      <c r="O105" s="957"/>
    </row>
    <row r="106" spans="2:15" ht="15.75" thickBot="1">
      <c r="B106" s="979" t="s">
        <v>2234</v>
      </c>
      <c r="C106" s="980" t="s">
        <v>28</v>
      </c>
      <c r="D106" s="980"/>
      <c r="E106" s="980">
        <v>6</v>
      </c>
      <c r="F106" s="970"/>
      <c r="G106" s="970"/>
      <c r="H106" s="970"/>
      <c r="I106" s="942">
        <f>SUM(I103:I105)</f>
        <v>7838175</v>
      </c>
      <c r="J106" s="943">
        <f>SUM(J103:J105)</f>
        <v>73982587.349999994</v>
      </c>
      <c r="K106" s="943">
        <f>+'[108]Apr 13'!K106+'[108]May 13'!K106+'[108]Jun 13'!K106+'[108]Jul 13'!K106+'[108]Aug 13'!K106+'[108]Sep 13'!K106+'[108]Oct 13'!K106+'[108]Nov 13'!K106+'[108]Dec 13'!K106+'[108]Jan 14'!K106+'[108]Feb 14'!K106+'[108]Mar 14'!K106</f>
        <v>14525</v>
      </c>
      <c r="L106" s="943">
        <f>SUM(L103:L105)</f>
        <v>18262947.75</v>
      </c>
      <c r="M106" s="943">
        <f>SUM(M103:M105)</f>
        <v>7693620.4799999986</v>
      </c>
      <c r="N106" s="943">
        <f>SUM(J106:M106)</f>
        <v>99953680.579999998</v>
      </c>
      <c r="O106" s="944">
        <f>+N106/I106</f>
        <v>12.752162407703324</v>
      </c>
    </row>
    <row r="107" spans="2:15" ht="15.75" hidden="1" thickBot="1">
      <c r="B107" s="975" t="s">
        <v>2235</v>
      </c>
      <c r="C107" s="976"/>
      <c r="D107" s="976"/>
      <c r="E107" s="976"/>
      <c r="F107" s="960">
        <v>5.6</v>
      </c>
      <c r="G107" s="960">
        <v>1.51</v>
      </c>
      <c r="H107" s="960"/>
      <c r="I107" s="942">
        <f>+'[108]Apr 13'!I107+'[108]May 13'!I107+'[108]Jun 13'!I107+'[108]Jul 13'!I107+'[108]Aug 13'!I107+'[108]Sep 13'!I107+'[108]Oct 13'!I107+'[108]Nov 13'!I107+'[108]Dec 13'!I107+'[108]Jan 14'!I107+'[108]Feb 14'!I107+'[108]Mar 14'!I107</f>
        <v>42778447</v>
      </c>
      <c r="J107" s="943">
        <f>+'[108]Apr 13'!J107+'[108]May 13'!J107+'[108]Jun 13'!J107+'[108]Jul 13'!J107+'[108]Aug 13'!J107+'[108]Sep 13'!J107+'[108]Oct 13'!J107+'[108]Nov 13'!J107+'[108]Dec 13'!J107+'[108]Jan 14'!J107+'[108]Feb 14'!J107+'[108]Mar 14'!J107</f>
        <v>239559303.19999996</v>
      </c>
      <c r="K107" s="943"/>
      <c r="L107" s="943">
        <f>+'[108]Apr 13'!L107+'[108]May 13'!L107+'[108]Jun 13'!L107+'[108]Jul 13'!L107+'[108]Aug 13'!L107+'[108]Sep 13'!L107+'[108]Oct 13'!L107+'[108]Nov 13'!L107+'[108]Dec 13'!L107+'[108]Jan 14'!L107+'[108]Feb 14'!L107+'[108]Mar 14'!L107</f>
        <v>64595454.969999999</v>
      </c>
      <c r="M107" s="943">
        <f>+'[108]Apr 13'!M107+'[108]May 13'!M107+'[108]Jun 13'!M107+'[108]Jul 13'!M107+'[108]Aug 13'!M107+'[108]Sep 13'!M107+'[108]Oct 13'!M107+'[108]Nov 13'!M107+'[108]Dec 13'!M107+'[108]Jan 14'!M107+'[108]Feb 14'!M107+'[108]Mar 14'!M107</f>
        <v>0</v>
      </c>
      <c r="N107" s="943"/>
      <c r="O107" s="944"/>
    </row>
    <row r="108" spans="2:15" ht="15.75" hidden="1" thickBot="1">
      <c r="B108" s="979"/>
      <c r="C108" s="980"/>
      <c r="D108" s="980"/>
      <c r="E108" s="980"/>
      <c r="F108" s="970">
        <v>6.6</v>
      </c>
      <c r="G108" s="970">
        <v>1.51</v>
      </c>
      <c r="H108" s="970">
        <v>1.17</v>
      </c>
      <c r="I108" s="955">
        <f>+'[108]Apr 13'!I108+'[108]May 13'!I108+'[108]Jun 13'!I108+'[108]Jul 13'!I108+'[108]Aug 13'!I108+'[108]Sep 13'!I108+'[108]Oct 13'!I108+'[108]Nov 13'!I108+'[108]Dec 13'!I108+'[108]Jan 14'!I108+'[108]Feb 14'!I108+'[108]Mar 14'!I108</f>
        <v>39374422</v>
      </c>
      <c r="J108" s="956">
        <f>+'[108]Apr 13'!J108+'[108]May 13'!J108+'[108]Jun 13'!J108+'[108]Jul 13'!J108+'[108]Aug 13'!J108+'[108]Sep 13'!J108+'[108]Oct 13'!J108+'[108]Nov 13'!J108+'[108]Dec 13'!J108+'[108]Jan 14'!J108+'[108]Feb 14'!J108+'[108]Mar 14'!J108</f>
        <v>259871185.19999999</v>
      </c>
      <c r="K108" s="956"/>
      <c r="L108" s="956">
        <f>+'[108]Apr 13'!L108+'[108]May 13'!L108+'[108]Jun 13'!L108+'[108]Jul 13'!L108+'[108]Aug 13'!L108+'[108]Sep 13'!L108+'[108]Oct 13'!L108+'[108]Nov 13'!L108+'[108]Dec 13'!L108+'[108]Jan 14'!L108+'[108]Feb 14'!L108+'[108]Mar 14'!L108</f>
        <v>59455377.220000006</v>
      </c>
      <c r="M108" s="956">
        <f>+'[108]Apr 13'!M108+'[108]May 13'!M108+'[108]Jun 13'!M108+'[108]Jul 13'!M108+'[108]Aug 13'!M108+'[108]Sep 13'!M108+'[108]Oct 13'!M108+'[108]Nov 13'!M108+'[108]Dec 13'!M108+'[108]Jan 14'!M108+'[108]Feb 14'!M108+'[108]Mar 14'!M108</f>
        <v>46068073.740000002</v>
      </c>
      <c r="N108" s="956"/>
      <c r="O108" s="957"/>
    </row>
    <row r="109" spans="2:15" ht="15.75" thickBot="1">
      <c r="B109" s="979" t="s">
        <v>2235</v>
      </c>
      <c r="C109" s="980" t="s">
        <v>28</v>
      </c>
      <c r="D109" s="980"/>
      <c r="E109" s="980">
        <v>16</v>
      </c>
      <c r="F109" s="970"/>
      <c r="G109" s="970"/>
      <c r="H109" s="970"/>
      <c r="I109" s="942">
        <f>SUM(I107:I108)</f>
        <v>82152869</v>
      </c>
      <c r="J109" s="943">
        <f>SUM(J107:J108)</f>
        <v>499430488.39999998</v>
      </c>
      <c r="K109" s="943">
        <f>+'[108]Apr 13'!K109+'[108]May 13'!K109+'[108]Jun 13'!K109+'[108]Jul 13'!K109+'[108]Aug 13'!K109+'[108]Sep 13'!K109+'[108]Oct 13'!K109+'[108]Nov 13'!K109+'[108]Dec 13'!K109+'[108]Jan 14'!K109+'[108]Feb 14'!K109+'[108]Mar 14'!K109</f>
        <v>35020835.349999994</v>
      </c>
      <c r="L109" s="943">
        <f>SUM(L107:L108)</f>
        <v>124050832.19</v>
      </c>
      <c r="M109" s="943">
        <f>SUM(M107:M108)</f>
        <v>46068073.740000002</v>
      </c>
      <c r="N109" s="943">
        <f>SUM(J109:M109)</f>
        <v>704570229.68000007</v>
      </c>
      <c r="O109" s="944">
        <f>+N109/I109</f>
        <v>8.5763313960465588</v>
      </c>
    </row>
    <row r="110" spans="2:15" ht="15.75" thickBot="1">
      <c r="B110" s="986" t="s">
        <v>46</v>
      </c>
      <c r="C110" s="982"/>
      <c r="D110" s="982"/>
      <c r="E110" s="982"/>
      <c r="F110" s="983"/>
      <c r="G110" s="983"/>
      <c r="H110" s="983"/>
      <c r="I110" s="984"/>
      <c r="J110" s="985">
        <f>+'[108]Apr 13'!J110+'[108]May 13'!J110+'[108]Jun 13'!J110+'[108]Jul 13'!J110+'[108]Aug 13'!J110+'[108]Sep 13'!J110+'[108]Oct 13'!J110+'[108]Nov 13'!J110+'[108]Dec 13'!J110+'[108]Jan 14'!J110+'[108]Feb 14'!J110+'[108]Mar 14'!J110</f>
        <v>-197684842.50999999</v>
      </c>
      <c r="K110" s="987">
        <f>+'[108]Apr 13'!K110+'[108]May 13'!K110+'[108]Jun 13'!K110+'[108]Jul 13'!K110+'[108]Aug 13'!K110+'[108]Sep 13'!K110+'[108]Oct 13'!K110+'[108]Nov 13'!K110+'[108]Dec 13'!K110+'[108]Jan 14'!K110+'[108]Feb 14'!K110+'[108]Mar 14'!K110</f>
        <v>-12460077.289999999</v>
      </c>
      <c r="L110" s="985">
        <f>+'[108]Apr 13'!L110+'[108]May 13'!L110+'[108]Jun 13'!L110+'[108]Jul 13'!L110+'[108]Aug 13'!L110+'[108]Sep 13'!L110+'[108]Oct 13'!L110+'[108]Nov 13'!L110+'[108]Dec 13'!L110+'[108]Jan 14'!L110+'[108]Feb 14'!L110+'[108]Mar 14'!L110</f>
        <v>-45138669.157600187</v>
      </c>
      <c r="M110" s="985">
        <f>+'[108]Apr 13'!M110+'[108]May 13'!M110+'[108]Jun 13'!M110+'[108]Jul 13'!M110+'[108]Aug 13'!M110+'[108]Sep 13'!M110+'[108]Oct 13'!M110+'[108]Nov 13'!M110+'[108]Dec 13'!M110+'[108]Jan 14'!M110+'[108]Feb 14'!M110+'[108]Mar 14'!M110</f>
        <v>-17090119.787599862</v>
      </c>
      <c r="N110" s="943">
        <f>SUM(J110:M110)</f>
        <v>-272373708.74520004</v>
      </c>
      <c r="O110" s="987"/>
    </row>
    <row r="111" spans="2:15">
      <c r="B111" s="988" t="s">
        <v>47</v>
      </c>
      <c r="C111" s="989"/>
      <c r="D111" s="989">
        <f>SUM(D8:D110)</f>
        <v>874250</v>
      </c>
      <c r="E111" s="989">
        <f>SUM(E8:E110)</f>
        <v>146103</v>
      </c>
      <c r="F111" s="990"/>
      <c r="G111" s="990"/>
      <c r="H111" s="990"/>
      <c r="I111" s="991">
        <f>+I109+I106+I102+I98+I94+I90+I87+I84+I80+I76+I72+I68+I64+I60+I56+I52+I51+I42+I38+I34+I33+I24+I23+I22+I21+I8+I110</f>
        <v>4351521169.5900002</v>
      </c>
      <c r="J111" s="945">
        <f>+J109+J106+J102+J98+J94+J90+J87+J84+J80+J76+J72+J68+J64+J60+J56+J52+J51+J42+J38+J34+J33+J24+J23+J22+J21+J8+J110</f>
        <v>25974040716.2579</v>
      </c>
      <c r="K111" s="945">
        <f>+K109+K106+K102+K98+K94+K90+K87+K84+K80+K76+K72+K68+K64+K60+K56+K52+K51+K42+K38+K34+K33+K24+K23+K22+K21+K8+K110</f>
        <v>2775665140.9199996</v>
      </c>
      <c r="L111" s="945">
        <f>+L109+L106+L102+L98+L94+L90+L87+L84+L80+L76+L72+L68+L64+L60+L56+L52+L51+L42+L38+L34+L33+L24+L23+L22+L21+L8+L110</f>
        <v>6536036876.7891998</v>
      </c>
      <c r="M111" s="945">
        <f>+M109+M106+M102+M98+M94+M90+M87+M84+M80+M76+M72+M68+M64+M60+M56+M52+M51+M42+M38+M34+M33+M24+M23+M22+M21+M8+M110</f>
        <v>2428952350.8104</v>
      </c>
      <c r="N111" s="945">
        <f>+N109+N106+N102+N98+N94+N90+N87+N84+N80+N76+N72+N68+N64+N60+N56+N51+N42+N38+N33+N21+N8+N110</f>
        <v>37714695084.777504</v>
      </c>
      <c r="O111" s="944">
        <f>+N111/I111</f>
        <v>8.6670140428918057</v>
      </c>
    </row>
    <row r="112" spans="2:15">
      <c r="L112" s="951" t="s">
        <v>48</v>
      </c>
      <c r="M112" s="951"/>
      <c r="N112" s="951">
        <f>+'[108]Apr 13'!N112+'[108]May 13'!N112+'[108]Jun 13'!N112+'[108]Jul 13'!N112+'[108]Aug 13'!N112+'[108]Sep 13'!N112+'[108]Oct 13'!N112+'[108]Nov 13'!N112+'[108]Dec 13'!N112+'[108]Jan 14'!N112+'[108]Feb 14'!N112+'[108]Mar 14'!N112</f>
        <v>134794417.66</v>
      </c>
    </row>
    <row r="113" spans="9:14">
      <c r="I113" s="992"/>
      <c r="L113" s="951" t="s">
        <v>49</v>
      </c>
      <c r="M113" s="951"/>
      <c r="N113" s="951">
        <f>+'[108]Apr 13'!N113+'[108]May 13'!N113+'[108]Jun 13'!N113+'[108]Jul 13'!N113+'[108]Aug 13'!N113+'[108]Sep 13'!N113+'[108]Oct 13'!N113+'[108]Nov 13'!N113+'[108]Dec 13'!N113+'[108]Jan 14'!N113+'[108]Feb 14'!N113+'[108]Mar 14'!N113</f>
        <v>698147765.11960006</v>
      </c>
    </row>
    <row r="114" spans="9:14">
      <c r="I114" s="922"/>
      <c r="L114" s="951" t="s">
        <v>50</v>
      </c>
      <c r="M114" s="951"/>
      <c r="N114" s="951">
        <f>+'[108]Apr 13'!N114+'[108]May 13'!N114+'[108]Jun 13'!N114+'[108]Jul 13'!N114+'[108]Aug 13'!N114+'[108]Sep 13'!N114+'[108]Oct 13'!N114+'[108]Nov 13'!N114+'[108]Dec 13'!N114+'[108]Jan 14'!N114+'[108]Feb 14'!N114+'[108]Mar 14'!N114</f>
        <v>-2972758.4499999997</v>
      </c>
    </row>
    <row r="115" spans="9:14">
      <c r="L115" s="951" t="s">
        <v>51</v>
      </c>
      <c r="M115" s="951"/>
      <c r="N115" s="951">
        <f>+'[108]Apr 13'!N115+'[108]May 13'!N115+'[108]Jun 13'!N115+'[108]Jul 13'!N115+'[108]Aug 13'!N115+'[108]Sep 13'!N115+'[108]Oct 13'!N115+'[108]Nov 13'!N115+'[108]Dec 13'!N115+'[108]Jan 14'!N115+'[108]Feb 14'!N115+'[108]Mar 14'!N115</f>
        <v>158175976.24999997</v>
      </c>
    </row>
    <row r="116" spans="9:14">
      <c r="L116" s="951" t="s">
        <v>52</v>
      </c>
      <c r="M116" s="951"/>
      <c r="N116" s="951">
        <f>+'[108]Apr 13'!N116+'[108]May 13'!N116+'[108]Jun 13'!N116+'[108]Jul 13'!N116+'[108]Aug 13'!N116+'[108]Sep 13'!N116+'[108]Oct 13'!N116+'[108]Nov 13'!N116+'[108]Dec 13'!N116+'[108]Jan 14'!N116+'[108]Feb 14'!N116+'[108]Mar 14'!N116</f>
        <v>62129030.780000001</v>
      </c>
    </row>
    <row r="117" spans="9:14" ht="15.75">
      <c r="L117" s="993" t="s">
        <v>47</v>
      </c>
      <c r="M117" s="993"/>
      <c r="N117" s="993">
        <f>SUM(N111:N116)</f>
        <v>38764969516.137108</v>
      </c>
    </row>
    <row r="118" spans="9:14" ht="15.75" hidden="1">
      <c r="L118" s="994" t="s">
        <v>53</v>
      </c>
      <c r="M118" s="994"/>
      <c r="N118" s="995">
        <f>+'[108]Apr 13'!N118+'[108]May 13'!N118+'[108]Jun 13'!N118+'[108]Jul 13'!N118+'[108]Aug 13'!N118+'[108]Sep 13'!N118+'[108]Oct 13'!N118+'[108]Nov 13'!N118+'[108]Dec 13'!N118+'[108]Jan 14'!N118+'[108]Feb 14'!N118+'[108]Mar 14'!N118</f>
        <v>-142966721.22</v>
      </c>
    </row>
    <row r="119" spans="9:14" ht="15.75" hidden="1">
      <c r="L119" s="994" t="s">
        <v>54</v>
      </c>
      <c r="M119" s="994"/>
      <c r="N119" s="995">
        <f>+'[108]Apr 13'!N119+'[108]May 13'!N119+'[108]Jun 13'!N119+'[108]Jul 13'!N119+'[108]Aug 13'!N119+'[108]Sep 13'!N119+'[108]Oct 13'!N119+'[108]Nov 13'!N119+'[108]Dec 13'!N119+'[108]Jan 14'!N119+'[108]Feb 14'!N119+'[108]Mar 14'!N119</f>
        <v>-749760676.10000014</v>
      </c>
    </row>
    <row r="120" spans="9:14" ht="15.75" hidden="1">
      <c r="L120" s="994" t="s">
        <v>55</v>
      </c>
      <c r="M120" s="994"/>
      <c r="N120" s="995">
        <f>+'[108]Apr 13'!N120+'[108]May 13'!N120+'[108]Jun 13'!N120+'[108]Jul 13'!N120+'[108]Aug 13'!N120+'[108]Sep 13'!N120+'[108]Oct 13'!N120+'[108]Nov 13'!N120+'[108]Dec 13'!N120+'[108]Jan 14'!N120+'[108]Feb 14'!N120+'[108]Mar 14'!N120</f>
        <v>-3931392.0100000002</v>
      </c>
    </row>
    <row r="121" spans="9:14" ht="15.75" hidden="1">
      <c r="L121" s="994" t="s">
        <v>56</v>
      </c>
      <c r="M121" s="994"/>
      <c r="N121" s="995">
        <f>+'[108]Apr 13'!N121+'[108]May 13'!N121+'[108]Jun 13'!N121+'[108]Jul 13'!N121+'[108]Aug 13'!N121+'[108]Sep 13'!N121+'[108]Oct 13'!N121+'[108]Nov 13'!N121+'[108]Dec 13'!N121+'[108]Jan 14'!N121+'[108]Feb 14'!N121+'[108]Mar 14'!N121</f>
        <v>-5470724.4500000002</v>
      </c>
    </row>
    <row r="122" spans="9:14" ht="15.75" hidden="1">
      <c r="L122" s="994" t="s">
        <v>2236</v>
      </c>
      <c r="M122" s="951"/>
      <c r="N122" s="995">
        <f>SUM(N118:N121)</f>
        <v>-902129513.78000021</v>
      </c>
    </row>
    <row r="123" spans="9:14" ht="15.75" hidden="1">
      <c r="L123" s="922" t="s">
        <v>58</v>
      </c>
      <c r="N123" s="996">
        <f>+N117/I111</f>
        <v>8.908372039423984</v>
      </c>
    </row>
    <row r="124" spans="9:14" hidden="1">
      <c r="L124" s="951" t="s">
        <v>2237</v>
      </c>
      <c r="M124" s="951"/>
      <c r="N124" s="951">
        <f>+'[108]Apr 13'!N124+'[108]May 13'!N124+'[108]Jun 13'!N124+'[108]Jul 13'!N124+'[108]Aug 13'!N124+'[108]Sep 13'!N124+'[108]Oct 13'!N124+'[108]Nov 13'!N124+'[108]Dec 13'!N124+'[108]Jan 14'!N124+'[108]Feb 14'!N124+'[108]Mar 14'!N124</f>
        <v>278805135.17000002</v>
      </c>
    </row>
    <row r="125" spans="9:14" hidden="1">
      <c r="L125" s="951" t="s">
        <v>2238</v>
      </c>
      <c r="M125" s="951"/>
      <c r="N125" s="951">
        <f>+'[108]Apr 13'!N125+'[108]May 13'!N125+'[108]Jun 13'!N125+'[108]Jul 13'!N125+'[108]Aug 13'!N125+'[108]Sep 13'!N125+'[108]Oct 13'!N125+'[108]Nov 13'!N125+'[108]Dec 13'!N125+'[108]Jan 14'!N125+'[108]Feb 14'!N125+'[108]Mar 14'!N125</f>
        <v>172182289.21999997</v>
      </c>
    </row>
    <row r="126" spans="9:14" hidden="1">
      <c r="L126" s="951" t="s">
        <v>2239</v>
      </c>
      <c r="M126" s="951"/>
      <c r="N126" s="951">
        <f>+'[108]Apr 13'!N126+'[108]May 13'!N126+'[108]Jun 13'!N126+'[108]Jul 13'!N126+'[108]Aug 13'!N126+'[108]Sep 13'!N126+'[108]Oct 13'!N126+'[108]Nov 13'!N126+'[108]Dec 13'!N126+'[108]Jan 14'!N126+'[108]Feb 14'!N126+'[108]Mar 14'!N126</f>
        <v>187445108.31999999</v>
      </c>
    </row>
    <row r="127" spans="9:14" hidden="1">
      <c r="L127" s="951" t="s">
        <v>2240</v>
      </c>
      <c r="M127" s="951"/>
      <c r="N127" s="951">
        <f>+'[108]Apr 13'!N127+'[108]May 13'!N127+'[108]Jun 13'!N127+'[108]Jul 13'!N127+'[108]Aug 13'!N127+'[108]Sep 13'!N127+'[108]Oct 13'!N127+'[108]Nov 13'!N127+'[108]Dec 13'!N127+'[108]Jan 14'!N127+'[108]Feb 14'!N127+'[108]Mar 14'!N127</f>
        <v>-25341650.530000001</v>
      </c>
    </row>
    <row r="128" spans="9:14" hidden="1">
      <c r="L128" s="951" t="s">
        <v>2241</v>
      </c>
      <c r="M128" s="951"/>
      <c r="N128" s="951">
        <f>+'[108]Apr 13'!N128+'[108]May 13'!N128+'[108]Jun 13'!N128+'[108]Jul 13'!N128+'[108]Aug 13'!N128+'[108]Sep 13'!N128+'[108]Oct 13'!N128+'[108]Nov 13'!N128+'[108]Dec 13'!N128+'[108]Jan 14'!N128+'[108]Feb 14'!N128+'[108]Mar 14'!N128</f>
        <v>16138401</v>
      </c>
    </row>
    <row r="129" spans="2:29" hidden="1">
      <c r="L129" s="951" t="s">
        <v>2242</v>
      </c>
      <c r="M129" s="951"/>
      <c r="N129" s="951">
        <f>SUM(N124:N128)</f>
        <v>629229283.18000007</v>
      </c>
    </row>
    <row r="130" spans="2:29" ht="15.75" hidden="1">
      <c r="L130" s="997" t="s">
        <v>60</v>
      </c>
      <c r="M130" s="997"/>
      <c r="N130" s="997">
        <f>+N117+N129</f>
        <v>39394198799.317108</v>
      </c>
    </row>
    <row r="131" spans="2:29" ht="15.75" hidden="1">
      <c r="B131" s="998"/>
      <c r="I131" s="999"/>
      <c r="L131" s="922" t="s">
        <v>58</v>
      </c>
      <c r="N131" s="996">
        <f>+N130/I111</f>
        <v>9.0529718836295636</v>
      </c>
    </row>
    <row r="132" spans="2:29" ht="15.75">
      <c r="N132" s="792"/>
      <c r="P132" s="1000" t="s">
        <v>2243</v>
      </c>
      <c r="Q132" s="1001"/>
      <c r="R132" s="1001"/>
      <c r="S132" s="1001"/>
      <c r="T132" s="1001"/>
      <c r="U132" s="1001"/>
      <c r="V132" s="1001"/>
      <c r="W132" s="1001"/>
      <c r="X132" s="1001"/>
      <c r="Y132" s="1001"/>
      <c r="Z132" s="1001"/>
      <c r="AA132" s="1001"/>
      <c r="AB132" s="1001"/>
      <c r="AC132" s="1001"/>
    </row>
    <row r="133" spans="2:29" ht="15.75">
      <c r="M133" s="922" t="s">
        <v>2244</v>
      </c>
      <c r="N133" s="922">
        <f>+N111+N112+N113+N114+N115+N116+N125+N126+N127+(N118+N119+N120+N121)</f>
        <v>38197125749.367111</v>
      </c>
      <c r="P133" s="1001"/>
      <c r="Q133" s="1001"/>
      <c r="R133" s="1001"/>
      <c r="S133" s="1001"/>
      <c r="T133" s="1001"/>
      <c r="U133" s="1001"/>
      <c r="V133" s="1001"/>
      <c r="W133" s="1001"/>
      <c r="X133" s="1001"/>
      <c r="Y133" s="1001"/>
      <c r="Z133" s="1001"/>
      <c r="AA133" s="1001"/>
      <c r="AB133" s="1001"/>
      <c r="AC133" s="1001"/>
    </row>
    <row r="134" spans="2:29" ht="20.100000000000001" customHeight="1">
      <c r="I134" s="922"/>
      <c r="P134" s="1002" t="s">
        <v>2245</v>
      </c>
      <c r="Q134" s="1003">
        <v>41376</v>
      </c>
      <c r="R134" s="1003">
        <v>41407</v>
      </c>
      <c r="S134" s="1003">
        <v>41438</v>
      </c>
      <c r="T134" s="1003">
        <v>41469</v>
      </c>
      <c r="U134" s="1003">
        <v>41500</v>
      </c>
      <c r="V134" s="1003">
        <v>41531</v>
      </c>
      <c r="W134" s="1003">
        <v>41562</v>
      </c>
      <c r="X134" s="1003">
        <v>41593</v>
      </c>
      <c r="Y134" s="1003">
        <v>41624</v>
      </c>
      <c r="Z134" s="1003">
        <v>41655</v>
      </c>
      <c r="AA134" s="1003">
        <v>41686</v>
      </c>
      <c r="AB134" s="1003">
        <v>41717</v>
      </c>
      <c r="AC134" s="1004" t="s">
        <v>47</v>
      </c>
    </row>
    <row r="135" spans="2:29" ht="20.100000000000001" customHeight="1">
      <c r="P135" s="1005" t="s">
        <v>2246</v>
      </c>
      <c r="Q135" s="1005">
        <f>'[108]Apr 13'!$I$111/10^6</f>
        <v>371.26812911000002</v>
      </c>
      <c r="R135" s="1005">
        <f>'[108]May 13'!$I$111/10^6</f>
        <v>384.54628717000003</v>
      </c>
      <c r="S135" s="1005">
        <f>'[108]Jun 13'!$I$111/10^6</f>
        <v>405.35928010999999</v>
      </c>
      <c r="T135" s="1005">
        <f>'[108]Jul 13'!$I$111/10^6</f>
        <v>360.29852038999996</v>
      </c>
      <c r="U135" s="1005">
        <f>'[108]Aug 13'!$I$111/10^6</f>
        <v>396.78091081999997</v>
      </c>
      <c r="V135" s="1005">
        <f>'[108]Sep 13'!$I$111/10^6</f>
        <v>371.88665334000001</v>
      </c>
      <c r="W135" s="1005">
        <f>'[108]Oct 13'!$I$111/10^6</f>
        <v>367.11329526999998</v>
      </c>
      <c r="X135" s="1005">
        <f>'[108]Nov 13'!$I$111/10^6</f>
        <v>324.88628920999997</v>
      </c>
      <c r="Y135" s="1005">
        <f>'[108]Dec 13'!$I$111/10^6</f>
        <v>289.89327894000002</v>
      </c>
      <c r="Z135" s="1005">
        <f>'[108]Jan 14'!$I$111/10^6</f>
        <v>459.60770401999997</v>
      </c>
      <c r="AA135" s="1005">
        <f>'[108]Feb 14'!$I$111/10^6</f>
        <v>321.12555834000005</v>
      </c>
      <c r="AB135" s="1005">
        <f>'[108]Mar 14'!$I$111/10^6</f>
        <v>298.75526287000002</v>
      </c>
      <c r="AC135" s="1005">
        <f>SUM(Q135:AB135)</f>
        <v>4351.5211695899998</v>
      </c>
    </row>
    <row r="136" spans="2:29" ht="20.100000000000001" customHeight="1">
      <c r="P136" s="1005" t="s">
        <v>2247</v>
      </c>
      <c r="Q136" s="1005">
        <f>('[108]Apr 13'!$J$111+'[108]Apr 13'!$K$111)/10^7</f>
        <v>229.73231383326001</v>
      </c>
      <c r="R136" s="1005">
        <f>('[108]May 13'!$J$111+'[108]May 13'!$K$111)/10^7</f>
        <v>239.06418891221995</v>
      </c>
      <c r="S136" s="1005">
        <f>('[108]Jun 13'!$J$111+'[108]Jun 13'!$K$111)/10^7</f>
        <v>253.26071433325995</v>
      </c>
      <c r="T136" s="1005">
        <f>('[108]Jul 13'!$J$111+'[108]Jul 13'!$K$111)/10^7</f>
        <v>224.42166506374002</v>
      </c>
      <c r="U136" s="1005">
        <f>('[108]Aug 13'!$J$111+'[108]Aug 13'!$K$111)/10^7</f>
        <v>244.24162147712002</v>
      </c>
      <c r="V136" s="1005">
        <f>('[108]Sep 13'!$J$111+'[108]Sep 13'!$K$111)/10^7</f>
        <v>232.34419061043997</v>
      </c>
      <c r="W136" s="1005">
        <f>('[108]Oct 13'!$J$111+'[108]Oct 13'!$K$111)/10^7</f>
        <v>257.28701633724995</v>
      </c>
      <c r="X136" s="1005">
        <f>('[108]Nov 13'!$J$111+'[108]Nov 13'!$K$111)/10^7</f>
        <v>236.54806149074997</v>
      </c>
      <c r="Y136" s="1005">
        <f>('[108]Dec 13'!$J$111+'[108]Dec 13'!$K$111)/10^7</f>
        <v>211.6854113075</v>
      </c>
      <c r="Z136" s="1005">
        <f>('[108]Jan 14'!$J$111+'[108]Jan 14'!$K$111)/10^7</f>
        <v>310.47104544049995</v>
      </c>
      <c r="AA136" s="1005">
        <f>('[108]Feb 14'!$J$111+'[108]Feb 14'!$K$111)/10^7</f>
        <v>226.66115771950001</v>
      </c>
      <c r="AB136" s="1005">
        <f>('[108]Mar 14'!$J$111+'[108]Mar 14'!$K$111)/10^7</f>
        <v>209.25319919225001</v>
      </c>
      <c r="AC136" s="1005">
        <f t="shared" ref="AC136:AC142" si="2">SUM(Q136:AB136)</f>
        <v>2874.9705857177896</v>
      </c>
    </row>
    <row r="137" spans="2:29" ht="20.100000000000001" customHeight="1">
      <c r="P137" s="1005" t="s">
        <v>2248</v>
      </c>
      <c r="Q137" s="1005">
        <f>'[108]Apr 13'!$L$111/10^7</f>
        <v>55.980344495720004</v>
      </c>
      <c r="R137" s="1005">
        <f>'[108]May 13'!$L$111/10^7</f>
        <v>58.065067795840001</v>
      </c>
      <c r="S137" s="1005">
        <f>'[108]Jun 13'!$L$111/10^7</f>
        <v>61.826540485720017</v>
      </c>
      <c r="T137" s="1005">
        <f>'[108]Jul 13'!$L$111/10^7</f>
        <v>54.050451413280001</v>
      </c>
      <c r="U137" s="1005">
        <f>'[108]Aug 13'!$L$111/10^7</f>
        <v>59.497450694640001</v>
      </c>
      <c r="V137" s="1005">
        <f>'[108]Sep 13'!$L$111/10^7</f>
        <v>55.700410031680001</v>
      </c>
      <c r="W137" s="1005">
        <f>'[108]Oct 13'!$L$111/10^7</f>
        <v>54.949724612039994</v>
      </c>
      <c r="X137" s="1005">
        <f>'[108]Nov 13'!$L$111/10^7</f>
        <v>51.214794388999998</v>
      </c>
      <c r="Y137" s="1005">
        <f>'[108]Dec 13'!$L$111/10^7</f>
        <v>45.535936393999997</v>
      </c>
      <c r="Z137" s="1005">
        <f>'[108]Jan 14'!$L$111/10^7</f>
        <v>65.064214299</v>
      </c>
      <c r="AA137" s="1005">
        <f>'[108]Feb 14'!$L$111/10^7</f>
        <v>47.825224304999999</v>
      </c>
      <c r="AB137" s="1005">
        <f>'[108]Mar 14'!$L$111/10^7</f>
        <v>43.893528762999999</v>
      </c>
      <c r="AC137" s="1005">
        <f t="shared" si="2"/>
        <v>653.60368767891998</v>
      </c>
    </row>
    <row r="138" spans="2:29" ht="20.100000000000001" customHeight="1">
      <c r="P138" s="1005" t="s">
        <v>2249</v>
      </c>
      <c r="Q138" s="1005">
        <f>'[108]Apr 13'!$N$112/10^7</f>
        <v>1.2185288089999999</v>
      </c>
      <c r="R138" s="1005">
        <f>'[108]May 13'!$N$112/10^7</f>
        <v>1.1478566400000001</v>
      </c>
      <c r="S138" s="1005">
        <f>'[108]Jun 13'!$N$112/10^7</f>
        <v>0.99829353599999993</v>
      </c>
      <c r="T138" s="1005">
        <f>'[108]Jul 13'!$N$112/10^7</f>
        <v>1.04178466</v>
      </c>
      <c r="U138" s="1005">
        <f>'[108]Aug 13'!$N$112/10^7</f>
        <v>0.994976376</v>
      </c>
      <c r="V138" s="1005">
        <f>'[108]Sep 13'!$N$112/10^7</f>
        <v>1.0040672199999998</v>
      </c>
      <c r="W138" s="1005">
        <f>'[108]Oct 13'!$N$112/10^7</f>
        <v>1.1280468620000002</v>
      </c>
      <c r="X138" s="1005">
        <f>'[108]Nov 13'!$N$112/10^7</f>
        <v>1.145100075</v>
      </c>
      <c r="Y138" s="1005">
        <f>'[108]Dec 13'!$N$112/10^7</f>
        <v>1.128427404</v>
      </c>
      <c r="Z138" s="1005">
        <f>'[108]Jan 14'!$N$112/10^7</f>
        <v>1.159820724</v>
      </c>
      <c r="AA138" s="1005">
        <f>'[108]Feb 14'!$N$112/10^7</f>
        <v>1.1970787519999999</v>
      </c>
      <c r="AB138" s="1005">
        <f>'[108]Mar 14'!$N$112/10^7</f>
        <v>1.315460708</v>
      </c>
      <c r="AC138" s="1005">
        <f t="shared" si="2"/>
        <v>13.479441765999999</v>
      </c>
    </row>
    <row r="139" spans="2:29" ht="20.100000000000001" customHeight="1">
      <c r="P139" s="1005" t="s">
        <v>2250</v>
      </c>
      <c r="Q139" s="1005">
        <f>'[108]Apr 13'!$N$116/10^7</f>
        <v>-1.250827218</v>
      </c>
      <c r="R139" s="1005">
        <f>'[108]May 13'!$N$116/10^7</f>
        <v>0.75701463000000002</v>
      </c>
      <c r="S139" s="1005">
        <f>'[108]Jun 13'!$N$116/10^7</f>
        <v>0.82932992800000005</v>
      </c>
      <c r="T139" s="1005">
        <f>'[108]Jul 13'!$N$116/10^7</f>
        <v>0.75567155899999994</v>
      </c>
      <c r="U139" s="1005">
        <f>'[108]Aug 13'!$N$116/10^7</f>
        <v>0.68602576399999993</v>
      </c>
      <c r="V139" s="1005">
        <f>'[108]Sep 13'!$N$116/10^7</f>
        <v>0.80519855099999993</v>
      </c>
      <c r="W139" s="1005">
        <f>'[108]Oct 13'!$N$116/10^7</f>
        <v>0.68224755599999998</v>
      </c>
      <c r="X139" s="1005">
        <f>'[108]Nov 13'!$N$116/10^7</f>
        <v>0.71519439900000004</v>
      </c>
      <c r="Y139" s="1005">
        <f>'[108]Dec 13'!$N$116/10^7</f>
        <v>0.779270778</v>
      </c>
      <c r="Z139" s="1005">
        <f>'[108]Jan 14'!$N$116/10^7</f>
        <v>1.068142264</v>
      </c>
      <c r="AA139" s="1005">
        <f>'[108]Feb 14'!$N$116/10^7</f>
        <v>0.419191227</v>
      </c>
      <c r="AB139" s="1005">
        <f>'[108]Mar 14'!$N$116/10^7</f>
        <v>-3.355636E-2</v>
      </c>
      <c r="AC139" s="1005">
        <f t="shared" si="2"/>
        <v>6.2129030779999992</v>
      </c>
    </row>
    <row r="140" spans="2:29" ht="20.100000000000001" customHeight="1">
      <c r="P140" s="1005" t="s">
        <v>2251</v>
      </c>
      <c r="Q140" s="1005">
        <f>'[108]Apr 13'!$N$115/10^7</f>
        <v>1.3317847599999999</v>
      </c>
      <c r="R140" s="1005">
        <f>'[108]May 13'!$N$115/10^7</f>
        <v>1.4233381199999999</v>
      </c>
      <c r="S140" s="1005">
        <f>'[108]Jun 13'!$N$115/10^7</f>
        <v>1.526934214</v>
      </c>
      <c r="T140" s="1005">
        <f>'[108]Jul 13'!$N$115/10^7</f>
        <v>1.3123683939999999</v>
      </c>
      <c r="U140" s="1005">
        <f>'[108]Aug 13'!$N$115/10^7</f>
        <v>1.3599782029999998</v>
      </c>
      <c r="V140" s="1005">
        <f>'[108]Sep 13'!$N$115/10^7</f>
        <v>1.297606756</v>
      </c>
      <c r="W140" s="1005">
        <f>'[108]Oct 13'!$N$115/10^7</f>
        <v>1.2895851470000002</v>
      </c>
      <c r="X140" s="1005">
        <f>'[108]Nov 13'!$N$115/10^7</f>
        <v>1.4681510050000002</v>
      </c>
      <c r="Y140" s="1005">
        <f>'[108]Dec 13'!$N$115/10^7</f>
        <v>1.2844881939999999</v>
      </c>
      <c r="Z140" s="1005">
        <f>'[108]Jan 14'!$N$115/10^7</f>
        <v>1.2214342460000001</v>
      </c>
      <c r="AA140" s="1005">
        <f>'[108]Feb 14'!$N$115/10^7</f>
        <v>1.257578101</v>
      </c>
      <c r="AB140" s="1005">
        <f>'[108]Mar 14'!$N$115/10^7</f>
        <v>1.0443504850000001</v>
      </c>
      <c r="AC140" s="1005">
        <f t="shared" si="2"/>
        <v>15.817597624999999</v>
      </c>
    </row>
    <row r="141" spans="2:29" ht="20.100000000000001" customHeight="1">
      <c r="P141" s="1005" t="s">
        <v>2252</v>
      </c>
      <c r="Q141" s="1005">
        <f>'[108]Apr 13'!$N$114/10^7</f>
        <v>-2.2552539E-2</v>
      </c>
      <c r="R141" s="1005">
        <f>'[108]May 13'!$N$114/10^7</f>
        <v>-4.0346593E-2</v>
      </c>
      <c r="S141" s="1005">
        <f>'[108]Jun 13'!$N$114/10^7</f>
        <v>-1.5479102E-2</v>
      </c>
      <c r="T141" s="1005">
        <f>'[108]Jul 13'!$N$114/10^7</f>
        <v>-2.6795010999999997E-2</v>
      </c>
      <c r="U141" s="1005">
        <f>'[108]Aug 13'!$N$114/10^7</f>
        <v>-2.2431570000000001E-2</v>
      </c>
      <c r="V141" s="1005">
        <f>'[108]Sep 13'!$N$114/10^7</f>
        <v>-2.6471029999999982E-2</v>
      </c>
      <c r="W141" s="1005">
        <f>'[108]Oct 13'!$N$114/10^7</f>
        <v>-1.9986477000000002E-2</v>
      </c>
      <c r="X141" s="1005">
        <f>'[108]Nov 13'!$N$114/10^7</f>
        <v>-2.9444110999999999E-2</v>
      </c>
      <c r="Y141" s="1005">
        <f>'[108]Dec 13'!$N$114/10^7</f>
        <v>-2.7945226E-2</v>
      </c>
      <c r="Z141" s="1005">
        <f>'[108]Jan 14'!$N$114/10^7</f>
        <v>-6.6738229999999997E-3</v>
      </c>
      <c r="AA141" s="1005">
        <f>'[108]Feb 14'!$N$114/10^7</f>
        <v>-3.6381696000000005E-2</v>
      </c>
      <c r="AB141" s="1005">
        <f>'[108]Mar 14'!$N$114/10^7</f>
        <v>-2.2768667000000003E-2</v>
      </c>
      <c r="AC141" s="1005">
        <f t="shared" si="2"/>
        <v>-0.29727584499999998</v>
      </c>
    </row>
    <row r="142" spans="2:29" ht="20.100000000000001" customHeight="1">
      <c r="P142" s="1005" t="s">
        <v>2253</v>
      </c>
      <c r="Q142" s="1005">
        <f>+'[108]Apr 13'!$M$111/10^7</f>
        <v>0</v>
      </c>
      <c r="R142" s="1005">
        <f>+'[108]May 13'!$M$111/10^7</f>
        <v>0</v>
      </c>
      <c r="S142" s="1005">
        <f>+'[108]Jun 13'!$M$111/10^7</f>
        <v>0</v>
      </c>
      <c r="T142" s="1005">
        <f>+'[108]Jul 13'!$M$111/10^7</f>
        <v>0</v>
      </c>
      <c r="U142" s="1005">
        <f>+'[108]Aug 13'!$M$111/10^7</f>
        <v>0</v>
      </c>
      <c r="V142" s="1005">
        <f>+'[108]Sep 13'!$M$111/10^7</f>
        <v>3.6101866620000003</v>
      </c>
      <c r="W142" s="1005">
        <f>+'[108]Oct 13'!$M$111/10^7</f>
        <v>42.922255294240003</v>
      </c>
      <c r="X142" s="1005">
        <f>+'[108]Nov 13'!$M$111/10^7</f>
        <v>39.885797194520002</v>
      </c>
      <c r="Y142" s="1005">
        <f>+'[108]Dec 13'!$M$111/10^7</f>
        <v>35.419881316279991</v>
      </c>
      <c r="Z142" s="1005">
        <f>+'[108]Jan 14'!$M$111/10^7</f>
        <v>53.998420322000001</v>
      </c>
      <c r="AA142" s="1005">
        <f>+'[108]Feb 14'!$M$111/10^7</f>
        <v>37.169015158000001</v>
      </c>
      <c r="AB142" s="1005">
        <f>+'[108]Mar 14'!$M$111/10^7</f>
        <v>29.889679133999998</v>
      </c>
      <c r="AC142" s="1005">
        <f t="shared" si="2"/>
        <v>242.89523508104</v>
      </c>
    </row>
    <row r="143" spans="2:29" ht="20.100000000000001" customHeight="1">
      <c r="P143" s="1005" t="s">
        <v>2254</v>
      </c>
      <c r="Q143" s="1005">
        <f>SUM(Q136:Q142)</f>
        <v>286.98959214098005</v>
      </c>
      <c r="R143" s="1005">
        <f>SUM(R136:R142)</f>
        <v>300.41711950505993</v>
      </c>
      <c r="S143" s="1005">
        <f>SUM(S136:S142)</f>
        <v>318.42633339498002</v>
      </c>
      <c r="T143" s="1005">
        <f t="shared" ref="T143:AB143" si="3">SUM(T136:T142)</f>
        <v>281.55514607902001</v>
      </c>
      <c r="U143" s="1005">
        <f t="shared" si="3"/>
        <v>306.75762094476011</v>
      </c>
      <c r="V143" s="1005">
        <f t="shared" si="3"/>
        <v>294.73518880111999</v>
      </c>
      <c r="W143" s="1005">
        <f t="shared" si="3"/>
        <v>358.23888933153</v>
      </c>
      <c r="X143" s="1005">
        <f t="shared" si="3"/>
        <v>330.94765444226999</v>
      </c>
      <c r="Y143" s="1005">
        <f t="shared" si="3"/>
        <v>295.80547016778002</v>
      </c>
      <c r="Z143" s="1005">
        <f t="shared" si="3"/>
        <v>432.97640347249995</v>
      </c>
      <c r="AA143" s="1005">
        <f t="shared" si="3"/>
        <v>314.49286356649998</v>
      </c>
      <c r="AB143" s="1005">
        <f t="shared" si="3"/>
        <v>285.33989325524999</v>
      </c>
      <c r="AC143" s="1005">
        <f>SUM(AC136:AC142)</f>
        <v>3806.6821751017496</v>
      </c>
    </row>
    <row r="144" spans="2:29" ht="20.100000000000001" customHeight="1">
      <c r="P144" s="1005" t="s">
        <v>2255</v>
      </c>
      <c r="Q144" s="1005">
        <f>'[108]Apr 13'!$N$113/10^7</f>
        <v>38.402058543999999</v>
      </c>
      <c r="R144" s="1005">
        <f>'[108]May 13'!$N$113/10^7</f>
        <v>18.020332549999999</v>
      </c>
      <c r="S144" s="1005">
        <f>'[108]Jun 13'!$N$113/10^7</f>
        <v>7.3933319280000003</v>
      </c>
      <c r="T144" s="1005">
        <f>'[108]Jul 13'!$N$113/10^7</f>
        <v>24.821482406999998</v>
      </c>
      <c r="U144" s="1005">
        <f>'[108]Aug 13'!$N$113/10^7</f>
        <v>-18.250502982</v>
      </c>
      <c r="V144" s="1005">
        <f>'[108]Sep 13'!$N$113/10^7</f>
        <v>-0.22089376299999952</v>
      </c>
      <c r="W144" s="1005">
        <f>'[108]Oct 13'!$N$113/10^7</f>
        <v>-7.0973303240001201E-2</v>
      </c>
      <c r="X144" s="1005">
        <f>'[108]Nov 13'!$N$113/10^7</f>
        <v>-0.126771004520005</v>
      </c>
      <c r="Y144" s="1005">
        <f>'[108]Dec 13'!$N$113/10^7</f>
        <v>-0.15328786427999139</v>
      </c>
      <c r="Z144" s="1005">
        <f>'[108]Jan 14'!$N$113/10^7</f>
        <v>0</v>
      </c>
      <c r="AA144" s="1005">
        <f>'[108]Feb 14'!$N$113/10^7</f>
        <v>0</v>
      </c>
      <c r="AB144" s="1005">
        <f>'[108]Mar 14'!$N$113/10^7</f>
        <v>0</v>
      </c>
      <c r="AC144" s="1005">
        <f>SUM(Q144:AB144)</f>
        <v>69.814776511960005</v>
      </c>
    </row>
    <row r="145" spans="16:30" ht="20.100000000000001" customHeight="1">
      <c r="P145" s="1005" t="s">
        <v>2256</v>
      </c>
      <c r="Q145" s="1005">
        <f>+Q144*10/Q135</f>
        <v>1.0343483733994889</v>
      </c>
      <c r="R145" s="1005">
        <f>+R144*10/R135</f>
        <v>0.46861283416926036</v>
      </c>
      <c r="S145" s="1005">
        <f>+S144*10/S135</f>
        <v>0.18238960573429366</v>
      </c>
      <c r="T145" s="1005">
        <f t="shared" ref="T145:AC145" si="4">+T144*10/T135</f>
        <v>0.68891435857500438</v>
      </c>
      <c r="U145" s="1005">
        <f t="shared" si="4"/>
        <v>-0.45996423931491398</v>
      </c>
      <c r="V145" s="1005">
        <f t="shared" si="4"/>
        <v>-5.9398142153288249E-3</v>
      </c>
      <c r="W145" s="1005">
        <f t="shared" si="4"/>
        <v>-1.9332806562563369E-3</v>
      </c>
      <c r="X145" s="1005">
        <f t="shared" si="4"/>
        <v>-3.9020115261947166E-3</v>
      </c>
      <c r="Y145" s="1005">
        <f t="shared" si="4"/>
        <v>-5.2877343290086342E-3</v>
      </c>
      <c r="Z145" s="1005">
        <f t="shared" si="4"/>
        <v>0</v>
      </c>
      <c r="AA145" s="1005">
        <f t="shared" si="4"/>
        <v>0</v>
      </c>
      <c r="AB145" s="1005">
        <f t="shared" si="4"/>
        <v>0</v>
      </c>
      <c r="AC145" s="1005">
        <f t="shared" si="4"/>
        <v>0.16043763500417019</v>
      </c>
    </row>
    <row r="146" spans="16:30" ht="20.100000000000001" customHeight="1">
      <c r="P146" s="1005" t="s">
        <v>2257</v>
      </c>
      <c r="Q146" s="1005">
        <f>+Q143+Q144</f>
        <v>325.39165068498005</v>
      </c>
      <c r="R146" s="1005">
        <f>+R143+R144</f>
        <v>318.43745205505991</v>
      </c>
      <c r="S146" s="1005">
        <f>+S143+S144</f>
        <v>325.81966532298003</v>
      </c>
      <c r="T146" s="1005">
        <f t="shared" ref="T146:AB146" si="5">+T143+T144</f>
        <v>306.37662848602002</v>
      </c>
      <c r="U146" s="1005">
        <f t="shared" si="5"/>
        <v>288.50711796276011</v>
      </c>
      <c r="V146" s="1005">
        <f t="shared" si="5"/>
        <v>294.51429503812</v>
      </c>
      <c r="W146" s="1005">
        <f t="shared" si="5"/>
        <v>358.16791602828999</v>
      </c>
      <c r="X146" s="1005">
        <f t="shared" si="5"/>
        <v>330.82088343775001</v>
      </c>
      <c r="Y146" s="1005">
        <f t="shared" si="5"/>
        <v>295.65218230350001</v>
      </c>
      <c r="Z146" s="1005">
        <f t="shared" si="5"/>
        <v>432.97640347249995</v>
      </c>
      <c r="AA146" s="1005">
        <f t="shared" si="5"/>
        <v>314.49286356649998</v>
      </c>
      <c r="AB146" s="1005">
        <f t="shared" si="5"/>
        <v>285.33989325524999</v>
      </c>
      <c r="AC146" s="1005">
        <f>+AC143+AC144</f>
        <v>3876.4969516137098</v>
      </c>
    </row>
    <row r="147" spans="16:30" ht="20.100000000000001" customHeight="1">
      <c r="P147" s="1005" t="s">
        <v>2258</v>
      </c>
      <c r="Q147" s="1005">
        <f>'[108]Apr 13'!$N$129/10^7</f>
        <v>4.203074054</v>
      </c>
      <c r="R147" s="1005">
        <f>'[108]May 13'!$N$129/10^7</f>
        <v>5.1252285500000001</v>
      </c>
      <c r="S147" s="1005">
        <f>'[108]Jun 13'!$N$129/10^7</f>
        <v>5.6366935219999998</v>
      </c>
      <c r="T147" s="1005">
        <f>'[108]Jul 13'!$N$129/10^7</f>
        <v>4.6811131510000008</v>
      </c>
      <c r="U147" s="1005">
        <f>'[108]Aug 13'!$N$129/10^7</f>
        <v>5.6570948729999992</v>
      </c>
      <c r="V147" s="1005">
        <f>'[108]Sep 13'!$N$129/10^7</f>
        <v>5.5496144739999993</v>
      </c>
      <c r="W147" s="1005">
        <f>'[108]Oct 13'!$N$129/10^7</f>
        <v>5.3823276440000001</v>
      </c>
      <c r="X147" s="1005">
        <f>'[108]Nov 13'!$N$129/10^7</f>
        <v>4.692463341999999</v>
      </c>
      <c r="Y147" s="1005">
        <f>'[108]Dec 13'!$N$129/10^7</f>
        <v>4.4178326370000001</v>
      </c>
      <c r="Z147" s="1005">
        <f>'[108]Jan 14'!$N$129/10^7</f>
        <v>6.6831683179999999</v>
      </c>
      <c r="AA147" s="1005">
        <f>'[108]Feb 14'!$N$129/10^7</f>
        <v>5.8703317339999996</v>
      </c>
      <c r="AB147" s="1005">
        <f>'[108]Mar 14'!$N$129/10^7</f>
        <v>5.0239860189999996</v>
      </c>
      <c r="AC147" s="1005">
        <f>SUM(Q147:AB147)</f>
        <v>62.92292831799999</v>
      </c>
    </row>
    <row r="148" spans="16:30" ht="20.100000000000001" customHeight="1">
      <c r="P148" s="1005" t="s">
        <v>2259</v>
      </c>
      <c r="Q148" s="1005">
        <f>SUM(Q146:Q147)</f>
        <v>329.59472473898006</v>
      </c>
      <c r="R148" s="1005">
        <f>SUM(R146:R147)</f>
        <v>323.56268060505988</v>
      </c>
      <c r="S148" s="1005">
        <f>SUM(S146:S147)</f>
        <v>331.45635884498</v>
      </c>
      <c r="T148" s="1005">
        <f t="shared" ref="T148:AC148" si="6">SUM(T146:T147)</f>
        <v>311.05774163702</v>
      </c>
      <c r="U148" s="1005">
        <f t="shared" si="6"/>
        <v>294.16421283576011</v>
      </c>
      <c r="V148" s="1005">
        <f t="shared" si="6"/>
        <v>300.06390951212001</v>
      </c>
      <c r="W148" s="1005">
        <f t="shared" si="6"/>
        <v>363.55024367228998</v>
      </c>
      <c r="X148" s="1005">
        <f t="shared" si="6"/>
        <v>335.51334677975001</v>
      </c>
      <c r="Y148" s="1005">
        <f t="shared" si="6"/>
        <v>300.07001494050002</v>
      </c>
      <c r="Z148" s="1005">
        <f t="shared" si="6"/>
        <v>439.65957179049997</v>
      </c>
      <c r="AA148" s="1005">
        <f t="shared" si="6"/>
        <v>320.36319530049997</v>
      </c>
      <c r="AB148" s="1005">
        <f t="shared" si="6"/>
        <v>290.36387927425</v>
      </c>
      <c r="AC148" s="1005">
        <f t="shared" si="6"/>
        <v>3939.4198799317096</v>
      </c>
      <c r="AD148" s="923"/>
    </row>
    <row r="149" spans="16:30" ht="20.100000000000001" customHeight="1">
      <c r="P149" s="1002" t="s">
        <v>2260</v>
      </c>
      <c r="Q149" s="1002">
        <f>+Q143*10/Q135</f>
        <v>7.7299819090032971</v>
      </c>
      <c r="R149" s="1002">
        <f>+R143*10/R135</f>
        <v>7.8122486038267658</v>
      </c>
      <c r="S149" s="1002">
        <f>+S143*10/S135</f>
        <v>7.8554099787371472</v>
      </c>
      <c r="T149" s="1002">
        <f t="shared" ref="T149:AC149" si="7">+T143*10/T135</f>
        <v>7.8144963175051254</v>
      </c>
      <c r="U149" s="1002">
        <f t="shared" si="7"/>
        <v>7.731158747299741</v>
      </c>
      <c r="V149" s="1002">
        <f t="shared" si="7"/>
        <v>7.9254037797279118</v>
      </c>
      <c r="W149" s="1002">
        <f t="shared" si="7"/>
        <v>9.758265198977794</v>
      </c>
      <c r="X149" s="1002">
        <f t="shared" si="7"/>
        <v>10.186568822187263</v>
      </c>
      <c r="Y149" s="1002">
        <f t="shared" si="7"/>
        <v>10.203943715059488</v>
      </c>
      <c r="Z149" s="1002">
        <f t="shared" si="7"/>
        <v>9.4205645311302018</v>
      </c>
      <c r="AA149" s="1002">
        <f t="shared" si="7"/>
        <v>9.7934547842349708</v>
      </c>
      <c r="AB149" s="1002">
        <f t="shared" si="7"/>
        <v>9.5509578815156271</v>
      </c>
      <c r="AC149" s="1002">
        <f t="shared" si="7"/>
        <v>8.7479344044198104</v>
      </c>
    </row>
    <row r="150" spans="16:30" ht="20.100000000000001" customHeight="1">
      <c r="P150" s="1002" t="s">
        <v>2261</v>
      </c>
      <c r="Q150" s="1002">
        <v>9.9700000000000006</v>
      </c>
      <c r="R150" s="1002">
        <v>9.9700000000000006</v>
      </c>
      <c r="S150" s="1002">
        <v>9.9700000000000006</v>
      </c>
      <c r="T150" s="1002">
        <v>9.9700000000000006</v>
      </c>
      <c r="U150" s="1002">
        <v>9.9700000000000006</v>
      </c>
      <c r="V150" s="1002">
        <v>9.9700000000000006</v>
      </c>
      <c r="W150" s="1002">
        <v>9.9700000000000006</v>
      </c>
      <c r="X150" s="1002">
        <v>9.9700000000000006</v>
      </c>
      <c r="Y150" s="1002">
        <v>9.9700000000000006</v>
      </c>
      <c r="Z150" s="1002">
        <v>9.9700000000000006</v>
      </c>
      <c r="AA150" s="1002">
        <v>9.9700000000000006</v>
      </c>
      <c r="AB150" s="1002">
        <v>9.9700000000000006</v>
      </c>
      <c r="AC150" s="1002">
        <v>9.9700000000000006</v>
      </c>
    </row>
    <row r="151" spans="16:30" ht="20.100000000000001" customHeight="1">
      <c r="P151" s="1005" t="s">
        <v>2262</v>
      </c>
      <c r="Q151" s="1005">
        <f>+Q146*10/Q135</f>
        <v>8.7643302824027867</v>
      </c>
      <c r="R151" s="1005">
        <f>+R146*10/R135</f>
        <v>8.2808614379960268</v>
      </c>
      <c r="S151" s="1005">
        <f>+S146*10/S135</f>
        <v>8.0377995844714398</v>
      </c>
      <c r="T151" s="1005">
        <f t="shared" ref="T151:AC151" si="8">+T146*10/T135</f>
        <v>8.5034106760801311</v>
      </c>
      <c r="U151" s="1005">
        <f t="shared" si="8"/>
        <v>7.2711945079848261</v>
      </c>
      <c r="V151" s="1005">
        <f t="shared" si="8"/>
        <v>7.919463965512584</v>
      </c>
      <c r="W151" s="1005">
        <f t="shared" si="8"/>
        <v>9.7563319183215373</v>
      </c>
      <c r="X151" s="1005">
        <f t="shared" si="8"/>
        <v>10.18266681066107</v>
      </c>
      <c r="Y151" s="1005">
        <f t="shared" si="8"/>
        <v>10.198655980730479</v>
      </c>
      <c r="Z151" s="1005">
        <f t="shared" si="8"/>
        <v>9.4205645311302018</v>
      </c>
      <c r="AA151" s="1005">
        <f t="shared" si="8"/>
        <v>9.7934547842349708</v>
      </c>
      <c r="AB151" s="1005">
        <f t="shared" si="8"/>
        <v>9.5509578815156271</v>
      </c>
      <c r="AC151" s="1005">
        <f t="shared" si="8"/>
        <v>8.9083720394239823</v>
      </c>
    </row>
    <row r="152" spans="16:30" ht="20.100000000000001" customHeight="1">
      <c r="P152" s="1005" t="s">
        <v>2263</v>
      </c>
      <c r="Q152" s="1005">
        <f>+Q137*10/Q135</f>
        <v>1.5078144366960744</v>
      </c>
      <c r="R152" s="1005">
        <f>+R137*10/R135</f>
        <v>1.5099630326211062</v>
      </c>
      <c r="S152" s="1005">
        <f>+S137*10/S135</f>
        <v>1.5252281992641812</v>
      </c>
      <c r="T152" s="1005">
        <f t="shared" ref="T152:AB152" si="9">+T137*10/T135</f>
        <v>1.5001574626166623</v>
      </c>
      <c r="U152" s="1005">
        <f t="shared" si="9"/>
        <v>1.4995038589855718</v>
      </c>
      <c r="V152" s="1005">
        <f t="shared" si="9"/>
        <v>1.4977792166355457</v>
      </c>
      <c r="W152" s="1005">
        <f t="shared" si="9"/>
        <v>1.4968056270374583</v>
      </c>
      <c r="X152" s="1005">
        <f t="shared" si="9"/>
        <v>1.5763913741492421</v>
      </c>
      <c r="Y152" s="1005">
        <f t="shared" si="9"/>
        <v>1.5707827570374506</v>
      </c>
      <c r="Z152" s="1005">
        <f t="shared" si="9"/>
        <v>1.4156467293718105</v>
      </c>
      <c r="AA152" s="1005">
        <f t="shared" si="9"/>
        <v>1.4892998412279534</v>
      </c>
      <c r="AB152" s="1005">
        <f t="shared" si="9"/>
        <v>1.4692135743931571</v>
      </c>
      <c r="AC152" s="1005">
        <f>+AC137*10/AC135</f>
        <v>1.5020119682435153</v>
      </c>
    </row>
    <row r="153" spans="16:30" ht="20.100000000000001" customHeight="1">
      <c r="P153" s="1006" t="s">
        <v>2264</v>
      </c>
      <c r="Q153" s="1006">
        <f>+Q148*10/Q135</f>
        <v>8.8775388700635567</v>
      </c>
      <c r="R153" s="1006">
        <f>+R148*10/R135</f>
        <v>8.4141413244751853</v>
      </c>
      <c r="S153" s="1006">
        <f>+S148*10/S135</f>
        <v>8.1768538456806663</v>
      </c>
      <c r="T153" s="1006">
        <f t="shared" ref="T153:AC153" si="10">+T148*10/T135</f>
        <v>8.6333338616078681</v>
      </c>
      <c r="U153" s="1006">
        <f t="shared" si="10"/>
        <v>7.4137692820914953</v>
      </c>
      <c r="V153" s="1006">
        <f t="shared" si="10"/>
        <v>8.0686926195704167</v>
      </c>
      <c r="W153" s="1006">
        <f t="shared" si="10"/>
        <v>9.9029440871900452</v>
      </c>
      <c r="X153" s="1006">
        <f t="shared" si="10"/>
        <v>10.327100832589489</v>
      </c>
      <c r="Y153" s="1006">
        <f t="shared" si="10"/>
        <v>10.351051119146723</v>
      </c>
      <c r="Z153" s="1006">
        <f t="shared" si="10"/>
        <v>9.5659748073188968</v>
      </c>
      <c r="AA153" s="1006">
        <f t="shared" si="10"/>
        <v>9.976259658575886</v>
      </c>
      <c r="AB153" s="1006">
        <f t="shared" si="10"/>
        <v>9.7191218151225858</v>
      </c>
      <c r="AC153" s="1006">
        <f t="shared" si="10"/>
        <v>9.0529718836295636</v>
      </c>
    </row>
    <row r="154" spans="16:30" ht="20.100000000000001" customHeight="1">
      <c r="P154" s="1007"/>
      <c r="Q154" s="1007"/>
      <c r="R154" s="1007"/>
      <c r="S154" s="1007"/>
      <c r="T154" s="1007"/>
      <c r="U154" s="1007"/>
      <c r="V154" s="1007"/>
      <c r="W154" s="1007"/>
      <c r="X154" s="1007"/>
      <c r="Y154" s="1007"/>
      <c r="Z154" s="1007"/>
      <c r="AA154" s="1007"/>
      <c r="AB154" s="1007"/>
      <c r="AC154" s="1007"/>
    </row>
    <row r="155" spans="16:30" ht="20.100000000000001" customHeight="1">
      <c r="P155" s="1007"/>
      <c r="Q155" s="1007">
        <f t="shared" ref="Q155:AB155" si="11">+(Q150-Q149)*Q135/10</f>
        <v>83.164732581689989</v>
      </c>
      <c r="R155" s="1007">
        <f t="shared" si="11"/>
        <v>82.975528803430137</v>
      </c>
      <c r="S155" s="1007">
        <f t="shared" si="11"/>
        <v>85.716868874689993</v>
      </c>
      <c r="T155" s="1007">
        <f t="shared" si="11"/>
        <v>77.662478749809992</v>
      </c>
      <c r="U155" s="1007">
        <f t="shared" si="11"/>
        <v>88.832947142779886</v>
      </c>
      <c r="V155" s="1007">
        <f t="shared" si="11"/>
        <v>76.035804578860066</v>
      </c>
      <c r="W155" s="1007">
        <f t="shared" si="11"/>
        <v>7.7730660526600044</v>
      </c>
      <c r="X155" s="1007">
        <f t="shared" si="11"/>
        <v>-7.036024099900013</v>
      </c>
      <c r="Y155" s="1007">
        <f t="shared" si="11"/>
        <v>-6.7818710645999802</v>
      </c>
      <c r="Z155" s="1007">
        <f t="shared" si="11"/>
        <v>25.252477435440042</v>
      </c>
      <c r="AA155" s="1007">
        <f t="shared" si="11"/>
        <v>5.6693180984800975</v>
      </c>
      <c r="AB155" s="1007">
        <f t="shared" si="11"/>
        <v>12.519103826140071</v>
      </c>
      <c r="AC155" s="1007">
        <f>SUM(Q155:AB155)</f>
        <v>531.78443097948025</v>
      </c>
    </row>
  </sheetData>
  <sheetProtection password="C77D" sheet="1" objects="1" scenarios="1"/>
  <mergeCells count="10">
    <mergeCell ref="N33:N34"/>
    <mergeCell ref="O33:O34"/>
    <mergeCell ref="N51:N52"/>
    <mergeCell ref="O51:O52"/>
    <mergeCell ref="D3:E3"/>
    <mergeCell ref="O9:O12"/>
    <mergeCell ref="O13:O16"/>
    <mergeCell ref="O17:O20"/>
    <mergeCell ref="N21:N24"/>
    <mergeCell ref="O21:O24"/>
  </mergeCells>
  <printOptions horizontalCentered="1" verticalCentered="1"/>
  <pageMargins left="0.45" right="0.45" top="0.5" bottom="0.5" header="0.3" footer="0.3"/>
  <pageSetup paperSize="9" scale="2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150</vt:i4>
      </vt:variant>
      <vt:variant>
        <vt:lpstr>Named Ranges</vt:lpstr>
      </vt:variant>
      <vt:variant>
        <vt:i4>137</vt:i4>
      </vt:variant>
    </vt:vector>
  </HeadingPairs>
  <TitlesOfParts>
    <vt:vector size="287" baseType="lpstr">
      <vt:lpstr>Assumptions</vt:lpstr>
      <vt:lpstr>Index </vt:lpstr>
      <vt:lpstr>ARR Summary</vt:lpstr>
      <vt:lpstr>May12</vt:lpstr>
      <vt:lpstr>June12</vt:lpstr>
      <vt:lpstr>July12</vt:lpstr>
      <vt:lpstr>Aug12</vt:lpstr>
      <vt:lpstr>Sep12</vt:lpstr>
      <vt:lpstr>Oct12</vt:lpstr>
      <vt:lpstr>Nov12</vt:lpstr>
      <vt:lpstr>Dec12</vt:lpstr>
      <vt:lpstr>Jan13</vt:lpstr>
      <vt:lpstr>Feb13</vt:lpstr>
      <vt:lpstr>Mar13</vt:lpstr>
      <vt:lpstr>F1</vt:lpstr>
      <vt:lpstr>F1.1</vt:lpstr>
      <vt:lpstr>SalesProjection Workings</vt:lpstr>
      <vt:lpstr>Monthwise sales</vt:lpstr>
      <vt:lpstr>F1.2</vt:lpstr>
      <vt:lpstr>F1.3</vt:lpstr>
      <vt:lpstr>F 1(a)</vt:lpstr>
      <vt:lpstr>Sales and ABR</vt:lpstr>
      <vt:lpstr>Tariff as per MYT Order</vt:lpstr>
      <vt:lpstr>F2</vt:lpstr>
      <vt:lpstr>PP FY 2012-13</vt:lpstr>
      <vt:lpstr>PP FY 2013-14 </vt:lpstr>
      <vt:lpstr>PP FY 2014-15</vt:lpstr>
      <vt:lpstr>Power Purchase Projections</vt:lpstr>
      <vt:lpstr>TPC G</vt:lpstr>
      <vt:lpstr>TPC G MTR Petition</vt:lpstr>
      <vt:lpstr>F2.1</vt:lpstr>
      <vt:lpstr>F2.2</vt:lpstr>
      <vt:lpstr>F2.3</vt:lpstr>
      <vt:lpstr>F2.4</vt:lpstr>
      <vt:lpstr>F3</vt:lpstr>
      <vt:lpstr>F3.1</vt:lpstr>
      <vt:lpstr>F3.2</vt:lpstr>
      <vt:lpstr>F3.3</vt:lpstr>
      <vt:lpstr>F3.4</vt:lpstr>
      <vt:lpstr>F3.5</vt:lpstr>
      <vt:lpstr>F4</vt:lpstr>
      <vt:lpstr>F5</vt:lpstr>
      <vt:lpstr>F5.1</vt:lpstr>
      <vt:lpstr>F6</vt:lpstr>
      <vt:lpstr>F5.2</vt:lpstr>
      <vt:lpstr>F6 .1</vt:lpstr>
      <vt:lpstr>F7 </vt:lpstr>
      <vt:lpstr>F8</vt:lpstr>
      <vt:lpstr>F9</vt:lpstr>
      <vt:lpstr>F10 </vt:lpstr>
      <vt:lpstr>F10.1_sale of scrap</vt:lpstr>
      <vt:lpstr>F 11</vt:lpstr>
      <vt:lpstr>F12</vt:lpstr>
      <vt:lpstr>F13</vt:lpstr>
      <vt:lpstr>F14</vt:lpstr>
      <vt:lpstr>Revenue FY 2014-15</vt:lpstr>
      <vt:lpstr>F14.1.1</vt:lpstr>
      <vt:lpstr>F14.1.2</vt:lpstr>
      <vt:lpstr>F14.1</vt:lpstr>
      <vt:lpstr>F15</vt:lpstr>
      <vt:lpstr>F16.1</vt:lpstr>
      <vt:lpstr>Reconcilation 2012-13</vt:lpstr>
      <vt:lpstr>Reconcilation _2013-14</vt:lpstr>
      <vt:lpstr>F16</vt:lpstr>
      <vt:lpstr>F18</vt:lpstr>
      <vt:lpstr>F19.1</vt:lpstr>
      <vt:lpstr>Transport deficit</vt:lpstr>
      <vt:lpstr>F19</vt:lpstr>
      <vt:lpstr>F20</vt:lpstr>
      <vt:lpstr>Tariff Structure</vt:lpstr>
      <vt:lpstr>ARR_Supply and Trans</vt:lpstr>
      <vt:lpstr>F22</vt:lpstr>
      <vt:lpstr>SBI PLR</vt:lpstr>
      <vt:lpstr>IDC13-14</vt:lpstr>
      <vt:lpstr>E2 2012-13</vt:lpstr>
      <vt:lpstr>E2_2013-14</vt:lpstr>
      <vt:lpstr>LDetail 2012-13</vt:lpstr>
      <vt:lpstr>LDetails 2013-14</vt:lpstr>
      <vt:lpstr>LoanDetails 2012-13</vt:lpstr>
      <vt:lpstr>LoanDetails2013-14</vt:lpstr>
      <vt:lpstr>Interest Charges_2012-13</vt:lpstr>
      <vt:lpstr>CurrentLiabilities 2012-13</vt:lpstr>
      <vt:lpstr>Working Capital 2013-14</vt:lpstr>
      <vt:lpstr>WC12-13</vt:lpstr>
      <vt:lpstr>WC FY 2013-14</vt:lpstr>
      <vt:lpstr>E5-2011 (2)</vt:lpstr>
      <vt:lpstr>CD FY 2013-14</vt:lpstr>
      <vt:lpstr>LD</vt:lpstr>
      <vt:lpstr>BadDebt13-14</vt:lpstr>
      <vt:lpstr>ARR</vt:lpstr>
      <vt:lpstr>ROE13-14</vt:lpstr>
      <vt:lpstr>ROE</vt:lpstr>
      <vt:lpstr>Other Expenses13-14</vt:lpstr>
      <vt:lpstr>Non Tariff Income_12-13</vt:lpstr>
      <vt:lpstr>NTI13-14</vt:lpstr>
      <vt:lpstr>ROIF13-14</vt:lpstr>
      <vt:lpstr>Revenue ApprovedActual</vt:lpstr>
      <vt:lpstr>MonthWise Unit Sold</vt:lpstr>
      <vt:lpstr>Revenue 2013-14</vt:lpstr>
      <vt:lpstr>Revenue 2012-13</vt:lpstr>
      <vt:lpstr>E13_2013-14</vt:lpstr>
      <vt:lpstr>E3</vt:lpstr>
      <vt:lpstr>E13_H1-2012-13</vt:lpstr>
      <vt:lpstr>E13_H2-2012-13</vt:lpstr>
      <vt:lpstr>E13_H1F-2013-14</vt:lpstr>
      <vt:lpstr>E13_H2F-2013-14</vt:lpstr>
      <vt:lpstr>Reconciliation </vt:lpstr>
      <vt:lpstr>E6 Summury_2013-14</vt:lpstr>
      <vt:lpstr>E-6 SUPPLYWISE GRUP</vt:lpstr>
      <vt:lpstr>P&amp;L</vt:lpstr>
      <vt:lpstr>GFA1</vt:lpstr>
      <vt:lpstr>CapExCapi2013-14</vt:lpstr>
      <vt:lpstr>E5-2011</vt:lpstr>
      <vt:lpstr>DPR</vt:lpstr>
      <vt:lpstr>Interest on working capital</vt:lpstr>
      <vt:lpstr>E9-2001</vt:lpstr>
      <vt:lpstr>P&amp;L Reconciliation</vt:lpstr>
      <vt:lpstr>ApprovedTariff</vt:lpstr>
      <vt:lpstr>ARR2013-14</vt:lpstr>
      <vt:lpstr>E1</vt:lpstr>
      <vt:lpstr>idc</vt:lpstr>
      <vt:lpstr>E13_Q1-2012-13</vt:lpstr>
      <vt:lpstr>E13_Q2-2012-13</vt:lpstr>
      <vt:lpstr>E13_Q3-2012-13</vt:lpstr>
      <vt:lpstr>E13_Q4-2012-13</vt:lpstr>
      <vt:lpstr>E13_F.Y.2012-13</vt:lpstr>
      <vt:lpstr>BEST final</vt:lpstr>
      <vt:lpstr>schedule 3</vt:lpstr>
      <vt:lpstr>Schedule 1</vt:lpstr>
      <vt:lpstr>Annexture B</vt:lpstr>
      <vt:lpstr>WC_2012-13</vt:lpstr>
      <vt:lpstr>AnnexureB_2013-14</vt:lpstr>
      <vt:lpstr>SBI PLR Details</vt:lpstr>
      <vt:lpstr>URIM P&amp;L 12-13</vt:lpstr>
      <vt:lpstr>Net Capitalisation</vt:lpstr>
      <vt:lpstr>PowerPurchaseComparison</vt:lpstr>
      <vt:lpstr>CostOfPowerPurchase</vt:lpstr>
      <vt:lpstr>O&amp;M Expenses 2012-13</vt:lpstr>
      <vt:lpstr>O&amp;M Expenses 2013-14</vt:lpstr>
      <vt:lpstr>AD_Compiled</vt:lpstr>
      <vt:lpstr>E6-2011-12</vt:lpstr>
      <vt:lpstr>E6 -2012-13</vt:lpstr>
      <vt:lpstr>E6-2013-14</vt:lpstr>
      <vt:lpstr>Depreciation 2012-13</vt:lpstr>
      <vt:lpstr>Depreciation 2013-14</vt:lpstr>
      <vt:lpstr>GFA2</vt:lpstr>
      <vt:lpstr>Accumulated Depreciation </vt:lpstr>
      <vt:lpstr>Capitalisation 2013-14</vt:lpstr>
      <vt:lpstr>GFA Reconciliation</vt:lpstr>
      <vt:lpstr>Sheet1</vt:lpstr>
      <vt:lpstr>'BEST final'!Fixed_Asset_BS</vt:lpstr>
      <vt:lpstr>'BEST final'!Fixed_Assets</vt:lpstr>
      <vt:lpstr>'BEST final'!Fixed_Assets_Schedule</vt:lpstr>
      <vt:lpstr>'BEST final'!interest_and_finance_charges_bs</vt:lpstr>
      <vt:lpstr>'BEST final'!interest_finance_charges_schedule</vt:lpstr>
      <vt:lpstr>'BEST final'!Miscelleneous_Expenditure</vt:lpstr>
      <vt:lpstr>'Accumulated Depreciation '!Print_Area</vt:lpstr>
      <vt:lpstr>'Annexture B'!Print_Area</vt:lpstr>
      <vt:lpstr>'AnnexureB_2013-14'!Print_Area</vt:lpstr>
      <vt:lpstr>ApprovedTariff!Print_Area</vt:lpstr>
      <vt:lpstr>ARR!Print_Area</vt:lpstr>
      <vt:lpstr>'ARR Summary'!Print_Area</vt:lpstr>
      <vt:lpstr>'ARR_Supply and Trans'!Print_Area</vt:lpstr>
      <vt:lpstr>'ARR2013-14'!Print_Area</vt:lpstr>
      <vt:lpstr>Assumptions!Print_Area</vt:lpstr>
      <vt:lpstr>'BadDebt13-14'!Print_Area</vt:lpstr>
      <vt:lpstr>'BEST final'!Print_Area</vt:lpstr>
      <vt:lpstr>'CapExCapi2013-14'!Print_Area</vt:lpstr>
      <vt:lpstr>'Capitalisation 2013-14'!Print_Area</vt:lpstr>
      <vt:lpstr>'CD FY 2013-14'!Print_Area</vt:lpstr>
      <vt:lpstr>'CurrentLiabilities 2012-13'!Print_Area</vt:lpstr>
      <vt:lpstr>'Depreciation 2012-13'!Print_Area</vt:lpstr>
      <vt:lpstr>'Depreciation 2013-14'!Print_Area</vt:lpstr>
      <vt:lpstr>DPR!Print_Area</vt:lpstr>
      <vt:lpstr>'E1'!Print_Area</vt:lpstr>
      <vt:lpstr>'E13_2013-14'!Print_Area</vt:lpstr>
      <vt:lpstr>'E13_F.Y.2012-13'!Print_Area</vt:lpstr>
      <vt:lpstr>'E2 2012-13'!Print_Area</vt:lpstr>
      <vt:lpstr>'E2_2013-14'!Print_Area</vt:lpstr>
      <vt:lpstr>'E3'!Print_Area</vt:lpstr>
      <vt:lpstr>'E5-2011'!Print_Area</vt:lpstr>
      <vt:lpstr>'E5-2011 (2)'!Print_Area</vt:lpstr>
      <vt:lpstr>'E-6 SUPPLYWISE GRUP'!Print_Area</vt:lpstr>
      <vt:lpstr>'E6-2011-12'!Print_Area</vt:lpstr>
      <vt:lpstr>'E6-2013-14'!Print_Area</vt:lpstr>
      <vt:lpstr>'E9-2001'!Print_Area</vt:lpstr>
      <vt:lpstr>'F 1(a)'!Print_Area</vt:lpstr>
      <vt:lpstr>'F 11'!Print_Area</vt:lpstr>
      <vt:lpstr>'F1'!Print_Area</vt:lpstr>
      <vt:lpstr>F1.1!Print_Area</vt:lpstr>
      <vt:lpstr>F1.2!Print_Area</vt:lpstr>
      <vt:lpstr>F1.3!Print_Area</vt:lpstr>
      <vt:lpstr>'F10 '!Print_Area</vt:lpstr>
      <vt:lpstr>'F12'!Print_Area</vt:lpstr>
      <vt:lpstr>'F13'!Print_Area</vt:lpstr>
      <vt:lpstr>'F14'!Print_Area</vt:lpstr>
      <vt:lpstr>F14.1!Print_Area</vt:lpstr>
      <vt:lpstr>F14.1.1!Print_Area</vt:lpstr>
      <vt:lpstr>F14.1.2!Print_Area</vt:lpstr>
      <vt:lpstr>'F15'!Print_Area</vt:lpstr>
      <vt:lpstr>'F16'!Print_Area</vt:lpstr>
      <vt:lpstr>F16.1!Print_Area</vt:lpstr>
      <vt:lpstr>'F18'!Print_Area</vt:lpstr>
      <vt:lpstr>'F19'!Print_Area</vt:lpstr>
      <vt:lpstr>F19.1!Print_Area</vt:lpstr>
      <vt:lpstr>'F2'!Print_Area</vt:lpstr>
      <vt:lpstr>F2.1!Print_Area</vt:lpstr>
      <vt:lpstr>F2.2!Print_Area</vt:lpstr>
      <vt:lpstr>F2.3!Print_Area</vt:lpstr>
      <vt:lpstr>F2.4!Print_Area</vt:lpstr>
      <vt:lpstr>'F20'!Print_Area</vt:lpstr>
      <vt:lpstr>'F22'!Print_Area</vt:lpstr>
      <vt:lpstr>'F3'!Print_Area</vt:lpstr>
      <vt:lpstr>F3.1!Print_Area</vt:lpstr>
      <vt:lpstr>F3.2!Print_Area</vt:lpstr>
      <vt:lpstr>F3.4!Print_Area</vt:lpstr>
      <vt:lpstr>F3.5!Print_Area</vt:lpstr>
      <vt:lpstr>'F4'!Print_Area</vt:lpstr>
      <vt:lpstr>'F5'!Print_Area</vt:lpstr>
      <vt:lpstr>F5.1!Print_Area</vt:lpstr>
      <vt:lpstr>F5.2!Print_Area</vt:lpstr>
      <vt:lpstr>'F6'!Print_Area</vt:lpstr>
      <vt:lpstr>'F6 .1'!Print_Area</vt:lpstr>
      <vt:lpstr>'F7 '!Print_Area</vt:lpstr>
      <vt:lpstr>'F8'!Print_Area</vt:lpstr>
      <vt:lpstr>'F9'!Print_Area</vt:lpstr>
      <vt:lpstr>'GFA Reconciliation'!Print_Area</vt:lpstr>
      <vt:lpstr>'GFA1'!Print_Area</vt:lpstr>
      <vt:lpstr>'GFA2'!Print_Area</vt:lpstr>
      <vt:lpstr>idc!Print_Area</vt:lpstr>
      <vt:lpstr>'IDC13-14'!Print_Area</vt:lpstr>
      <vt:lpstr>'Index '!Print_Area</vt:lpstr>
      <vt:lpstr>'Interest Charges_2012-13'!Print_Area</vt:lpstr>
      <vt:lpstr>'LoanDetails2013-14'!Print_Area</vt:lpstr>
      <vt:lpstr>'Non Tariff Income_12-13'!Print_Area</vt:lpstr>
      <vt:lpstr>'NTI13-14'!Print_Area</vt:lpstr>
      <vt:lpstr>'O&amp;M Expenses 2012-13'!Print_Area</vt:lpstr>
      <vt:lpstr>'O&amp;M Expenses 2013-14'!Print_Area</vt:lpstr>
      <vt:lpstr>'Other Expenses13-14'!Print_Area</vt:lpstr>
      <vt:lpstr>'P&amp;L'!Print_Area</vt:lpstr>
      <vt:lpstr>'P&amp;L Reconciliation'!Print_Area</vt:lpstr>
      <vt:lpstr>PowerPurchaseComparison!Print_Area</vt:lpstr>
      <vt:lpstr>'PP FY 2012-13'!Print_Area</vt:lpstr>
      <vt:lpstr>'PP FY 2014-15'!Print_Area</vt:lpstr>
      <vt:lpstr>'Revenue 2012-13'!Print_Area</vt:lpstr>
      <vt:lpstr>ROE!Print_Area</vt:lpstr>
      <vt:lpstr>'ROE13-14'!Print_Area</vt:lpstr>
      <vt:lpstr>'ROIF13-14'!Print_Area</vt:lpstr>
      <vt:lpstr>'SalesProjection Workings'!Print_Area</vt:lpstr>
      <vt:lpstr>'Tariff as per MYT Order'!Print_Area</vt:lpstr>
      <vt:lpstr>'URIM P&amp;L 12-13'!Print_Area</vt:lpstr>
      <vt:lpstr>'WC FY 2013-14'!Print_Area</vt:lpstr>
      <vt:lpstr>'WC12-13'!Print_Area</vt:lpstr>
      <vt:lpstr>'E5-2011'!Print_Area_MI</vt:lpstr>
      <vt:lpstr>'E5-2011 (2)'!Print_Area_MI</vt:lpstr>
      <vt:lpstr>'E9-2001'!Print_Area_MI</vt:lpstr>
      <vt:lpstr>Assumptions!Print_Titles</vt:lpstr>
      <vt:lpstr>'F 1(a)'!Print_Titles</vt:lpstr>
      <vt:lpstr>'F1'!Print_Titles</vt:lpstr>
      <vt:lpstr>F1.1!Print_Titles</vt:lpstr>
      <vt:lpstr>'F14'!Print_Titles</vt:lpstr>
      <vt:lpstr>'F2'!Print_Titles</vt:lpstr>
      <vt:lpstr>F2.2!Print_Titles</vt:lpstr>
      <vt:lpstr>F2.3!Print_Titles</vt:lpstr>
      <vt:lpstr>'F4'!Print_Titles</vt:lpstr>
      <vt:lpstr>'PP FY 2014-15'!Print_Titles</vt:lpstr>
      <vt:lpstr>'BEST final'!Reserves_and_Surplus</vt:lpstr>
      <vt:lpstr>'Schedule 1'!sCHEDULE_1_sHEET_1</vt:lpstr>
      <vt:lpstr>'BEST final'!SCHEDULE_10</vt:lpstr>
      <vt:lpstr>'BEST final'!SCHEDULE_11</vt:lpstr>
      <vt:lpstr>'BEST final'!SCHEDULE_12</vt:lpstr>
      <vt:lpstr>'BEST final'!SCHEDULE_13</vt:lpstr>
      <vt:lpstr>'BEST final'!SCHEDULE_14</vt:lpstr>
      <vt:lpstr>'BEST final'!SCHEDULE_16</vt:lpstr>
      <vt:lpstr>'BEST final'!SCHEDULE_17</vt:lpstr>
      <vt:lpstr>'BEST final'!SCHEDULE_18</vt:lpstr>
      <vt:lpstr>'BEST final'!Schedule_2</vt:lpstr>
      <vt:lpstr>'BEST final'!SCHEDULE_20</vt:lpstr>
      <vt:lpstr>'BEST final'!SCHEDULE_21</vt:lpstr>
      <vt:lpstr>'BEST final'!SCHEDULE_22</vt:lpstr>
      <vt:lpstr>'BEST final'!SCHEDULE_4</vt:lpstr>
      <vt:lpstr>'BEST final'!Schedule_4_Investment</vt:lpstr>
      <vt:lpstr>'BEST final'!SCHEDULE_9</vt:lpstr>
      <vt:lpstr>'BEST final'!SCHEDULE_No.</vt:lpstr>
      <vt:lpstr>'BEST final'!Schedule2</vt:lpstr>
      <vt:lpstr>'BEST final'!Stores_CurrentAsset</vt:lpstr>
      <vt:lpstr>'BEST final'!Unsecured_Loans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2016-04-26T04:38:53Z</dcterms:modified>
</cp:coreProperties>
</file>